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280" yWindow="135" windowWidth="23760" windowHeight="10200" tabRatio="833" firstSheet="1" activeTab="5"/>
  </bookViews>
  <sheets>
    <sheet name="Schedules==&gt;" sheetId="16" r:id="rId1"/>
    <sheet name="Sch M-1.1" sheetId="77" r:id="rId2"/>
    <sheet name="Sch M-1.2" sheetId="56" r:id="rId3"/>
    <sheet name="Sch M-1.3-pg 1" sheetId="18" r:id="rId4"/>
    <sheet name="Sch M-1.3-pg2-13" sheetId="19" r:id="rId5"/>
    <sheet name="Sch M-1.3-pg 14-18" sheetId="27" r:id="rId6"/>
    <sheet name="Conroy Exhibit P2" sheetId="43" state="hidden" r:id="rId7"/>
    <sheet name="Yr End Cust Adj" sheetId="17" state="hidden" r:id="rId8"/>
    <sheet name="Rate Switch" sheetId="54" state="hidden" r:id="rId9"/>
    <sheet name="ECR Roll In==&gt;" sheetId="67" state="hidden" r:id="rId10"/>
    <sheet name="Summary" sheetId="68" state="hidden" r:id="rId11"/>
    <sheet name="Group1" sheetId="69" state="hidden" r:id="rId12"/>
    <sheet name="Group2" sheetId="70" state="hidden" r:id="rId13"/>
    <sheet name="ECR Rollin" sheetId="57" state="hidden" r:id="rId14"/>
    <sheet name="StLtTYRevenueNetOfBaseECR" sheetId="48" state="hidden" r:id="rId15"/>
    <sheet name="Data==&gt;" sheetId="15" r:id="rId16"/>
    <sheet name="12MonResults" sheetId="4" r:id="rId17"/>
    <sheet name="12MonLights" sheetId="29" r:id="rId18"/>
    <sheet name="Rates" sheetId="2" r:id="rId19"/>
    <sheet name="Rates-Lights" sheetId="30" r:id="rId20"/>
    <sheet name="Sources ==&gt;" sheetId="20" r:id="rId21"/>
    <sheet name="1022" sheetId="1" r:id="rId22"/>
    <sheet name="1055" sheetId="7" r:id="rId23"/>
    <sheet name="SBR" sheetId="23" r:id="rId24"/>
    <sheet name="GranVille" sheetId="28" r:id="rId25"/>
    <sheet name="MiscData" sheetId="3" r:id="rId26"/>
  </sheets>
  <externalReferences>
    <externalReference r:id="rId27"/>
  </externalReferences>
  <definedNames>
    <definedName name="\\" hidden="1">#REF!</definedName>
    <definedName name="\\\" hidden="1">#REF!</definedName>
    <definedName name="\\\\" hidden="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022_Count">'1022'!$D$3:$D$530</definedName>
    <definedName name="_1022_Demand_Base">'1022'!$I$3:$I$530</definedName>
    <definedName name="_1022_Demand_Intermediate">'1022'!$J$3:$J$530</definedName>
    <definedName name="_1022_Demand_Peak">'1022'!$K$3:$K$530</definedName>
    <definedName name="_1022_KWH">'1022'!$H$3:$H$530</definedName>
    <definedName name="_1022_KWH_P1">'1022'!$E$3:$E$530</definedName>
    <definedName name="_1022_KWH_P2">'1022'!$F$3:$F$530</definedName>
    <definedName name="_1022_KWH_P3">'1022'!$G$3:$G$530</definedName>
    <definedName name="_1022_Measured_KVA_Base">'1022'!$O$3:$O$530</definedName>
    <definedName name="_1022_Measured_KVA_Inter">'1022'!$P$3:$P$530</definedName>
    <definedName name="_1022_Measured_KVA_Peak">'1022'!$Q$3:$Q$530</definedName>
    <definedName name="_1022_Measured_KW">'1022'!$R$3:$R$530</definedName>
    <definedName name="_1022_PF_Qty">'1022'!$N$3:$N$530</definedName>
    <definedName name="_1022_Power_Factor_Revenue">'1022'!$S$3:$S$530</definedName>
    <definedName name="_1022_RateCategory">'1022'!$C$3:$C$530</definedName>
    <definedName name="_1022_RevenueMonth">'1022'!$B$3:$B$530</definedName>
    <definedName name="_1055_KWH">'1055'!$F$3:$F$1126</definedName>
    <definedName name="_1055_Light_Count">'1055'!$E$3:$E$1126</definedName>
    <definedName name="_1055_RateCategory">'1055'!$C$3:$C$1126</definedName>
    <definedName name="_1055_RevMonth">'1055'!$A$3:$A$1126</definedName>
    <definedName name="_12MonLights_Base_Fuel_Revenue">'12MonLights'!$Y$2:$Y$1069</definedName>
    <definedName name="_12MonLights_Count">'12MonLights'!$E$2:$E$1069</definedName>
    <definedName name="_12MonLights_Count_Adj">'12MonLights'!$F$2:$F$1069</definedName>
    <definedName name="_12MonLights_ECR">'12MonLights'!$S$2:$S$1069</definedName>
    <definedName name="_12MonLights_FAC">'12MonLights'!$Q$2:$Q$1069</definedName>
    <definedName name="_12MonLights_KWH">'12MonLights'!$G$2:$G$1069</definedName>
    <definedName name="_12MonLights_KWH_OutOfPeriod">'12MonLights'!$H$2:$H$1069</definedName>
    <definedName name="_12MonLights_Non_Fuel_Revenue">'12MonLights'!$Z$2:$Z$1069</definedName>
    <definedName name="_12MonLights_RateCategory">'12MonLights'!$D$2:$D$1069</definedName>
    <definedName name="_12MonLights_RateClass">'12MonLights'!$C$2:$C$1069</definedName>
    <definedName name="_12MonLights_Revenue">'12MonLights'!$K$2:$K$1069</definedName>
    <definedName name="_12MonLights_Revenue_Actual">'12MonLights'!$O$2:$O$1069</definedName>
    <definedName name="_12MonLights_Revenue_Adj">'12MonLights'!$L$2:$L$1069</definedName>
    <definedName name="_12MonLights_Revenue_BaseFuel">'12MonLights'!$Y$22:$Y$1023</definedName>
    <definedName name="_12MonLights_Revenue_Calculated">'12MonLights'!$N$2:$N$1069</definedName>
    <definedName name="_12MonLights_Revenue_FAC">'12MonLights'!$Q$2:$Q$1069</definedName>
    <definedName name="_12MonLights_Revenue_OutOfPeriod">'12MonLights'!$M$2:$M$1069</definedName>
    <definedName name="_12MonLights_RevMonth">'12MonLights'!$B$2:$B$1069</definedName>
    <definedName name="_12MonLights_TariffRateCategory">'12MonLights'!$AE$2:$AE$1069</definedName>
    <definedName name="_12MonLights_TotalRevenue">'12MonLights'!$U$2:$U$1069</definedName>
    <definedName name="_12MonResults_CustomerCount">'12MonResults'!$F$4:$F$471</definedName>
    <definedName name="_12MonResults_CustomerCount_Adj">'12MonResults'!$G$4:$G$471</definedName>
    <definedName name="_12MonResults_Demand_Billed_kW_B">'12MonResults'!$P$4:$P$471</definedName>
    <definedName name="_12MonResults_Demand_Billed_kW_I">'12MonResults'!$Q$4:$Q$471</definedName>
    <definedName name="_12MonResults_Demand_Billed_KW_P">'12MonResults'!$R$4:$R$471</definedName>
    <definedName name="_12MonResults_Demand_Measured_kW_B">'12MonResults'!$M$4:$M$471</definedName>
    <definedName name="_12MonResults_Demand_Measured_kW_I">'12MonResults'!$N$4:$N$471</definedName>
    <definedName name="_12MonResults_Demand_Measured_kW_P">'12MonResults'!$O$4:$O$471</definedName>
    <definedName name="_12MonResults_Demand_Minimum_B">'12MonResults'!$S$4:$S$471</definedName>
    <definedName name="_12MonResults_Demand_Minimum_I">'12MonResults'!$T$4:$T$471</definedName>
    <definedName name="_12MonResults_Demand_Minimum_P">'12MonResults'!$U$4:$U$471</definedName>
    <definedName name="_12MonResults_Demand_OutOfPeriod_B">'12MonResults'!$V$4:$V$471</definedName>
    <definedName name="_12MonResults_Demand_OutOfPeriod_I">'12MonResults'!$W$4:$W$471</definedName>
    <definedName name="_12MonResults_Demand_OutOfPeriod_P">'12MonResults'!$X$4:$X$471</definedName>
    <definedName name="_12MonResults_KWH_OutOfPeriod">'12MonResults'!$L$4:$L$471</definedName>
    <definedName name="_12MonResults_KWH_P1">'12MonResults'!$H$4:$H$471</definedName>
    <definedName name="_12MonResults_KWH_P2">'12MonResults'!$I$4:$I$471</definedName>
    <definedName name="_12MonResults_KWH_P3">'12MonResults'!$J$4:$J$471</definedName>
    <definedName name="_12MonResults_KWH_Total">'12MonResults'!$K$4:$K$471</definedName>
    <definedName name="_12MonResults_Period">'12MonResults'!$BI$4:$BI$471</definedName>
    <definedName name="_12MonResults_Rate">'12MonResults'!$C$4:$C$471</definedName>
    <definedName name="_12MonResults_RateCategory">'12MonResults'!$E$4:$E$471</definedName>
    <definedName name="_12MonResults_RateClass">'12MonResults'!$D$4:$D$471</definedName>
    <definedName name="_12MonResults_Revenue_Actual">'12MonResults'!$AW$4:$AW$471</definedName>
    <definedName name="_12MonResults_Revenue_Adj_BSC">'12MonResults'!$AP$4:$AP$471</definedName>
    <definedName name="_12MonResults_Revenue_Adj_Demand">'12MonResults'!$AR$4:$AR$471</definedName>
    <definedName name="_12MonResults_Revenue_Adj_Energy">'12MonResults'!$AQ$4:$AQ$471</definedName>
    <definedName name="_12MonResults_Revenue_BaseFuel">'12MonResults'!$BG$4:$BG$471</definedName>
    <definedName name="_12MonResults_Revenue_Calc_BSC">'12MonResults'!$AG$4:$AG$471</definedName>
    <definedName name="_12MonResults_Revenue_Calc_Energy">'12MonResults'!$AH$4:$AH$471</definedName>
    <definedName name="_12MonResults_Revenue_Calculated">'12MonResults'!$AV$4:$AV$471</definedName>
    <definedName name="_12MonResults_Revenue_CSR">'12MonResults'!$BC$4:$BC$471</definedName>
    <definedName name="_12MonResults_Revenue_Demand">'12MonResults'!$AO$4:$AO$471</definedName>
    <definedName name="_12MonResults_Revenue_Demand_B">'12MonResults'!$AI$4:$AI$471</definedName>
    <definedName name="_12MonResults_Revenue_Demand_I">'12MonResults'!$AJ$4:$AJ$471</definedName>
    <definedName name="_12MonResults_Revenue_Demand_P">'12MonResults'!$AK$4:$AK$471</definedName>
    <definedName name="_12MonResults_Revenue_DSM">'12MonResults'!$AZ$4:$AZ$471</definedName>
    <definedName name="_12MonResults_Revenue_ECR">'12MonResults'!$BA$4:$BA$471</definedName>
    <definedName name="_12MonResults_Revenue_FAC">'12MonResults'!$AY$4:$AY$471</definedName>
    <definedName name="_12MonResults_Revenue_Minimum">'12MonResults'!$AN$4:$AN$471</definedName>
    <definedName name="_12MonResults_Revenue_MSR">'12MonResults'!$BB$4:$BB$471</definedName>
    <definedName name="_12MonResults_Revenue_NonFuel_Energy">'12MonResults'!$BH$4:$BH$471</definedName>
    <definedName name="_12MonResults_Revenue_OutOfPeriod_BSC">'12MonResults'!$AS$4:$AS$471</definedName>
    <definedName name="_12MonResults_Revenue_OutOfPeriod_Demand">'12MonResults'!$AU$4:$AU$471</definedName>
    <definedName name="_12MonResults_Revenue_OutOfPeriod_Energy">'12MonResults'!$AT$4:$AT$471</definedName>
    <definedName name="_12MonResults_Revenue_Pwr_Factor">'12MonResults'!$AM$4:$AM$471</definedName>
    <definedName name="_12MonResults_Revenue_Red_Cap">'12MonResults'!$AL$4:$AL$471</definedName>
    <definedName name="_12MonResults_Revenue_Total">'12MonResults'!$BD$4:$BD$471</definedName>
    <definedName name="_12MonResults_RevMonth">'12MonResults'!$B$4:$B$471</definedName>
    <definedName name="_12MonResults_TariffRateClass">'12MonResults'!$BO$4:$BO$471</definedName>
    <definedName name="_12MonResults_TarrifRateCategory">'12MonResults'!$BN$4:$BN$471</definedName>
    <definedName name="_13Month_Base_ECR_Total">#REF!</definedName>
    <definedName name="_13Month_Count">#REF!</definedName>
    <definedName name="_13Month_Count_Adj">#REF!</definedName>
    <definedName name="_13Month_Energy">#REF!</definedName>
    <definedName name="_13Month_FAC">#REF!</definedName>
    <definedName name="_13Month_RateCategory">#REF!</definedName>
    <definedName name="_13Month_RateClass">#REF!</definedName>
    <definedName name="_13Month_Revenue_Actual">#REF!</definedName>
    <definedName name="_13thMonth_FAC_Current">#REF!</definedName>
    <definedName name="_13thMonth_Revenue_Current">#REF!</definedName>
    <definedName name="_BaseECR_Base_ECR_RateClass">#REF!</definedName>
    <definedName name="_BaseECR_Base_ECR_Revenue">#REF!</definedName>
    <definedName name="_BaseECRLights_RateClass">#REF!</definedName>
    <definedName name="_BaseECRLights_Revenue">#REF!</definedName>
    <definedName name="_ECR_BaseRevenue">#REF!</definedName>
    <definedName name="_ECR_RateCategory">#REF!</definedName>
    <definedName name="_ECR_RateClass">#REF!</definedName>
    <definedName name="_ECRResults_Revenue">#REF!</definedName>
    <definedName name="_ECRResults_Revenue_Demand_Minimum">#REF!</definedName>
    <definedName name="_ECRRollinLights_BaseRevenue">#REF!</definedName>
    <definedName name="_ECRRollinLights_RateClass">#REF!</definedName>
    <definedName name="_FACLights_FAC">#REF!</definedName>
    <definedName name="_FACLights_KWH">#REF!</definedName>
    <definedName name="_FACLights_RateClass">#REF!</definedName>
    <definedName name="_FACLights_Revenue_Calculated">#REF!</definedName>
    <definedName name="_FACLights_RevMonth">#REF!</definedName>
    <definedName name="_FACResults_FAC">#REF!</definedName>
    <definedName name="_FACResults_KWH">#REF!</definedName>
    <definedName name="_FACResults_RateCategory">#REF!</definedName>
    <definedName name="_FACResults_RateClass">#REF!</definedName>
    <definedName name="_FACResults_Revenue_Calculated">#REF!</definedName>
    <definedName name="_FACResults_Revenue_Demand_Minimum">#REF!</definedName>
    <definedName name="_FACResults_RevMonth3">#REF!</definedName>
    <definedName name="_Fill" hidden="1">#REF!</definedName>
    <definedName name="_xlnm._FilterDatabase" localSheetId="21" hidden="1">'1022'!$A$1:$C$530</definedName>
    <definedName name="_xlnm._FilterDatabase" localSheetId="22" hidden="1">'1055'!$L$856:$L$1022</definedName>
    <definedName name="_xlnm._FilterDatabase" localSheetId="17" hidden="1">'12MonLights'!$A$1:$AM$1069</definedName>
    <definedName name="_xlnm._FilterDatabase" localSheetId="16" hidden="1">'12MonResults'!$A$3:$BI$471</definedName>
    <definedName name="_xlnm._FilterDatabase" localSheetId="24" hidden="1">GranVille!$B$40:$B$113</definedName>
    <definedName name="_xlnm._FilterDatabase" localSheetId="11" hidden="1">Group1!$B$17:$B$150</definedName>
    <definedName name="_xlnm._FilterDatabase" localSheetId="8" hidden="1">'Rate Switch'!$B$5:$B$124</definedName>
    <definedName name="_xlnm._FilterDatabase" localSheetId="18" hidden="1">Rates!$A$2:$W$173</definedName>
    <definedName name="_xlnm._FilterDatabase" localSheetId="19" hidden="1">'Rates-Lights'!$A$2:$J$660</definedName>
    <definedName name="_xlnm._FilterDatabase" localSheetId="23" hidden="1">SBR!$A$2:$X$1706</definedName>
    <definedName name="_xlnm._FilterDatabase" localSheetId="5" hidden="1">'Sch M-1.3-pg 14-18'!$Y$13:$Y$185</definedName>
    <definedName name="_xlnm._FilterDatabase" localSheetId="4" hidden="1">'Sch M-1.3-pg2-13'!$Q$10:$Q$216</definedName>
    <definedName name="_xlnm._FilterDatabase" localSheetId="14" hidden="1">StLtTYRevenueNetOfBaseECR!$AE$18:$AE$160</definedName>
    <definedName name="_Lights_Rates">'Rates-Lights'!$E$4:$E$660</definedName>
    <definedName name="_Lights_Tariff_Category">'Rates-Lights'!$D$4:$D$660</definedName>
    <definedName name="_Order1" hidden="1">0</definedName>
    <definedName name="_Order2" hidden="1">0</definedName>
    <definedName name="_Rates_Balance_Energy">Rates!$L$4:$L$212</definedName>
    <definedName name="_Rates_BasicServiceCharge">Rates!$F$4:$F$212</definedName>
    <definedName name="_Rates_Demand_Base">Rates!$O$4:$O$212</definedName>
    <definedName name="_Rates_Demand_Intermediate">Rates!$P$4:$P$212</definedName>
    <definedName name="_Rates_Demand_Peak">Rates!$Q$4:$Q$212</definedName>
    <definedName name="_Rates_ECR_Demand">Rates!$S$4:$S$212</definedName>
    <definedName name="_Rates_ECR_Energy">Rates!$J$4:$J$212</definedName>
    <definedName name="_Rates_Energy">Rates!$G$4:$G$212</definedName>
    <definedName name="_Rates_Energy_P2">Rates!$H$4:$H$212</definedName>
    <definedName name="_Rates_Energy_P3">Rates!$I$4:$I$212</definedName>
    <definedName name="_Rates_FAC_Energy">Rates!$K$4:$K$212</definedName>
    <definedName name="_Rates_Lights_BaseFAC">'Rates-Lights'!$H$4:$H$660</definedName>
    <definedName name="_Rates_Lights_ECR">'Rates-Lights'!$G$4:$G$660</definedName>
    <definedName name="_Rates_Rate">Rates!$B$4:$B$212</definedName>
    <definedName name="_Rates_Tariff_Category">Rates!$E$4:$E$212</definedName>
    <definedName name="_SBR_Base_Revenue">SBR!$Z$3:$Z$1707</definedName>
    <definedName name="_SBR_BSC_Revenue">SBR!$F$3:$F$1707</definedName>
    <definedName name="_SBR_CSR">SBR!$P$3:$P$1707</definedName>
    <definedName name="_SBR_Demand_Revenue">SBR!$T$3:$T$1707</definedName>
    <definedName name="_SBR_DSM">SBR!$L$3:$L$1707</definedName>
    <definedName name="_SBR_ECR">SBR!$U$3:$U$1707</definedName>
    <definedName name="_SBR_Energy_Revenue">SBR!$S$3:$S$1707</definedName>
    <definedName name="_SBR_FAC">SBR!$M$3:$M$1707</definedName>
    <definedName name="_SBR_KWH">SBR!$E$3:$E$1707</definedName>
    <definedName name="_SBR_MSR">SBR!$Q$3:$Q$1707</definedName>
    <definedName name="_SBR_Rate_Category">SBR!$B$3:$B$1707</definedName>
    <definedName name="_SBR_RateClass">SBR!$D$3:$D$1707</definedName>
    <definedName name="_SBR_Revenue_Actual">SBR!$R$3:$R$1707</definedName>
    <definedName name="_SBR_Revenue_Month">SBR!$A$3:$A$1707</definedName>
    <definedName name="_xlnm.Print_Area" localSheetId="6">'Conroy Exhibit P2'!$C$5:$O$49,'Conroy Exhibit P2'!$C$54:$O$99,'Conroy Exhibit P2'!$C$107:$O$148</definedName>
    <definedName name="_xlnm.Print_Area" localSheetId="11">Group1!$C$4:$U$174</definedName>
    <definedName name="_xlnm.Print_Area" localSheetId="12">Group2!$C$4:$U$38</definedName>
    <definedName name="_xlnm.Print_Area" localSheetId="8">'Rate Switch'!$A$135:$P$235</definedName>
    <definedName name="_xlnm.Print_Area" localSheetId="2">'Sch M-1.2'!$A$1:$H$35</definedName>
    <definedName name="_xlnm.Print_Area" localSheetId="3">'Sch M-1.3-pg 1'!$A$1:$J$54</definedName>
    <definedName name="_xlnm.Print_Area" localSheetId="5">'Sch M-1.3-pg 14-18'!$A$1:$H$184</definedName>
    <definedName name="_xlnm.Print_Area" localSheetId="4">'Sch M-1.3-pg2-13'!$A$1:$I$406</definedName>
    <definedName name="_xlnm.Print_Area" localSheetId="10">Summary!$A$1:$F$36</definedName>
    <definedName name="_xlnm.Print_Area" localSheetId="7">'Yr End Cust Adj'!$A$73:$K$308</definedName>
    <definedName name="_xlnm.Print_Titles" localSheetId="6">'Conroy Exhibit P2'!$A:$A,'Conroy Exhibit P2'!$1:$3</definedName>
    <definedName name="_xlnm.Print_Titles" localSheetId="11">Group1!$B:$B,Group1!$1:$3</definedName>
    <definedName name="_xlnm.Print_Titles" localSheetId="12">Group2!$B:$B,Group2!$1:$3</definedName>
    <definedName name="_xlnm.Print_Titles" localSheetId="3">'Sch M-1.3-pg 1'!$A:$A,'Sch M-1.3-pg 1'!$1:$8</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hidden="1">{"Wkp ComEquity",#N/A,FALSE,"Cap Struct WPs"}</definedName>
    <definedName name="wrn.Wkp._.JDITC." hidden="1">{"Wkp JDITC",#N/A,FALSE,"Cap Struct WPs"}</definedName>
    <definedName name="wrn.Wkp._.LTerm._.Debt." hidden="1">{"Wkp LTerm Debt",#N/A,FALSE,"Cap Struct WPs"}</definedName>
    <definedName name="wrn.Wkp._.LTerm._.Debt._.13Mo._.Avg." hidden="1">{"Wkp LTerm Debt 13MoAvg",#N/A,FALSE,"Cap Struct WPs"}</definedName>
    <definedName name="wrn.Wkp._.LTerm._.Debt._.Amort." hidden="1">{"Wkp Lterm Debt Amort",#N/A,FALSE,"Cap Struct WPs"}</definedName>
    <definedName name="wrn.Wkp._.LTerm._.Debt._.Int." hidden="1">{"Wkp LTerm Debt Int",#N/A,FALSE,"Cap Struct WPs"}</definedName>
    <definedName name="wrn.Wkp._.PreStock." hidden="1">{"Wkp PreStock",#N/A,FALSE,"Cap Struct WPs"}</definedName>
    <definedName name="wrn.Wkp._.PreStock._.13MoAvg." hidden="1">{"Wkp PreStock 13MoAvg",#N/A,FALSE,"Cap Struct WPs"}</definedName>
    <definedName name="wrn.Wkp._.PreStock._.Amort." hidden="1">{"Wkp PreStock Amort",#N/A,FALSE,"Cap Struct WPs"}</definedName>
    <definedName name="wrn.Wkp._.PreStock._.Dividend." hidden="1">{"Wkp PreStock Dividend",#N/A,FALSE,"Cap Struct WPs"}</definedName>
    <definedName name="wrn.Wkp._.STerm._.Debt." hidden="1">{"Wkp STerm Debt",#N/A,FALSE,"Cap Struct WPs"}</definedName>
    <definedName name="wrn.Wkp._.Unamort._.Debt._.Exp." hidden="1">{"Wkp Unamort Debt Exp",#N/A,FALSE,"Cap Struct WPs"}</definedName>
    <definedName name="wrn.Wkp._.Unamort._.PreStock._.Exp." hidden="1">{"Wkp Unamort PreStock Exp",#N/A,FALSE,"Cap Struct WPs"}</definedName>
  </definedNames>
  <calcPr calcId="145621"/>
</workbook>
</file>

<file path=xl/calcChain.xml><?xml version="1.0" encoding="utf-8"?>
<calcChain xmlns="http://schemas.openxmlformats.org/spreadsheetml/2006/main">
  <c r="D124" i="19" l="1"/>
  <c r="D15" i="56" l="1"/>
  <c r="E15" i="56"/>
  <c r="E13" i="56"/>
  <c r="D13" i="56"/>
  <c r="G184" i="27" l="1"/>
  <c r="G179" i="27"/>
  <c r="G104" i="27"/>
  <c r="T1074" i="29"/>
  <c r="S1075" i="29"/>
  <c r="S1074" i="29"/>
  <c r="S1073" i="29"/>
  <c r="G177" i="27"/>
  <c r="G102" i="27"/>
  <c r="Q1082" i="29"/>
  <c r="Q1081" i="29"/>
  <c r="Q1080" i="29"/>
  <c r="Q1079" i="29"/>
  <c r="Q1078" i="29"/>
  <c r="R1074" i="29"/>
  <c r="Q1076" i="29"/>
  <c r="Q1075" i="29"/>
  <c r="Q1074" i="29"/>
  <c r="Q1073" i="29"/>
  <c r="G168" i="27"/>
  <c r="G93" i="27"/>
  <c r="H400" i="19"/>
  <c r="H395" i="19"/>
  <c r="H274" i="19"/>
  <c r="D30" i="18"/>
  <c r="H269" i="19"/>
  <c r="H234" i="19"/>
  <c r="H198" i="19"/>
  <c r="H148" i="27"/>
  <c r="A148" i="27"/>
  <c r="A147" i="27"/>
  <c r="H146" i="27"/>
  <c r="A146" i="27"/>
  <c r="H111" i="27"/>
  <c r="A111" i="27"/>
  <c r="A110" i="27"/>
  <c r="H109" i="27"/>
  <c r="A109" i="27"/>
  <c r="H67" i="27"/>
  <c r="A67" i="27"/>
  <c r="A66" i="27"/>
  <c r="H65" i="27"/>
  <c r="A65" i="27"/>
  <c r="H34" i="27"/>
  <c r="A34" i="27"/>
  <c r="A33" i="27"/>
  <c r="H32" i="27"/>
  <c r="A32" i="27"/>
  <c r="H4" i="27"/>
  <c r="A4" i="27"/>
  <c r="A3" i="27"/>
  <c r="H2" i="27"/>
  <c r="A2" i="27"/>
  <c r="I382" i="19"/>
  <c r="A382" i="19"/>
  <c r="A381" i="19"/>
  <c r="I380" i="19"/>
  <c r="A380" i="19"/>
  <c r="I354" i="19"/>
  <c r="A354" i="19"/>
  <c r="A353" i="19"/>
  <c r="I352" i="19"/>
  <c r="A352" i="19"/>
  <c r="I319" i="19"/>
  <c r="A319" i="19"/>
  <c r="A318" i="19"/>
  <c r="I317" i="19"/>
  <c r="A317" i="19"/>
  <c r="I284" i="19"/>
  <c r="A284" i="19"/>
  <c r="A283" i="19"/>
  <c r="I282" i="19"/>
  <c r="A282" i="19"/>
  <c r="I249" i="19"/>
  <c r="A249" i="19"/>
  <c r="A248" i="19"/>
  <c r="I247" i="19"/>
  <c r="A247" i="19"/>
  <c r="I213" i="19"/>
  <c r="A213" i="19"/>
  <c r="A212" i="19"/>
  <c r="I211" i="19"/>
  <c r="A211" i="19"/>
  <c r="I176" i="19"/>
  <c r="A176" i="19"/>
  <c r="A175" i="19"/>
  <c r="I174" i="19"/>
  <c r="A174" i="19"/>
  <c r="I139" i="19"/>
  <c r="I141" i="19"/>
  <c r="A141" i="19"/>
  <c r="A140" i="19"/>
  <c r="A139" i="19"/>
  <c r="I106" i="19"/>
  <c r="A106" i="19"/>
  <c r="A105" i="19"/>
  <c r="I104" i="19"/>
  <c r="A104" i="19"/>
  <c r="H56" i="19"/>
  <c r="G55" i="19"/>
  <c r="H54" i="19"/>
  <c r="G53" i="19"/>
  <c r="I74" i="19"/>
  <c r="A74" i="19"/>
  <c r="A73" i="19"/>
  <c r="I72" i="19"/>
  <c r="A72" i="19"/>
  <c r="A41" i="19"/>
  <c r="A40" i="19"/>
  <c r="A39" i="19"/>
  <c r="M40" i="19"/>
  <c r="M73" i="19" s="1"/>
  <c r="M105" i="19" s="1"/>
  <c r="M140" i="19" s="1"/>
  <c r="M175" i="19" s="1"/>
  <c r="M212" i="19" s="1"/>
  <c r="M248" i="19" s="1"/>
  <c r="M283" i="19" s="1"/>
  <c r="M318" i="19" s="1"/>
  <c r="M353" i="19" s="1"/>
  <c r="M381" i="19" s="1"/>
  <c r="M3" i="27" s="1"/>
  <c r="M33" i="27" s="1"/>
  <c r="M66" i="27" s="1"/>
  <c r="M110" i="27" s="1"/>
  <c r="M147" i="27" s="1"/>
  <c r="N147" i="27" s="1"/>
  <c r="I41" i="19"/>
  <c r="I39" i="19"/>
  <c r="I3" i="19"/>
  <c r="A3" i="19"/>
  <c r="A2" i="19"/>
  <c r="A1" i="19"/>
  <c r="I1" i="19"/>
  <c r="C32" i="18"/>
  <c r="D32" i="18"/>
  <c r="E32" i="18"/>
  <c r="F32" i="18"/>
  <c r="G32" i="18"/>
  <c r="H32" i="18"/>
  <c r="I32" i="18"/>
  <c r="G52" i="18"/>
  <c r="E52" i="18"/>
  <c r="S1078" i="29" l="1"/>
  <c r="S1080" i="29" s="1"/>
  <c r="S1079" i="29"/>
  <c r="S1081" i="29" s="1"/>
  <c r="S1076" i="29"/>
  <c r="J32" i="18"/>
  <c r="L32" i="18"/>
  <c r="M32" i="18" s="1"/>
  <c r="E35" i="56"/>
  <c r="G1071" i="29"/>
  <c r="G1592" i="23"/>
  <c r="G1451" i="23"/>
  <c r="G1309" i="23"/>
  <c r="G1415" i="23" s="1"/>
  <c r="G1167" i="23"/>
  <c r="G174" i="23"/>
  <c r="G30" i="23"/>
  <c r="G1590" i="23"/>
  <c r="G1449" i="23"/>
  <c r="G1307" i="23"/>
  <c r="R1307" i="23" s="1"/>
  <c r="G1165" i="23"/>
  <c r="G172" i="23"/>
  <c r="G28" i="23"/>
  <c r="M1451" i="23"/>
  <c r="M1556" i="23" s="1"/>
  <c r="M1449" i="23"/>
  <c r="M1309" i="23"/>
  <c r="M1307" i="23"/>
  <c r="M1167" i="23"/>
  <c r="M1165" i="23"/>
  <c r="M174" i="23"/>
  <c r="M172" i="23"/>
  <c r="M30" i="23"/>
  <c r="M1590" i="23"/>
  <c r="M1592" i="23"/>
  <c r="N1592" i="23"/>
  <c r="N1698" i="23" s="1"/>
  <c r="N1590" i="23"/>
  <c r="N1451" i="23"/>
  <c r="N1449" i="23"/>
  <c r="N1309" i="23"/>
  <c r="N1307" i="23"/>
  <c r="N1167" i="23"/>
  <c r="N1165" i="23"/>
  <c r="N1273" i="23" s="1"/>
  <c r="N174" i="23"/>
  <c r="N172" i="23"/>
  <c r="N30" i="23"/>
  <c r="N28" i="23"/>
  <c r="M28" i="23"/>
  <c r="F1592" i="23"/>
  <c r="N1556" i="23"/>
  <c r="F1451" i="23"/>
  <c r="F1309" i="23"/>
  <c r="F1167" i="23"/>
  <c r="S1082" i="29" l="1"/>
  <c r="G1698" i="23"/>
  <c r="G1556" i="23"/>
  <c r="R1309" i="23"/>
  <c r="G1273" i="23"/>
  <c r="R1590" i="23"/>
  <c r="R1449" i="23"/>
  <c r="R1451" i="23"/>
  <c r="R1556" i="23"/>
  <c r="M1415" i="23"/>
  <c r="M1273" i="23"/>
  <c r="R1273" i="23"/>
  <c r="M1698" i="23"/>
  <c r="R1592" i="23"/>
  <c r="R1698" i="23"/>
  <c r="N1415" i="23"/>
  <c r="R1415" i="23"/>
  <c r="R1167" i="23"/>
  <c r="R1165" i="23"/>
  <c r="G281" i="23" l="1"/>
  <c r="F174" i="23"/>
  <c r="R174" i="23"/>
  <c r="R172" i="23"/>
  <c r="R30" i="23"/>
  <c r="N281" i="23"/>
  <c r="M281" i="23"/>
  <c r="G136" i="23"/>
  <c r="R28" i="23"/>
  <c r="F30" i="23"/>
  <c r="N136" i="23"/>
  <c r="M136" i="23"/>
  <c r="R136" i="23" l="1"/>
  <c r="R281" i="23"/>
  <c r="S1590" i="23"/>
  <c r="S1449" i="23"/>
  <c r="S1307" i="23"/>
  <c r="S1165" i="23"/>
  <c r="S172" i="23"/>
  <c r="S29" i="23"/>
  <c r="S28" i="23"/>
  <c r="E1698" i="23" l="1"/>
  <c r="E1556" i="23"/>
  <c r="E1415" i="23"/>
  <c r="E1273" i="23"/>
  <c r="E281" i="23"/>
  <c r="E136" i="23"/>
  <c r="S1633" i="23"/>
  <c r="T1633" i="23"/>
  <c r="U1633" i="23"/>
  <c r="W1633" i="23"/>
  <c r="X1633" i="23" s="1"/>
  <c r="Z1633" i="23"/>
  <c r="S1634" i="23"/>
  <c r="T1634" i="23"/>
  <c r="U1634" i="23"/>
  <c r="W1634" i="23"/>
  <c r="X1634" i="23" s="1"/>
  <c r="Z1634" i="23"/>
  <c r="S1635" i="23"/>
  <c r="T1635" i="23"/>
  <c r="U1635" i="23"/>
  <c r="W1635" i="23"/>
  <c r="X1635" i="23" s="1"/>
  <c r="Z1635" i="23"/>
  <c r="S1636" i="23"/>
  <c r="T1636" i="23"/>
  <c r="U1636" i="23"/>
  <c r="W1636" i="23"/>
  <c r="X1636" i="23" s="1"/>
  <c r="Z1636" i="23"/>
  <c r="S1637" i="23"/>
  <c r="T1637" i="23"/>
  <c r="U1637" i="23"/>
  <c r="W1637" i="23"/>
  <c r="X1637" i="23" s="1"/>
  <c r="Z1637" i="23"/>
  <c r="S1638" i="23"/>
  <c r="T1638" i="23"/>
  <c r="U1638" i="23"/>
  <c r="W1638" i="23"/>
  <c r="X1638" i="23" s="1"/>
  <c r="Z1638" i="23"/>
  <c r="S1639" i="23"/>
  <c r="T1639" i="23"/>
  <c r="U1639" i="23"/>
  <c r="W1639" i="23"/>
  <c r="X1639" i="23" s="1"/>
  <c r="Z1639" i="23"/>
  <c r="S1640" i="23"/>
  <c r="T1640" i="23"/>
  <c r="U1640" i="23"/>
  <c r="W1640" i="23"/>
  <c r="X1640" i="23" s="1"/>
  <c r="Z1640" i="23"/>
  <c r="S1641" i="23"/>
  <c r="T1641" i="23"/>
  <c r="U1641" i="23"/>
  <c r="W1641" i="23"/>
  <c r="X1641" i="23" s="1"/>
  <c r="Z1641" i="23"/>
  <c r="S1642" i="23"/>
  <c r="T1642" i="23"/>
  <c r="U1642" i="23"/>
  <c r="W1642" i="23"/>
  <c r="X1642" i="23" s="1"/>
  <c r="Z1642" i="23"/>
  <c r="S1643" i="23"/>
  <c r="T1643" i="23"/>
  <c r="U1643" i="23"/>
  <c r="W1643" i="23"/>
  <c r="X1643" i="23" s="1"/>
  <c r="Z1643" i="23"/>
  <c r="S1644" i="23"/>
  <c r="T1644" i="23"/>
  <c r="U1644" i="23"/>
  <c r="W1644" i="23"/>
  <c r="X1644" i="23" s="1"/>
  <c r="Z1644" i="23"/>
  <c r="S1645" i="23"/>
  <c r="T1645" i="23"/>
  <c r="U1645" i="23"/>
  <c r="W1645" i="23"/>
  <c r="X1645" i="23" s="1"/>
  <c r="Z1645" i="23"/>
  <c r="S1646" i="23"/>
  <c r="T1646" i="23"/>
  <c r="U1646" i="23"/>
  <c r="W1646" i="23"/>
  <c r="X1646" i="23" s="1"/>
  <c r="Z1646" i="23"/>
  <c r="S1647" i="23"/>
  <c r="T1647" i="23"/>
  <c r="U1647" i="23"/>
  <c r="W1647" i="23"/>
  <c r="X1647" i="23" s="1"/>
  <c r="Z1647" i="23"/>
  <c r="S1648" i="23"/>
  <c r="T1648" i="23"/>
  <c r="U1648" i="23"/>
  <c r="W1648" i="23"/>
  <c r="X1648" i="23" s="1"/>
  <c r="Z1648" i="23"/>
  <c r="S1649" i="23"/>
  <c r="T1649" i="23"/>
  <c r="U1649" i="23"/>
  <c r="W1649" i="23"/>
  <c r="X1649" i="23" s="1"/>
  <c r="Z1649" i="23"/>
  <c r="S1650" i="23"/>
  <c r="T1650" i="23"/>
  <c r="U1650" i="23"/>
  <c r="W1650" i="23"/>
  <c r="X1650" i="23" s="1"/>
  <c r="Z1650" i="23"/>
  <c r="S1651" i="23"/>
  <c r="T1651" i="23"/>
  <c r="U1651" i="23"/>
  <c r="W1651" i="23"/>
  <c r="X1651" i="23" s="1"/>
  <c r="Z1651" i="23"/>
  <c r="S1652" i="23"/>
  <c r="T1652" i="23"/>
  <c r="U1652" i="23"/>
  <c r="W1652" i="23"/>
  <c r="X1652" i="23" s="1"/>
  <c r="Z1652" i="23"/>
  <c r="S1653" i="23"/>
  <c r="T1653" i="23"/>
  <c r="U1653" i="23"/>
  <c r="W1653" i="23"/>
  <c r="X1653" i="23" s="1"/>
  <c r="Z1653" i="23"/>
  <c r="S1654" i="23"/>
  <c r="T1654" i="23"/>
  <c r="U1654" i="23"/>
  <c r="W1654" i="23"/>
  <c r="X1654" i="23" s="1"/>
  <c r="Z1654" i="23"/>
  <c r="S1655" i="23"/>
  <c r="T1655" i="23"/>
  <c r="U1655" i="23"/>
  <c r="W1655" i="23"/>
  <c r="X1655" i="23" s="1"/>
  <c r="Z1655" i="23"/>
  <c r="S1656" i="23"/>
  <c r="T1656" i="23"/>
  <c r="U1656" i="23"/>
  <c r="W1656" i="23"/>
  <c r="X1656" i="23" s="1"/>
  <c r="Z1656" i="23"/>
  <c r="S1657" i="23"/>
  <c r="T1657" i="23"/>
  <c r="U1657" i="23"/>
  <c r="W1657" i="23"/>
  <c r="X1657" i="23" s="1"/>
  <c r="Z1657" i="23"/>
  <c r="S1658" i="23"/>
  <c r="T1658" i="23"/>
  <c r="U1658" i="23"/>
  <c r="W1658" i="23"/>
  <c r="X1658" i="23" s="1"/>
  <c r="Z1658" i="23"/>
  <c r="S1659" i="23"/>
  <c r="T1659" i="23"/>
  <c r="U1659" i="23"/>
  <c r="W1659" i="23"/>
  <c r="X1659" i="23" s="1"/>
  <c r="Z1659" i="23"/>
  <c r="S1660" i="23"/>
  <c r="T1660" i="23"/>
  <c r="U1660" i="23"/>
  <c r="W1660" i="23"/>
  <c r="X1660" i="23" s="1"/>
  <c r="Z1660" i="23"/>
  <c r="S1661" i="23"/>
  <c r="T1661" i="23"/>
  <c r="U1661" i="23"/>
  <c r="W1661" i="23"/>
  <c r="X1661" i="23" s="1"/>
  <c r="Z1661" i="23"/>
  <c r="S1662" i="23"/>
  <c r="T1662" i="23"/>
  <c r="U1662" i="23"/>
  <c r="W1662" i="23"/>
  <c r="X1662" i="23" s="1"/>
  <c r="Z1662" i="23"/>
  <c r="S1663" i="23"/>
  <c r="T1663" i="23"/>
  <c r="U1663" i="23"/>
  <c r="W1663" i="23"/>
  <c r="X1663" i="23" s="1"/>
  <c r="Z1663" i="23"/>
  <c r="S1664" i="23"/>
  <c r="T1664" i="23"/>
  <c r="U1664" i="23"/>
  <c r="W1664" i="23"/>
  <c r="X1664" i="23" s="1"/>
  <c r="Z1664" i="23"/>
  <c r="S1665" i="23"/>
  <c r="T1665" i="23"/>
  <c r="U1665" i="23"/>
  <c r="W1665" i="23"/>
  <c r="X1665" i="23" s="1"/>
  <c r="Z1665" i="23"/>
  <c r="S1666" i="23"/>
  <c r="T1666" i="23"/>
  <c r="U1666" i="23"/>
  <c r="W1666" i="23"/>
  <c r="X1666" i="23" s="1"/>
  <c r="Z1666" i="23"/>
  <c r="S1667" i="23"/>
  <c r="T1667" i="23"/>
  <c r="U1667" i="23"/>
  <c r="W1667" i="23"/>
  <c r="X1667" i="23" s="1"/>
  <c r="Z1667" i="23"/>
  <c r="S1668" i="23"/>
  <c r="T1668" i="23"/>
  <c r="U1668" i="23"/>
  <c r="W1668" i="23"/>
  <c r="X1668" i="23" s="1"/>
  <c r="Z1668" i="23"/>
  <c r="S1669" i="23"/>
  <c r="T1669" i="23"/>
  <c r="U1669" i="23"/>
  <c r="W1669" i="23"/>
  <c r="X1669" i="23" s="1"/>
  <c r="Z1669" i="23"/>
  <c r="S1670" i="23"/>
  <c r="T1670" i="23"/>
  <c r="U1670" i="23"/>
  <c r="W1670" i="23"/>
  <c r="X1670" i="23" s="1"/>
  <c r="Z1670" i="23"/>
  <c r="S1671" i="23"/>
  <c r="T1671" i="23"/>
  <c r="U1671" i="23"/>
  <c r="W1671" i="23"/>
  <c r="X1671" i="23" s="1"/>
  <c r="Z1671" i="23"/>
  <c r="S1672" i="23"/>
  <c r="T1672" i="23"/>
  <c r="U1672" i="23"/>
  <c r="W1672" i="23"/>
  <c r="X1672" i="23" s="1"/>
  <c r="Z1672" i="23"/>
  <c r="S1673" i="23"/>
  <c r="T1673" i="23"/>
  <c r="U1673" i="23"/>
  <c r="W1673" i="23"/>
  <c r="X1673" i="23" s="1"/>
  <c r="Z1673" i="23"/>
  <c r="S1674" i="23"/>
  <c r="T1674" i="23"/>
  <c r="U1674" i="23"/>
  <c r="W1674" i="23"/>
  <c r="X1674" i="23" s="1"/>
  <c r="Z1674" i="23"/>
  <c r="S1675" i="23"/>
  <c r="T1675" i="23"/>
  <c r="U1675" i="23"/>
  <c r="W1675" i="23"/>
  <c r="X1675" i="23" s="1"/>
  <c r="Z1675" i="23"/>
  <c r="S1676" i="23"/>
  <c r="T1676" i="23"/>
  <c r="U1676" i="23"/>
  <c r="W1676" i="23"/>
  <c r="X1676" i="23" s="1"/>
  <c r="Z1676" i="23"/>
  <c r="S1677" i="23"/>
  <c r="T1677" i="23"/>
  <c r="U1677" i="23"/>
  <c r="W1677" i="23"/>
  <c r="X1677" i="23" s="1"/>
  <c r="Z1677" i="23"/>
  <c r="S1678" i="23"/>
  <c r="T1678" i="23"/>
  <c r="U1678" i="23"/>
  <c r="W1678" i="23"/>
  <c r="X1678" i="23" s="1"/>
  <c r="Z1678" i="23"/>
  <c r="S1679" i="23"/>
  <c r="T1679" i="23"/>
  <c r="U1679" i="23"/>
  <c r="W1679" i="23"/>
  <c r="X1679" i="23" s="1"/>
  <c r="Z1679" i="23"/>
  <c r="S1680" i="23"/>
  <c r="T1680" i="23"/>
  <c r="U1680" i="23"/>
  <c r="W1680" i="23"/>
  <c r="X1680" i="23" s="1"/>
  <c r="Z1680" i="23"/>
  <c r="S1681" i="23"/>
  <c r="T1681" i="23"/>
  <c r="U1681" i="23"/>
  <c r="W1681" i="23"/>
  <c r="X1681" i="23" s="1"/>
  <c r="Z1681" i="23"/>
  <c r="S1682" i="23"/>
  <c r="T1682" i="23"/>
  <c r="U1682" i="23"/>
  <c r="W1682" i="23"/>
  <c r="X1682" i="23" s="1"/>
  <c r="Z1682" i="23"/>
  <c r="S1683" i="23"/>
  <c r="T1683" i="23"/>
  <c r="U1683" i="23"/>
  <c r="W1683" i="23"/>
  <c r="X1683" i="23" s="1"/>
  <c r="Z1683" i="23"/>
  <c r="S1684" i="23"/>
  <c r="T1684" i="23"/>
  <c r="U1684" i="23"/>
  <c r="W1684" i="23"/>
  <c r="X1684" i="23" s="1"/>
  <c r="Z1684" i="23"/>
  <c r="S1685" i="23"/>
  <c r="T1685" i="23"/>
  <c r="U1685" i="23"/>
  <c r="W1685" i="23"/>
  <c r="X1685" i="23" s="1"/>
  <c r="Z1685" i="23"/>
  <c r="S1686" i="23"/>
  <c r="T1686" i="23"/>
  <c r="U1686" i="23"/>
  <c r="W1686" i="23"/>
  <c r="X1686" i="23" s="1"/>
  <c r="Z1686" i="23"/>
  <c r="S1687" i="23"/>
  <c r="T1687" i="23"/>
  <c r="U1687" i="23"/>
  <c r="W1687" i="23"/>
  <c r="X1687" i="23" s="1"/>
  <c r="Z1687" i="23"/>
  <c r="S1688" i="23"/>
  <c r="T1688" i="23"/>
  <c r="U1688" i="23"/>
  <c r="W1688" i="23"/>
  <c r="X1688" i="23" s="1"/>
  <c r="Z1688" i="23"/>
  <c r="S1689" i="23"/>
  <c r="T1689" i="23"/>
  <c r="U1689" i="23"/>
  <c r="W1689" i="23"/>
  <c r="X1689" i="23" s="1"/>
  <c r="Z1689" i="23"/>
  <c r="S1690" i="23"/>
  <c r="T1690" i="23"/>
  <c r="U1690" i="23"/>
  <c r="W1690" i="23"/>
  <c r="X1690" i="23" s="1"/>
  <c r="Z1690" i="23"/>
  <c r="S1691" i="23"/>
  <c r="T1691" i="23"/>
  <c r="U1691" i="23"/>
  <c r="W1691" i="23"/>
  <c r="X1691" i="23" s="1"/>
  <c r="Z1691" i="23"/>
  <c r="S1692" i="23"/>
  <c r="T1692" i="23"/>
  <c r="U1692" i="23"/>
  <c r="W1692" i="23"/>
  <c r="X1692" i="23" s="1"/>
  <c r="Z1692" i="23"/>
  <c r="S1693" i="23"/>
  <c r="T1693" i="23"/>
  <c r="U1693" i="23"/>
  <c r="W1693" i="23"/>
  <c r="X1693" i="23" s="1"/>
  <c r="Z1693" i="23"/>
  <c r="S1694" i="23"/>
  <c r="T1694" i="23"/>
  <c r="U1694" i="23"/>
  <c r="W1694" i="23"/>
  <c r="X1694" i="23" s="1"/>
  <c r="Z1694" i="23"/>
  <c r="S1695" i="23"/>
  <c r="T1695" i="23"/>
  <c r="U1695" i="23"/>
  <c r="W1695" i="23"/>
  <c r="X1695" i="23" s="1"/>
  <c r="Z1695" i="23"/>
  <c r="S1696" i="23"/>
  <c r="T1696" i="23"/>
  <c r="U1696" i="23"/>
  <c r="W1696" i="23"/>
  <c r="X1696" i="23" s="1"/>
  <c r="Z1696" i="23"/>
  <c r="S1697" i="23"/>
  <c r="T1697" i="23"/>
  <c r="U1697" i="23"/>
  <c r="W1697" i="23"/>
  <c r="X1697" i="23" s="1"/>
  <c r="Z1697" i="23"/>
  <c r="S1698" i="23"/>
  <c r="T1698" i="23"/>
  <c r="U1698" i="23"/>
  <c r="W1698" i="23"/>
  <c r="X1698" i="23" s="1"/>
  <c r="Z1698" i="23"/>
  <c r="Z1706" i="23"/>
  <c r="Z1705" i="23"/>
  <c r="Z1704" i="23"/>
  <c r="Z1703" i="23"/>
  <c r="Z1702" i="23"/>
  <c r="Z1701" i="23"/>
  <c r="Z1700" i="23"/>
  <c r="Z1699" i="23"/>
  <c r="Z1632" i="23"/>
  <c r="Z1631" i="23"/>
  <c r="Z1630" i="23"/>
  <c r="Z1629" i="23"/>
  <c r="Z1628" i="23"/>
  <c r="Z1627" i="23"/>
  <c r="Z1626" i="23"/>
  <c r="Z1625" i="23"/>
  <c r="Z1624" i="23"/>
  <c r="Z1623" i="23"/>
  <c r="Z1622" i="23"/>
  <c r="Z1621" i="23"/>
  <c r="Z1620" i="23"/>
  <c r="Z1619" i="23"/>
  <c r="Z1618" i="23"/>
  <c r="Z1617" i="23"/>
  <c r="Z1616" i="23"/>
  <c r="Z1615" i="23"/>
  <c r="Z1614" i="23"/>
  <c r="Z1613" i="23"/>
  <c r="Z1612" i="23"/>
  <c r="Z1611" i="23"/>
  <c r="Z1610" i="23"/>
  <c r="Z1609" i="23"/>
  <c r="Z1608" i="23"/>
  <c r="Z1607" i="23"/>
  <c r="Z1606" i="23"/>
  <c r="Z1605" i="23"/>
  <c r="Z1604" i="23"/>
  <c r="Z1603" i="23"/>
  <c r="Z1602" i="23"/>
  <c r="Z1601" i="23"/>
  <c r="Z1600" i="23"/>
  <c r="Z1599" i="23"/>
  <c r="Z1598" i="23"/>
  <c r="Z1597" i="23"/>
  <c r="Z1596" i="23"/>
  <c r="Z1595" i="23"/>
  <c r="Z1594" i="23"/>
  <c r="Z1593" i="23"/>
  <c r="Z1592" i="23"/>
  <c r="Z1591" i="23"/>
  <c r="Z1590" i="23"/>
  <c r="Z1589" i="23"/>
  <c r="Z1588" i="23"/>
  <c r="Z1587" i="23"/>
  <c r="Z1586" i="23"/>
  <c r="Z1585" i="23"/>
  <c r="Z1584" i="23"/>
  <c r="Z1583" i="23"/>
  <c r="Z1582" i="23"/>
  <c r="Z1581" i="23"/>
  <c r="Z1580" i="23"/>
  <c r="Z1579" i="23"/>
  <c r="Z1578" i="23"/>
  <c r="Z1577" i="23"/>
  <c r="Z1576" i="23"/>
  <c r="Z1575" i="23"/>
  <c r="Z1574" i="23"/>
  <c r="Z1573" i="23"/>
  <c r="Z1572" i="23"/>
  <c r="Z1571" i="23"/>
  <c r="Z1570" i="23"/>
  <c r="Z1569" i="23"/>
  <c r="Z1568" i="23"/>
  <c r="Z1567" i="23"/>
  <c r="Z1566" i="23"/>
  <c r="Z1565" i="23"/>
  <c r="Z1564" i="23"/>
  <c r="Z1563" i="23"/>
  <c r="Z1562" i="23"/>
  <c r="Z1561" i="23"/>
  <c r="Z1560" i="23"/>
  <c r="Z1559" i="23"/>
  <c r="Z1558" i="23"/>
  <c r="Z1557" i="23"/>
  <c r="Z1556" i="23"/>
  <c r="Z1555" i="23"/>
  <c r="Z1554" i="23"/>
  <c r="Z1553" i="23"/>
  <c r="Z1552" i="23"/>
  <c r="Z1551" i="23"/>
  <c r="Z1550" i="23"/>
  <c r="Z1549" i="23"/>
  <c r="Z1548" i="23"/>
  <c r="Z1547" i="23"/>
  <c r="Z1546" i="23"/>
  <c r="Z1545" i="23"/>
  <c r="Z1544" i="23"/>
  <c r="Z1543" i="23"/>
  <c r="Z1542" i="23"/>
  <c r="Z1541" i="23"/>
  <c r="Z1540" i="23"/>
  <c r="Z1539" i="23"/>
  <c r="Z1538" i="23"/>
  <c r="Z1537" i="23"/>
  <c r="Z1536" i="23"/>
  <c r="Z1535" i="23"/>
  <c r="Z1534" i="23"/>
  <c r="Z1533" i="23"/>
  <c r="Z1532" i="23"/>
  <c r="Z1531" i="23"/>
  <c r="Z1530" i="23"/>
  <c r="Z1529" i="23"/>
  <c r="Z1528" i="23"/>
  <c r="Z1527" i="23"/>
  <c r="Z1526" i="23"/>
  <c r="Z1525" i="23"/>
  <c r="Z1524" i="23"/>
  <c r="Z1523" i="23"/>
  <c r="Z1522" i="23"/>
  <c r="Z1521" i="23"/>
  <c r="Z1520" i="23"/>
  <c r="Z1519" i="23"/>
  <c r="Z1518" i="23"/>
  <c r="Z1517" i="23"/>
  <c r="Z1516" i="23"/>
  <c r="Z1515" i="23"/>
  <c r="Z1514" i="23"/>
  <c r="Z1513" i="23"/>
  <c r="Z1512" i="23"/>
  <c r="Z1511" i="23"/>
  <c r="Z1510" i="23"/>
  <c r="Z1509" i="23"/>
  <c r="Z1508" i="23"/>
  <c r="Z1507" i="23"/>
  <c r="Z1506" i="23"/>
  <c r="Z1505" i="23"/>
  <c r="Z1504" i="23"/>
  <c r="Z1503" i="23"/>
  <c r="Z1502" i="23"/>
  <c r="Z1501" i="23"/>
  <c r="Z1500" i="23"/>
  <c r="Z1499" i="23"/>
  <c r="Z1498" i="23"/>
  <c r="Z1497" i="23"/>
  <c r="Z1496" i="23"/>
  <c r="Z1495" i="23"/>
  <c r="Z1494" i="23"/>
  <c r="Z1493" i="23"/>
  <c r="Z1492" i="23"/>
  <c r="Z1491" i="23"/>
  <c r="Z1490" i="23"/>
  <c r="Z1489" i="23"/>
  <c r="Z1488" i="23"/>
  <c r="Z1487" i="23"/>
  <c r="Z1486" i="23"/>
  <c r="Z1485" i="23"/>
  <c r="Z1484" i="23"/>
  <c r="Z1483" i="23"/>
  <c r="Z1482" i="23"/>
  <c r="Z1481" i="23"/>
  <c r="Z1480" i="23"/>
  <c r="Z1479" i="23"/>
  <c r="Z1478" i="23"/>
  <c r="Z1477" i="23"/>
  <c r="Z1476" i="23"/>
  <c r="Z1475" i="23"/>
  <c r="Z1474" i="23"/>
  <c r="Z1473" i="23"/>
  <c r="Z1472" i="23"/>
  <c r="Z1471" i="23"/>
  <c r="Z1470" i="23"/>
  <c r="Z1469" i="23"/>
  <c r="Z1468" i="23"/>
  <c r="Z1467" i="23"/>
  <c r="Z1466" i="23"/>
  <c r="Z1465" i="23"/>
  <c r="Z1464" i="23"/>
  <c r="Z1463" i="23"/>
  <c r="Z1462" i="23"/>
  <c r="Z1461" i="23"/>
  <c r="Z1460" i="23"/>
  <c r="Z1459" i="23"/>
  <c r="Z1458" i="23"/>
  <c r="Z1457" i="23"/>
  <c r="Z1456" i="23"/>
  <c r="Z1455" i="23"/>
  <c r="Z1454" i="23"/>
  <c r="Z1453" i="23"/>
  <c r="Z1452" i="23"/>
  <c r="Z1451" i="23"/>
  <c r="Z1450" i="23"/>
  <c r="Z1449" i="23"/>
  <c r="Z1448" i="23"/>
  <c r="Z1447" i="23"/>
  <c r="Z1446" i="23"/>
  <c r="Z1445" i="23"/>
  <c r="Z1444" i="23"/>
  <c r="Z1443" i="23"/>
  <c r="Z1442" i="23"/>
  <c r="Z1441" i="23"/>
  <c r="Z1440" i="23"/>
  <c r="Z1439" i="23"/>
  <c r="Z1438" i="23"/>
  <c r="Z1437" i="23"/>
  <c r="Z1436" i="23"/>
  <c r="Z1435" i="23"/>
  <c r="Z1434" i="23"/>
  <c r="Z1433" i="23"/>
  <c r="Z1432" i="23"/>
  <c r="Z1431" i="23"/>
  <c r="Z1430" i="23"/>
  <c r="Z1429" i="23"/>
  <c r="Z1428" i="23"/>
  <c r="Z1427" i="23"/>
  <c r="Z1426" i="23"/>
  <c r="Z1425" i="23"/>
  <c r="Z1424" i="23"/>
  <c r="Z1423" i="23"/>
  <c r="Z1422" i="23"/>
  <c r="Z1421" i="23"/>
  <c r="Z1420" i="23"/>
  <c r="Z1419" i="23"/>
  <c r="Z1418" i="23"/>
  <c r="Z1417" i="23"/>
  <c r="Z1416" i="23"/>
  <c r="Z1415" i="23"/>
  <c r="Z1414" i="23"/>
  <c r="Z1413" i="23"/>
  <c r="Z1412" i="23"/>
  <c r="Z1411" i="23"/>
  <c r="Z1410" i="23"/>
  <c r="Z1409" i="23"/>
  <c r="Z1408" i="23"/>
  <c r="Z1407" i="23"/>
  <c r="Z1406" i="23"/>
  <c r="Z1405" i="23"/>
  <c r="Z1404" i="23"/>
  <c r="Z1403" i="23"/>
  <c r="Z1402" i="23"/>
  <c r="Z1401" i="23"/>
  <c r="Z1400" i="23"/>
  <c r="Z1399" i="23"/>
  <c r="Z1398" i="23"/>
  <c r="Z1397" i="23"/>
  <c r="Z1396" i="23"/>
  <c r="Z1395" i="23"/>
  <c r="Z1394" i="23"/>
  <c r="Z1393" i="23"/>
  <c r="Z1392" i="23"/>
  <c r="Z1391" i="23"/>
  <c r="Z1390" i="23"/>
  <c r="Z1389" i="23"/>
  <c r="Z1388" i="23"/>
  <c r="Z1387" i="23"/>
  <c r="Z1386" i="23"/>
  <c r="Z1385" i="23"/>
  <c r="Z1384" i="23"/>
  <c r="Z1383" i="23"/>
  <c r="Z1382" i="23"/>
  <c r="Z1381" i="23"/>
  <c r="Z1380" i="23"/>
  <c r="Z1379" i="23"/>
  <c r="Z1378" i="23"/>
  <c r="Z1377" i="23"/>
  <c r="Z1376" i="23"/>
  <c r="Z1375" i="23"/>
  <c r="Z1374" i="23"/>
  <c r="Z1373" i="23"/>
  <c r="Z1372" i="23"/>
  <c r="Z1371" i="23"/>
  <c r="Z1370" i="23"/>
  <c r="Z1369" i="23"/>
  <c r="Z1368" i="23"/>
  <c r="Z1367" i="23"/>
  <c r="Z1366" i="23"/>
  <c r="Z1365" i="23"/>
  <c r="Z1364" i="23"/>
  <c r="Z1363" i="23"/>
  <c r="Z1362" i="23"/>
  <c r="Z1361" i="23"/>
  <c r="Z1360" i="23"/>
  <c r="Z1359" i="23"/>
  <c r="Z1358" i="23"/>
  <c r="Z1357" i="23"/>
  <c r="Z1356" i="23"/>
  <c r="Z1355" i="23"/>
  <c r="Z1354" i="23"/>
  <c r="Z1353" i="23"/>
  <c r="Z1352" i="23"/>
  <c r="Z1351" i="23"/>
  <c r="Z1350" i="23"/>
  <c r="Z1349" i="23"/>
  <c r="Z1348" i="23"/>
  <c r="Z1347" i="23"/>
  <c r="Z1346" i="23"/>
  <c r="Z1345" i="23"/>
  <c r="Z1344" i="23"/>
  <c r="Z1343" i="23"/>
  <c r="Z1342" i="23"/>
  <c r="Z1341" i="23"/>
  <c r="Z1340" i="23"/>
  <c r="Z1339" i="23"/>
  <c r="Z1338" i="23"/>
  <c r="Z1337" i="23"/>
  <c r="Z1336" i="23"/>
  <c r="Z1335" i="23"/>
  <c r="Z1334" i="23"/>
  <c r="Z1333" i="23"/>
  <c r="Z1332" i="23"/>
  <c r="Z1331" i="23"/>
  <c r="Z1330" i="23"/>
  <c r="Z1329" i="23"/>
  <c r="Z1328" i="23"/>
  <c r="Z1327" i="23"/>
  <c r="Z1326" i="23"/>
  <c r="Z1325" i="23"/>
  <c r="Z1324" i="23"/>
  <c r="Z1323" i="23"/>
  <c r="Z1322" i="23"/>
  <c r="Z1321" i="23"/>
  <c r="Z1320" i="23"/>
  <c r="Z1319" i="23"/>
  <c r="Z1318" i="23"/>
  <c r="Z1317" i="23"/>
  <c r="Z1316" i="23"/>
  <c r="Z1315" i="23"/>
  <c r="Z1314" i="23"/>
  <c r="Z1313" i="23"/>
  <c r="Z1312" i="23"/>
  <c r="Z1311" i="23"/>
  <c r="Z1310" i="23"/>
  <c r="Z1309" i="23"/>
  <c r="Z1308" i="23"/>
  <c r="Z1307" i="23"/>
  <c r="Z1306" i="23"/>
  <c r="Z1305" i="23"/>
  <c r="Z1304" i="23"/>
  <c r="Z1303" i="23"/>
  <c r="Z1302" i="23"/>
  <c r="Z1301" i="23"/>
  <c r="Z1300" i="23"/>
  <c r="Z1299" i="23"/>
  <c r="Z1298" i="23"/>
  <c r="Z1297" i="23"/>
  <c r="Z1296" i="23"/>
  <c r="Z1295" i="23"/>
  <c r="Z1294" i="23"/>
  <c r="Z1293" i="23"/>
  <c r="Z1292" i="23"/>
  <c r="Z1291" i="23"/>
  <c r="Z1290" i="23"/>
  <c r="Z1289" i="23"/>
  <c r="Z1288" i="23"/>
  <c r="Z1287" i="23"/>
  <c r="Z1286" i="23"/>
  <c r="Z1285" i="23"/>
  <c r="Z1284" i="23"/>
  <c r="Z1283" i="23"/>
  <c r="Z1282" i="23"/>
  <c r="Z1281" i="23"/>
  <c r="Z1280" i="23"/>
  <c r="Z1279" i="23"/>
  <c r="Z1278" i="23"/>
  <c r="Z1277" i="23"/>
  <c r="Z1276" i="23"/>
  <c r="Z1275" i="23"/>
  <c r="Z1274" i="23"/>
  <c r="Z1273" i="23"/>
  <c r="Z1272" i="23"/>
  <c r="Z1271" i="23"/>
  <c r="Z1270" i="23"/>
  <c r="Z1269" i="23"/>
  <c r="Z1268" i="23"/>
  <c r="Z1267" i="23"/>
  <c r="Z1266" i="23"/>
  <c r="Z1265" i="23"/>
  <c r="Z1264" i="23"/>
  <c r="Z1263" i="23"/>
  <c r="Z1262" i="23"/>
  <c r="Z1261" i="23"/>
  <c r="Z1260" i="23"/>
  <c r="Z1259" i="23"/>
  <c r="Z1258" i="23"/>
  <c r="Z1257" i="23"/>
  <c r="Z1256" i="23"/>
  <c r="Z1255" i="23"/>
  <c r="Z1254" i="23"/>
  <c r="Z1253" i="23"/>
  <c r="Z1252" i="23"/>
  <c r="Z1251" i="23"/>
  <c r="Z1250" i="23"/>
  <c r="Z1249" i="23"/>
  <c r="Z1248" i="23"/>
  <c r="Z1247" i="23"/>
  <c r="Z1246" i="23"/>
  <c r="Z1245" i="23"/>
  <c r="Z1244" i="23"/>
  <c r="Z1243" i="23"/>
  <c r="Z1242" i="23"/>
  <c r="Z1241" i="23"/>
  <c r="Z1240" i="23"/>
  <c r="Z1239" i="23"/>
  <c r="Z1238" i="23"/>
  <c r="Z1237" i="23"/>
  <c r="Z1236" i="23"/>
  <c r="Z1235" i="23"/>
  <c r="Z1234" i="23"/>
  <c r="Z1233" i="23"/>
  <c r="Z1232" i="23"/>
  <c r="Z1231" i="23"/>
  <c r="Z1230" i="23"/>
  <c r="Z1229" i="23"/>
  <c r="Z1228" i="23"/>
  <c r="Z1227" i="23"/>
  <c r="Z1226" i="23"/>
  <c r="Z1225" i="23"/>
  <c r="Z1224" i="23"/>
  <c r="Z1223" i="23"/>
  <c r="Z1222" i="23"/>
  <c r="Z1221" i="23"/>
  <c r="Z1220" i="23"/>
  <c r="Z1219" i="23"/>
  <c r="Z1218" i="23"/>
  <c r="Z1217" i="23"/>
  <c r="Z1216" i="23"/>
  <c r="Z1215" i="23"/>
  <c r="Z1214" i="23"/>
  <c r="Z1213" i="23"/>
  <c r="Z1212" i="23"/>
  <c r="Z1211" i="23"/>
  <c r="Z1210" i="23"/>
  <c r="Z1209" i="23"/>
  <c r="Z1208" i="23"/>
  <c r="Z1207" i="23"/>
  <c r="Z1206" i="23"/>
  <c r="Z1205" i="23"/>
  <c r="Z1204" i="23"/>
  <c r="Z1203" i="23"/>
  <c r="Z1202" i="23"/>
  <c r="Z1201" i="23"/>
  <c r="Z1200" i="23"/>
  <c r="Z1199" i="23"/>
  <c r="Z1198" i="23"/>
  <c r="Z1197" i="23"/>
  <c r="Z1196" i="23"/>
  <c r="Z1195" i="23"/>
  <c r="Z1194" i="23"/>
  <c r="Z1193" i="23"/>
  <c r="Z1192" i="23"/>
  <c r="Z1191" i="23"/>
  <c r="Z1190" i="23"/>
  <c r="Z1189" i="23"/>
  <c r="Z1188" i="23"/>
  <c r="Z1187" i="23"/>
  <c r="Z1186" i="23"/>
  <c r="Z1185" i="23"/>
  <c r="Z1184" i="23"/>
  <c r="Z1183" i="23"/>
  <c r="Z1182" i="23"/>
  <c r="Z1181" i="23"/>
  <c r="Z1180" i="23"/>
  <c r="Z1179" i="23"/>
  <c r="Z1178" i="23"/>
  <c r="Z1177" i="23"/>
  <c r="Z1176" i="23"/>
  <c r="Z1175" i="23"/>
  <c r="Z1174" i="23"/>
  <c r="Z1173" i="23"/>
  <c r="Z1172" i="23"/>
  <c r="Z1171" i="23"/>
  <c r="Z1170" i="23"/>
  <c r="Z1169" i="23"/>
  <c r="Z1168" i="23"/>
  <c r="Z1167" i="23"/>
  <c r="Z1166" i="23"/>
  <c r="Z1165" i="23"/>
  <c r="Z1164" i="23"/>
  <c r="Z1163" i="23"/>
  <c r="Z1162" i="23"/>
  <c r="Z1161" i="23"/>
  <c r="Z1160" i="23"/>
  <c r="Z1159" i="23"/>
  <c r="Z1158" i="23"/>
  <c r="Z1157" i="23"/>
  <c r="Z1156" i="23"/>
  <c r="Z1155" i="23"/>
  <c r="Z1154" i="23"/>
  <c r="Z1153" i="23"/>
  <c r="Z1152" i="23"/>
  <c r="Z1151" i="23"/>
  <c r="Z1150" i="23"/>
  <c r="Z1149" i="23"/>
  <c r="Z1148" i="23"/>
  <c r="Z1147" i="23"/>
  <c r="Z1146" i="23"/>
  <c r="Z1145" i="23"/>
  <c r="Z1144" i="23"/>
  <c r="Z1143" i="23"/>
  <c r="Z1142" i="23"/>
  <c r="Z1141" i="23"/>
  <c r="Z1140" i="23"/>
  <c r="Z1139" i="23"/>
  <c r="Z1138" i="23"/>
  <c r="Z1137" i="23"/>
  <c r="Z1136" i="23"/>
  <c r="Z1135" i="23"/>
  <c r="Z1134" i="23"/>
  <c r="Z1133" i="23"/>
  <c r="Z1132" i="23"/>
  <c r="Z1131" i="23"/>
  <c r="Z1130" i="23"/>
  <c r="Z1129" i="23"/>
  <c r="Z1128" i="23"/>
  <c r="Z1127" i="23"/>
  <c r="Z1126" i="23"/>
  <c r="Z1125" i="23"/>
  <c r="Z1124" i="23"/>
  <c r="Z1123" i="23"/>
  <c r="Z1122" i="23"/>
  <c r="Z1121" i="23"/>
  <c r="Z1120" i="23"/>
  <c r="Z1119" i="23"/>
  <c r="Z1118" i="23"/>
  <c r="Z1117" i="23"/>
  <c r="Z1116" i="23"/>
  <c r="Z1115" i="23"/>
  <c r="Z1114" i="23"/>
  <c r="Z1113" i="23"/>
  <c r="Z1112" i="23"/>
  <c r="Z1111" i="23"/>
  <c r="Z1110" i="23"/>
  <c r="Z1109" i="23"/>
  <c r="Z1108" i="23"/>
  <c r="Z1107" i="23"/>
  <c r="Z1106" i="23"/>
  <c r="Z1105" i="23"/>
  <c r="Z1104" i="23"/>
  <c r="Z1103" i="23"/>
  <c r="Z1102" i="23"/>
  <c r="Z1101" i="23"/>
  <c r="Z1100" i="23"/>
  <c r="Z1099" i="23"/>
  <c r="Z1098" i="23"/>
  <c r="Z1097" i="23"/>
  <c r="Z1096" i="23"/>
  <c r="Z1095" i="23"/>
  <c r="Z1094" i="23"/>
  <c r="Z1093" i="23"/>
  <c r="Z1092" i="23"/>
  <c r="Z1091" i="23"/>
  <c r="Z1090" i="23"/>
  <c r="Z1089" i="23"/>
  <c r="Z1088" i="23"/>
  <c r="Z1087" i="23"/>
  <c r="Z1086" i="23"/>
  <c r="Z1084" i="23"/>
  <c r="Z1083" i="23"/>
  <c r="Z1082" i="23"/>
  <c r="Z1081" i="23"/>
  <c r="Z1080" i="23"/>
  <c r="Z1079" i="23"/>
  <c r="Z1078" i="23"/>
  <c r="Z1077" i="23"/>
  <c r="Z1076" i="23"/>
  <c r="Z1075" i="23"/>
  <c r="Z1074" i="23"/>
  <c r="Z1073" i="23"/>
  <c r="Z1072" i="23"/>
  <c r="Z1071" i="23"/>
  <c r="Z1070" i="23"/>
  <c r="Z1069" i="23"/>
  <c r="Z1068" i="23"/>
  <c r="Z1067" i="23"/>
  <c r="Z1066" i="23"/>
  <c r="Z1065" i="23"/>
  <c r="Z1064" i="23"/>
  <c r="Z1063" i="23"/>
  <c r="Z1062" i="23"/>
  <c r="Z1061" i="23"/>
  <c r="Z1060" i="23"/>
  <c r="Z1059" i="23"/>
  <c r="Z1058" i="23"/>
  <c r="Z1057" i="23"/>
  <c r="Z1056" i="23"/>
  <c r="Z1055" i="23"/>
  <c r="Z1054" i="23"/>
  <c r="Z1053" i="23"/>
  <c r="Z1052" i="23"/>
  <c r="Z1051" i="23"/>
  <c r="Z1050" i="23"/>
  <c r="Z1049" i="23"/>
  <c r="Z1048" i="23"/>
  <c r="Z1047" i="23"/>
  <c r="Z1046" i="23"/>
  <c r="Z1045" i="23"/>
  <c r="Z1044" i="23"/>
  <c r="Z1043" i="23"/>
  <c r="Z1042" i="23"/>
  <c r="Z1041" i="23"/>
  <c r="Z1040" i="23"/>
  <c r="Z1039" i="23"/>
  <c r="Z1038" i="23"/>
  <c r="Z1037" i="23"/>
  <c r="Z1036" i="23"/>
  <c r="Z1035" i="23"/>
  <c r="Z1034" i="23"/>
  <c r="Z1033" i="23"/>
  <c r="Z1032" i="23"/>
  <c r="Z1031" i="23"/>
  <c r="Z1030" i="23"/>
  <c r="Z1029" i="23"/>
  <c r="Z1028" i="23"/>
  <c r="Z1027" i="23"/>
  <c r="Z1026" i="23"/>
  <c r="Z1025" i="23"/>
  <c r="Z1024" i="23"/>
  <c r="Z1023" i="23"/>
  <c r="Z1022" i="23"/>
  <c r="Z1021" i="23"/>
  <c r="Z1020" i="23"/>
  <c r="Z1019" i="23"/>
  <c r="Z1018" i="23"/>
  <c r="Z1017" i="23"/>
  <c r="Z1016" i="23"/>
  <c r="Z1015" i="23"/>
  <c r="Z1014" i="23"/>
  <c r="Z1013" i="23"/>
  <c r="Z1012" i="23"/>
  <c r="Z1011" i="23"/>
  <c r="Z1010" i="23"/>
  <c r="Z1009" i="23"/>
  <c r="Z1008" i="23"/>
  <c r="Z1007" i="23"/>
  <c r="Z1006" i="23"/>
  <c r="Z1005" i="23"/>
  <c r="Z1004" i="23"/>
  <c r="Z1003" i="23"/>
  <c r="Z1002" i="23"/>
  <c r="Z1001" i="23"/>
  <c r="Z1000" i="23"/>
  <c r="Z999" i="23"/>
  <c r="Z998" i="23"/>
  <c r="Z997" i="23"/>
  <c r="Z996" i="23"/>
  <c r="Z995" i="23"/>
  <c r="Z994" i="23"/>
  <c r="Z993" i="23"/>
  <c r="Z992" i="23"/>
  <c r="Z991" i="23"/>
  <c r="Z990" i="23"/>
  <c r="Z989" i="23"/>
  <c r="Z988" i="23"/>
  <c r="Z987" i="23"/>
  <c r="Z986" i="23"/>
  <c r="Z985" i="23"/>
  <c r="Z984" i="23"/>
  <c r="Z983" i="23"/>
  <c r="Z982" i="23"/>
  <c r="Z981" i="23"/>
  <c r="Z980" i="23"/>
  <c r="Z979" i="23"/>
  <c r="Z978" i="23"/>
  <c r="Z977" i="23"/>
  <c r="Z976" i="23"/>
  <c r="Z975" i="23"/>
  <c r="Z974" i="23"/>
  <c r="Z973" i="23"/>
  <c r="Z972" i="23"/>
  <c r="Z971" i="23"/>
  <c r="Z970" i="23"/>
  <c r="Z969" i="23"/>
  <c r="Z968" i="23"/>
  <c r="Z967" i="23"/>
  <c r="Z966" i="23"/>
  <c r="Z965" i="23"/>
  <c r="Z964" i="23"/>
  <c r="Z963" i="23"/>
  <c r="Z962" i="23"/>
  <c r="Z961" i="23"/>
  <c r="Z960" i="23"/>
  <c r="Z959" i="23"/>
  <c r="Z958" i="23"/>
  <c r="Z957" i="23"/>
  <c r="Z956" i="23"/>
  <c r="Z955" i="23"/>
  <c r="Z954" i="23"/>
  <c r="Z953" i="23"/>
  <c r="Z952" i="23"/>
  <c r="Z951" i="23"/>
  <c r="Z950" i="23"/>
  <c r="Z949" i="23"/>
  <c r="Z948" i="23"/>
  <c r="Z947" i="23"/>
  <c r="Z946" i="23"/>
  <c r="Z945" i="23"/>
  <c r="Z944" i="23"/>
  <c r="Z942" i="23"/>
  <c r="Z941" i="23"/>
  <c r="Z940" i="23"/>
  <c r="Z939" i="23"/>
  <c r="Z938" i="23"/>
  <c r="Z937" i="23"/>
  <c r="Z936" i="23"/>
  <c r="Z935" i="23"/>
  <c r="Z934" i="23"/>
  <c r="Z933" i="23"/>
  <c r="Z932" i="23"/>
  <c r="Z931" i="23"/>
  <c r="Z930" i="23"/>
  <c r="Z929" i="23"/>
  <c r="Z928" i="23"/>
  <c r="Z927" i="23"/>
  <c r="Z926" i="23"/>
  <c r="Z925" i="23"/>
  <c r="Z924" i="23"/>
  <c r="Z923" i="23"/>
  <c r="Z922" i="23"/>
  <c r="Z921" i="23"/>
  <c r="Z920" i="23"/>
  <c r="Z919" i="23"/>
  <c r="Z918" i="23"/>
  <c r="Z917" i="23"/>
  <c r="Z916" i="23"/>
  <c r="Z915" i="23"/>
  <c r="Z914" i="23"/>
  <c r="Z913" i="23"/>
  <c r="Z912" i="23"/>
  <c r="Z911" i="23"/>
  <c r="Z910" i="23"/>
  <c r="Z909" i="23"/>
  <c r="Z908" i="23"/>
  <c r="Z907" i="23"/>
  <c r="Z906" i="23"/>
  <c r="Z905" i="23"/>
  <c r="Z904" i="23"/>
  <c r="Z903" i="23"/>
  <c r="Z902" i="23"/>
  <c r="Z901" i="23"/>
  <c r="Z900" i="23"/>
  <c r="Z899" i="23"/>
  <c r="Z898" i="23"/>
  <c r="Z897" i="23"/>
  <c r="Z896" i="23"/>
  <c r="Z895" i="23"/>
  <c r="Z894" i="23"/>
  <c r="Z893" i="23"/>
  <c r="Z892" i="23"/>
  <c r="Z891" i="23"/>
  <c r="Z890" i="23"/>
  <c r="Z889" i="23"/>
  <c r="Z888" i="23"/>
  <c r="Z887" i="23"/>
  <c r="Z886" i="23"/>
  <c r="Z885" i="23"/>
  <c r="Z884" i="23"/>
  <c r="Z883" i="23"/>
  <c r="Z882" i="23"/>
  <c r="Z881" i="23"/>
  <c r="Z880" i="23"/>
  <c r="Z879" i="23"/>
  <c r="Z878" i="23"/>
  <c r="Z877" i="23"/>
  <c r="Z876" i="23"/>
  <c r="Z875" i="23"/>
  <c r="Z874" i="23"/>
  <c r="Z873" i="23"/>
  <c r="Z872" i="23"/>
  <c r="Z871" i="23"/>
  <c r="Z870" i="23"/>
  <c r="Z869" i="23"/>
  <c r="Z868" i="23"/>
  <c r="Z867" i="23"/>
  <c r="Z866" i="23"/>
  <c r="Z865" i="23"/>
  <c r="Z864" i="23"/>
  <c r="Z863" i="23"/>
  <c r="Z862" i="23"/>
  <c r="Z861" i="23"/>
  <c r="Z860" i="23"/>
  <c r="Z859" i="23"/>
  <c r="Z858" i="23"/>
  <c r="Z857" i="23"/>
  <c r="Z856" i="23"/>
  <c r="Z855" i="23"/>
  <c r="Z854" i="23"/>
  <c r="Z853" i="23"/>
  <c r="Z852" i="23"/>
  <c r="Z851" i="23"/>
  <c r="Z850" i="23"/>
  <c r="Z849" i="23"/>
  <c r="Z848" i="23"/>
  <c r="Z847" i="23"/>
  <c r="Z846" i="23"/>
  <c r="Z845" i="23"/>
  <c r="Z844" i="23"/>
  <c r="Z843" i="23"/>
  <c r="Z842" i="23"/>
  <c r="Z841" i="23"/>
  <c r="Z840" i="23"/>
  <c r="Z839" i="23"/>
  <c r="Z838" i="23"/>
  <c r="Z837" i="23"/>
  <c r="Z836" i="23"/>
  <c r="Z835" i="23"/>
  <c r="Z834" i="23"/>
  <c r="Z833" i="23"/>
  <c r="Z832" i="23"/>
  <c r="Z831" i="23"/>
  <c r="Z830" i="23"/>
  <c r="Z829" i="23"/>
  <c r="Z828" i="23"/>
  <c r="Z827" i="23"/>
  <c r="Z826" i="23"/>
  <c r="Z825" i="23"/>
  <c r="Z824" i="23"/>
  <c r="Z823" i="23"/>
  <c r="Z822" i="23"/>
  <c r="Z821" i="23"/>
  <c r="Z820" i="23"/>
  <c r="Z819" i="23"/>
  <c r="Z818" i="23"/>
  <c r="Z817" i="23"/>
  <c r="Z816" i="23"/>
  <c r="Z815" i="23"/>
  <c r="Z814" i="23"/>
  <c r="Z813" i="23"/>
  <c r="Z812" i="23"/>
  <c r="Z811" i="23"/>
  <c r="Z810" i="23"/>
  <c r="Z809" i="23"/>
  <c r="Z808" i="23"/>
  <c r="Z807" i="23"/>
  <c r="Z806" i="23"/>
  <c r="Z805" i="23"/>
  <c r="Z804" i="23"/>
  <c r="Z803" i="23"/>
  <c r="Z802" i="23"/>
  <c r="Z801" i="23"/>
  <c r="Z800" i="23"/>
  <c r="Z799" i="23"/>
  <c r="Z798" i="23"/>
  <c r="Z797" i="23"/>
  <c r="Z796" i="23"/>
  <c r="Z795" i="23"/>
  <c r="Z794" i="23"/>
  <c r="Z793" i="23"/>
  <c r="Z792" i="23"/>
  <c r="Z791" i="23"/>
  <c r="Z790" i="23"/>
  <c r="Z789" i="23"/>
  <c r="Z788" i="23"/>
  <c r="Z787" i="23"/>
  <c r="Z786" i="23"/>
  <c r="Z785" i="23"/>
  <c r="Z784" i="23"/>
  <c r="Z783" i="23"/>
  <c r="Z782" i="23"/>
  <c r="Z781" i="23"/>
  <c r="Z780" i="23"/>
  <c r="Z779" i="23"/>
  <c r="Z778" i="23"/>
  <c r="Z777" i="23"/>
  <c r="Z776" i="23"/>
  <c r="Z775" i="23"/>
  <c r="Z774" i="23"/>
  <c r="Z773" i="23"/>
  <c r="Z772" i="23"/>
  <c r="Z771" i="23"/>
  <c r="Z770" i="23"/>
  <c r="Z769" i="23"/>
  <c r="Z768" i="23"/>
  <c r="Z767" i="23"/>
  <c r="Z766" i="23"/>
  <c r="Z765" i="23"/>
  <c r="Z764" i="23"/>
  <c r="Z763" i="23"/>
  <c r="Z762" i="23"/>
  <c r="Z761" i="23"/>
  <c r="Z760" i="23"/>
  <c r="Z759" i="23"/>
  <c r="Z758" i="23"/>
  <c r="Z757" i="23"/>
  <c r="Z756" i="23"/>
  <c r="Z755" i="23"/>
  <c r="Z754" i="23"/>
  <c r="Z753" i="23"/>
  <c r="Z752" i="23"/>
  <c r="Z751" i="23"/>
  <c r="Z750" i="23"/>
  <c r="Z749" i="23"/>
  <c r="Z748" i="23"/>
  <c r="Z747" i="23"/>
  <c r="Z746" i="23"/>
  <c r="Z745" i="23"/>
  <c r="Z744" i="23"/>
  <c r="Z743" i="23"/>
  <c r="Z742" i="23"/>
  <c r="Z741" i="23"/>
  <c r="Z740" i="23"/>
  <c r="Z739" i="23"/>
  <c r="Z738" i="23"/>
  <c r="Z737" i="23"/>
  <c r="Z736" i="23"/>
  <c r="Z735" i="23"/>
  <c r="Z734" i="23"/>
  <c r="Z733" i="23"/>
  <c r="Z732" i="23"/>
  <c r="Z731" i="23"/>
  <c r="Z730" i="23"/>
  <c r="Z729" i="23"/>
  <c r="Z728" i="23"/>
  <c r="Z727" i="23"/>
  <c r="Z726" i="23"/>
  <c r="Z725" i="23"/>
  <c r="Z724" i="23"/>
  <c r="Z723" i="23"/>
  <c r="Z722" i="23"/>
  <c r="Z721" i="23"/>
  <c r="Z720" i="23"/>
  <c r="Z719" i="23"/>
  <c r="Z718" i="23"/>
  <c r="Z717" i="23"/>
  <c r="Z716" i="23"/>
  <c r="Z715" i="23"/>
  <c r="Z714" i="23"/>
  <c r="Z713" i="23"/>
  <c r="Z712" i="23"/>
  <c r="Z711" i="23"/>
  <c r="Z710" i="23"/>
  <c r="Z709" i="23"/>
  <c r="Z708" i="23"/>
  <c r="Z707" i="23"/>
  <c r="Z706" i="23"/>
  <c r="Z705" i="23"/>
  <c r="Z704" i="23"/>
  <c r="Z703" i="23"/>
  <c r="Z702" i="23"/>
  <c r="Z701" i="23"/>
  <c r="Z700" i="23"/>
  <c r="Z699" i="23"/>
  <c r="Z698" i="23"/>
  <c r="Z697" i="23"/>
  <c r="Z696" i="23"/>
  <c r="Z695" i="23"/>
  <c r="Z694" i="23"/>
  <c r="Z693" i="23"/>
  <c r="Z692" i="23"/>
  <c r="Z691" i="23"/>
  <c r="Z690" i="23"/>
  <c r="Z689" i="23"/>
  <c r="Z688" i="23"/>
  <c r="Z687" i="23"/>
  <c r="Z686" i="23"/>
  <c r="Z685" i="23"/>
  <c r="Z684" i="23"/>
  <c r="Z683" i="23"/>
  <c r="Z682" i="23"/>
  <c r="Z681" i="23"/>
  <c r="Z680" i="23"/>
  <c r="Z679" i="23"/>
  <c r="Z678" i="23"/>
  <c r="Z677" i="23"/>
  <c r="Z676" i="23"/>
  <c r="Z675" i="23"/>
  <c r="Z674" i="23"/>
  <c r="Z673" i="23"/>
  <c r="Z672" i="23"/>
  <c r="Z671" i="23"/>
  <c r="Z670" i="23"/>
  <c r="Z669" i="23"/>
  <c r="Z668" i="23"/>
  <c r="Z667" i="23"/>
  <c r="Z666" i="23"/>
  <c r="Z665" i="23"/>
  <c r="Z664" i="23"/>
  <c r="Z663" i="23"/>
  <c r="Z662" i="23"/>
  <c r="Z661" i="23"/>
  <c r="Z660" i="23"/>
  <c r="Z659" i="23"/>
  <c r="Z658" i="23"/>
  <c r="Z657" i="23"/>
  <c r="Z656" i="23"/>
  <c r="Z655" i="23"/>
  <c r="Z654" i="23"/>
  <c r="Z653" i="23"/>
  <c r="Z652" i="23"/>
  <c r="Z651" i="23"/>
  <c r="Z650" i="23"/>
  <c r="Z649" i="23"/>
  <c r="Z648" i="23"/>
  <c r="Z647" i="23"/>
  <c r="Z646" i="23"/>
  <c r="Z645" i="23"/>
  <c r="Z644" i="23"/>
  <c r="Z643" i="23"/>
  <c r="Z642" i="23"/>
  <c r="Z641" i="23"/>
  <c r="Z640" i="23"/>
  <c r="Z639" i="23"/>
  <c r="Z638" i="23"/>
  <c r="Z637" i="23"/>
  <c r="Z636" i="23"/>
  <c r="Z635" i="23"/>
  <c r="Z634" i="23"/>
  <c r="Z633" i="23"/>
  <c r="Z632" i="23"/>
  <c r="Z631" i="23"/>
  <c r="Z630" i="23"/>
  <c r="Z629" i="23"/>
  <c r="Z628" i="23"/>
  <c r="Z627" i="23"/>
  <c r="Z626" i="23"/>
  <c r="Z625" i="23"/>
  <c r="Z624" i="23"/>
  <c r="Z623" i="23"/>
  <c r="Z622" i="23"/>
  <c r="Z621" i="23"/>
  <c r="Z620" i="23"/>
  <c r="Z619" i="23"/>
  <c r="Z618" i="23"/>
  <c r="Z617" i="23"/>
  <c r="Z616" i="23"/>
  <c r="Z615" i="23"/>
  <c r="Z614" i="23"/>
  <c r="Z613" i="23"/>
  <c r="Z612" i="23"/>
  <c r="Z611" i="23"/>
  <c r="Z610" i="23"/>
  <c r="Z609" i="23"/>
  <c r="Z608" i="23"/>
  <c r="Z607" i="23"/>
  <c r="Z606" i="23"/>
  <c r="Z605" i="23"/>
  <c r="Z604" i="23"/>
  <c r="Z603" i="23"/>
  <c r="Z602" i="23"/>
  <c r="Z601" i="23"/>
  <c r="Z600" i="23"/>
  <c r="Z599" i="23"/>
  <c r="Z598" i="23"/>
  <c r="Z597" i="23"/>
  <c r="Z596" i="23"/>
  <c r="Z595" i="23"/>
  <c r="Z594" i="23"/>
  <c r="Z593" i="23"/>
  <c r="Z592" i="23"/>
  <c r="Z591" i="23"/>
  <c r="Z590" i="23"/>
  <c r="Z589" i="23"/>
  <c r="Z588" i="23"/>
  <c r="Z587" i="23"/>
  <c r="Z586" i="23"/>
  <c r="Z585" i="23"/>
  <c r="Z584" i="23"/>
  <c r="Z583" i="23"/>
  <c r="Z582" i="23"/>
  <c r="Z581" i="23"/>
  <c r="Z580" i="23"/>
  <c r="Z579" i="23"/>
  <c r="Z578" i="23"/>
  <c r="Z577" i="23"/>
  <c r="Z576" i="23"/>
  <c r="Z575" i="23"/>
  <c r="Z574" i="23"/>
  <c r="Z573" i="23"/>
  <c r="Z572" i="23"/>
  <c r="Z571" i="23"/>
  <c r="Z570" i="23"/>
  <c r="Z569" i="23"/>
  <c r="Z568" i="23"/>
  <c r="Z567" i="23"/>
  <c r="Z566" i="23"/>
  <c r="Z565" i="23"/>
  <c r="Z564" i="23"/>
  <c r="Z563" i="23"/>
  <c r="Z562" i="23"/>
  <c r="Z561" i="23"/>
  <c r="Z560" i="23"/>
  <c r="Z559" i="23"/>
  <c r="Z558" i="23"/>
  <c r="Z557" i="23"/>
  <c r="Z556" i="23"/>
  <c r="Z555" i="23"/>
  <c r="Z554" i="23"/>
  <c r="Z553" i="23"/>
  <c r="Z552" i="23"/>
  <c r="Z551" i="23"/>
  <c r="Z550" i="23"/>
  <c r="Z549" i="23"/>
  <c r="Z548" i="23"/>
  <c r="Z547" i="23"/>
  <c r="Z546" i="23"/>
  <c r="Z545" i="23"/>
  <c r="Z544" i="23"/>
  <c r="Z543" i="23"/>
  <c r="Z542" i="23"/>
  <c r="Z541" i="23"/>
  <c r="Z540" i="23"/>
  <c r="Z539" i="23"/>
  <c r="Z538" i="23"/>
  <c r="Z537" i="23"/>
  <c r="Z536" i="23"/>
  <c r="Z535" i="23"/>
  <c r="Z534" i="23"/>
  <c r="Z533" i="23"/>
  <c r="Z532" i="23"/>
  <c r="Z531" i="23"/>
  <c r="Z530" i="23"/>
  <c r="Z529" i="23"/>
  <c r="Z528" i="23"/>
  <c r="Z527" i="23"/>
  <c r="Z526" i="23"/>
  <c r="Z525" i="23"/>
  <c r="Z524" i="23"/>
  <c r="Z523" i="23"/>
  <c r="Z522" i="23"/>
  <c r="Z521" i="23"/>
  <c r="Z520" i="23"/>
  <c r="Z519" i="23"/>
  <c r="Z518" i="23"/>
  <c r="Z517" i="23"/>
  <c r="Z516" i="23"/>
  <c r="Z515" i="23"/>
  <c r="Z514" i="23"/>
  <c r="Z513" i="23"/>
  <c r="Z512" i="23"/>
  <c r="Z511" i="23"/>
  <c r="Z510" i="23"/>
  <c r="Z509" i="23"/>
  <c r="Z508" i="23"/>
  <c r="Z507" i="23"/>
  <c r="Z506" i="23"/>
  <c r="Z505" i="23"/>
  <c r="Z504" i="23"/>
  <c r="Z503" i="23"/>
  <c r="Z502" i="23"/>
  <c r="Z501" i="23"/>
  <c r="Z500" i="23"/>
  <c r="Z499" i="23"/>
  <c r="Z498" i="23"/>
  <c r="Z497" i="23"/>
  <c r="Z496" i="23"/>
  <c r="Z495" i="23"/>
  <c r="Z494" i="23"/>
  <c r="Z493" i="23"/>
  <c r="Z492" i="23"/>
  <c r="Z491" i="23"/>
  <c r="Z490" i="23"/>
  <c r="Z489" i="23"/>
  <c r="Z488" i="23"/>
  <c r="Z487" i="23"/>
  <c r="Z486" i="23"/>
  <c r="Z485" i="23"/>
  <c r="Z484" i="23"/>
  <c r="Z483" i="23"/>
  <c r="Z482" i="23"/>
  <c r="Z481" i="23"/>
  <c r="Z480" i="23"/>
  <c r="Z479" i="23"/>
  <c r="Z478" i="23"/>
  <c r="Z477" i="23"/>
  <c r="Z476" i="23"/>
  <c r="Z475" i="23"/>
  <c r="Z474" i="23"/>
  <c r="Z473" i="23"/>
  <c r="Z472" i="23"/>
  <c r="Z471" i="23"/>
  <c r="Z470" i="23"/>
  <c r="Z469" i="23"/>
  <c r="Z468" i="23"/>
  <c r="Z467" i="23"/>
  <c r="Z466" i="23"/>
  <c r="Z465" i="23"/>
  <c r="Z464" i="23"/>
  <c r="Z463" i="23"/>
  <c r="Z462" i="23"/>
  <c r="Z461" i="23"/>
  <c r="Z460" i="23"/>
  <c r="Z459" i="23"/>
  <c r="Z458" i="23"/>
  <c r="Z457" i="23"/>
  <c r="Z456" i="23"/>
  <c r="Z455" i="23"/>
  <c r="Z454" i="23"/>
  <c r="Z453" i="23"/>
  <c r="Z452" i="23"/>
  <c r="Z451" i="23"/>
  <c r="Z450" i="23"/>
  <c r="Z449" i="23"/>
  <c r="Z448" i="23"/>
  <c r="Z447" i="23"/>
  <c r="Z446" i="23"/>
  <c r="Z445" i="23"/>
  <c r="Z444" i="23"/>
  <c r="Z443" i="23"/>
  <c r="Z442" i="23"/>
  <c r="Z441" i="23"/>
  <c r="Z440" i="23"/>
  <c r="Z439" i="23"/>
  <c r="Z438" i="23"/>
  <c r="Z437" i="23"/>
  <c r="Z436" i="23"/>
  <c r="Z435" i="23"/>
  <c r="Z434" i="23"/>
  <c r="Z433" i="23"/>
  <c r="Z432" i="23"/>
  <c r="Z431" i="23"/>
  <c r="Z430" i="23"/>
  <c r="Z429" i="23"/>
  <c r="Z428" i="23"/>
  <c r="Z427" i="23"/>
  <c r="Z426" i="23"/>
  <c r="Z425" i="23"/>
  <c r="Z424" i="23"/>
  <c r="Z423" i="23"/>
  <c r="Z422" i="23"/>
  <c r="Z421" i="23"/>
  <c r="Z420" i="23"/>
  <c r="Z419" i="23"/>
  <c r="Z418" i="23"/>
  <c r="Z417" i="23"/>
  <c r="Z416" i="23"/>
  <c r="Z415" i="23"/>
  <c r="Z414" i="23"/>
  <c r="Z413" i="23"/>
  <c r="Z412" i="23"/>
  <c r="Z411" i="23"/>
  <c r="Z410" i="23"/>
  <c r="Z409" i="23"/>
  <c r="Z408" i="23"/>
  <c r="Z407" i="23"/>
  <c r="Z406" i="23"/>
  <c r="Z405" i="23"/>
  <c r="Z404" i="23"/>
  <c r="Z403" i="23"/>
  <c r="Z402" i="23"/>
  <c r="Z401" i="23"/>
  <c r="Z400" i="23"/>
  <c r="Z399" i="23"/>
  <c r="Z398" i="23"/>
  <c r="Z397" i="23"/>
  <c r="Z396" i="23"/>
  <c r="Z395" i="23"/>
  <c r="Z394" i="23"/>
  <c r="Z393" i="23"/>
  <c r="Z392" i="23"/>
  <c r="Z391" i="23"/>
  <c r="Z390" i="23"/>
  <c r="Z389" i="23"/>
  <c r="Z388" i="23"/>
  <c r="Z387" i="23"/>
  <c r="Z386" i="23"/>
  <c r="Z385" i="23"/>
  <c r="Z384" i="23"/>
  <c r="Z383" i="23"/>
  <c r="Z382" i="23"/>
  <c r="Z381" i="23"/>
  <c r="Z380" i="23"/>
  <c r="Z379" i="23"/>
  <c r="Z378" i="23"/>
  <c r="Z377" i="23"/>
  <c r="Z376" i="23"/>
  <c r="Z375" i="23"/>
  <c r="Z374" i="23"/>
  <c r="Z373" i="23"/>
  <c r="Z372" i="23"/>
  <c r="Z371" i="23"/>
  <c r="Z370" i="23"/>
  <c r="Z369" i="23"/>
  <c r="Z368" i="23"/>
  <c r="Z367" i="23"/>
  <c r="Z366" i="23"/>
  <c r="Z365" i="23"/>
  <c r="Z364" i="23"/>
  <c r="Z363" i="23"/>
  <c r="Z362" i="23"/>
  <c r="Z361" i="23"/>
  <c r="Z360" i="23"/>
  <c r="Z359" i="23"/>
  <c r="Z358" i="23"/>
  <c r="Z357" i="23"/>
  <c r="Z356" i="23"/>
  <c r="Z355" i="23"/>
  <c r="Z354" i="23"/>
  <c r="Z353" i="23"/>
  <c r="Z352" i="23"/>
  <c r="Z351" i="23"/>
  <c r="Z350" i="23"/>
  <c r="Z349" i="23"/>
  <c r="Z348" i="23"/>
  <c r="Z347" i="23"/>
  <c r="Z346" i="23"/>
  <c r="Z345" i="23"/>
  <c r="Z344" i="23"/>
  <c r="Z343" i="23"/>
  <c r="Z342" i="23"/>
  <c r="Z341" i="23"/>
  <c r="Z340" i="23"/>
  <c r="Z339" i="23"/>
  <c r="Z338" i="23"/>
  <c r="Z337" i="23"/>
  <c r="Z336" i="23"/>
  <c r="Z335" i="23"/>
  <c r="Z334" i="23"/>
  <c r="Z333" i="23"/>
  <c r="Z332" i="23"/>
  <c r="Z331" i="23"/>
  <c r="Z330" i="23"/>
  <c r="Z329" i="23"/>
  <c r="Z328" i="23"/>
  <c r="Z327" i="23"/>
  <c r="Z326" i="23"/>
  <c r="Z325" i="23"/>
  <c r="Z324" i="23"/>
  <c r="Z323" i="23"/>
  <c r="Z322" i="23"/>
  <c r="Z321" i="23"/>
  <c r="Z320" i="23"/>
  <c r="Z319" i="23"/>
  <c r="Z318" i="23"/>
  <c r="Z317" i="23"/>
  <c r="Z316" i="23"/>
  <c r="Z315" i="23"/>
  <c r="Z314" i="23"/>
  <c r="Z313" i="23"/>
  <c r="Z312" i="23"/>
  <c r="Z311" i="23"/>
  <c r="Z310" i="23"/>
  <c r="Z309" i="23"/>
  <c r="Z308" i="23"/>
  <c r="Z307" i="23"/>
  <c r="Z306" i="23"/>
  <c r="Z305" i="23"/>
  <c r="Z304" i="23"/>
  <c r="Z303" i="23"/>
  <c r="Z302" i="23"/>
  <c r="Z301" i="23"/>
  <c r="Z300" i="23"/>
  <c r="Z299" i="23"/>
  <c r="Z298" i="23"/>
  <c r="Z297" i="23"/>
  <c r="Z296" i="23"/>
  <c r="Z295" i="23"/>
  <c r="Z294" i="23"/>
  <c r="Z293" i="23"/>
  <c r="Z292" i="23"/>
  <c r="Z291" i="23"/>
  <c r="Z290" i="23"/>
  <c r="Z289" i="23"/>
  <c r="Z288" i="23"/>
  <c r="Z287" i="23"/>
  <c r="Z286" i="23"/>
  <c r="Z285" i="23"/>
  <c r="Z284" i="23"/>
  <c r="Z283" i="23"/>
  <c r="Z282" i="23"/>
  <c r="Z281" i="23"/>
  <c r="Z280" i="23"/>
  <c r="Z279" i="23"/>
  <c r="Z278" i="23"/>
  <c r="Z277" i="23"/>
  <c r="Z276" i="23"/>
  <c r="Z275" i="23"/>
  <c r="Z274" i="23"/>
  <c r="Z273" i="23"/>
  <c r="Z272" i="23"/>
  <c r="Z271" i="23"/>
  <c r="Z270" i="23"/>
  <c r="Z269" i="23"/>
  <c r="Z268" i="23"/>
  <c r="Z267" i="23"/>
  <c r="Z266" i="23"/>
  <c r="Z265" i="23"/>
  <c r="Z264" i="23"/>
  <c r="Z263" i="23"/>
  <c r="Z262" i="23"/>
  <c r="Z261" i="23"/>
  <c r="Z260" i="23"/>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Z15" i="23"/>
  <c r="Z14" i="23"/>
  <c r="Z13" i="23"/>
  <c r="Z12" i="23"/>
  <c r="Z11" i="23"/>
  <c r="Z10" i="23"/>
  <c r="Z9" i="23"/>
  <c r="Z8" i="23"/>
  <c r="Z7" i="23"/>
  <c r="Z6" i="23"/>
  <c r="Z5" i="23"/>
  <c r="Z4" i="23"/>
  <c r="Z3" i="23"/>
  <c r="E876" i="7" l="1"/>
  <c r="E938" i="7"/>
  <c r="H937" i="7"/>
  <c r="I937" i="7" s="1"/>
  <c r="H936" i="7"/>
  <c r="I936" i="7" s="1"/>
  <c r="H935" i="7"/>
  <c r="I935" i="7" s="1"/>
  <c r="H934" i="7"/>
  <c r="I934" i="7" s="1"/>
  <c r="H933" i="7"/>
  <c r="I933" i="7" s="1"/>
  <c r="H932" i="7"/>
  <c r="I932" i="7" s="1"/>
  <c r="H931" i="7"/>
  <c r="I931" i="7" s="1"/>
  <c r="H930" i="7"/>
  <c r="I930" i="7" s="1"/>
  <c r="H929" i="7"/>
  <c r="I929" i="7" s="1"/>
  <c r="H928" i="7"/>
  <c r="I928" i="7" s="1"/>
  <c r="H927" i="7"/>
  <c r="I927" i="7" s="1"/>
  <c r="H926" i="7"/>
  <c r="I926" i="7" s="1"/>
  <c r="H925" i="7"/>
  <c r="I925" i="7" s="1"/>
  <c r="H924" i="7"/>
  <c r="I924" i="7" s="1"/>
  <c r="H923" i="7"/>
  <c r="I923" i="7" s="1"/>
  <c r="H922" i="7"/>
  <c r="I922" i="7" s="1"/>
  <c r="H921" i="7"/>
  <c r="I921" i="7" s="1"/>
  <c r="H920" i="7"/>
  <c r="I920" i="7" s="1"/>
  <c r="H919" i="7"/>
  <c r="I919" i="7" s="1"/>
  <c r="H918" i="7"/>
  <c r="I918" i="7" s="1"/>
  <c r="H917" i="7"/>
  <c r="I917" i="7" s="1"/>
  <c r="H916" i="7"/>
  <c r="I916" i="7" s="1"/>
  <c r="H915" i="7"/>
  <c r="I915" i="7" s="1"/>
  <c r="H914" i="7"/>
  <c r="I914" i="7" s="1"/>
  <c r="H913" i="7"/>
  <c r="I913" i="7" s="1"/>
  <c r="H912" i="7"/>
  <c r="I912" i="7" s="1"/>
  <c r="H911" i="7"/>
  <c r="I911" i="7" s="1"/>
  <c r="H910" i="7"/>
  <c r="I910" i="7" s="1"/>
  <c r="H909" i="7"/>
  <c r="I909" i="7" s="1"/>
  <c r="H908" i="7"/>
  <c r="I908" i="7" s="1"/>
  <c r="H907" i="7"/>
  <c r="I907" i="7" s="1"/>
  <c r="H906" i="7"/>
  <c r="I906" i="7" s="1"/>
  <c r="H905" i="7"/>
  <c r="I905" i="7" s="1"/>
  <c r="H904" i="7"/>
  <c r="I904" i="7" s="1"/>
  <c r="H903" i="7"/>
  <c r="I903" i="7" s="1"/>
  <c r="H902" i="7"/>
  <c r="I902" i="7" s="1"/>
  <c r="H901" i="7"/>
  <c r="I901" i="7" s="1"/>
  <c r="H900" i="7"/>
  <c r="I900" i="7" s="1"/>
  <c r="H899" i="7"/>
  <c r="I899" i="7" s="1"/>
  <c r="H898" i="7"/>
  <c r="I898" i="7" s="1"/>
  <c r="H897" i="7"/>
  <c r="I897" i="7" s="1"/>
  <c r="H896" i="7"/>
  <c r="I896" i="7" s="1"/>
  <c r="H895" i="7"/>
  <c r="I895" i="7" s="1"/>
  <c r="H894" i="7"/>
  <c r="I894" i="7" s="1"/>
  <c r="H893" i="7"/>
  <c r="I893" i="7" s="1"/>
  <c r="H892" i="7"/>
  <c r="I892" i="7" s="1"/>
  <c r="H891" i="7"/>
  <c r="I891" i="7" s="1"/>
  <c r="H890" i="7"/>
  <c r="I890" i="7" s="1"/>
  <c r="H889" i="7"/>
  <c r="I889" i="7" s="1"/>
  <c r="H888" i="7"/>
  <c r="I888" i="7" s="1"/>
  <c r="H887" i="7"/>
  <c r="I887" i="7" s="1"/>
  <c r="H886" i="7"/>
  <c r="I886" i="7" s="1"/>
  <c r="H885" i="7"/>
  <c r="I885" i="7" s="1"/>
  <c r="H884" i="7"/>
  <c r="I884" i="7" s="1"/>
  <c r="H883" i="7"/>
  <c r="I883" i="7" s="1"/>
  <c r="H882" i="7"/>
  <c r="I882" i="7" s="1"/>
  <c r="H881" i="7"/>
  <c r="I881" i="7" s="1"/>
  <c r="H880" i="7"/>
  <c r="I880" i="7" s="1"/>
  <c r="H879" i="7"/>
  <c r="I879" i="7" s="1"/>
  <c r="H878" i="7"/>
  <c r="I878" i="7" s="1"/>
  <c r="H877" i="7"/>
  <c r="I877" i="7" s="1"/>
  <c r="H876" i="7"/>
  <c r="I876" i="7" s="1"/>
  <c r="H875" i="7"/>
  <c r="I875" i="7" s="1"/>
  <c r="H874" i="7"/>
  <c r="I874" i="7" s="1"/>
  <c r="H873" i="7"/>
  <c r="I873" i="7" s="1"/>
  <c r="H872" i="7"/>
  <c r="I872" i="7" s="1"/>
  <c r="H871" i="7"/>
  <c r="I871" i="7" s="1"/>
  <c r="H870" i="7"/>
  <c r="I870" i="7" s="1"/>
  <c r="H869" i="7"/>
  <c r="I869" i="7" s="1"/>
  <c r="H868" i="7"/>
  <c r="I868" i="7" s="1"/>
  <c r="H867" i="7"/>
  <c r="I867" i="7" s="1"/>
  <c r="H866" i="7"/>
  <c r="I866" i="7" s="1"/>
  <c r="H865" i="7"/>
  <c r="I865" i="7" s="1"/>
  <c r="H864" i="7"/>
  <c r="I864" i="7" s="1"/>
  <c r="H863" i="7"/>
  <c r="I863" i="7" s="1"/>
  <c r="H862" i="7"/>
  <c r="I862" i="7" s="1"/>
  <c r="H861" i="7"/>
  <c r="I861" i="7" s="1"/>
  <c r="H860" i="7"/>
  <c r="I860" i="7" s="1"/>
  <c r="H859" i="7"/>
  <c r="I859" i="7" s="1"/>
  <c r="H858" i="7"/>
  <c r="I858" i="7" s="1"/>
  <c r="H857" i="7"/>
  <c r="I857" i="7" s="1"/>
  <c r="E838" i="7"/>
  <c r="E853" i="7"/>
  <c r="H852" i="7"/>
  <c r="I852" i="7" s="1"/>
  <c r="E705" i="7"/>
  <c r="E769" i="7" s="1"/>
  <c r="H851" i="7"/>
  <c r="I851" i="7" s="1"/>
  <c r="H850" i="7"/>
  <c r="I850" i="7" s="1"/>
  <c r="H849" i="7"/>
  <c r="I849" i="7" s="1"/>
  <c r="H848" i="7"/>
  <c r="I848" i="7" s="1"/>
  <c r="H847" i="7"/>
  <c r="I847" i="7" s="1"/>
  <c r="H846" i="7"/>
  <c r="I846" i="7" s="1"/>
  <c r="H845" i="7"/>
  <c r="I845" i="7" s="1"/>
  <c r="H844" i="7"/>
  <c r="I844" i="7" s="1"/>
  <c r="H843" i="7"/>
  <c r="I843" i="7" s="1"/>
  <c r="H842" i="7"/>
  <c r="I842" i="7" s="1"/>
  <c r="H841" i="7"/>
  <c r="I841" i="7" s="1"/>
  <c r="H840" i="7"/>
  <c r="I840" i="7" s="1"/>
  <c r="H839" i="7"/>
  <c r="I839" i="7" s="1"/>
  <c r="H838" i="7"/>
  <c r="H837" i="7"/>
  <c r="I837" i="7" s="1"/>
  <c r="H836" i="7"/>
  <c r="I836" i="7" s="1"/>
  <c r="H835" i="7"/>
  <c r="I835" i="7" s="1"/>
  <c r="H834" i="7"/>
  <c r="I834" i="7" s="1"/>
  <c r="H833" i="7"/>
  <c r="I833" i="7" s="1"/>
  <c r="H832" i="7"/>
  <c r="I832" i="7" s="1"/>
  <c r="H831" i="7"/>
  <c r="I831" i="7" s="1"/>
  <c r="H830" i="7"/>
  <c r="I830" i="7" s="1"/>
  <c r="H829" i="7"/>
  <c r="I829" i="7" s="1"/>
  <c r="H828" i="7"/>
  <c r="I828" i="7" s="1"/>
  <c r="H827" i="7"/>
  <c r="I827" i="7" s="1"/>
  <c r="H826" i="7"/>
  <c r="I826" i="7" s="1"/>
  <c r="H825" i="7"/>
  <c r="I825" i="7" s="1"/>
  <c r="H824" i="7"/>
  <c r="I824" i="7" s="1"/>
  <c r="H823" i="7"/>
  <c r="I823" i="7" s="1"/>
  <c r="H822" i="7"/>
  <c r="I822" i="7" s="1"/>
  <c r="H821" i="7"/>
  <c r="I821" i="7" s="1"/>
  <c r="H820" i="7"/>
  <c r="I820" i="7" s="1"/>
  <c r="H819" i="7"/>
  <c r="I819" i="7" s="1"/>
  <c r="H818" i="7"/>
  <c r="I818" i="7" s="1"/>
  <c r="H817" i="7"/>
  <c r="I817" i="7" s="1"/>
  <c r="H816" i="7"/>
  <c r="I816" i="7" s="1"/>
  <c r="H815" i="7"/>
  <c r="I815" i="7" s="1"/>
  <c r="H814" i="7"/>
  <c r="I814" i="7" s="1"/>
  <c r="H813" i="7"/>
  <c r="I813" i="7" s="1"/>
  <c r="H812" i="7"/>
  <c r="I812" i="7" s="1"/>
  <c r="H811" i="7"/>
  <c r="I811" i="7" s="1"/>
  <c r="H810" i="7"/>
  <c r="I810" i="7" s="1"/>
  <c r="H809" i="7"/>
  <c r="I809" i="7" s="1"/>
  <c r="H808" i="7"/>
  <c r="I808" i="7" s="1"/>
  <c r="H807" i="7"/>
  <c r="I807" i="7" s="1"/>
  <c r="H806" i="7"/>
  <c r="I806" i="7" s="1"/>
  <c r="H805" i="7"/>
  <c r="I805" i="7" s="1"/>
  <c r="H804" i="7"/>
  <c r="I804" i="7" s="1"/>
  <c r="H803" i="7"/>
  <c r="I803" i="7" s="1"/>
  <c r="H802" i="7"/>
  <c r="I802" i="7" s="1"/>
  <c r="H801" i="7"/>
  <c r="I801" i="7" s="1"/>
  <c r="H800" i="7"/>
  <c r="I800" i="7" s="1"/>
  <c r="H799" i="7"/>
  <c r="I799" i="7" s="1"/>
  <c r="H798" i="7"/>
  <c r="I798" i="7" s="1"/>
  <c r="H797" i="7"/>
  <c r="I797" i="7" s="1"/>
  <c r="H796" i="7"/>
  <c r="I796" i="7" s="1"/>
  <c r="H795" i="7"/>
  <c r="I795" i="7" s="1"/>
  <c r="H794" i="7"/>
  <c r="I794" i="7" s="1"/>
  <c r="H793" i="7"/>
  <c r="I793" i="7" s="1"/>
  <c r="H792" i="7"/>
  <c r="I792" i="7" s="1"/>
  <c r="H791" i="7"/>
  <c r="I791" i="7" s="1"/>
  <c r="H790" i="7"/>
  <c r="I790" i="7" s="1"/>
  <c r="H789" i="7"/>
  <c r="I789" i="7" s="1"/>
  <c r="H788" i="7"/>
  <c r="I788" i="7" s="1"/>
  <c r="H787" i="7"/>
  <c r="I787" i="7" s="1"/>
  <c r="H786" i="7"/>
  <c r="I786" i="7" s="1"/>
  <c r="H785" i="7"/>
  <c r="I785" i="7" s="1"/>
  <c r="H784" i="7"/>
  <c r="I784" i="7" s="1"/>
  <c r="H783" i="7"/>
  <c r="I783" i="7" s="1"/>
  <c r="H782" i="7"/>
  <c r="I782" i="7" s="1"/>
  <c r="H781" i="7"/>
  <c r="I781" i="7" s="1"/>
  <c r="H780" i="7"/>
  <c r="I780" i="7" s="1"/>
  <c r="H779" i="7"/>
  <c r="I779" i="7" s="1"/>
  <c r="H778" i="7"/>
  <c r="I778" i="7" s="1"/>
  <c r="H777" i="7"/>
  <c r="I777" i="7" s="1"/>
  <c r="H776" i="7"/>
  <c r="I776" i="7" s="1"/>
  <c r="H775" i="7"/>
  <c r="I775" i="7" s="1"/>
  <c r="H774" i="7"/>
  <c r="I774" i="7" s="1"/>
  <c r="H773" i="7"/>
  <c r="I773" i="7" s="1"/>
  <c r="H772" i="7"/>
  <c r="I772" i="7" s="1"/>
  <c r="G769" i="7"/>
  <c r="H768" i="7"/>
  <c r="I768" i="7" s="1"/>
  <c r="H767" i="7"/>
  <c r="H766" i="7"/>
  <c r="I766" i="7" s="1"/>
  <c r="H765" i="7"/>
  <c r="I765" i="7" s="1"/>
  <c r="H764" i="7"/>
  <c r="I764" i="7" s="1"/>
  <c r="H763" i="7"/>
  <c r="I763" i="7" s="1"/>
  <c r="H762" i="7"/>
  <c r="I762" i="7" s="1"/>
  <c r="H761" i="7"/>
  <c r="I761" i="7" s="1"/>
  <c r="H760" i="7"/>
  <c r="I760" i="7" s="1"/>
  <c r="H759" i="7"/>
  <c r="I759" i="7" s="1"/>
  <c r="H758" i="7"/>
  <c r="I758" i="7" s="1"/>
  <c r="H757" i="7"/>
  <c r="I757" i="7" s="1"/>
  <c r="H756" i="7"/>
  <c r="I756" i="7" s="1"/>
  <c r="H755" i="7"/>
  <c r="I755" i="7" s="1"/>
  <c r="H754" i="7"/>
  <c r="I754" i="7" s="1"/>
  <c r="H753" i="7"/>
  <c r="I753" i="7" s="1"/>
  <c r="H752" i="7"/>
  <c r="I752" i="7" s="1"/>
  <c r="H751" i="7"/>
  <c r="I751" i="7" s="1"/>
  <c r="H750" i="7"/>
  <c r="I750" i="7" s="1"/>
  <c r="H749" i="7"/>
  <c r="I749" i="7" s="1"/>
  <c r="H748" i="7"/>
  <c r="I748" i="7" s="1"/>
  <c r="H747" i="7"/>
  <c r="I747" i="7" s="1"/>
  <c r="H746" i="7"/>
  <c r="I746" i="7" s="1"/>
  <c r="H745" i="7"/>
  <c r="I745" i="7" s="1"/>
  <c r="H744" i="7"/>
  <c r="I744" i="7" s="1"/>
  <c r="H743" i="7"/>
  <c r="I743" i="7" s="1"/>
  <c r="H742" i="7"/>
  <c r="I742" i="7" s="1"/>
  <c r="H741" i="7"/>
  <c r="I741" i="7" s="1"/>
  <c r="H740" i="7"/>
  <c r="I740" i="7" s="1"/>
  <c r="H739" i="7"/>
  <c r="I739" i="7" s="1"/>
  <c r="H738" i="7"/>
  <c r="I738" i="7" s="1"/>
  <c r="H737" i="7"/>
  <c r="I737" i="7" s="1"/>
  <c r="H736" i="7"/>
  <c r="I736" i="7" s="1"/>
  <c r="H735" i="7"/>
  <c r="I735" i="7" s="1"/>
  <c r="H734" i="7"/>
  <c r="I734" i="7" s="1"/>
  <c r="H733" i="7"/>
  <c r="I733" i="7" s="1"/>
  <c r="H732" i="7"/>
  <c r="I732" i="7" s="1"/>
  <c r="H731" i="7"/>
  <c r="I731" i="7" s="1"/>
  <c r="H730" i="7"/>
  <c r="I730" i="7" s="1"/>
  <c r="H729" i="7"/>
  <c r="I729" i="7" s="1"/>
  <c r="H728" i="7"/>
  <c r="I728" i="7" s="1"/>
  <c r="H727" i="7"/>
  <c r="I727" i="7" s="1"/>
  <c r="H726" i="7"/>
  <c r="I726" i="7" s="1"/>
  <c r="H725" i="7"/>
  <c r="I725" i="7" s="1"/>
  <c r="H724" i="7"/>
  <c r="I724" i="7" s="1"/>
  <c r="H723" i="7"/>
  <c r="I723" i="7" s="1"/>
  <c r="H722" i="7"/>
  <c r="I722" i="7" s="1"/>
  <c r="H721" i="7"/>
  <c r="I721" i="7" s="1"/>
  <c r="H720" i="7"/>
  <c r="I720" i="7" s="1"/>
  <c r="H719" i="7"/>
  <c r="I719" i="7" s="1"/>
  <c r="H718" i="7"/>
  <c r="I718" i="7" s="1"/>
  <c r="H717" i="7"/>
  <c r="I717" i="7" s="1"/>
  <c r="H716" i="7"/>
  <c r="I716" i="7" s="1"/>
  <c r="H715" i="7"/>
  <c r="I715" i="7" s="1"/>
  <c r="H714" i="7"/>
  <c r="I714" i="7" s="1"/>
  <c r="H713" i="7"/>
  <c r="I713" i="7" s="1"/>
  <c r="H712" i="7"/>
  <c r="I712" i="7" s="1"/>
  <c r="H711" i="7"/>
  <c r="I711" i="7" s="1"/>
  <c r="H710" i="7"/>
  <c r="I710" i="7" s="1"/>
  <c r="H709" i="7"/>
  <c r="I709" i="7" s="1"/>
  <c r="H708" i="7"/>
  <c r="I708" i="7" s="1"/>
  <c r="H707" i="7"/>
  <c r="I707" i="7" s="1"/>
  <c r="H706" i="7"/>
  <c r="I706" i="7" s="1"/>
  <c r="H705" i="7"/>
  <c r="H704" i="7"/>
  <c r="I704" i="7" s="1"/>
  <c r="H703" i="7"/>
  <c r="I703" i="7" s="1"/>
  <c r="H702" i="7"/>
  <c r="I702" i="7" s="1"/>
  <c r="H701" i="7"/>
  <c r="I701" i="7" s="1"/>
  <c r="H700" i="7"/>
  <c r="I700" i="7" s="1"/>
  <c r="H699" i="7"/>
  <c r="I699" i="7" s="1"/>
  <c r="H698" i="7"/>
  <c r="I698" i="7" s="1"/>
  <c r="H697" i="7"/>
  <c r="I697" i="7" s="1"/>
  <c r="H696" i="7"/>
  <c r="I696" i="7" s="1"/>
  <c r="H695" i="7"/>
  <c r="I695" i="7" s="1"/>
  <c r="H694" i="7"/>
  <c r="I694" i="7" s="1"/>
  <c r="H693" i="7"/>
  <c r="I693" i="7" s="1"/>
  <c r="H692" i="7"/>
  <c r="I692" i="7" s="1"/>
  <c r="H691" i="7"/>
  <c r="I691" i="7" s="1"/>
  <c r="H690" i="7"/>
  <c r="I690" i="7" s="1"/>
  <c r="H689" i="7"/>
  <c r="I689" i="7" s="1"/>
  <c r="H688" i="7"/>
  <c r="I688" i="7" s="1"/>
  <c r="E156" i="7"/>
  <c r="E172" i="7" s="1"/>
  <c r="G172" i="7"/>
  <c r="H171" i="7"/>
  <c r="I171" i="7" s="1"/>
  <c r="H170" i="7"/>
  <c r="I170" i="7" s="1"/>
  <c r="H169" i="7"/>
  <c r="I169" i="7" s="1"/>
  <c r="H168" i="7"/>
  <c r="I168" i="7" s="1"/>
  <c r="H167" i="7"/>
  <c r="I167" i="7" s="1"/>
  <c r="H166" i="7"/>
  <c r="I166" i="7" s="1"/>
  <c r="H165" i="7"/>
  <c r="I165" i="7" s="1"/>
  <c r="H164" i="7"/>
  <c r="I164" i="7" s="1"/>
  <c r="H163" i="7"/>
  <c r="I163" i="7" s="1"/>
  <c r="H162" i="7"/>
  <c r="I162" i="7" s="1"/>
  <c r="H161" i="7"/>
  <c r="I161" i="7" s="1"/>
  <c r="H160" i="7"/>
  <c r="I160" i="7" s="1"/>
  <c r="H159" i="7"/>
  <c r="I159" i="7" s="1"/>
  <c r="H158" i="7"/>
  <c r="I158" i="7" s="1"/>
  <c r="H157" i="7"/>
  <c r="I157" i="7" s="1"/>
  <c r="H156" i="7"/>
  <c r="H155" i="7"/>
  <c r="I155" i="7" s="1"/>
  <c r="H154" i="7"/>
  <c r="I154" i="7" s="1"/>
  <c r="H153" i="7"/>
  <c r="I153" i="7" s="1"/>
  <c r="H152" i="7"/>
  <c r="I152" i="7" s="1"/>
  <c r="H151" i="7"/>
  <c r="I151" i="7" s="1"/>
  <c r="H150" i="7"/>
  <c r="I150" i="7" s="1"/>
  <c r="H149" i="7"/>
  <c r="I149" i="7" s="1"/>
  <c r="H148" i="7"/>
  <c r="I148" i="7" s="1"/>
  <c r="H147" i="7"/>
  <c r="I147" i="7" s="1"/>
  <c r="H146" i="7"/>
  <c r="I146" i="7" s="1"/>
  <c r="H145" i="7"/>
  <c r="I145" i="7" s="1"/>
  <c r="H144" i="7"/>
  <c r="I144" i="7" s="1"/>
  <c r="H143" i="7"/>
  <c r="I143" i="7" s="1"/>
  <c r="H142" i="7"/>
  <c r="I142" i="7" s="1"/>
  <c r="H141" i="7"/>
  <c r="I141" i="7" s="1"/>
  <c r="H140" i="7"/>
  <c r="I140" i="7" s="1"/>
  <c r="H139" i="7"/>
  <c r="I139" i="7" s="1"/>
  <c r="H138" i="7"/>
  <c r="I138" i="7" s="1"/>
  <c r="H137" i="7"/>
  <c r="I137" i="7" s="1"/>
  <c r="H136" i="7"/>
  <c r="I136" i="7" s="1"/>
  <c r="H135" i="7"/>
  <c r="I135" i="7" s="1"/>
  <c r="H134" i="7"/>
  <c r="I134" i="7" s="1"/>
  <c r="H133" i="7"/>
  <c r="I133" i="7" s="1"/>
  <c r="H132" i="7"/>
  <c r="I132" i="7" s="1"/>
  <c r="H131" i="7"/>
  <c r="I131" i="7" s="1"/>
  <c r="H130" i="7"/>
  <c r="I130" i="7" s="1"/>
  <c r="H129" i="7"/>
  <c r="I129" i="7" s="1"/>
  <c r="H128" i="7"/>
  <c r="I128" i="7" s="1"/>
  <c r="H127" i="7"/>
  <c r="I127" i="7" s="1"/>
  <c r="H126" i="7"/>
  <c r="I126" i="7" s="1"/>
  <c r="H125" i="7"/>
  <c r="I125" i="7" s="1"/>
  <c r="H124" i="7"/>
  <c r="I124" i="7" s="1"/>
  <c r="H123" i="7"/>
  <c r="I123" i="7" s="1"/>
  <c r="H122" i="7"/>
  <c r="I122" i="7" s="1"/>
  <c r="H121" i="7"/>
  <c r="I121" i="7" s="1"/>
  <c r="H120" i="7"/>
  <c r="I120" i="7" s="1"/>
  <c r="H119" i="7"/>
  <c r="I119" i="7" s="1"/>
  <c r="H118" i="7"/>
  <c r="I118" i="7" s="1"/>
  <c r="H117" i="7"/>
  <c r="I117" i="7" s="1"/>
  <c r="H116" i="7"/>
  <c r="I116" i="7" s="1"/>
  <c r="H115" i="7"/>
  <c r="I115" i="7" s="1"/>
  <c r="H114" i="7"/>
  <c r="I114" i="7" s="1"/>
  <c r="H113" i="7"/>
  <c r="I113" i="7" s="1"/>
  <c r="H112" i="7"/>
  <c r="I112" i="7" s="1"/>
  <c r="H111" i="7"/>
  <c r="I111" i="7" s="1"/>
  <c r="H110" i="7"/>
  <c r="I110" i="7" s="1"/>
  <c r="H109" i="7"/>
  <c r="I109" i="7" s="1"/>
  <c r="H108" i="7"/>
  <c r="I108" i="7" s="1"/>
  <c r="H107" i="7"/>
  <c r="I107" i="7" s="1"/>
  <c r="H106" i="7"/>
  <c r="I106" i="7" s="1"/>
  <c r="H105" i="7"/>
  <c r="I105" i="7" s="1"/>
  <c r="H104" i="7"/>
  <c r="I104" i="7" s="1"/>
  <c r="H103" i="7"/>
  <c r="I103" i="7" s="1"/>
  <c r="H102" i="7"/>
  <c r="I102" i="7" s="1"/>
  <c r="H101" i="7"/>
  <c r="I101" i="7" s="1"/>
  <c r="H100" i="7"/>
  <c r="I100" i="7" s="1"/>
  <c r="H99" i="7"/>
  <c r="I99" i="7" s="1"/>
  <c r="H98" i="7"/>
  <c r="I98" i="7" s="1"/>
  <c r="H97" i="7"/>
  <c r="I97" i="7" s="1"/>
  <c r="H96" i="7"/>
  <c r="I96" i="7" s="1"/>
  <c r="H95" i="7"/>
  <c r="I95" i="7" s="1"/>
  <c r="H94" i="7"/>
  <c r="I94" i="7" s="1"/>
  <c r="H93" i="7"/>
  <c r="I93" i="7" s="1"/>
  <c r="H92" i="7"/>
  <c r="I92" i="7" s="1"/>
  <c r="H91" i="7"/>
  <c r="I91" i="7" s="1"/>
  <c r="E48" i="7"/>
  <c r="E86" i="7" s="1"/>
  <c r="H85" i="7"/>
  <c r="I85" i="7" s="1"/>
  <c r="H84" i="7"/>
  <c r="I84" i="7" s="1"/>
  <c r="H83" i="7"/>
  <c r="I83" i="7" s="1"/>
  <c r="H82" i="7"/>
  <c r="I82" i="7" s="1"/>
  <c r="H81" i="7"/>
  <c r="I81" i="7" s="1"/>
  <c r="H80" i="7"/>
  <c r="I80" i="7" s="1"/>
  <c r="H79" i="7"/>
  <c r="I79" i="7" s="1"/>
  <c r="H78" i="7"/>
  <c r="I78" i="7" s="1"/>
  <c r="H77" i="7"/>
  <c r="I77" i="7" s="1"/>
  <c r="H76" i="7"/>
  <c r="I76" i="7" s="1"/>
  <c r="H75" i="7"/>
  <c r="I75" i="7" s="1"/>
  <c r="H74" i="7"/>
  <c r="I74" i="7" s="1"/>
  <c r="H73" i="7"/>
  <c r="I73" i="7" s="1"/>
  <c r="H72" i="7"/>
  <c r="I72" i="7" s="1"/>
  <c r="H71" i="7"/>
  <c r="I71" i="7" s="1"/>
  <c r="H70" i="7"/>
  <c r="I70" i="7" s="1"/>
  <c r="H69" i="7"/>
  <c r="I69" i="7" s="1"/>
  <c r="H68" i="7"/>
  <c r="I68" i="7" s="1"/>
  <c r="H67" i="7"/>
  <c r="I67" i="7" s="1"/>
  <c r="H66" i="7"/>
  <c r="I66" i="7" s="1"/>
  <c r="H65" i="7"/>
  <c r="I65" i="7" s="1"/>
  <c r="H64" i="7"/>
  <c r="I64" i="7" s="1"/>
  <c r="H63" i="7"/>
  <c r="I63" i="7" s="1"/>
  <c r="H62" i="7"/>
  <c r="I62" i="7" s="1"/>
  <c r="H61" i="7"/>
  <c r="I61" i="7" s="1"/>
  <c r="H60" i="7"/>
  <c r="I60" i="7" s="1"/>
  <c r="H59" i="7"/>
  <c r="I59" i="7" s="1"/>
  <c r="H58" i="7"/>
  <c r="I58" i="7" s="1"/>
  <c r="H57" i="7"/>
  <c r="I57" i="7" s="1"/>
  <c r="H56" i="7"/>
  <c r="I56" i="7" s="1"/>
  <c r="H55" i="7"/>
  <c r="I55" i="7" s="1"/>
  <c r="H54" i="7"/>
  <c r="I54" i="7" s="1"/>
  <c r="H53" i="7"/>
  <c r="I53" i="7" s="1"/>
  <c r="H52" i="7"/>
  <c r="I52" i="7" s="1"/>
  <c r="H51" i="7"/>
  <c r="I51" i="7" s="1"/>
  <c r="H50" i="7"/>
  <c r="I50" i="7" s="1"/>
  <c r="H49" i="7"/>
  <c r="I49" i="7" s="1"/>
  <c r="H48" i="7"/>
  <c r="H47" i="7"/>
  <c r="I47" i="7" s="1"/>
  <c r="H46" i="7"/>
  <c r="I46" i="7" s="1"/>
  <c r="H45" i="7"/>
  <c r="I45" i="7" s="1"/>
  <c r="H44" i="7"/>
  <c r="I44" i="7" s="1"/>
  <c r="H43" i="7"/>
  <c r="I43" i="7" s="1"/>
  <c r="H42" i="7"/>
  <c r="I42" i="7" s="1"/>
  <c r="H41" i="7"/>
  <c r="I41" i="7" s="1"/>
  <c r="H40" i="7"/>
  <c r="I40" i="7" s="1"/>
  <c r="H39" i="7"/>
  <c r="I39" i="7" s="1"/>
  <c r="H38" i="7"/>
  <c r="I38" i="7" s="1"/>
  <c r="H37" i="7"/>
  <c r="I37" i="7" s="1"/>
  <c r="H36" i="7"/>
  <c r="I36" i="7" s="1"/>
  <c r="H35" i="7"/>
  <c r="I35" i="7" s="1"/>
  <c r="H34" i="7"/>
  <c r="I34" i="7" s="1"/>
  <c r="H33" i="7"/>
  <c r="I33" i="7" s="1"/>
  <c r="H32" i="7"/>
  <c r="I32" i="7" s="1"/>
  <c r="H31" i="7"/>
  <c r="I31" i="7" s="1"/>
  <c r="H30" i="7"/>
  <c r="I30" i="7" s="1"/>
  <c r="H29" i="7"/>
  <c r="I29" i="7" s="1"/>
  <c r="H28" i="7"/>
  <c r="I28" i="7" s="1"/>
  <c r="H27" i="7"/>
  <c r="I27" i="7" s="1"/>
  <c r="H26" i="7"/>
  <c r="I26" i="7" s="1"/>
  <c r="H25" i="7"/>
  <c r="I25" i="7" s="1"/>
  <c r="H24" i="7"/>
  <c r="I24" i="7" s="1"/>
  <c r="H23" i="7"/>
  <c r="I23" i="7" s="1"/>
  <c r="H22" i="7"/>
  <c r="I22" i="7" s="1"/>
  <c r="H21" i="7"/>
  <c r="I21" i="7" s="1"/>
  <c r="H20" i="7"/>
  <c r="I20" i="7" s="1"/>
  <c r="H19" i="7"/>
  <c r="I19" i="7" s="1"/>
  <c r="H18" i="7"/>
  <c r="I18" i="7" s="1"/>
  <c r="H17" i="7"/>
  <c r="I17" i="7" s="1"/>
  <c r="H16" i="7"/>
  <c r="I16" i="7" s="1"/>
  <c r="H15" i="7"/>
  <c r="I15" i="7" s="1"/>
  <c r="H14" i="7"/>
  <c r="I14" i="7" s="1"/>
  <c r="H13" i="7"/>
  <c r="I13" i="7" s="1"/>
  <c r="H12" i="7"/>
  <c r="I12" i="7" s="1"/>
  <c r="H11" i="7"/>
  <c r="I11" i="7" s="1"/>
  <c r="H10" i="7"/>
  <c r="I10" i="7" s="1"/>
  <c r="H9" i="7"/>
  <c r="I9" i="7" s="1"/>
  <c r="H8" i="7"/>
  <c r="I8" i="7" s="1"/>
  <c r="H7" i="7"/>
  <c r="I7" i="7" s="1"/>
  <c r="H6" i="7"/>
  <c r="I6" i="7" s="1"/>
  <c r="H5" i="7"/>
  <c r="I5" i="7" s="1"/>
  <c r="I938" i="7" l="1"/>
  <c r="M859" i="7" s="1"/>
  <c r="I838" i="7"/>
  <c r="I853" i="7" s="1"/>
  <c r="M774" i="7" s="1"/>
  <c r="I705" i="7"/>
  <c r="I767" i="7"/>
  <c r="I156" i="7"/>
  <c r="I172" i="7" s="1"/>
  <c r="M93" i="7" s="1"/>
  <c r="I48" i="7"/>
  <c r="I86" i="7" s="1"/>
  <c r="L171" i="7"/>
  <c r="R1725" i="23"/>
  <c r="R1724" i="23"/>
  <c r="R1722" i="23"/>
  <c r="R1721" i="23"/>
  <c r="R1720" i="23"/>
  <c r="R1719" i="23"/>
  <c r="P1725" i="23"/>
  <c r="P1724" i="23"/>
  <c r="P1722" i="23"/>
  <c r="P1721" i="23"/>
  <c r="P1720" i="23"/>
  <c r="P1719" i="23"/>
  <c r="O1725" i="23"/>
  <c r="O1724" i="23"/>
  <c r="O1722" i="23"/>
  <c r="O1721" i="23"/>
  <c r="O1720" i="23"/>
  <c r="O1719" i="23"/>
  <c r="N1725" i="23"/>
  <c r="N1724" i="23"/>
  <c r="N1722" i="23"/>
  <c r="N1721" i="23"/>
  <c r="N1720" i="23"/>
  <c r="N1719" i="23"/>
  <c r="M1725" i="23"/>
  <c r="M1724" i="23"/>
  <c r="M1722" i="23"/>
  <c r="M1721" i="23"/>
  <c r="M1720" i="23"/>
  <c r="M1719" i="23"/>
  <c r="L1725" i="23"/>
  <c r="L1724" i="23"/>
  <c r="L1722" i="23"/>
  <c r="L1721" i="23"/>
  <c r="L1720" i="23"/>
  <c r="L1719" i="23"/>
  <c r="K1725" i="23"/>
  <c r="K1724" i="23"/>
  <c r="K1722" i="23"/>
  <c r="K1721" i="23"/>
  <c r="K1720" i="23"/>
  <c r="K1719" i="23"/>
  <c r="J1725" i="23"/>
  <c r="J1724" i="23"/>
  <c r="J1722" i="23"/>
  <c r="J1721" i="23"/>
  <c r="J1720" i="23"/>
  <c r="J1719" i="23"/>
  <c r="I1725" i="23"/>
  <c r="I1724" i="23"/>
  <c r="I1722" i="23"/>
  <c r="I1721" i="23"/>
  <c r="I1720" i="23"/>
  <c r="I1719" i="23"/>
  <c r="G1725" i="23"/>
  <c r="G1724" i="23"/>
  <c r="G1722" i="23"/>
  <c r="G1721" i="23"/>
  <c r="G1720" i="23"/>
  <c r="G1719" i="23"/>
  <c r="F1725" i="23"/>
  <c r="F1724" i="23"/>
  <c r="F1722" i="23"/>
  <c r="F1721" i="23"/>
  <c r="F1720" i="23"/>
  <c r="F1719" i="23"/>
  <c r="E1725" i="23"/>
  <c r="E1724" i="23"/>
  <c r="E1722" i="23"/>
  <c r="E1721" i="23"/>
  <c r="E1720" i="23"/>
  <c r="E1719" i="23"/>
  <c r="H1725" i="23"/>
  <c r="H1724" i="23"/>
  <c r="H1722" i="23"/>
  <c r="H1721" i="23"/>
  <c r="H1720" i="23"/>
  <c r="H1719" i="23"/>
  <c r="P1716" i="23"/>
  <c r="R1716" i="23"/>
  <c r="O1716" i="23"/>
  <c r="N1716" i="23"/>
  <c r="M1716" i="23"/>
  <c r="L1716" i="23"/>
  <c r="K1716" i="23"/>
  <c r="J1716" i="23"/>
  <c r="I1716" i="23"/>
  <c r="H1716" i="23"/>
  <c r="G1716" i="23"/>
  <c r="F1716" i="23"/>
  <c r="E1716" i="23"/>
  <c r="I769" i="7" l="1"/>
  <c r="M690" i="7" s="1"/>
  <c r="P1096" i="29"/>
  <c r="O1096" i="29"/>
  <c r="P1095" i="29"/>
  <c r="O1095" i="29"/>
  <c r="P1094" i="29"/>
  <c r="O1094" i="29"/>
  <c r="P1093" i="29"/>
  <c r="O1093" i="29"/>
  <c r="P1086" i="29"/>
  <c r="O1086" i="29"/>
  <c r="P1085" i="29"/>
  <c r="O1085" i="29"/>
  <c r="G586" i="1" l="1"/>
  <c r="G585" i="1"/>
  <c r="G584" i="1"/>
  <c r="G583" i="1"/>
  <c r="G582" i="1"/>
  <c r="G581" i="1"/>
  <c r="G580" i="1"/>
  <c r="G579" i="1"/>
  <c r="G578" i="1"/>
  <c r="G577" i="1"/>
  <c r="G576" i="1"/>
  <c r="G575" i="1"/>
  <c r="G572" i="1"/>
  <c r="G571" i="1"/>
  <c r="G570" i="1"/>
  <c r="G569" i="1"/>
  <c r="G568" i="1"/>
  <c r="G567" i="1"/>
  <c r="G566" i="1"/>
  <c r="G565" i="1"/>
  <c r="G564" i="1"/>
  <c r="G563" i="1"/>
  <c r="G562" i="1"/>
  <c r="G561" i="1"/>
  <c r="G544" i="1"/>
  <c r="U143" i="23" l="1"/>
  <c r="T143" i="23"/>
  <c r="S143" i="23"/>
  <c r="U142" i="23"/>
  <c r="T142" i="23"/>
  <c r="S142" i="23"/>
  <c r="U141" i="23"/>
  <c r="T141" i="23"/>
  <c r="S141" i="23"/>
  <c r="U140" i="23"/>
  <c r="T140" i="23"/>
  <c r="S140" i="23"/>
  <c r="U139" i="23"/>
  <c r="T139" i="23"/>
  <c r="S139" i="23"/>
  <c r="U138" i="23"/>
  <c r="T138" i="23"/>
  <c r="S138" i="23"/>
  <c r="U137" i="23"/>
  <c r="T137" i="23"/>
  <c r="S137" i="23"/>
  <c r="U136" i="23"/>
  <c r="T136" i="23"/>
  <c r="S136" i="23"/>
  <c r="U135" i="23"/>
  <c r="T135" i="23"/>
  <c r="S135" i="23"/>
  <c r="U134" i="23"/>
  <c r="T134" i="23"/>
  <c r="S134" i="23"/>
  <c r="U133" i="23"/>
  <c r="T133" i="23"/>
  <c r="S133" i="23"/>
  <c r="U132" i="23"/>
  <c r="T132" i="23"/>
  <c r="S132" i="23"/>
  <c r="U131" i="23"/>
  <c r="T131" i="23"/>
  <c r="S131" i="23"/>
  <c r="U130" i="23"/>
  <c r="T130" i="23"/>
  <c r="S130" i="23"/>
  <c r="U129" i="23"/>
  <c r="T129" i="23"/>
  <c r="S129" i="23"/>
  <c r="U128" i="23"/>
  <c r="T128" i="23"/>
  <c r="S128" i="23"/>
  <c r="U127" i="23"/>
  <c r="T127" i="23"/>
  <c r="S127" i="23"/>
  <c r="U126" i="23"/>
  <c r="T126" i="23"/>
  <c r="S126" i="23"/>
  <c r="U125" i="23"/>
  <c r="T125" i="23"/>
  <c r="S125" i="23"/>
  <c r="U124" i="23"/>
  <c r="T124" i="23"/>
  <c r="S124" i="23"/>
  <c r="U123" i="23"/>
  <c r="T123" i="23"/>
  <c r="S123" i="23"/>
  <c r="U122" i="23"/>
  <c r="T122" i="23"/>
  <c r="S122" i="23"/>
  <c r="U121" i="23"/>
  <c r="T121" i="23"/>
  <c r="S121" i="23"/>
  <c r="U120" i="23"/>
  <c r="T120" i="23"/>
  <c r="S120" i="23"/>
  <c r="U119" i="23"/>
  <c r="T119" i="23"/>
  <c r="S119" i="23"/>
  <c r="U118" i="23"/>
  <c r="T118" i="23"/>
  <c r="S118" i="23"/>
  <c r="U117" i="23"/>
  <c r="T117" i="23"/>
  <c r="S117" i="23"/>
  <c r="U116" i="23"/>
  <c r="T116" i="23"/>
  <c r="S116" i="23"/>
  <c r="U115" i="23"/>
  <c r="T115" i="23"/>
  <c r="S115" i="23"/>
  <c r="U114" i="23"/>
  <c r="T114" i="23"/>
  <c r="S114" i="23"/>
  <c r="U113" i="23"/>
  <c r="T113" i="23"/>
  <c r="S113" i="23"/>
  <c r="U112" i="23"/>
  <c r="T112" i="23"/>
  <c r="S112" i="23"/>
  <c r="U111" i="23"/>
  <c r="T111" i="23"/>
  <c r="S111" i="23"/>
  <c r="U110" i="23"/>
  <c r="T110" i="23"/>
  <c r="S110" i="23"/>
  <c r="U109" i="23"/>
  <c r="T109" i="23"/>
  <c r="S109" i="23"/>
  <c r="U108" i="23"/>
  <c r="T108" i="23"/>
  <c r="S108" i="23"/>
  <c r="U107" i="23"/>
  <c r="T107" i="23"/>
  <c r="S107" i="23"/>
  <c r="U106" i="23"/>
  <c r="T106" i="23"/>
  <c r="S106" i="23"/>
  <c r="U105" i="23"/>
  <c r="T105" i="23"/>
  <c r="S105" i="23"/>
  <c r="U104" i="23"/>
  <c r="T104" i="23"/>
  <c r="S104" i="23"/>
  <c r="U103" i="23"/>
  <c r="T103" i="23"/>
  <c r="S103" i="23"/>
  <c r="U102" i="23"/>
  <c r="T102" i="23"/>
  <c r="S102" i="23"/>
  <c r="U101" i="23"/>
  <c r="T101" i="23"/>
  <c r="S101" i="23"/>
  <c r="U100" i="23"/>
  <c r="T100" i="23"/>
  <c r="S100" i="23"/>
  <c r="U99" i="23"/>
  <c r="T99" i="23"/>
  <c r="S99" i="23"/>
  <c r="U98" i="23"/>
  <c r="T98" i="23"/>
  <c r="S98" i="23"/>
  <c r="U97" i="23"/>
  <c r="T97" i="23"/>
  <c r="S97" i="23"/>
  <c r="U96" i="23"/>
  <c r="T96" i="23"/>
  <c r="S96" i="23"/>
  <c r="U95" i="23"/>
  <c r="T95" i="23"/>
  <c r="S95" i="23"/>
  <c r="U94" i="23"/>
  <c r="T94" i="23"/>
  <c r="S94" i="23"/>
  <c r="U93" i="23"/>
  <c r="T93" i="23"/>
  <c r="S93" i="23"/>
  <c r="U92" i="23"/>
  <c r="T92" i="23"/>
  <c r="S92" i="23"/>
  <c r="U91" i="23"/>
  <c r="T91" i="23"/>
  <c r="S91" i="23"/>
  <c r="U90" i="23"/>
  <c r="T90" i="23"/>
  <c r="S90" i="23"/>
  <c r="U89" i="23"/>
  <c r="T89" i="23"/>
  <c r="S89" i="23"/>
  <c r="U88" i="23"/>
  <c r="T88" i="23"/>
  <c r="S88" i="23"/>
  <c r="U87" i="23"/>
  <c r="T87" i="23"/>
  <c r="S87" i="23"/>
  <c r="U86" i="23"/>
  <c r="T86" i="23"/>
  <c r="S86" i="23"/>
  <c r="U85" i="23"/>
  <c r="T85" i="23"/>
  <c r="S85" i="23"/>
  <c r="U84" i="23"/>
  <c r="T84" i="23"/>
  <c r="S84" i="23"/>
  <c r="U83" i="23"/>
  <c r="T83" i="23"/>
  <c r="S83" i="23"/>
  <c r="U82" i="23"/>
  <c r="T82" i="23"/>
  <c r="S82" i="23"/>
  <c r="U81" i="23"/>
  <c r="T81" i="23"/>
  <c r="S81" i="23"/>
  <c r="U80" i="23"/>
  <c r="T80" i="23"/>
  <c r="S80" i="23"/>
  <c r="U79" i="23"/>
  <c r="T79" i="23"/>
  <c r="S79" i="23"/>
  <c r="U78" i="23"/>
  <c r="T78" i="23"/>
  <c r="S78" i="23"/>
  <c r="U77" i="23"/>
  <c r="T77" i="23"/>
  <c r="S77" i="23"/>
  <c r="U76" i="23"/>
  <c r="T76" i="23"/>
  <c r="S76" i="23"/>
  <c r="U75" i="23"/>
  <c r="T75" i="23"/>
  <c r="S75" i="23"/>
  <c r="U74" i="23"/>
  <c r="T74" i="23"/>
  <c r="S74" i="23"/>
  <c r="U73" i="23"/>
  <c r="T73" i="23"/>
  <c r="S73" i="23"/>
  <c r="U72" i="23"/>
  <c r="T72" i="23"/>
  <c r="S72" i="23"/>
  <c r="U71" i="23"/>
  <c r="T71" i="23"/>
  <c r="S71" i="23"/>
  <c r="U70" i="23"/>
  <c r="T70" i="23"/>
  <c r="S70" i="23"/>
  <c r="U69" i="23"/>
  <c r="T69" i="23"/>
  <c r="S69" i="23"/>
  <c r="U68" i="23"/>
  <c r="T68" i="23"/>
  <c r="S68" i="23"/>
  <c r="U67" i="23"/>
  <c r="T67" i="23"/>
  <c r="S67" i="23"/>
  <c r="U66" i="23"/>
  <c r="T66" i="23"/>
  <c r="S66" i="23"/>
  <c r="U65" i="23"/>
  <c r="T65" i="23"/>
  <c r="S65" i="23"/>
  <c r="U64" i="23"/>
  <c r="T64" i="23"/>
  <c r="S64" i="23"/>
  <c r="U63" i="23"/>
  <c r="T63" i="23"/>
  <c r="S63" i="23"/>
  <c r="U62" i="23"/>
  <c r="T62" i="23"/>
  <c r="S62" i="23"/>
  <c r="U61" i="23"/>
  <c r="T61" i="23"/>
  <c r="S61" i="23"/>
  <c r="U60" i="23"/>
  <c r="T60" i="23"/>
  <c r="S60" i="23"/>
  <c r="U59" i="23"/>
  <c r="T59" i="23"/>
  <c r="S59" i="23"/>
  <c r="U58" i="23"/>
  <c r="T58" i="23"/>
  <c r="S58" i="23"/>
  <c r="U57" i="23"/>
  <c r="T57" i="23"/>
  <c r="S57" i="23"/>
  <c r="U56" i="23"/>
  <c r="T56" i="23"/>
  <c r="S56" i="23"/>
  <c r="U55" i="23"/>
  <c r="T55" i="23"/>
  <c r="S55" i="23"/>
  <c r="U54" i="23"/>
  <c r="T54" i="23"/>
  <c r="S54" i="23"/>
  <c r="U53" i="23"/>
  <c r="T53" i="23"/>
  <c r="S53" i="23"/>
  <c r="U52" i="23"/>
  <c r="T52" i="23"/>
  <c r="S52" i="23"/>
  <c r="U51" i="23"/>
  <c r="T51" i="23"/>
  <c r="S51" i="23"/>
  <c r="U50" i="23"/>
  <c r="T50" i="23"/>
  <c r="S50" i="23"/>
  <c r="U49" i="23"/>
  <c r="T49" i="23"/>
  <c r="S49" i="23"/>
  <c r="U48" i="23"/>
  <c r="T48" i="23"/>
  <c r="S48" i="23"/>
  <c r="U46" i="23"/>
  <c r="T46" i="23"/>
  <c r="S46" i="23"/>
  <c r="U45" i="23"/>
  <c r="T45" i="23"/>
  <c r="S45" i="23"/>
  <c r="U44" i="23"/>
  <c r="T44" i="23"/>
  <c r="S44" i="23"/>
  <c r="U43" i="23"/>
  <c r="T43" i="23"/>
  <c r="S43" i="23"/>
  <c r="U41" i="23"/>
  <c r="T41" i="23"/>
  <c r="S41" i="23"/>
  <c r="U40" i="23"/>
  <c r="T40" i="23"/>
  <c r="S40" i="23"/>
  <c r="U39" i="23"/>
  <c r="T39" i="23"/>
  <c r="S39" i="23"/>
  <c r="U38" i="23"/>
  <c r="T38" i="23"/>
  <c r="S38" i="23"/>
  <c r="U37" i="23"/>
  <c r="T37" i="23"/>
  <c r="S37" i="23"/>
  <c r="U36" i="23"/>
  <c r="T36" i="23"/>
  <c r="S36" i="23"/>
  <c r="U35" i="23"/>
  <c r="T35" i="23"/>
  <c r="S35" i="23"/>
  <c r="U34" i="23"/>
  <c r="T34" i="23"/>
  <c r="S34" i="23"/>
  <c r="U33" i="23"/>
  <c r="T33" i="23"/>
  <c r="S33" i="23"/>
  <c r="U32" i="23"/>
  <c r="T32" i="23"/>
  <c r="S32" i="23"/>
  <c r="U31" i="23"/>
  <c r="T31" i="23"/>
  <c r="S31" i="23"/>
  <c r="U30" i="23"/>
  <c r="T30" i="23"/>
  <c r="S30" i="23"/>
  <c r="U29" i="23"/>
  <c r="T29" i="23"/>
  <c r="U28" i="23"/>
  <c r="T28" i="23"/>
  <c r="U27" i="23"/>
  <c r="T27" i="23"/>
  <c r="S27" i="23"/>
  <c r="U26" i="23"/>
  <c r="T26" i="23"/>
  <c r="S26" i="23"/>
  <c r="U25" i="23"/>
  <c r="T25" i="23"/>
  <c r="S25" i="23"/>
  <c r="U23" i="23"/>
  <c r="T23" i="23"/>
  <c r="S23" i="23"/>
  <c r="U22" i="23"/>
  <c r="T22" i="23"/>
  <c r="S22" i="23"/>
  <c r="U19" i="23"/>
  <c r="T19" i="23"/>
  <c r="S19" i="23"/>
  <c r="U18" i="23"/>
  <c r="T18" i="23"/>
  <c r="S18" i="23"/>
  <c r="U17" i="23"/>
  <c r="T17" i="23"/>
  <c r="S17" i="23"/>
  <c r="U16" i="23"/>
  <c r="T16" i="23"/>
  <c r="S16" i="23"/>
  <c r="U13" i="23"/>
  <c r="T13" i="23"/>
  <c r="S13" i="23"/>
  <c r="U12" i="23"/>
  <c r="T12" i="23"/>
  <c r="S12" i="23"/>
  <c r="U7" i="23"/>
  <c r="T7" i="23"/>
  <c r="S7" i="23"/>
  <c r="U6" i="23"/>
  <c r="T6" i="23"/>
  <c r="S6" i="23"/>
  <c r="U5" i="23"/>
  <c r="T5" i="23"/>
  <c r="S5" i="23"/>
  <c r="U4" i="23"/>
  <c r="T4" i="23"/>
  <c r="S4" i="23"/>
  <c r="U3" i="23"/>
  <c r="T3" i="23"/>
  <c r="S3" i="23"/>
  <c r="W37" i="23"/>
  <c r="X37" i="23" s="1"/>
  <c r="U24" i="23"/>
  <c r="T24" i="23"/>
  <c r="S24" i="23"/>
  <c r="U20" i="23"/>
  <c r="T20" i="23"/>
  <c r="S20" i="23"/>
  <c r="U11" i="23"/>
  <c r="T11" i="23"/>
  <c r="S11" i="23"/>
  <c r="U21" i="23" l="1"/>
  <c r="T21" i="23"/>
  <c r="S21" i="23"/>
  <c r="U10" i="23"/>
  <c r="T10" i="23"/>
  <c r="S10" i="23"/>
  <c r="U15" i="23"/>
  <c r="T15" i="23"/>
  <c r="S15" i="23"/>
  <c r="U14" i="23"/>
  <c r="T14" i="23"/>
  <c r="S14" i="23"/>
  <c r="U8" i="23"/>
  <c r="T8" i="23"/>
  <c r="S8" i="23"/>
  <c r="U47" i="23" l="1"/>
  <c r="T47" i="23"/>
  <c r="S47" i="23"/>
  <c r="D527" i="4"/>
  <c r="D523" i="4"/>
  <c r="D519" i="4"/>
  <c r="D515" i="4"/>
  <c r="D511" i="4"/>
  <c r="D507" i="4"/>
  <c r="D503" i="4"/>
  <c r="D499" i="4"/>
  <c r="D495" i="4"/>
  <c r="D491" i="4"/>
  <c r="D487" i="4"/>
  <c r="D479" i="4"/>
  <c r="U9" i="23"/>
  <c r="T9" i="23"/>
  <c r="S9" i="23"/>
  <c r="U42" i="23"/>
  <c r="T42" i="23"/>
  <c r="S42" i="23"/>
  <c r="W42" i="23"/>
  <c r="X42" i="23" s="1"/>
  <c r="G552" i="1" l="1"/>
  <c r="G557" i="1"/>
  <c r="G556" i="1"/>
  <c r="G555" i="1"/>
  <c r="G554" i="1"/>
  <c r="G553" i="1"/>
  <c r="G549" i="1"/>
  <c r="G548" i="1"/>
  <c r="G547" i="1"/>
  <c r="G546" i="1"/>
  <c r="G545" i="1"/>
  <c r="S1158" i="23" l="1"/>
  <c r="D118" i="19" l="1"/>
  <c r="D120" i="19"/>
  <c r="D153" i="19"/>
  <c r="D155" i="19"/>
  <c r="H89" i="19" l="1"/>
  <c r="H87" i="19"/>
  <c r="I36" i="18" l="1"/>
  <c r="H36" i="18"/>
  <c r="F36" i="18"/>
  <c r="E36" i="18"/>
  <c r="D36" i="18"/>
  <c r="J36" i="18" l="1"/>
  <c r="H123" i="19" l="1"/>
  <c r="W207" i="2" l="1"/>
  <c r="V207" i="2"/>
  <c r="U207" i="2"/>
  <c r="L207" i="2"/>
  <c r="E207" i="2"/>
  <c r="W206" i="2"/>
  <c r="V206" i="2"/>
  <c r="U206" i="2"/>
  <c r="L206" i="2"/>
  <c r="E206" i="2"/>
  <c r="W205" i="2"/>
  <c r="V205" i="2"/>
  <c r="U205" i="2"/>
  <c r="L205" i="2"/>
  <c r="E205" i="2"/>
  <c r="W204" i="2"/>
  <c r="V204" i="2"/>
  <c r="U204" i="2"/>
  <c r="L204" i="2"/>
  <c r="E204" i="2"/>
  <c r="W203" i="2"/>
  <c r="V203" i="2"/>
  <c r="U203" i="2"/>
  <c r="L203" i="2"/>
  <c r="E203" i="2"/>
  <c r="E166" i="27" l="1"/>
  <c r="E165" i="27"/>
  <c r="E163" i="27"/>
  <c r="E161" i="27"/>
  <c r="E160" i="27"/>
  <c r="E157" i="27"/>
  <c r="E156" i="27"/>
  <c r="E155" i="27"/>
  <c r="E144" i="27"/>
  <c r="E143" i="27"/>
  <c r="E142" i="27"/>
  <c r="E141" i="27"/>
  <c r="E140" i="27"/>
  <c r="E137" i="27"/>
  <c r="E135" i="27"/>
  <c r="E134" i="27"/>
  <c r="E133" i="27"/>
  <c r="E132" i="27"/>
  <c r="E131" i="27"/>
  <c r="E130" i="27"/>
  <c r="E127" i="27"/>
  <c r="E126" i="27"/>
  <c r="E125" i="27"/>
  <c r="E122" i="27"/>
  <c r="E120" i="27"/>
  <c r="E119" i="27"/>
  <c r="E118" i="27"/>
  <c r="E18" i="27"/>
  <c r="E17" i="27"/>
  <c r="E16" i="27"/>
  <c r="E15" i="27"/>
  <c r="E14" i="27"/>
  <c r="E13" i="27"/>
  <c r="E12" i="27"/>
  <c r="E11" i="27"/>
  <c r="E22" i="27"/>
  <c r="E21" i="27"/>
  <c r="E20" i="27"/>
  <c r="E24" i="27"/>
  <c r="E29" i="27"/>
  <c r="E28" i="27"/>
  <c r="E27" i="27"/>
  <c r="E42" i="27"/>
  <c r="E41" i="27"/>
  <c r="E47" i="27"/>
  <c r="E46" i="27"/>
  <c r="E45" i="27"/>
  <c r="E44" i="27"/>
  <c r="E50" i="27"/>
  <c r="E49" i="27"/>
  <c r="E59" i="27"/>
  <c r="E58" i="27"/>
  <c r="E57" i="27"/>
  <c r="E56" i="27"/>
  <c r="E55" i="27"/>
  <c r="E54" i="27"/>
  <c r="E53" i="27"/>
  <c r="E52" i="27"/>
  <c r="E62" i="27"/>
  <c r="E61" i="27"/>
  <c r="E90" i="27"/>
  <c r="E89" i="27"/>
  <c r="E88" i="27"/>
  <c r="E87" i="27"/>
  <c r="E86" i="27"/>
  <c r="E91" i="27"/>
  <c r="H391" i="19" l="1"/>
  <c r="H389" i="19"/>
  <c r="H363" i="19"/>
  <c r="H361" i="19"/>
  <c r="H336" i="19" l="1"/>
  <c r="D335" i="19"/>
  <c r="D333" i="19"/>
  <c r="D331" i="19"/>
  <c r="H328" i="19"/>
  <c r="H326" i="19"/>
  <c r="H312" i="19"/>
  <c r="E302" i="19"/>
  <c r="D302" i="19"/>
  <c r="C302" i="19"/>
  <c r="H300" i="19"/>
  <c r="H299" i="19"/>
  <c r="H298" i="19"/>
  <c r="H297" i="19"/>
  <c r="H296" i="19"/>
  <c r="H295" i="19"/>
  <c r="H292" i="19"/>
  <c r="H290" i="19"/>
  <c r="D265" i="19"/>
  <c r="D263" i="19"/>
  <c r="D261" i="19"/>
  <c r="H222" i="19"/>
  <c r="H220" i="19"/>
  <c r="H231" i="19"/>
  <c r="D231" i="19" s="1"/>
  <c r="H230" i="19"/>
  <c r="D229" i="19"/>
  <c r="D227" i="19"/>
  <c r="D225" i="19"/>
  <c r="H302" i="19" l="1"/>
  <c r="H195" i="19"/>
  <c r="D195" i="19" s="1"/>
  <c r="H194" i="19"/>
  <c r="H185" i="19"/>
  <c r="H183" i="19"/>
  <c r="H158" i="19" l="1"/>
  <c r="D158" i="19" s="1"/>
  <c r="H156" i="19"/>
  <c r="H150" i="19"/>
  <c r="H148" i="19"/>
  <c r="D123" i="19"/>
  <c r="H121" i="19"/>
  <c r="H115" i="19"/>
  <c r="H113" i="19"/>
  <c r="H84" i="19"/>
  <c r="H82" i="19"/>
  <c r="H51" i="19"/>
  <c r="H49" i="19"/>
  <c r="H21" i="19" l="1"/>
  <c r="H17" i="19"/>
  <c r="H12" i="19"/>
  <c r="H10" i="19"/>
  <c r="R429" i="23" l="1"/>
  <c r="X32" i="3"/>
  <c r="X33" i="3"/>
  <c r="X34" i="3"/>
  <c r="W998" i="23" l="1"/>
  <c r="W999" i="23"/>
  <c r="S1000" i="23"/>
  <c r="T1000" i="23"/>
  <c r="U1000" i="23"/>
  <c r="W1000" i="23"/>
  <c r="X1000" i="23" s="1"/>
  <c r="S1001" i="23"/>
  <c r="T1001" i="23"/>
  <c r="U1001" i="23"/>
  <c r="W1001" i="23"/>
  <c r="X1001" i="23" s="1"/>
  <c r="S1002" i="23"/>
  <c r="T1002" i="23"/>
  <c r="U1002" i="23"/>
  <c r="W1002" i="23"/>
  <c r="X1002" i="23" s="1"/>
  <c r="S1003" i="23"/>
  <c r="T1003" i="23"/>
  <c r="U1003" i="23"/>
  <c r="W1003" i="23"/>
  <c r="X1003" i="23" s="1"/>
  <c r="S1004" i="23"/>
  <c r="T1004" i="23"/>
  <c r="U1004" i="23"/>
  <c r="W1004" i="23"/>
  <c r="X1004" i="23" s="1"/>
  <c r="S1005" i="23"/>
  <c r="T1005" i="23"/>
  <c r="U1005" i="23"/>
  <c r="W1005" i="23"/>
  <c r="X1005" i="23" s="1"/>
  <c r="S1006" i="23"/>
  <c r="T1006" i="23"/>
  <c r="U1006" i="23"/>
  <c r="W1006" i="23"/>
  <c r="X1006" i="23" s="1"/>
  <c r="S1007" i="23"/>
  <c r="T1007" i="23"/>
  <c r="U1007" i="23"/>
  <c r="W1007" i="23"/>
  <c r="X1007" i="23" s="1"/>
  <c r="S1008" i="23"/>
  <c r="T1008" i="23"/>
  <c r="U1008" i="23"/>
  <c r="W1008" i="23"/>
  <c r="X1008" i="23" s="1"/>
  <c r="S1009" i="23"/>
  <c r="T1009" i="23"/>
  <c r="U1009" i="23"/>
  <c r="W1009" i="23"/>
  <c r="X1009" i="23" s="1"/>
  <c r="S1010" i="23"/>
  <c r="T1010" i="23"/>
  <c r="U1010" i="23"/>
  <c r="W1010" i="23"/>
  <c r="X1010" i="23" s="1"/>
  <c r="S1011" i="23"/>
  <c r="T1011" i="23"/>
  <c r="U1011" i="23"/>
  <c r="W1011" i="23"/>
  <c r="X1011" i="23" s="1"/>
  <c r="S1012" i="23"/>
  <c r="T1012" i="23"/>
  <c r="U1012" i="23"/>
  <c r="W1012" i="23"/>
  <c r="X1012" i="23" s="1"/>
  <c r="S1013" i="23"/>
  <c r="T1013" i="23"/>
  <c r="U1013" i="23"/>
  <c r="W1013" i="23"/>
  <c r="X1013" i="23" s="1"/>
  <c r="S1014" i="23"/>
  <c r="T1014" i="23"/>
  <c r="U1014" i="23"/>
  <c r="W1014" i="23"/>
  <c r="X1014" i="23" s="1"/>
  <c r="S1015" i="23"/>
  <c r="T1015" i="23"/>
  <c r="U1015" i="23"/>
  <c r="W1015" i="23"/>
  <c r="X1015" i="23" s="1"/>
  <c r="S1016" i="23"/>
  <c r="T1016" i="23"/>
  <c r="U1016" i="23"/>
  <c r="W1016" i="23"/>
  <c r="X1016" i="23" s="1"/>
  <c r="S1017" i="23"/>
  <c r="T1017" i="23"/>
  <c r="U1017" i="23"/>
  <c r="W1017" i="23"/>
  <c r="X1017" i="23" s="1"/>
  <c r="S1018" i="23"/>
  <c r="T1018" i="23"/>
  <c r="U1018" i="23"/>
  <c r="W1018" i="23"/>
  <c r="X1018" i="23" s="1"/>
  <c r="S1019" i="23"/>
  <c r="T1019" i="23"/>
  <c r="U1019" i="23"/>
  <c r="W1019" i="23"/>
  <c r="X1019" i="23" s="1"/>
  <c r="S1020" i="23"/>
  <c r="T1020" i="23"/>
  <c r="U1020" i="23"/>
  <c r="W1020" i="23"/>
  <c r="X1020" i="23" s="1"/>
  <c r="S1021" i="23"/>
  <c r="T1021" i="23"/>
  <c r="U1021" i="23"/>
  <c r="W1021" i="23"/>
  <c r="X1021" i="23" s="1"/>
  <c r="S1022" i="23"/>
  <c r="T1022" i="23"/>
  <c r="U1022" i="23"/>
  <c r="W1022" i="23"/>
  <c r="X1022" i="23" s="1"/>
  <c r="S1023" i="23"/>
  <c r="T1023" i="23"/>
  <c r="U1023" i="23"/>
  <c r="W1023" i="23"/>
  <c r="X1023" i="23" s="1"/>
  <c r="S1024" i="23"/>
  <c r="T1024" i="23"/>
  <c r="U1024" i="23"/>
  <c r="W1024" i="23"/>
  <c r="X1024" i="23" s="1"/>
  <c r="S1025" i="23"/>
  <c r="T1025" i="23"/>
  <c r="U1025" i="23"/>
  <c r="W1025" i="23"/>
  <c r="X1025" i="23" s="1"/>
  <c r="S1026" i="23"/>
  <c r="T1026" i="23"/>
  <c r="U1026" i="23"/>
  <c r="W1026" i="23"/>
  <c r="X1026" i="23" s="1"/>
  <c r="S1027" i="23"/>
  <c r="T1027" i="23"/>
  <c r="U1027" i="23"/>
  <c r="W1027" i="23"/>
  <c r="X1027" i="23" s="1"/>
  <c r="S1028" i="23"/>
  <c r="T1028" i="23"/>
  <c r="U1028" i="23"/>
  <c r="W1028" i="23"/>
  <c r="X1028" i="23" s="1"/>
  <c r="S1029" i="23"/>
  <c r="T1029" i="23"/>
  <c r="U1029" i="23"/>
  <c r="W1029" i="23"/>
  <c r="X1029" i="23" s="1"/>
  <c r="S1030" i="23"/>
  <c r="T1030" i="23"/>
  <c r="U1030" i="23"/>
  <c r="W1030" i="23"/>
  <c r="X1030" i="23" s="1"/>
  <c r="S1031" i="23"/>
  <c r="T1031" i="23"/>
  <c r="U1031" i="23"/>
  <c r="W1031" i="23"/>
  <c r="X1031" i="23" s="1"/>
  <c r="S1032" i="23"/>
  <c r="T1032" i="23"/>
  <c r="U1032" i="23"/>
  <c r="W1032" i="23"/>
  <c r="X1032" i="23" s="1"/>
  <c r="S1033" i="23"/>
  <c r="T1033" i="23"/>
  <c r="U1033" i="23"/>
  <c r="W1033" i="23"/>
  <c r="X1033" i="23" s="1"/>
  <c r="S1034" i="23"/>
  <c r="T1034" i="23"/>
  <c r="U1034" i="23"/>
  <c r="W1034" i="23"/>
  <c r="X1034" i="23" s="1"/>
  <c r="S1035" i="23"/>
  <c r="T1035" i="23"/>
  <c r="U1035" i="23"/>
  <c r="W1035" i="23"/>
  <c r="X1035" i="23" s="1"/>
  <c r="S1036" i="23"/>
  <c r="T1036" i="23"/>
  <c r="U1036" i="23"/>
  <c r="W1036" i="23"/>
  <c r="X1036" i="23" s="1"/>
  <c r="S1037" i="23"/>
  <c r="T1037" i="23"/>
  <c r="U1037" i="23"/>
  <c r="W1037" i="23"/>
  <c r="X1037" i="23" s="1"/>
  <c r="S1038" i="23"/>
  <c r="T1038" i="23"/>
  <c r="U1038" i="23"/>
  <c r="W1038" i="23"/>
  <c r="X1038" i="23" s="1"/>
  <c r="S1039" i="23"/>
  <c r="T1039" i="23"/>
  <c r="U1039" i="23"/>
  <c r="W1039" i="23"/>
  <c r="X1039" i="23" s="1"/>
  <c r="S1040" i="23"/>
  <c r="T1040" i="23"/>
  <c r="U1040" i="23"/>
  <c r="W1040" i="23"/>
  <c r="X1040" i="23" s="1"/>
  <c r="S1041" i="23"/>
  <c r="T1041" i="23"/>
  <c r="U1041" i="23"/>
  <c r="W1041" i="23"/>
  <c r="X1041" i="23" s="1"/>
  <c r="S1042" i="23"/>
  <c r="T1042" i="23"/>
  <c r="U1042" i="23"/>
  <c r="W1042" i="23"/>
  <c r="X1042" i="23" s="1"/>
  <c r="S1043" i="23"/>
  <c r="T1043" i="23"/>
  <c r="U1043" i="23"/>
  <c r="W1043" i="23"/>
  <c r="X1043" i="23" s="1"/>
  <c r="S1044" i="23"/>
  <c r="T1044" i="23"/>
  <c r="U1044" i="23"/>
  <c r="W1044" i="23"/>
  <c r="X1044" i="23" s="1"/>
  <c r="S1045" i="23"/>
  <c r="T1045" i="23"/>
  <c r="U1045" i="23"/>
  <c r="W1045" i="23"/>
  <c r="X1045" i="23" s="1"/>
  <c r="S1046" i="23"/>
  <c r="T1046" i="23"/>
  <c r="U1046" i="23"/>
  <c r="W1046" i="23"/>
  <c r="X1046" i="23" s="1"/>
  <c r="S1047" i="23"/>
  <c r="T1047" i="23"/>
  <c r="U1047" i="23"/>
  <c r="W1047" i="23"/>
  <c r="X1047" i="23" s="1"/>
  <c r="S1048" i="23"/>
  <c r="T1048" i="23"/>
  <c r="U1048" i="23"/>
  <c r="W1048" i="23"/>
  <c r="X1048" i="23" s="1"/>
  <c r="S1049" i="23"/>
  <c r="T1049" i="23"/>
  <c r="U1049" i="23"/>
  <c r="W1049" i="23"/>
  <c r="X1049" i="23" s="1"/>
  <c r="S1050" i="23"/>
  <c r="T1050" i="23"/>
  <c r="U1050" i="23"/>
  <c r="W1050" i="23"/>
  <c r="X1050" i="23" s="1"/>
  <c r="S1051" i="23"/>
  <c r="T1051" i="23"/>
  <c r="U1051" i="23"/>
  <c r="W1051" i="23"/>
  <c r="X1051" i="23" s="1"/>
  <c r="S1052" i="23"/>
  <c r="T1052" i="23"/>
  <c r="U1052" i="23"/>
  <c r="W1052" i="23"/>
  <c r="X1052" i="23" s="1"/>
  <c r="S1053" i="23"/>
  <c r="T1053" i="23"/>
  <c r="U1053" i="23"/>
  <c r="W1053" i="23"/>
  <c r="X1053" i="23" s="1"/>
  <c r="S1054" i="23"/>
  <c r="T1054" i="23"/>
  <c r="U1054" i="23"/>
  <c r="W1054" i="23"/>
  <c r="X1054" i="23" s="1"/>
  <c r="S1055" i="23"/>
  <c r="T1055" i="23"/>
  <c r="U1055" i="23"/>
  <c r="W1055" i="23"/>
  <c r="X1055" i="23" s="1"/>
  <c r="S1056" i="23"/>
  <c r="T1056" i="23"/>
  <c r="U1056" i="23"/>
  <c r="W1056" i="23"/>
  <c r="X1056" i="23" s="1"/>
  <c r="S1057" i="23"/>
  <c r="T1057" i="23"/>
  <c r="U1057" i="23"/>
  <c r="W1057" i="23"/>
  <c r="X1057" i="23" s="1"/>
  <c r="S1058" i="23"/>
  <c r="T1058" i="23"/>
  <c r="U1058" i="23"/>
  <c r="W1058" i="23"/>
  <c r="X1058" i="23" s="1"/>
  <c r="S1059" i="23"/>
  <c r="T1059" i="23"/>
  <c r="U1059" i="23"/>
  <c r="W1059" i="23"/>
  <c r="X1059" i="23" s="1"/>
  <c r="S1060" i="23"/>
  <c r="T1060" i="23"/>
  <c r="U1060" i="23"/>
  <c r="W1060" i="23"/>
  <c r="X1060" i="23" s="1"/>
  <c r="S1061" i="23"/>
  <c r="T1061" i="23"/>
  <c r="U1061" i="23"/>
  <c r="W1061" i="23"/>
  <c r="X1061" i="23" s="1"/>
  <c r="S1062" i="23"/>
  <c r="T1062" i="23"/>
  <c r="U1062" i="23"/>
  <c r="W1062" i="23"/>
  <c r="X1062" i="23" s="1"/>
  <c r="S1063" i="23"/>
  <c r="T1063" i="23"/>
  <c r="U1063" i="23"/>
  <c r="W1063" i="23"/>
  <c r="X1063" i="23" s="1"/>
  <c r="S1064" i="23"/>
  <c r="T1064" i="23"/>
  <c r="U1064" i="23"/>
  <c r="W1064" i="23"/>
  <c r="X1064" i="23" s="1"/>
  <c r="S1065" i="23"/>
  <c r="T1065" i="23"/>
  <c r="U1065" i="23"/>
  <c r="W1065" i="23"/>
  <c r="X1065" i="23" s="1"/>
  <c r="S1066" i="23"/>
  <c r="T1066" i="23"/>
  <c r="U1066" i="23"/>
  <c r="W1066" i="23"/>
  <c r="X1066" i="23" s="1"/>
  <c r="S1067" i="23"/>
  <c r="T1067" i="23"/>
  <c r="U1067" i="23"/>
  <c r="W1067" i="23"/>
  <c r="X1067" i="23" s="1"/>
  <c r="S1068" i="23"/>
  <c r="T1068" i="23"/>
  <c r="U1068" i="23"/>
  <c r="W1068" i="23"/>
  <c r="X1068" i="23" s="1"/>
  <c r="S1069" i="23"/>
  <c r="T1069" i="23"/>
  <c r="U1069" i="23"/>
  <c r="W1069" i="23"/>
  <c r="X1069" i="23" s="1"/>
  <c r="S1070" i="23"/>
  <c r="T1070" i="23"/>
  <c r="U1070" i="23"/>
  <c r="W1070" i="23"/>
  <c r="X1070" i="23" s="1"/>
  <c r="S1071" i="23"/>
  <c r="T1071" i="23"/>
  <c r="U1071" i="23"/>
  <c r="W1071" i="23"/>
  <c r="X1071" i="23" s="1"/>
  <c r="S1072" i="23"/>
  <c r="T1072" i="23"/>
  <c r="U1072" i="23"/>
  <c r="W1072" i="23"/>
  <c r="X1072" i="23" s="1"/>
  <c r="S1073" i="23"/>
  <c r="T1073" i="23"/>
  <c r="U1073" i="23"/>
  <c r="W1073" i="23"/>
  <c r="X1073" i="23" s="1"/>
  <c r="S1074" i="23"/>
  <c r="T1074" i="23"/>
  <c r="U1074" i="23"/>
  <c r="W1074" i="23"/>
  <c r="X1074" i="23" s="1"/>
  <c r="S1075" i="23"/>
  <c r="T1075" i="23"/>
  <c r="U1075" i="23"/>
  <c r="W1075" i="23"/>
  <c r="X1075" i="23" s="1"/>
  <c r="S1076" i="23"/>
  <c r="T1076" i="23"/>
  <c r="U1076" i="23"/>
  <c r="W1076" i="23"/>
  <c r="X1076" i="23" s="1"/>
  <c r="S1077" i="23"/>
  <c r="T1077" i="23"/>
  <c r="U1077" i="23"/>
  <c r="W1077" i="23"/>
  <c r="X1077" i="23" s="1"/>
  <c r="S1078" i="23"/>
  <c r="T1078" i="23"/>
  <c r="U1078" i="23"/>
  <c r="W1078" i="23"/>
  <c r="X1078" i="23" s="1"/>
  <c r="S1079" i="23"/>
  <c r="T1079" i="23"/>
  <c r="U1079" i="23"/>
  <c r="W1079" i="23"/>
  <c r="X1079" i="23" s="1"/>
  <c r="S1080" i="23"/>
  <c r="T1080" i="23"/>
  <c r="U1080" i="23"/>
  <c r="W1080" i="23"/>
  <c r="X1080" i="23" s="1"/>
  <c r="S1081" i="23"/>
  <c r="T1081" i="23"/>
  <c r="U1081" i="23"/>
  <c r="W1081" i="23"/>
  <c r="X1081" i="23" s="1"/>
  <c r="S1082" i="23"/>
  <c r="T1082" i="23"/>
  <c r="U1082" i="23"/>
  <c r="W1082" i="23"/>
  <c r="X1082" i="23" s="1"/>
  <c r="S1083" i="23"/>
  <c r="T1083" i="23"/>
  <c r="U1083" i="23"/>
  <c r="W1083" i="23"/>
  <c r="X1083" i="23" s="1"/>
  <c r="S1084" i="23"/>
  <c r="T1084" i="23"/>
  <c r="U1084" i="23"/>
  <c r="W1084" i="23"/>
  <c r="X1084" i="23" s="1"/>
  <c r="S1086" i="23"/>
  <c r="T1086" i="23"/>
  <c r="U1086" i="23"/>
  <c r="W1086" i="23"/>
  <c r="X1086" i="23" s="1"/>
  <c r="S1087" i="23"/>
  <c r="T1087" i="23"/>
  <c r="U1087" i="23"/>
  <c r="W1087" i="23"/>
  <c r="X1087" i="23" s="1"/>
  <c r="S1088" i="23"/>
  <c r="T1088" i="23"/>
  <c r="U1088" i="23"/>
  <c r="W1088" i="23"/>
  <c r="X1088" i="23" s="1"/>
  <c r="S1089" i="23"/>
  <c r="T1089" i="23"/>
  <c r="U1089" i="23"/>
  <c r="W1089" i="23"/>
  <c r="X1089" i="23" s="1"/>
  <c r="S1090" i="23"/>
  <c r="T1090" i="23"/>
  <c r="U1090" i="23"/>
  <c r="W1090" i="23"/>
  <c r="X1090" i="23" s="1"/>
  <c r="S1091" i="23"/>
  <c r="T1091" i="23"/>
  <c r="U1091" i="23"/>
  <c r="W1091" i="23"/>
  <c r="X1091" i="23" s="1"/>
  <c r="S1092" i="23"/>
  <c r="T1092" i="23"/>
  <c r="U1092" i="23"/>
  <c r="W1092" i="23"/>
  <c r="X1092" i="23" s="1"/>
  <c r="S1093" i="23"/>
  <c r="T1093" i="23"/>
  <c r="U1093" i="23"/>
  <c r="W1093" i="23"/>
  <c r="X1093" i="23" s="1"/>
  <c r="S1094" i="23"/>
  <c r="T1094" i="23"/>
  <c r="U1094" i="23"/>
  <c r="W1094" i="23"/>
  <c r="X1094" i="23" s="1"/>
  <c r="S1095" i="23"/>
  <c r="T1095" i="23"/>
  <c r="U1095" i="23"/>
  <c r="W1095" i="23"/>
  <c r="X1095" i="23" s="1"/>
  <c r="S1096" i="23"/>
  <c r="T1096" i="23"/>
  <c r="U1096" i="23"/>
  <c r="W1096" i="23"/>
  <c r="X1096" i="23" s="1"/>
  <c r="S1097" i="23"/>
  <c r="T1097" i="23"/>
  <c r="U1097" i="23"/>
  <c r="W1097" i="23"/>
  <c r="X1097" i="23" s="1"/>
  <c r="S1098" i="23"/>
  <c r="T1098" i="23"/>
  <c r="U1098" i="23"/>
  <c r="W1098" i="23"/>
  <c r="X1098" i="23" s="1"/>
  <c r="S1099" i="23"/>
  <c r="T1099" i="23"/>
  <c r="U1099" i="23"/>
  <c r="W1099" i="23"/>
  <c r="X1099" i="23" s="1"/>
  <c r="S1100" i="23"/>
  <c r="T1100" i="23"/>
  <c r="U1100" i="23"/>
  <c r="W1100" i="23"/>
  <c r="X1100" i="23" s="1"/>
  <c r="S1101" i="23"/>
  <c r="T1101" i="23"/>
  <c r="U1101" i="23"/>
  <c r="W1101" i="23"/>
  <c r="X1101" i="23" s="1"/>
  <c r="S1102" i="23"/>
  <c r="T1102" i="23"/>
  <c r="U1102" i="23"/>
  <c r="W1102" i="23"/>
  <c r="X1102" i="23" s="1"/>
  <c r="S1103" i="23"/>
  <c r="T1103" i="23"/>
  <c r="U1103" i="23"/>
  <c r="W1103" i="23"/>
  <c r="X1103" i="23" s="1"/>
  <c r="S1104" i="23"/>
  <c r="T1104" i="23"/>
  <c r="U1104" i="23"/>
  <c r="W1104" i="23"/>
  <c r="X1104" i="23" s="1"/>
  <c r="S1105" i="23"/>
  <c r="T1105" i="23"/>
  <c r="U1105" i="23"/>
  <c r="W1105" i="23"/>
  <c r="X1105" i="23" s="1"/>
  <c r="S1106" i="23"/>
  <c r="T1106" i="23"/>
  <c r="U1106" i="23"/>
  <c r="W1106" i="23"/>
  <c r="X1106" i="23" s="1"/>
  <c r="S1107" i="23"/>
  <c r="T1107" i="23"/>
  <c r="U1107" i="23"/>
  <c r="W1107" i="23"/>
  <c r="X1107" i="23" s="1"/>
  <c r="S1108" i="23"/>
  <c r="T1108" i="23"/>
  <c r="U1108" i="23"/>
  <c r="W1108" i="23"/>
  <c r="X1108" i="23" s="1"/>
  <c r="S1109" i="23"/>
  <c r="T1109" i="23"/>
  <c r="U1109" i="23"/>
  <c r="W1109" i="23"/>
  <c r="X1109" i="23" s="1"/>
  <c r="S1110" i="23"/>
  <c r="T1110" i="23"/>
  <c r="U1110" i="23"/>
  <c r="W1110" i="23"/>
  <c r="X1110" i="23" s="1"/>
  <c r="S1111" i="23"/>
  <c r="T1111" i="23"/>
  <c r="U1111" i="23"/>
  <c r="W1111" i="23"/>
  <c r="X1111" i="23" s="1"/>
  <c r="S1112" i="23"/>
  <c r="T1112" i="23"/>
  <c r="U1112" i="23"/>
  <c r="W1112" i="23"/>
  <c r="X1112" i="23" s="1"/>
  <c r="S1113" i="23"/>
  <c r="T1113" i="23"/>
  <c r="U1113" i="23"/>
  <c r="W1113" i="23"/>
  <c r="X1113" i="23" s="1"/>
  <c r="S1114" i="23"/>
  <c r="T1114" i="23"/>
  <c r="U1114" i="23"/>
  <c r="W1114" i="23"/>
  <c r="X1114" i="23" s="1"/>
  <c r="S1115" i="23"/>
  <c r="T1115" i="23"/>
  <c r="U1115" i="23"/>
  <c r="W1115" i="23"/>
  <c r="X1115" i="23" s="1"/>
  <c r="S1116" i="23"/>
  <c r="T1116" i="23"/>
  <c r="U1116" i="23"/>
  <c r="W1116" i="23"/>
  <c r="X1116" i="23" s="1"/>
  <c r="S1117" i="23"/>
  <c r="T1117" i="23"/>
  <c r="U1117" i="23"/>
  <c r="W1117" i="23"/>
  <c r="X1117" i="23" s="1"/>
  <c r="S1118" i="23"/>
  <c r="T1118" i="23"/>
  <c r="U1118" i="23"/>
  <c r="W1118" i="23"/>
  <c r="X1118" i="23" s="1"/>
  <c r="S1119" i="23"/>
  <c r="T1119" i="23"/>
  <c r="U1119" i="23"/>
  <c r="W1119" i="23"/>
  <c r="X1119" i="23" s="1"/>
  <c r="S1120" i="23"/>
  <c r="T1120" i="23"/>
  <c r="U1120" i="23"/>
  <c r="W1120" i="23"/>
  <c r="X1120" i="23" s="1"/>
  <c r="S1121" i="23"/>
  <c r="T1121" i="23"/>
  <c r="U1121" i="23"/>
  <c r="W1121" i="23"/>
  <c r="X1121" i="23" s="1"/>
  <c r="S1122" i="23"/>
  <c r="T1122" i="23"/>
  <c r="U1122" i="23"/>
  <c r="W1122" i="23"/>
  <c r="X1122" i="23" s="1"/>
  <c r="S1123" i="23"/>
  <c r="T1123" i="23"/>
  <c r="U1123" i="23"/>
  <c r="W1123" i="23"/>
  <c r="X1123" i="23" s="1"/>
  <c r="S1124" i="23"/>
  <c r="T1124" i="23"/>
  <c r="U1124" i="23"/>
  <c r="W1124" i="23"/>
  <c r="X1124" i="23" s="1"/>
  <c r="S1125" i="23"/>
  <c r="T1125" i="23"/>
  <c r="U1125" i="23"/>
  <c r="W1125" i="23"/>
  <c r="X1125" i="23" s="1"/>
  <c r="S1126" i="23"/>
  <c r="T1126" i="23"/>
  <c r="U1126" i="23"/>
  <c r="W1126" i="23"/>
  <c r="X1126" i="23" s="1"/>
  <c r="S1127" i="23"/>
  <c r="T1127" i="23"/>
  <c r="U1127" i="23"/>
  <c r="W1127" i="23"/>
  <c r="X1127" i="23" s="1"/>
  <c r="S1128" i="23"/>
  <c r="T1128" i="23"/>
  <c r="U1128" i="23"/>
  <c r="W1128" i="23"/>
  <c r="X1128" i="23" s="1"/>
  <c r="S1129" i="23"/>
  <c r="T1129" i="23"/>
  <c r="U1129" i="23"/>
  <c r="W1129" i="23"/>
  <c r="X1129" i="23" s="1"/>
  <c r="S1130" i="23"/>
  <c r="T1130" i="23"/>
  <c r="U1130" i="23"/>
  <c r="W1130" i="23"/>
  <c r="X1130" i="23" s="1"/>
  <c r="S1131" i="23"/>
  <c r="T1131" i="23"/>
  <c r="U1131" i="23"/>
  <c r="W1131" i="23"/>
  <c r="X1131" i="23" s="1"/>
  <c r="S1132" i="23"/>
  <c r="T1132" i="23"/>
  <c r="U1132" i="23"/>
  <c r="W1132" i="23"/>
  <c r="X1132" i="23" s="1"/>
  <c r="S1133" i="23"/>
  <c r="T1133" i="23"/>
  <c r="U1133" i="23"/>
  <c r="W1133" i="23"/>
  <c r="X1133" i="23" s="1"/>
  <c r="S1134" i="23"/>
  <c r="T1134" i="23"/>
  <c r="U1134" i="23"/>
  <c r="W1134" i="23"/>
  <c r="X1134" i="23" s="1"/>
  <c r="S1135" i="23"/>
  <c r="T1135" i="23"/>
  <c r="U1135" i="23"/>
  <c r="W1135" i="23"/>
  <c r="X1135" i="23" s="1"/>
  <c r="S1136" i="23"/>
  <c r="T1136" i="23"/>
  <c r="U1136" i="23"/>
  <c r="W1136" i="23"/>
  <c r="X1136" i="23" s="1"/>
  <c r="S1137" i="23"/>
  <c r="T1137" i="23"/>
  <c r="U1137" i="23"/>
  <c r="W1137" i="23"/>
  <c r="X1137" i="23" s="1"/>
  <c r="S1138" i="23"/>
  <c r="T1138" i="23"/>
  <c r="U1138" i="23"/>
  <c r="W1138" i="23"/>
  <c r="X1138" i="23" s="1"/>
  <c r="S1139" i="23"/>
  <c r="T1139" i="23"/>
  <c r="U1139" i="23"/>
  <c r="W1139" i="23"/>
  <c r="X1139" i="23" s="1"/>
  <c r="F370" i="1" l="1"/>
  <c r="E370" i="1"/>
  <c r="D370" i="1"/>
  <c r="W997" i="23" l="1"/>
  <c r="X997" i="23" s="1"/>
  <c r="U997" i="23"/>
  <c r="T997" i="23"/>
  <c r="S997" i="23"/>
  <c r="W996" i="23"/>
  <c r="X996" i="23" s="1"/>
  <c r="U996" i="23"/>
  <c r="T996" i="23"/>
  <c r="S996" i="23"/>
  <c r="W995" i="23"/>
  <c r="X995" i="23" s="1"/>
  <c r="U995" i="23"/>
  <c r="T995" i="23"/>
  <c r="S995" i="23"/>
  <c r="W994" i="23"/>
  <c r="X994" i="23" s="1"/>
  <c r="U994" i="23"/>
  <c r="T994" i="23"/>
  <c r="S994" i="23"/>
  <c r="W993" i="23"/>
  <c r="X993" i="23" s="1"/>
  <c r="U993" i="23"/>
  <c r="T993" i="23"/>
  <c r="S993" i="23"/>
  <c r="W992" i="23"/>
  <c r="X992" i="23" s="1"/>
  <c r="U992" i="23"/>
  <c r="T992" i="23"/>
  <c r="S992" i="23"/>
  <c r="W991" i="23"/>
  <c r="X991" i="23" s="1"/>
  <c r="U991" i="23"/>
  <c r="T991" i="23"/>
  <c r="S991" i="23"/>
  <c r="W990" i="23"/>
  <c r="X990" i="23" s="1"/>
  <c r="U990" i="23"/>
  <c r="T990" i="23"/>
  <c r="S990" i="23"/>
  <c r="W989" i="23"/>
  <c r="X989" i="23" s="1"/>
  <c r="U989" i="23"/>
  <c r="T989" i="23"/>
  <c r="S989" i="23"/>
  <c r="W988" i="23"/>
  <c r="X988" i="23" s="1"/>
  <c r="U988" i="23"/>
  <c r="T988" i="23"/>
  <c r="S988" i="23"/>
  <c r="W987" i="23"/>
  <c r="X987" i="23" s="1"/>
  <c r="U987" i="23"/>
  <c r="T987" i="23"/>
  <c r="S987" i="23"/>
  <c r="W986" i="23"/>
  <c r="X986" i="23" s="1"/>
  <c r="U986" i="23"/>
  <c r="T986" i="23"/>
  <c r="S986" i="23"/>
  <c r="W985" i="23"/>
  <c r="X985" i="23" s="1"/>
  <c r="U985" i="23"/>
  <c r="T985" i="23"/>
  <c r="S985" i="23"/>
  <c r="W984" i="23"/>
  <c r="X984" i="23" s="1"/>
  <c r="U984" i="23"/>
  <c r="T984" i="23"/>
  <c r="S984" i="23"/>
  <c r="W983" i="23"/>
  <c r="X983" i="23" s="1"/>
  <c r="U983" i="23"/>
  <c r="T983" i="23"/>
  <c r="S983" i="23"/>
  <c r="W982" i="23"/>
  <c r="X982" i="23" s="1"/>
  <c r="U982" i="23"/>
  <c r="T982" i="23"/>
  <c r="S982" i="23"/>
  <c r="W981" i="23"/>
  <c r="X981" i="23" s="1"/>
  <c r="U981" i="23"/>
  <c r="T981" i="23"/>
  <c r="S981" i="23"/>
  <c r="W980" i="23"/>
  <c r="X980" i="23" s="1"/>
  <c r="U980" i="23"/>
  <c r="T980" i="23"/>
  <c r="S980" i="23"/>
  <c r="W979" i="23"/>
  <c r="X979" i="23" s="1"/>
  <c r="U979" i="23"/>
  <c r="T979" i="23"/>
  <c r="S979" i="23"/>
  <c r="W978" i="23"/>
  <c r="X978" i="23" s="1"/>
  <c r="U978" i="23"/>
  <c r="T978" i="23"/>
  <c r="S978" i="23"/>
  <c r="W977" i="23"/>
  <c r="X977" i="23" s="1"/>
  <c r="U977" i="23"/>
  <c r="T977" i="23"/>
  <c r="S977" i="23"/>
  <c r="W976" i="23"/>
  <c r="X976" i="23" s="1"/>
  <c r="U976" i="23"/>
  <c r="T976" i="23"/>
  <c r="S976" i="23"/>
  <c r="W975" i="23"/>
  <c r="X975" i="23" s="1"/>
  <c r="U975" i="23"/>
  <c r="T975" i="23"/>
  <c r="S975" i="23"/>
  <c r="W974" i="23"/>
  <c r="X974" i="23" s="1"/>
  <c r="U974" i="23"/>
  <c r="T974" i="23"/>
  <c r="S974" i="23"/>
  <c r="W973" i="23"/>
  <c r="X973" i="23" s="1"/>
  <c r="U973" i="23"/>
  <c r="T973" i="23"/>
  <c r="S973" i="23"/>
  <c r="W972" i="23"/>
  <c r="X972" i="23" s="1"/>
  <c r="U972" i="23"/>
  <c r="T972" i="23"/>
  <c r="S972" i="23"/>
  <c r="W971" i="23"/>
  <c r="X971" i="23" s="1"/>
  <c r="U971" i="23"/>
  <c r="T971" i="23"/>
  <c r="S971" i="23"/>
  <c r="W970" i="23"/>
  <c r="X970" i="23" s="1"/>
  <c r="U970" i="23"/>
  <c r="T970" i="23"/>
  <c r="S970" i="23"/>
  <c r="W969" i="23"/>
  <c r="X969" i="23" s="1"/>
  <c r="U969" i="23"/>
  <c r="T969" i="23"/>
  <c r="S969" i="23"/>
  <c r="W968" i="23"/>
  <c r="X968" i="23" s="1"/>
  <c r="U968" i="23"/>
  <c r="T968" i="23"/>
  <c r="S968" i="23"/>
  <c r="W967" i="23"/>
  <c r="X967" i="23" s="1"/>
  <c r="U967" i="23"/>
  <c r="T967" i="23"/>
  <c r="S967" i="23"/>
  <c r="W966" i="23"/>
  <c r="X966" i="23" s="1"/>
  <c r="U966" i="23"/>
  <c r="T966" i="23"/>
  <c r="S966" i="23"/>
  <c r="W965" i="23"/>
  <c r="X965" i="23" s="1"/>
  <c r="U965" i="23"/>
  <c r="T965" i="23"/>
  <c r="S965" i="23"/>
  <c r="W964" i="23"/>
  <c r="X964" i="23" s="1"/>
  <c r="U964" i="23"/>
  <c r="T964" i="23"/>
  <c r="S964" i="23"/>
  <c r="W963" i="23"/>
  <c r="X963" i="23" s="1"/>
  <c r="U963" i="23"/>
  <c r="T963" i="23"/>
  <c r="S963" i="23"/>
  <c r="W962" i="23"/>
  <c r="X962" i="23" s="1"/>
  <c r="U962" i="23"/>
  <c r="T962" i="23"/>
  <c r="S962" i="23"/>
  <c r="W961" i="23"/>
  <c r="X961" i="23" s="1"/>
  <c r="U961" i="23"/>
  <c r="T961" i="23"/>
  <c r="S961" i="23"/>
  <c r="W960" i="23"/>
  <c r="X960" i="23" s="1"/>
  <c r="U960" i="23"/>
  <c r="T960" i="23"/>
  <c r="S960" i="23"/>
  <c r="W959" i="23"/>
  <c r="X959" i="23" s="1"/>
  <c r="U959" i="23"/>
  <c r="T959" i="23"/>
  <c r="S959" i="23"/>
  <c r="W958" i="23"/>
  <c r="X958" i="23" s="1"/>
  <c r="U958" i="23"/>
  <c r="T958" i="23"/>
  <c r="S958" i="23"/>
  <c r="W957" i="23"/>
  <c r="X957" i="23" s="1"/>
  <c r="U957" i="23"/>
  <c r="T957" i="23"/>
  <c r="S957" i="23"/>
  <c r="W956" i="23"/>
  <c r="X956" i="23" s="1"/>
  <c r="U956" i="23"/>
  <c r="T956" i="23"/>
  <c r="S956" i="23"/>
  <c r="W955" i="23"/>
  <c r="X955" i="23" s="1"/>
  <c r="U955" i="23"/>
  <c r="T955" i="23"/>
  <c r="S955" i="23"/>
  <c r="W954" i="23"/>
  <c r="X954" i="23" s="1"/>
  <c r="U954" i="23"/>
  <c r="T954" i="23"/>
  <c r="S954" i="23"/>
  <c r="W953" i="23"/>
  <c r="X953" i="23" s="1"/>
  <c r="U953" i="23"/>
  <c r="T953" i="23"/>
  <c r="S953" i="23"/>
  <c r="W952" i="23"/>
  <c r="X952" i="23" s="1"/>
  <c r="U952" i="23"/>
  <c r="T952" i="23"/>
  <c r="S952" i="23"/>
  <c r="W951" i="23"/>
  <c r="X951" i="23" s="1"/>
  <c r="U951" i="23"/>
  <c r="T951" i="23"/>
  <c r="S951" i="23"/>
  <c r="W950" i="23"/>
  <c r="X950" i="23" s="1"/>
  <c r="U950" i="23"/>
  <c r="T950" i="23"/>
  <c r="S950" i="23"/>
  <c r="W949" i="23"/>
  <c r="X949" i="23" s="1"/>
  <c r="U949" i="23"/>
  <c r="T949" i="23"/>
  <c r="S949" i="23"/>
  <c r="W948" i="23"/>
  <c r="X948" i="23" s="1"/>
  <c r="U948" i="23"/>
  <c r="T948" i="23"/>
  <c r="S948" i="23"/>
  <c r="W947" i="23"/>
  <c r="X947" i="23" s="1"/>
  <c r="U947" i="23"/>
  <c r="T947" i="23"/>
  <c r="S947" i="23"/>
  <c r="W946" i="23"/>
  <c r="X946" i="23" s="1"/>
  <c r="U946" i="23"/>
  <c r="T946" i="23"/>
  <c r="S946" i="23"/>
  <c r="W945" i="23"/>
  <c r="X945" i="23" s="1"/>
  <c r="U945" i="23"/>
  <c r="T945" i="23"/>
  <c r="S945" i="23"/>
  <c r="W944" i="23"/>
  <c r="X944" i="23" s="1"/>
  <c r="U944" i="23"/>
  <c r="T944" i="23"/>
  <c r="S944" i="23"/>
  <c r="W942" i="23"/>
  <c r="X942" i="23" s="1"/>
  <c r="U942" i="23"/>
  <c r="T942" i="23"/>
  <c r="S942" i="23"/>
  <c r="W941" i="23"/>
  <c r="X941" i="23" s="1"/>
  <c r="U941" i="23"/>
  <c r="T941" i="23"/>
  <c r="S941" i="23"/>
  <c r="W940" i="23"/>
  <c r="X940" i="23" s="1"/>
  <c r="U940" i="23"/>
  <c r="T940" i="23"/>
  <c r="S940" i="23"/>
  <c r="W939" i="23"/>
  <c r="X939" i="23" s="1"/>
  <c r="U939" i="23"/>
  <c r="T939" i="23"/>
  <c r="S939" i="23"/>
  <c r="W938" i="23"/>
  <c r="X938" i="23" s="1"/>
  <c r="U938" i="23"/>
  <c r="T938" i="23"/>
  <c r="S938" i="23"/>
  <c r="W937" i="23"/>
  <c r="X937" i="23" s="1"/>
  <c r="U937" i="23"/>
  <c r="T937" i="23"/>
  <c r="S937" i="23"/>
  <c r="W936" i="23"/>
  <c r="X936" i="23" s="1"/>
  <c r="U936" i="23"/>
  <c r="T936" i="23"/>
  <c r="S936" i="23"/>
  <c r="W935" i="23"/>
  <c r="X935" i="23" s="1"/>
  <c r="U935" i="23"/>
  <c r="T935" i="23"/>
  <c r="S935" i="23"/>
  <c r="W934" i="23"/>
  <c r="X934" i="23" s="1"/>
  <c r="U934" i="23"/>
  <c r="T934" i="23"/>
  <c r="S934" i="23"/>
  <c r="W933" i="23"/>
  <c r="X933" i="23" s="1"/>
  <c r="U933" i="23"/>
  <c r="T933" i="23"/>
  <c r="S933" i="23"/>
  <c r="W932" i="23"/>
  <c r="X932" i="23" s="1"/>
  <c r="U932" i="23"/>
  <c r="T932" i="23"/>
  <c r="S932" i="23"/>
  <c r="W931" i="23"/>
  <c r="X931" i="23" s="1"/>
  <c r="U931" i="23"/>
  <c r="T931" i="23"/>
  <c r="S931" i="23"/>
  <c r="W930" i="23"/>
  <c r="X930" i="23" s="1"/>
  <c r="U930" i="23"/>
  <c r="T930" i="23"/>
  <c r="S930" i="23"/>
  <c r="W929" i="23"/>
  <c r="X929" i="23" s="1"/>
  <c r="U929" i="23"/>
  <c r="T929" i="23"/>
  <c r="S929" i="23"/>
  <c r="W928" i="23"/>
  <c r="X928" i="23" s="1"/>
  <c r="U928" i="23"/>
  <c r="T928" i="23"/>
  <c r="S928" i="23"/>
  <c r="W927" i="23"/>
  <c r="X927" i="23" s="1"/>
  <c r="U927" i="23"/>
  <c r="T927" i="23"/>
  <c r="S927" i="23"/>
  <c r="W926" i="23"/>
  <c r="X926" i="23" s="1"/>
  <c r="U926" i="23"/>
  <c r="T926" i="23"/>
  <c r="S926" i="23"/>
  <c r="W925" i="23"/>
  <c r="X925" i="23" s="1"/>
  <c r="U925" i="23"/>
  <c r="T925" i="23"/>
  <c r="S925" i="23"/>
  <c r="W924" i="23"/>
  <c r="X924" i="23" s="1"/>
  <c r="U924" i="23"/>
  <c r="T924" i="23"/>
  <c r="S924" i="23"/>
  <c r="W923" i="23"/>
  <c r="X923" i="23" s="1"/>
  <c r="U923" i="23"/>
  <c r="T923" i="23"/>
  <c r="S923" i="23"/>
  <c r="W922" i="23"/>
  <c r="X922" i="23" s="1"/>
  <c r="U922" i="23"/>
  <c r="T922" i="23"/>
  <c r="S922" i="23"/>
  <c r="W921" i="23"/>
  <c r="X921" i="23" s="1"/>
  <c r="U921" i="23"/>
  <c r="T921" i="23"/>
  <c r="S921" i="23"/>
  <c r="W920" i="23"/>
  <c r="X920" i="23" s="1"/>
  <c r="U920" i="23"/>
  <c r="T920" i="23"/>
  <c r="S920" i="23"/>
  <c r="W919" i="23"/>
  <c r="X919" i="23" s="1"/>
  <c r="U919" i="23"/>
  <c r="T919" i="23"/>
  <c r="S919" i="23"/>
  <c r="W918" i="23"/>
  <c r="X918" i="23" s="1"/>
  <c r="U918" i="23"/>
  <c r="T918" i="23"/>
  <c r="S918" i="23"/>
  <c r="W917" i="23"/>
  <c r="X917" i="23" s="1"/>
  <c r="U917" i="23"/>
  <c r="T917" i="23"/>
  <c r="S917" i="23"/>
  <c r="W916" i="23"/>
  <c r="X916" i="23" s="1"/>
  <c r="U916" i="23"/>
  <c r="T916" i="23"/>
  <c r="S916" i="23"/>
  <c r="W915" i="23"/>
  <c r="X915" i="23" s="1"/>
  <c r="U915" i="23"/>
  <c r="T915" i="23"/>
  <c r="S915" i="23"/>
  <c r="W914" i="23"/>
  <c r="X914" i="23" s="1"/>
  <c r="U914" i="23"/>
  <c r="T914" i="23"/>
  <c r="S914" i="23"/>
  <c r="W913" i="23"/>
  <c r="X913" i="23" s="1"/>
  <c r="U913" i="23"/>
  <c r="T913" i="23"/>
  <c r="S913" i="23"/>
  <c r="W912" i="23"/>
  <c r="X912" i="23" s="1"/>
  <c r="U912" i="23"/>
  <c r="T912" i="23"/>
  <c r="S912" i="23"/>
  <c r="W911" i="23"/>
  <c r="X911" i="23" s="1"/>
  <c r="U911" i="23"/>
  <c r="T911" i="23"/>
  <c r="S911" i="23"/>
  <c r="W910" i="23"/>
  <c r="X910" i="23" s="1"/>
  <c r="U910" i="23"/>
  <c r="T910" i="23"/>
  <c r="S910" i="23"/>
  <c r="W909" i="23"/>
  <c r="X909" i="23" s="1"/>
  <c r="U909" i="23"/>
  <c r="T909" i="23"/>
  <c r="S909" i="23"/>
  <c r="W908" i="23"/>
  <c r="X908" i="23" s="1"/>
  <c r="U908" i="23"/>
  <c r="T908" i="23"/>
  <c r="S908" i="23"/>
  <c r="W907" i="23"/>
  <c r="X907" i="23" s="1"/>
  <c r="U907" i="23"/>
  <c r="T907" i="23"/>
  <c r="S907" i="23"/>
  <c r="W906" i="23"/>
  <c r="X906" i="23" s="1"/>
  <c r="U906" i="23"/>
  <c r="T906" i="23"/>
  <c r="S906" i="23"/>
  <c r="W905" i="23"/>
  <c r="X905" i="23" s="1"/>
  <c r="U905" i="23"/>
  <c r="T905" i="23"/>
  <c r="S905" i="23"/>
  <c r="W904" i="23"/>
  <c r="X904" i="23" s="1"/>
  <c r="U904" i="23"/>
  <c r="T904" i="23"/>
  <c r="S904" i="23"/>
  <c r="W903" i="23"/>
  <c r="X903" i="23" s="1"/>
  <c r="U903" i="23"/>
  <c r="T903" i="23"/>
  <c r="S903" i="23"/>
  <c r="W902" i="23"/>
  <c r="X902" i="23" s="1"/>
  <c r="U902" i="23"/>
  <c r="T902" i="23"/>
  <c r="S902" i="23"/>
  <c r="W901" i="23"/>
  <c r="X901" i="23" s="1"/>
  <c r="U901" i="23"/>
  <c r="T901" i="23"/>
  <c r="S901" i="23"/>
  <c r="W900" i="23"/>
  <c r="X900" i="23" s="1"/>
  <c r="U900" i="23"/>
  <c r="T900" i="23"/>
  <c r="S900" i="23"/>
  <c r="W899" i="23"/>
  <c r="X899" i="23" s="1"/>
  <c r="U899" i="23"/>
  <c r="T899" i="23"/>
  <c r="S899" i="23"/>
  <c r="W898" i="23"/>
  <c r="X898" i="23" s="1"/>
  <c r="U898" i="23"/>
  <c r="T898" i="23"/>
  <c r="S898" i="23"/>
  <c r="W897" i="23"/>
  <c r="X897" i="23" s="1"/>
  <c r="U897" i="23"/>
  <c r="T897" i="23"/>
  <c r="S897" i="23"/>
  <c r="W896" i="23"/>
  <c r="X896" i="23" s="1"/>
  <c r="U896" i="23"/>
  <c r="T896" i="23"/>
  <c r="S896" i="23"/>
  <c r="W895" i="23"/>
  <c r="X895" i="23" s="1"/>
  <c r="U895" i="23"/>
  <c r="T895" i="23"/>
  <c r="S895" i="23"/>
  <c r="W894" i="23"/>
  <c r="X894" i="23" s="1"/>
  <c r="U894" i="23"/>
  <c r="T894" i="23"/>
  <c r="S894" i="23"/>
  <c r="W893" i="23"/>
  <c r="X893" i="23" s="1"/>
  <c r="U893" i="23"/>
  <c r="T893" i="23"/>
  <c r="S893" i="23"/>
  <c r="W892" i="23"/>
  <c r="X892" i="23" s="1"/>
  <c r="U892" i="23"/>
  <c r="T892" i="23"/>
  <c r="S892" i="23"/>
  <c r="W891" i="23"/>
  <c r="X891" i="23" s="1"/>
  <c r="U891" i="23"/>
  <c r="T891" i="23"/>
  <c r="S891" i="23"/>
  <c r="W890" i="23"/>
  <c r="X890" i="23" s="1"/>
  <c r="U890" i="23"/>
  <c r="T890" i="23"/>
  <c r="S890" i="23"/>
  <c r="W889" i="23"/>
  <c r="X889" i="23" s="1"/>
  <c r="U889" i="23"/>
  <c r="T889" i="23"/>
  <c r="S889" i="23"/>
  <c r="W888" i="23"/>
  <c r="X888" i="23" s="1"/>
  <c r="U888" i="23"/>
  <c r="T888" i="23"/>
  <c r="S888" i="23"/>
  <c r="W887" i="23"/>
  <c r="X887" i="23" s="1"/>
  <c r="U887" i="23"/>
  <c r="T887" i="23"/>
  <c r="S887" i="23"/>
  <c r="W886" i="23"/>
  <c r="X886" i="23" s="1"/>
  <c r="U886" i="23"/>
  <c r="T886" i="23"/>
  <c r="S886" i="23"/>
  <c r="W885" i="23"/>
  <c r="X885" i="23" s="1"/>
  <c r="U885" i="23"/>
  <c r="T885" i="23"/>
  <c r="S885" i="23"/>
  <c r="W884" i="23"/>
  <c r="X884" i="23" s="1"/>
  <c r="U884" i="23"/>
  <c r="T884" i="23"/>
  <c r="S884" i="23"/>
  <c r="W883" i="23"/>
  <c r="X883" i="23" s="1"/>
  <c r="U883" i="23"/>
  <c r="T883" i="23"/>
  <c r="S883" i="23"/>
  <c r="W882" i="23"/>
  <c r="X882" i="23" s="1"/>
  <c r="U882" i="23"/>
  <c r="T882" i="23"/>
  <c r="S882" i="23"/>
  <c r="W881" i="23"/>
  <c r="X881" i="23" s="1"/>
  <c r="U881" i="23"/>
  <c r="T881" i="23"/>
  <c r="S881" i="23"/>
  <c r="W880" i="23"/>
  <c r="X880" i="23" s="1"/>
  <c r="U880" i="23"/>
  <c r="T880" i="23"/>
  <c r="S880" i="23"/>
  <c r="W879" i="23"/>
  <c r="X879" i="23" s="1"/>
  <c r="U879" i="23"/>
  <c r="T879" i="23"/>
  <c r="S879" i="23"/>
  <c r="W878" i="23"/>
  <c r="X878" i="23" s="1"/>
  <c r="U878" i="23"/>
  <c r="T878" i="23"/>
  <c r="S878" i="23"/>
  <c r="W877" i="23"/>
  <c r="X877" i="23" s="1"/>
  <c r="U877" i="23"/>
  <c r="T877" i="23"/>
  <c r="S877" i="23"/>
  <c r="W876" i="23"/>
  <c r="X876" i="23" s="1"/>
  <c r="U876" i="23"/>
  <c r="T876" i="23"/>
  <c r="S876" i="23"/>
  <c r="W875" i="23"/>
  <c r="X875" i="23" s="1"/>
  <c r="U875" i="23"/>
  <c r="T875" i="23"/>
  <c r="S875" i="23"/>
  <c r="W874" i="23"/>
  <c r="X874" i="23" s="1"/>
  <c r="U874" i="23"/>
  <c r="T874" i="23"/>
  <c r="S874" i="23"/>
  <c r="W873" i="23"/>
  <c r="X873" i="23" s="1"/>
  <c r="U873" i="23"/>
  <c r="T873" i="23"/>
  <c r="S873" i="23"/>
  <c r="W872" i="23"/>
  <c r="X872" i="23" s="1"/>
  <c r="U872" i="23"/>
  <c r="T872" i="23"/>
  <c r="S872" i="23"/>
  <c r="W871" i="23"/>
  <c r="X871" i="23" s="1"/>
  <c r="U871" i="23"/>
  <c r="T871" i="23"/>
  <c r="S871" i="23"/>
  <c r="W870" i="23"/>
  <c r="X870" i="23" s="1"/>
  <c r="U870" i="23"/>
  <c r="T870" i="23"/>
  <c r="S870" i="23"/>
  <c r="W869" i="23"/>
  <c r="X869" i="23" s="1"/>
  <c r="U869" i="23"/>
  <c r="T869" i="23"/>
  <c r="S869" i="23"/>
  <c r="W868" i="23"/>
  <c r="X868" i="23" s="1"/>
  <c r="U868" i="23"/>
  <c r="T868" i="23"/>
  <c r="S868" i="23"/>
  <c r="W867" i="23"/>
  <c r="X867" i="23" s="1"/>
  <c r="U867" i="23"/>
  <c r="T867" i="23"/>
  <c r="S867" i="23"/>
  <c r="W866" i="23"/>
  <c r="X866" i="23" s="1"/>
  <c r="U866" i="23"/>
  <c r="T866" i="23"/>
  <c r="S866" i="23"/>
  <c r="W865" i="23"/>
  <c r="X865" i="23" s="1"/>
  <c r="U865" i="23"/>
  <c r="T865" i="23"/>
  <c r="S865" i="23"/>
  <c r="W864" i="23"/>
  <c r="X864" i="23" s="1"/>
  <c r="U864" i="23"/>
  <c r="T864" i="23"/>
  <c r="S864" i="23"/>
  <c r="W863" i="23"/>
  <c r="X863" i="23" s="1"/>
  <c r="U863" i="23"/>
  <c r="T863" i="23"/>
  <c r="S863" i="23"/>
  <c r="W862" i="23"/>
  <c r="X862" i="23" s="1"/>
  <c r="U862" i="23"/>
  <c r="T862" i="23"/>
  <c r="S862" i="23"/>
  <c r="W861" i="23"/>
  <c r="X861" i="23" s="1"/>
  <c r="U861" i="23"/>
  <c r="T861" i="23"/>
  <c r="S861" i="23"/>
  <c r="W860" i="23"/>
  <c r="X860" i="23" s="1"/>
  <c r="U860" i="23"/>
  <c r="T860" i="23"/>
  <c r="S860" i="23"/>
  <c r="W859" i="23"/>
  <c r="X859" i="23" s="1"/>
  <c r="U859" i="23"/>
  <c r="T859" i="23"/>
  <c r="S859" i="23"/>
  <c r="W858" i="23"/>
  <c r="X858" i="23" s="1"/>
  <c r="U858" i="23"/>
  <c r="T858" i="23"/>
  <c r="S858" i="23"/>
  <c r="W857" i="23"/>
  <c r="X857" i="23" s="1"/>
  <c r="U857" i="23"/>
  <c r="T857" i="23"/>
  <c r="S857" i="23"/>
  <c r="W856" i="23"/>
  <c r="X856" i="23" s="1"/>
  <c r="U856" i="23"/>
  <c r="T856" i="23"/>
  <c r="S856" i="23"/>
  <c r="R179" i="54" l="1"/>
  <c r="Q179" i="54"/>
  <c r="Q182" i="54" s="1"/>
  <c r="N147" i="54"/>
  <c r="M147" i="54"/>
  <c r="L147" i="54"/>
  <c r="K147" i="54"/>
  <c r="J147" i="54"/>
  <c r="I147" i="54"/>
  <c r="G147" i="54"/>
  <c r="F147" i="54"/>
  <c r="E147" i="54"/>
  <c r="D147" i="54"/>
  <c r="C147" i="54"/>
  <c r="O147" i="54"/>
  <c r="G15" i="54"/>
  <c r="F15" i="54"/>
  <c r="E15" i="54"/>
  <c r="D15" i="54"/>
  <c r="C15" i="54"/>
  <c r="F25" i="54"/>
  <c r="E25" i="54"/>
  <c r="D25" i="54"/>
  <c r="C25" i="54"/>
  <c r="C178" i="54"/>
  <c r="D178" i="54"/>
  <c r="E178" i="54"/>
  <c r="F178" i="54"/>
  <c r="G178" i="54"/>
  <c r="I178" i="54"/>
  <c r="J178" i="54"/>
  <c r="K178" i="54"/>
  <c r="L178" i="54"/>
  <c r="M178" i="54"/>
  <c r="N178" i="54"/>
  <c r="C179" i="54"/>
  <c r="F179" i="54"/>
  <c r="G179" i="54"/>
  <c r="K179" i="54"/>
  <c r="L179" i="54"/>
  <c r="N177" i="54"/>
  <c r="N179" i="54" s="1"/>
  <c r="M177" i="54"/>
  <c r="M179" i="54" s="1"/>
  <c r="L177" i="54"/>
  <c r="K177" i="54"/>
  <c r="J177" i="54"/>
  <c r="J179" i="54" s="1"/>
  <c r="I177" i="54"/>
  <c r="I179" i="54" s="1"/>
  <c r="G177" i="54"/>
  <c r="F177" i="54"/>
  <c r="E177" i="54"/>
  <c r="E179" i="54" s="1"/>
  <c r="D177" i="54"/>
  <c r="D179" i="54" s="1"/>
  <c r="C177" i="54"/>
  <c r="G91" i="54"/>
  <c r="F91" i="54"/>
  <c r="E91" i="54"/>
  <c r="D91" i="54"/>
  <c r="C91" i="54"/>
  <c r="N173" i="54"/>
  <c r="M173" i="54"/>
  <c r="L173" i="54"/>
  <c r="K173" i="54"/>
  <c r="J173" i="54"/>
  <c r="I173" i="54"/>
  <c r="O173" i="54" s="1"/>
  <c r="G173" i="54"/>
  <c r="F173" i="54"/>
  <c r="E173" i="54"/>
  <c r="D173" i="54"/>
  <c r="C173" i="54"/>
  <c r="N174" i="54"/>
  <c r="K174" i="54"/>
  <c r="J174" i="54"/>
  <c r="I174" i="54"/>
  <c r="G174" i="54"/>
  <c r="F174" i="54"/>
  <c r="E174" i="54"/>
  <c r="D174" i="54"/>
  <c r="C174" i="54"/>
  <c r="C172" i="54"/>
  <c r="C171" i="54"/>
  <c r="N168" i="54"/>
  <c r="M168" i="54"/>
  <c r="L168" i="54"/>
  <c r="K168" i="54"/>
  <c r="J168" i="54"/>
  <c r="I168" i="54"/>
  <c r="G168" i="54"/>
  <c r="F168" i="54"/>
  <c r="E168" i="54"/>
  <c r="D168" i="54"/>
  <c r="C168" i="54"/>
  <c r="N167" i="54"/>
  <c r="M167" i="54"/>
  <c r="L167" i="54"/>
  <c r="K167" i="54"/>
  <c r="J167" i="54"/>
  <c r="I167" i="54"/>
  <c r="G167" i="54"/>
  <c r="F167" i="54"/>
  <c r="E167" i="54"/>
  <c r="D167" i="54"/>
  <c r="C167" i="54"/>
  <c r="N164" i="54"/>
  <c r="M164" i="54"/>
  <c r="L164" i="54"/>
  <c r="K164" i="54"/>
  <c r="J164" i="54"/>
  <c r="I164" i="54"/>
  <c r="G164" i="54"/>
  <c r="F164" i="54"/>
  <c r="E164" i="54"/>
  <c r="D164" i="54"/>
  <c r="C164" i="54"/>
  <c r="N163" i="54"/>
  <c r="K163" i="54"/>
  <c r="J163" i="54"/>
  <c r="I163" i="54"/>
  <c r="G163" i="54"/>
  <c r="F163" i="54"/>
  <c r="E163" i="54"/>
  <c r="D163" i="54"/>
  <c r="C163" i="54"/>
  <c r="N162" i="54"/>
  <c r="K162" i="54"/>
  <c r="J162" i="54"/>
  <c r="I162" i="54"/>
  <c r="G162" i="54"/>
  <c r="F162" i="54"/>
  <c r="E162" i="54"/>
  <c r="D162" i="54"/>
  <c r="C162" i="54"/>
  <c r="C160" i="54"/>
  <c r="C158" i="54"/>
  <c r="N143" i="54"/>
  <c r="K143" i="54"/>
  <c r="J143" i="54"/>
  <c r="I143" i="54"/>
  <c r="G143" i="54"/>
  <c r="F143" i="54"/>
  <c r="E143" i="54"/>
  <c r="D143" i="54"/>
  <c r="C143" i="54"/>
  <c r="M143" i="54"/>
  <c r="L143" i="54"/>
  <c r="N155" i="54"/>
  <c r="K155" i="54"/>
  <c r="J155" i="54"/>
  <c r="I155" i="54"/>
  <c r="G155" i="54"/>
  <c r="F155" i="54"/>
  <c r="E155" i="54"/>
  <c r="D155" i="54"/>
  <c r="C155" i="54"/>
  <c r="N154" i="54"/>
  <c r="K154" i="54"/>
  <c r="J154" i="54"/>
  <c r="I154" i="54"/>
  <c r="G154" i="54"/>
  <c r="F154" i="54"/>
  <c r="E154" i="54"/>
  <c r="D154" i="54"/>
  <c r="C154" i="54"/>
  <c r="L153" i="54"/>
  <c r="C150" i="54"/>
  <c r="N149" i="54"/>
  <c r="M149" i="54"/>
  <c r="L149" i="54"/>
  <c r="K149" i="54"/>
  <c r="J149" i="54"/>
  <c r="I149" i="54"/>
  <c r="G149" i="54"/>
  <c r="F149" i="54"/>
  <c r="E149" i="54"/>
  <c r="D149" i="54"/>
  <c r="C149" i="54"/>
  <c r="N140" i="54"/>
  <c r="M140" i="54"/>
  <c r="L140" i="54"/>
  <c r="K140" i="54"/>
  <c r="J140" i="54"/>
  <c r="I140" i="54"/>
  <c r="G140" i="54"/>
  <c r="F140" i="54"/>
  <c r="E140" i="54"/>
  <c r="D140" i="54"/>
  <c r="C140" i="54"/>
  <c r="N139" i="54"/>
  <c r="K139" i="54"/>
  <c r="J139" i="54"/>
  <c r="I139" i="54"/>
  <c r="G139" i="54"/>
  <c r="F139" i="54"/>
  <c r="E139" i="54"/>
  <c r="D139" i="54"/>
  <c r="C139" i="54"/>
  <c r="I56" i="54"/>
  <c r="J56" i="54"/>
  <c r="K56" i="54"/>
  <c r="N56" i="54"/>
  <c r="I62" i="54"/>
  <c r="J62" i="54"/>
  <c r="K62" i="54"/>
  <c r="N62" i="54"/>
  <c r="I70" i="54"/>
  <c r="J70" i="54"/>
  <c r="K70" i="54"/>
  <c r="N70" i="54"/>
  <c r="I76" i="54"/>
  <c r="J76" i="54"/>
  <c r="K76" i="54"/>
  <c r="N76" i="54"/>
  <c r="I91" i="54"/>
  <c r="J91" i="54"/>
  <c r="K91" i="54"/>
  <c r="I82" i="54"/>
  <c r="J82" i="54"/>
  <c r="K82" i="54"/>
  <c r="N82" i="54"/>
  <c r="N91" i="54"/>
  <c r="W42" i="54"/>
  <c r="O42" i="54"/>
  <c r="O164" i="54" l="1"/>
  <c r="O143" i="54"/>
  <c r="O177" i="54"/>
  <c r="O168" i="54"/>
  <c r="O167" i="54"/>
  <c r="Y42" i="54"/>
  <c r="O149" i="54"/>
  <c r="O140" i="54"/>
  <c r="W20" i="54"/>
  <c r="Q91" i="54"/>
  <c r="R91" i="54"/>
  <c r="S91" i="54"/>
  <c r="V91" i="54"/>
  <c r="Q82" i="54"/>
  <c r="R82" i="54"/>
  <c r="S82" i="54"/>
  <c r="V82" i="54"/>
  <c r="Q76" i="54"/>
  <c r="R76" i="54"/>
  <c r="S76" i="54"/>
  <c r="V76" i="54"/>
  <c r="W74" i="54"/>
  <c r="O74" i="54"/>
  <c r="V70" i="54"/>
  <c r="S70" i="54"/>
  <c r="R70" i="54"/>
  <c r="Q70" i="54"/>
  <c r="Q62" i="54"/>
  <c r="R62" i="54"/>
  <c r="S62" i="54"/>
  <c r="V62" i="54"/>
  <c r="Q56" i="54"/>
  <c r="R56" i="54"/>
  <c r="S56" i="54"/>
  <c r="V56" i="54"/>
  <c r="U110" i="54"/>
  <c r="N110" i="54"/>
  <c r="K110" i="54"/>
  <c r="J110" i="54"/>
  <c r="I110" i="54"/>
  <c r="G110" i="54"/>
  <c r="F110" i="54"/>
  <c r="E110" i="54"/>
  <c r="D110" i="54"/>
  <c r="C110" i="54"/>
  <c r="V36" i="54"/>
  <c r="V40" i="54" s="1"/>
  <c r="S36" i="54"/>
  <c r="S40" i="54" s="1"/>
  <c r="R36" i="54"/>
  <c r="R40" i="54" s="1"/>
  <c r="Q36" i="54"/>
  <c r="Q40" i="54" s="1"/>
  <c r="N36" i="54"/>
  <c r="N40" i="54" s="1"/>
  <c r="K36" i="54"/>
  <c r="K40" i="54" s="1"/>
  <c r="J36" i="54"/>
  <c r="J40" i="54" s="1"/>
  <c r="I36" i="54"/>
  <c r="I40" i="54" s="1"/>
  <c r="G36" i="54"/>
  <c r="G40" i="54" s="1"/>
  <c r="F36" i="54"/>
  <c r="F40" i="54" s="1"/>
  <c r="E36" i="54"/>
  <c r="E40" i="54" s="1"/>
  <c r="D36" i="54"/>
  <c r="D40" i="54" s="1"/>
  <c r="C36" i="54"/>
  <c r="C40" i="54" s="1"/>
  <c r="W39" i="54"/>
  <c r="O39" i="54"/>
  <c r="O32" i="54"/>
  <c r="V29" i="54"/>
  <c r="V33" i="54" s="1"/>
  <c r="S29" i="54"/>
  <c r="S33" i="54" s="1"/>
  <c r="R29" i="54"/>
  <c r="R33" i="54" s="1"/>
  <c r="Q29" i="54"/>
  <c r="Q33" i="54" s="1"/>
  <c r="N29" i="54"/>
  <c r="N33" i="54" s="1"/>
  <c r="K29" i="54"/>
  <c r="K33" i="54" s="1"/>
  <c r="J29" i="54"/>
  <c r="J33" i="54" s="1"/>
  <c r="I29" i="54"/>
  <c r="I33" i="54" s="1"/>
  <c r="G29" i="54"/>
  <c r="G33" i="54" s="1"/>
  <c r="F29" i="54"/>
  <c r="F33" i="54" s="1"/>
  <c r="E29" i="54"/>
  <c r="E33" i="54" s="1"/>
  <c r="D29" i="54"/>
  <c r="D33" i="54" s="1"/>
  <c r="C29" i="54"/>
  <c r="C33" i="54" s="1"/>
  <c r="W31" i="54"/>
  <c r="O31" i="54"/>
  <c r="V21" i="54"/>
  <c r="N153" i="54" s="1"/>
  <c r="S21" i="54"/>
  <c r="R21" i="54"/>
  <c r="Q21" i="54"/>
  <c r="N21" i="54"/>
  <c r="N25" i="54" s="1"/>
  <c r="K21" i="54"/>
  <c r="K25" i="54" s="1"/>
  <c r="J21" i="54"/>
  <c r="J25" i="54" s="1"/>
  <c r="I21" i="54"/>
  <c r="I25" i="54" s="1"/>
  <c r="G21" i="54"/>
  <c r="G153" i="54" s="1"/>
  <c r="F21" i="54"/>
  <c r="F153" i="54" s="1"/>
  <c r="E21" i="54"/>
  <c r="E153" i="54" s="1"/>
  <c r="D21" i="54"/>
  <c r="D153" i="54" s="1"/>
  <c r="C21" i="54"/>
  <c r="C153" i="54" s="1"/>
  <c r="W24" i="54"/>
  <c r="O24" i="54"/>
  <c r="W13" i="54"/>
  <c r="O13" i="54"/>
  <c r="V11" i="54"/>
  <c r="V15" i="54" s="1"/>
  <c r="S11" i="54"/>
  <c r="S15" i="54" s="1"/>
  <c r="R11" i="54"/>
  <c r="R15" i="54" s="1"/>
  <c r="Q11" i="54"/>
  <c r="Q15" i="54" s="1"/>
  <c r="N11" i="54"/>
  <c r="N15" i="54" s="1"/>
  <c r="K11" i="54"/>
  <c r="K15" i="54" s="1"/>
  <c r="J11" i="54"/>
  <c r="J15" i="54" s="1"/>
  <c r="I11" i="54"/>
  <c r="I15" i="54" s="1"/>
  <c r="G11" i="54"/>
  <c r="F11" i="54"/>
  <c r="E11" i="54"/>
  <c r="D11" i="54"/>
  <c r="C11" i="54"/>
  <c r="V48" i="54"/>
  <c r="U48" i="54"/>
  <c r="T48" i="54"/>
  <c r="S48" i="54"/>
  <c r="R48" i="54"/>
  <c r="Q48" i="54"/>
  <c r="N48" i="54"/>
  <c r="K48" i="54"/>
  <c r="J48" i="54"/>
  <c r="I48" i="54"/>
  <c r="G48" i="54"/>
  <c r="F48" i="54"/>
  <c r="E48" i="54"/>
  <c r="D48" i="54"/>
  <c r="C48" i="54"/>
  <c r="W49" i="54"/>
  <c r="O49" i="54"/>
  <c r="W50" i="54"/>
  <c r="O50" i="54"/>
  <c r="W38" i="54"/>
  <c r="O38" i="54"/>
  <c r="W37" i="54"/>
  <c r="O37" i="54"/>
  <c r="W30" i="54"/>
  <c r="O30" i="54"/>
  <c r="W22" i="54"/>
  <c r="O22" i="54"/>
  <c r="U109" i="54"/>
  <c r="N109" i="54"/>
  <c r="M109" i="54"/>
  <c r="L109" i="54"/>
  <c r="K109" i="54"/>
  <c r="J109" i="54"/>
  <c r="I109" i="54"/>
  <c r="G109" i="54"/>
  <c r="F109" i="54"/>
  <c r="E109" i="54"/>
  <c r="D109" i="54"/>
  <c r="C109" i="54"/>
  <c r="U111" i="54"/>
  <c r="N111" i="54"/>
  <c r="K111" i="54"/>
  <c r="J111" i="54"/>
  <c r="I111" i="54"/>
  <c r="G111" i="54"/>
  <c r="F111" i="54"/>
  <c r="E111" i="54"/>
  <c r="D111" i="54"/>
  <c r="C111" i="54"/>
  <c r="W27" i="54"/>
  <c r="O27" i="54"/>
  <c r="W45" i="54"/>
  <c r="O45" i="54"/>
  <c r="U114" i="54"/>
  <c r="N114" i="54"/>
  <c r="M114" i="54"/>
  <c r="L114" i="54"/>
  <c r="K114" i="54"/>
  <c r="J114" i="54"/>
  <c r="I114" i="54"/>
  <c r="G114" i="54"/>
  <c r="F114" i="54"/>
  <c r="E114" i="54"/>
  <c r="D114" i="54"/>
  <c r="C114" i="54"/>
  <c r="W89" i="54"/>
  <c r="O89" i="54"/>
  <c r="W88" i="54"/>
  <c r="O88" i="54"/>
  <c r="W60" i="54"/>
  <c r="O60" i="54"/>
  <c r="U120" i="54"/>
  <c r="N120" i="54"/>
  <c r="K120" i="54"/>
  <c r="J120" i="54"/>
  <c r="I120" i="54"/>
  <c r="G120" i="54"/>
  <c r="F120" i="54"/>
  <c r="E120" i="54"/>
  <c r="D120" i="54"/>
  <c r="C120" i="54"/>
  <c r="U119" i="54"/>
  <c r="N119" i="54"/>
  <c r="K119" i="54"/>
  <c r="J119" i="54"/>
  <c r="I119" i="54"/>
  <c r="G119" i="54"/>
  <c r="F119" i="54"/>
  <c r="E119" i="54"/>
  <c r="D119" i="54"/>
  <c r="C119" i="54"/>
  <c r="G76" i="54"/>
  <c r="F76" i="54"/>
  <c r="E76" i="54"/>
  <c r="D76" i="54"/>
  <c r="C76" i="54"/>
  <c r="W75" i="54"/>
  <c r="O75" i="54"/>
  <c r="W73" i="54"/>
  <c r="O73" i="54"/>
  <c r="W72" i="54"/>
  <c r="O72" i="54"/>
  <c r="G56" i="54"/>
  <c r="F56" i="54"/>
  <c r="E56" i="54"/>
  <c r="D56" i="54"/>
  <c r="C56" i="54"/>
  <c r="W55" i="54"/>
  <c r="O55" i="54"/>
  <c r="W54" i="54"/>
  <c r="O54" i="54"/>
  <c r="W53" i="54"/>
  <c r="O53" i="54"/>
  <c r="W52" i="54"/>
  <c r="O52" i="54"/>
  <c r="W19" i="54"/>
  <c r="O19" i="54"/>
  <c r="W90" i="54"/>
  <c r="O90" i="54"/>
  <c r="W65" i="54"/>
  <c r="O65" i="54"/>
  <c r="W64" i="54"/>
  <c r="O64" i="54"/>
  <c r="W7" i="54"/>
  <c r="O7" i="54"/>
  <c r="W14" i="54"/>
  <c r="W12" i="54"/>
  <c r="O14" i="54"/>
  <c r="O12" i="54"/>
  <c r="O96" i="54"/>
  <c r="O93" i="54"/>
  <c r="O87" i="54"/>
  <c r="O86" i="54"/>
  <c r="O85" i="54"/>
  <c r="O84" i="54"/>
  <c r="O81" i="54"/>
  <c r="O80" i="54"/>
  <c r="O79" i="54"/>
  <c r="O78" i="54"/>
  <c r="O69" i="54"/>
  <c r="O68" i="54"/>
  <c r="O61" i="54"/>
  <c r="O59" i="54"/>
  <c r="O58" i="54"/>
  <c r="O35" i="54"/>
  <c r="O28" i="54"/>
  <c r="O18" i="54"/>
  <c r="O23" i="54"/>
  <c r="O20" i="54"/>
  <c r="O17" i="54"/>
  <c r="O8" i="54"/>
  <c r="O10" i="54"/>
  <c r="O9" i="54"/>
  <c r="O6" i="54"/>
  <c r="W96" i="54"/>
  <c r="W93" i="54"/>
  <c r="W87" i="54"/>
  <c r="W86" i="54"/>
  <c r="W85" i="54"/>
  <c r="W84" i="54"/>
  <c r="W81" i="54"/>
  <c r="O178" i="54" s="1"/>
  <c r="W80" i="54"/>
  <c r="W79" i="54"/>
  <c r="W78" i="54"/>
  <c r="W69" i="54"/>
  <c r="W68" i="54"/>
  <c r="W61" i="54"/>
  <c r="W59" i="54"/>
  <c r="W58" i="54"/>
  <c r="W35" i="54"/>
  <c r="W32" i="54"/>
  <c r="W28" i="54"/>
  <c r="W18" i="54"/>
  <c r="W23" i="54"/>
  <c r="W17" i="54"/>
  <c r="W8" i="54"/>
  <c r="W10" i="54"/>
  <c r="W9" i="54"/>
  <c r="W6" i="54"/>
  <c r="O179" i="54" l="1"/>
  <c r="R25" i="54"/>
  <c r="R101" i="54" s="1"/>
  <c r="J153" i="54"/>
  <c r="S25" i="54"/>
  <c r="S101" i="54" s="1"/>
  <c r="S103" i="54" s="1"/>
  <c r="K153" i="54"/>
  <c r="J101" i="54"/>
  <c r="Q25" i="54"/>
  <c r="Q101" i="54" s="1"/>
  <c r="I153" i="54"/>
  <c r="V25" i="54"/>
  <c r="V101" i="54" s="1"/>
  <c r="I101" i="54"/>
  <c r="K101" i="54"/>
  <c r="Y93" i="54"/>
  <c r="Y45" i="54"/>
  <c r="N101" i="54"/>
  <c r="Y24" i="54"/>
  <c r="Y96" i="54"/>
  <c r="Y13" i="54"/>
  <c r="O82" i="54"/>
  <c r="O91" i="54"/>
  <c r="Y14" i="54"/>
  <c r="O76" i="54"/>
  <c r="W91" i="54"/>
  <c r="Y12" i="54"/>
  <c r="O62" i="54"/>
  <c r="O70" i="54"/>
  <c r="Y74" i="54"/>
  <c r="Y31" i="54"/>
  <c r="Y39" i="54"/>
  <c r="O36" i="54"/>
  <c r="O40" i="54" s="1"/>
  <c r="O110" i="54"/>
  <c r="O21" i="54"/>
  <c r="O25" i="54" s="1"/>
  <c r="W110" i="54"/>
  <c r="W21" i="54"/>
  <c r="W25" i="54" s="1"/>
  <c r="O48" i="54"/>
  <c r="W48" i="54"/>
  <c r="O29" i="54"/>
  <c r="O33" i="54" s="1"/>
  <c r="W29" i="54"/>
  <c r="W33" i="54" s="1"/>
  <c r="W36" i="54"/>
  <c r="W40" i="54" s="1"/>
  <c r="O11" i="54"/>
  <c r="O15" i="54" s="1"/>
  <c r="W11" i="54"/>
  <c r="W15" i="54" s="1"/>
  <c r="Y81" i="54"/>
  <c r="Y22" i="54"/>
  <c r="Y37" i="54"/>
  <c r="O111" i="54"/>
  <c r="Y30" i="54"/>
  <c r="Y38" i="54"/>
  <c r="O109" i="54"/>
  <c r="W111" i="54"/>
  <c r="W109" i="54"/>
  <c r="Y27" i="54"/>
  <c r="W114" i="54"/>
  <c r="O114" i="54"/>
  <c r="Y89" i="54"/>
  <c r="Y88" i="54"/>
  <c r="Y60" i="54"/>
  <c r="O120" i="54"/>
  <c r="O119" i="54"/>
  <c r="O56" i="54"/>
  <c r="W76" i="54"/>
  <c r="W120" i="54"/>
  <c r="Y90" i="54"/>
  <c r="Y54" i="54"/>
  <c r="Y75" i="54"/>
  <c r="Y19" i="54"/>
  <c r="Y79" i="54"/>
  <c r="Y85" i="54"/>
  <c r="Y73" i="54"/>
  <c r="W119" i="54"/>
  <c r="Y55" i="54"/>
  <c r="W56" i="54"/>
  <c r="Y61" i="54"/>
  <c r="Y72" i="54"/>
  <c r="Y53" i="54"/>
  <c r="Y52" i="54"/>
  <c r="Y18" i="54"/>
  <c r="Y9" i="54"/>
  <c r="Y20" i="54"/>
  <c r="Y32" i="54"/>
  <c r="Y59" i="54"/>
  <c r="Y69" i="54"/>
  <c r="Y87" i="54"/>
  <c r="Y6" i="54"/>
  <c r="Y65" i="54"/>
  <c r="Y58" i="54"/>
  <c r="Y80" i="54"/>
  <c r="Y86" i="54"/>
  <c r="O66" i="54"/>
  <c r="Y23" i="54"/>
  <c r="Y35" i="54"/>
  <c r="Y84" i="54"/>
  <c r="Y28" i="54"/>
  <c r="Y68" i="54"/>
  <c r="Y64" i="54"/>
  <c r="Y17" i="54"/>
  <c r="Y8" i="54"/>
  <c r="Y78" i="54"/>
  <c r="Y7" i="54"/>
  <c r="Y10" i="54"/>
  <c r="K97" i="17"/>
  <c r="K95" i="17"/>
  <c r="K94" i="17"/>
  <c r="D267" i="17"/>
  <c r="E267" i="17"/>
  <c r="J267" i="17"/>
  <c r="I267" i="17"/>
  <c r="C123" i="17"/>
  <c r="C126" i="17" s="1"/>
  <c r="Q103" i="54" l="1"/>
  <c r="R103" i="54"/>
  <c r="V103" i="54"/>
  <c r="O101" i="54"/>
  <c r="Y82" i="54"/>
  <c r="Y36" i="54"/>
  <c r="Y40" i="54" s="1"/>
  <c r="Y91" i="54"/>
  <c r="Y76" i="54"/>
  <c r="Y70" i="54"/>
  <c r="Y48" i="54"/>
  <c r="Y29" i="54"/>
  <c r="Y33" i="54" s="1"/>
  <c r="Y21" i="54"/>
  <c r="Y25" i="54" s="1"/>
  <c r="Y11" i="54"/>
  <c r="Y15" i="54" s="1"/>
  <c r="H1071" i="29" l="1"/>
  <c r="W262" i="17" s="1"/>
  <c r="T262" i="17"/>
  <c r="T259" i="17"/>
  <c r="P74" i="17"/>
  <c r="E158" i="17" l="1"/>
  <c r="E157" i="17"/>
  <c r="C158" i="17"/>
  <c r="K154" i="17"/>
  <c r="K151" i="17"/>
  <c r="K148" i="17"/>
  <c r="K145" i="17"/>
  <c r="AU473" i="4" l="1"/>
  <c r="AT473" i="4"/>
  <c r="AS473" i="4"/>
  <c r="U1476" i="23" l="1"/>
  <c r="T1476" i="23"/>
  <c r="S1476" i="23"/>
  <c r="U1475" i="23"/>
  <c r="T1475" i="23"/>
  <c r="S1475" i="23"/>
  <c r="AG23" i="3" l="1"/>
  <c r="S430" i="23" l="1"/>
  <c r="T430" i="23"/>
  <c r="U430" i="23"/>
  <c r="W430" i="23"/>
  <c r="S431" i="23"/>
  <c r="T431" i="23"/>
  <c r="U431" i="23"/>
  <c r="W431" i="23"/>
  <c r="S432" i="23"/>
  <c r="T432" i="23"/>
  <c r="U432" i="23"/>
  <c r="W432" i="23"/>
  <c r="S433" i="23"/>
  <c r="T433" i="23"/>
  <c r="U433" i="23"/>
  <c r="W433" i="23"/>
  <c r="S434" i="23"/>
  <c r="T434" i="23"/>
  <c r="U434" i="23"/>
  <c r="W434" i="23"/>
  <c r="S435" i="23"/>
  <c r="T435" i="23"/>
  <c r="U435" i="23"/>
  <c r="W435" i="23"/>
  <c r="S436" i="23"/>
  <c r="T436" i="23"/>
  <c r="U436" i="23"/>
  <c r="W436" i="23"/>
  <c r="S437" i="23"/>
  <c r="T437" i="23"/>
  <c r="U437" i="23"/>
  <c r="W437" i="23"/>
  <c r="S438" i="23"/>
  <c r="T438" i="23"/>
  <c r="U438" i="23"/>
  <c r="W438" i="23"/>
  <c r="S439" i="23"/>
  <c r="T439" i="23"/>
  <c r="U439" i="23"/>
  <c r="W439" i="23"/>
  <c r="S440" i="23"/>
  <c r="T440" i="23"/>
  <c r="U440" i="23"/>
  <c r="W440" i="23"/>
  <c r="S441" i="23"/>
  <c r="T441" i="23"/>
  <c r="U441" i="23"/>
  <c r="W441" i="23"/>
  <c r="S442" i="23"/>
  <c r="T442" i="23"/>
  <c r="U442" i="23"/>
  <c r="W442" i="23"/>
  <c r="S443" i="23"/>
  <c r="T443" i="23"/>
  <c r="U443" i="23"/>
  <c r="W443" i="23"/>
  <c r="S444" i="23"/>
  <c r="T444" i="23"/>
  <c r="U444" i="23"/>
  <c r="W444" i="23"/>
  <c r="S445" i="23"/>
  <c r="T445" i="23"/>
  <c r="U445" i="23"/>
  <c r="W445" i="23"/>
  <c r="S446" i="23"/>
  <c r="T446" i="23"/>
  <c r="U446" i="23"/>
  <c r="W446" i="23"/>
  <c r="S447" i="23"/>
  <c r="T447" i="23"/>
  <c r="U447" i="23"/>
  <c r="W447" i="23"/>
  <c r="S448" i="23"/>
  <c r="T448" i="23"/>
  <c r="U448" i="23"/>
  <c r="W448" i="23"/>
  <c r="S449" i="23"/>
  <c r="T449" i="23"/>
  <c r="U449" i="23"/>
  <c r="W449" i="23"/>
  <c r="S450" i="23"/>
  <c r="T450" i="23"/>
  <c r="U450" i="23"/>
  <c r="W450" i="23"/>
  <c r="S451" i="23"/>
  <c r="T451" i="23"/>
  <c r="U451" i="23"/>
  <c r="W451" i="23"/>
  <c r="S452" i="23"/>
  <c r="T452" i="23"/>
  <c r="U452" i="23"/>
  <c r="W452" i="23"/>
  <c r="S453" i="23"/>
  <c r="T453" i="23"/>
  <c r="U453" i="23"/>
  <c r="W453" i="23"/>
  <c r="S454" i="23"/>
  <c r="T454" i="23"/>
  <c r="U454" i="23"/>
  <c r="W454" i="23"/>
  <c r="S455" i="23"/>
  <c r="T455" i="23"/>
  <c r="U455" i="23"/>
  <c r="W455" i="23"/>
  <c r="S456" i="23"/>
  <c r="T456" i="23"/>
  <c r="U456" i="23"/>
  <c r="W456" i="23"/>
  <c r="S457" i="23"/>
  <c r="T457" i="23"/>
  <c r="U457" i="23"/>
  <c r="W457" i="23"/>
  <c r="S458" i="23"/>
  <c r="T458" i="23"/>
  <c r="U458" i="23"/>
  <c r="W458" i="23"/>
  <c r="S459" i="23"/>
  <c r="T459" i="23"/>
  <c r="U459" i="23"/>
  <c r="W459" i="23"/>
  <c r="S460" i="23"/>
  <c r="T460" i="23"/>
  <c r="U460" i="23"/>
  <c r="W460" i="23"/>
  <c r="S461" i="23"/>
  <c r="T461" i="23"/>
  <c r="U461" i="23"/>
  <c r="W461" i="23"/>
  <c r="S462" i="23"/>
  <c r="T462" i="23"/>
  <c r="U462" i="23"/>
  <c r="W462" i="23"/>
  <c r="S463" i="23"/>
  <c r="T463" i="23"/>
  <c r="U463" i="23"/>
  <c r="W463" i="23"/>
  <c r="S464" i="23"/>
  <c r="T464" i="23"/>
  <c r="U464" i="23"/>
  <c r="W464" i="23"/>
  <c r="S465" i="23"/>
  <c r="T465" i="23"/>
  <c r="U465" i="23"/>
  <c r="W465" i="23"/>
  <c r="S466" i="23"/>
  <c r="T466" i="23"/>
  <c r="U466" i="23"/>
  <c r="W466" i="23"/>
  <c r="S467" i="23"/>
  <c r="T467" i="23"/>
  <c r="U467" i="23"/>
  <c r="W467" i="23"/>
  <c r="S468" i="23"/>
  <c r="T468" i="23"/>
  <c r="U468" i="23"/>
  <c r="W468" i="23"/>
  <c r="S469" i="23"/>
  <c r="T469" i="23"/>
  <c r="U469" i="23"/>
  <c r="W469" i="23"/>
  <c r="S470" i="23"/>
  <c r="T470" i="23"/>
  <c r="U470" i="23"/>
  <c r="W470" i="23"/>
  <c r="S471" i="23"/>
  <c r="T471" i="23"/>
  <c r="U471" i="23"/>
  <c r="W471" i="23"/>
  <c r="S472" i="23"/>
  <c r="T472" i="23"/>
  <c r="U472" i="23"/>
  <c r="W472" i="23"/>
  <c r="S473" i="23"/>
  <c r="T473" i="23"/>
  <c r="U473" i="23"/>
  <c r="W473" i="23"/>
  <c r="S474" i="23"/>
  <c r="T474" i="23"/>
  <c r="U474" i="23"/>
  <c r="W474" i="23"/>
  <c r="S475" i="23"/>
  <c r="T475" i="23"/>
  <c r="U475" i="23"/>
  <c r="W475" i="23"/>
  <c r="S476" i="23"/>
  <c r="T476" i="23"/>
  <c r="U476" i="23"/>
  <c r="W476" i="23"/>
  <c r="S477" i="23"/>
  <c r="T477" i="23"/>
  <c r="U477" i="23"/>
  <c r="W477" i="23"/>
  <c r="S478" i="23"/>
  <c r="T478" i="23"/>
  <c r="U478" i="23"/>
  <c r="W478" i="23"/>
  <c r="S479" i="23"/>
  <c r="T479" i="23"/>
  <c r="U479" i="23"/>
  <c r="W479" i="23"/>
  <c r="S480" i="23"/>
  <c r="T480" i="23"/>
  <c r="U480" i="23"/>
  <c r="W480" i="23"/>
  <c r="S481" i="23"/>
  <c r="T481" i="23"/>
  <c r="U481" i="23"/>
  <c r="W481" i="23"/>
  <c r="S482" i="23"/>
  <c r="T482" i="23"/>
  <c r="U482" i="23"/>
  <c r="W482" i="23"/>
  <c r="S483" i="23"/>
  <c r="T483" i="23"/>
  <c r="U483" i="23"/>
  <c r="W483" i="23"/>
  <c r="S484" i="23"/>
  <c r="T484" i="23"/>
  <c r="U484" i="23"/>
  <c r="W484" i="23"/>
  <c r="S485" i="23"/>
  <c r="T485" i="23"/>
  <c r="U485" i="23"/>
  <c r="W485" i="23"/>
  <c r="S486" i="23"/>
  <c r="T486" i="23"/>
  <c r="U486" i="23"/>
  <c r="W486" i="23"/>
  <c r="S487" i="23"/>
  <c r="T487" i="23"/>
  <c r="U487" i="23"/>
  <c r="W487" i="23"/>
  <c r="S488" i="23"/>
  <c r="T488" i="23"/>
  <c r="U488" i="23"/>
  <c r="W488" i="23"/>
  <c r="S489" i="23"/>
  <c r="T489" i="23"/>
  <c r="U489" i="23"/>
  <c r="W489" i="23"/>
  <c r="S490" i="23"/>
  <c r="T490" i="23"/>
  <c r="U490" i="23"/>
  <c r="W490" i="23"/>
  <c r="S491" i="23"/>
  <c r="T491" i="23"/>
  <c r="U491" i="23"/>
  <c r="W491" i="23"/>
  <c r="S492" i="23"/>
  <c r="T492" i="23"/>
  <c r="U492" i="23"/>
  <c r="W492" i="23"/>
  <c r="S493" i="23"/>
  <c r="T493" i="23"/>
  <c r="U493" i="23"/>
  <c r="W493" i="23"/>
  <c r="S494" i="23"/>
  <c r="T494" i="23"/>
  <c r="U494" i="23"/>
  <c r="W494" i="23"/>
  <c r="S495" i="23"/>
  <c r="T495" i="23"/>
  <c r="U495" i="23"/>
  <c r="W495" i="23"/>
  <c r="S496" i="23"/>
  <c r="T496" i="23"/>
  <c r="U496" i="23"/>
  <c r="W496" i="23"/>
  <c r="S497" i="23"/>
  <c r="T497" i="23"/>
  <c r="U497" i="23"/>
  <c r="W497" i="23"/>
  <c r="S498" i="23"/>
  <c r="T498" i="23"/>
  <c r="U498" i="23"/>
  <c r="W498" i="23"/>
  <c r="S499" i="23"/>
  <c r="T499" i="23"/>
  <c r="U499" i="23"/>
  <c r="W499" i="23"/>
  <c r="S500" i="23"/>
  <c r="T500" i="23"/>
  <c r="U500" i="23"/>
  <c r="W500" i="23"/>
  <c r="S501" i="23"/>
  <c r="T501" i="23"/>
  <c r="U501" i="23"/>
  <c r="W501" i="23"/>
  <c r="S502" i="23"/>
  <c r="T502" i="23"/>
  <c r="U502" i="23"/>
  <c r="W502" i="23"/>
  <c r="S503" i="23"/>
  <c r="T503" i="23"/>
  <c r="U503" i="23"/>
  <c r="W503" i="23"/>
  <c r="S504" i="23"/>
  <c r="T504" i="23"/>
  <c r="U504" i="23"/>
  <c r="W504" i="23"/>
  <c r="S505" i="23"/>
  <c r="T505" i="23"/>
  <c r="U505" i="23"/>
  <c r="W505" i="23"/>
  <c r="S506" i="23"/>
  <c r="T506" i="23"/>
  <c r="U506" i="23"/>
  <c r="W506" i="23"/>
  <c r="S507" i="23"/>
  <c r="T507" i="23"/>
  <c r="U507" i="23"/>
  <c r="W507" i="23"/>
  <c r="S508" i="23"/>
  <c r="T508" i="23"/>
  <c r="U508" i="23"/>
  <c r="W508" i="23"/>
  <c r="S509" i="23"/>
  <c r="T509" i="23"/>
  <c r="U509" i="23"/>
  <c r="W509" i="23"/>
  <c r="S510" i="23"/>
  <c r="T510" i="23"/>
  <c r="U510" i="23"/>
  <c r="W510" i="23"/>
  <c r="S511" i="23"/>
  <c r="T511" i="23"/>
  <c r="U511" i="23"/>
  <c r="W511" i="23"/>
  <c r="S512" i="23"/>
  <c r="T512" i="23"/>
  <c r="U512" i="23"/>
  <c r="W512" i="23"/>
  <c r="S513" i="23"/>
  <c r="T513" i="23"/>
  <c r="U513" i="23"/>
  <c r="W513" i="23"/>
  <c r="S514" i="23"/>
  <c r="T514" i="23"/>
  <c r="U514" i="23"/>
  <c r="W514" i="23"/>
  <c r="S515" i="23"/>
  <c r="T515" i="23"/>
  <c r="U515" i="23"/>
  <c r="W515" i="23"/>
  <c r="S516" i="23"/>
  <c r="T516" i="23"/>
  <c r="U516" i="23"/>
  <c r="W516" i="23"/>
  <c r="S517" i="23"/>
  <c r="T517" i="23"/>
  <c r="U517" i="23"/>
  <c r="W517" i="23"/>
  <c r="S518" i="23"/>
  <c r="T518" i="23"/>
  <c r="U518" i="23"/>
  <c r="W518" i="23"/>
  <c r="S519" i="23"/>
  <c r="T519" i="23"/>
  <c r="U519" i="23"/>
  <c r="W519" i="23"/>
  <c r="S520" i="23"/>
  <c r="T520" i="23"/>
  <c r="U520" i="23"/>
  <c r="W520" i="23"/>
  <c r="S521" i="23"/>
  <c r="T521" i="23"/>
  <c r="U521" i="23"/>
  <c r="W521" i="23"/>
  <c r="S522" i="23"/>
  <c r="T522" i="23"/>
  <c r="U522" i="23"/>
  <c r="W522" i="23"/>
  <c r="S523" i="23"/>
  <c r="T523" i="23"/>
  <c r="U523" i="23"/>
  <c r="W523" i="23"/>
  <c r="S524" i="23"/>
  <c r="T524" i="23"/>
  <c r="U524" i="23"/>
  <c r="W524" i="23"/>
  <c r="S525" i="23"/>
  <c r="T525" i="23"/>
  <c r="U525" i="23"/>
  <c r="W525" i="23"/>
  <c r="S526" i="23"/>
  <c r="T526" i="23"/>
  <c r="U526" i="23"/>
  <c r="W526" i="23"/>
  <c r="S527" i="23"/>
  <c r="T527" i="23"/>
  <c r="U527" i="23"/>
  <c r="W527" i="23"/>
  <c r="S528" i="23"/>
  <c r="T528" i="23"/>
  <c r="U528" i="23"/>
  <c r="W528" i="23"/>
  <c r="S529" i="23"/>
  <c r="T529" i="23"/>
  <c r="U529" i="23"/>
  <c r="W529" i="23"/>
  <c r="S530" i="23"/>
  <c r="T530" i="23"/>
  <c r="U530" i="23"/>
  <c r="W530" i="23"/>
  <c r="S531" i="23"/>
  <c r="T531" i="23"/>
  <c r="U531" i="23"/>
  <c r="W531" i="23"/>
  <c r="S532" i="23"/>
  <c r="T532" i="23"/>
  <c r="U532" i="23"/>
  <c r="W532" i="23"/>
  <c r="S533" i="23"/>
  <c r="T533" i="23"/>
  <c r="U533" i="23"/>
  <c r="W533" i="23"/>
  <c r="S534" i="23"/>
  <c r="T534" i="23"/>
  <c r="U534" i="23"/>
  <c r="W534" i="23"/>
  <c r="S535" i="23"/>
  <c r="T535" i="23"/>
  <c r="U535" i="23"/>
  <c r="W535" i="23"/>
  <c r="S536" i="23"/>
  <c r="T536" i="23"/>
  <c r="U536" i="23"/>
  <c r="W536" i="23"/>
  <c r="S537" i="23"/>
  <c r="T537" i="23"/>
  <c r="U537" i="23"/>
  <c r="W537" i="23"/>
  <c r="S538" i="23"/>
  <c r="T538" i="23"/>
  <c r="U538" i="23"/>
  <c r="W538" i="23"/>
  <c r="S539" i="23"/>
  <c r="T539" i="23"/>
  <c r="U539" i="23"/>
  <c r="W539" i="23"/>
  <c r="S540" i="23"/>
  <c r="T540" i="23"/>
  <c r="U540" i="23"/>
  <c r="W540" i="23"/>
  <c r="S541" i="23"/>
  <c r="T541" i="23"/>
  <c r="U541" i="23"/>
  <c r="W541" i="23"/>
  <c r="S542" i="23"/>
  <c r="T542" i="23"/>
  <c r="U542" i="23"/>
  <c r="W542" i="23"/>
  <c r="S543" i="23"/>
  <c r="T543" i="23"/>
  <c r="U543" i="23"/>
  <c r="W543" i="23"/>
  <c r="S544" i="23"/>
  <c r="T544" i="23"/>
  <c r="U544" i="23"/>
  <c r="W544" i="23"/>
  <c r="S545" i="23"/>
  <c r="T545" i="23"/>
  <c r="U545" i="23"/>
  <c r="W545" i="23"/>
  <c r="S546" i="23"/>
  <c r="T546" i="23"/>
  <c r="U546" i="23"/>
  <c r="W546" i="23"/>
  <c r="S547" i="23"/>
  <c r="T547" i="23"/>
  <c r="U547" i="23"/>
  <c r="W547" i="23"/>
  <c r="S548" i="23"/>
  <c r="T548" i="23"/>
  <c r="U548" i="23"/>
  <c r="W548" i="23"/>
  <c r="S549" i="23"/>
  <c r="T549" i="23"/>
  <c r="U549" i="23"/>
  <c r="W549" i="23"/>
  <c r="S550" i="23"/>
  <c r="T550" i="23"/>
  <c r="U550" i="23"/>
  <c r="W550" i="23"/>
  <c r="S551" i="23"/>
  <c r="T551" i="23"/>
  <c r="U551" i="23"/>
  <c r="W551" i="23"/>
  <c r="S552" i="23"/>
  <c r="T552" i="23"/>
  <c r="U552" i="23"/>
  <c r="W552" i="23"/>
  <c r="S553" i="23"/>
  <c r="T553" i="23"/>
  <c r="U553" i="23"/>
  <c r="W553" i="23"/>
  <c r="S554" i="23"/>
  <c r="T554" i="23"/>
  <c r="U554" i="23"/>
  <c r="W554" i="23"/>
  <c r="S555" i="23"/>
  <c r="T555" i="23"/>
  <c r="U555" i="23"/>
  <c r="W555" i="23"/>
  <c r="S556" i="23"/>
  <c r="T556" i="23"/>
  <c r="U556" i="23"/>
  <c r="W556" i="23"/>
  <c r="S557" i="23"/>
  <c r="T557" i="23"/>
  <c r="U557" i="23"/>
  <c r="W557" i="23"/>
  <c r="S558" i="23"/>
  <c r="T558" i="23"/>
  <c r="U558" i="23"/>
  <c r="W558" i="23"/>
  <c r="S559" i="23"/>
  <c r="T559" i="23"/>
  <c r="U559" i="23"/>
  <c r="W559" i="23"/>
  <c r="S560" i="23"/>
  <c r="T560" i="23"/>
  <c r="U560" i="23"/>
  <c r="W560" i="23"/>
  <c r="S561" i="23"/>
  <c r="T561" i="23"/>
  <c r="U561" i="23"/>
  <c r="W561" i="23"/>
  <c r="S562" i="23"/>
  <c r="T562" i="23"/>
  <c r="U562" i="23"/>
  <c r="W562" i="23"/>
  <c r="S563" i="23"/>
  <c r="T563" i="23"/>
  <c r="U563" i="23"/>
  <c r="W563" i="23"/>
  <c r="S564" i="23"/>
  <c r="T564" i="23"/>
  <c r="U564" i="23"/>
  <c r="W564" i="23"/>
  <c r="S565" i="23"/>
  <c r="T565" i="23"/>
  <c r="U565" i="23"/>
  <c r="W565" i="23"/>
  <c r="S566" i="23"/>
  <c r="T566" i="23"/>
  <c r="U566" i="23"/>
  <c r="W566" i="23"/>
  <c r="S567" i="23"/>
  <c r="T567" i="23"/>
  <c r="U567" i="23"/>
  <c r="W567" i="23"/>
  <c r="S568" i="23"/>
  <c r="T568" i="23"/>
  <c r="U568" i="23"/>
  <c r="W568" i="23"/>
  <c r="S569" i="23"/>
  <c r="T569" i="23"/>
  <c r="U569" i="23"/>
  <c r="W569" i="23"/>
  <c r="S570" i="23"/>
  <c r="T570" i="23"/>
  <c r="U570" i="23"/>
  <c r="W570" i="23"/>
  <c r="U1321" i="23" l="1"/>
  <c r="T1321" i="23"/>
  <c r="S1321" i="23"/>
  <c r="U1168" i="23"/>
  <c r="T1168" i="23"/>
  <c r="S1168" i="23"/>
  <c r="U1167" i="23"/>
  <c r="T1167" i="23"/>
  <c r="S1167" i="23"/>
  <c r="W1706" i="23" l="1"/>
  <c r="W1705" i="23"/>
  <c r="W1704" i="23"/>
  <c r="W1703" i="23"/>
  <c r="W1702" i="23"/>
  <c r="W1701" i="23"/>
  <c r="W1700" i="23"/>
  <c r="W1699" i="23"/>
  <c r="W1632" i="23"/>
  <c r="W1631" i="23"/>
  <c r="W1630" i="23"/>
  <c r="W1629" i="23"/>
  <c r="W1628" i="23"/>
  <c r="W1627" i="23"/>
  <c r="W1626" i="23"/>
  <c r="W1625" i="23"/>
  <c r="W1624" i="23"/>
  <c r="W1623" i="23"/>
  <c r="W1622" i="23"/>
  <c r="W1621" i="23"/>
  <c r="W1620" i="23"/>
  <c r="W1619" i="23"/>
  <c r="W1618" i="23"/>
  <c r="W1617" i="23"/>
  <c r="W1616" i="23"/>
  <c r="W1615" i="23"/>
  <c r="W1614" i="23"/>
  <c r="W1613" i="23"/>
  <c r="W1612" i="23"/>
  <c r="W1611" i="23"/>
  <c r="W1610" i="23"/>
  <c r="W1609" i="23"/>
  <c r="W1608" i="23"/>
  <c r="W1607" i="23"/>
  <c r="W1606" i="23"/>
  <c r="W1605" i="23"/>
  <c r="W1604" i="23"/>
  <c r="W1603" i="23"/>
  <c r="W1602" i="23"/>
  <c r="W1601" i="23"/>
  <c r="W1600" i="23"/>
  <c r="W1599" i="23"/>
  <c r="W1598" i="23"/>
  <c r="W1597" i="23"/>
  <c r="W1596" i="23"/>
  <c r="W1595" i="23"/>
  <c r="W1594" i="23"/>
  <c r="W1593" i="23"/>
  <c r="W1592" i="23"/>
  <c r="W1591" i="23"/>
  <c r="W1590" i="23"/>
  <c r="W1589" i="23"/>
  <c r="W1588" i="23"/>
  <c r="W1587" i="23"/>
  <c r="W1586" i="23"/>
  <c r="W1585" i="23"/>
  <c r="W1584" i="23"/>
  <c r="W1583" i="23"/>
  <c r="W1582" i="23"/>
  <c r="W1581" i="23"/>
  <c r="W1580" i="23"/>
  <c r="W1579" i="23"/>
  <c r="W1578" i="23"/>
  <c r="W1577" i="23"/>
  <c r="W1576" i="23"/>
  <c r="W1575" i="23"/>
  <c r="W1574" i="23"/>
  <c r="W1573" i="23"/>
  <c r="W1572" i="23"/>
  <c r="W1571" i="23"/>
  <c r="W1570" i="23"/>
  <c r="W1569" i="23"/>
  <c r="W1568" i="23"/>
  <c r="W1567" i="23"/>
  <c r="W1566" i="23"/>
  <c r="W1565" i="23"/>
  <c r="W1564" i="23"/>
  <c r="W1563" i="23"/>
  <c r="W1562" i="23"/>
  <c r="W1561" i="23"/>
  <c r="W1560" i="23"/>
  <c r="W1559" i="23"/>
  <c r="W1558" i="23"/>
  <c r="W1557" i="23"/>
  <c r="W1556" i="23"/>
  <c r="W1555" i="23"/>
  <c r="W1554" i="23"/>
  <c r="W1553" i="23"/>
  <c r="W1552" i="23"/>
  <c r="W1551" i="23"/>
  <c r="W1550" i="23"/>
  <c r="W1549" i="23"/>
  <c r="W1548" i="23"/>
  <c r="W1547" i="23"/>
  <c r="W1546" i="23"/>
  <c r="W1545" i="23"/>
  <c r="W1544" i="23"/>
  <c r="W1543" i="23"/>
  <c r="W1542" i="23"/>
  <c r="W1541" i="23"/>
  <c r="W1540" i="23"/>
  <c r="W1539" i="23"/>
  <c r="W1538" i="23"/>
  <c r="W1537" i="23"/>
  <c r="W1536" i="23"/>
  <c r="W1535" i="23"/>
  <c r="W1534" i="23"/>
  <c r="W1533" i="23"/>
  <c r="W1532" i="23"/>
  <c r="W1531" i="23"/>
  <c r="W1530" i="23"/>
  <c r="W1529" i="23"/>
  <c r="W1528" i="23"/>
  <c r="W1527" i="23"/>
  <c r="W1526" i="23"/>
  <c r="W1525" i="23"/>
  <c r="W1524" i="23"/>
  <c r="W1523" i="23"/>
  <c r="W1522" i="23"/>
  <c r="W1521" i="23"/>
  <c r="W1520" i="23"/>
  <c r="W1519" i="23"/>
  <c r="W1518" i="23"/>
  <c r="W1517" i="23"/>
  <c r="W1516" i="23"/>
  <c r="W1515" i="23"/>
  <c r="W1514" i="23"/>
  <c r="W1513" i="23"/>
  <c r="W1512" i="23"/>
  <c r="W1511" i="23"/>
  <c r="W1510" i="23"/>
  <c r="W1509" i="23"/>
  <c r="W1508" i="23"/>
  <c r="W1507" i="23"/>
  <c r="W1506" i="23"/>
  <c r="W1505" i="23"/>
  <c r="W1504" i="23"/>
  <c r="W1503" i="23"/>
  <c r="W1502" i="23"/>
  <c r="W1501" i="23"/>
  <c r="W1500" i="23"/>
  <c r="W1499" i="23"/>
  <c r="W1498" i="23"/>
  <c r="W1497" i="23"/>
  <c r="W1496" i="23"/>
  <c r="W1495" i="23"/>
  <c r="W1494" i="23"/>
  <c r="W1493" i="23"/>
  <c r="W1492" i="23"/>
  <c r="W1491" i="23"/>
  <c r="W1490" i="23"/>
  <c r="W1489" i="23"/>
  <c r="W1488" i="23"/>
  <c r="W1487" i="23"/>
  <c r="W1486" i="23"/>
  <c r="W1485" i="23"/>
  <c r="W1484" i="23"/>
  <c r="W1483" i="23"/>
  <c r="W1482" i="23"/>
  <c r="W1481" i="23"/>
  <c r="W1480" i="23"/>
  <c r="W1479" i="23"/>
  <c r="W1478" i="23"/>
  <c r="W1477" i="23"/>
  <c r="W1476" i="23"/>
  <c r="W1475" i="23"/>
  <c r="W1474" i="23"/>
  <c r="W1473" i="23"/>
  <c r="W1472" i="23"/>
  <c r="W1471" i="23"/>
  <c r="W1470" i="23"/>
  <c r="W1469" i="23"/>
  <c r="W1468" i="23"/>
  <c r="W1467" i="23"/>
  <c r="W1466" i="23"/>
  <c r="W1465" i="23"/>
  <c r="W1464" i="23"/>
  <c r="W1463" i="23"/>
  <c r="W1462" i="23"/>
  <c r="W1461" i="23"/>
  <c r="W1460" i="23"/>
  <c r="W1459" i="23"/>
  <c r="W1458" i="23"/>
  <c r="W1457" i="23"/>
  <c r="W1456" i="23"/>
  <c r="W1455" i="23"/>
  <c r="W1454" i="23"/>
  <c r="W1453" i="23"/>
  <c r="W1452" i="23"/>
  <c r="W1451" i="23"/>
  <c r="W1450" i="23"/>
  <c r="W1449" i="23"/>
  <c r="W1448" i="23"/>
  <c r="W1447" i="23"/>
  <c r="W1446" i="23"/>
  <c r="W1445" i="23"/>
  <c r="W1444" i="23"/>
  <c r="W1443" i="23"/>
  <c r="W1442" i="23"/>
  <c r="W1441" i="23"/>
  <c r="W1440" i="23"/>
  <c r="W1439" i="23"/>
  <c r="W1438" i="23"/>
  <c r="W1437" i="23"/>
  <c r="W1436" i="23"/>
  <c r="W1435" i="23"/>
  <c r="W1434" i="23"/>
  <c r="W1433" i="23"/>
  <c r="W1432" i="23"/>
  <c r="W1431" i="23"/>
  <c r="W1430" i="23"/>
  <c r="W1429" i="23"/>
  <c r="W1428" i="23"/>
  <c r="W1427" i="23"/>
  <c r="W1426" i="23"/>
  <c r="W1425" i="23"/>
  <c r="W1424" i="23"/>
  <c r="W1423" i="23"/>
  <c r="W1422" i="23"/>
  <c r="W1421" i="23"/>
  <c r="W1420" i="23"/>
  <c r="W1419" i="23"/>
  <c r="W1418" i="23"/>
  <c r="W1417" i="23"/>
  <c r="W1416" i="23"/>
  <c r="W1415" i="23"/>
  <c r="W1414" i="23"/>
  <c r="W1413" i="23"/>
  <c r="W1412" i="23"/>
  <c r="W1411" i="23"/>
  <c r="W1410" i="23"/>
  <c r="W1409" i="23"/>
  <c r="W1408" i="23"/>
  <c r="W1407" i="23"/>
  <c r="W1406" i="23"/>
  <c r="W1405" i="23"/>
  <c r="W1404" i="23"/>
  <c r="W1403" i="23"/>
  <c r="W1402" i="23"/>
  <c r="W1401" i="23"/>
  <c r="W1400" i="23"/>
  <c r="W1399" i="23"/>
  <c r="W1398" i="23"/>
  <c r="W1397" i="23"/>
  <c r="W1396" i="23"/>
  <c r="W1395" i="23"/>
  <c r="W1394" i="23"/>
  <c r="W1393" i="23"/>
  <c r="W1392" i="23"/>
  <c r="W1391" i="23"/>
  <c r="W1390" i="23"/>
  <c r="W1389" i="23"/>
  <c r="W1388" i="23"/>
  <c r="W1387" i="23"/>
  <c r="W1386" i="23"/>
  <c r="W1385" i="23"/>
  <c r="W1384" i="23"/>
  <c r="W1383" i="23"/>
  <c r="W1382" i="23"/>
  <c r="W1381" i="23"/>
  <c r="W1380" i="23"/>
  <c r="W1379" i="23"/>
  <c r="W1378" i="23"/>
  <c r="W1377" i="23"/>
  <c r="W1376" i="23"/>
  <c r="W1375" i="23"/>
  <c r="W1374" i="23"/>
  <c r="W1373" i="23"/>
  <c r="W1372" i="23"/>
  <c r="W1371" i="23"/>
  <c r="W1370" i="23"/>
  <c r="W1369" i="23"/>
  <c r="W1368" i="23"/>
  <c r="W1367" i="23"/>
  <c r="W1366" i="23"/>
  <c r="W1365" i="23"/>
  <c r="W1364" i="23"/>
  <c r="W1363" i="23"/>
  <c r="W1362" i="23"/>
  <c r="W1361" i="23"/>
  <c r="W1360" i="23"/>
  <c r="W1359" i="23"/>
  <c r="W1358" i="23"/>
  <c r="W1357" i="23"/>
  <c r="W1356" i="23"/>
  <c r="W1355" i="23"/>
  <c r="W1354" i="23"/>
  <c r="W1353" i="23"/>
  <c r="W1352" i="23"/>
  <c r="W1351" i="23"/>
  <c r="W1350" i="23"/>
  <c r="W1349" i="23"/>
  <c r="W1348" i="23"/>
  <c r="W1347" i="23"/>
  <c r="W1346" i="23"/>
  <c r="W1345" i="23"/>
  <c r="W1344" i="23"/>
  <c r="W1343" i="23"/>
  <c r="W1342" i="23"/>
  <c r="W1341" i="23"/>
  <c r="W1340" i="23"/>
  <c r="W1339" i="23"/>
  <c r="W1338" i="23"/>
  <c r="W1337" i="23"/>
  <c r="W1336" i="23"/>
  <c r="W1335" i="23"/>
  <c r="W1334" i="23"/>
  <c r="W1333" i="23"/>
  <c r="W1332" i="23"/>
  <c r="W1331" i="23"/>
  <c r="W1330" i="23"/>
  <c r="W1329" i="23"/>
  <c r="W1328" i="23"/>
  <c r="W1327" i="23"/>
  <c r="W1326" i="23"/>
  <c r="W1325" i="23"/>
  <c r="W1324" i="23"/>
  <c r="W1323" i="23"/>
  <c r="W1322" i="23"/>
  <c r="W1321" i="23"/>
  <c r="W1320" i="23"/>
  <c r="W1319" i="23"/>
  <c r="W1318" i="23"/>
  <c r="W1317" i="23"/>
  <c r="W1316" i="23"/>
  <c r="W1315" i="23"/>
  <c r="W1314" i="23"/>
  <c r="W1313" i="23"/>
  <c r="W1312" i="23"/>
  <c r="W1311" i="23"/>
  <c r="W1310" i="23"/>
  <c r="W1309" i="23"/>
  <c r="W1308" i="23"/>
  <c r="W1307" i="23"/>
  <c r="W1306" i="23"/>
  <c r="W1305" i="23"/>
  <c r="W1304" i="23"/>
  <c r="W1303" i="23"/>
  <c r="W1302" i="23"/>
  <c r="W1301" i="23"/>
  <c r="W1300" i="23"/>
  <c r="W1299" i="23"/>
  <c r="W1298" i="23"/>
  <c r="W1297" i="23"/>
  <c r="W1296" i="23"/>
  <c r="W1295" i="23"/>
  <c r="W1294" i="23"/>
  <c r="W1293" i="23"/>
  <c r="W1292" i="23"/>
  <c r="W1291" i="23"/>
  <c r="W1290" i="23"/>
  <c r="W1289" i="23"/>
  <c r="W1288" i="23"/>
  <c r="W1287" i="23"/>
  <c r="W1286" i="23"/>
  <c r="W1285" i="23"/>
  <c r="W1284" i="23"/>
  <c r="W1283" i="23"/>
  <c r="W1282" i="23"/>
  <c r="W1281" i="23"/>
  <c r="W1280" i="23"/>
  <c r="W1279" i="23"/>
  <c r="W1278" i="23"/>
  <c r="W1277" i="23"/>
  <c r="W1276" i="23"/>
  <c r="W1275" i="23"/>
  <c r="W1274" i="23"/>
  <c r="W1273" i="23"/>
  <c r="W1272" i="23"/>
  <c r="W1271" i="23"/>
  <c r="W1270" i="23"/>
  <c r="W1269" i="23"/>
  <c r="W1268" i="23"/>
  <c r="W1267" i="23"/>
  <c r="W1266" i="23"/>
  <c r="W1265" i="23"/>
  <c r="W1264" i="23"/>
  <c r="W1263" i="23"/>
  <c r="W1262" i="23"/>
  <c r="W1261" i="23"/>
  <c r="W1260" i="23"/>
  <c r="W1259" i="23"/>
  <c r="W1258" i="23"/>
  <c r="W1257" i="23"/>
  <c r="W1256" i="23"/>
  <c r="W1255" i="23"/>
  <c r="W1254" i="23"/>
  <c r="W1253" i="23"/>
  <c r="W1252" i="23"/>
  <c r="W1251" i="23"/>
  <c r="W1250" i="23"/>
  <c r="W1249" i="23"/>
  <c r="W1248" i="23"/>
  <c r="W1247" i="23"/>
  <c r="W1246" i="23"/>
  <c r="W1245" i="23"/>
  <c r="W1244" i="23"/>
  <c r="W1243" i="23"/>
  <c r="W1242" i="23"/>
  <c r="W1241" i="23"/>
  <c r="W1240" i="23"/>
  <c r="W1239" i="23"/>
  <c r="W1238" i="23"/>
  <c r="W1237" i="23"/>
  <c r="W1236" i="23"/>
  <c r="W1235" i="23"/>
  <c r="W1234" i="23"/>
  <c r="W1233" i="23"/>
  <c r="W1232" i="23"/>
  <c r="W1231" i="23"/>
  <c r="W1230" i="23"/>
  <c r="W1229" i="23"/>
  <c r="W1228" i="23"/>
  <c r="W1227" i="23"/>
  <c r="W1226" i="23"/>
  <c r="W1225" i="23"/>
  <c r="W1224" i="23"/>
  <c r="W1223" i="23"/>
  <c r="W1222" i="23"/>
  <c r="W1221" i="23"/>
  <c r="W1220" i="23"/>
  <c r="W1219" i="23"/>
  <c r="W1218" i="23"/>
  <c r="W1217" i="23"/>
  <c r="W1216" i="23"/>
  <c r="W1215" i="23"/>
  <c r="W1214" i="23"/>
  <c r="W1213" i="23"/>
  <c r="W1212" i="23"/>
  <c r="W1211" i="23"/>
  <c r="W1210" i="23"/>
  <c r="W1209" i="23"/>
  <c r="W1208" i="23"/>
  <c r="W1207" i="23"/>
  <c r="W1206" i="23"/>
  <c r="W1205" i="23"/>
  <c r="W1204" i="23"/>
  <c r="W1203" i="23"/>
  <c r="W1202" i="23"/>
  <c r="W1201" i="23"/>
  <c r="W1200" i="23"/>
  <c r="W1199" i="23"/>
  <c r="W1198" i="23"/>
  <c r="W1197" i="23"/>
  <c r="W1196" i="23"/>
  <c r="W1195" i="23"/>
  <c r="W1194" i="23"/>
  <c r="W1193" i="23"/>
  <c r="W1192" i="23"/>
  <c r="W1191" i="23"/>
  <c r="W1190" i="23"/>
  <c r="W1189" i="23"/>
  <c r="W1188" i="23"/>
  <c r="W1187" i="23"/>
  <c r="W1186" i="23"/>
  <c r="W1185" i="23"/>
  <c r="W1184" i="23"/>
  <c r="W1183" i="23"/>
  <c r="W1182" i="23"/>
  <c r="W1181" i="23"/>
  <c r="W1180" i="23"/>
  <c r="W1179" i="23"/>
  <c r="W1178" i="23"/>
  <c r="W1177" i="23"/>
  <c r="W1176" i="23"/>
  <c r="W1175" i="23"/>
  <c r="W1174" i="23"/>
  <c r="W1173" i="23"/>
  <c r="W1172" i="23"/>
  <c r="W1171" i="23"/>
  <c r="W1170" i="23"/>
  <c r="W1169" i="23"/>
  <c r="W1168" i="23"/>
  <c r="W1167" i="23"/>
  <c r="W1166" i="23"/>
  <c r="W1165" i="23"/>
  <c r="W1164" i="23"/>
  <c r="W1163" i="23"/>
  <c r="W1162" i="23"/>
  <c r="W1161" i="23"/>
  <c r="W1160" i="23"/>
  <c r="W1159" i="23"/>
  <c r="W1158" i="23"/>
  <c r="W1157" i="23"/>
  <c r="W1156" i="23"/>
  <c r="W1155" i="23"/>
  <c r="W1154" i="23"/>
  <c r="W1153" i="23"/>
  <c r="W1152" i="23"/>
  <c r="W1151" i="23"/>
  <c r="W1150" i="23"/>
  <c r="W1149" i="23"/>
  <c r="W1148" i="23"/>
  <c r="W1147" i="23"/>
  <c r="W1146" i="23"/>
  <c r="W1145" i="23"/>
  <c r="W1144" i="23"/>
  <c r="W1143" i="23"/>
  <c r="W1142" i="23"/>
  <c r="W1141" i="23"/>
  <c r="W1140"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W615" i="23"/>
  <c r="W614" i="23"/>
  <c r="W613" i="23"/>
  <c r="W612" i="23"/>
  <c r="W611" i="23"/>
  <c r="W610" i="23"/>
  <c r="W609" i="23"/>
  <c r="W608" i="23"/>
  <c r="W607" i="23"/>
  <c r="W606" i="23"/>
  <c r="W605" i="23"/>
  <c r="W604" i="23"/>
  <c r="W603" i="23"/>
  <c r="W602" i="23"/>
  <c r="W601" i="23"/>
  <c r="W600" i="23"/>
  <c r="W599" i="23"/>
  <c r="W598" i="23"/>
  <c r="W597" i="23"/>
  <c r="W596" i="23"/>
  <c r="W595" i="23"/>
  <c r="W594" i="23"/>
  <c r="W593" i="23"/>
  <c r="W592" i="23"/>
  <c r="W591" i="23"/>
  <c r="W590" i="23"/>
  <c r="W589" i="23"/>
  <c r="W588" i="23"/>
  <c r="W587" i="23"/>
  <c r="W586" i="23"/>
  <c r="W585" i="23"/>
  <c r="W584" i="23"/>
  <c r="W583" i="23"/>
  <c r="W582" i="23"/>
  <c r="W581" i="23"/>
  <c r="W580" i="23"/>
  <c r="W579" i="23"/>
  <c r="W578" i="23"/>
  <c r="W577" i="23"/>
  <c r="S1570" i="23"/>
  <c r="T1570" i="23"/>
  <c r="E18" i="3" l="1"/>
  <c r="E16" i="3" l="1"/>
  <c r="E15" i="3"/>
  <c r="E14" i="3"/>
  <c r="E13" i="3"/>
  <c r="E12" i="3"/>
  <c r="E11" i="3"/>
  <c r="E10" i="3"/>
  <c r="E9" i="3"/>
  <c r="E8" i="3"/>
  <c r="E7" i="3"/>
  <c r="E6" i="3"/>
  <c r="E5" i="3"/>
  <c r="L145" i="2" l="1"/>
  <c r="M145" i="2"/>
  <c r="N145" i="2"/>
  <c r="N179" i="2"/>
  <c r="M179" i="2"/>
  <c r="L179" i="2"/>
  <c r="W576" i="23" l="1"/>
  <c r="W575" i="23"/>
  <c r="W574" i="23"/>
  <c r="W573" i="23"/>
  <c r="W572" i="23"/>
  <c r="W571" i="23"/>
  <c r="C157" i="17" l="1"/>
  <c r="C159" i="17" s="1"/>
  <c r="E159" i="17" l="1"/>
  <c r="S571" i="23"/>
  <c r="T571" i="23"/>
  <c r="U571" i="23"/>
  <c r="X571" i="23" s="1"/>
  <c r="S572" i="23"/>
  <c r="T572" i="23"/>
  <c r="U572" i="23"/>
  <c r="X572" i="23" s="1"/>
  <c r="S573" i="23"/>
  <c r="T573" i="23"/>
  <c r="U573" i="23"/>
  <c r="X573" i="23"/>
  <c r="S574" i="23"/>
  <c r="T574" i="23"/>
  <c r="U574" i="23"/>
  <c r="X574" i="23"/>
  <c r="S575" i="23"/>
  <c r="T575" i="23"/>
  <c r="U575" i="23"/>
  <c r="X575" i="23" s="1"/>
  <c r="S576" i="23"/>
  <c r="T576" i="23"/>
  <c r="U576" i="23"/>
  <c r="X576" i="23" s="1"/>
  <c r="S577" i="23"/>
  <c r="T577" i="23"/>
  <c r="U577" i="23"/>
  <c r="X577" i="23" s="1"/>
  <c r="S578" i="23"/>
  <c r="T578" i="23"/>
  <c r="U578" i="23"/>
  <c r="X578" i="23" s="1"/>
  <c r="S579" i="23"/>
  <c r="T579" i="23"/>
  <c r="U579" i="23"/>
  <c r="X579" i="23" s="1"/>
  <c r="S580" i="23"/>
  <c r="T580" i="23"/>
  <c r="U580" i="23"/>
  <c r="X580" i="23" s="1"/>
  <c r="S581" i="23"/>
  <c r="T581" i="23"/>
  <c r="U581" i="23"/>
  <c r="X581" i="23"/>
  <c r="S582" i="23"/>
  <c r="T582" i="23"/>
  <c r="U582" i="23"/>
  <c r="X582" i="23"/>
  <c r="S583" i="23"/>
  <c r="T583" i="23"/>
  <c r="U583" i="23"/>
  <c r="X583" i="23" s="1"/>
  <c r="S584" i="23"/>
  <c r="T584" i="23"/>
  <c r="U584" i="23"/>
  <c r="X584" i="23" s="1"/>
  <c r="S585" i="23"/>
  <c r="T585" i="23"/>
  <c r="U585" i="23"/>
  <c r="X585" i="23"/>
  <c r="S586" i="23"/>
  <c r="T586" i="23"/>
  <c r="U586" i="23"/>
  <c r="X586" i="23"/>
  <c r="S587" i="23"/>
  <c r="T587" i="23"/>
  <c r="U587" i="23"/>
  <c r="X587" i="23" s="1"/>
  <c r="S588" i="23"/>
  <c r="T588" i="23"/>
  <c r="U588" i="23"/>
  <c r="X588" i="23" s="1"/>
  <c r="S589" i="23"/>
  <c r="T589" i="23"/>
  <c r="U589" i="23"/>
  <c r="X589" i="23" s="1"/>
  <c r="S590" i="23"/>
  <c r="T590" i="23"/>
  <c r="U590" i="23"/>
  <c r="S591" i="23"/>
  <c r="T591" i="23"/>
  <c r="U591" i="23"/>
  <c r="S592" i="23"/>
  <c r="T592" i="23"/>
  <c r="U592" i="23"/>
  <c r="X592" i="23"/>
  <c r="S593" i="23"/>
  <c r="T593" i="23"/>
  <c r="U593" i="23"/>
  <c r="X593" i="23" s="1"/>
  <c r="S594" i="23"/>
  <c r="T594" i="23"/>
  <c r="U594" i="23"/>
  <c r="X594" i="23" s="1"/>
  <c r="S595" i="23"/>
  <c r="T595" i="23"/>
  <c r="U595" i="23"/>
  <c r="X595" i="23" s="1"/>
  <c r="S596" i="23"/>
  <c r="T596" i="23"/>
  <c r="U596" i="23"/>
  <c r="X596" i="23"/>
  <c r="S597" i="23"/>
  <c r="T597" i="23"/>
  <c r="U597" i="23"/>
  <c r="X597" i="23"/>
  <c r="S598" i="23"/>
  <c r="T598" i="23"/>
  <c r="U598" i="23"/>
  <c r="S599" i="23"/>
  <c r="T599" i="23"/>
  <c r="U599" i="23"/>
  <c r="X599" i="23" s="1"/>
  <c r="S600" i="23"/>
  <c r="T600" i="23"/>
  <c r="U600" i="23"/>
  <c r="X600" i="23" s="1"/>
  <c r="S601" i="23"/>
  <c r="T601" i="23"/>
  <c r="U601" i="23"/>
  <c r="S602" i="23"/>
  <c r="T602" i="23"/>
  <c r="U602" i="23"/>
  <c r="S603" i="23"/>
  <c r="T603" i="23"/>
  <c r="U603" i="23"/>
  <c r="X603" i="23"/>
  <c r="S604" i="23"/>
  <c r="T604" i="23"/>
  <c r="U604" i="23"/>
  <c r="X604" i="23"/>
  <c r="S605" i="23"/>
  <c r="T605" i="23"/>
  <c r="U605" i="23"/>
  <c r="X605" i="23" s="1"/>
  <c r="S606" i="23"/>
  <c r="T606" i="23"/>
  <c r="U606" i="23"/>
  <c r="X606" i="23" s="1"/>
  <c r="S607" i="23"/>
  <c r="T607" i="23"/>
  <c r="U607" i="23"/>
  <c r="S608" i="23"/>
  <c r="T608" i="23"/>
  <c r="U608" i="23"/>
  <c r="X608" i="23" s="1"/>
  <c r="S609" i="23"/>
  <c r="T609" i="23"/>
  <c r="U609" i="23"/>
  <c r="X609" i="23"/>
  <c r="S610" i="23"/>
  <c r="T610" i="23"/>
  <c r="U610" i="23"/>
  <c r="X610" i="23" s="1"/>
  <c r="S611" i="23"/>
  <c r="T611" i="23"/>
  <c r="U611" i="23"/>
  <c r="X611" i="23"/>
  <c r="S612" i="23"/>
  <c r="T612" i="23"/>
  <c r="U612" i="23"/>
  <c r="X612" i="23" s="1"/>
  <c r="S613" i="23"/>
  <c r="T613" i="23"/>
  <c r="U613" i="23"/>
  <c r="S614" i="23"/>
  <c r="T614" i="23"/>
  <c r="U614" i="23"/>
  <c r="S615" i="23"/>
  <c r="T615" i="23"/>
  <c r="U615" i="23"/>
  <c r="X615" i="23" s="1"/>
  <c r="S616" i="23"/>
  <c r="T616" i="23"/>
  <c r="U616" i="23"/>
  <c r="X616" i="23" s="1"/>
  <c r="S617" i="23"/>
  <c r="T617" i="23"/>
  <c r="U617" i="23"/>
  <c r="X617" i="23" s="1"/>
  <c r="S618" i="23"/>
  <c r="T618" i="23"/>
  <c r="U618" i="23"/>
  <c r="X618" i="23" s="1"/>
  <c r="S619" i="23"/>
  <c r="T619" i="23"/>
  <c r="U619" i="23"/>
  <c r="X619" i="23" s="1"/>
  <c r="S620" i="23"/>
  <c r="T620" i="23"/>
  <c r="U620" i="23"/>
  <c r="X620" i="23" s="1"/>
  <c r="S621" i="23"/>
  <c r="T621" i="23"/>
  <c r="U621" i="23"/>
  <c r="X621" i="23"/>
  <c r="S622" i="23"/>
  <c r="T622" i="23"/>
  <c r="U622" i="23"/>
  <c r="X622" i="23"/>
  <c r="S623" i="23"/>
  <c r="T623" i="23"/>
  <c r="U623" i="23"/>
  <c r="X623" i="23" s="1"/>
  <c r="S624" i="23"/>
  <c r="T624" i="23"/>
  <c r="U624" i="23"/>
  <c r="X624" i="23" s="1"/>
  <c r="S625" i="23"/>
  <c r="T625" i="23"/>
  <c r="U625" i="23"/>
  <c r="X625" i="23"/>
  <c r="S626" i="23"/>
  <c r="T626" i="23"/>
  <c r="U626" i="23"/>
  <c r="X626" i="23"/>
  <c r="S627" i="23"/>
  <c r="T627" i="23"/>
  <c r="U627" i="23"/>
  <c r="X627" i="23" s="1"/>
  <c r="S628" i="23"/>
  <c r="T628" i="23"/>
  <c r="U628" i="23"/>
  <c r="X628" i="23" s="1"/>
  <c r="S629" i="23"/>
  <c r="T629" i="23"/>
  <c r="U629" i="23"/>
  <c r="X629" i="23" s="1"/>
  <c r="S630" i="23"/>
  <c r="T630" i="23"/>
  <c r="U630" i="23"/>
  <c r="X630" i="23"/>
  <c r="S631" i="23"/>
  <c r="T631" i="23"/>
  <c r="U631" i="23"/>
  <c r="X631" i="23"/>
  <c r="S632" i="23"/>
  <c r="T632" i="23"/>
  <c r="U632" i="23"/>
  <c r="X632" i="23" s="1"/>
  <c r="S633" i="23"/>
  <c r="T633" i="23"/>
  <c r="U633" i="23"/>
  <c r="X633" i="23"/>
  <c r="S634" i="23"/>
  <c r="T634" i="23"/>
  <c r="U634" i="23"/>
  <c r="X634" i="23"/>
  <c r="S635" i="23"/>
  <c r="T635" i="23"/>
  <c r="U635" i="23"/>
  <c r="X635" i="23" s="1"/>
  <c r="S636" i="23"/>
  <c r="T636" i="23"/>
  <c r="U636" i="23"/>
  <c r="X636" i="23" s="1"/>
  <c r="S637" i="23"/>
  <c r="T637" i="23"/>
  <c r="U637" i="23"/>
  <c r="X637" i="23"/>
  <c r="S638" i="23"/>
  <c r="T638" i="23"/>
  <c r="U638" i="23"/>
  <c r="X638" i="23"/>
  <c r="S639" i="23"/>
  <c r="T639" i="23"/>
  <c r="U639" i="23"/>
  <c r="X639" i="23" s="1"/>
  <c r="S640" i="23"/>
  <c r="T640" i="23"/>
  <c r="U640" i="23"/>
  <c r="X640" i="23" s="1"/>
  <c r="S641" i="23"/>
  <c r="T641" i="23"/>
  <c r="U641" i="23"/>
  <c r="X641" i="23"/>
  <c r="S642" i="23"/>
  <c r="T642" i="23"/>
  <c r="U642" i="23"/>
  <c r="X642" i="23" s="1"/>
  <c r="S643" i="23"/>
  <c r="T643" i="23"/>
  <c r="U643" i="23"/>
  <c r="X643" i="23" s="1"/>
  <c r="S644" i="23"/>
  <c r="T644" i="23"/>
  <c r="U644" i="23"/>
  <c r="X644" i="23" s="1"/>
  <c r="S645" i="23"/>
  <c r="T645" i="23"/>
  <c r="U645" i="23"/>
  <c r="X645" i="23"/>
  <c r="S646" i="23"/>
  <c r="T646" i="23"/>
  <c r="U646" i="23"/>
  <c r="X646" i="23"/>
  <c r="S647" i="23"/>
  <c r="T647" i="23"/>
  <c r="U647" i="23"/>
  <c r="X647" i="23" s="1"/>
  <c r="S648" i="23"/>
  <c r="T648" i="23"/>
  <c r="U648" i="23"/>
  <c r="X648" i="23" s="1"/>
  <c r="S649" i="23"/>
  <c r="T649" i="23"/>
  <c r="U649" i="23"/>
  <c r="X649" i="23" s="1"/>
  <c r="S650" i="23"/>
  <c r="T650" i="23"/>
  <c r="U650" i="23"/>
  <c r="X650" i="23" s="1"/>
  <c r="S651" i="23"/>
  <c r="T651" i="23"/>
  <c r="U651" i="23"/>
  <c r="X651" i="23" s="1"/>
  <c r="S652" i="23"/>
  <c r="T652" i="23"/>
  <c r="U652" i="23"/>
  <c r="X652" i="23" s="1"/>
  <c r="S653" i="23"/>
  <c r="T653" i="23"/>
  <c r="U653" i="23"/>
  <c r="X653" i="23"/>
  <c r="S654" i="23"/>
  <c r="T654" i="23"/>
  <c r="U654" i="23"/>
  <c r="X654" i="23"/>
  <c r="S655" i="23"/>
  <c r="T655" i="23"/>
  <c r="U655" i="23"/>
  <c r="X655" i="23" s="1"/>
  <c r="S656" i="23"/>
  <c r="T656" i="23"/>
  <c r="U656" i="23"/>
  <c r="X656" i="23" s="1"/>
  <c r="S657" i="23"/>
  <c r="T657" i="23"/>
  <c r="U657" i="23"/>
  <c r="X657" i="23" s="1"/>
  <c r="S658" i="23"/>
  <c r="T658" i="23"/>
  <c r="U658" i="23"/>
  <c r="X658" i="23" s="1"/>
  <c r="S659" i="23"/>
  <c r="T659" i="23"/>
  <c r="U659" i="23"/>
  <c r="X659" i="23" s="1"/>
  <c r="S660" i="23"/>
  <c r="T660" i="23"/>
  <c r="U660" i="23"/>
  <c r="X660" i="23" s="1"/>
  <c r="S661" i="23"/>
  <c r="T661" i="23"/>
  <c r="U661" i="23"/>
  <c r="X661" i="23"/>
  <c r="S662" i="23"/>
  <c r="T662" i="23"/>
  <c r="U662" i="23"/>
  <c r="X662" i="23"/>
  <c r="S663" i="23"/>
  <c r="T663" i="23"/>
  <c r="U663" i="23"/>
  <c r="X663" i="23" s="1"/>
  <c r="S664" i="23"/>
  <c r="T664" i="23"/>
  <c r="U664" i="23"/>
  <c r="X664" i="23" s="1"/>
  <c r="S665" i="23"/>
  <c r="T665" i="23"/>
  <c r="U665" i="23"/>
  <c r="X665" i="23" s="1"/>
  <c r="S666" i="23"/>
  <c r="T666" i="23"/>
  <c r="U666" i="23"/>
  <c r="X666" i="23"/>
  <c r="S667" i="23"/>
  <c r="T667" i="23"/>
  <c r="U667" i="23"/>
  <c r="X667" i="23" s="1"/>
  <c r="S668" i="23"/>
  <c r="T668" i="23"/>
  <c r="U668" i="23"/>
  <c r="X668" i="23" s="1"/>
  <c r="S669" i="23"/>
  <c r="T669" i="23"/>
  <c r="U669" i="23"/>
  <c r="X669" i="23"/>
  <c r="S670" i="23"/>
  <c r="T670" i="23"/>
  <c r="U670" i="23"/>
  <c r="X670" i="23" s="1"/>
  <c r="S671" i="23"/>
  <c r="T671" i="23"/>
  <c r="U671" i="23"/>
  <c r="X671" i="23"/>
  <c r="S672" i="23"/>
  <c r="T672" i="23"/>
  <c r="U672" i="23"/>
  <c r="X672" i="23" s="1"/>
  <c r="S673" i="23"/>
  <c r="T673" i="23"/>
  <c r="U673" i="23"/>
  <c r="X673" i="23" s="1"/>
  <c r="S674" i="23"/>
  <c r="T674" i="23"/>
  <c r="U674" i="23"/>
  <c r="X674" i="23"/>
  <c r="S675" i="23"/>
  <c r="T675" i="23"/>
  <c r="U675" i="23"/>
  <c r="X675" i="23" s="1"/>
  <c r="S676" i="23"/>
  <c r="T676" i="23"/>
  <c r="U676" i="23"/>
  <c r="X676" i="23" s="1"/>
  <c r="S677" i="23"/>
  <c r="T677" i="23"/>
  <c r="U677" i="23"/>
  <c r="X677" i="23"/>
  <c r="S678" i="23"/>
  <c r="T678" i="23"/>
  <c r="U678" i="23"/>
  <c r="X678" i="23"/>
  <c r="S679" i="23"/>
  <c r="T679" i="23"/>
  <c r="U679" i="23"/>
  <c r="X679" i="23" s="1"/>
  <c r="S680" i="23"/>
  <c r="T680" i="23"/>
  <c r="U680" i="23"/>
  <c r="X680" i="23" s="1"/>
  <c r="S681" i="23"/>
  <c r="T681" i="23"/>
  <c r="U681" i="23"/>
  <c r="X681" i="23"/>
  <c r="S682" i="23"/>
  <c r="T682" i="23"/>
  <c r="U682" i="23"/>
  <c r="X682" i="23"/>
  <c r="S683" i="23"/>
  <c r="T683" i="23"/>
  <c r="U683" i="23"/>
  <c r="X683" i="23" s="1"/>
  <c r="S684" i="23"/>
  <c r="T684" i="23"/>
  <c r="U684" i="23"/>
  <c r="X684" i="23" s="1"/>
  <c r="S685" i="23"/>
  <c r="T685" i="23"/>
  <c r="U685" i="23"/>
  <c r="X685" i="23"/>
  <c r="S686" i="23"/>
  <c r="T686" i="23"/>
  <c r="U686" i="23"/>
  <c r="X686" i="23"/>
  <c r="S687" i="23"/>
  <c r="T687" i="23"/>
  <c r="U687" i="23"/>
  <c r="X687" i="23" s="1"/>
  <c r="S688" i="23"/>
  <c r="T688" i="23"/>
  <c r="U688" i="23"/>
  <c r="X688" i="23" s="1"/>
  <c r="S689" i="23"/>
  <c r="T689" i="23"/>
  <c r="U689" i="23"/>
  <c r="X689" i="23"/>
  <c r="S690" i="23"/>
  <c r="T690" i="23"/>
  <c r="U690" i="23"/>
  <c r="X690" i="23" s="1"/>
  <c r="S691" i="23"/>
  <c r="T691" i="23"/>
  <c r="U691" i="23"/>
  <c r="X691" i="23" s="1"/>
  <c r="S692" i="23"/>
  <c r="T692" i="23"/>
  <c r="U692" i="23"/>
  <c r="X692" i="23" s="1"/>
  <c r="S693" i="23"/>
  <c r="T693" i="23"/>
  <c r="U693" i="23"/>
  <c r="X693" i="23" s="1"/>
  <c r="S694" i="23"/>
  <c r="T694" i="23"/>
  <c r="U694" i="23"/>
  <c r="X694" i="23"/>
  <c r="S695" i="23"/>
  <c r="T695" i="23"/>
  <c r="U695" i="23"/>
  <c r="X695" i="23" s="1"/>
  <c r="S696" i="23"/>
  <c r="T696" i="23"/>
  <c r="U696" i="23"/>
  <c r="X696" i="23" s="1"/>
  <c r="S697" i="23"/>
  <c r="T697" i="23"/>
  <c r="U697" i="23"/>
  <c r="X697" i="23"/>
  <c r="S698" i="23"/>
  <c r="T698" i="23"/>
  <c r="U698" i="23"/>
  <c r="X698" i="23" s="1"/>
  <c r="S699" i="23"/>
  <c r="T699" i="23"/>
  <c r="U699" i="23"/>
  <c r="X699" i="23"/>
  <c r="S700" i="23"/>
  <c r="T700" i="23"/>
  <c r="U700" i="23"/>
  <c r="X700" i="23" s="1"/>
  <c r="S701" i="23"/>
  <c r="T701" i="23"/>
  <c r="U701" i="23"/>
  <c r="X701" i="23" s="1"/>
  <c r="S702" i="23"/>
  <c r="T702" i="23"/>
  <c r="U702" i="23"/>
  <c r="X702" i="23"/>
  <c r="S703" i="23"/>
  <c r="T703" i="23"/>
  <c r="U703" i="23"/>
  <c r="X703" i="23" s="1"/>
  <c r="S704" i="23"/>
  <c r="T704" i="23"/>
  <c r="U704" i="23"/>
  <c r="X704" i="23" s="1"/>
  <c r="S705" i="23"/>
  <c r="T705" i="23"/>
  <c r="U705" i="23"/>
  <c r="X705" i="23"/>
  <c r="S706" i="23"/>
  <c r="T706" i="23"/>
  <c r="U706" i="23"/>
  <c r="X706" i="23" s="1"/>
  <c r="S707" i="23"/>
  <c r="T707" i="23"/>
  <c r="U707" i="23"/>
  <c r="X707" i="23" s="1"/>
  <c r="S708" i="23"/>
  <c r="T708" i="23"/>
  <c r="U708" i="23"/>
  <c r="X708" i="23" s="1"/>
  <c r="S709" i="23"/>
  <c r="T709" i="23"/>
  <c r="U709" i="23"/>
  <c r="X709" i="23" s="1"/>
  <c r="S710" i="23"/>
  <c r="T710" i="23"/>
  <c r="U710" i="23"/>
  <c r="X710" i="23"/>
  <c r="S711" i="23"/>
  <c r="T711" i="23"/>
  <c r="U711" i="23"/>
  <c r="X711" i="23" s="1"/>
  <c r="S712" i="23"/>
  <c r="T712" i="23"/>
  <c r="U712" i="23"/>
  <c r="X712" i="23" s="1"/>
  <c r="S713" i="23"/>
  <c r="T713" i="23"/>
  <c r="U713" i="23"/>
  <c r="X713" i="23" s="1"/>
  <c r="S714" i="23"/>
  <c r="T714" i="23"/>
  <c r="U714" i="23"/>
  <c r="X714" i="23" s="1"/>
  <c r="S715" i="23"/>
  <c r="T715" i="23"/>
  <c r="U715" i="23"/>
  <c r="X715" i="23" s="1"/>
  <c r="S716" i="23"/>
  <c r="T716" i="23"/>
  <c r="U716" i="23"/>
  <c r="X716" i="23" s="1"/>
  <c r="S717" i="23"/>
  <c r="T717" i="23"/>
  <c r="U717" i="23"/>
  <c r="X717" i="23" s="1"/>
  <c r="S718" i="23"/>
  <c r="T718" i="23"/>
  <c r="U718" i="23"/>
  <c r="X718" i="23" s="1"/>
  <c r="S719" i="23"/>
  <c r="T719" i="23"/>
  <c r="U719" i="23"/>
  <c r="X719" i="23" s="1"/>
  <c r="S720" i="23"/>
  <c r="T720" i="23"/>
  <c r="U720" i="23"/>
  <c r="X720" i="23" s="1"/>
  <c r="S721" i="23"/>
  <c r="T721" i="23"/>
  <c r="U721" i="23"/>
  <c r="X721" i="23" s="1"/>
  <c r="S722" i="23"/>
  <c r="T722" i="23"/>
  <c r="U722" i="23"/>
  <c r="X722" i="23" s="1"/>
  <c r="S723" i="23"/>
  <c r="T723" i="23"/>
  <c r="U723" i="23"/>
  <c r="X723" i="23" s="1"/>
  <c r="S724" i="23"/>
  <c r="T724" i="23"/>
  <c r="U724" i="23"/>
  <c r="X724" i="23" s="1"/>
  <c r="S725" i="23"/>
  <c r="T725" i="23"/>
  <c r="U725" i="23"/>
  <c r="X725" i="23" s="1"/>
  <c r="S726" i="23"/>
  <c r="T726" i="23"/>
  <c r="U726" i="23"/>
  <c r="X726" i="23" s="1"/>
  <c r="S727" i="23"/>
  <c r="T727" i="23"/>
  <c r="U727" i="23"/>
  <c r="X727" i="23" s="1"/>
  <c r="S728" i="23"/>
  <c r="T728" i="23"/>
  <c r="U728" i="23"/>
  <c r="X728" i="23" s="1"/>
  <c r="S729" i="23"/>
  <c r="T729" i="23"/>
  <c r="U729" i="23"/>
  <c r="X729" i="23" s="1"/>
  <c r="S730" i="23"/>
  <c r="T730" i="23"/>
  <c r="U730" i="23"/>
  <c r="X730" i="23" s="1"/>
  <c r="S731" i="23"/>
  <c r="T731" i="23"/>
  <c r="U731" i="23"/>
  <c r="X731" i="23" s="1"/>
  <c r="S732" i="23"/>
  <c r="T732" i="23"/>
  <c r="U732" i="23"/>
  <c r="X732" i="23" s="1"/>
  <c r="S733" i="23"/>
  <c r="T733" i="23"/>
  <c r="U733" i="23"/>
  <c r="X733" i="23" s="1"/>
  <c r="S734" i="23"/>
  <c r="T734" i="23"/>
  <c r="U734" i="23"/>
  <c r="X734" i="23" s="1"/>
  <c r="S735" i="23"/>
  <c r="T735" i="23"/>
  <c r="U735" i="23"/>
  <c r="X735" i="23" s="1"/>
  <c r="S736" i="23"/>
  <c r="T736" i="23"/>
  <c r="U736" i="23"/>
  <c r="X736" i="23" s="1"/>
  <c r="S737" i="23"/>
  <c r="T737" i="23"/>
  <c r="U737" i="23"/>
  <c r="X737" i="23" s="1"/>
  <c r="S738" i="23"/>
  <c r="T738" i="23"/>
  <c r="U738" i="23"/>
  <c r="X738" i="23" s="1"/>
  <c r="S739" i="23"/>
  <c r="T739" i="23"/>
  <c r="U739" i="23"/>
  <c r="X739" i="23" s="1"/>
  <c r="S740" i="23"/>
  <c r="T740" i="23"/>
  <c r="U740" i="23"/>
  <c r="X740" i="23" s="1"/>
  <c r="S741" i="23"/>
  <c r="T741" i="23"/>
  <c r="U741" i="23"/>
  <c r="S742" i="23"/>
  <c r="T742" i="23"/>
  <c r="U742" i="23"/>
  <c r="X742" i="23" s="1"/>
  <c r="S743" i="23"/>
  <c r="T743" i="23"/>
  <c r="U743" i="23"/>
  <c r="X743" i="23" s="1"/>
  <c r="S744" i="23"/>
  <c r="T744" i="23"/>
  <c r="U744" i="23"/>
  <c r="X744" i="23"/>
  <c r="S745" i="23"/>
  <c r="T745" i="23"/>
  <c r="U745" i="23"/>
  <c r="X745" i="23"/>
  <c r="S746" i="23"/>
  <c r="T746" i="23"/>
  <c r="U746" i="23"/>
  <c r="X746" i="23"/>
  <c r="S747" i="23"/>
  <c r="T747" i="23"/>
  <c r="U747" i="23"/>
  <c r="X747" i="23" s="1"/>
  <c r="S748" i="23"/>
  <c r="T748" i="23"/>
  <c r="U748" i="23"/>
  <c r="X748" i="23" s="1"/>
  <c r="S749" i="23"/>
  <c r="T749" i="23"/>
  <c r="U749" i="23"/>
  <c r="X749" i="23" s="1"/>
  <c r="S750" i="23"/>
  <c r="T750" i="23"/>
  <c r="U750" i="23"/>
  <c r="X750" i="23" s="1"/>
  <c r="S751" i="23"/>
  <c r="T751" i="23"/>
  <c r="U751" i="23"/>
  <c r="X751" i="23" s="1"/>
  <c r="S752" i="23"/>
  <c r="T752" i="23"/>
  <c r="U752" i="23"/>
  <c r="X752" i="23" s="1"/>
  <c r="S753" i="23"/>
  <c r="T753" i="23"/>
  <c r="U753" i="23"/>
  <c r="X753" i="23" s="1"/>
  <c r="S754" i="23"/>
  <c r="T754" i="23"/>
  <c r="U754" i="23"/>
  <c r="X754" i="23" s="1"/>
  <c r="S755" i="23"/>
  <c r="T755" i="23"/>
  <c r="U755" i="23"/>
  <c r="X755" i="23" s="1"/>
  <c r="S756" i="23"/>
  <c r="T756" i="23"/>
  <c r="U756" i="23"/>
  <c r="X756" i="23" s="1"/>
  <c r="S757" i="23"/>
  <c r="T757" i="23"/>
  <c r="U757" i="23"/>
  <c r="X757" i="23" s="1"/>
  <c r="S758" i="23"/>
  <c r="T758" i="23"/>
  <c r="U758" i="23"/>
  <c r="X758" i="23" s="1"/>
  <c r="S759" i="23"/>
  <c r="T759" i="23"/>
  <c r="U759" i="23"/>
  <c r="X759" i="23" s="1"/>
  <c r="S760" i="23"/>
  <c r="T760" i="23"/>
  <c r="U760" i="23"/>
  <c r="X760" i="23" s="1"/>
  <c r="S761" i="23"/>
  <c r="T761" i="23"/>
  <c r="U761" i="23"/>
  <c r="X761" i="23" s="1"/>
  <c r="S762" i="23"/>
  <c r="T762" i="23"/>
  <c r="U762" i="23"/>
  <c r="X762" i="23" s="1"/>
  <c r="S763" i="23"/>
  <c r="T763" i="23"/>
  <c r="U763" i="23"/>
  <c r="X763" i="23" s="1"/>
  <c r="S764" i="23"/>
  <c r="T764" i="23"/>
  <c r="U764" i="23"/>
  <c r="X764" i="23" s="1"/>
  <c r="S765" i="23"/>
  <c r="T765" i="23"/>
  <c r="U765" i="23"/>
  <c r="X765" i="23" s="1"/>
  <c r="S766" i="23"/>
  <c r="T766" i="23"/>
  <c r="U766" i="23"/>
  <c r="X766" i="23" s="1"/>
  <c r="S767" i="23"/>
  <c r="T767" i="23"/>
  <c r="U767" i="23"/>
  <c r="X767" i="23" s="1"/>
  <c r="S768" i="23"/>
  <c r="T768" i="23"/>
  <c r="U768" i="23"/>
  <c r="X768" i="23" s="1"/>
  <c r="S769" i="23"/>
  <c r="T769" i="23"/>
  <c r="U769" i="23"/>
  <c r="X769" i="23" s="1"/>
  <c r="S770" i="23"/>
  <c r="T770" i="23"/>
  <c r="U770" i="23"/>
  <c r="X770" i="23" s="1"/>
  <c r="S771" i="23"/>
  <c r="T771" i="23"/>
  <c r="U771" i="23"/>
  <c r="X771" i="23" s="1"/>
  <c r="S772" i="23"/>
  <c r="T772" i="23"/>
  <c r="U772" i="23"/>
  <c r="X772" i="23" s="1"/>
  <c r="S773" i="23"/>
  <c r="T773" i="23"/>
  <c r="U773" i="23"/>
  <c r="X773" i="23" s="1"/>
  <c r="S774" i="23"/>
  <c r="T774" i="23"/>
  <c r="U774" i="23"/>
  <c r="X774" i="23" s="1"/>
  <c r="S775" i="23"/>
  <c r="T775" i="23"/>
  <c r="U775" i="23"/>
  <c r="X775" i="23" s="1"/>
  <c r="S776" i="23"/>
  <c r="T776" i="23"/>
  <c r="U776" i="23"/>
  <c r="X776" i="23" s="1"/>
  <c r="S777" i="23"/>
  <c r="T777" i="23"/>
  <c r="U777" i="23"/>
  <c r="X777" i="23" s="1"/>
  <c r="S778" i="23"/>
  <c r="T778" i="23"/>
  <c r="U778" i="23"/>
  <c r="X778" i="23" s="1"/>
  <c r="S779" i="23"/>
  <c r="T779" i="23"/>
  <c r="U779" i="23"/>
  <c r="X779" i="23" s="1"/>
  <c r="S780" i="23"/>
  <c r="T780" i="23"/>
  <c r="U780" i="23"/>
  <c r="X780" i="23" s="1"/>
  <c r="S781" i="23"/>
  <c r="T781" i="23"/>
  <c r="U781" i="23"/>
  <c r="X781" i="23" s="1"/>
  <c r="S782" i="23"/>
  <c r="T782" i="23"/>
  <c r="U782" i="23"/>
  <c r="X782" i="23" s="1"/>
  <c r="S783" i="23"/>
  <c r="T783" i="23"/>
  <c r="U783" i="23"/>
  <c r="X783" i="23" s="1"/>
  <c r="S784" i="23"/>
  <c r="T784" i="23"/>
  <c r="U784" i="23"/>
  <c r="X784" i="23" s="1"/>
  <c r="S785" i="23"/>
  <c r="T785" i="23"/>
  <c r="U785" i="23"/>
  <c r="X785" i="23" s="1"/>
  <c r="S786" i="23"/>
  <c r="T786" i="23"/>
  <c r="U786" i="23"/>
  <c r="X786" i="23" s="1"/>
  <c r="S787" i="23"/>
  <c r="T787" i="23"/>
  <c r="U787" i="23"/>
  <c r="X787" i="23" s="1"/>
  <c r="S788" i="23"/>
  <c r="T788" i="23"/>
  <c r="U788" i="23"/>
  <c r="X788" i="23" s="1"/>
  <c r="S789" i="23"/>
  <c r="T789" i="23"/>
  <c r="U789" i="23"/>
  <c r="X789" i="23" s="1"/>
  <c r="S790" i="23"/>
  <c r="T790" i="23"/>
  <c r="U790" i="23"/>
  <c r="X790" i="23" s="1"/>
  <c r="S791" i="23"/>
  <c r="T791" i="23"/>
  <c r="U791" i="23"/>
  <c r="X791" i="23" s="1"/>
  <c r="S792" i="23"/>
  <c r="T792" i="23"/>
  <c r="U792" i="23"/>
  <c r="X792" i="23" s="1"/>
  <c r="S793" i="23"/>
  <c r="T793" i="23"/>
  <c r="U793" i="23"/>
  <c r="X793" i="23" s="1"/>
  <c r="S794" i="23"/>
  <c r="T794" i="23"/>
  <c r="U794" i="23"/>
  <c r="X794" i="23" s="1"/>
  <c r="S795" i="23"/>
  <c r="T795" i="23"/>
  <c r="U795" i="23"/>
  <c r="X795" i="23" s="1"/>
  <c r="S796" i="23"/>
  <c r="T796" i="23"/>
  <c r="U796" i="23"/>
  <c r="X796" i="23" s="1"/>
  <c r="S797" i="23"/>
  <c r="T797" i="23"/>
  <c r="U797" i="23"/>
  <c r="X797" i="23" s="1"/>
  <c r="S798" i="23"/>
  <c r="T798" i="23"/>
  <c r="U798" i="23"/>
  <c r="X798" i="23" s="1"/>
  <c r="S799" i="23"/>
  <c r="T799" i="23"/>
  <c r="U799" i="23"/>
  <c r="X799" i="23" s="1"/>
  <c r="S800" i="23"/>
  <c r="T800" i="23"/>
  <c r="U800" i="23"/>
  <c r="X800" i="23" s="1"/>
  <c r="S801" i="23"/>
  <c r="T801" i="23"/>
  <c r="U801" i="23"/>
  <c r="X801" i="23" s="1"/>
  <c r="S802" i="23"/>
  <c r="T802" i="23"/>
  <c r="U802" i="23"/>
  <c r="X802" i="23" s="1"/>
  <c r="S803" i="23"/>
  <c r="T803" i="23"/>
  <c r="U803" i="23"/>
  <c r="X803" i="23" s="1"/>
  <c r="S804" i="23"/>
  <c r="T804" i="23"/>
  <c r="U804" i="23"/>
  <c r="X804" i="23" s="1"/>
  <c r="S805" i="23"/>
  <c r="T805" i="23"/>
  <c r="U805" i="23"/>
  <c r="X805" i="23" s="1"/>
  <c r="S806" i="23"/>
  <c r="T806" i="23"/>
  <c r="U806" i="23"/>
  <c r="X806" i="23" s="1"/>
  <c r="S807" i="23"/>
  <c r="T807" i="23"/>
  <c r="U807" i="23"/>
  <c r="X807" i="23" s="1"/>
  <c r="S808" i="23"/>
  <c r="T808" i="23"/>
  <c r="U808" i="23"/>
  <c r="X808" i="23"/>
  <c r="S809" i="23"/>
  <c r="T809" i="23"/>
  <c r="U809" i="23"/>
  <c r="X809" i="23"/>
  <c r="S810" i="23"/>
  <c r="T810" i="23"/>
  <c r="U810" i="23"/>
  <c r="X810" i="23"/>
  <c r="S811" i="23"/>
  <c r="T811" i="23"/>
  <c r="U811" i="23"/>
  <c r="X811" i="23" s="1"/>
  <c r="S812" i="23"/>
  <c r="T812" i="23"/>
  <c r="U812" i="23"/>
  <c r="X812" i="23" s="1"/>
  <c r="S813" i="23"/>
  <c r="T813" i="23"/>
  <c r="U813" i="23"/>
  <c r="X813" i="23" s="1"/>
  <c r="S814" i="23"/>
  <c r="T814" i="23"/>
  <c r="U814" i="23"/>
  <c r="X814" i="23" s="1"/>
  <c r="S815" i="23"/>
  <c r="T815" i="23"/>
  <c r="U815" i="23"/>
  <c r="X815" i="23" s="1"/>
  <c r="S816" i="23"/>
  <c r="T816" i="23"/>
  <c r="U816" i="23"/>
  <c r="X816" i="23" s="1"/>
  <c r="S817" i="23"/>
  <c r="T817" i="23"/>
  <c r="U817" i="23"/>
  <c r="X817" i="23" s="1"/>
  <c r="S818" i="23"/>
  <c r="T818" i="23"/>
  <c r="U818" i="23"/>
  <c r="X818" i="23" s="1"/>
  <c r="S819" i="23"/>
  <c r="T819" i="23"/>
  <c r="U819" i="23"/>
  <c r="X819" i="23" s="1"/>
  <c r="S820" i="23"/>
  <c r="T820" i="23"/>
  <c r="U820" i="23"/>
  <c r="X820" i="23" s="1"/>
  <c r="S821" i="23"/>
  <c r="T821" i="23"/>
  <c r="U821" i="23"/>
  <c r="X821" i="23" s="1"/>
  <c r="S822" i="23"/>
  <c r="T822" i="23"/>
  <c r="U822" i="23"/>
  <c r="X822" i="23" s="1"/>
  <c r="S823" i="23"/>
  <c r="T823" i="23"/>
  <c r="U823" i="23"/>
  <c r="X823" i="23" s="1"/>
  <c r="S824" i="23"/>
  <c r="T824" i="23"/>
  <c r="U824" i="23"/>
  <c r="X824" i="23" s="1"/>
  <c r="S825" i="23"/>
  <c r="T825" i="23"/>
  <c r="U825" i="23"/>
  <c r="X825" i="23" s="1"/>
  <c r="S826" i="23"/>
  <c r="T826" i="23"/>
  <c r="U826" i="23"/>
  <c r="X826" i="23" s="1"/>
  <c r="S827" i="23"/>
  <c r="T827" i="23"/>
  <c r="U827" i="23"/>
  <c r="X827" i="23" s="1"/>
  <c r="S828" i="23"/>
  <c r="T828" i="23"/>
  <c r="U828" i="23"/>
  <c r="X828" i="23" s="1"/>
  <c r="S829" i="23"/>
  <c r="T829" i="23"/>
  <c r="U829" i="23"/>
  <c r="X829" i="23" s="1"/>
  <c r="S830" i="23"/>
  <c r="T830" i="23"/>
  <c r="U830" i="23"/>
  <c r="X830" i="23" s="1"/>
  <c r="S831" i="23"/>
  <c r="T831" i="23"/>
  <c r="U831" i="23"/>
  <c r="X831" i="23" s="1"/>
  <c r="S832" i="23"/>
  <c r="T832" i="23"/>
  <c r="U832" i="23"/>
  <c r="X832" i="23"/>
  <c r="S833" i="23"/>
  <c r="T833" i="23"/>
  <c r="U833" i="23"/>
  <c r="X833" i="23"/>
  <c r="S834" i="23"/>
  <c r="T834" i="23"/>
  <c r="U834" i="23"/>
  <c r="X834" i="23"/>
  <c r="S835" i="23"/>
  <c r="T835" i="23"/>
  <c r="U835" i="23"/>
  <c r="X835" i="23" s="1"/>
  <c r="S836" i="23"/>
  <c r="T836" i="23"/>
  <c r="U836" i="23"/>
  <c r="X836" i="23" s="1"/>
  <c r="S837" i="23"/>
  <c r="T837" i="23"/>
  <c r="U837" i="23"/>
  <c r="X837" i="23" s="1"/>
  <c r="S838" i="23"/>
  <c r="T838" i="23"/>
  <c r="U838" i="23"/>
  <c r="X838" i="23" s="1"/>
  <c r="S839" i="23"/>
  <c r="T839" i="23"/>
  <c r="U839" i="23"/>
  <c r="X839" i="23" s="1"/>
  <c r="S840" i="23"/>
  <c r="T840" i="23"/>
  <c r="U840" i="23"/>
  <c r="X840" i="23" s="1"/>
  <c r="S841" i="23"/>
  <c r="T841" i="23"/>
  <c r="U841" i="23"/>
  <c r="X841" i="23" s="1"/>
  <c r="S842" i="23"/>
  <c r="T842" i="23"/>
  <c r="U842" i="23"/>
  <c r="X842" i="23" s="1"/>
  <c r="S843" i="23"/>
  <c r="T843" i="23"/>
  <c r="U843" i="23"/>
  <c r="X843" i="23" s="1"/>
  <c r="S844" i="23"/>
  <c r="T844" i="23"/>
  <c r="U844" i="23"/>
  <c r="X844" i="23" s="1"/>
  <c r="S845" i="23"/>
  <c r="T845" i="23"/>
  <c r="U845" i="23"/>
  <c r="X845" i="23" s="1"/>
  <c r="S846" i="23"/>
  <c r="T846" i="23"/>
  <c r="U846" i="23"/>
  <c r="X846" i="23" s="1"/>
  <c r="S847" i="23"/>
  <c r="T847" i="23"/>
  <c r="U847" i="23"/>
  <c r="X847" i="23" s="1"/>
  <c r="S848" i="23"/>
  <c r="T848" i="23"/>
  <c r="U848" i="23"/>
  <c r="X848" i="23" s="1"/>
  <c r="S849" i="23"/>
  <c r="T849" i="23"/>
  <c r="U849" i="23"/>
  <c r="X849" i="23" s="1"/>
  <c r="S850" i="23"/>
  <c r="T850" i="23"/>
  <c r="U850" i="23"/>
  <c r="X850" i="23" s="1"/>
  <c r="S851" i="23"/>
  <c r="T851" i="23"/>
  <c r="U851" i="23"/>
  <c r="X851" i="23" s="1"/>
  <c r="S852" i="23"/>
  <c r="T852" i="23"/>
  <c r="U852" i="23"/>
  <c r="X852" i="23" s="1"/>
  <c r="S853" i="23"/>
  <c r="T853" i="23"/>
  <c r="U853" i="23"/>
  <c r="X853" i="23" s="1"/>
  <c r="S854" i="23"/>
  <c r="T854" i="23"/>
  <c r="U854" i="23"/>
  <c r="X854" i="23" s="1"/>
  <c r="S855" i="23"/>
  <c r="T855" i="23"/>
  <c r="U855" i="23"/>
  <c r="X855" i="23" s="1"/>
  <c r="S1140" i="23"/>
  <c r="T1140" i="23"/>
  <c r="U1140" i="23"/>
  <c r="S1141" i="23"/>
  <c r="T1141" i="23"/>
  <c r="U1141" i="23"/>
  <c r="S1142" i="23"/>
  <c r="T1142" i="23"/>
  <c r="U1142" i="23"/>
  <c r="X1142" i="23" s="1"/>
  <c r="S1143" i="23"/>
  <c r="T1143" i="23"/>
  <c r="U1143" i="23"/>
  <c r="S1144" i="23"/>
  <c r="T1144" i="23"/>
  <c r="U1144" i="23"/>
  <c r="S1145" i="23"/>
  <c r="T1145" i="23"/>
  <c r="U1145" i="23"/>
  <c r="S1146" i="23"/>
  <c r="T1146" i="23"/>
  <c r="U1146" i="23"/>
  <c r="X1146" i="23" s="1"/>
  <c r="S1147" i="23"/>
  <c r="T1147" i="23"/>
  <c r="U1147" i="23"/>
  <c r="S1148" i="23"/>
  <c r="T1148" i="23"/>
  <c r="U1148" i="23"/>
  <c r="S1149" i="23"/>
  <c r="T1149" i="23"/>
  <c r="U1149" i="23"/>
  <c r="S1150" i="23"/>
  <c r="T1150" i="23"/>
  <c r="U1150" i="23"/>
  <c r="X1150" i="23" s="1"/>
  <c r="S1151" i="23"/>
  <c r="T1151" i="23"/>
  <c r="U1151" i="23"/>
  <c r="S1152" i="23"/>
  <c r="T1152" i="23"/>
  <c r="U1152" i="23"/>
  <c r="S1153" i="23"/>
  <c r="T1153" i="23"/>
  <c r="U1153" i="23"/>
  <c r="S1154" i="23"/>
  <c r="T1154" i="23"/>
  <c r="U1154" i="23"/>
  <c r="X1154" i="23" s="1"/>
  <c r="S1155" i="23"/>
  <c r="T1155" i="23"/>
  <c r="U1155" i="23"/>
  <c r="S1156" i="23"/>
  <c r="T1156" i="23"/>
  <c r="U1156" i="23"/>
  <c r="S1157" i="23"/>
  <c r="T1157" i="23"/>
  <c r="U1157" i="23"/>
  <c r="T1158" i="23"/>
  <c r="U1158" i="23"/>
  <c r="X1158" i="23" s="1"/>
  <c r="S1159" i="23"/>
  <c r="T1159" i="23"/>
  <c r="U1159" i="23"/>
  <c r="S1160" i="23"/>
  <c r="T1160" i="23"/>
  <c r="U1160" i="23"/>
  <c r="S1161" i="23"/>
  <c r="T1161" i="23"/>
  <c r="U1161" i="23"/>
  <c r="S1162" i="23"/>
  <c r="T1162" i="23"/>
  <c r="U1162" i="23"/>
  <c r="X1162" i="23" s="1"/>
  <c r="S1163" i="23"/>
  <c r="T1163" i="23"/>
  <c r="U1163" i="23"/>
  <c r="S1164" i="23"/>
  <c r="T1164" i="23"/>
  <c r="U1164" i="23"/>
  <c r="T1165" i="23"/>
  <c r="U1165" i="23"/>
  <c r="S1166" i="23"/>
  <c r="T1166" i="23"/>
  <c r="U1166" i="23"/>
  <c r="X1166" i="23" s="1"/>
  <c r="S1169" i="23"/>
  <c r="T1169" i="23"/>
  <c r="U1169" i="23"/>
  <c r="S1170" i="23"/>
  <c r="T1170" i="23"/>
  <c r="U1170" i="23"/>
  <c r="S1171" i="23"/>
  <c r="T1171" i="23"/>
  <c r="U1171" i="23"/>
  <c r="S1172" i="23"/>
  <c r="T1172" i="23"/>
  <c r="U1172" i="23"/>
  <c r="X1172" i="23" s="1"/>
  <c r="S1173" i="23"/>
  <c r="T1173" i="23"/>
  <c r="U1173" i="23"/>
  <c r="S1174" i="23"/>
  <c r="T1174" i="23"/>
  <c r="U1174" i="23"/>
  <c r="S1175" i="23"/>
  <c r="T1175" i="23"/>
  <c r="U1175" i="23"/>
  <c r="S1176" i="23"/>
  <c r="T1176" i="23"/>
  <c r="U1176" i="23"/>
  <c r="X1176" i="23"/>
  <c r="S1177" i="23"/>
  <c r="T1177" i="23"/>
  <c r="U1177" i="23"/>
  <c r="X1177" i="23" s="1"/>
  <c r="S1178" i="23"/>
  <c r="T1178" i="23"/>
  <c r="U1178" i="23"/>
  <c r="S1179" i="23"/>
  <c r="T1179" i="23"/>
  <c r="U1179" i="23"/>
  <c r="S1180" i="23"/>
  <c r="T1180" i="23"/>
  <c r="U1180" i="23"/>
  <c r="S1181" i="23"/>
  <c r="T1181" i="23"/>
  <c r="U1181" i="23"/>
  <c r="X1181" i="23" s="1"/>
  <c r="S1182" i="23"/>
  <c r="T1182" i="23"/>
  <c r="U1182" i="23"/>
  <c r="S1183" i="23"/>
  <c r="T1183" i="23"/>
  <c r="U1183" i="23"/>
  <c r="S1184" i="23"/>
  <c r="T1184" i="23"/>
  <c r="U1184" i="23"/>
  <c r="S1185" i="23"/>
  <c r="T1185" i="23"/>
  <c r="U1185" i="23"/>
  <c r="X1185" i="23" s="1"/>
  <c r="S1186" i="23"/>
  <c r="T1186" i="23"/>
  <c r="U1186" i="23"/>
  <c r="S1187" i="23"/>
  <c r="T1187" i="23"/>
  <c r="U1187" i="23"/>
  <c r="S1188" i="23"/>
  <c r="T1188" i="23"/>
  <c r="U1188" i="23"/>
  <c r="S1189" i="23"/>
  <c r="T1189" i="23"/>
  <c r="U1189" i="23"/>
  <c r="X1189" i="23"/>
  <c r="S1190" i="23"/>
  <c r="T1190" i="23"/>
  <c r="U1190" i="23"/>
  <c r="X1190" i="23" s="1"/>
  <c r="S1191" i="23"/>
  <c r="T1191" i="23"/>
  <c r="U1191" i="23"/>
  <c r="S1192" i="23"/>
  <c r="T1192" i="23"/>
  <c r="U1192" i="23"/>
  <c r="S1193" i="23"/>
  <c r="T1193" i="23"/>
  <c r="U1193" i="23"/>
  <c r="S1194" i="23"/>
  <c r="T1194" i="23"/>
  <c r="U1194" i="23"/>
  <c r="X1194" i="23" s="1"/>
  <c r="S1195" i="23"/>
  <c r="T1195" i="23"/>
  <c r="U1195" i="23"/>
  <c r="S1196" i="23"/>
  <c r="T1196" i="23"/>
  <c r="U1196" i="23"/>
  <c r="S1197" i="23"/>
  <c r="T1197" i="23"/>
  <c r="U1197" i="23"/>
  <c r="S1198" i="23"/>
  <c r="T1198" i="23"/>
  <c r="U1198" i="23"/>
  <c r="X1198" i="23" s="1"/>
  <c r="S1199" i="23"/>
  <c r="T1199" i="23"/>
  <c r="U1199" i="23"/>
  <c r="S1200" i="23"/>
  <c r="T1200" i="23"/>
  <c r="U1200" i="23"/>
  <c r="S1201" i="23"/>
  <c r="T1201" i="23"/>
  <c r="U1201" i="23"/>
  <c r="S1202" i="23"/>
  <c r="T1202" i="23"/>
  <c r="U1202" i="23"/>
  <c r="X1202" i="23" s="1"/>
  <c r="S1203" i="23"/>
  <c r="T1203" i="23"/>
  <c r="U1203" i="23"/>
  <c r="S1204" i="23"/>
  <c r="T1204" i="23"/>
  <c r="U1204" i="23"/>
  <c r="S1205" i="23"/>
  <c r="T1205" i="23"/>
  <c r="U1205" i="23"/>
  <c r="S1206" i="23"/>
  <c r="T1206" i="23"/>
  <c r="U1206" i="23"/>
  <c r="X1206" i="23" s="1"/>
  <c r="S1207" i="23"/>
  <c r="T1207" i="23"/>
  <c r="U1207" i="23"/>
  <c r="S1208" i="23"/>
  <c r="T1208" i="23"/>
  <c r="U1208" i="23"/>
  <c r="S1209" i="23"/>
  <c r="T1209" i="23"/>
  <c r="U1209" i="23"/>
  <c r="S1210" i="23"/>
  <c r="T1210" i="23"/>
  <c r="U1210" i="23"/>
  <c r="S1211" i="23"/>
  <c r="T1211" i="23"/>
  <c r="U1211" i="23"/>
  <c r="S1212" i="23"/>
  <c r="T1212" i="23"/>
  <c r="U1212" i="23"/>
  <c r="S1213" i="23"/>
  <c r="T1213" i="23"/>
  <c r="U1213" i="23"/>
  <c r="X1213" i="23" s="1"/>
  <c r="S1214" i="23"/>
  <c r="T1214" i="23"/>
  <c r="U1214" i="23"/>
  <c r="S1215" i="23"/>
  <c r="T1215" i="23"/>
  <c r="U1215" i="23"/>
  <c r="S1216" i="23"/>
  <c r="T1216" i="23"/>
  <c r="U1216" i="23"/>
  <c r="S1217" i="23"/>
  <c r="T1217" i="23"/>
  <c r="U1217" i="23"/>
  <c r="X1217" i="23" s="1"/>
  <c r="S1218" i="23"/>
  <c r="T1218" i="23"/>
  <c r="U1218" i="23"/>
  <c r="S1219" i="23"/>
  <c r="T1219" i="23"/>
  <c r="U1219" i="23"/>
  <c r="S1220" i="23"/>
  <c r="T1220" i="23"/>
  <c r="U1220" i="23"/>
  <c r="S1221" i="23"/>
  <c r="T1221" i="23"/>
  <c r="U1221" i="23"/>
  <c r="X1221" i="23" s="1"/>
  <c r="S1222" i="23"/>
  <c r="T1222" i="23"/>
  <c r="U1222" i="23"/>
  <c r="S1223" i="23"/>
  <c r="T1223" i="23"/>
  <c r="U1223" i="23"/>
  <c r="S1224" i="23"/>
  <c r="T1224" i="23"/>
  <c r="U1224" i="23"/>
  <c r="S1225" i="23"/>
  <c r="T1225" i="23"/>
  <c r="U1225" i="23"/>
  <c r="X1225" i="23" s="1"/>
  <c r="S1226" i="23"/>
  <c r="T1226" i="23"/>
  <c r="U1226" i="23"/>
  <c r="S1227" i="23"/>
  <c r="T1227" i="23"/>
  <c r="U1227" i="23"/>
  <c r="S1228" i="23"/>
  <c r="T1228" i="23"/>
  <c r="U1228" i="23"/>
  <c r="S1229" i="23"/>
  <c r="T1229" i="23"/>
  <c r="U1229" i="23"/>
  <c r="X1229" i="23" s="1"/>
  <c r="S1230" i="23"/>
  <c r="T1230" i="23"/>
  <c r="U1230" i="23"/>
  <c r="S1231" i="23"/>
  <c r="T1231" i="23"/>
  <c r="U1231" i="23"/>
  <c r="S1232" i="23"/>
  <c r="T1232" i="23"/>
  <c r="U1232" i="23"/>
  <c r="S1233" i="23"/>
  <c r="T1233" i="23"/>
  <c r="U1233" i="23"/>
  <c r="X1233" i="23" s="1"/>
  <c r="S1234" i="23"/>
  <c r="T1234" i="23"/>
  <c r="U1234" i="23"/>
  <c r="S1235" i="23"/>
  <c r="X1235" i="23" s="1"/>
  <c r="T1235" i="23"/>
  <c r="U1235" i="23"/>
  <c r="S1236" i="23"/>
  <c r="T1236" i="23"/>
  <c r="U1236" i="23"/>
  <c r="S1237" i="23"/>
  <c r="T1237" i="23"/>
  <c r="U1237" i="23"/>
  <c r="S1238" i="23"/>
  <c r="T1238" i="23"/>
  <c r="U1238" i="23"/>
  <c r="S1239" i="23"/>
  <c r="T1239" i="23"/>
  <c r="U1239" i="23"/>
  <c r="S1240" i="23"/>
  <c r="T1240" i="23"/>
  <c r="U1240" i="23"/>
  <c r="S1241" i="23"/>
  <c r="T1241" i="23"/>
  <c r="U1241" i="23"/>
  <c r="S1242" i="23"/>
  <c r="T1242" i="23"/>
  <c r="U1242" i="23"/>
  <c r="S1243" i="23"/>
  <c r="T1243" i="23"/>
  <c r="U1243" i="23"/>
  <c r="S1244" i="23"/>
  <c r="T1244" i="23"/>
  <c r="U1244" i="23"/>
  <c r="S1245" i="23"/>
  <c r="T1245" i="23"/>
  <c r="U1245" i="23"/>
  <c r="S1246" i="23"/>
  <c r="T1246" i="23"/>
  <c r="U1246" i="23"/>
  <c r="S1247" i="23"/>
  <c r="T1247" i="23"/>
  <c r="U1247" i="23"/>
  <c r="S1248" i="23"/>
  <c r="T1248" i="23"/>
  <c r="U1248" i="23"/>
  <c r="S1249" i="23"/>
  <c r="T1249" i="23"/>
  <c r="U1249" i="23"/>
  <c r="S1250" i="23"/>
  <c r="T1250" i="23"/>
  <c r="U1250" i="23"/>
  <c r="S1251" i="23"/>
  <c r="T1251" i="23"/>
  <c r="U1251" i="23"/>
  <c r="S1252" i="23"/>
  <c r="T1252" i="23"/>
  <c r="U1252" i="23"/>
  <c r="S1253" i="23"/>
  <c r="T1253" i="23"/>
  <c r="U1253" i="23"/>
  <c r="S1254" i="23"/>
  <c r="T1254" i="23"/>
  <c r="U1254" i="23"/>
  <c r="S1255" i="23"/>
  <c r="T1255" i="23"/>
  <c r="U1255" i="23"/>
  <c r="S1256" i="23"/>
  <c r="T1256" i="23"/>
  <c r="U1256" i="23"/>
  <c r="S1257" i="23"/>
  <c r="T1257" i="23"/>
  <c r="U1257" i="23"/>
  <c r="S1258" i="23"/>
  <c r="T1258" i="23"/>
  <c r="U1258" i="23"/>
  <c r="S1259" i="23"/>
  <c r="T1259" i="23"/>
  <c r="U1259" i="23"/>
  <c r="S1260" i="23"/>
  <c r="T1260" i="23"/>
  <c r="U1260" i="23"/>
  <c r="S1261" i="23"/>
  <c r="T1261" i="23"/>
  <c r="U1261" i="23"/>
  <c r="S1262" i="23"/>
  <c r="T1262" i="23"/>
  <c r="U1262" i="23"/>
  <c r="S1263" i="23"/>
  <c r="T1263" i="23"/>
  <c r="U1263" i="23"/>
  <c r="S1264" i="23"/>
  <c r="T1264" i="23"/>
  <c r="U1264" i="23"/>
  <c r="S1265" i="23"/>
  <c r="T1265" i="23"/>
  <c r="U1265" i="23"/>
  <c r="S1266" i="23"/>
  <c r="T1266" i="23"/>
  <c r="U1266" i="23"/>
  <c r="S1267" i="23"/>
  <c r="T1267" i="23"/>
  <c r="U1267" i="23"/>
  <c r="S1268" i="23"/>
  <c r="T1268" i="23"/>
  <c r="U1268" i="23"/>
  <c r="S1269" i="23"/>
  <c r="T1269" i="23"/>
  <c r="U1269" i="23"/>
  <c r="S1270" i="23"/>
  <c r="T1270" i="23"/>
  <c r="U1270" i="23"/>
  <c r="S1271" i="23"/>
  <c r="X1271" i="23" s="1"/>
  <c r="T1271" i="23"/>
  <c r="U1271" i="23"/>
  <c r="S1272" i="23"/>
  <c r="T1272" i="23"/>
  <c r="U1272" i="23"/>
  <c r="S1273" i="23"/>
  <c r="T1273" i="23"/>
  <c r="U1273" i="23"/>
  <c r="S1274" i="23"/>
  <c r="T1274" i="23"/>
  <c r="U1274" i="23"/>
  <c r="S1275" i="23"/>
  <c r="T1275" i="23"/>
  <c r="U1275" i="23"/>
  <c r="X1275" i="23"/>
  <c r="S1276" i="23"/>
  <c r="T1276" i="23"/>
  <c r="U1276" i="23"/>
  <c r="X1276" i="23"/>
  <c r="S1277" i="23"/>
  <c r="T1277" i="23"/>
  <c r="U1277" i="23"/>
  <c r="S1278" i="23"/>
  <c r="T1278" i="23"/>
  <c r="U1278" i="23"/>
  <c r="S1279" i="23"/>
  <c r="T1279" i="23"/>
  <c r="U1279" i="23"/>
  <c r="S1280" i="23"/>
  <c r="T1280" i="23"/>
  <c r="U1280" i="23"/>
  <c r="S1281" i="23"/>
  <c r="T1281" i="23"/>
  <c r="U1281" i="23"/>
  <c r="S1282" i="23"/>
  <c r="T1282" i="23"/>
  <c r="U1282" i="23"/>
  <c r="S1283" i="23"/>
  <c r="T1283" i="23"/>
  <c r="U1283" i="23"/>
  <c r="S1284" i="23"/>
  <c r="T1284" i="23"/>
  <c r="U1284" i="23"/>
  <c r="S1285" i="23"/>
  <c r="T1285" i="23"/>
  <c r="U1285" i="23"/>
  <c r="S1286" i="23"/>
  <c r="T1286" i="23"/>
  <c r="U1286" i="23"/>
  <c r="S1287" i="23"/>
  <c r="T1287" i="23"/>
  <c r="U1287" i="23"/>
  <c r="S1288" i="23"/>
  <c r="T1288" i="23"/>
  <c r="U1288" i="23"/>
  <c r="S1289" i="23"/>
  <c r="T1289" i="23"/>
  <c r="U1289" i="23"/>
  <c r="S1290" i="23"/>
  <c r="T1290" i="23"/>
  <c r="U1290" i="23"/>
  <c r="S1291" i="23"/>
  <c r="T1291" i="23"/>
  <c r="U1291" i="23"/>
  <c r="S1292" i="23"/>
  <c r="T1292" i="23"/>
  <c r="U1292" i="23"/>
  <c r="S1293" i="23"/>
  <c r="T1293" i="23"/>
  <c r="U1293" i="23"/>
  <c r="S1294" i="23"/>
  <c r="T1294" i="23"/>
  <c r="U1294" i="23"/>
  <c r="S1295" i="23"/>
  <c r="T1295" i="23"/>
  <c r="U1295" i="23"/>
  <c r="S1296" i="23"/>
  <c r="T1296" i="23"/>
  <c r="U1296" i="23"/>
  <c r="S1297" i="23"/>
  <c r="T1297" i="23"/>
  <c r="U1297" i="23"/>
  <c r="S1298" i="23"/>
  <c r="T1298" i="23"/>
  <c r="U1298" i="23"/>
  <c r="S1299" i="23"/>
  <c r="T1299" i="23"/>
  <c r="U1299" i="23"/>
  <c r="S1300" i="23"/>
  <c r="T1300" i="23"/>
  <c r="U1300" i="23"/>
  <c r="S1301" i="23"/>
  <c r="T1301" i="23"/>
  <c r="U1301" i="23"/>
  <c r="S1302" i="23"/>
  <c r="T1302" i="23"/>
  <c r="U1302" i="23"/>
  <c r="S1303" i="23"/>
  <c r="T1303" i="23"/>
  <c r="U1303" i="23"/>
  <c r="S1304" i="23"/>
  <c r="T1304" i="23"/>
  <c r="U1304" i="23"/>
  <c r="S1305" i="23"/>
  <c r="T1305" i="23"/>
  <c r="U1305" i="23"/>
  <c r="S1306" i="23"/>
  <c r="T1306" i="23"/>
  <c r="U1306" i="23"/>
  <c r="T1307" i="23"/>
  <c r="U1307" i="23"/>
  <c r="S1308" i="23"/>
  <c r="T1308" i="23"/>
  <c r="U1308" i="23"/>
  <c r="S1309" i="23"/>
  <c r="T1309" i="23"/>
  <c r="U1309" i="23"/>
  <c r="S1310" i="23"/>
  <c r="T1310" i="23"/>
  <c r="U1310" i="23"/>
  <c r="S1311" i="23"/>
  <c r="T1311" i="23"/>
  <c r="U1311" i="23"/>
  <c r="S1312" i="23"/>
  <c r="T1312" i="23"/>
  <c r="U1312" i="23"/>
  <c r="S1313" i="23"/>
  <c r="T1313" i="23"/>
  <c r="U1313" i="23"/>
  <c r="S1314" i="23"/>
  <c r="T1314" i="23"/>
  <c r="U1314" i="23"/>
  <c r="S1315" i="23"/>
  <c r="T1315" i="23"/>
  <c r="U1315" i="23"/>
  <c r="S1316" i="23"/>
  <c r="T1316" i="23"/>
  <c r="U1316" i="23"/>
  <c r="S1317" i="23"/>
  <c r="T1317" i="23"/>
  <c r="U1317" i="23"/>
  <c r="S1318" i="23"/>
  <c r="T1318" i="23"/>
  <c r="U1318" i="23"/>
  <c r="S1319" i="23"/>
  <c r="T1319" i="23"/>
  <c r="U1319" i="23"/>
  <c r="S1322" i="23"/>
  <c r="T1322" i="23"/>
  <c r="U1322" i="23"/>
  <c r="S1323" i="23"/>
  <c r="T1323" i="23"/>
  <c r="U1323" i="23"/>
  <c r="S1324" i="23"/>
  <c r="T1324" i="23"/>
  <c r="U1324" i="23"/>
  <c r="S1325" i="23"/>
  <c r="T1325" i="23"/>
  <c r="U1325" i="23"/>
  <c r="S1326" i="23"/>
  <c r="T1326" i="23"/>
  <c r="U1326" i="23"/>
  <c r="S1327" i="23"/>
  <c r="T1327" i="23"/>
  <c r="U1327" i="23"/>
  <c r="S1328" i="23"/>
  <c r="T1328" i="23"/>
  <c r="U1328" i="23"/>
  <c r="S1329" i="23"/>
  <c r="T1329" i="23"/>
  <c r="U1329" i="23"/>
  <c r="S1330" i="23"/>
  <c r="T1330" i="23"/>
  <c r="U1330" i="23"/>
  <c r="S1331" i="23"/>
  <c r="T1331" i="23"/>
  <c r="U1331" i="23"/>
  <c r="S1332" i="23"/>
  <c r="T1332" i="23"/>
  <c r="U1332" i="23"/>
  <c r="S1333" i="23"/>
  <c r="T1333" i="23"/>
  <c r="U1333" i="23"/>
  <c r="S1334" i="23"/>
  <c r="T1334" i="23"/>
  <c r="U1334" i="23"/>
  <c r="S1335" i="23"/>
  <c r="T1335" i="23"/>
  <c r="U1335" i="23"/>
  <c r="S1336" i="23"/>
  <c r="T1336" i="23"/>
  <c r="U1336" i="23"/>
  <c r="S1337" i="23"/>
  <c r="T1337" i="23"/>
  <c r="U1337" i="23"/>
  <c r="S1338" i="23"/>
  <c r="T1338" i="23"/>
  <c r="U1338" i="23"/>
  <c r="S1339" i="23"/>
  <c r="T1339" i="23"/>
  <c r="U1339" i="23"/>
  <c r="S1340" i="23"/>
  <c r="T1340" i="23"/>
  <c r="U1340" i="23"/>
  <c r="S1341" i="23"/>
  <c r="T1341" i="23"/>
  <c r="U1341" i="23"/>
  <c r="S1342" i="23"/>
  <c r="T1342" i="23"/>
  <c r="U1342" i="23"/>
  <c r="S1343" i="23"/>
  <c r="T1343" i="23"/>
  <c r="U1343" i="23"/>
  <c r="S1344" i="23"/>
  <c r="T1344" i="23"/>
  <c r="U1344" i="23"/>
  <c r="S1345" i="23"/>
  <c r="T1345" i="23"/>
  <c r="U1345" i="23"/>
  <c r="S1346" i="23"/>
  <c r="T1346" i="23"/>
  <c r="U1346" i="23"/>
  <c r="S1347" i="23"/>
  <c r="T1347" i="23"/>
  <c r="U1347" i="23"/>
  <c r="S1348" i="23"/>
  <c r="T1348" i="23"/>
  <c r="U1348" i="23"/>
  <c r="S1349" i="23"/>
  <c r="T1349" i="23"/>
  <c r="U1349" i="23"/>
  <c r="X1349" i="23"/>
  <c r="S1350" i="23"/>
  <c r="T1350" i="23"/>
  <c r="U1350" i="23"/>
  <c r="S1351" i="23"/>
  <c r="T1351" i="23"/>
  <c r="U1351" i="23"/>
  <c r="S1352" i="23"/>
  <c r="T1352" i="23"/>
  <c r="U1352" i="23"/>
  <c r="S1353" i="23"/>
  <c r="T1353" i="23"/>
  <c r="U1353" i="23"/>
  <c r="S1354" i="23"/>
  <c r="T1354" i="23"/>
  <c r="U1354" i="23"/>
  <c r="X1354" i="23"/>
  <c r="S1355" i="23"/>
  <c r="T1355" i="23"/>
  <c r="U1355" i="23"/>
  <c r="X1355" i="23"/>
  <c r="S1356" i="23"/>
  <c r="T1356" i="23"/>
  <c r="U1356" i="23"/>
  <c r="X1356" i="23"/>
  <c r="S1357" i="23"/>
  <c r="T1357" i="23"/>
  <c r="U1357" i="23"/>
  <c r="X1357" i="23"/>
  <c r="S1358" i="23"/>
  <c r="T1358" i="23"/>
  <c r="U1358" i="23"/>
  <c r="S1359" i="23"/>
  <c r="T1359" i="23"/>
  <c r="U1359" i="23"/>
  <c r="S1360" i="23"/>
  <c r="T1360" i="23"/>
  <c r="U1360" i="23"/>
  <c r="S1361" i="23"/>
  <c r="T1361" i="23"/>
  <c r="U1361" i="23"/>
  <c r="S1362" i="23"/>
  <c r="T1362" i="23"/>
  <c r="U1362" i="23"/>
  <c r="X1362" i="23"/>
  <c r="S1363" i="23"/>
  <c r="T1363" i="23"/>
  <c r="U1363" i="23"/>
  <c r="S1364" i="23"/>
  <c r="T1364" i="23"/>
  <c r="U1364" i="23"/>
  <c r="S1365" i="23"/>
  <c r="T1365" i="23"/>
  <c r="U1365" i="23"/>
  <c r="S1366" i="23"/>
  <c r="T1366" i="23"/>
  <c r="U1366" i="23"/>
  <c r="S1367" i="23"/>
  <c r="T1367" i="23"/>
  <c r="U1367" i="23"/>
  <c r="S1368" i="23"/>
  <c r="T1368" i="23"/>
  <c r="U1368" i="23"/>
  <c r="S1369" i="23"/>
  <c r="T1369" i="23"/>
  <c r="U1369" i="23"/>
  <c r="S1370" i="23"/>
  <c r="T1370" i="23"/>
  <c r="U1370" i="23"/>
  <c r="S1371" i="23"/>
  <c r="T1371" i="23"/>
  <c r="U1371" i="23"/>
  <c r="S1372" i="23"/>
  <c r="T1372" i="23"/>
  <c r="U1372" i="23"/>
  <c r="S1373" i="23"/>
  <c r="T1373" i="23"/>
  <c r="U1373" i="23"/>
  <c r="S1374" i="23"/>
  <c r="T1374" i="23"/>
  <c r="U1374" i="23"/>
  <c r="S1375" i="23"/>
  <c r="T1375" i="23"/>
  <c r="U1375" i="23"/>
  <c r="S1376" i="23"/>
  <c r="T1376" i="23"/>
  <c r="U1376" i="23"/>
  <c r="S1377" i="23"/>
  <c r="T1377" i="23"/>
  <c r="U1377" i="23"/>
  <c r="S1378" i="23"/>
  <c r="T1378" i="23"/>
  <c r="U1378" i="23"/>
  <c r="S1379" i="23"/>
  <c r="T1379" i="23"/>
  <c r="U1379" i="23"/>
  <c r="S1380" i="23"/>
  <c r="T1380" i="23"/>
  <c r="U1380" i="23"/>
  <c r="S1381" i="23"/>
  <c r="T1381" i="23"/>
  <c r="U1381" i="23"/>
  <c r="S1382" i="23"/>
  <c r="T1382" i="23"/>
  <c r="U1382" i="23"/>
  <c r="S1383" i="23"/>
  <c r="T1383" i="23"/>
  <c r="U1383" i="23"/>
  <c r="S1384" i="23"/>
  <c r="T1384" i="23"/>
  <c r="U1384" i="23"/>
  <c r="S1385" i="23"/>
  <c r="T1385" i="23"/>
  <c r="U1385" i="23"/>
  <c r="S1386" i="23"/>
  <c r="T1386" i="23"/>
  <c r="U1386" i="23"/>
  <c r="S1387" i="23"/>
  <c r="T1387" i="23"/>
  <c r="U1387" i="23"/>
  <c r="S1388" i="23"/>
  <c r="T1388" i="23"/>
  <c r="U1388" i="23"/>
  <c r="S1389" i="23"/>
  <c r="T1389" i="23"/>
  <c r="U1389" i="23"/>
  <c r="S1390" i="23"/>
  <c r="T1390" i="23"/>
  <c r="U1390" i="23"/>
  <c r="S1391" i="23"/>
  <c r="T1391" i="23"/>
  <c r="U1391" i="23"/>
  <c r="S1392" i="23"/>
  <c r="T1392" i="23"/>
  <c r="U1392" i="23"/>
  <c r="S1393" i="23"/>
  <c r="T1393" i="23"/>
  <c r="U1393" i="23"/>
  <c r="S1394" i="23"/>
  <c r="T1394" i="23"/>
  <c r="U1394" i="23"/>
  <c r="S1395" i="23"/>
  <c r="T1395" i="23"/>
  <c r="U1395" i="23"/>
  <c r="S1396" i="23"/>
  <c r="T1396" i="23"/>
  <c r="U1396" i="23"/>
  <c r="S1397" i="23"/>
  <c r="T1397" i="23"/>
  <c r="U1397" i="23"/>
  <c r="S1398" i="23"/>
  <c r="T1398" i="23"/>
  <c r="U1398" i="23"/>
  <c r="S1399" i="23"/>
  <c r="T1399" i="23"/>
  <c r="U1399" i="23"/>
  <c r="S1400" i="23"/>
  <c r="T1400" i="23"/>
  <c r="U1400" i="23"/>
  <c r="S1401" i="23"/>
  <c r="T1401" i="23"/>
  <c r="U1401" i="23"/>
  <c r="S1402" i="23"/>
  <c r="T1402" i="23"/>
  <c r="U1402" i="23"/>
  <c r="S1403" i="23"/>
  <c r="T1403" i="23"/>
  <c r="U1403" i="23"/>
  <c r="S1404" i="23"/>
  <c r="T1404" i="23"/>
  <c r="U1404" i="23"/>
  <c r="S1405" i="23"/>
  <c r="T1405" i="23"/>
  <c r="U1405" i="23"/>
  <c r="S1406" i="23"/>
  <c r="T1406" i="23"/>
  <c r="U1406" i="23"/>
  <c r="S1407" i="23"/>
  <c r="T1407" i="23"/>
  <c r="U1407" i="23"/>
  <c r="S1408" i="23"/>
  <c r="T1408" i="23"/>
  <c r="U1408" i="23"/>
  <c r="S1409" i="23"/>
  <c r="T1409" i="23"/>
  <c r="U1409" i="23"/>
  <c r="S1410" i="23"/>
  <c r="T1410" i="23"/>
  <c r="U1410" i="23"/>
  <c r="S1411" i="23"/>
  <c r="T1411" i="23"/>
  <c r="U1411" i="23"/>
  <c r="S1412" i="23"/>
  <c r="T1412" i="23"/>
  <c r="U1412" i="23"/>
  <c r="S1413" i="23"/>
  <c r="T1413" i="23"/>
  <c r="U1413" i="23"/>
  <c r="S1414" i="23"/>
  <c r="T1414" i="23"/>
  <c r="U1414" i="23"/>
  <c r="S1415" i="23"/>
  <c r="T1415" i="23"/>
  <c r="U1415" i="23"/>
  <c r="S1416" i="23"/>
  <c r="T1416" i="23"/>
  <c r="U1416" i="23"/>
  <c r="S1417" i="23"/>
  <c r="T1417" i="23"/>
  <c r="U1417" i="23"/>
  <c r="S1418" i="23"/>
  <c r="T1418" i="23"/>
  <c r="U1418" i="23"/>
  <c r="S1419" i="23"/>
  <c r="T1419" i="23"/>
  <c r="U1419" i="23"/>
  <c r="S1420" i="23"/>
  <c r="T1420" i="23"/>
  <c r="U1420" i="23"/>
  <c r="S1421" i="23"/>
  <c r="T1421" i="23"/>
  <c r="U1421" i="23"/>
  <c r="S1422" i="23"/>
  <c r="T1422" i="23"/>
  <c r="U1422" i="23"/>
  <c r="S1423" i="23"/>
  <c r="T1423" i="23"/>
  <c r="U1423" i="23"/>
  <c r="S1424" i="23"/>
  <c r="T1424" i="23"/>
  <c r="U1424" i="23"/>
  <c r="S1425" i="23"/>
  <c r="T1425" i="23"/>
  <c r="U1425" i="23"/>
  <c r="S1426" i="23"/>
  <c r="T1426" i="23"/>
  <c r="U1426" i="23"/>
  <c r="S1427" i="23"/>
  <c r="T1427" i="23"/>
  <c r="U1427" i="23"/>
  <c r="S1428" i="23"/>
  <c r="T1428" i="23"/>
  <c r="U1428" i="23"/>
  <c r="S1429" i="23"/>
  <c r="T1429" i="23"/>
  <c r="U1429" i="23"/>
  <c r="S1430" i="23"/>
  <c r="T1430" i="23"/>
  <c r="U1430" i="23"/>
  <c r="S1431" i="23"/>
  <c r="T1431" i="23"/>
  <c r="U1431" i="23"/>
  <c r="S1432" i="23"/>
  <c r="T1432" i="23"/>
  <c r="U1432" i="23"/>
  <c r="S1433" i="23"/>
  <c r="T1433" i="23"/>
  <c r="U1433" i="23"/>
  <c r="S1434" i="23"/>
  <c r="T1434" i="23"/>
  <c r="U1434" i="23"/>
  <c r="S1435" i="23"/>
  <c r="T1435" i="23"/>
  <c r="U1435" i="23"/>
  <c r="S1436" i="23"/>
  <c r="T1436" i="23"/>
  <c r="U1436" i="23"/>
  <c r="S1437" i="23"/>
  <c r="T1437" i="23"/>
  <c r="U1437" i="23"/>
  <c r="S1438" i="23"/>
  <c r="T1438" i="23"/>
  <c r="U1438" i="23"/>
  <c r="S1439" i="23"/>
  <c r="T1439" i="23"/>
  <c r="U1439" i="23"/>
  <c r="S1440" i="23"/>
  <c r="X1440" i="23" s="1"/>
  <c r="T1440" i="23"/>
  <c r="U1440" i="23"/>
  <c r="S1441" i="23"/>
  <c r="T1441" i="23"/>
  <c r="U1441" i="23"/>
  <c r="S1442" i="23"/>
  <c r="T1442" i="23"/>
  <c r="U1442" i="23"/>
  <c r="S1443" i="23"/>
  <c r="T1443" i="23"/>
  <c r="U1443" i="23"/>
  <c r="S1444" i="23"/>
  <c r="T1444" i="23"/>
  <c r="U1444" i="23"/>
  <c r="S1445" i="23"/>
  <c r="X1445" i="23" s="1"/>
  <c r="T1445" i="23"/>
  <c r="U1445" i="23"/>
  <c r="S1446" i="23"/>
  <c r="T1446" i="23"/>
  <c r="U1446" i="23"/>
  <c r="S1447" i="23"/>
  <c r="T1447" i="23"/>
  <c r="U1447" i="23"/>
  <c r="S1448" i="23"/>
  <c r="T1448" i="23"/>
  <c r="U1448" i="23"/>
  <c r="T1449" i="23"/>
  <c r="U1449" i="23"/>
  <c r="S1450" i="23"/>
  <c r="T1450" i="23"/>
  <c r="U1450" i="23"/>
  <c r="S1451" i="23"/>
  <c r="T1451" i="23"/>
  <c r="U1451" i="23"/>
  <c r="S1452" i="23"/>
  <c r="T1452" i="23"/>
  <c r="U1452" i="23"/>
  <c r="S1453" i="23"/>
  <c r="T1453" i="23"/>
  <c r="U1453" i="23"/>
  <c r="S1454" i="23"/>
  <c r="T1454" i="23"/>
  <c r="U1454" i="23"/>
  <c r="S1455" i="23"/>
  <c r="T1455" i="23"/>
  <c r="U1455" i="23"/>
  <c r="S1456" i="23"/>
  <c r="T1456" i="23"/>
  <c r="U1456" i="23"/>
  <c r="S1457" i="23"/>
  <c r="T1457" i="23"/>
  <c r="U1457" i="23"/>
  <c r="S1458" i="23"/>
  <c r="T1458" i="23"/>
  <c r="U1458" i="23"/>
  <c r="S1459" i="23"/>
  <c r="T1459" i="23"/>
  <c r="U1459" i="23"/>
  <c r="S1460" i="23"/>
  <c r="T1460" i="23"/>
  <c r="U1460" i="23"/>
  <c r="S1461" i="23"/>
  <c r="T1461" i="23"/>
  <c r="U1461" i="23"/>
  <c r="S1462" i="23"/>
  <c r="T1462" i="23"/>
  <c r="U1462" i="23"/>
  <c r="S1463" i="23"/>
  <c r="T1463" i="23"/>
  <c r="U1463" i="23"/>
  <c r="S1464" i="23"/>
  <c r="T1464" i="23"/>
  <c r="U1464" i="23"/>
  <c r="S1465" i="23"/>
  <c r="T1465" i="23"/>
  <c r="U1465" i="23"/>
  <c r="S1466" i="23"/>
  <c r="T1466" i="23"/>
  <c r="U1466" i="23"/>
  <c r="S1467" i="23"/>
  <c r="T1467" i="23"/>
  <c r="U1467" i="23"/>
  <c r="S1468" i="23"/>
  <c r="T1468" i="23"/>
  <c r="U1468" i="23"/>
  <c r="S1469" i="23"/>
  <c r="T1469" i="23"/>
  <c r="U1469" i="23"/>
  <c r="S1470" i="23"/>
  <c r="T1470" i="23"/>
  <c r="U1470" i="23"/>
  <c r="S1471" i="23"/>
  <c r="T1471" i="23"/>
  <c r="U1471" i="23"/>
  <c r="S1472" i="23"/>
  <c r="T1472" i="23"/>
  <c r="U1472" i="23"/>
  <c r="S1473" i="23"/>
  <c r="T1473" i="23"/>
  <c r="U1473" i="23"/>
  <c r="S1474" i="23"/>
  <c r="T1474" i="23"/>
  <c r="U1474" i="23"/>
  <c r="S1477" i="23"/>
  <c r="T1477" i="23"/>
  <c r="U1477" i="23"/>
  <c r="S1478" i="23"/>
  <c r="T1478" i="23"/>
  <c r="U1478" i="23"/>
  <c r="S1479" i="23"/>
  <c r="T1479" i="23"/>
  <c r="U1479" i="23"/>
  <c r="S1480" i="23"/>
  <c r="T1480" i="23"/>
  <c r="U1480" i="23"/>
  <c r="S1481" i="23"/>
  <c r="T1481" i="23"/>
  <c r="U1481" i="23"/>
  <c r="S1482" i="23"/>
  <c r="T1482" i="23"/>
  <c r="U1482" i="23"/>
  <c r="S1483" i="23"/>
  <c r="T1483" i="23"/>
  <c r="U1483" i="23"/>
  <c r="S1484" i="23"/>
  <c r="T1484" i="23"/>
  <c r="U1484" i="23"/>
  <c r="S1485" i="23"/>
  <c r="T1485" i="23"/>
  <c r="U1485" i="23"/>
  <c r="S1486" i="23"/>
  <c r="T1486" i="23"/>
  <c r="U1486" i="23"/>
  <c r="S1487" i="23"/>
  <c r="T1487" i="23"/>
  <c r="U1487" i="23"/>
  <c r="S1488" i="23"/>
  <c r="T1488" i="23"/>
  <c r="U1488" i="23"/>
  <c r="S1489" i="23"/>
  <c r="T1489" i="23"/>
  <c r="U1489" i="23"/>
  <c r="S1490" i="23"/>
  <c r="T1490" i="23"/>
  <c r="U1490" i="23"/>
  <c r="S1491" i="23"/>
  <c r="T1491" i="23"/>
  <c r="U1491" i="23"/>
  <c r="S1492" i="23"/>
  <c r="T1492" i="23"/>
  <c r="U1492" i="23"/>
  <c r="S1493" i="23"/>
  <c r="T1493" i="23"/>
  <c r="U1493" i="23"/>
  <c r="S1494" i="23"/>
  <c r="T1494" i="23"/>
  <c r="U1494" i="23"/>
  <c r="S1495" i="23"/>
  <c r="T1495" i="23"/>
  <c r="U1495" i="23"/>
  <c r="S1496" i="23"/>
  <c r="T1496" i="23"/>
  <c r="U1496" i="23"/>
  <c r="S1497" i="23"/>
  <c r="T1497" i="23"/>
  <c r="U1497" i="23"/>
  <c r="S1498" i="23"/>
  <c r="T1498" i="23"/>
  <c r="U1498" i="23"/>
  <c r="S1499" i="23"/>
  <c r="T1499" i="23"/>
  <c r="U1499" i="23"/>
  <c r="S1500" i="23"/>
  <c r="T1500" i="23"/>
  <c r="U1500" i="23"/>
  <c r="S1501" i="23"/>
  <c r="T1501" i="23"/>
  <c r="U1501" i="23"/>
  <c r="S1502" i="23"/>
  <c r="T1502" i="23"/>
  <c r="U1502" i="23"/>
  <c r="S1503" i="23"/>
  <c r="T1503" i="23"/>
  <c r="U1503" i="23"/>
  <c r="S1504" i="23"/>
  <c r="T1504" i="23"/>
  <c r="U1504" i="23"/>
  <c r="S1505" i="23"/>
  <c r="T1505" i="23"/>
  <c r="U1505" i="23"/>
  <c r="S1506" i="23"/>
  <c r="T1506" i="23"/>
  <c r="U1506" i="23"/>
  <c r="S1507" i="23"/>
  <c r="T1507" i="23"/>
  <c r="U1507" i="23"/>
  <c r="S1508" i="23"/>
  <c r="T1508" i="23"/>
  <c r="U1508" i="23"/>
  <c r="S1509" i="23"/>
  <c r="T1509" i="23"/>
  <c r="U1509" i="23"/>
  <c r="X1509" i="23" s="1"/>
  <c r="S1510" i="23"/>
  <c r="T1510" i="23"/>
  <c r="U1510" i="23"/>
  <c r="S1511" i="23"/>
  <c r="T1511" i="23"/>
  <c r="U1511" i="23"/>
  <c r="S1512" i="23"/>
  <c r="T1512" i="23"/>
  <c r="U1512" i="23"/>
  <c r="S1513" i="23"/>
  <c r="T1513" i="23"/>
  <c r="U1513" i="23"/>
  <c r="X1513" i="23" s="1"/>
  <c r="S1514" i="23"/>
  <c r="T1514" i="23"/>
  <c r="U1514" i="23"/>
  <c r="S1515" i="23"/>
  <c r="T1515" i="23"/>
  <c r="U1515" i="23"/>
  <c r="S1516" i="23"/>
  <c r="T1516" i="23"/>
  <c r="U1516" i="23"/>
  <c r="S1517" i="23"/>
  <c r="T1517" i="23"/>
  <c r="U1517" i="23"/>
  <c r="X1517" i="23" s="1"/>
  <c r="S1518" i="23"/>
  <c r="T1518" i="23"/>
  <c r="U1518" i="23"/>
  <c r="S1519" i="23"/>
  <c r="T1519" i="23"/>
  <c r="U1519" i="23"/>
  <c r="S1520" i="23"/>
  <c r="T1520" i="23"/>
  <c r="U1520" i="23"/>
  <c r="S1521" i="23"/>
  <c r="T1521" i="23"/>
  <c r="U1521" i="23"/>
  <c r="X1521" i="23" s="1"/>
  <c r="S1522" i="23"/>
  <c r="T1522" i="23"/>
  <c r="U1522" i="23"/>
  <c r="S1523" i="23"/>
  <c r="T1523" i="23"/>
  <c r="U1523" i="23"/>
  <c r="S1524" i="23"/>
  <c r="T1524" i="23"/>
  <c r="U1524" i="23"/>
  <c r="S1525" i="23"/>
  <c r="T1525" i="23"/>
  <c r="U1525" i="23"/>
  <c r="S1526" i="23"/>
  <c r="T1526" i="23"/>
  <c r="U1526" i="23"/>
  <c r="X1526" i="23" s="1"/>
  <c r="S1527" i="23"/>
  <c r="T1527" i="23"/>
  <c r="U1527" i="23"/>
  <c r="S1528" i="23"/>
  <c r="T1528" i="23"/>
  <c r="U1528" i="23"/>
  <c r="S1529" i="23"/>
  <c r="T1529" i="23"/>
  <c r="U1529" i="23"/>
  <c r="S1530" i="23"/>
  <c r="T1530" i="23"/>
  <c r="U1530" i="23"/>
  <c r="X1530" i="23" s="1"/>
  <c r="S1531" i="23"/>
  <c r="T1531" i="23"/>
  <c r="U1531" i="23"/>
  <c r="S1532" i="23"/>
  <c r="T1532" i="23"/>
  <c r="U1532" i="23"/>
  <c r="S1533" i="23"/>
  <c r="T1533" i="23"/>
  <c r="U1533" i="23"/>
  <c r="S1534" i="23"/>
  <c r="T1534" i="23"/>
  <c r="U1534" i="23"/>
  <c r="X1534" i="23" s="1"/>
  <c r="S1535" i="23"/>
  <c r="T1535" i="23"/>
  <c r="U1535" i="23"/>
  <c r="S1536" i="23"/>
  <c r="T1536" i="23"/>
  <c r="U1536" i="23"/>
  <c r="S1537" i="23"/>
  <c r="T1537" i="23"/>
  <c r="U1537" i="23"/>
  <c r="S1538" i="23"/>
  <c r="T1538" i="23"/>
  <c r="U1538" i="23"/>
  <c r="X1538" i="23" s="1"/>
  <c r="S1539" i="23"/>
  <c r="T1539" i="23"/>
  <c r="U1539" i="23"/>
  <c r="S1540" i="23"/>
  <c r="T1540" i="23"/>
  <c r="U1540" i="23"/>
  <c r="S1541" i="23"/>
  <c r="T1541" i="23"/>
  <c r="U1541" i="23"/>
  <c r="S1542" i="23"/>
  <c r="T1542" i="23"/>
  <c r="U1542" i="23"/>
  <c r="X1542" i="23" s="1"/>
  <c r="S1543" i="23"/>
  <c r="T1543" i="23"/>
  <c r="U1543" i="23"/>
  <c r="S1544" i="23"/>
  <c r="T1544" i="23"/>
  <c r="U1544" i="23"/>
  <c r="S1545" i="23"/>
  <c r="T1545" i="23"/>
  <c r="U1545" i="23"/>
  <c r="S1546" i="23"/>
  <c r="T1546" i="23"/>
  <c r="U1546" i="23"/>
  <c r="S1547" i="23"/>
  <c r="T1547" i="23"/>
  <c r="U1547" i="23"/>
  <c r="X1547" i="23" s="1"/>
  <c r="S1548" i="23"/>
  <c r="T1548" i="23"/>
  <c r="U1548" i="23"/>
  <c r="S1549" i="23"/>
  <c r="T1549" i="23"/>
  <c r="U1549" i="23"/>
  <c r="S1550" i="23"/>
  <c r="T1550" i="23"/>
  <c r="U1550" i="23"/>
  <c r="S1551" i="23"/>
  <c r="T1551" i="23"/>
  <c r="U1551" i="23"/>
  <c r="X1551" i="23" s="1"/>
  <c r="S1552" i="23"/>
  <c r="T1552" i="23"/>
  <c r="U1552" i="23"/>
  <c r="S1553" i="23"/>
  <c r="T1553" i="23"/>
  <c r="U1553" i="23"/>
  <c r="S1554" i="23"/>
  <c r="T1554" i="23"/>
  <c r="U1554" i="23"/>
  <c r="S1555" i="23"/>
  <c r="T1555" i="23"/>
  <c r="U1555" i="23"/>
  <c r="X1555" i="23" s="1"/>
  <c r="S1556" i="23"/>
  <c r="T1556" i="23"/>
  <c r="U1556" i="23"/>
  <c r="S1557" i="23"/>
  <c r="T1557" i="23"/>
  <c r="U1557" i="23"/>
  <c r="S1558" i="23"/>
  <c r="X1558" i="23" s="1"/>
  <c r="T1558" i="23"/>
  <c r="U1558" i="23"/>
  <c r="S1559" i="23"/>
  <c r="X1559" i="23" s="1"/>
  <c r="T1559" i="23"/>
  <c r="U1559" i="23"/>
  <c r="S1560" i="23"/>
  <c r="X1560" i="23" s="1"/>
  <c r="T1560" i="23"/>
  <c r="U1560" i="23"/>
  <c r="S1561" i="23"/>
  <c r="T1561" i="23"/>
  <c r="U1561" i="23"/>
  <c r="S1562" i="23"/>
  <c r="T1562" i="23"/>
  <c r="U1562" i="23"/>
  <c r="S1563" i="23"/>
  <c r="T1563" i="23"/>
  <c r="U1563" i="23"/>
  <c r="X1563" i="23" s="1"/>
  <c r="S1564" i="23"/>
  <c r="T1564" i="23"/>
  <c r="U1564" i="23"/>
  <c r="S1565" i="23"/>
  <c r="X1565" i="23" s="1"/>
  <c r="T1565" i="23"/>
  <c r="U1565" i="23"/>
  <c r="S1566" i="23"/>
  <c r="T1566" i="23"/>
  <c r="U1566" i="23"/>
  <c r="S1567" i="23"/>
  <c r="T1567" i="23"/>
  <c r="U1567" i="23"/>
  <c r="S1568" i="23"/>
  <c r="T1568" i="23"/>
  <c r="U1568" i="23"/>
  <c r="X1568" i="23" s="1"/>
  <c r="S1569" i="23"/>
  <c r="T1569" i="23"/>
  <c r="U1569" i="23"/>
  <c r="U1570" i="23"/>
  <c r="X1570" i="23" s="1"/>
  <c r="S1571" i="23"/>
  <c r="T1571" i="23"/>
  <c r="U1571" i="23"/>
  <c r="S1572" i="23"/>
  <c r="T1572" i="23"/>
  <c r="U1572" i="23"/>
  <c r="S1573" i="23"/>
  <c r="T1573" i="23"/>
  <c r="U1573" i="23"/>
  <c r="S1574" i="23"/>
  <c r="T1574" i="23"/>
  <c r="U1574" i="23"/>
  <c r="X1574" i="23" s="1"/>
  <c r="S1575" i="23"/>
  <c r="T1575" i="23"/>
  <c r="U1575" i="23"/>
  <c r="S1576" i="23"/>
  <c r="T1576" i="23"/>
  <c r="U1576" i="23"/>
  <c r="S1577" i="23"/>
  <c r="T1577" i="23"/>
  <c r="U1577" i="23"/>
  <c r="S1578" i="23"/>
  <c r="T1578" i="23"/>
  <c r="U1578" i="23"/>
  <c r="X1578" i="23" s="1"/>
  <c r="S1579" i="23"/>
  <c r="T1579" i="23"/>
  <c r="U1579" i="23"/>
  <c r="S1580" i="23"/>
  <c r="T1580" i="23"/>
  <c r="U1580" i="23"/>
  <c r="S1581" i="23"/>
  <c r="T1581" i="23"/>
  <c r="U1581" i="23"/>
  <c r="S1582" i="23"/>
  <c r="T1582" i="23"/>
  <c r="U1582" i="23"/>
  <c r="X1582" i="23" s="1"/>
  <c r="S1583" i="23"/>
  <c r="T1583" i="23"/>
  <c r="U1583" i="23"/>
  <c r="S1584" i="23"/>
  <c r="T1584" i="23"/>
  <c r="U1584" i="23"/>
  <c r="S1585" i="23"/>
  <c r="T1585" i="23"/>
  <c r="U1585" i="23"/>
  <c r="S1586" i="23"/>
  <c r="T1586" i="23"/>
  <c r="U1586" i="23"/>
  <c r="X1586" i="23" s="1"/>
  <c r="S1587" i="23"/>
  <c r="T1587" i="23"/>
  <c r="U1587" i="23"/>
  <c r="S1588" i="23"/>
  <c r="X1588" i="23" s="1"/>
  <c r="T1588" i="23"/>
  <c r="U1588" i="23"/>
  <c r="S1589" i="23"/>
  <c r="T1589" i="23"/>
  <c r="U1589" i="23"/>
  <c r="T1590" i="23"/>
  <c r="U1590" i="23"/>
  <c r="S1591" i="23"/>
  <c r="T1591" i="23"/>
  <c r="U1591" i="23"/>
  <c r="X1591" i="23" s="1"/>
  <c r="S1592" i="23"/>
  <c r="T1592" i="23"/>
  <c r="U1592" i="23"/>
  <c r="S1593" i="23"/>
  <c r="X1593" i="23" s="1"/>
  <c r="T1593" i="23"/>
  <c r="U1593" i="23"/>
  <c r="S1594" i="23"/>
  <c r="T1594" i="23"/>
  <c r="U1594" i="23"/>
  <c r="S1595" i="23"/>
  <c r="T1595" i="23"/>
  <c r="U1595" i="23"/>
  <c r="S1596" i="23"/>
  <c r="T1596" i="23"/>
  <c r="U1596" i="23"/>
  <c r="X1596" i="23" s="1"/>
  <c r="S1597" i="23"/>
  <c r="T1597" i="23"/>
  <c r="U1597" i="23"/>
  <c r="S1598" i="23"/>
  <c r="T1598" i="23"/>
  <c r="U1598" i="23"/>
  <c r="S1599" i="23"/>
  <c r="T1599" i="23"/>
  <c r="U1599" i="23"/>
  <c r="S1600" i="23"/>
  <c r="T1600" i="23"/>
  <c r="U1600" i="23"/>
  <c r="S1601" i="23"/>
  <c r="T1601" i="23"/>
  <c r="U1601" i="23"/>
  <c r="S1602" i="23"/>
  <c r="T1602" i="23"/>
  <c r="U1602" i="23"/>
  <c r="S1603" i="23"/>
  <c r="T1603" i="23"/>
  <c r="U1603" i="23"/>
  <c r="S1604" i="23"/>
  <c r="T1604" i="23"/>
  <c r="U1604" i="23"/>
  <c r="S1605" i="23"/>
  <c r="T1605" i="23"/>
  <c r="U1605" i="23"/>
  <c r="S1606" i="23"/>
  <c r="T1606" i="23"/>
  <c r="U1606" i="23"/>
  <c r="S1607" i="23"/>
  <c r="T1607" i="23"/>
  <c r="U1607" i="23"/>
  <c r="S1608" i="23"/>
  <c r="T1608" i="23"/>
  <c r="U1608" i="23"/>
  <c r="S1609" i="23"/>
  <c r="T1609" i="23"/>
  <c r="U1609" i="23"/>
  <c r="S1610" i="23"/>
  <c r="T1610" i="23"/>
  <c r="U1610" i="23"/>
  <c r="S1611" i="23"/>
  <c r="T1611" i="23"/>
  <c r="U1611" i="23"/>
  <c r="S1612" i="23"/>
  <c r="T1612" i="23"/>
  <c r="U1612" i="23"/>
  <c r="S1613" i="23"/>
  <c r="T1613" i="23"/>
  <c r="U1613" i="23"/>
  <c r="S1614" i="23"/>
  <c r="T1614" i="23"/>
  <c r="U1614" i="23"/>
  <c r="S1615" i="23"/>
  <c r="T1615" i="23"/>
  <c r="U1615" i="23"/>
  <c r="S1616" i="23"/>
  <c r="T1616" i="23"/>
  <c r="U1616" i="23"/>
  <c r="S1617" i="23"/>
  <c r="T1617" i="23"/>
  <c r="U1617" i="23"/>
  <c r="S1618" i="23"/>
  <c r="T1618" i="23"/>
  <c r="U1618" i="23"/>
  <c r="S1619" i="23"/>
  <c r="T1619" i="23"/>
  <c r="U1619" i="23"/>
  <c r="S1620" i="23"/>
  <c r="T1620" i="23"/>
  <c r="U1620" i="23"/>
  <c r="S1621" i="23"/>
  <c r="T1621" i="23"/>
  <c r="U1621" i="23"/>
  <c r="S1622" i="23"/>
  <c r="X1622" i="23" s="1"/>
  <c r="T1622" i="23"/>
  <c r="U1622" i="23"/>
  <c r="S1623" i="23"/>
  <c r="T1623" i="23"/>
  <c r="U1623" i="23"/>
  <c r="S1624" i="23"/>
  <c r="T1624" i="23"/>
  <c r="U1624" i="23"/>
  <c r="S1625" i="23"/>
  <c r="T1625" i="23"/>
  <c r="U1625" i="23"/>
  <c r="S1626" i="23"/>
  <c r="T1626" i="23"/>
  <c r="U1626" i="23"/>
  <c r="S1627" i="23"/>
  <c r="T1627" i="23"/>
  <c r="U1627" i="23"/>
  <c r="S1628" i="23"/>
  <c r="T1628" i="23"/>
  <c r="U1628" i="23"/>
  <c r="S1629" i="23"/>
  <c r="T1629" i="23"/>
  <c r="U1629" i="23"/>
  <c r="S1632" i="23"/>
  <c r="T1632" i="23"/>
  <c r="U1632" i="23"/>
  <c r="S1699" i="23"/>
  <c r="T1699" i="23"/>
  <c r="U1699" i="23"/>
  <c r="S1700" i="23"/>
  <c r="T1700" i="23"/>
  <c r="U1700" i="23"/>
  <c r="S1701" i="23"/>
  <c r="T1701" i="23"/>
  <c r="U1701" i="23"/>
  <c r="S1702" i="23"/>
  <c r="T1702" i="23"/>
  <c r="U1702" i="23"/>
  <c r="S1703" i="23"/>
  <c r="T1703" i="23"/>
  <c r="U1703" i="23"/>
  <c r="S1704" i="23"/>
  <c r="T1704" i="23"/>
  <c r="U1704" i="23"/>
  <c r="S1705" i="23"/>
  <c r="T1705" i="23"/>
  <c r="U1705" i="23"/>
  <c r="S1706" i="23"/>
  <c r="T1706" i="23"/>
  <c r="U1706" i="23"/>
  <c r="I549" i="30"/>
  <c r="D549" i="30"/>
  <c r="I548" i="30"/>
  <c r="D548" i="30"/>
  <c r="I547" i="30"/>
  <c r="D547" i="30"/>
  <c r="I546" i="30"/>
  <c r="D546" i="30"/>
  <c r="I545" i="30"/>
  <c r="D545" i="30"/>
  <c r="I544" i="30"/>
  <c r="D544" i="30"/>
  <c r="I543" i="30"/>
  <c r="D543" i="30"/>
  <c r="I542" i="30"/>
  <c r="D542" i="30"/>
  <c r="I541" i="30"/>
  <c r="D541" i="30"/>
  <c r="I540" i="30"/>
  <c r="D540" i="30"/>
  <c r="I539" i="30"/>
  <c r="D539" i="30"/>
  <c r="I538" i="30"/>
  <c r="D538" i="30"/>
  <c r="I537" i="30"/>
  <c r="D537" i="30"/>
  <c r="I536" i="30"/>
  <c r="D536" i="30"/>
  <c r="I535" i="30"/>
  <c r="D535" i="30"/>
  <c r="I534" i="30"/>
  <c r="D534" i="30"/>
  <c r="I533" i="30"/>
  <c r="D533" i="30"/>
  <c r="I532" i="30"/>
  <c r="D532" i="30"/>
  <c r="I531" i="30"/>
  <c r="D531" i="30"/>
  <c r="I530" i="30"/>
  <c r="D530" i="30"/>
  <c r="I529" i="30"/>
  <c r="D529" i="30"/>
  <c r="I528" i="30"/>
  <c r="D528" i="30"/>
  <c r="I527" i="30"/>
  <c r="D527" i="30"/>
  <c r="I526" i="30"/>
  <c r="D526" i="30"/>
  <c r="I525" i="30"/>
  <c r="D525" i="30"/>
  <c r="I524" i="30"/>
  <c r="D524" i="30"/>
  <c r="I523" i="30"/>
  <c r="D523" i="30"/>
  <c r="I522" i="30"/>
  <c r="D522" i="30"/>
  <c r="I521" i="30"/>
  <c r="D521" i="30"/>
  <c r="I520" i="30"/>
  <c r="D520" i="30"/>
  <c r="I519" i="30"/>
  <c r="D519" i="30"/>
  <c r="I518" i="30"/>
  <c r="D518" i="30"/>
  <c r="I517" i="30"/>
  <c r="D517" i="30"/>
  <c r="I516" i="30"/>
  <c r="D516" i="30"/>
  <c r="I515" i="30"/>
  <c r="D515" i="30"/>
  <c r="I514" i="30"/>
  <c r="D514" i="30"/>
  <c r="I513" i="30"/>
  <c r="D513" i="30"/>
  <c r="I512" i="30"/>
  <c r="D512" i="30"/>
  <c r="I511" i="30"/>
  <c r="D511" i="30"/>
  <c r="I510" i="30"/>
  <c r="D510" i="30"/>
  <c r="I509" i="30"/>
  <c r="D509" i="30"/>
  <c r="I508" i="30"/>
  <c r="D508" i="30"/>
  <c r="I507" i="30"/>
  <c r="D507" i="30"/>
  <c r="I506" i="30"/>
  <c r="D506" i="30"/>
  <c r="I505" i="30"/>
  <c r="D505" i="30"/>
  <c r="I504" i="30"/>
  <c r="D504" i="30"/>
  <c r="I503" i="30"/>
  <c r="D503" i="30"/>
  <c r="I502" i="30"/>
  <c r="D502" i="30"/>
  <c r="I501" i="30"/>
  <c r="D501" i="30"/>
  <c r="I500" i="30"/>
  <c r="D500" i="30"/>
  <c r="I499" i="30"/>
  <c r="D499" i="30"/>
  <c r="I498" i="30"/>
  <c r="D498" i="30"/>
  <c r="I497" i="30"/>
  <c r="D497" i="30"/>
  <c r="I496" i="30"/>
  <c r="D496" i="30"/>
  <c r="I495" i="30"/>
  <c r="D495" i="30"/>
  <c r="I494" i="30"/>
  <c r="D494" i="30"/>
  <c r="I493" i="30"/>
  <c r="D493" i="30"/>
  <c r="I492" i="30"/>
  <c r="D492" i="30"/>
  <c r="I491" i="30"/>
  <c r="D491" i="30"/>
  <c r="I490" i="30"/>
  <c r="D490" i="30"/>
  <c r="I489" i="30"/>
  <c r="D489" i="30"/>
  <c r="I488" i="30"/>
  <c r="D488" i="30"/>
  <c r="I487" i="30"/>
  <c r="D487" i="30"/>
  <c r="I486" i="30"/>
  <c r="D486" i="30"/>
  <c r="I485" i="30"/>
  <c r="D485" i="30"/>
  <c r="I484" i="30"/>
  <c r="D484" i="30"/>
  <c r="I483" i="30"/>
  <c r="D483" i="30"/>
  <c r="I482" i="30"/>
  <c r="D482" i="30"/>
  <c r="I481" i="30"/>
  <c r="D481" i="30"/>
  <c r="I480" i="30"/>
  <c r="D480" i="30"/>
  <c r="I479" i="30"/>
  <c r="D479" i="30"/>
  <c r="I478" i="30"/>
  <c r="D478" i="30"/>
  <c r="I477" i="30"/>
  <c r="D477" i="30"/>
  <c r="I476" i="30"/>
  <c r="D476" i="30"/>
  <c r="I475" i="30"/>
  <c r="D475" i="30"/>
  <c r="I474" i="30"/>
  <c r="D474" i="30"/>
  <c r="I473" i="30"/>
  <c r="D473" i="30"/>
  <c r="I472" i="30"/>
  <c r="D472" i="30"/>
  <c r="I471" i="30"/>
  <c r="D471" i="30"/>
  <c r="I470" i="30"/>
  <c r="D470" i="30"/>
  <c r="I469" i="30"/>
  <c r="D469" i="30"/>
  <c r="I468" i="30"/>
  <c r="D468" i="30"/>
  <c r="I467" i="30"/>
  <c r="D467" i="30"/>
  <c r="I466" i="30"/>
  <c r="D466" i="30"/>
  <c r="I465" i="30"/>
  <c r="D465" i="30"/>
  <c r="I464" i="30"/>
  <c r="D464" i="30"/>
  <c r="I463" i="30"/>
  <c r="D463" i="30"/>
  <c r="I462" i="30"/>
  <c r="D462" i="30"/>
  <c r="I461" i="30"/>
  <c r="D461" i="30"/>
  <c r="I460" i="30"/>
  <c r="D460" i="30"/>
  <c r="I459" i="30"/>
  <c r="D459" i="30"/>
  <c r="I458" i="30"/>
  <c r="D458" i="30"/>
  <c r="I457" i="30"/>
  <c r="D457" i="30"/>
  <c r="I456" i="30"/>
  <c r="D456" i="30"/>
  <c r="I455" i="30"/>
  <c r="D455" i="30"/>
  <c r="I454" i="30"/>
  <c r="D454" i="30"/>
  <c r="I453" i="30"/>
  <c r="D453" i="30"/>
  <c r="I452" i="30"/>
  <c r="D452" i="30"/>
  <c r="I451" i="30"/>
  <c r="D451" i="30"/>
  <c r="I450" i="30"/>
  <c r="D450" i="30"/>
  <c r="I449" i="30"/>
  <c r="D449" i="30"/>
  <c r="I448" i="30"/>
  <c r="D448" i="30"/>
  <c r="I447" i="30"/>
  <c r="D447" i="30"/>
  <c r="I446" i="30"/>
  <c r="D446" i="30"/>
  <c r="I445" i="30"/>
  <c r="D445" i="30"/>
  <c r="I444" i="30"/>
  <c r="D444" i="30"/>
  <c r="I443" i="30"/>
  <c r="D443" i="30"/>
  <c r="I442" i="30"/>
  <c r="D442" i="30"/>
  <c r="I441" i="30"/>
  <c r="D441" i="30"/>
  <c r="I440" i="30"/>
  <c r="D440" i="30"/>
  <c r="I439" i="30"/>
  <c r="D439" i="30"/>
  <c r="W212" i="2"/>
  <c r="V212" i="2"/>
  <c r="U212" i="2"/>
  <c r="L212" i="2"/>
  <c r="E212" i="2"/>
  <c r="W211" i="2"/>
  <c r="V211" i="2"/>
  <c r="U211" i="2"/>
  <c r="L211" i="2"/>
  <c r="E211" i="2"/>
  <c r="W210" i="2"/>
  <c r="V210" i="2"/>
  <c r="U210" i="2"/>
  <c r="L210" i="2"/>
  <c r="E210" i="2"/>
  <c r="W209" i="2"/>
  <c r="V209" i="2"/>
  <c r="U209" i="2"/>
  <c r="L209" i="2"/>
  <c r="E209" i="2"/>
  <c r="W208" i="2"/>
  <c r="V208" i="2"/>
  <c r="U208" i="2"/>
  <c r="L208" i="2"/>
  <c r="E208" i="2"/>
  <c r="W202" i="2"/>
  <c r="V202" i="2"/>
  <c r="U202" i="2"/>
  <c r="L202" i="2"/>
  <c r="E202" i="2"/>
  <c r="W201" i="2"/>
  <c r="V201" i="2"/>
  <c r="U201" i="2"/>
  <c r="L201" i="2"/>
  <c r="E201" i="2"/>
  <c r="W200" i="2"/>
  <c r="V200" i="2"/>
  <c r="U200" i="2"/>
  <c r="L200" i="2"/>
  <c r="E200" i="2"/>
  <c r="W199" i="2"/>
  <c r="V199" i="2"/>
  <c r="U199" i="2"/>
  <c r="L199" i="2"/>
  <c r="E199" i="2"/>
  <c r="W198" i="2"/>
  <c r="V198" i="2"/>
  <c r="U198" i="2"/>
  <c r="L198" i="2"/>
  <c r="E198" i="2"/>
  <c r="W197" i="2"/>
  <c r="V197" i="2"/>
  <c r="U197" i="2"/>
  <c r="L197" i="2"/>
  <c r="E197" i="2"/>
  <c r="W196" i="2"/>
  <c r="V196" i="2"/>
  <c r="U196" i="2"/>
  <c r="L196" i="2"/>
  <c r="E196" i="2"/>
  <c r="W195" i="2"/>
  <c r="V195" i="2"/>
  <c r="U195" i="2"/>
  <c r="L195" i="2"/>
  <c r="E195" i="2"/>
  <c r="W194" i="2"/>
  <c r="V194" i="2"/>
  <c r="U194" i="2"/>
  <c r="L194" i="2"/>
  <c r="E194" i="2"/>
  <c r="W193" i="2"/>
  <c r="V193" i="2"/>
  <c r="U193" i="2"/>
  <c r="L193" i="2"/>
  <c r="E193" i="2"/>
  <c r="W192" i="2"/>
  <c r="V192" i="2"/>
  <c r="U192" i="2"/>
  <c r="L192" i="2"/>
  <c r="E192" i="2"/>
  <c r="W191" i="2"/>
  <c r="V191" i="2"/>
  <c r="U191" i="2"/>
  <c r="L191" i="2"/>
  <c r="E191" i="2"/>
  <c r="W190" i="2"/>
  <c r="V190" i="2"/>
  <c r="U190" i="2"/>
  <c r="L190" i="2"/>
  <c r="E190" i="2"/>
  <c r="W189" i="2"/>
  <c r="V189" i="2"/>
  <c r="U189" i="2"/>
  <c r="L189" i="2"/>
  <c r="E189" i="2"/>
  <c r="W188" i="2"/>
  <c r="V188" i="2"/>
  <c r="U188" i="2"/>
  <c r="L188" i="2"/>
  <c r="E188" i="2"/>
  <c r="W187" i="2"/>
  <c r="V187" i="2"/>
  <c r="U187" i="2"/>
  <c r="L187" i="2"/>
  <c r="E187" i="2"/>
  <c r="W186" i="2"/>
  <c r="V186" i="2"/>
  <c r="U186" i="2"/>
  <c r="L186" i="2"/>
  <c r="E186" i="2"/>
  <c r="W185" i="2"/>
  <c r="V185" i="2"/>
  <c r="U185" i="2"/>
  <c r="L185" i="2"/>
  <c r="E185" i="2"/>
  <c r="W184" i="2"/>
  <c r="V184" i="2"/>
  <c r="U184" i="2"/>
  <c r="L184" i="2"/>
  <c r="E184" i="2"/>
  <c r="W183" i="2"/>
  <c r="V183" i="2"/>
  <c r="U183" i="2"/>
  <c r="L183" i="2"/>
  <c r="E183" i="2"/>
  <c r="W182" i="2"/>
  <c r="V182" i="2"/>
  <c r="U182" i="2"/>
  <c r="L182" i="2"/>
  <c r="E182" i="2"/>
  <c r="W181" i="2"/>
  <c r="V181" i="2"/>
  <c r="U181" i="2"/>
  <c r="L181" i="2"/>
  <c r="E181" i="2"/>
  <c r="W180" i="2"/>
  <c r="V180" i="2"/>
  <c r="U180" i="2"/>
  <c r="L180" i="2"/>
  <c r="E180" i="2"/>
  <c r="W179" i="2"/>
  <c r="V179" i="2"/>
  <c r="U179" i="2"/>
  <c r="E179" i="2"/>
  <c r="W178" i="2"/>
  <c r="V178" i="2"/>
  <c r="U178" i="2"/>
  <c r="L178" i="2"/>
  <c r="E178" i="2"/>
  <c r="W177" i="2"/>
  <c r="V177" i="2"/>
  <c r="U177" i="2"/>
  <c r="L177" i="2"/>
  <c r="E177" i="2"/>
  <c r="W176" i="2"/>
  <c r="V176" i="2"/>
  <c r="U176" i="2"/>
  <c r="L176" i="2"/>
  <c r="E176" i="2"/>
  <c r="W175" i="2"/>
  <c r="V175" i="2"/>
  <c r="U175" i="2"/>
  <c r="L175" i="2"/>
  <c r="E175" i="2"/>
  <c r="W174" i="2"/>
  <c r="V174" i="2"/>
  <c r="U174" i="2"/>
  <c r="L174" i="2"/>
  <c r="E174" i="2"/>
  <c r="X1491" i="23" l="1"/>
  <c r="X1703" i="23"/>
  <c r="X1699" i="23"/>
  <c r="X1627" i="23"/>
  <c r="X1623" i="23"/>
  <c r="X1618" i="23"/>
  <c r="X1614" i="23"/>
  <c r="X1610" i="23"/>
  <c r="X1606" i="23"/>
  <c r="X1602" i="23"/>
  <c r="X1598" i="23"/>
  <c r="X1594" i="23"/>
  <c r="X1589" i="23"/>
  <c r="X1584" i="23"/>
  <c r="X1580" i="23"/>
  <c r="X1576" i="23"/>
  <c r="X1572" i="23"/>
  <c r="X1566" i="23"/>
  <c r="X1561" i="23"/>
  <c r="X1553" i="23"/>
  <c r="X1549" i="23"/>
  <c r="X1545" i="23"/>
  <c r="X1540" i="23"/>
  <c r="X1536" i="23"/>
  <c r="X1532" i="23"/>
  <c r="X1528" i="23"/>
  <c r="X1523" i="23"/>
  <c r="X1519" i="23"/>
  <c r="X1515" i="23"/>
  <c r="X1511" i="23"/>
  <c r="X1507" i="23"/>
  <c r="X1490" i="23"/>
  <c r="X1471" i="23"/>
  <c r="X1397" i="23"/>
  <c r="X1381" i="23"/>
  <c r="X1344" i="23"/>
  <c r="X1328" i="23"/>
  <c r="X1487" i="23"/>
  <c r="X1705" i="23"/>
  <c r="X1701" i="23"/>
  <c r="X1632" i="23"/>
  <c r="X1625" i="23"/>
  <c r="X1620" i="23"/>
  <c r="X1616" i="23"/>
  <c r="X1612" i="23"/>
  <c r="X1608" i="23"/>
  <c r="X1604" i="23"/>
  <c r="X1600" i="23"/>
  <c r="X1453" i="23"/>
  <c r="X1444" i="23"/>
  <c r="X1435" i="23"/>
  <c r="X1427" i="23"/>
  <c r="X1300" i="23"/>
  <c r="X1284" i="23"/>
  <c r="X1493" i="23"/>
  <c r="X1257" i="23"/>
  <c r="X1706" i="23"/>
  <c r="X1704" i="23"/>
  <c r="X1702" i="23"/>
  <c r="X1700" i="23"/>
  <c r="X1628" i="23"/>
  <c r="X1624" i="23"/>
  <c r="X1615" i="23"/>
  <c r="X1607" i="23"/>
  <c r="X1599" i="23"/>
  <c r="X1590" i="23"/>
  <c r="X1581" i="23"/>
  <c r="X1573" i="23"/>
  <c r="X1564" i="23"/>
  <c r="X1552" i="23"/>
  <c r="X1544" i="23"/>
  <c r="X1535" i="23"/>
  <c r="X1527" i="23"/>
  <c r="X1524" i="23"/>
  <c r="X1520" i="23"/>
  <c r="X1512" i="23"/>
  <c r="X1418" i="23"/>
  <c r="X1400" i="23"/>
  <c r="X1384" i="23"/>
  <c r="X1368" i="23"/>
  <c r="X1347" i="23"/>
  <c r="X1331" i="23"/>
  <c r="X1312" i="23"/>
  <c r="X1228" i="23"/>
  <c r="X1212" i="23"/>
  <c r="X1197" i="23"/>
  <c r="X1180" i="23"/>
  <c r="X1161" i="23"/>
  <c r="X1145" i="23"/>
  <c r="X1506" i="23"/>
  <c r="X1505" i="23"/>
  <c r="X1503" i="23"/>
  <c r="X1501" i="23"/>
  <c r="X1499" i="23"/>
  <c r="X1497" i="23"/>
  <c r="X1496" i="23"/>
  <c r="X1494" i="23"/>
  <c r="X1492" i="23"/>
  <c r="X1488" i="23"/>
  <c r="X1486" i="23"/>
  <c r="X1484" i="23"/>
  <c r="X1481" i="23"/>
  <c r="X1479" i="23"/>
  <c r="X1477" i="23"/>
  <c r="X1473" i="23"/>
  <c r="X1469" i="23"/>
  <c r="X1467" i="23"/>
  <c r="X1466" i="23"/>
  <c r="X1464" i="23"/>
  <c r="X1462" i="23"/>
  <c r="X1461" i="23"/>
  <c r="X1459" i="23"/>
  <c r="X1457" i="23"/>
  <c r="X1456" i="23"/>
  <c r="X1454" i="23"/>
  <c r="X1452" i="23"/>
  <c r="X1450" i="23"/>
  <c r="X1448" i="23"/>
  <c r="X1446" i="23"/>
  <c r="X1443" i="23"/>
  <c r="X1441" i="23"/>
  <c r="X1438" i="23"/>
  <c r="X1436" i="23"/>
  <c r="X1434" i="23"/>
  <c r="X1432" i="23"/>
  <c r="X1430" i="23"/>
  <c r="X1428" i="23"/>
  <c r="X1426" i="23"/>
  <c r="X1424" i="23"/>
  <c r="X1422" i="23"/>
  <c r="X1420" i="23"/>
  <c r="X1416" i="23"/>
  <c r="X1414" i="23"/>
  <c r="X1412" i="23"/>
  <c r="X1409" i="23"/>
  <c r="X1407" i="23"/>
  <c r="X1404" i="23"/>
  <c r="X1402" i="23"/>
  <c r="X1398" i="23"/>
  <c r="X1396" i="23"/>
  <c r="X1394" i="23"/>
  <c r="X1392" i="23"/>
  <c r="X1390" i="23"/>
  <c r="X1388" i="23"/>
  <c r="X1386" i="23"/>
  <c r="X1382" i="23"/>
  <c r="X1380" i="23"/>
  <c r="X1378" i="23"/>
  <c r="X1376" i="23"/>
  <c r="X1374" i="23"/>
  <c r="X1372" i="23"/>
  <c r="X1370" i="23"/>
  <c r="X1366" i="23"/>
  <c r="X1365" i="23"/>
  <c r="X1363" i="23"/>
  <c r="X1360" i="23"/>
  <c r="X1358" i="23"/>
  <c r="X1352" i="23"/>
  <c r="X1350" i="23"/>
  <c r="X1345" i="23"/>
  <c r="X1343" i="23"/>
  <c r="X1341" i="23"/>
  <c r="X1339" i="23"/>
  <c r="X1337" i="23"/>
  <c r="X1335" i="23"/>
  <c r="X1333" i="23"/>
  <c r="X1329" i="23"/>
  <c r="X1327" i="23"/>
  <c r="X1325" i="23"/>
  <c r="X1323" i="23"/>
  <c r="X1319" i="23"/>
  <c r="X1317" i="23"/>
  <c r="X1316" i="23"/>
  <c r="X1314" i="23"/>
  <c r="X1311" i="23"/>
  <c r="X1309" i="23"/>
  <c r="X1307" i="23"/>
  <c r="X1305" i="23"/>
  <c r="X1303" i="23"/>
  <c r="X1301" i="23"/>
  <c r="X1299" i="23"/>
  <c r="X1297" i="23"/>
  <c r="X1295" i="23"/>
  <c r="X1293" i="23"/>
  <c r="X1291" i="23"/>
  <c r="X1289" i="23"/>
  <c r="X1287" i="23"/>
  <c r="X1285" i="23"/>
  <c r="X1283" i="23"/>
  <c r="X1281" i="23"/>
  <c r="X1279" i="23"/>
  <c r="X1277" i="23"/>
  <c r="X1273" i="23"/>
  <c r="X1270" i="23"/>
  <c r="X1268" i="23"/>
  <c r="X1266" i="23"/>
  <c r="X1264" i="23"/>
  <c r="X1262" i="23"/>
  <c r="X1260" i="23"/>
  <c r="X1258" i="23"/>
  <c r="X1256" i="23"/>
  <c r="X1254" i="23"/>
  <c r="X1252" i="23"/>
  <c r="X1250" i="23"/>
  <c r="X1248" i="23"/>
  <c r="X1246" i="23"/>
  <c r="X1244" i="23"/>
  <c r="X1242" i="23"/>
  <c r="X1240" i="23"/>
  <c r="X1238" i="23"/>
  <c r="X1236" i="23"/>
  <c r="X1629" i="23"/>
  <c r="X1626" i="23"/>
  <c r="X1621" i="23"/>
  <c r="X1619" i="23"/>
  <c r="X1617" i="23"/>
  <c r="X1613" i="23"/>
  <c r="X1611" i="23"/>
  <c r="X1609" i="23"/>
  <c r="X1605" i="23"/>
  <c r="X1603" i="23"/>
  <c r="X1601" i="23"/>
  <c r="X1597" i="23"/>
  <c r="X1595" i="23"/>
  <c r="X1592" i="23"/>
  <c r="X1587" i="23"/>
  <c r="X1585" i="23"/>
  <c r="X1583" i="23"/>
  <c r="X1579" i="23"/>
  <c r="X1577" i="23"/>
  <c r="X1575" i="23"/>
  <c r="X1571" i="23"/>
  <c r="X1569" i="23"/>
  <c r="X1567" i="23"/>
  <c r="X1562" i="23"/>
  <c r="X1557" i="23"/>
  <c r="X1556" i="23"/>
  <c r="X1554" i="23"/>
  <c r="X1550" i="23"/>
  <c r="X1548" i="23"/>
  <c r="X1546" i="23"/>
  <c r="X1543" i="23"/>
  <c r="X1541" i="23"/>
  <c r="X1539" i="23"/>
  <c r="X1537" i="23"/>
  <c r="X1533" i="23"/>
  <c r="X1531" i="23"/>
  <c r="X1529" i="23"/>
  <c r="X1525" i="23"/>
  <c r="X1522" i="23"/>
  <c r="X1518" i="23"/>
  <c r="X1516" i="23"/>
  <c r="X1514" i="23"/>
  <c r="X1510" i="23"/>
  <c r="X1508" i="23"/>
  <c r="X1504" i="23"/>
  <c r="X1502" i="23"/>
  <c r="X1500" i="23"/>
  <c r="X1498" i="23"/>
  <c r="X1495" i="23"/>
  <c r="X1489" i="23"/>
  <c r="X1485" i="23"/>
  <c r="X1483" i="23"/>
  <c r="X1482" i="23"/>
  <c r="X1480" i="23"/>
  <c r="X1478" i="23"/>
  <c r="X1474" i="23"/>
  <c r="X1472" i="23"/>
  <c r="X1470" i="23"/>
  <c r="X1468" i="23"/>
  <c r="X1465" i="23"/>
  <c r="X1463" i="23"/>
  <c r="X1460" i="23"/>
  <c r="X1458" i="23"/>
  <c r="X1455" i="23"/>
  <c r="X1451" i="23"/>
  <c r="X1449" i="23"/>
  <c r="X1447" i="23"/>
  <c r="X1442" i="23"/>
  <c r="X1439" i="23"/>
  <c r="X1437" i="23"/>
  <c r="X1433" i="23"/>
  <c r="X1431" i="23"/>
  <c r="X1429" i="23"/>
  <c r="X1425" i="23"/>
  <c r="X1423" i="23"/>
  <c r="X1421" i="23"/>
  <c r="X1419" i="23"/>
  <c r="X1417" i="23"/>
  <c r="X1415" i="23"/>
  <c r="X1413" i="23"/>
  <c r="X1411" i="23"/>
  <c r="X1410" i="23"/>
  <c r="X1408" i="23"/>
  <c r="X1406" i="23"/>
  <c r="X1405" i="23"/>
  <c r="X1403" i="23"/>
  <c r="X1401" i="23"/>
  <c r="X1399" i="23"/>
  <c r="X1395" i="23"/>
  <c r="X1393" i="23"/>
  <c r="X1391" i="23"/>
  <c r="X1389" i="23"/>
  <c r="X1387" i="23"/>
  <c r="X1385" i="23"/>
  <c r="X1383" i="23"/>
  <c r="X1379" i="23"/>
  <c r="X1377" i="23"/>
  <c r="X1375" i="23"/>
  <c r="X1373" i="23"/>
  <c r="X1371" i="23"/>
  <c r="X1369" i="23"/>
  <c r="X1367" i="23"/>
  <c r="X1364" i="23"/>
  <c r="X1361" i="23"/>
  <c r="X1359" i="23"/>
  <c r="X1353" i="23"/>
  <c r="X1351" i="23"/>
  <c r="X1348" i="23"/>
  <c r="X1346" i="23"/>
  <c r="X1342" i="23"/>
  <c r="X1340" i="23"/>
  <c r="X1338" i="23"/>
  <c r="X1336" i="23"/>
  <c r="X1334" i="23"/>
  <c r="X1332" i="23"/>
  <c r="X1330" i="23"/>
  <c r="X1326" i="23"/>
  <c r="X1324" i="23"/>
  <c r="X1322" i="23"/>
  <c r="X1318" i="23"/>
  <c r="X1315" i="23"/>
  <c r="X1313" i="23"/>
  <c r="X1310" i="23"/>
  <c r="X1308" i="23"/>
  <c r="X1306" i="23"/>
  <c r="X1304" i="23"/>
  <c r="X1302" i="23"/>
  <c r="X1298" i="23"/>
  <c r="X1296" i="23"/>
  <c r="X1294" i="23"/>
  <c r="X1292" i="23"/>
  <c r="X1290" i="23"/>
  <c r="X1288" i="23"/>
  <c r="X1286" i="23"/>
  <c r="X1282" i="23"/>
  <c r="X1280" i="23"/>
  <c r="X1278" i="23"/>
  <c r="X1274" i="23"/>
  <c r="X1272" i="23"/>
  <c r="X1269" i="23"/>
  <c r="X1267" i="23"/>
  <c r="X1265" i="23"/>
  <c r="X1263" i="23"/>
  <c r="X1261" i="23"/>
  <c r="X1259" i="23"/>
  <c r="X1255" i="23"/>
  <c r="X1253" i="23"/>
  <c r="X1251" i="23"/>
  <c r="X1249" i="23"/>
  <c r="X1247" i="23"/>
  <c r="X1245" i="23"/>
  <c r="X1243" i="23"/>
  <c r="X1241" i="23"/>
  <c r="X1231" i="23"/>
  <c r="X1227" i="23"/>
  <c r="X1223" i="23"/>
  <c r="X1219" i="23"/>
  <c r="X1215" i="23"/>
  <c r="X1211" i="23"/>
  <c r="X1208" i="23"/>
  <c r="X1204" i="23"/>
  <c r="X1200" i="23"/>
  <c r="X1196" i="23"/>
  <c r="X1192" i="23"/>
  <c r="X1187" i="23"/>
  <c r="X1183" i="23"/>
  <c r="X1179" i="23"/>
  <c r="X1174" i="23"/>
  <c r="X1170" i="23"/>
  <c r="X1164" i="23"/>
  <c r="X1160" i="23"/>
  <c r="X1156" i="23"/>
  <c r="X1152" i="23"/>
  <c r="X1148" i="23"/>
  <c r="X1144" i="23"/>
  <c r="X1140" i="23"/>
  <c r="X741" i="23"/>
  <c r="X1239" i="23"/>
  <c r="X1237" i="23"/>
  <c r="X1234" i="23"/>
  <c r="X1232" i="23"/>
  <c r="X1230" i="23"/>
  <c r="X1226" i="23"/>
  <c r="X1224" i="23"/>
  <c r="X1222" i="23"/>
  <c r="X1220" i="23"/>
  <c r="X1218" i="23"/>
  <c r="X1216" i="23"/>
  <c r="X1214" i="23"/>
  <c r="X1210" i="23"/>
  <c r="X1209" i="23"/>
  <c r="X1207" i="23"/>
  <c r="X1205" i="23"/>
  <c r="X1203" i="23"/>
  <c r="X1201" i="23"/>
  <c r="X1199" i="23"/>
  <c r="X1195" i="23"/>
  <c r="X1193" i="23"/>
  <c r="X1191" i="23"/>
  <c r="X1188" i="23"/>
  <c r="X1186" i="23"/>
  <c r="X1184" i="23"/>
  <c r="X1182" i="23"/>
  <c r="X1178" i="23"/>
  <c r="X1175" i="23"/>
  <c r="X1173" i="23"/>
  <c r="X1171" i="23"/>
  <c r="X1169" i="23"/>
  <c r="X1165" i="23"/>
  <c r="X1163" i="23"/>
  <c r="X1159" i="23"/>
  <c r="X1157" i="23"/>
  <c r="X1155" i="23"/>
  <c r="X1153" i="23"/>
  <c r="X1151" i="23"/>
  <c r="X1149" i="23"/>
  <c r="X1147" i="23"/>
  <c r="X1143" i="23"/>
  <c r="X1141" i="23"/>
  <c r="E83" i="27"/>
  <c r="E82" i="27"/>
  <c r="E81" i="27"/>
  <c r="E80" i="27"/>
  <c r="E79" i="27"/>
  <c r="E78" i="27"/>
  <c r="E77" i="27"/>
  <c r="E76" i="27"/>
  <c r="E75" i="27"/>
  <c r="E74" i="27"/>
  <c r="E72" i="27"/>
  <c r="U39" i="28"/>
  <c r="U38" i="28"/>
  <c r="U37" i="28"/>
  <c r="U36" i="28"/>
  <c r="U35" i="28"/>
  <c r="U34" i="28"/>
  <c r="U33" i="28"/>
  <c r="U32" i="28"/>
  <c r="U31" i="28"/>
  <c r="U30" i="28"/>
  <c r="U29" i="28"/>
  <c r="U28" i="28"/>
  <c r="U27" i="28"/>
  <c r="U26" i="28"/>
  <c r="U25" i="28"/>
  <c r="U24" i="28"/>
  <c r="U23" i="28"/>
  <c r="U22" i="28"/>
  <c r="U21" i="28"/>
  <c r="U20" i="28"/>
  <c r="U19" i="28"/>
  <c r="U18" i="28"/>
  <c r="U17" i="28"/>
  <c r="T39" i="28"/>
  <c r="T38" i="28"/>
  <c r="T37" i="28"/>
  <c r="T36" i="28"/>
  <c r="T35" i="28"/>
  <c r="T34" i="28"/>
  <c r="T33" i="28"/>
  <c r="T32" i="28"/>
  <c r="T31" i="28"/>
  <c r="T30" i="28"/>
  <c r="T29" i="28"/>
  <c r="T28" i="28"/>
  <c r="T27" i="28"/>
  <c r="T26" i="28"/>
  <c r="T25" i="28"/>
  <c r="T24" i="28"/>
  <c r="T23" i="28"/>
  <c r="T22" i="28"/>
  <c r="T21" i="28"/>
  <c r="T20" i="28"/>
  <c r="T19" i="28"/>
  <c r="T18" i="28"/>
  <c r="T17" i="28"/>
  <c r="I438" i="30"/>
  <c r="D438" i="30"/>
  <c r="I437" i="30"/>
  <c r="D437" i="30"/>
  <c r="I436" i="30"/>
  <c r="D436" i="30"/>
  <c r="I435" i="30"/>
  <c r="D435" i="30"/>
  <c r="I434" i="30"/>
  <c r="D434" i="30"/>
  <c r="I433" i="30"/>
  <c r="D433" i="30"/>
  <c r="I432" i="30"/>
  <c r="D432" i="30"/>
  <c r="I431" i="30"/>
  <c r="D431" i="30"/>
  <c r="I430" i="30"/>
  <c r="D430" i="30"/>
  <c r="I429" i="30"/>
  <c r="D429" i="30"/>
  <c r="I428" i="30"/>
  <c r="D428" i="30"/>
  <c r="I427" i="30"/>
  <c r="D427" i="30"/>
  <c r="I426" i="30"/>
  <c r="D426" i="30"/>
  <c r="I425" i="30"/>
  <c r="D425" i="30"/>
  <c r="I424" i="30"/>
  <c r="D424" i="30"/>
  <c r="I423" i="30"/>
  <c r="D423" i="30"/>
  <c r="I422" i="30"/>
  <c r="D422" i="30"/>
  <c r="I421" i="30"/>
  <c r="D421" i="30"/>
  <c r="I420" i="30"/>
  <c r="D420" i="30"/>
  <c r="I419" i="30"/>
  <c r="D419" i="30"/>
  <c r="I418" i="30"/>
  <c r="D418" i="30"/>
  <c r="I417" i="30"/>
  <c r="D417" i="30"/>
  <c r="I416" i="30"/>
  <c r="D416" i="30"/>
  <c r="I415" i="30"/>
  <c r="D415" i="30"/>
  <c r="I414" i="30"/>
  <c r="D414" i="30"/>
  <c r="I413" i="30"/>
  <c r="D413" i="30"/>
  <c r="I412" i="30"/>
  <c r="D412" i="30"/>
  <c r="I411" i="30"/>
  <c r="D411" i="30"/>
  <c r="I410" i="30"/>
  <c r="D410" i="30"/>
  <c r="I409" i="30"/>
  <c r="D409" i="30"/>
  <c r="I408" i="30"/>
  <c r="D408" i="30"/>
  <c r="I407" i="30"/>
  <c r="D407" i="30"/>
  <c r="I406" i="30"/>
  <c r="D406" i="30"/>
  <c r="I405" i="30"/>
  <c r="D405" i="30"/>
  <c r="I404" i="30"/>
  <c r="D404" i="30"/>
  <c r="I403" i="30"/>
  <c r="D403" i="30"/>
  <c r="I402" i="30"/>
  <c r="D402" i="30"/>
  <c r="I401" i="30"/>
  <c r="D401" i="30"/>
  <c r="I400" i="30"/>
  <c r="D400" i="30"/>
  <c r="I399" i="30"/>
  <c r="D399" i="30"/>
  <c r="I398" i="30"/>
  <c r="D398" i="30"/>
  <c r="I397" i="30"/>
  <c r="D397" i="30"/>
  <c r="I396" i="30"/>
  <c r="D396" i="30"/>
  <c r="I395" i="30"/>
  <c r="D395" i="30"/>
  <c r="I394" i="30"/>
  <c r="D394" i="30"/>
  <c r="I393" i="30"/>
  <c r="D393" i="30"/>
  <c r="I392" i="30"/>
  <c r="D392" i="30"/>
  <c r="I391" i="30"/>
  <c r="D391" i="30"/>
  <c r="I390" i="30"/>
  <c r="D390" i="30"/>
  <c r="I389" i="30"/>
  <c r="D389" i="30"/>
  <c r="I388" i="30"/>
  <c r="D388" i="30"/>
  <c r="I387" i="30"/>
  <c r="D387" i="30"/>
  <c r="I386" i="30"/>
  <c r="D386" i="30"/>
  <c r="I385" i="30"/>
  <c r="D385" i="30"/>
  <c r="I384" i="30"/>
  <c r="D384" i="30"/>
  <c r="I383" i="30"/>
  <c r="D383" i="30"/>
  <c r="I382" i="30"/>
  <c r="D382" i="30"/>
  <c r="I381" i="30"/>
  <c r="D381" i="30"/>
  <c r="I380" i="30"/>
  <c r="D380" i="30"/>
  <c r="I379" i="30"/>
  <c r="D379" i="30"/>
  <c r="I378" i="30"/>
  <c r="D378" i="30"/>
  <c r="I377" i="30"/>
  <c r="D377" i="30"/>
  <c r="I376" i="30"/>
  <c r="D376" i="30"/>
  <c r="I375" i="30"/>
  <c r="D375" i="30"/>
  <c r="I374" i="30"/>
  <c r="D374" i="30"/>
  <c r="I373" i="30"/>
  <c r="D373" i="30"/>
  <c r="I372" i="30"/>
  <c r="D372" i="30"/>
  <c r="I371" i="30"/>
  <c r="D371" i="30"/>
  <c r="I370" i="30"/>
  <c r="D370" i="30"/>
  <c r="I369" i="30"/>
  <c r="D369" i="30"/>
  <c r="I368" i="30"/>
  <c r="D368" i="30"/>
  <c r="I367" i="30"/>
  <c r="D367" i="30"/>
  <c r="I366" i="30"/>
  <c r="D366" i="30"/>
  <c r="I365" i="30"/>
  <c r="D365" i="30"/>
  <c r="I364" i="30"/>
  <c r="D364" i="30"/>
  <c r="I363" i="30"/>
  <c r="D363" i="30"/>
  <c r="I362" i="30"/>
  <c r="D362" i="30"/>
  <c r="I361" i="30"/>
  <c r="D361" i="30"/>
  <c r="I360" i="30"/>
  <c r="D360" i="30"/>
  <c r="I359" i="30"/>
  <c r="D359" i="30"/>
  <c r="I358" i="30"/>
  <c r="D358" i="30"/>
  <c r="I357" i="30"/>
  <c r="D357" i="30"/>
  <c r="I356" i="30"/>
  <c r="D356" i="30"/>
  <c r="I355" i="30"/>
  <c r="D355" i="30"/>
  <c r="I354" i="30"/>
  <c r="D354" i="30"/>
  <c r="I353" i="30"/>
  <c r="D353" i="30"/>
  <c r="I352" i="30"/>
  <c r="D352" i="30"/>
  <c r="I351" i="30"/>
  <c r="D351" i="30"/>
  <c r="I350" i="30"/>
  <c r="D350" i="30"/>
  <c r="I349" i="30"/>
  <c r="D349" i="30"/>
  <c r="I348" i="30"/>
  <c r="D348" i="30"/>
  <c r="I347" i="30"/>
  <c r="D347" i="30"/>
  <c r="I346" i="30"/>
  <c r="D346" i="30"/>
  <c r="I345" i="30"/>
  <c r="D345" i="30"/>
  <c r="I344" i="30"/>
  <c r="D344" i="30"/>
  <c r="I343" i="30"/>
  <c r="D343" i="30"/>
  <c r="I342" i="30"/>
  <c r="D342" i="30"/>
  <c r="I341" i="30"/>
  <c r="D341" i="30"/>
  <c r="I340" i="30"/>
  <c r="D340" i="30"/>
  <c r="I339" i="30"/>
  <c r="D339" i="30"/>
  <c r="I338" i="30"/>
  <c r="D338" i="30"/>
  <c r="I337" i="30"/>
  <c r="D337" i="30"/>
  <c r="I336" i="30"/>
  <c r="D336" i="30"/>
  <c r="I335" i="30"/>
  <c r="D335" i="30"/>
  <c r="I334" i="30"/>
  <c r="D334" i="30"/>
  <c r="I333" i="30"/>
  <c r="D333" i="30"/>
  <c r="I332" i="30"/>
  <c r="D332" i="30"/>
  <c r="I331" i="30"/>
  <c r="D331" i="30"/>
  <c r="I330" i="30"/>
  <c r="D330" i="30"/>
  <c r="I329" i="30"/>
  <c r="D329" i="30"/>
  <c r="I328" i="30"/>
  <c r="D328" i="30"/>
  <c r="W139" i="2"/>
  <c r="V139" i="2"/>
  <c r="U139" i="2"/>
  <c r="L139" i="2"/>
  <c r="E139" i="2"/>
  <c r="W138" i="2"/>
  <c r="V138" i="2"/>
  <c r="U138" i="2"/>
  <c r="L138" i="2"/>
  <c r="E138" i="2"/>
  <c r="W137" i="2"/>
  <c r="V137" i="2"/>
  <c r="U137" i="2"/>
  <c r="L137" i="2"/>
  <c r="E137" i="2"/>
  <c r="W136" i="2"/>
  <c r="V136" i="2"/>
  <c r="U136" i="2"/>
  <c r="L136" i="2"/>
  <c r="E136" i="2"/>
  <c r="W135" i="2"/>
  <c r="V135" i="2"/>
  <c r="U135" i="2"/>
  <c r="L135" i="2"/>
  <c r="E135" i="2"/>
  <c r="W134" i="2"/>
  <c r="V134" i="2"/>
  <c r="U134" i="2"/>
  <c r="L134" i="2"/>
  <c r="E134" i="2"/>
  <c r="W133" i="2"/>
  <c r="V133" i="2"/>
  <c r="U133" i="2"/>
  <c r="L133" i="2"/>
  <c r="E133" i="2"/>
  <c r="W132" i="2"/>
  <c r="V132" i="2"/>
  <c r="U132" i="2"/>
  <c r="L132" i="2"/>
  <c r="E132" i="2"/>
  <c r="W131" i="2"/>
  <c r="V131" i="2"/>
  <c r="U131" i="2"/>
  <c r="L131" i="2"/>
  <c r="E131" i="2"/>
  <c r="W130" i="2"/>
  <c r="V130" i="2"/>
  <c r="U130" i="2"/>
  <c r="L130" i="2"/>
  <c r="E130" i="2"/>
  <c r="W129" i="2"/>
  <c r="V129" i="2"/>
  <c r="U129" i="2"/>
  <c r="L129" i="2"/>
  <c r="E129" i="2"/>
  <c r="W128" i="2"/>
  <c r="V128" i="2"/>
  <c r="U128" i="2"/>
  <c r="L128" i="2"/>
  <c r="E128" i="2"/>
  <c r="W127" i="2"/>
  <c r="V127" i="2"/>
  <c r="U127" i="2"/>
  <c r="L127" i="2"/>
  <c r="E127" i="2"/>
  <c r="W126" i="2"/>
  <c r="V126" i="2"/>
  <c r="U126" i="2"/>
  <c r="L126" i="2"/>
  <c r="E126" i="2"/>
  <c r="W125" i="2"/>
  <c r="V125" i="2"/>
  <c r="U125" i="2"/>
  <c r="L125" i="2"/>
  <c r="E125" i="2"/>
  <c r="W124" i="2"/>
  <c r="V124" i="2"/>
  <c r="U124" i="2"/>
  <c r="L124" i="2"/>
  <c r="E124" i="2"/>
  <c r="W123" i="2"/>
  <c r="V123" i="2"/>
  <c r="U123" i="2"/>
  <c r="L123" i="2"/>
  <c r="E123" i="2"/>
  <c r="W122" i="2"/>
  <c r="V122" i="2"/>
  <c r="U122" i="2"/>
  <c r="L122" i="2"/>
  <c r="E122" i="2"/>
  <c r="W121" i="2"/>
  <c r="V121" i="2"/>
  <c r="U121" i="2"/>
  <c r="L121" i="2"/>
  <c r="E121" i="2"/>
  <c r="W120" i="2"/>
  <c r="V120" i="2"/>
  <c r="U120" i="2"/>
  <c r="L120" i="2"/>
  <c r="E120" i="2"/>
  <c r="W119" i="2"/>
  <c r="V119" i="2"/>
  <c r="U119" i="2"/>
  <c r="L119" i="2"/>
  <c r="E119" i="2"/>
  <c r="W118" i="2"/>
  <c r="V118" i="2"/>
  <c r="U118" i="2"/>
  <c r="L118" i="2"/>
  <c r="E118" i="2"/>
  <c r="W117" i="2"/>
  <c r="V117" i="2"/>
  <c r="U117" i="2"/>
  <c r="L117" i="2"/>
  <c r="E117" i="2"/>
  <c r="W116" i="2"/>
  <c r="V116" i="2"/>
  <c r="U116" i="2"/>
  <c r="L116" i="2"/>
  <c r="E116" i="2"/>
  <c r="W115" i="2"/>
  <c r="V115" i="2"/>
  <c r="U115" i="2"/>
  <c r="L115" i="2"/>
  <c r="E115" i="2"/>
  <c r="W114" i="2"/>
  <c r="V114" i="2"/>
  <c r="U114" i="2"/>
  <c r="L114" i="2"/>
  <c r="E114" i="2"/>
  <c r="W113" i="2"/>
  <c r="V113" i="2"/>
  <c r="U113" i="2"/>
  <c r="L113" i="2"/>
  <c r="E113" i="2"/>
  <c r="W112" i="2"/>
  <c r="V112" i="2"/>
  <c r="U112" i="2"/>
  <c r="L112" i="2"/>
  <c r="E112" i="2"/>
  <c r="W111" i="2"/>
  <c r="V111" i="2"/>
  <c r="U111" i="2"/>
  <c r="K111" i="2"/>
  <c r="N111" i="2" s="1"/>
  <c r="E111" i="2"/>
  <c r="W110" i="2"/>
  <c r="V110" i="2"/>
  <c r="U110" i="2"/>
  <c r="L110" i="2"/>
  <c r="E110" i="2"/>
  <c r="W109" i="2"/>
  <c r="V109" i="2"/>
  <c r="U109" i="2"/>
  <c r="L109" i="2"/>
  <c r="E109" i="2"/>
  <c r="W108" i="2"/>
  <c r="V108" i="2"/>
  <c r="U108" i="2"/>
  <c r="L108" i="2"/>
  <c r="E108" i="2"/>
  <c r="W107" i="2"/>
  <c r="V107" i="2"/>
  <c r="U107" i="2"/>
  <c r="L107" i="2"/>
  <c r="E107" i="2"/>
  <c r="W106" i="2"/>
  <c r="V106" i="2"/>
  <c r="U106" i="2"/>
  <c r="L106" i="2"/>
  <c r="E106" i="2"/>
  <c r="M111" i="2" l="1"/>
  <c r="L111" i="2"/>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2" i="3"/>
  <c r="AG21" i="3"/>
  <c r="AG20" i="3"/>
  <c r="AG19" i="3"/>
  <c r="AG18" i="3"/>
  <c r="AG17" i="3"/>
  <c r="AG16" i="3"/>
  <c r="AG15" i="3"/>
  <c r="AG14" i="3"/>
  <c r="AG13" i="3"/>
  <c r="AG12" i="3"/>
  <c r="AG11" i="3"/>
  <c r="AG10" i="3"/>
  <c r="AG9" i="3"/>
  <c r="AG8" i="3"/>
  <c r="AG7" i="3"/>
  <c r="AG6" i="3"/>
  <c r="L474" i="4" l="1"/>
  <c r="X570" i="23" l="1"/>
  <c r="X569" i="23"/>
  <c r="X568" i="23"/>
  <c r="X567" i="23"/>
  <c r="X566" i="23"/>
  <c r="X565" i="23"/>
  <c r="X564" i="23"/>
  <c r="X563" i="23"/>
  <c r="X562" i="23"/>
  <c r="X561" i="23"/>
  <c r="X560" i="23"/>
  <c r="X559" i="23"/>
  <c r="X558" i="23"/>
  <c r="X557" i="23"/>
  <c r="X556" i="23"/>
  <c r="X555" i="23"/>
  <c r="X554" i="23"/>
  <c r="X553" i="23"/>
  <c r="X552" i="23"/>
  <c r="X551" i="23"/>
  <c r="X550" i="23"/>
  <c r="X549" i="23"/>
  <c r="X548" i="23"/>
  <c r="X547" i="23"/>
  <c r="X546" i="23"/>
  <c r="X545" i="23"/>
  <c r="X544" i="23"/>
  <c r="X543" i="23"/>
  <c r="X542" i="23"/>
  <c r="X541" i="23"/>
  <c r="X540" i="23"/>
  <c r="X539" i="23"/>
  <c r="X538" i="23"/>
  <c r="X537" i="23"/>
  <c r="X536" i="23"/>
  <c r="X535" i="23"/>
  <c r="X534" i="23"/>
  <c r="X533" i="23"/>
  <c r="X532" i="23"/>
  <c r="X531" i="23"/>
  <c r="X530" i="23"/>
  <c r="X529" i="23"/>
  <c r="X528" i="23"/>
  <c r="X527" i="23"/>
  <c r="X526" i="23"/>
  <c r="X525" i="23"/>
  <c r="X524" i="23"/>
  <c r="X523" i="23"/>
  <c r="X522" i="23"/>
  <c r="X521" i="23"/>
  <c r="X520" i="23"/>
  <c r="X519" i="23"/>
  <c r="X518" i="23"/>
  <c r="X517" i="23"/>
  <c r="X516" i="23"/>
  <c r="X515" i="23"/>
  <c r="X514" i="23"/>
  <c r="X513" i="23"/>
  <c r="X512" i="23"/>
  <c r="X511" i="23"/>
  <c r="X510" i="23"/>
  <c r="X509" i="23"/>
  <c r="X508" i="23"/>
  <c r="X507" i="23"/>
  <c r="X506" i="23"/>
  <c r="X505" i="23"/>
  <c r="X504" i="23"/>
  <c r="X503" i="23"/>
  <c r="X502" i="23"/>
  <c r="X501" i="23"/>
  <c r="X500" i="23"/>
  <c r="X499" i="23"/>
  <c r="X498" i="23"/>
  <c r="X497" i="23"/>
  <c r="X496" i="23"/>
  <c r="X495" i="23"/>
  <c r="X494" i="23"/>
  <c r="X493" i="23"/>
  <c r="X492" i="23"/>
  <c r="X491" i="23"/>
  <c r="X490" i="23"/>
  <c r="X489" i="23"/>
  <c r="X488" i="23"/>
  <c r="X487" i="23"/>
  <c r="X486" i="23"/>
  <c r="X485" i="23"/>
  <c r="X484" i="23"/>
  <c r="X483" i="23"/>
  <c r="X482" i="23"/>
  <c r="X481" i="23"/>
  <c r="X480" i="23"/>
  <c r="X479" i="23"/>
  <c r="X478" i="23"/>
  <c r="X477" i="23"/>
  <c r="X476" i="23"/>
  <c r="X475" i="23"/>
  <c r="X474" i="23"/>
  <c r="X473" i="23"/>
  <c r="X472" i="23"/>
  <c r="X471" i="23"/>
  <c r="X470" i="23"/>
  <c r="X469" i="23"/>
  <c r="X468" i="23"/>
  <c r="X467" i="23"/>
  <c r="X466" i="23"/>
  <c r="X465" i="23"/>
  <c r="X464" i="23"/>
  <c r="X463" i="23"/>
  <c r="X462" i="23"/>
  <c r="X461" i="23"/>
  <c r="X460" i="23"/>
  <c r="X459" i="23"/>
  <c r="X458" i="23"/>
  <c r="X457" i="23"/>
  <c r="X456" i="23"/>
  <c r="X455" i="23"/>
  <c r="X454" i="23"/>
  <c r="X453" i="23"/>
  <c r="X452" i="23"/>
  <c r="X451" i="23"/>
  <c r="X450" i="23"/>
  <c r="X449" i="23"/>
  <c r="X448" i="23"/>
  <c r="X447" i="23"/>
  <c r="X446" i="23"/>
  <c r="X445" i="23"/>
  <c r="X444" i="23"/>
  <c r="X443" i="23"/>
  <c r="X442" i="23"/>
  <c r="X441" i="23"/>
  <c r="X440" i="23"/>
  <c r="X439" i="23"/>
  <c r="X438" i="23"/>
  <c r="X437" i="23"/>
  <c r="X436" i="23"/>
  <c r="X435" i="23"/>
  <c r="X434" i="23"/>
  <c r="X433" i="23"/>
  <c r="X432" i="23"/>
  <c r="X431" i="23"/>
  <c r="X430" i="23"/>
  <c r="T5" i="70" l="1"/>
  <c r="K55" i="70"/>
  <c r="K27" i="70"/>
  <c r="G27" i="70"/>
  <c r="D29" i="70"/>
  <c r="D28" i="70"/>
  <c r="D27" i="70"/>
  <c r="AQ3" i="70"/>
  <c r="C27" i="70"/>
  <c r="B3" i="2"/>
  <c r="C3" i="2" s="1"/>
  <c r="D3" i="2" s="1"/>
  <c r="E3" i="2" s="1"/>
  <c r="F3" i="2" s="1"/>
  <c r="G3" i="2" s="1"/>
  <c r="T14" i="69" s="1"/>
  <c r="T150" i="69"/>
  <c r="T149" i="69"/>
  <c r="T148" i="69"/>
  <c r="T147" i="69"/>
  <c r="T146" i="69"/>
  <c r="T145" i="69"/>
  <c r="T144" i="69"/>
  <c r="T143" i="69"/>
  <c r="T142" i="69"/>
  <c r="T141" i="69"/>
  <c r="T140" i="69"/>
  <c r="T139" i="69"/>
  <c r="T138" i="69"/>
  <c r="T137" i="69"/>
  <c r="T136" i="69"/>
  <c r="T135" i="69"/>
  <c r="T134" i="69"/>
  <c r="T133" i="69"/>
  <c r="T132" i="69"/>
  <c r="T131" i="69"/>
  <c r="T130" i="69"/>
  <c r="T128" i="69"/>
  <c r="T127" i="69"/>
  <c r="T125" i="69"/>
  <c r="T123" i="69"/>
  <c r="T122" i="69"/>
  <c r="T120" i="69"/>
  <c r="T119" i="69"/>
  <c r="T118" i="69"/>
  <c r="T115" i="69"/>
  <c r="T114" i="69"/>
  <c r="T113" i="69"/>
  <c r="T112" i="69"/>
  <c r="T111" i="69"/>
  <c r="T109" i="69"/>
  <c r="T107" i="69"/>
  <c r="T106" i="69"/>
  <c r="T105" i="69"/>
  <c r="T104" i="69"/>
  <c r="T103" i="69"/>
  <c r="T102" i="69"/>
  <c r="T100" i="69"/>
  <c r="T99" i="69"/>
  <c r="T98" i="69"/>
  <c r="T96" i="69"/>
  <c r="T94" i="69"/>
  <c r="T93" i="69"/>
  <c r="T92" i="69"/>
  <c r="T89" i="69"/>
  <c r="T88" i="69"/>
  <c r="T87" i="69"/>
  <c r="T86" i="69"/>
  <c r="T85" i="69"/>
  <c r="T84" i="69"/>
  <c r="T82" i="69"/>
  <c r="T81" i="69"/>
  <c r="T80" i="69"/>
  <c r="T79" i="69"/>
  <c r="T78" i="69"/>
  <c r="T77" i="69"/>
  <c r="T76" i="69"/>
  <c r="T75" i="69"/>
  <c r="T74" i="69"/>
  <c r="T73" i="69"/>
  <c r="T72" i="69"/>
  <c r="T71" i="69"/>
  <c r="T70" i="69"/>
  <c r="T69" i="69"/>
  <c r="T68" i="69"/>
  <c r="T67" i="69"/>
  <c r="T66" i="69"/>
  <c r="T65" i="69"/>
  <c r="T64" i="69"/>
  <c r="T63" i="69"/>
  <c r="T62" i="69"/>
  <c r="T61" i="69"/>
  <c r="T58" i="69"/>
  <c r="T57" i="69"/>
  <c r="T55" i="69"/>
  <c r="T54" i="69"/>
  <c r="T53" i="69"/>
  <c r="T52" i="69"/>
  <c r="T51" i="69"/>
  <c r="T50" i="69"/>
  <c r="T49" i="69"/>
  <c r="T48" i="69"/>
  <c r="T46" i="69"/>
  <c r="T45" i="69"/>
  <c r="T43" i="69"/>
  <c r="T42" i="69"/>
  <c r="T41" i="69"/>
  <c r="T40" i="69"/>
  <c r="T38" i="69"/>
  <c r="T37" i="69"/>
  <c r="T34" i="69"/>
  <c r="T33" i="69"/>
  <c r="T32" i="69"/>
  <c r="T30" i="69"/>
  <c r="T28" i="69"/>
  <c r="T27" i="69"/>
  <c r="T26" i="69"/>
  <c r="T24" i="69"/>
  <c r="T23" i="69"/>
  <c r="T22" i="69"/>
  <c r="T21" i="69"/>
  <c r="T20" i="69"/>
  <c r="T19" i="69"/>
  <c r="T18" i="69"/>
  <c r="T17" i="69"/>
  <c r="G17" i="69"/>
  <c r="G150" i="69"/>
  <c r="G149" i="69"/>
  <c r="G148" i="69"/>
  <c r="G147" i="69"/>
  <c r="G146" i="69"/>
  <c r="G145" i="69"/>
  <c r="G144" i="69"/>
  <c r="G143" i="69"/>
  <c r="G142" i="69"/>
  <c r="G141" i="69"/>
  <c r="G140" i="69"/>
  <c r="G139" i="69"/>
  <c r="G138" i="69"/>
  <c r="G137" i="69"/>
  <c r="G136" i="69"/>
  <c r="G135" i="69"/>
  <c r="G134" i="69"/>
  <c r="G133" i="69"/>
  <c r="G132" i="69"/>
  <c r="G131" i="69"/>
  <c r="G130" i="69"/>
  <c r="G128" i="69"/>
  <c r="G127" i="69"/>
  <c r="G125" i="69"/>
  <c r="G123" i="69"/>
  <c r="G122" i="69"/>
  <c r="G120" i="69"/>
  <c r="G119" i="69"/>
  <c r="G118" i="69"/>
  <c r="G115" i="69"/>
  <c r="G114" i="69"/>
  <c r="G113" i="69"/>
  <c r="G112" i="69"/>
  <c r="G111" i="69"/>
  <c r="G109" i="69"/>
  <c r="G107" i="69"/>
  <c r="G106" i="69"/>
  <c r="G105" i="69"/>
  <c r="G104" i="69"/>
  <c r="G103" i="69"/>
  <c r="G102" i="69"/>
  <c r="G100" i="69"/>
  <c r="G99" i="69"/>
  <c r="G98" i="69"/>
  <c r="G96" i="69"/>
  <c r="G94" i="69"/>
  <c r="G93" i="69"/>
  <c r="G92" i="69"/>
  <c r="G89" i="69"/>
  <c r="G88" i="69"/>
  <c r="G87" i="69"/>
  <c r="G86" i="69"/>
  <c r="G85" i="69"/>
  <c r="G84" i="69"/>
  <c r="G82" i="69"/>
  <c r="G81" i="69"/>
  <c r="G80" i="69"/>
  <c r="G79" i="69"/>
  <c r="G78" i="69"/>
  <c r="G77" i="69"/>
  <c r="G76" i="69"/>
  <c r="G75" i="69"/>
  <c r="G74" i="69"/>
  <c r="G73" i="69"/>
  <c r="G72" i="69"/>
  <c r="G71" i="69"/>
  <c r="G70" i="69"/>
  <c r="G69" i="69"/>
  <c r="G68" i="69"/>
  <c r="G67" i="69"/>
  <c r="G66" i="69"/>
  <c r="G65" i="69"/>
  <c r="G64" i="69"/>
  <c r="G63" i="69"/>
  <c r="G62" i="69"/>
  <c r="G61" i="69"/>
  <c r="G58" i="69"/>
  <c r="G57" i="69"/>
  <c r="G55" i="69"/>
  <c r="G54" i="69"/>
  <c r="G53" i="69"/>
  <c r="G52" i="69"/>
  <c r="G51" i="69"/>
  <c r="G50" i="69"/>
  <c r="G49" i="69"/>
  <c r="G48" i="69"/>
  <c r="G46" i="69"/>
  <c r="G45" i="69"/>
  <c r="G43" i="69"/>
  <c r="G42" i="69"/>
  <c r="G41" i="69"/>
  <c r="G40" i="69"/>
  <c r="G38" i="69"/>
  <c r="G37" i="69"/>
  <c r="G34" i="69"/>
  <c r="G33" i="69"/>
  <c r="G32" i="69"/>
  <c r="G30" i="69"/>
  <c r="G28" i="69"/>
  <c r="G27" i="69"/>
  <c r="G26" i="69"/>
  <c r="G24" i="69"/>
  <c r="G23" i="69"/>
  <c r="G22" i="69"/>
  <c r="G21" i="69"/>
  <c r="G20" i="69"/>
  <c r="G19" i="69"/>
  <c r="G18" i="69"/>
  <c r="T4" i="70" l="1"/>
  <c r="T4" i="69"/>
  <c r="T5" i="69"/>
  <c r="T7" i="69"/>
  <c r="T13" i="69"/>
  <c r="T9" i="69"/>
  <c r="H3" i="2"/>
  <c r="T10" i="69" s="1"/>
  <c r="B5" i="68"/>
  <c r="I3" i="2" l="1"/>
  <c r="L188" i="69"/>
  <c r="AQ4" i="70"/>
  <c r="AC4" i="70"/>
  <c r="AR3" i="70"/>
  <c r="AR4" i="70" s="1"/>
  <c r="AD3" i="70"/>
  <c r="B1" i="70"/>
  <c r="C1" i="70" s="1"/>
  <c r="K11" i="69"/>
  <c r="K10" i="69"/>
  <c r="B1" i="69"/>
  <c r="C1" i="69" s="1"/>
  <c r="D1" i="69" s="1"/>
  <c r="D34" i="68"/>
  <c r="D12" i="68"/>
  <c r="E12" i="68" s="1"/>
  <c r="F12" i="68" s="1"/>
  <c r="J3" i="2" l="1"/>
  <c r="T11" i="69"/>
  <c r="E1" i="69"/>
  <c r="F1" i="69" s="1"/>
  <c r="G1" i="69" s="1"/>
  <c r="H1" i="69" s="1"/>
  <c r="I1" i="69" s="1"/>
  <c r="D1" i="70"/>
  <c r="AD4" i="70"/>
  <c r="AE3" i="70"/>
  <c r="AS3" i="70"/>
  <c r="K3" i="2" l="1"/>
  <c r="L3" i="2" s="1"/>
  <c r="M3" i="2" s="1"/>
  <c r="N3" i="2" s="1"/>
  <c r="O3" i="2" s="1"/>
  <c r="P3" i="2" s="1"/>
  <c r="Q3" i="2" s="1"/>
  <c r="R3" i="2" s="1"/>
  <c r="S3" i="2" s="1"/>
  <c r="T3" i="2" s="1"/>
  <c r="E5" i="70"/>
  <c r="F14" i="69"/>
  <c r="F9" i="69"/>
  <c r="E4" i="70"/>
  <c r="F13" i="69"/>
  <c r="F7" i="69"/>
  <c r="F11" i="69"/>
  <c r="F5" i="69"/>
  <c r="F10" i="69"/>
  <c r="F4" i="69"/>
  <c r="J3" i="69"/>
  <c r="AS4" i="70"/>
  <c r="AT3" i="70"/>
  <c r="E1" i="70"/>
  <c r="AE4" i="70"/>
  <c r="AF3" i="70"/>
  <c r="J1" i="69"/>
  <c r="K1" i="69" s="1"/>
  <c r="L1" i="69" s="1"/>
  <c r="I3" i="69"/>
  <c r="U3" i="2" l="1"/>
  <c r="V3" i="2" s="1"/>
  <c r="W3" i="2" s="1"/>
  <c r="F32" i="70"/>
  <c r="F27" i="70"/>
  <c r="I27" i="70" s="1"/>
  <c r="J27" i="70" s="1"/>
  <c r="F20" i="70"/>
  <c r="F15" i="70"/>
  <c r="F10" i="70"/>
  <c r="F31" i="70"/>
  <c r="F25" i="70"/>
  <c r="F19" i="70"/>
  <c r="F14" i="70"/>
  <c r="F9" i="70"/>
  <c r="F29" i="70"/>
  <c r="I29" i="70" s="1"/>
  <c r="J29" i="70" s="1"/>
  <c r="F24" i="70"/>
  <c r="F18" i="70"/>
  <c r="F12" i="70"/>
  <c r="F33" i="70"/>
  <c r="F28" i="70"/>
  <c r="I28" i="70" s="1"/>
  <c r="J28" i="70" s="1"/>
  <c r="F23" i="70"/>
  <c r="F16" i="70"/>
  <c r="F11" i="70"/>
  <c r="M3" i="69"/>
  <c r="M1" i="69"/>
  <c r="N1" i="69" s="1"/>
  <c r="AT4" i="70"/>
  <c r="AU3" i="70"/>
  <c r="AF4" i="70"/>
  <c r="AG3" i="70"/>
  <c r="K3" i="69"/>
  <c r="F1" i="70"/>
  <c r="H3" i="70"/>
  <c r="M27" i="70" l="1"/>
  <c r="L27" i="70"/>
  <c r="G1" i="70"/>
  <c r="H1" i="70" s="1"/>
  <c r="I3" i="70"/>
  <c r="AH3" i="70"/>
  <c r="AG4" i="70"/>
  <c r="AU4" i="70"/>
  <c r="AV3" i="70"/>
  <c r="P3" i="69"/>
  <c r="O1" i="69"/>
  <c r="O3" i="69"/>
  <c r="AH4" i="70" l="1"/>
  <c r="AI3" i="70"/>
  <c r="AV4" i="70"/>
  <c r="AW3" i="70"/>
  <c r="I1" i="70"/>
  <c r="J1" i="70" s="1"/>
  <c r="K1" i="70" s="1"/>
  <c r="P1" i="69"/>
  <c r="Q1" i="69" s="1"/>
  <c r="Q3" i="69"/>
  <c r="L1" i="70" l="1"/>
  <c r="L3" i="70"/>
  <c r="AW4" i="70"/>
  <c r="AX3" i="70"/>
  <c r="J3" i="70"/>
  <c r="AI4" i="70"/>
  <c r="AJ3" i="70"/>
  <c r="R1" i="69"/>
  <c r="S1" i="69" s="1"/>
  <c r="T1" i="69" s="1"/>
  <c r="U1" i="69" s="1"/>
  <c r="R3" i="69"/>
  <c r="AX4" i="70" l="1"/>
  <c r="AY3" i="70"/>
  <c r="AK3" i="70"/>
  <c r="AJ4" i="70"/>
  <c r="M3" i="70"/>
  <c r="M1" i="70"/>
  <c r="N1" i="70" s="1"/>
  <c r="AK4" i="70" l="1"/>
  <c r="AL3" i="70"/>
  <c r="P3" i="70"/>
  <c r="O3" i="70"/>
  <c r="O1" i="70"/>
  <c r="AZ3" i="70"/>
  <c r="AY4" i="70"/>
  <c r="AL4" i="70" l="1"/>
  <c r="AM3" i="70"/>
  <c r="AZ4" i="70"/>
  <c r="BA3" i="70"/>
  <c r="P1" i="70"/>
  <c r="Q1" i="70" s="1"/>
  <c r="Q3" i="70" l="1"/>
  <c r="R1" i="70"/>
  <c r="S1" i="70" s="1"/>
  <c r="T1" i="70" s="1"/>
  <c r="U1" i="70" s="1"/>
  <c r="R3" i="70"/>
  <c r="AM4" i="70"/>
  <c r="AN3" i="70"/>
  <c r="AN4" i="70" s="1"/>
  <c r="AE6" i="70" s="1"/>
  <c r="BA4" i="70"/>
  <c r="BB3" i="70"/>
  <c r="BB4" i="70" s="1"/>
  <c r="AU6" i="70" l="1"/>
  <c r="AS6" i="70"/>
  <c r="AR8" i="70"/>
  <c r="AQ8" i="70"/>
  <c r="AT6" i="70"/>
  <c r="AR6" i="70"/>
  <c r="AW8" i="70"/>
  <c r="AS8" i="70"/>
  <c r="AU8" i="70"/>
  <c r="AV8" i="70"/>
  <c r="AQ6" i="70"/>
  <c r="AT8" i="70"/>
  <c r="AC8" i="70"/>
  <c r="AG6" i="70"/>
  <c r="AF6" i="70"/>
  <c r="AE8" i="70"/>
  <c r="AG8" i="70"/>
  <c r="AD8" i="70"/>
  <c r="AI8" i="70"/>
  <c r="AD6" i="70"/>
  <c r="AH8" i="70"/>
  <c r="AC6" i="70"/>
  <c r="AF8" i="70"/>
  <c r="AB5" i="3" l="1"/>
  <c r="AB6" i="3" s="1"/>
  <c r="AB7" i="3" s="1"/>
  <c r="AB8" i="3" s="1"/>
  <c r="I562" i="30" l="1"/>
  <c r="D562" i="30"/>
  <c r="U429" i="23"/>
  <c r="U428" i="23"/>
  <c r="U427" i="23"/>
  <c r="U426" i="23"/>
  <c r="U425" i="23"/>
  <c r="U424" i="23"/>
  <c r="U423" i="23"/>
  <c r="U422" i="23"/>
  <c r="U421" i="23"/>
  <c r="U420" i="23"/>
  <c r="U419" i="23"/>
  <c r="U418" i="23"/>
  <c r="U417" i="23"/>
  <c r="U416" i="23"/>
  <c r="U415" i="23"/>
  <c r="U414" i="23"/>
  <c r="U413" i="23"/>
  <c r="U412" i="23"/>
  <c r="U411" i="23"/>
  <c r="U410" i="23"/>
  <c r="U409" i="23"/>
  <c r="U408" i="23"/>
  <c r="U407" i="23"/>
  <c r="U406" i="23"/>
  <c r="U405" i="23"/>
  <c r="U404" i="23"/>
  <c r="U403" i="23"/>
  <c r="U402" i="23"/>
  <c r="U401" i="23"/>
  <c r="U400" i="23"/>
  <c r="U399" i="23"/>
  <c r="U398" i="23"/>
  <c r="U397" i="23"/>
  <c r="U396" i="23"/>
  <c r="U395" i="23"/>
  <c r="U394" i="23"/>
  <c r="U393" i="23"/>
  <c r="U392" i="23"/>
  <c r="U391" i="23"/>
  <c r="U390" i="23"/>
  <c r="U389" i="23"/>
  <c r="U388" i="23"/>
  <c r="U387" i="23"/>
  <c r="U386" i="23"/>
  <c r="U385" i="23"/>
  <c r="U384" i="23"/>
  <c r="U383" i="23"/>
  <c r="U382" i="23"/>
  <c r="U381" i="23"/>
  <c r="U380" i="23"/>
  <c r="U379" i="23"/>
  <c r="U378" i="23"/>
  <c r="U377" i="23"/>
  <c r="U376" i="23"/>
  <c r="U375" i="23"/>
  <c r="U374" i="23"/>
  <c r="U373" i="23"/>
  <c r="U372" i="23"/>
  <c r="U371" i="23"/>
  <c r="U370" i="23"/>
  <c r="U369" i="23"/>
  <c r="U368" i="23"/>
  <c r="U367" i="23"/>
  <c r="U366" i="23"/>
  <c r="U365" i="23"/>
  <c r="U364" i="23"/>
  <c r="U363" i="23"/>
  <c r="U362" i="23"/>
  <c r="U361" i="23"/>
  <c r="U360" i="23"/>
  <c r="U359" i="23"/>
  <c r="U358" i="23"/>
  <c r="U357" i="23"/>
  <c r="U356" i="23"/>
  <c r="U355" i="23"/>
  <c r="U354" i="23"/>
  <c r="U353" i="23"/>
  <c r="U352" i="23"/>
  <c r="U351" i="23"/>
  <c r="U350" i="23"/>
  <c r="U349" i="23"/>
  <c r="U348" i="23"/>
  <c r="U347" i="23"/>
  <c r="U346" i="23"/>
  <c r="U345" i="23"/>
  <c r="U344" i="23"/>
  <c r="U343" i="23"/>
  <c r="U342" i="23"/>
  <c r="U341" i="23"/>
  <c r="U340" i="23"/>
  <c r="U339" i="23"/>
  <c r="U338" i="23"/>
  <c r="U337" i="23"/>
  <c r="U336" i="23"/>
  <c r="U335" i="23"/>
  <c r="U334" i="23"/>
  <c r="U333" i="23"/>
  <c r="U332" i="23"/>
  <c r="U331" i="23"/>
  <c r="U330" i="23"/>
  <c r="U329" i="23"/>
  <c r="U328" i="23"/>
  <c r="U327" i="23"/>
  <c r="U326" i="23"/>
  <c r="U325" i="23"/>
  <c r="U324" i="23"/>
  <c r="U323" i="23"/>
  <c r="U322" i="23"/>
  <c r="U321" i="23"/>
  <c r="U320" i="23"/>
  <c r="U319" i="23"/>
  <c r="U318" i="23"/>
  <c r="U317" i="23"/>
  <c r="U316" i="23"/>
  <c r="U315" i="23"/>
  <c r="U314" i="23"/>
  <c r="U313" i="23"/>
  <c r="U312" i="23"/>
  <c r="U311" i="23"/>
  <c r="U310" i="23"/>
  <c r="U309" i="23"/>
  <c r="U308" i="23"/>
  <c r="U307" i="23"/>
  <c r="U306" i="23"/>
  <c r="U305" i="23"/>
  <c r="U304" i="23"/>
  <c r="U303" i="23"/>
  <c r="U302" i="23"/>
  <c r="U301" i="23"/>
  <c r="U300" i="23"/>
  <c r="U299" i="23"/>
  <c r="U298" i="23"/>
  <c r="U297" i="23"/>
  <c r="U296" i="23"/>
  <c r="U295" i="23"/>
  <c r="U294" i="23"/>
  <c r="U293" i="23"/>
  <c r="U292" i="23"/>
  <c r="U291" i="23"/>
  <c r="U290" i="23"/>
  <c r="U289" i="23"/>
  <c r="U288" i="23"/>
  <c r="U287" i="23"/>
  <c r="U286" i="23"/>
  <c r="U285" i="23"/>
  <c r="U284" i="23"/>
  <c r="U283" i="23"/>
  <c r="U282" i="23"/>
  <c r="U281" i="23"/>
  <c r="U280" i="23"/>
  <c r="U279" i="23"/>
  <c r="U278" i="23"/>
  <c r="U277" i="23"/>
  <c r="U276" i="23"/>
  <c r="U275" i="23"/>
  <c r="U274" i="23"/>
  <c r="U273" i="23"/>
  <c r="U272" i="23"/>
  <c r="U271" i="23"/>
  <c r="U270" i="23"/>
  <c r="U269" i="23"/>
  <c r="U268" i="23"/>
  <c r="U267" i="23"/>
  <c r="U266" i="23"/>
  <c r="U265" i="23"/>
  <c r="U264" i="23"/>
  <c r="U263" i="23"/>
  <c r="U262" i="23"/>
  <c r="U261" i="23"/>
  <c r="U260" i="23"/>
  <c r="U259" i="23"/>
  <c r="U258" i="23"/>
  <c r="U257" i="23"/>
  <c r="U256" i="23"/>
  <c r="U255" i="23"/>
  <c r="U254" i="23"/>
  <c r="U253" i="23"/>
  <c r="U252" i="23"/>
  <c r="U251" i="23"/>
  <c r="U250" i="23"/>
  <c r="U249" i="23"/>
  <c r="U248" i="23"/>
  <c r="U247" i="23"/>
  <c r="U246" i="23"/>
  <c r="U245" i="23"/>
  <c r="U244" i="23"/>
  <c r="U243" i="23"/>
  <c r="U242" i="23"/>
  <c r="U241" i="23"/>
  <c r="U240" i="23"/>
  <c r="U239" i="23"/>
  <c r="U238" i="23"/>
  <c r="U237" i="23"/>
  <c r="U236" i="23"/>
  <c r="U235" i="23"/>
  <c r="U234" i="23"/>
  <c r="U233" i="23"/>
  <c r="U232" i="23"/>
  <c r="U231" i="23"/>
  <c r="U230" i="23"/>
  <c r="U229" i="23"/>
  <c r="U228" i="23"/>
  <c r="U227" i="23"/>
  <c r="U226" i="23"/>
  <c r="U225" i="23"/>
  <c r="U224" i="23"/>
  <c r="U223" i="23"/>
  <c r="U222" i="23"/>
  <c r="U221" i="23"/>
  <c r="U220" i="23"/>
  <c r="U219" i="23"/>
  <c r="U218" i="23"/>
  <c r="U217" i="23"/>
  <c r="U216" i="23"/>
  <c r="U215" i="23"/>
  <c r="U214" i="23"/>
  <c r="U213" i="23"/>
  <c r="U212" i="23"/>
  <c r="U211" i="23"/>
  <c r="U210" i="23"/>
  <c r="U209" i="23"/>
  <c r="U208" i="23"/>
  <c r="U207" i="23"/>
  <c r="U206" i="23"/>
  <c r="U205" i="23"/>
  <c r="U204" i="23"/>
  <c r="U203" i="23"/>
  <c r="U202" i="23"/>
  <c r="U201" i="23"/>
  <c r="U200" i="23"/>
  <c r="U199" i="23"/>
  <c r="U198" i="23"/>
  <c r="U197" i="23"/>
  <c r="U196" i="23"/>
  <c r="U195" i="23"/>
  <c r="U194" i="23"/>
  <c r="U193" i="23"/>
  <c r="U192" i="23"/>
  <c r="U191" i="23"/>
  <c r="U190" i="23"/>
  <c r="U189" i="23"/>
  <c r="U188" i="23"/>
  <c r="U187" i="23"/>
  <c r="U186" i="23"/>
  <c r="U185" i="23"/>
  <c r="U184" i="23"/>
  <c r="U183" i="23"/>
  <c r="U182" i="23"/>
  <c r="U181" i="23"/>
  <c r="U180" i="23"/>
  <c r="U179" i="23"/>
  <c r="U178" i="23"/>
  <c r="U177" i="23"/>
  <c r="U176" i="23"/>
  <c r="U175" i="23"/>
  <c r="U174" i="23"/>
  <c r="U173" i="23"/>
  <c r="U172" i="23"/>
  <c r="U171" i="23"/>
  <c r="U170" i="23"/>
  <c r="U169" i="23"/>
  <c r="U168" i="23"/>
  <c r="U167" i="23"/>
  <c r="U166" i="23"/>
  <c r="U165" i="23"/>
  <c r="U164" i="23"/>
  <c r="U163" i="23"/>
  <c r="U162" i="23"/>
  <c r="U161" i="23"/>
  <c r="U160" i="23"/>
  <c r="U159" i="23"/>
  <c r="U158" i="23"/>
  <c r="U157" i="23"/>
  <c r="U156" i="23"/>
  <c r="U155" i="23"/>
  <c r="U154" i="23"/>
  <c r="U153" i="23"/>
  <c r="U152" i="23"/>
  <c r="U151" i="23"/>
  <c r="U150" i="23"/>
  <c r="U149" i="23"/>
  <c r="U148" i="23"/>
  <c r="U147" i="23"/>
  <c r="U146" i="23"/>
  <c r="U145" i="23"/>
  <c r="W288" i="23" l="1"/>
  <c r="X288" i="23" s="1"/>
  <c r="T288" i="23"/>
  <c r="S288" i="23"/>
  <c r="W287" i="23"/>
  <c r="X287" i="23" s="1"/>
  <c r="T287" i="23"/>
  <c r="S287" i="23"/>
  <c r="W286" i="23"/>
  <c r="X286" i="23" s="1"/>
  <c r="T286" i="23"/>
  <c r="S286" i="23"/>
  <c r="W285" i="23"/>
  <c r="X285" i="23" s="1"/>
  <c r="T285" i="23"/>
  <c r="S285" i="23"/>
  <c r="W284" i="23"/>
  <c r="X284" i="23" s="1"/>
  <c r="T284" i="23"/>
  <c r="S284" i="23"/>
  <c r="W283" i="23"/>
  <c r="X283" i="23" s="1"/>
  <c r="T283" i="23"/>
  <c r="S283" i="23"/>
  <c r="W282" i="23"/>
  <c r="X282" i="23" s="1"/>
  <c r="T282" i="23"/>
  <c r="S282" i="23"/>
  <c r="W281" i="23"/>
  <c r="X281" i="23" s="1"/>
  <c r="T281" i="23"/>
  <c r="S281" i="23"/>
  <c r="W280" i="23"/>
  <c r="X280" i="23" s="1"/>
  <c r="T280" i="23"/>
  <c r="S280" i="23"/>
  <c r="W279" i="23"/>
  <c r="X279" i="23" s="1"/>
  <c r="T279" i="23"/>
  <c r="S279" i="23"/>
  <c r="W278" i="23"/>
  <c r="X278" i="23" s="1"/>
  <c r="T278" i="23"/>
  <c r="S278" i="23"/>
  <c r="W277" i="23"/>
  <c r="X277" i="23" s="1"/>
  <c r="T277" i="23"/>
  <c r="S277" i="23"/>
  <c r="W276" i="23"/>
  <c r="X276" i="23" s="1"/>
  <c r="T276" i="23"/>
  <c r="S276" i="23"/>
  <c r="W275" i="23"/>
  <c r="X275" i="23" s="1"/>
  <c r="T275" i="23"/>
  <c r="S275" i="23"/>
  <c r="W274" i="23"/>
  <c r="X274" i="23" s="1"/>
  <c r="T274" i="23"/>
  <c r="S274" i="23"/>
  <c r="W273" i="23"/>
  <c r="X273" i="23" s="1"/>
  <c r="T273" i="23"/>
  <c r="S273" i="23"/>
  <c r="W272" i="23"/>
  <c r="X272" i="23" s="1"/>
  <c r="T272" i="23"/>
  <c r="S272" i="23"/>
  <c r="W271" i="23"/>
  <c r="X271" i="23" s="1"/>
  <c r="T271" i="23"/>
  <c r="S271" i="23"/>
  <c r="W270" i="23"/>
  <c r="X270" i="23" s="1"/>
  <c r="T270" i="23"/>
  <c r="S270" i="23"/>
  <c r="W269" i="23"/>
  <c r="X269" i="23" s="1"/>
  <c r="T269" i="23"/>
  <c r="S269" i="23"/>
  <c r="W268" i="23"/>
  <c r="X268" i="23" s="1"/>
  <c r="T268" i="23"/>
  <c r="S268" i="23"/>
  <c r="W267" i="23"/>
  <c r="X267" i="23" s="1"/>
  <c r="T267" i="23"/>
  <c r="S267" i="23"/>
  <c r="W266" i="23"/>
  <c r="X266" i="23" s="1"/>
  <c r="T266" i="23"/>
  <c r="S266" i="23"/>
  <c r="W265" i="23"/>
  <c r="X265" i="23" s="1"/>
  <c r="T265" i="23"/>
  <c r="S265" i="23"/>
  <c r="W264" i="23"/>
  <c r="X264" i="23" s="1"/>
  <c r="T264" i="23"/>
  <c r="S264" i="23"/>
  <c r="W263" i="23"/>
  <c r="X263" i="23" s="1"/>
  <c r="T263" i="23"/>
  <c r="S263" i="23"/>
  <c r="W262" i="23"/>
  <c r="X262" i="23" s="1"/>
  <c r="T262" i="23"/>
  <c r="S262" i="23"/>
  <c r="W261" i="23"/>
  <c r="X261" i="23" s="1"/>
  <c r="T261" i="23"/>
  <c r="S261" i="23"/>
  <c r="W260" i="23"/>
  <c r="X260" i="23" s="1"/>
  <c r="T260" i="23"/>
  <c r="S260" i="23"/>
  <c r="W259" i="23"/>
  <c r="X259" i="23" s="1"/>
  <c r="T259" i="23"/>
  <c r="S259" i="23"/>
  <c r="W258" i="23"/>
  <c r="X258" i="23" s="1"/>
  <c r="T258" i="23"/>
  <c r="S258" i="23"/>
  <c r="W257" i="23"/>
  <c r="X257" i="23" s="1"/>
  <c r="T257" i="23"/>
  <c r="S257" i="23"/>
  <c r="W256" i="23"/>
  <c r="X256" i="23" s="1"/>
  <c r="T256" i="23"/>
  <c r="S256" i="23"/>
  <c r="W255" i="23"/>
  <c r="X255" i="23" s="1"/>
  <c r="T255" i="23"/>
  <c r="S255" i="23"/>
  <c r="W254" i="23"/>
  <c r="X254" i="23" s="1"/>
  <c r="T254" i="23"/>
  <c r="S254" i="23"/>
  <c r="W253" i="23"/>
  <c r="X253" i="23" s="1"/>
  <c r="T253" i="23"/>
  <c r="S253" i="23"/>
  <c r="W252" i="23"/>
  <c r="X252" i="23" s="1"/>
  <c r="T252" i="23"/>
  <c r="S252" i="23"/>
  <c r="W251" i="23"/>
  <c r="X251" i="23" s="1"/>
  <c r="T251" i="23"/>
  <c r="S251" i="23"/>
  <c r="W250" i="23"/>
  <c r="X250" i="23" s="1"/>
  <c r="T250" i="23"/>
  <c r="S250" i="23"/>
  <c r="W249" i="23"/>
  <c r="X249" i="23" s="1"/>
  <c r="T249" i="23"/>
  <c r="S249" i="23"/>
  <c r="W248" i="23"/>
  <c r="X248" i="23" s="1"/>
  <c r="T248" i="23"/>
  <c r="S248" i="23"/>
  <c r="W247" i="23"/>
  <c r="X247" i="23" s="1"/>
  <c r="T247" i="23"/>
  <c r="S247" i="23"/>
  <c r="W246" i="23"/>
  <c r="X246" i="23" s="1"/>
  <c r="T246" i="23"/>
  <c r="S246" i="23"/>
  <c r="W245" i="23"/>
  <c r="X245" i="23" s="1"/>
  <c r="T245" i="23"/>
  <c r="S245" i="23"/>
  <c r="W244" i="23"/>
  <c r="X244" i="23" s="1"/>
  <c r="T244" i="23"/>
  <c r="S244" i="23"/>
  <c r="W243" i="23"/>
  <c r="X243" i="23" s="1"/>
  <c r="T243" i="23"/>
  <c r="S243" i="23"/>
  <c r="W242" i="23"/>
  <c r="X242" i="23" s="1"/>
  <c r="T242" i="23"/>
  <c r="S242" i="23"/>
  <c r="W241" i="23"/>
  <c r="X241" i="23" s="1"/>
  <c r="T241" i="23"/>
  <c r="S241" i="23"/>
  <c r="W240" i="23"/>
  <c r="X240" i="23" s="1"/>
  <c r="T240" i="23"/>
  <c r="S240" i="23"/>
  <c r="W239" i="23"/>
  <c r="X239" i="23" s="1"/>
  <c r="T239" i="23"/>
  <c r="S239" i="23"/>
  <c r="W238" i="23"/>
  <c r="X238" i="23" s="1"/>
  <c r="T238" i="23"/>
  <c r="S238" i="23"/>
  <c r="W237" i="23"/>
  <c r="X237" i="23" s="1"/>
  <c r="T237" i="23"/>
  <c r="S237" i="23"/>
  <c r="W236" i="23"/>
  <c r="X236" i="23" s="1"/>
  <c r="T236" i="23"/>
  <c r="S236" i="23"/>
  <c r="W235" i="23"/>
  <c r="X235" i="23" s="1"/>
  <c r="T235" i="23"/>
  <c r="S235" i="23"/>
  <c r="W234" i="23"/>
  <c r="X234" i="23" s="1"/>
  <c r="T234" i="23"/>
  <c r="S234" i="23"/>
  <c r="W233" i="23"/>
  <c r="X233" i="23" s="1"/>
  <c r="T233" i="23"/>
  <c r="S233" i="23"/>
  <c r="W232" i="23"/>
  <c r="X232" i="23" s="1"/>
  <c r="T232" i="23"/>
  <c r="S232" i="23"/>
  <c r="W231" i="23"/>
  <c r="X231" i="23" s="1"/>
  <c r="T231" i="23"/>
  <c r="S231" i="23"/>
  <c r="W230" i="23"/>
  <c r="X230" i="23" s="1"/>
  <c r="T230" i="23"/>
  <c r="S230" i="23"/>
  <c r="W229" i="23"/>
  <c r="X229" i="23" s="1"/>
  <c r="T229" i="23"/>
  <c r="S229" i="23"/>
  <c r="W228" i="23"/>
  <c r="X228" i="23" s="1"/>
  <c r="T228" i="23"/>
  <c r="S228" i="23"/>
  <c r="W227" i="23"/>
  <c r="X227" i="23" s="1"/>
  <c r="T227" i="23"/>
  <c r="S227" i="23"/>
  <c r="W226" i="23"/>
  <c r="X226" i="23" s="1"/>
  <c r="T226" i="23"/>
  <c r="S226" i="23"/>
  <c r="W225" i="23"/>
  <c r="X225" i="23" s="1"/>
  <c r="T225" i="23"/>
  <c r="S225" i="23"/>
  <c r="W224" i="23"/>
  <c r="X224" i="23" s="1"/>
  <c r="T224" i="23"/>
  <c r="S224" i="23"/>
  <c r="W223" i="23"/>
  <c r="X223" i="23" s="1"/>
  <c r="T223" i="23"/>
  <c r="S223" i="23"/>
  <c r="W222" i="23"/>
  <c r="X222" i="23" s="1"/>
  <c r="T222" i="23"/>
  <c r="S222" i="23"/>
  <c r="W221" i="23"/>
  <c r="X221" i="23" s="1"/>
  <c r="T221" i="23"/>
  <c r="S221" i="23"/>
  <c r="W220" i="23"/>
  <c r="X220" i="23" s="1"/>
  <c r="T220" i="23"/>
  <c r="S220" i="23"/>
  <c r="W219" i="23"/>
  <c r="X219" i="23" s="1"/>
  <c r="T219" i="23"/>
  <c r="S219" i="23"/>
  <c r="W218" i="23"/>
  <c r="X218" i="23" s="1"/>
  <c r="T218" i="23"/>
  <c r="S218" i="23"/>
  <c r="W217" i="23"/>
  <c r="X217" i="23" s="1"/>
  <c r="T217" i="23"/>
  <c r="S217" i="23"/>
  <c r="W216" i="23"/>
  <c r="X216" i="23" s="1"/>
  <c r="T216" i="23"/>
  <c r="S216" i="23"/>
  <c r="W215" i="23"/>
  <c r="X215" i="23" s="1"/>
  <c r="T215" i="23"/>
  <c r="S215" i="23"/>
  <c r="W214" i="23"/>
  <c r="X214" i="23" s="1"/>
  <c r="T214" i="23"/>
  <c r="S214" i="23"/>
  <c r="W213" i="23"/>
  <c r="X213" i="23" s="1"/>
  <c r="T213" i="23"/>
  <c r="S213" i="23"/>
  <c r="W212" i="23"/>
  <c r="X212" i="23" s="1"/>
  <c r="T212" i="23"/>
  <c r="S212" i="23"/>
  <c r="W211" i="23"/>
  <c r="X211" i="23" s="1"/>
  <c r="T211" i="23"/>
  <c r="S211" i="23"/>
  <c r="W210" i="23"/>
  <c r="X210" i="23" s="1"/>
  <c r="T210" i="23"/>
  <c r="S210" i="23"/>
  <c r="W209" i="23"/>
  <c r="X209" i="23" s="1"/>
  <c r="T209" i="23"/>
  <c r="S209" i="23"/>
  <c r="W208" i="23"/>
  <c r="X208" i="23" s="1"/>
  <c r="T208" i="23"/>
  <c r="S208" i="23"/>
  <c r="W207" i="23"/>
  <c r="X207" i="23" s="1"/>
  <c r="T207" i="23"/>
  <c r="S207" i="23"/>
  <c r="W206" i="23"/>
  <c r="X206" i="23" s="1"/>
  <c r="T206" i="23"/>
  <c r="S206" i="23"/>
  <c r="W205" i="23"/>
  <c r="X205" i="23" s="1"/>
  <c r="T205" i="23"/>
  <c r="S205" i="23"/>
  <c r="W204" i="23"/>
  <c r="X204" i="23" s="1"/>
  <c r="T204" i="23"/>
  <c r="S204" i="23"/>
  <c r="W203" i="23"/>
  <c r="X203" i="23" s="1"/>
  <c r="T203" i="23"/>
  <c r="S203" i="23"/>
  <c r="W202" i="23"/>
  <c r="X202" i="23" s="1"/>
  <c r="T202" i="23"/>
  <c r="S202" i="23"/>
  <c r="W201" i="23"/>
  <c r="X201" i="23" s="1"/>
  <c r="T201" i="23"/>
  <c r="S201" i="23"/>
  <c r="W200" i="23"/>
  <c r="X200" i="23" s="1"/>
  <c r="T200" i="23"/>
  <c r="S200" i="23"/>
  <c r="W199" i="23"/>
  <c r="X199" i="23" s="1"/>
  <c r="T199" i="23"/>
  <c r="S199" i="23"/>
  <c r="W198" i="23"/>
  <c r="X198" i="23" s="1"/>
  <c r="T198" i="23"/>
  <c r="S198" i="23"/>
  <c r="W197" i="23"/>
  <c r="X197" i="23" s="1"/>
  <c r="T197" i="23"/>
  <c r="S197" i="23"/>
  <c r="W196" i="23"/>
  <c r="X196" i="23" s="1"/>
  <c r="T196" i="23"/>
  <c r="S196" i="23"/>
  <c r="W195" i="23"/>
  <c r="X195" i="23" s="1"/>
  <c r="T195" i="23"/>
  <c r="S195" i="23"/>
  <c r="W194" i="23"/>
  <c r="X194" i="23" s="1"/>
  <c r="T194" i="23"/>
  <c r="S194" i="23"/>
  <c r="W193" i="23"/>
  <c r="X193" i="23" s="1"/>
  <c r="T193" i="23"/>
  <c r="S193" i="23"/>
  <c r="W192" i="23"/>
  <c r="X192" i="23" s="1"/>
  <c r="T192" i="23"/>
  <c r="S192" i="23"/>
  <c r="W191" i="23"/>
  <c r="X191" i="23" s="1"/>
  <c r="T191" i="23"/>
  <c r="S191" i="23"/>
  <c r="W190" i="23"/>
  <c r="X190" i="23" s="1"/>
  <c r="T190" i="23"/>
  <c r="S190" i="23"/>
  <c r="W189" i="23"/>
  <c r="X189" i="23" s="1"/>
  <c r="T189" i="23"/>
  <c r="S189" i="23"/>
  <c r="W188" i="23"/>
  <c r="X188" i="23" s="1"/>
  <c r="T188" i="23"/>
  <c r="S188" i="23"/>
  <c r="W187" i="23"/>
  <c r="X187" i="23" s="1"/>
  <c r="T187" i="23"/>
  <c r="S187" i="23"/>
  <c r="W186" i="23"/>
  <c r="X186" i="23" s="1"/>
  <c r="T186" i="23"/>
  <c r="S186" i="23"/>
  <c r="W185" i="23"/>
  <c r="X185" i="23" s="1"/>
  <c r="T185" i="23"/>
  <c r="S185" i="23"/>
  <c r="W184" i="23"/>
  <c r="X184" i="23" s="1"/>
  <c r="T184" i="23"/>
  <c r="S184" i="23"/>
  <c r="W183" i="23"/>
  <c r="X183" i="23" s="1"/>
  <c r="T183" i="23"/>
  <c r="S183" i="23"/>
  <c r="W182" i="23"/>
  <c r="X182" i="23" s="1"/>
  <c r="T182" i="23"/>
  <c r="S182" i="23"/>
  <c r="W181" i="23"/>
  <c r="X181" i="23" s="1"/>
  <c r="T181" i="23"/>
  <c r="S181" i="23"/>
  <c r="W180" i="23"/>
  <c r="X180" i="23" s="1"/>
  <c r="T180" i="23"/>
  <c r="S180" i="23"/>
  <c r="W179" i="23"/>
  <c r="X179" i="23" s="1"/>
  <c r="T179" i="23"/>
  <c r="S179" i="23"/>
  <c r="W178" i="23"/>
  <c r="X178" i="23" s="1"/>
  <c r="T178" i="23"/>
  <c r="S178" i="23"/>
  <c r="W177" i="23"/>
  <c r="X177" i="23" s="1"/>
  <c r="T177" i="23"/>
  <c r="S177" i="23"/>
  <c r="W176" i="23"/>
  <c r="X176" i="23" s="1"/>
  <c r="T176" i="23"/>
  <c r="S176" i="23"/>
  <c r="W175" i="23"/>
  <c r="X175" i="23" s="1"/>
  <c r="T175" i="23"/>
  <c r="S175" i="23"/>
  <c r="W174" i="23"/>
  <c r="X174" i="23" s="1"/>
  <c r="T174" i="23"/>
  <c r="S174" i="23"/>
  <c r="W173" i="23"/>
  <c r="X173" i="23" s="1"/>
  <c r="T173" i="23"/>
  <c r="S173" i="23"/>
  <c r="W172" i="23"/>
  <c r="X172" i="23" s="1"/>
  <c r="T172" i="23"/>
  <c r="W171" i="23"/>
  <c r="X171" i="23" s="1"/>
  <c r="T171" i="23"/>
  <c r="S171" i="23"/>
  <c r="W170" i="23"/>
  <c r="X170" i="23" s="1"/>
  <c r="T170" i="23"/>
  <c r="S170" i="23"/>
  <c r="W169" i="23"/>
  <c r="X169" i="23" s="1"/>
  <c r="T169" i="23"/>
  <c r="S169" i="23"/>
  <c r="W168" i="23"/>
  <c r="X168" i="23" s="1"/>
  <c r="T168" i="23"/>
  <c r="S168" i="23"/>
  <c r="W167" i="23"/>
  <c r="X167" i="23" s="1"/>
  <c r="T167" i="23"/>
  <c r="S167" i="23"/>
  <c r="W166" i="23"/>
  <c r="X166" i="23" s="1"/>
  <c r="T166" i="23"/>
  <c r="S166" i="23"/>
  <c r="W165" i="23"/>
  <c r="X165" i="23" s="1"/>
  <c r="T165" i="23"/>
  <c r="S165" i="23"/>
  <c r="W164" i="23"/>
  <c r="X164" i="23" s="1"/>
  <c r="T164" i="23"/>
  <c r="S164" i="23"/>
  <c r="W163" i="23"/>
  <c r="X163" i="23" s="1"/>
  <c r="T163" i="23"/>
  <c r="S163" i="23"/>
  <c r="W162" i="23"/>
  <c r="X162" i="23" s="1"/>
  <c r="T162" i="23"/>
  <c r="S162" i="23"/>
  <c r="W161" i="23"/>
  <c r="X161" i="23" s="1"/>
  <c r="T161" i="23"/>
  <c r="S161" i="23"/>
  <c r="W160" i="23"/>
  <c r="X160" i="23" s="1"/>
  <c r="T160" i="23"/>
  <c r="S160" i="23"/>
  <c r="W159" i="23"/>
  <c r="X159" i="23" s="1"/>
  <c r="T159" i="23"/>
  <c r="S159" i="23"/>
  <c r="W158" i="23"/>
  <c r="X158" i="23" s="1"/>
  <c r="T158" i="23"/>
  <c r="S158" i="23"/>
  <c r="W157" i="23"/>
  <c r="X157" i="23" s="1"/>
  <c r="T157" i="23"/>
  <c r="S157" i="23"/>
  <c r="W156" i="23"/>
  <c r="X156" i="23" s="1"/>
  <c r="T156" i="23"/>
  <c r="S156" i="23"/>
  <c r="W155" i="23"/>
  <c r="X155" i="23" s="1"/>
  <c r="T155" i="23"/>
  <c r="S155" i="23"/>
  <c r="W154" i="23"/>
  <c r="X154" i="23" s="1"/>
  <c r="T154" i="23"/>
  <c r="S154" i="23"/>
  <c r="W153" i="23"/>
  <c r="X153" i="23" s="1"/>
  <c r="T153" i="23"/>
  <c r="S153" i="23"/>
  <c r="W152" i="23"/>
  <c r="X152" i="23" s="1"/>
  <c r="T152" i="23"/>
  <c r="S152" i="23"/>
  <c r="W151" i="23"/>
  <c r="X151" i="23" s="1"/>
  <c r="T151" i="23"/>
  <c r="S151" i="23"/>
  <c r="W150" i="23"/>
  <c r="X150" i="23" s="1"/>
  <c r="T150" i="23"/>
  <c r="S150" i="23"/>
  <c r="W149" i="23"/>
  <c r="X149" i="23" s="1"/>
  <c r="T149" i="23"/>
  <c r="S149" i="23"/>
  <c r="W148" i="23"/>
  <c r="X148" i="23" s="1"/>
  <c r="T148" i="23"/>
  <c r="S148" i="23"/>
  <c r="W147" i="23"/>
  <c r="X147" i="23" s="1"/>
  <c r="T147" i="23"/>
  <c r="S147" i="23"/>
  <c r="W146" i="23"/>
  <c r="X146" i="23" s="1"/>
  <c r="T146" i="23"/>
  <c r="S146" i="23"/>
  <c r="W145" i="23"/>
  <c r="X145" i="23" s="1"/>
  <c r="T145" i="23"/>
  <c r="S145" i="23"/>
  <c r="W144" i="23"/>
  <c r="X144" i="23" s="1"/>
  <c r="W143" i="23"/>
  <c r="X143" i="23" s="1"/>
  <c r="W142" i="23"/>
  <c r="X142" i="23" s="1"/>
  <c r="W141" i="23"/>
  <c r="X141" i="23" s="1"/>
  <c r="W140" i="23"/>
  <c r="X140" i="23" s="1"/>
  <c r="W139" i="23"/>
  <c r="X139" i="23" s="1"/>
  <c r="W138" i="23"/>
  <c r="X138" i="23" s="1"/>
  <c r="W137" i="23"/>
  <c r="X137" i="23" s="1"/>
  <c r="W136" i="23"/>
  <c r="X136" i="23" s="1"/>
  <c r="W135" i="23"/>
  <c r="X135" i="23" s="1"/>
  <c r="W134" i="23"/>
  <c r="X134" i="23" s="1"/>
  <c r="W133" i="23"/>
  <c r="X133" i="23" s="1"/>
  <c r="W132" i="23"/>
  <c r="X132" i="23" s="1"/>
  <c r="W131" i="23"/>
  <c r="X131" i="23" s="1"/>
  <c r="W130" i="23"/>
  <c r="X130" i="23" s="1"/>
  <c r="W129" i="23"/>
  <c r="X129" i="23" s="1"/>
  <c r="W128" i="23"/>
  <c r="X128" i="23" s="1"/>
  <c r="W127" i="23"/>
  <c r="X127" i="23" s="1"/>
  <c r="W126" i="23"/>
  <c r="X126" i="23" s="1"/>
  <c r="W125" i="23"/>
  <c r="X125" i="23" s="1"/>
  <c r="W124" i="23"/>
  <c r="X124" i="23" s="1"/>
  <c r="W123" i="23"/>
  <c r="X123" i="23" s="1"/>
  <c r="W122" i="23"/>
  <c r="X122" i="23" s="1"/>
  <c r="W121" i="23"/>
  <c r="X121" i="23" s="1"/>
  <c r="W120" i="23"/>
  <c r="X120" i="23" s="1"/>
  <c r="W119" i="23"/>
  <c r="X119" i="23" s="1"/>
  <c r="W118" i="23"/>
  <c r="X118" i="23" s="1"/>
  <c r="W117" i="23"/>
  <c r="X117" i="23" s="1"/>
  <c r="W116" i="23"/>
  <c r="X116" i="23" s="1"/>
  <c r="W115" i="23"/>
  <c r="X115" i="23" s="1"/>
  <c r="W114" i="23"/>
  <c r="X114" i="23" s="1"/>
  <c r="W113" i="23"/>
  <c r="X113" i="23" s="1"/>
  <c r="W112" i="23"/>
  <c r="X112" i="23" s="1"/>
  <c r="W111" i="23"/>
  <c r="X111" i="23" s="1"/>
  <c r="W110" i="23"/>
  <c r="X110" i="23" s="1"/>
  <c r="W109" i="23"/>
  <c r="X109" i="23" s="1"/>
  <c r="W108" i="23"/>
  <c r="X108" i="23" s="1"/>
  <c r="W107" i="23"/>
  <c r="X107" i="23" s="1"/>
  <c r="W106" i="23"/>
  <c r="X106" i="23" s="1"/>
  <c r="W105" i="23"/>
  <c r="X105" i="23" s="1"/>
  <c r="W104" i="23"/>
  <c r="X104" i="23" s="1"/>
  <c r="W103" i="23"/>
  <c r="X103" i="23" s="1"/>
  <c r="W102" i="23"/>
  <c r="X102" i="23" s="1"/>
  <c r="W101" i="23"/>
  <c r="X101" i="23" s="1"/>
  <c r="W100" i="23"/>
  <c r="X100" i="23" s="1"/>
  <c r="W99" i="23"/>
  <c r="X99" i="23" s="1"/>
  <c r="W98" i="23"/>
  <c r="X98" i="23" s="1"/>
  <c r="W97" i="23"/>
  <c r="X97" i="23" s="1"/>
  <c r="W96" i="23"/>
  <c r="X96" i="23" s="1"/>
  <c r="W95" i="23"/>
  <c r="X95" i="23" s="1"/>
  <c r="W94" i="23"/>
  <c r="X94" i="23" s="1"/>
  <c r="W93" i="23"/>
  <c r="X93" i="23" s="1"/>
  <c r="W92" i="23"/>
  <c r="X92" i="23" s="1"/>
  <c r="W91" i="23"/>
  <c r="X91" i="23" s="1"/>
  <c r="W90" i="23"/>
  <c r="X90" i="23" s="1"/>
  <c r="W89" i="23"/>
  <c r="X89" i="23" s="1"/>
  <c r="W88" i="23"/>
  <c r="X88" i="23" s="1"/>
  <c r="W87" i="23"/>
  <c r="X87" i="23" s="1"/>
  <c r="W86" i="23"/>
  <c r="X86" i="23" s="1"/>
  <c r="W85" i="23"/>
  <c r="X85" i="23" s="1"/>
  <c r="W84" i="23"/>
  <c r="X84" i="23" s="1"/>
  <c r="W83" i="23"/>
  <c r="X83" i="23" s="1"/>
  <c r="W82" i="23"/>
  <c r="X82" i="23" s="1"/>
  <c r="W81" i="23"/>
  <c r="X81" i="23" s="1"/>
  <c r="W80" i="23"/>
  <c r="X80" i="23" s="1"/>
  <c r="W79" i="23"/>
  <c r="X79" i="23" s="1"/>
  <c r="W78" i="23"/>
  <c r="X78" i="23" s="1"/>
  <c r="W77" i="23"/>
  <c r="X77" i="23" s="1"/>
  <c r="W76" i="23"/>
  <c r="X76" i="23" s="1"/>
  <c r="W75" i="23"/>
  <c r="X75" i="23" s="1"/>
  <c r="W74" i="23"/>
  <c r="X74" i="23" s="1"/>
  <c r="W73" i="23"/>
  <c r="X73" i="23" s="1"/>
  <c r="W72" i="23"/>
  <c r="X72" i="23" s="1"/>
  <c r="W71" i="23"/>
  <c r="X71" i="23" s="1"/>
  <c r="W70" i="23"/>
  <c r="X70" i="23" s="1"/>
  <c r="W69" i="23"/>
  <c r="X69" i="23" s="1"/>
  <c r="W68" i="23"/>
  <c r="X68" i="23" s="1"/>
  <c r="W67" i="23"/>
  <c r="X67" i="23" s="1"/>
  <c r="W66" i="23"/>
  <c r="X66" i="23" s="1"/>
  <c r="W65" i="23"/>
  <c r="X65" i="23" s="1"/>
  <c r="W64" i="23"/>
  <c r="X64" i="23" s="1"/>
  <c r="W63" i="23"/>
  <c r="X63" i="23" s="1"/>
  <c r="W62" i="23"/>
  <c r="X62" i="23" s="1"/>
  <c r="W61" i="23"/>
  <c r="X61" i="23" s="1"/>
  <c r="W60" i="23"/>
  <c r="X60" i="23" s="1"/>
  <c r="W59" i="23"/>
  <c r="X59" i="23" s="1"/>
  <c r="W58" i="23"/>
  <c r="X58" i="23" s="1"/>
  <c r="W57" i="23"/>
  <c r="X57" i="23" s="1"/>
  <c r="W56" i="23"/>
  <c r="X56" i="23" s="1"/>
  <c r="W55" i="23"/>
  <c r="X55" i="23" s="1"/>
  <c r="W54" i="23"/>
  <c r="X54" i="23" s="1"/>
  <c r="W53" i="23"/>
  <c r="X53" i="23" s="1"/>
  <c r="W52" i="23"/>
  <c r="X52" i="23" s="1"/>
  <c r="W51" i="23"/>
  <c r="X51" i="23" s="1"/>
  <c r="W50" i="23"/>
  <c r="X50" i="23" s="1"/>
  <c r="W49" i="23"/>
  <c r="X49" i="23" s="1"/>
  <c r="W48" i="23"/>
  <c r="X48" i="23" s="1"/>
  <c r="W47" i="23"/>
  <c r="X47" i="23" s="1"/>
  <c r="W46" i="23"/>
  <c r="X46" i="23" s="1"/>
  <c r="W45" i="23"/>
  <c r="X45" i="23" s="1"/>
  <c r="W44" i="23"/>
  <c r="X44" i="23" s="1"/>
  <c r="W43" i="23"/>
  <c r="X43" i="23" s="1"/>
  <c r="W41" i="23"/>
  <c r="X41" i="23" s="1"/>
  <c r="W40" i="23"/>
  <c r="X40" i="23" s="1"/>
  <c r="W39" i="23"/>
  <c r="X39" i="23" s="1"/>
  <c r="W38" i="23"/>
  <c r="X38" i="23" s="1"/>
  <c r="W36" i="23"/>
  <c r="X36" i="23" s="1"/>
  <c r="W35" i="23"/>
  <c r="X35" i="23" s="1"/>
  <c r="W34" i="23"/>
  <c r="X34" i="23" s="1"/>
  <c r="W33" i="23"/>
  <c r="X33" i="23" s="1"/>
  <c r="W32" i="23"/>
  <c r="X32" i="23" s="1"/>
  <c r="W31" i="23"/>
  <c r="X31" i="23" s="1"/>
  <c r="W30" i="23"/>
  <c r="X30" i="23" s="1"/>
  <c r="W29" i="23"/>
  <c r="X29" i="23" s="1"/>
  <c r="W28" i="23"/>
  <c r="X28" i="23" s="1"/>
  <c r="W27" i="23"/>
  <c r="X27" i="23" s="1"/>
  <c r="W26" i="23"/>
  <c r="X26" i="23" s="1"/>
  <c r="W25" i="23"/>
  <c r="X25" i="23" s="1"/>
  <c r="W24" i="23"/>
  <c r="X24" i="23" s="1"/>
  <c r="W23" i="23"/>
  <c r="X23" i="23" s="1"/>
  <c r="W22" i="23"/>
  <c r="X22" i="23" s="1"/>
  <c r="W21" i="23"/>
  <c r="X21" i="23" s="1"/>
  <c r="W20" i="23"/>
  <c r="X20" i="23" s="1"/>
  <c r="W19" i="23"/>
  <c r="X19" i="23" s="1"/>
  <c r="W18" i="23"/>
  <c r="X18" i="23" s="1"/>
  <c r="W17" i="23"/>
  <c r="X17" i="23" s="1"/>
  <c r="W16" i="23"/>
  <c r="X16" i="23" s="1"/>
  <c r="W15" i="23"/>
  <c r="X15" i="23" s="1"/>
  <c r="W14" i="23"/>
  <c r="X14" i="23" s="1"/>
  <c r="W13" i="23"/>
  <c r="X13" i="23" s="1"/>
  <c r="W12" i="23"/>
  <c r="X12" i="23" s="1"/>
  <c r="W11" i="23"/>
  <c r="X11" i="23" s="1"/>
  <c r="W10" i="23"/>
  <c r="X10" i="23" s="1"/>
  <c r="W9" i="23"/>
  <c r="X9" i="23" s="1"/>
  <c r="W8" i="23"/>
  <c r="X8" i="23" s="1"/>
  <c r="W7" i="23"/>
  <c r="X7" i="23" s="1"/>
  <c r="W6" i="23"/>
  <c r="X6" i="23" s="1"/>
  <c r="W5" i="23"/>
  <c r="X5" i="23" s="1"/>
  <c r="W4" i="23"/>
  <c r="X4" i="23" s="1"/>
  <c r="W3" i="23"/>
  <c r="X3" i="23" s="1"/>
  <c r="X42" i="3"/>
  <c r="X41" i="3"/>
  <c r="X40" i="3"/>
  <c r="X39" i="3"/>
  <c r="X38" i="3"/>
  <c r="X37" i="3"/>
  <c r="X36" i="3"/>
  <c r="W429" i="23"/>
  <c r="X429" i="23" s="1"/>
  <c r="T429" i="23"/>
  <c r="S429" i="23"/>
  <c r="W428" i="23"/>
  <c r="X428" i="23" s="1"/>
  <c r="T428" i="23"/>
  <c r="S428" i="23"/>
  <c r="W427" i="23"/>
  <c r="X427" i="23" s="1"/>
  <c r="T427" i="23"/>
  <c r="S427" i="23"/>
  <c r="W426" i="23"/>
  <c r="X426" i="23" s="1"/>
  <c r="T426" i="23"/>
  <c r="S426" i="23"/>
  <c r="W425" i="23"/>
  <c r="X425" i="23" s="1"/>
  <c r="T425" i="23"/>
  <c r="S425" i="23"/>
  <c r="W424" i="23"/>
  <c r="X424" i="23" s="1"/>
  <c r="T424" i="23"/>
  <c r="S424" i="23"/>
  <c r="W423" i="23"/>
  <c r="X423" i="23" s="1"/>
  <c r="T423" i="23"/>
  <c r="S423" i="23"/>
  <c r="W422" i="23"/>
  <c r="X422" i="23" s="1"/>
  <c r="T422" i="23"/>
  <c r="S422" i="23"/>
  <c r="W421" i="23"/>
  <c r="X421" i="23" s="1"/>
  <c r="T421" i="23"/>
  <c r="S421" i="23"/>
  <c r="W420" i="23"/>
  <c r="X420" i="23" s="1"/>
  <c r="T420" i="23"/>
  <c r="S420" i="23"/>
  <c r="W419" i="23"/>
  <c r="X419" i="23" s="1"/>
  <c r="T419" i="23"/>
  <c r="S419" i="23"/>
  <c r="W418" i="23"/>
  <c r="X418" i="23" s="1"/>
  <c r="T418" i="23"/>
  <c r="S418" i="23"/>
  <c r="W417" i="23"/>
  <c r="X417" i="23" s="1"/>
  <c r="T417" i="23"/>
  <c r="S417" i="23"/>
  <c r="W416" i="23"/>
  <c r="X416" i="23" s="1"/>
  <c r="T416" i="23"/>
  <c r="S416" i="23"/>
  <c r="W415" i="23"/>
  <c r="X415" i="23" s="1"/>
  <c r="T415" i="23"/>
  <c r="S415" i="23"/>
  <c r="W414" i="23"/>
  <c r="X414" i="23" s="1"/>
  <c r="T414" i="23"/>
  <c r="S414" i="23"/>
  <c r="W413" i="23"/>
  <c r="X413" i="23" s="1"/>
  <c r="T413" i="23"/>
  <c r="S413" i="23"/>
  <c r="W412" i="23"/>
  <c r="X412" i="23" s="1"/>
  <c r="T412" i="23"/>
  <c r="S412" i="23"/>
  <c r="W411" i="23"/>
  <c r="X411" i="23" s="1"/>
  <c r="T411" i="23"/>
  <c r="S411" i="23"/>
  <c r="W410" i="23"/>
  <c r="X410" i="23" s="1"/>
  <c r="T410" i="23"/>
  <c r="S410" i="23"/>
  <c r="W409" i="23"/>
  <c r="X409" i="23" s="1"/>
  <c r="T409" i="23"/>
  <c r="S409" i="23"/>
  <c r="W408" i="23"/>
  <c r="X408" i="23" s="1"/>
  <c r="T408" i="23"/>
  <c r="S408" i="23"/>
  <c r="W407" i="23"/>
  <c r="X407" i="23" s="1"/>
  <c r="T407" i="23"/>
  <c r="S407" i="23"/>
  <c r="W406" i="23"/>
  <c r="X406" i="23" s="1"/>
  <c r="T406" i="23"/>
  <c r="S406" i="23"/>
  <c r="W405" i="23"/>
  <c r="X405" i="23" s="1"/>
  <c r="T405" i="23"/>
  <c r="S405" i="23"/>
  <c r="W404" i="23"/>
  <c r="X404" i="23" s="1"/>
  <c r="T404" i="23"/>
  <c r="S404" i="23"/>
  <c r="W403" i="23"/>
  <c r="X403" i="23" s="1"/>
  <c r="T403" i="23"/>
  <c r="S403" i="23"/>
  <c r="W402" i="23"/>
  <c r="X402" i="23" s="1"/>
  <c r="T402" i="23"/>
  <c r="S402" i="23"/>
  <c r="W401" i="23"/>
  <c r="X401" i="23" s="1"/>
  <c r="T401" i="23"/>
  <c r="S401" i="23"/>
  <c r="W400" i="23"/>
  <c r="X400" i="23" s="1"/>
  <c r="T400" i="23"/>
  <c r="S400" i="23"/>
  <c r="W399" i="23"/>
  <c r="X399" i="23" s="1"/>
  <c r="T399" i="23"/>
  <c r="S399" i="23"/>
  <c r="W398" i="23"/>
  <c r="X398" i="23" s="1"/>
  <c r="T398" i="23"/>
  <c r="S398" i="23"/>
  <c r="W397" i="23"/>
  <c r="X397" i="23" s="1"/>
  <c r="T397" i="23"/>
  <c r="S397" i="23"/>
  <c r="W396" i="23"/>
  <c r="X396" i="23" s="1"/>
  <c r="T396" i="23"/>
  <c r="S396" i="23"/>
  <c r="W395" i="23"/>
  <c r="X395" i="23" s="1"/>
  <c r="T395" i="23"/>
  <c r="S395" i="23"/>
  <c r="W394" i="23"/>
  <c r="X394" i="23" s="1"/>
  <c r="T394" i="23"/>
  <c r="S394" i="23"/>
  <c r="W393" i="23"/>
  <c r="X393" i="23" s="1"/>
  <c r="T393" i="23"/>
  <c r="S393" i="23"/>
  <c r="W392" i="23"/>
  <c r="X392" i="23" s="1"/>
  <c r="T392" i="23"/>
  <c r="S392" i="23"/>
  <c r="W391" i="23"/>
  <c r="X391" i="23" s="1"/>
  <c r="T391" i="23"/>
  <c r="S391" i="23"/>
  <c r="W390" i="23"/>
  <c r="X390" i="23" s="1"/>
  <c r="T390" i="23"/>
  <c r="S390" i="23"/>
  <c r="W389" i="23"/>
  <c r="X389" i="23" s="1"/>
  <c r="T389" i="23"/>
  <c r="S389" i="23"/>
  <c r="W388" i="23"/>
  <c r="X388" i="23" s="1"/>
  <c r="T388" i="23"/>
  <c r="S388" i="23"/>
  <c r="W387" i="23"/>
  <c r="X387" i="23" s="1"/>
  <c r="T387" i="23"/>
  <c r="S387" i="23"/>
  <c r="W386" i="23"/>
  <c r="X386" i="23" s="1"/>
  <c r="T386" i="23"/>
  <c r="S386" i="23"/>
  <c r="W385" i="23"/>
  <c r="X385" i="23" s="1"/>
  <c r="T385" i="23"/>
  <c r="S385" i="23"/>
  <c r="W384" i="23"/>
  <c r="X384" i="23" s="1"/>
  <c r="T384" i="23"/>
  <c r="S384" i="23"/>
  <c r="W383" i="23"/>
  <c r="X383" i="23" s="1"/>
  <c r="T383" i="23"/>
  <c r="S383" i="23"/>
  <c r="W382" i="23"/>
  <c r="X382" i="23" s="1"/>
  <c r="T382" i="23"/>
  <c r="S382" i="23"/>
  <c r="W381" i="23"/>
  <c r="X381" i="23" s="1"/>
  <c r="T381" i="23"/>
  <c r="S381" i="23"/>
  <c r="W380" i="23"/>
  <c r="X380" i="23" s="1"/>
  <c r="T380" i="23"/>
  <c r="S380" i="23"/>
  <c r="W379" i="23"/>
  <c r="X379" i="23" s="1"/>
  <c r="T379" i="23"/>
  <c r="S379" i="23"/>
  <c r="W378" i="23"/>
  <c r="X378" i="23" s="1"/>
  <c r="T378" i="23"/>
  <c r="S378" i="23"/>
  <c r="W377" i="23"/>
  <c r="X377" i="23" s="1"/>
  <c r="T377" i="23"/>
  <c r="S377" i="23"/>
  <c r="W376" i="23"/>
  <c r="X376" i="23" s="1"/>
  <c r="T376" i="23"/>
  <c r="S376" i="23"/>
  <c r="W375" i="23"/>
  <c r="X375" i="23" s="1"/>
  <c r="T375" i="23"/>
  <c r="S375" i="23"/>
  <c r="W374" i="23"/>
  <c r="X374" i="23" s="1"/>
  <c r="T374" i="23"/>
  <c r="S374" i="23"/>
  <c r="W373" i="23"/>
  <c r="X373" i="23" s="1"/>
  <c r="T373" i="23"/>
  <c r="S373" i="23"/>
  <c r="W372" i="23"/>
  <c r="X372" i="23" s="1"/>
  <c r="T372" i="23"/>
  <c r="S372" i="23"/>
  <c r="W371" i="23"/>
  <c r="X371" i="23" s="1"/>
  <c r="T371" i="23"/>
  <c r="S371" i="23"/>
  <c r="W370" i="23"/>
  <c r="X370" i="23" s="1"/>
  <c r="T370" i="23"/>
  <c r="S370" i="23"/>
  <c r="W369" i="23"/>
  <c r="X369" i="23" s="1"/>
  <c r="T369" i="23"/>
  <c r="S369" i="23"/>
  <c r="W368" i="23"/>
  <c r="X368" i="23" s="1"/>
  <c r="T368" i="23"/>
  <c r="S368" i="23"/>
  <c r="W367" i="23"/>
  <c r="X367" i="23" s="1"/>
  <c r="T367" i="23"/>
  <c r="S367" i="23"/>
  <c r="W366" i="23"/>
  <c r="X366" i="23" s="1"/>
  <c r="T366" i="23"/>
  <c r="S366" i="23"/>
  <c r="W365" i="23"/>
  <c r="X365" i="23" s="1"/>
  <c r="T365" i="23"/>
  <c r="S365" i="23"/>
  <c r="W364" i="23"/>
  <c r="X364" i="23" s="1"/>
  <c r="T364" i="23"/>
  <c r="S364" i="23"/>
  <c r="W363" i="23"/>
  <c r="X363" i="23" s="1"/>
  <c r="T363" i="23"/>
  <c r="S363" i="23"/>
  <c r="W362" i="23"/>
  <c r="X362" i="23" s="1"/>
  <c r="T362" i="23"/>
  <c r="S362" i="23"/>
  <c r="W361" i="23"/>
  <c r="X361" i="23" s="1"/>
  <c r="T361" i="23"/>
  <c r="S361" i="23"/>
  <c r="W360" i="23"/>
  <c r="X360" i="23" s="1"/>
  <c r="T360" i="23"/>
  <c r="S360" i="23"/>
  <c r="W359" i="23"/>
  <c r="X359" i="23" s="1"/>
  <c r="T359" i="23"/>
  <c r="S359" i="23"/>
  <c r="W358" i="23"/>
  <c r="X358" i="23" s="1"/>
  <c r="T358" i="23"/>
  <c r="S358" i="23"/>
  <c r="W357" i="23"/>
  <c r="X357" i="23" s="1"/>
  <c r="T357" i="23"/>
  <c r="S357" i="23"/>
  <c r="W356" i="23"/>
  <c r="X356" i="23" s="1"/>
  <c r="T356" i="23"/>
  <c r="S356" i="23"/>
  <c r="W355" i="23"/>
  <c r="X355" i="23" s="1"/>
  <c r="T355" i="23"/>
  <c r="S355" i="23"/>
  <c r="W354" i="23"/>
  <c r="X354" i="23" s="1"/>
  <c r="T354" i="23"/>
  <c r="S354" i="23"/>
  <c r="W353" i="23"/>
  <c r="X353" i="23" s="1"/>
  <c r="T353" i="23"/>
  <c r="S353" i="23"/>
  <c r="W352" i="23"/>
  <c r="X352" i="23" s="1"/>
  <c r="T352" i="23"/>
  <c r="S352" i="23"/>
  <c r="W351" i="23"/>
  <c r="X351" i="23" s="1"/>
  <c r="T351" i="23"/>
  <c r="S351" i="23"/>
  <c r="W350" i="23"/>
  <c r="X350" i="23" s="1"/>
  <c r="T350" i="23"/>
  <c r="S350" i="23"/>
  <c r="W349" i="23"/>
  <c r="X349" i="23" s="1"/>
  <c r="T349" i="23"/>
  <c r="S349" i="23"/>
  <c r="W348" i="23"/>
  <c r="X348" i="23" s="1"/>
  <c r="T348" i="23"/>
  <c r="S348" i="23"/>
  <c r="W347" i="23"/>
  <c r="X347" i="23" s="1"/>
  <c r="T347" i="23"/>
  <c r="S347" i="23"/>
  <c r="W346" i="23"/>
  <c r="X346" i="23" s="1"/>
  <c r="T346" i="23"/>
  <c r="S346" i="23"/>
  <c r="W345" i="23"/>
  <c r="X345" i="23" s="1"/>
  <c r="T345" i="23"/>
  <c r="S345" i="23"/>
  <c r="W344" i="23"/>
  <c r="X344" i="23" s="1"/>
  <c r="T344" i="23"/>
  <c r="S344" i="23"/>
  <c r="W343" i="23"/>
  <c r="X343" i="23" s="1"/>
  <c r="T343" i="23"/>
  <c r="S343" i="23"/>
  <c r="W342" i="23"/>
  <c r="X342" i="23" s="1"/>
  <c r="T342" i="23"/>
  <c r="S342" i="23"/>
  <c r="W341" i="23"/>
  <c r="X341" i="23" s="1"/>
  <c r="T341" i="23"/>
  <c r="S341" i="23"/>
  <c r="W340" i="23"/>
  <c r="X340" i="23" s="1"/>
  <c r="T340" i="23"/>
  <c r="S340" i="23"/>
  <c r="W339" i="23"/>
  <c r="X339" i="23" s="1"/>
  <c r="T339" i="23"/>
  <c r="S339" i="23"/>
  <c r="W338" i="23"/>
  <c r="X338" i="23" s="1"/>
  <c r="T338" i="23"/>
  <c r="S338" i="23"/>
  <c r="W337" i="23"/>
  <c r="X337" i="23" s="1"/>
  <c r="T337" i="23"/>
  <c r="S337" i="23"/>
  <c r="W336" i="23"/>
  <c r="X336" i="23" s="1"/>
  <c r="T336" i="23"/>
  <c r="S336" i="23"/>
  <c r="W335" i="23"/>
  <c r="X335" i="23" s="1"/>
  <c r="T335" i="23"/>
  <c r="S335" i="23"/>
  <c r="W334" i="23"/>
  <c r="X334" i="23" s="1"/>
  <c r="T334" i="23"/>
  <c r="S334" i="23"/>
  <c r="W333" i="23"/>
  <c r="X333" i="23" s="1"/>
  <c r="T333" i="23"/>
  <c r="S333" i="23"/>
  <c r="W332" i="23"/>
  <c r="X332" i="23" s="1"/>
  <c r="T332" i="23"/>
  <c r="S332" i="23"/>
  <c r="W331" i="23"/>
  <c r="X331" i="23" s="1"/>
  <c r="T331" i="23"/>
  <c r="S331" i="23"/>
  <c r="W330" i="23"/>
  <c r="X330" i="23" s="1"/>
  <c r="T330" i="23"/>
  <c r="S330" i="23"/>
  <c r="W329" i="23"/>
  <c r="X329" i="23" s="1"/>
  <c r="T329" i="23"/>
  <c r="S329" i="23"/>
  <c r="W328" i="23"/>
  <c r="X328" i="23" s="1"/>
  <c r="T328" i="23"/>
  <c r="S328" i="23"/>
  <c r="W327" i="23"/>
  <c r="X327" i="23" s="1"/>
  <c r="T327" i="23"/>
  <c r="S327" i="23"/>
  <c r="W326" i="23"/>
  <c r="X326" i="23" s="1"/>
  <c r="T326" i="23"/>
  <c r="S326" i="23"/>
  <c r="W325" i="23"/>
  <c r="X325" i="23" s="1"/>
  <c r="T325" i="23"/>
  <c r="S325" i="23"/>
  <c r="W324" i="23"/>
  <c r="X324" i="23" s="1"/>
  <c r="T324" i="23"/>
  <c r="S324" i="23"/>
  <c r="W323" i="23"/>
  <c r="X323" i="23" s="1"/>
  <c r="T323" i="23"/>
  <c r="S323" i="23"/>
  <c r="W322" i="23"/>
  <c r="X322" i="23" s="1"/>
  <c r="T322" i="23"/>
  <c r="S322" i="23"/>
  <c r="W321" i="23"/>
  <c r="X321" i="23" s="1"/>
  <c r="T321" i="23"/>
  <c r="S321" i="23"/>
  <c r="W320" i="23"/>
  <c r="X320" i="23" s="1"/>
  <c r="T320" i="23"/>
  <c r="S320" i="23"/>
  <c r="W319" i="23"/>
  <c r="X319" i="23" s="1"/>
  <c r="T319" i="23"/>
  <c r="S319" i="23"/>
  <c r="W318" i="23"/>
  <c r="X318" i="23" s="1"/>
  <c r="T318" i="23"/>
  <c r="S318" i="23"/>
  <c r="W317" i="23"/>
  <c r="X317" i="23" s="1"/>
  <c r="T317" i="23"/>
  <c r="S317" i="23"/>
  <c r="W316" i="23"/>
  <c r="X316" i="23" s="1"/>
  <c r="T316" i="23"/>
  <c r="S316" i="23"/>
  <c r="W315" i="23"/>
  <c r="X315" i="23" s="1"/>
  <c r="T315" i="23"/>
  <c r="S315" i="23"/>
  <c r="W314" i="23"/>
  <c r="X314" i="23" s="1"/>
  <c r="T314" i="23"/>
  <c r="S314" i="23"/>
  <c r="W313" i="23"/>
  <c r="X313" i="23" s="1"/>
  <c r="T313" i="23"/>
  <c r="S313" i="23"/>
  <c r="W312" i="23"/>
  <c r="X312" i="23" s="1"/>
  <c r="T312" i="23"/>
  <c r="S312" i="23"/>
  <c r="W311" i="23"/>
  <c r="X311" i="23" s="1"/>
  <c r="T311" i="23"/>
  <c r="S311" i="23"/>
  <c r="W310" i="23"/>
  <c r="X310" i="23" s="1"/>
  <c r="T310" i="23"/>
  <c r="S310" i="23"/>
  <c r="W309" i="23"/>
  <c r="X309" i="23" s="1"/>
  <c r="T309" i="23"/>
  <c r="S309" i="23"/>
  <c r="W308" i="23"/>
  <c r="X308" i="23" s="1"/>
  <c r="T308" i="23"/>
  <c r="S308" i="23"/>
  <c r="W307" i="23"/>
  <c r="X307" i="23" s="1"/>
  <c r="T307" i="23"/>
  <c r="S307" i="23"/>
  <c r="W306" i="23"/>
  <c r="X306" i="23" s="1"/>
  <c r="T306" i="23"/>
  <c r="S306" i="23"/>
  <c r="W305" i="23"/>
  <c r="X305" i="23" s="1"/>
  <c r="T305" i="23"/>
  <c r="S305" i="23"/>
  <c r="W304" i="23"/>
  <c r="X304" i="23" s="1"/>
  <c r="T304" i="23"/>
  <c r="S304" i="23"/>
  <c r="W303" i="23"/>
  <c r="X303" i="23" s="1"/>
  <c r="T303" i="23"/>
  <c r="S303" i="23"/>
  <c r="W302" i="23"/>
  <c r="X302" i="23" s="1"/>
  <c r="T302" i="23"/>
  <c r="S302" i="23"/>
  <c r="W301" i="23"/>
  <c r="X301" i="23" s="1"/>
  <c r="T301" i="23"/>
  <c r="S301" i="23"/>
  <c r="W300" i="23"/>
  <c r="X300" i="23" s="1"/>
  <c r="T300" i="23"/>
  <c r="S300" i="23"/>
  <c r="W299" i="23"/>
  <c r="X299" i="23" s="1"/>
  <c r="T299" i="23"/>
  <c r="S299" i="23"/>
  <c r="W298" i="23"/>
  <c r="X298" i="23" s="1"/>
  <c r="T298" i="23"/>
  <c r="S298" i="23"/>
  <c r="W297" i="23"/>
  <c r="X297" i="23" s="1"/>
  <c r="T297" i="23"/>
  <c r="S297" i="23"/>
  <c r="W296" i="23"/>
  <c r="X296" i="23" s="1"/>
  <c r="T296" i="23"/>
  <c r="S296" i="23"/>
  <c r="W295" i="23"/>
  <c r="X295" i="23" s="1"/>
  <c r="T295" i="23"/>
  <c r="S295" i="23"/>
  <c r="W294" i="23"/>
  <c r="X294" i="23" s="1"/>
  <c r="T294" i="23"/>
  <c r="S294" i="23"/>
  <c r="W293" i="23"/>
  <c r="X293" i="23" s="1"/>
  <c r="T293" i="23"/>
  <c r="S293" i="23"/>
  <c r="W292" i="23"/>
  <c r="X292" i="23" s="1"/>
  <c r="T292" i="23"/>
  <c r="S292" i="23"/>
  <c r="W291" i="23"/>
  <c r="X291" i="23" s="1"/>
  <c r="T291" i="23"/>
  <c r="S291" i="23"/>
  <c r="W290" i="23"/>
  <c r="X290" i="23" s="1"/>
  <c r="T290" i="23"/>
  <c r="S290" i="23"/>
  <c r="W289" i="23"/>
  <c r="X289" i="23" s="1"/>
  <c r="T289" i="23"/>
  <c r="S289" i="23"/>
  <c r="D1" i="3" l="1"/>
  <c r="S39" i="28"/>
  <c r="S38" i="28"/>
  <c r="S37" i="28"/>
  <c r="S36" i="28"/>
  <c r="S35" i="28"/>
  <c r="S34" i="28"/>
  <c r="S33" i="28"/>
  <c r="S32" i="28"/>
  <c r="S31" i="28"/>
  <c r="S30" i="28"/>
  <c r="S29" i="28"/>
  <c r="S28" i="28"/>
  <c r="S27" i="28"/>
  <c r="S26" i="28"/>
  <c r="S25" i="28"/>
  <c r="S24" i="28"/>
  <c r="S23" i="28"/>
  <c r="S22" i="28"/>
  <c r="S21" i="28"/>
  <c r="S20" i="28"/>
  <c r="S19" i="28"/>
  <c r="S18" i="28"/>
  <c r="S17" i="28"/>
  <c r="V22" i="2" l="1"/>
  <c r="T26" i="2"/>
  <c r="T25" i="2"/>
  <c r="T24" i="2"/>
  <c r="T23" i="2"/>
  <c r="T22" i="2"/>
  <c r="I211" i="30" l="1"/>
  <c r="I196" i="30"/>
  <c r="I660" i="30"/>
  <c r="I659" i="30"/>
  <c r="I658" i="30"/>
  <c r="I653" i="30"/>
  <c r="I640" i="30"/>
  <c r="I639" i="30"/>
  <c r="I638" i="30"/>
  <c r="I327" i="30"/>
  <c r="I326" i="30"/>
  <c r="I325" i="30"/>
  <c r="I320" i="30"/>
  <c r="I307" i="30"/>
  <c r="I306" i="30"/>
  <c r="I305" i="30"/>
  <c r="I195" i="30"/>
  <c r="I194" i="30"/>
  <c r="I637" i="30"/>
  <c r="I304" i="30"/>
  <c r="O222" i="54" l="1"/>
  <c r="N231" i="54"/>
  <c r="N228" i="54"/>
  <c r="N227" i="54"/>
  <c r="N226" i="54"/>
  <c r="N225" i="54"/>
  <c r="N222" i="54"/>
  <c r="N221" i="54"/>
  <c r="N220" i="54"/>
  <c r="N219" i="54"/>
  <c r="N218" i="54"/>
  <c r="N217" i="54"/>
  <c r="N215" i="54"/>
  <c r="N212" i="54"/>
  <c r="N211" i="54"/>
  <c r="N208" i="54"/>
  <c r="N207" i="54"/>
  <c r="N206" i="54"/>
  <c r="N205" i="54"/>
  <c r="N204" i="54"/>
  <c r="N203" i="54"/>
  <c r="N200" i="54"/>
  <c r="N199" i="54"/>
  <c r="N198" i="54"/>
  <c r="N197" i="54"/>
  <c r="N196" i="54"/>
  <c r="N195" i="54"/>
  <c r="N192" i="54"/>
  <c r="N191" i="54"/>
  <c r="N188" i="54"/>
  <c r="N187" i="54"/>
  <c r="M222" i="54"/>
  <c r="K231" i="54"/>
  <c r="J231" i="54"/>
  <c r="K228" i="54"/>
  <c r="J228" i="54"/>
  <c r="K227" i="54"/>
  <c r="J227" i="54"/>
  <c r="K226" i="54"/>
  <c r="J226" i="54"/>
  <c r="K225" i="54"/>
  <c r="J225" i="54"/>
  <c r="L222" i="54"/>
  <c r="K222" i="54"/>
  <c r="J222" i="54"/>
  <c r="K221" i="54"/>
  <c r="J221" i="54"/>
  <c r="K220" i="54"/>
  <c r="J220" i="54"/>
  <c r="K219" i="54"/>
  <c r="J219" i="54"/>
  <c r="K218" i="54"/>
  <c r="J218" i="54"/>
  <c r="K217" i="54"/>
  <c r="J217" i="54"/>
  <c r="K215" i="54"/>
  <c r="J215" i="54"/>
  <c r="K212" i="54"/>
  <c r="J212" i="54"/>
  <c r="K211" i="54"/>
  <c r="J211" i="54"/>
  <c r="K208" i="54"/>
  <c r="J208" i="54"/>
  <c r="K207" i="54"/>
  <c r="J207" i="54"/>
  <c r="K206" i="54"/>
  <c r="J206" i="54"/>
  <c r="K205" i="54"/>
  <c r="J205" i="54"/>
  <c r="K204" i="54"/>
  <c r="J204" i="54"/>
  <c r="K203" i="54"/>
  <c r="K209" i="54" s="1"/>
  <c r="J203" i="54"/>
  <c r="K200" i="54"/>
  <c r="J200" i="54"/>
  <c r="K199" i="54"/>
  <c r="J199" i="54"/>
  <c r="K198" i="54"/>
  <c r="J198" i="54"/>
  <c r="K197" i="54"/>
  <c r="J197" i="54"/>
  <c r="L196" i="54"/>
  <c r="K196" i="54"/>
  <c r="J196" i="54"/>
  <c r="K195" i="54"/>
  <c r="J195" i="54"/>
  <c r="K192" i="54"/>
  <c r="J192" i="54"/>
  <c r="K191" i="54"/>
  <c r="J191" i="54"/>
  <c r="K188" i="54"/>
  <c r="J188" i="54"/>
  <c r="K187" i="54"/>
  <c r="J187" i="54"/>
  <c r="I231" i="54"/>
  <c r="I228" i="54"/>
  <c r="I227" i="54"/>
  <c r="I226" i="54"/>
  <c r="I225" i="54"/>
  <c r="I222" i="54"/>
  <c r="I221" i="54"/>
  <c r="I220" i="54"/>
  <c r="I219" i="54"/>
  <c r="I218" i="54"/>
  <c r="I217" i="54"/>
  <c r="I215" i="54"/>
  <c r="I212" i="54"/>
  <c r="I211" i="54"/>
  <c r="I208" i="54"/>
  <c r="I207" i="54"/>
  <c r="I206" i="54"/>
  <c r="I205" i="54"/>
  <c r="I204" i="54"/>
  <c r="I203" i="54"/>
  <c r="I200" i="54"/>
  <c r="I199" i="54"/>
  <c r="I198" i="54"/>
  <c r="I197" i="54"/>
  <c r="I196" i="54"/>
  <c r="I195" i="54"/>
  <c r="I192" i="54"/>
  <c r="I191" i="54"/>
  <c r="I188" i="54"/>
  <c r="I187" i="54"/>
  <c r="G231" i="54"/>
  <c r="G228" i="54"/>
  <c r="G227" i="54"/>
  <c r="G226" i="54"/>
  <c r="G225" i="54"/>
  <c r="G222" i="54"/>
  <c r="G221" i="54"/>
  <c r="G220" i="54"/>
  <c r="G219" i="54"/>
  <c r="G218" i="54"/>
  <c r="G217" i="54"/>
  <c r="G215" i="54"/>
  <c r="G212" i="54"/>
  <c r="G211" i="54"/>
  <c r="G208" i="54"/>
  <c r="G207" i="54"/>
  <c r="G206" i="54"/>
  <c r="G205" i="54"/>
  <c r="G204" i="54"/>
  <c r="G203" i="54"/>
  <c r="G200" i="54"/>
  <c r="G199" i="54"/>
  <c r="G198" i="54"/>
  <c r="G197" i="54"/>
  <c r="G196" i="54"/>
  <c r="G195" i="54"/>
  <c r="G192" i="54"/>
  <c r="G191" i="54"/>
  <c r="G188" i="54"/>
  <c r="G187" i="54"/>
  <c r="F231" i="54"/>
  <c r="F228" i="54"/>
  <c r="F227" i="54"/>
  <c r="F226" i="54"/>
  <c r="F225" i="54"/>
  <c r="F222" i="54"/>
  <c r="F221" i="54"/>
  <c r="F220" i="54"/>
  <c r="F219" i="54"/>
  <c r="F218" i="54"/>
  <c r="F217" i="54"/>
  <c r="F215" i="54"/>
  <c r="F212" i="54"/>
  <c r="F211" i="54"/>
  <c r="F208" i="54"/>
  <c r="F207" i="54"/>
  <c r="F206" i="54"/>
  <c r="F205" i="54"/>
  <c r="F204" i="54"/>
  <c r="F203" i="54"/>
  <c r="F200" i="54"/>
  <c r="F199" i="54"/>
  <c r="F198" i="54"/>
  <c r="F197" i="54"/>
  <c r="F196" i="54"/>
  <c r="F195" i="54"/>
  <c r="F192" i="54"/>
  <c r="F191" i="54"/>
  <c r="F188" i="54"/>
  <c r="F187" i="54"/>
  <c r="F189" i="54" s="1"/>
  <c r="E231" i="54"/>
  <c r="E228" i="54"/>
  <c r="E227" i="54"/>
  <c r="E226" i="54"/>
  <c r="E225" i="54"/>
  <c r="E222" i="54"/>
  <c r="E221" i="54"/>
  <c r="E220" i="54"/>
  <c r="E219" i="54"/>
  <c r="E218" i="54"/>
  <c r="E217" i="54"/>
  <c r="E215" i="54"/>
  <c r="E212" i="54"/>
  <c r="E211" i="54"/>
  <c r="E208" i="54"/>
  <c r="E207" i="54"/>
  <c r="E206" i="54"/>
  <c r="E205" i="54"/>
  <c r="E204" i="54"/>
  <c r="E203" i="54"/>
  <c r="E200" i="54"/>
  <c r="E199" i="54"/>
  <c r="E198" i="54"/>
  <c r="E197" i="54"/>
  <c r="E196" i="54"/>
  <c r="E195" i="54"/>
  <c r="E192" i="54"/>
  <c r="E191" i="54"/>
  <c r="E193" i="54" s="1"/>
  <c r="E188" i="54"/>
  <c r="E187" i="54"/>
  <c r="D231" i="54"/>
  <c r="D228" i="54"/>
  <c r="D227" i="54"/>
  <c r="D226" i="54"/>
  <c r="D225" i="54"/>
  <c r="D222" i="54"/>
  <c r="D221" i="54"/>
  <c r="D220" i="54"/>
  <c r="D219" i="54"/>
  <c r="D218" i="54"/>
  <c r="D217" i="54"/>
  <c r="D215" i="54"/>
  <c r="D212" i="54"/>
  <c r="D211" i="54"/>
  <c r="D208" i="54"/>
  <c r="D207" i="54"/>
  <c r="D206" i="54"/>
  <c r="D205" i="54"/>
  <c r="D204" i="54"/>
  <c r="D203" i="54"/>
  <c r="D200" i="54"/>
  <c r="D199" i="54"/>
  <c r="D198" i="54"/>
  <c r="D197" i="54"/>
  <c r="D196" i="54"/>
  <c r="D195" i="54"/>
  <c r="D192" i="54"/>
  <c r="D191" i="54"/>
  <c r="D188" i="54"/>
  <c r="D187" i="54"/>
  <c r="C231" i="54"/>
  <c r="C227" i="54"/>
  <c r="C228" i="54"/>
  <c r="C226" i="54"/>
  <c r="C225" i="54"/>
  <c r="D189" i="54" l="1"/>
  <c r="R140" i="54" s="1"/>
  <c r="D193" i="54"/>
  <c r="F193" i="54"/>
  <c r="G189" i="54"/>
  <c r="G201" i="54"/>
  <c r="G209" i="54"/>
  <c r="G213" i="54"/>
  <c r="I193" i="54"/>
  <c r="D223" i="54"/>
  <c r="R164" i="54" s="1"/>
  <c r="E229" i="54"/>
  <c r="E189" i="54"/>
  <c r="E201" i="54"/>
  <c r="E209" i="54"/>
  <c r="E213" i="54"/>
  <c r="I213" i="54"/>
  <c r="K201" i="54"/>
  <c r="F223" i="54"/>
  <c r="K189" i="54"/>
  <c r="K229" i="54"/>
  <c r="N193" i="54"/>
  <c r="J213" i="54"/>
  <c r="K223" i="54"/>
  <c r="C229" i="54"/>
  <c r="D201" i="54"/>
  <c r="D209" i="54"/>
  <c r="F201" i="54"/>
  <c r="F209" i="54"/>
  <c r="I189" i="54"/>
  <c r="I223" i="54"/>
  <c r="J223" i="54"/>
  <c r="J229" i="54"/>
  <c r="N229" i="54"/>
  <c r="D229" i="54"/>
  <c r="R168" i="54" s="1"/>
  <c r="E223" i="54"/>
  <c r="F229" i="54"/>
  <c r="G193" i="54"/>
  <c r="G223" i="54"/>
  <c r="G229" i="54"/>
  <c r="I209" i="54"/>
  <c r="J189" i="54"/>
  <c r="D213" i="54"/>
  <c r="R159" i="54" s="1"/>
  <c r="F213" i="54"/>
  <c r="I229" i="54"/>
  <c r="K193" i="54"/>
  <c r="K213" i="54"/>
  <c r="N223" i="54"/>
  <c r="N201" i="54"/>
  <c r="J209" i="54"/>
  <c r="I201" i="54"/>
  <c r="N213" i="54"/>
  <c r="N209" i="54"/>
  <c r="J201" i="54"/>
  <c r="N189" i="54"/>
  <c r="J193" i="54"/>
  <c r="I233" i="54" l="1"/>
  <c r="D233" i="54"/>
  <c r="E233" i="54"/>
  <c r="K233" i="54"/>
  <c r="G233" i="54"/>
  <c r="R155" i="54"/>
  <c r="F233" i="54"/>
  <c r="N233" i="54"/>
  <c r="J233" i="54"/>
  <c r="C222" i="54"/>
  <c r="C221" i="54"/>
  <c r="C220" i="54"/>
  <c r="C219" i="54"/>
  <c r="C215" i="54"/>
  <c r="C217" i="54"/>
  <c r="C218" i="54"/>
  <c r="C212" i="54"/>
  <c r="C211" i="54"/>
  <c r="C208" i="54"/>
  <c r="C207" i="54"/>
  <c r="C206" i="54"/>
  <c r="C205" i="54"/>
  <c r="C192" i="54"/>
  <c r="C204" i="54"/>
  <c r="C203" i="54"/>
  <c r="C200" i="54"/>
  <c r="C199" i="54"/>
  <c r="C196" i="54"/>
  <c r="C198" i="54"/>
  <c r="C197" i="54"/>
  <c r="C195" i="54"/>
  <c r="C191" i="54"/>
  <c r="C188" i="54"/>
  <c r="C187" i="54"/>
  <c r="N172" i="54"/>
  <c r="K172" i="54"/>
  <c r="J172" i="54"/>
  <c r="N171" i="54"/>
  <c r="K171" i="54"/>
  <c r="J171" i="54"/>
  <c r="I172" i="54"/>
  <c r="I171" i="54"/>
  <c r="G172" i="54"/>
  <c r="F172" i="54"/>
  <c r="E172" i="54"/>
  <c r="D172" i="54"/>
  <c r="G171" i="54"/>
  <c r="G175" i="54" s="1"/>
  <c r="F171" i="54"/>
  <c r="F175" i="54" s="1"/>
  <c r="E171" i="54"/>
  <c r="D171" i="54"/>
  <c r="D175" i="54" s="1"/>
  <c r="R173" i="54" s="1"/>
  <c r="R175" i="54" s="1"/>
  <c r="G169" i="54"/>
  <c r="E169" i="54"/>
  <c r="D169" i="54"/>
  <c r="R167" i="54" s="1"/>
  <c r="R169" i="54" s="1"/>
  <c r="G165" i="54"/>
  <c r="E165" i="54"/>
  <c r="N160" i="54"/>
  <c r="K160" i="54"/>
  <c r="J160" i="54"/>
  <c r="I160" i="54"/>
  <c r="G160" i="54"/>
  <c r="F160" i="54"/>
  <c r="E160" i="54"/>
  <c r="D160" i="54"/>
  <c r="N158" i="54"/>
  <c r="K158" i="54"/>
  <c r="J158" i="54"/>
  <c r="I158" i="54"/>
  <c r="G158" i="54"/>
  <c r="F158" i="54"/>
  <c r="E158" i="54"/>
  <c r="D158" i="54"/>
  <c r="G156" i="54"/>
  <c r="F156" i="54"/>
  <c r="E156" i="54"/>
  <c r="D156" i="54"/>
  <c r="F169" i="54" l="1"/>
  <c r="E175" i="54"/>
  <c r="F165" i="54"/>
  <c r="D165" i="54"/>
  <c r="R158" i="54"/>
  <c r="R160" i="54" s="1"/>
  <c r="N169" i="54"/>
  <c r="I175" i="54"/>
  <c r="C189" i="54"/>
  <c r="C213" i="54"/>
  <c r="C209" i="54"/>
  <c r="C165" i="54"/>
  <c r="I165" i="54"/>
  <c r="J165" i="54"/>
  <c r="C169" i="54"/>
  <c r="J169" i="54"/>
  <c r="C193" i="54"/>
  <c r="N156" i="54"/>
  <c r="C201" i="54"/>
  <c r="C223" i="54"/>
  <c r="K156" i="54"/>
  <c r="N165" i="54"/>
  <c r="C175" i="54"/>
  <c r="J156" i="54"/>
  <c r="I169" i="54"/>
  <c r="K175" i="54"/>
  <c r="I156" i="54"/>
  <c r="K165" i="54"/>
  <c r="K169" i="54"/>
  <c r="J175" i="54"/>
  <c r="N175" i="54"/>
  <c r="R163" i="54" l="1"/>
  <c r="R165" i="54" s="1"/>
  <c r="C233" i="54"/>
  <c r="C156" i="54" l="1"/>
  <c r="N150" i="54"/>
  <c r="K150" i="54"/>
  <c r="J150" i="54"/>
  <c r="N148" i="54"/>
  <c r="K148" i="54"/>
  <c r="J148" i="54"/>
  <c r="N146" i="54"/>
  <c r="K146" i="54"/>
  <c r="J146" i="54"/>
  <c r="N145" i="54"/>
  <c r="K145" i="54"/>
  <c r="J145" i="54"/>
  <c r="I150" i="54"/>
  <c r="I148" i="54"/>
  <c r="I146" i="54"/>
  <c r="I145" i="54"/>
  <c r="G150" i="54"/>
  <c r="F150" i="54"/>
  <c r="E150" i="54"/>
  <c r="D150" i="54"/>
  <c r="G148" i="54"/>
  <c r="F148" i="54"/>
  <c r="E148" i="54"/>
  <c r="D148" i="54"/>
  <c r="G146" i="54"/>
  <c r="F146" i="54"/>
  <c r="E146" i="54"/>
  <c r="D146" i="54"/>
  <c r="G145" i="54"/>
  <c r="G151" i="54" s="1"/>
  <c r="G181" i="54" s="1"/>
  <c r="F145" i="54"/>
  <c r="F151" i="54" s="1"/>
  <c r="F181" i="54" s="1"/>
  <c r="E145" i="54"/>
  <c r="E151" i="54" s="1"/>
  <c r="E181" i="54" s="1"/>
  <c r="D145" i="54"/>
  <c r="C148" i="54"/>
  <c r="C146" i="54"/>
  <c r="C145" i="54"/>
  <c r="D151" i="54" l="1"/>
  <c r="J151" i="54"/>
  <c r="J181" i="54" s="1"/>
  <c r="K141" i="54"/>
  <c r="C151" i="54"/>
  <c r="I151" i="54"/>
  <c r="I181" i="54" s="1"/>
  <c r="N151" i="54"/>
  <c r="N181" i="54" s="1"/>
  <c r="D141" i="54"/>
  <c r="F141" i="54"/>
  <c r="I141" i="54"/>
  <c r="E141" i="54"/>
  <c r="C141" i="54"/>
  <c r="G141" i="54"/>
  <c r="J141" i="54"/>
  <c r="N141" i="54"/>
  <c r="K151" i="54"/>
  <c r="J302" i="17"/>
  <c r="J300" i="17"/>
  <c r="J298" i="17"/>
  <c r="J294" i="17"/>
  <c r="J293" i="17"/>
  <c r="J278" i="17"/>
  <c r="D232" i="17"/>
  <c r="E232" i="17" s="1"/>
  <c r="F232" i="17" s="1"/>
  <c r="G232" i="17" s="1"/>
  <c r="H232" i="17" s="1"/>
  <c r="J232" i="17" s="1"/>
  <c r="K232" i="17" s="1"/>
  <c r="D199" i="17"/>
  <c r="E199" i="17" s="1"/>
  <c r="F199" i="17" s="1"/>
  <c r="G199" i="17" s="1"/>
  <c r="H199" i="17" s="1"/>
  <c r="J199" i="17" s="1"/>
  <c r="K199" i="17" s="1"/>
  <c r="D162" i="17"/>
  <c r="E162" i="17" s="1"/>
  <c r="F162" i="17" s="1"/>
  <c r="G162" i="17" s="1"/>
  <c r="H162" i="17" s="1"/>
  <c r="J162" i="17" s="1"/>
  <c r="K162" i="17" s="1"/>
  <c r="C225" i="17"/>
  <c r="C196" i="17"/>
  <c r="D134" i="17"/>
  <c r="E134" i="17" s="1"/>
  <c r="F134" i="17" s="1"/>
  <c r="G134" i="17" s="1"/>
  <c r="H134" i="17" s="1"/>
  <c r="J134" i="17" s="1"/>
  <c r="K134" i="17" s="1"/>
  <c r="A97" i="17"/>
  <c r="A95" i="17"/>
  <c r="A94" i="17"/>
  <c r="K181" i="54" l="1"/>
  <c r="K235" i="54" s="1"/>
  <c r="R154" i="54"/>
  <c r="R156" i="54" s="1"/>
  <c r="D181" i="54"/>
  <c r="C181" i="54"/>
  <c r="R139" i="54"/>
  <c r="R141" i="54" s="1"/>
  <c r="R182" i="54" s="1"/>
  <c r="I235" i="54"/>
  <c r="J235" i="54"/>
  <c r="N235" i="54"/>
  <c r="A308" i="17"/>
  <c r="D273" i="17"/>
  <c r="E273" i="17" s="1"/>
  <c r="F273" i="17" s="1"/>
  <c r="G273" i="17" s="1"/>
  <c r="H273" i="17" s="1"/>
  <c r="I273" i="17" s="1"/>
  <c r="J273" i="17" s="1"/>
  <c r="K273" i="17" s="1"/>
  <c r="I300" i="17"/>
  <c r="I298" i="17"/>
  <c r="I296" i="17"/>
  <c r="I278" i="17"/>
  <c r="A302" i="17"/>
  <c r="A300" i="17"/>
  <c r="A298" i="17"/>
  <c r="A296" i="17"/>
  <c r="A294" i="17"/>
  <c r="A293" i="17"/>
  <c r="A292" i="17"/>
  <c r="A290" i="17"/>
  <c r="A289" i="17"/>
  <c r="A288" i="17"/>
  <c r="A284" i="17"/>
  <c r="A280" i="17"/>
  <c r="A278" i="17"/>
  <c r="A276" i="17"/>
  <c r="K205" i="17"/>
  <c r="K221" i="17"/>
  <c r="K218" i="17"/>
  <c r="K215" i="17"/>
  <c r="K212" i="17"/>
  <c r="K209" i="17"/>
  <c r="K204" i="17"/>
  <c r="K203" i="17"/>
  <c r="K202" i="17"/>
  <c r="K137" i="17"/>
  <c r="K142" i="17"/>
  <c r="K141" i="17"/>
  <c r="K140" i="17"/>
  <c r="K139" i="17"/>
  <c r="K138" i="17"/>
  <c r="K196" i="17"/>
  <c r="K225" i="17" l="1"/>
  <c r="K159" i="17"/>
  <c r="A110" i="17" l="1"/>
  <c r="A267" i="17" s="1"/>
  <c r="A103" i="17"/>
  <c r="A261" i="17" s="1"/>
  <c r="A101" i="17"/>
  <c r="A259" i="17" s="1"/>
  <c r="A99" i="17"/>
  <c r="A257" i="17" s="1"/>
  <c r="A255" i="17"/>
  <c r="A253" i="17"/>
  <c r="A252" i="17"/>
  <c r="A93" i="17"/>
  <c r="A91" i="17"/>
  <c r="A249" i="17" s="1"/>
  <c r="A90" i="17"/>
  <c r="A248" i="17" s="1"/>
  <c r="A89" i="17"/>
  <c r="A247" i="17" s="1"/>
  <c r="A85" i="17"/>
  <c r="A243" i="17" s="1"/>
  <c r="A81" i="17"/>
  <c r="A239" i="17" s="1"/>
  <c r="A79" i="17"/>
  <c r="A237" i="17" s="1"/>
  <c r="A77" i="17"/>
  <c r="A235" i="17" s="1"/>
  <c r="D74" i="17"/>
  <c r="C74" i="17"/>
  <c r="D73" i="17"/>
  <c r="E75" i="17" s="1"/>
  <c r="E73" i="17" l="1"/>
  <c r="F73" i="17" s="1"/>
  <c r="G75" i="17" l="1"/>
  <c r="G73" i="17"/>
  <c r="H73" i="17" l="1"/>
  <c r="I73" i="17" s="1"/>
  <c r="H75" i="17"/>
  <c r="J75" i="17" l="1"/>
  <c r="J73" i="17"/>
  <c r="K73" i="17" s="1"/>
  <c r="K75" i="17" l="1"/>
  <c r="C95" i="28" l="1"/>
  <c r="C98" i="28"/>
  <c r="C96" i="28"/>
  <c r="C81" i="27"/>
  <c r="C78" i="27"/>
  <c r="G81" i="27" l="1"/>
  <c r="G78" i="27"/>
  <c r="E120" i="57" l="1"/>
  <c r="E119" i="57"/>
  <c r="E118" i="57"/>
  <c r="E117" i="57"/>
  <c r="E116" i="57"/>
  <c r="E115" i="57"/>
  <c r="E114" i="57"/>
  <c r="E113" i="57"/>
  <c r="E112" i="57"/>
  <c r="E111" i="57"/>
  <c r="E110" i="57"/>
  <c r="E109" i="57"/>
  <c r="E108" i="57"/>
  <c r="E107" i="57"/>
  <c r="E106" i="57"/>
  <c r="E105" i="57"/>
  <c r="E104" i="57"/>
  <c r="E103" i="57"/>
  <c r="E102" i="57"/>
  <c r="E101" i="57"/>
  <c r="E100" i="57"/>
  <c r="E99" i="57"/>
  <c r="E98" i="57"/>
  <c r="E97" i="57"/>
  <c r="E96" i="57"/>
  <c r="E95" i="57"/>
  <c r="E94" i="57"/>
  <c r="E93" i="57"/>
  <c r="E92" i="57"/>
  <c r="E91" i="57"/>
  <c r="E90" i="57"/>
  <c r="E89" i="57"/>
  <c r="E88" i="57"/>
  <c r="E87" i="57"/>
  <c r="E86" i="57"/>
  <c r="E85" i="57"/>
  <c r="E84" i="57"/>
  <c r="E83" i="57"/>
  <c r="E82" i="57"/>
  <c r="E81" i="57"/>
  <c r="E80" i="57"/>
  <c r="E79" i="57"/>
  <c r="E78" i="57"/>
  <c r="E77" i="57"/>
  <c r="E76" i="57"/>
  <c r="E75" i="57"/>
  <c r="E74" i="57"/>
  <c r="E73" i="57"/>
  <c r="E72" i="57"/>
  <c r="E71" i="57"/>
  <c r="E70" i="57"/>
  <c r="E69" i="57"/>
  <c r="E68" i="57"/>
  <c r="E67" i="57"/>
  <c r="E66" i="57"/>
  <c r="E65"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9" i="57"/>
  <c r="E28" i="57"/>
  <c r="E27" i="57"/>
  <c r="E26" i="57"/>
  <c r="E25" i="57"/>
  <c r="E24" i="57"/>
  <c r="E23" i="57"/>
  <c r="E22" i="57"/>
  <c r="E21" i="57"/>
  <c r="E20" i="57"/>
  <c r="E19" i="57"/>
  <c r="E18" i="57"/>
  <c r="E17" i="57"/>
  <c r="B137" i="57" l="1"/>
  <c r="B136" i="57"/>
  <c r="B138" i="57"/>
  <c r="B140" i="57" l="1"/>
  <c r="G7" i="57" s="1"/>
  <c r="G8" i="57" l="1"/>
  <c r="C83" i="57" s="1"/>
  <c r="C19" i="57" l="1"/>
  <c r="M19" i="57" s="1"/>
  <c r="C130" i="57"/>
  <c r="F83" i="57"/>
  <c r="M83" i="57"/>
  <c r="C21" i="57"/>
  <c r="C34" i="57"/>
  <c r="C106" i="57"/>
  <c r="C45" i="57"/>
  <c r="C104" i="57"/>
  <c r="C84" i="57"/>
  <c r="C67" i="57"/>
  <c r="C101" i="57"/>
  <c r="C98" i="57"/>
  <c r="C59" i="57"/>
  <c r="C88" i="57"/>
  <c r="C109" i="57"/>
  <c r="C74" i="57"/>
  <c r="C100" i="57"/>
  <c r="C85" i="57"/>
  <c r="C68" i="57"/>
  <c r="C91" i="57"/>
  <c r="C18" i="57"/>
  <c r="C82" i="57"/>
  <c r="C52" i="57"/>
  <c r="C29" i="57"/>
  <c r="C93" i="57"/>
  <c r="C56" i="57"/>
  <c r="C111" i="57"/>
  <c r="C23" i="57"/>
  <c r="C57" i="57"/>
  <c r="C38" i="57"/>
  <c r="C92" i="57"/>
  <c r="C42" i="57"/>
  <c r="C72" i="57"/>
  <c r="C69" i="57"/>
  <c r="C40" i="57"/>
  <c r="C27" i="57"/>
  <c r="C87" i="57"/>
  <c r="C66" i="57"/>
  <c r="C20" i="57"/>
  <c r="C10" i="57"/>
  <c r="C77" i="57"/>
  <c r="C24" i="57"/>
  <c r="C47" i="57"/>
  <c r="C99" i="57"/>
  <c r="C76" i="57"/>
  <c r="C58" i="57"/>
  <c r="C75" i="57"/>
  <c r="C14" i="57"/>
  <c r="C26" i="57"/>
  <c r="C122" i="57"/>
  <c r="M122" i="57" s="1"/>
  <c r="C37" i="57"/>
  <c r="C9" i="57"/>
  <c r="C13" i="57"/>
  <c r="C119" i="57"/>
  <c r="C50" i="57"/>
  <c r="C114" i="57"/>
  <c r="C116" i="57"/>
  <c r="C61" i="57"/>
  <c r="C126" i="57"/>
  <c r="C120" i="57"/>
  <c r="C123" i="57"/>
  <c r="M123" i="57" s="1"/>
  <c r="C62" i="57"/>
  <c r="C43" i="57"/>
  <c r="C113" i="57"/>
  <c r="C39" i="57"/>
  <c r="C46" i="57"/>
  <c r="C128" i="57"/>
  <c r="M128" i="57" s="1"/>
  <c r="C41" i="57"/>
  <c r="C121" i="57"/>
  <c r="C31" i="57"/>
  <c r="C55" i="57"/>
  <c r="C22" i="57"/>
  <c r="C60" i="57"/>
  <c r="C97" i="57"/>
  <c r="C35" i="57"/>
  <c r="C30" i="57"/>
  <c r="C110" i="57"/>
  <c r="C7" i="57"/>
  <c r="C105" i="57"/>
  <c r="C112" i="57"/>
  <c r="C115" i="57"/>
  <c r="C53" i="57"/>
  <c r="C102" i="57"/>
  <c r="C49" i="57"/>
  <c r="C96" i="57"/>
  <c r="C103" i="57"/>
  <c r="C94" i="57"/>
  <c r="C108" i="57"/>
  <c r="C73" i="57"/>
  <c r="C80" i="57"/>
  <c r="C107" i="57"/>
  <c r="C4" i="57"/>
  <c r="M4" i="57" s="1"/>
  <c r="C86" i="57"/>
  <c r="C33" i="57"/>
  <c r="C64" i="57"/>
  <c r="F19" i="57"/>
  <c r="C78" i="57"/>
  <c r="C44" i="57"/>
  <c r="C25" i="57"/>
  <c r="C89" i="57"/>
  <c r="C48" i="57"/>
  <c r="C95" i="57"/>
  <c r="C51" i="57"/>
  <c r="C90" i="57"/>
  <c r="C117" i="57"/>
  <c r="C54" i="57"/>
  <c r="C118" i="57"/>
  <c r="C125" i="57"/>
  <c r="C65" i="57"/>
  <c r="C134" i="57"/>
  <c r="C132" i="57"/>
  <c r="C5" i="57"/>
  <c r="M5" i="57" s="1"/>
  <c r="C11" i="57"/>
  <c r="C71" i="57"/>
  <c r="C36" i="57"/>
  <c r="C79" i="57"/>
  <c r="C70" i="57"/>
  <c r="C28" i="57"/>
  <c r="C17" i="57"/>
  <c r="M17" i="57" s="1"/>
  <c r="C81" i="57"/>
  <c r="C32" i="57"/>
  <c r="C63" i="57"/>
  <c r="M130" i="57" l="1"/>
  <c r="F63" i="57"/>
  <c r="M63" i="57"/>
  <c r="F81" i="57"/>
  <c r="M81" i="57"/>
  <c r="F79" i="57"/>
  <c r="M79" i="57"/>
  <c r="M125" i="57"/>
  <c r="F90" i="57"/>
  <c r="M90" i="57"/>
  <c r="F89" i="57"/>
  <c r="M89" i="57"/>
  <c r="F108" i="57"/>
  <c r="M108" i="57"/>
  <c r="F49" i="57"/>
  <c r="M49" i="57"/>
  <c r="F112" i="57"/>
  <c r="M112" i="57"/>
  <c r="F30" i="57"/>
  <c r="M30" i="57"/>
  <c r="F22" i="57"/>
  <c r="M22" i="57"/>
  <c r="F41" i="57"/>
  <c r="M41" i="57"/>
  <c r="F113" i="57"/>
  <c r="M113" i="57"/>
  <c r="F120" i="57"/>
  <c r="M120" i="57"/>
  <c r="F114" i="57"/>
  <c r="M114" i="57"/>
  <c r="M14" i="57"/>
  <c r="F99" i="57"/>
  <c r="M99" i="57"/>
  <c r="F27" i="57"/>
  <c r="M27" i="57"/>
  <c r="F42" i="57"/>
  <c r="M42" i="57"/>
  <c r="F23" i="57"/>
  <c r="M23" i="57"/>
  <c r="F29" i="57"/>
  <c r="M29" i="57"/>
  <c r="F91" i="57"/>
  <c r="M91" i="57"/>
  <c r="F74" i="57"/>
  <c r="M74" i="57"/>
  <c r="F98" i="57"/>
  <c r="M98" i="57"/>
  <c r="F104" i="57"/>
  <c r="M104" i="57"/>
  <c r="F21" i="57"/>
  <c r="M21" i="57"/>
  <c r="F32" i="57"/>
  <c r="M32" i="57"/>
  <c r="F70" i="57"/>
  <c r="M70" i="57"/>
  <c r="F65" i="57"/>
  <c r="M65" i="57"/>
  <c r="F117" i="57"/>
  <c r="M117" i="57"/>
  <c r="F48" i="57"/>
  <c r="M48" i="57"/>
  <c r="F78" i="57"/>
  <c r="M78" i="57"/>
  <c r="F86" i="57"/>
  <c r="M86" i="57"/>
  <c r="F73" i="57"/>
  <c r="M73" i="57"/>
  <c r="F96" i="57"/>
  <c r="M96" i="57"/>
  <c r="F115" i="57"/>
  <c r="M115" i="57"/>
  <c r="F110" i="57"/>
  <c r="M110" i="57"/>
  <c r="F60" i="57"/>
  <c r="M60" i="57"/>
  <c r="F39" i="57"/>
  <c r="M39" i="57"/>
  <c r="F116" i="57"/>
  <c r="M116" i="57"/>
  <c r="M13" i="57"/>
  <c r="F26" i="57"/>
  <c r="M26" i="57"/>
  <c r="F76" i="57"/>
  <c r="M76" i="57"/>
  <c r="F77" i="57"/>
  <c r="M77" i="57"/>
  <c r="F87" i="57"/>
  <c r="M87" i="57"/>
  <c r="F72" i="57"/>
  <c r="M72" i="57"/>
  <c r="F57" i="57"/>
  <c r="M57" i="57"/>
  <c r="F93" i="57"/>
  <c r="M93" i="57"/>
  <c r="F18" i="57"/>
  <c r="M18" i="57"/>
  <c r="F100" i="57"/>
  <c r="M100" i="57"/>
  <c r="F59" i="57"/>
  <c r="M59" i="57"/>
  <c r="F84" i="57"/>
  <c r="M84" i="57"/>
  <c r="F34" i="57"/>
  <c r="M34" i="57"/>
  <c r="F28" i="57"/>
  <c r="M28" i="57"/>
  <c r="F71" i="57"/>
  <c r="M71" i="57"/>
  <c r="M134" i="57"/>
  <c r="F54" i="57"/>
  <c r="M54" i="57"/>
  <c r="F95" i="57"/>
  <c r="M95" i="57"/>
  <c r="F44" i="57"/>
  <c r="M44" i="57"/>
  <c r="F33" i="57"/>
  <c r="M33" i="57"/>
  <c r="F80" i="57"/>
  <c r="M80" i="57"/>
  <c r="F103" i="57"/>
  <c r="M103" i="57"/>
  <c r="F53" i="57"/>
  <c r="M53" i="57"/>
  <c r="M7" i="57"/>
  <c r="F97" i="57"/>
  <c r="M97" i="57"/>
  <c r="F31" i="57"/>
  <c r="M31" i="57"/>
  <c r="F46" i="57"/>
  <c r="M46" i="57"/>
  <c r="F62" i="57"/>
  <c r="M62" i="57"/>
  <c r="F61" i="57"/>
  <c r="M61" i="57"/>
  <c r="F119" i="57"/>
  <c r="M119" i="57"/>
  <c r="F58" i="57"/>
  <c r="M58" i="57"/>
  <c r="F24" i="57"/>
  <c r="M24" i="57"/>
  <c r="F66" i="57"/>
  <c r="M66" i="57"/>
  <c r="F69" i="57"/>
  <c r="M69" i="57"/>
  <c r="F38" i="57"/>
  <c r="M38" i="57"/>
  <c r="F56" i="57"/>
  <c r="M56" i="57"/>
  <c r="F82" i="57"/>
  <c r="M82" i="57"/>
  <c r="F85" i="57"/>
  <c r="M85" i="57"/>
  <c r="F88" i="57"/>
  <c r="M88" i="57"/>
  <c r="F67" i="57"/>
  <c r="M67" i="57"/>
  <c r="F106" i="57"/>
  <c r="M106" i="57"/>
  <c r="F36" i="57"/>
  <c r="M36" i="57"/>
  <c r="M132" i="57"/>
  <c r="F118" i="57"/>
  <c r="M118" i="57"/>
  <c r="F51" i="57"/>
  <c r="M51" i="57"/>
  <c r="F25" i="57"/>
  <c r="M25" i="57"/>
  <c r="F64" i="57"/>
  <c r="M64" i="57"/>
  <c r="F107" i="57"/>
  <c r="M107" i="57"/>
  <c r="F94" i="57"/>
  <c r="M94" i="57"/>
  <c r="F102" i="57"/>
  <c r="M102" i="57"/>
  <c r="F105" i="57"/>
  <c r="M105" i="57"/>
  <c r="F35" i="57"/>
  <c r="M35" i="57"/>
  <c r="F55" i="57"/>
  <c r="M55" i="57"/>
  <c r="F43" i="57"/>
  <c r="M43" i="57"/>
  <c r="M126" i="57"/>
  <c r="F50" i="57"/>
  <c r="M50" i="57"/>
  <c r="F37" i="57"/>
  <c r="M37" i="57"/>
  <c r="F75" i="57"/>
  <c r="M75" i="57"/>
  <c r="F47" i="57"/>
  <c r="M47" i="57"/>
  <c r="F20" i="57"/>
  <c r="M20" i="57"/>
  <c r="F40" i="57"/>
  <c r="M40" i="57"/>
  <c r="F92" i="57"/>
  <c r="M92" i="57"/>
  <c r="F111" i="57"/>
  <c r="M111" i="57"/>
  <c r="F52" i="57"/>
  <c r="M52" i="57"/>
  <c r="F68" i="57"/>
  <c r="M68" i="57"/>
  <c r="F109" i="57"/>
  <c r="M109" i="57"/>
  <c r="F101" i="57"/>
  <c r="M101" i="57"/>
  <c r="F45" i="57"/>
  <c r="M45" i="57"/>
  <c r="F17" i="57"/>
  <c r="C140" i="57"/>
  <c r="M140" i="57" l="1"/>
  <c r="C136" i="57"/>
  <c r="M136" i="57" s="1"/>
  <c r="C138" i="57"/>
  <c r="M138" i="57" s="1"/>
  <c r="C137" i="57"/>
  <c r="M137" i="57" s="1"/>
  <c r="N118" i="54" l="1"/>
  <c r="N122" i="54"/>
  <c r="N117" i="54"/>
  <c r="N113" i="54"/>
  <c r="N121" i="54"/>
  <c r="N115" i="54"/>
  <c r="N112" i="54"/>
  <c r="N108" i="54"/>
  <c r="N116" i="54"/>
  <c r="N124" i="54" l="1"/>
  <c r="N126" i="54" s="1"/>
  <c r="G121" i="54"/>
  <c r="G118" i="54"/>
  <c r="G117" i="54"/>
  <c r="G116" i="54"/>
  <c r="F116" i="54"/>
  <c r="E116" i="54"/>
  <c r="G115" i="54"/>
  <c r="G113" i="54"/>
  <c r="G112" i="54"/>
  <c r="F112" i="54"/>
  <c r="E112" i="54"/>
  <c r="G108" i="54"/>
  <c r="F108" i="54"/>
  <c r="E108" i="54"/>
  <c r="G82" i="54"/>
  <c r="G70" i="54"/>
  <c r="K122" i="54"/>
  <c r="J122" i="54"/>
  <c r="G66" i="54"/>
  <c r="F122" i="54"/>
  <c r="D122" i="54"/>
  <c r="C122" i="54"/>
  <c r="G62" i="54"/>
  <c r="K117" i="54"/>
  <c r="J117" i="54"/>
  <c r="F117" i="54"/>
  <c r="C117" i="54"/>
  <c r="G25" i="54"/>
  <c r="K112" i="54"/>
  <c r="C112" i="54"/>
  <c r="G101" i="54" l="1"/>
  <c r="V6" i="17"/>
  <c r="L218" i="54"/>
  <c r="E66" i="54"/>
  <c r="F66" i="54"/>
  <c r="D66" i="54"/>
  <c r="C66" i="54"/>
  <c r="G122" i="54"/>
  <c r="W44" i="17"/>
  <c r="C108" i="54"/>
  <c r="L225" i="54"/>
  <c r="L197" i="54"/>
  <c r="L206" i="54"/>
  <c r="L198" i="54"/>
  <c r="L172" i="54"/>
  <c r="L187" i="54"/>
  <c r="L145" i="54"/>
  <c r="L204" i="54"/>
  <c r="L226" i="54"/>
  <c r="L174" i="54"/>
  <c r="L212" i="54"/>
  <c r="L154" i="54"/>
  <c r="L155" i="54"/>
  <c r="E122" i="54"/>
  <c r="L231" i="54"/>
  <c r="L220" i="54"/>
  <c r="L208" i="54"/>
  <c r="L227" i="54"/>
  <c r="L158" i="54"/>
  <c r="L217" i="54"/>
  <c r="L163" i="54"/>
  <c r="L219" i="54"/>
  <c r="L150" i="54"/>
  <c r="L203" i="54"/>
  <c r="W19" i="17"/>
  <c r="Y44" i="17"/>
  <c r="Y18" i="17"/>
  <c r="W18" i="17"/>
  <c r="Y19" i="17"/>
  <c r="J108" i="54"/>
  <c r="V19" i="17"/>
  <c r="V35" i="17"/>
  <c r="X35" i="17"/>
  <c r="F62" i="54"/>
  <c r="L162" i="54"/>
  <c r="C70" i="54"/>
  <c r="L221" i="54"/>
  <c r="J112" i="54"/>
  <c r="C116" i="54"/>
  <c r="C62" i="54"/>
  <c r="E117" i="54"/>
  <c r="I118" i="54"/>
  <c r="I116" i="54"/>
  <c r="I117" i="54"/>
  <c r="I122" i="54"/>
  <c r="E113" i="54"/>
  <c r="K115" i="54"/>
  <c r="J113" i="54"/>
  <c r="C113" i="54"/>
  <c r="L160" i="54"/>
  <c r="D108" i="54"/>
  <c r="C121" i="54"/>
  <c r="F113" i="54"/>
  <c r="C82" i="54"/>
  <c r="I112" i="54"/>
  <c r="I113" i="54"/>
  <c r="C115" i="54"/>
  <c r="K121" i="54"/>
  <c r="I108" i="54"/>
  <c r="D113" i="54"/>
  <c r="F118" i="54"/>
  <c r="J118" i="54"/>
  <c r="J121" i="54"/>
  <c r="J115" i="54"/>
  <c r="D82" i="54"/>
  <c r="F115" i="54"/>
  <c r="K118" i="54"/>
  <c r="D117" i="54"/>
  <c r="D112" i="54"/>
  <c r="K108" i="54"/>
  <c r="J116" i="54"/>
  <c r="F121" i="54"/>
  <c r="I121" i="54"/>
  <c r="E62" i="54"/>
  <c r="D70" i="54"/>
  <c r="F82" i="54"/>
  <c r="D116" i="54"/>
  <c r="D118" i="54"/>
  <c r="E121" i="54"/>
  <c r="C101" i="54"/>
  <c r="K116" i="54"/>
  <c r="L211" i="54"/>
  <c r="I115" i="54"/>
  <c r="L188" i="54"/>
  <c r="K113" i="54"/>
  <c r="L215" i="54"/>
  <c r="D62" i="54"/>
  <c r="F70" i="54"/>
  <c r="E82" i="54"/>
  <c r="L171" i="54"/>
  <c r="C118" i="54"/>
  <c r="D115" i="54"/>
  <c r="E70" i="54"/>
  <c r="D121" i="54"/>
  <c r="E115" i="54"/>
  <c r="E118" i="54"/>
  <c r="F101" i="54" l="1"/>
  <c r="E101" i="54"/>
  <c r="C124" i="54"/>
  <c r="E124" i="54"/>
  <c r="D101" i="54"/>
  <c r="F124" i="54"/>
  <c r="K124" i="54"/>
  <c r="K126" i="54" s="1"/>
  <c r="J124" i="54"/>
  <c r="J126" i="54" s="1"/>
  <c r="X6" i="17"/>
  <c r="D124" i="54"/>
  <c r="I124" i="54"/>
  <c r="I126" i="54" s="1"/>
  <c r="G124" i="54"/>
  <c r="G126" i="54" s="1"/>
  <c r="L213" i="54"/>
  <c r="L228" i="54"/>
  <c r="L229" i="54" s="1"/>
  <c r="L223" i="54"/>
  <c r="L175" i="54"/>
  <c r="L200" i="54"/>
  <c r="L207" i="54"/>
  <c r="L199" i="54"/>
  <c r="M205" i="54"/>
  <c r="L205" i="54"/>
  <c r="L195" i="54"/>
  <c r="L189" i="54"/>
  <c r="M192" i="54"/>
  <c r="L192" i="54"/>
  <c r="L165" i="54"/>
  <c r="M148" i="54"/>
  <c r="L148" i="54"/>
  <c r="L156" i="54"/>
  <c r="L146" i="54"/>
  <c r="L139" i="54"/>
  <c r="L169" i="54"/>
  <c r="M163" i="54"/>
  <c r="O163" i="54" s="1"/>
  <c r="M227" i="54"/>
  <c r="L117" i="54"/>
  <c r="X26" i="17"/>
  <c r="O227" i="54"/>
  <c r="V24" i="17"/>
  <c r="O205" i="54"/>
  <c r="V26" i="17"/>
  <c r="X5" i="17"/>
  <c r="Y5" i="17"/>
  <c r="Y32" i="17"/>
  <c r="Y26" i="17"/>
  <c r="W24" i="17"/>
  <c r="W13" i="17"/>
  <c r="Y24" i="17"/>
  <c r="V14" i="17"/>
  <c r="X14" i="17"/>
  <c r="X19" i="17"/>
  <c r="V18" i="17"/>
  <c r="M220" i="54"/>
  <c r="W5" i="17"/>
  <c r="W14" i="17"/>
  <c r="Y14" i="17"/>
  <c r="X24" i="17"/>
  <c r="Y13" i="17"/>
  <c r="X18" i="17"/>
  <c r="X13" i="17"/>
  <c r="V13" i="17"/>
  <c r="W26" i="17"/>
  <c r="W32" i="17"/>
  <c r="M228" i="54"/>
  <c r="Y30" i="17"/>
  <c r="W30" i="17"/>
  <c r="V5" i="17"/>
  <c r="L108" i="54"/>
  <c r="M204" i="54"/>
  <c r="L115" i="54"/>
  <c r="L122" i="54"/>
  <c r="L113" i="54"/>
  <c r="M211" i="54"/>
  <c r="L116" i="54"/>
  <c r="L118" i="54"/>
  <c r="O148" i="54" l="1"/>
  <c r="L201" i="54"/>
  <c r="O204" i="54"/>
  <c r="O226" i="54"/>
  <c r="M226" i="54"/>
  <c r="O192" i="54"/>
  <c r="O221" i="54"/>
  <c r="M221" i="54"/>
  <c r="O219" i="54"/>
  <c r="M219" i="54"/>
  <c r="O208" i="54"/>
  <c r="M208" i="54"/>
  <c r="M215" i="54"/>
  <c r="O200" i="54"/>
  <c r="M200" i="54"/>
  <c r="O196" i="54"/>
  <c r="M196" i="54"/>
  <c r="O198" i="54"/>
  <c r="M198" i="54"/>
  <c r="L209" i="54"/>
  <c r="O207" i="54"/>
  <c r="M207" i="54"/>
  <c r="O199" i="54"/>
  <c r="M199" i="54"/>
  <c r="O206" i="54"/>
  <c r="M206" i="54"/>
  <c r="O197" i="54"/>
  <c r="M197" i="54"/>
  <c r="M195" i="54"/>
  <c r="O212" i="54"/>
  <c r="M212" i="54"/>
  <c r="M213" i="54" s="1"/>
  <c r="O217" i="54"/>
  <c r="M217" i="54"/>
  <c r="O225" i="54"/>
  <c r="M225" i="54"/>
  <c r="O218" i="54"/>
  <c r="M218" i="54"/>
  <c r="O203" i="54"/>
  <c r="M203" i="54"/>
  <c r="M191" i="54"/>
  <c r="M193" i="54" s="1"/>
  <c r="L191" i="54"/>
  <c r="L193" i="54" s="1"/>
  <c r="O188" i="54"/>
  <c r="M188" i="54"/>
  <c r="O187" i="54"/>
  <c r="M187" i="54"/>
  <c r="M122" i="54"/>
  <c r="M231" i="54"/>
  <c r="L151" i="54"/>
  <c r="L181" i="54" s="1"/>
  <c r="L141" i="54"/>
  <c r="M154" i="54"/>
  <c r="O154" i="54" s="1"/>
  <c r="W122" i="54"/>
  <c r="M174" i="54"/>
  <c r="O174" i="54" s="1"/>
  <c r="M162" i="54"/>
  <c r="O162" i="54" s="1"/>
  <c r="M145" i="54"/>
  <c r="O145" i="54" s="1"/>
  <c r="M172" i="54"/>
  <c r="O172" i="54" s="1"/>
  <c r="M160" i="54"/>
  <c r="O160" i="54" s="1"/>
  <c r="M171" i="54"/>
  <c r="O171" i="54" s="1"/>
  <c r="M158" i="54"/>
  <c r="O158" i="54" s="1"/>
  <c r="U122" i="54"/>
  <c r="M155" i="54"/>
  <c r="O155" i="54" s="1"/>
  <c r="M146" i="54"/>
  <c r="O146" i="54" s="1"/>
  <c r="M139" i="54"/>
  <c r="O139" i="54" s="1"/>
  <c r="M153" i="54"/>
  <c r="O153" i="54" s="1"/>
  <c r="M150" i="54"/>
  <c r="O150" i="54" s="1"/>
  <c r="W66" i="54"/>
  <c r="U112" i="54"/>
  <c r="U115" i="54"/>
  <c r="M117" i="54"/>
  <c r="M116" i="54"/>
  <c r="U117" i="54"/>
  <c r="U108" i="54"/>
  <c r="M118" i="54"/>
  <c r="U113" i="54"/>
  <c r="C126" i="54"/>
  <c r="O220" i="54"/>
  <c r="U118" i="54"/>
  <c r="M112" i="54"/>
  <c r="U121" i="54"/>
  <c r="M108" i="54"/>
  <c r="M115" i="54"/>
  <c r="L112" i="54"/>
  <c r="L124" i="54" s="1"/>
  <c r="U116" i="54"/>
  <c r="F126" i="54"/>
  <c r="E126" i="54"/>
  <c r="M113" i="54"/>
  <c r="D126" i="54"/>
  <c r="Q158" i="54" l="1"/>
  <c r="M124" i="54"/>
  <c r="L233" i="54"/>
  <c r="O228" i="54"/>
  <c r="O229" i="54" s="1"/>
  <c r="Q168" i="54" s="1"/>
  <c r="M229" i="54"/>
  <c r="O117" i="54"/>
  <c r="Z19" i="17" s="1"/>
  <c r="O215" i="54"/>
  <c r="O223" i="54"/>
  <c r="Q164" i="54" s="1"/>
  <c r="M209" i="54"/>
  <c r="M201" i="54"/>
  <c r="O209" i="54"/>
  <c r="M223" i="54"/>
  <c r="O116" i="54"/>
  <c r="Z18" i="17" s="1"/>
  <c r="O211" i="54"/>
  <c r="O213" i="54" s="1"/>
  <c r="O115" i="54"/>
  <c r="Z14" i="17" s="1"/>
  <c r="O113" i="54"/>
  <c r="Z13" i="17" s="1"/>
  <c r="O195" i="54"/>
  <c r="O201" i="54" s="1"/>
  <c r="Q155" i="54" s="1"/>
  <c r="O191" i="54"/>
  <c r="O193" i="54" s="1"/>
  <c r="O189" i="54"/>
  <c r="Q140" i="54" s="1"/>
  <c r="M189" i="54"/>
  <c r="AA13" i="17"/>
  <c r="O108" i="54"/>
  <c r="Z5" i="17" s="1"/>
  <c r="O122" i="54"/>
  <c r="Z35" i="17" s="1"/>
  <c r="J296" i="17" s="1"/>
  <c r="O231" i="54"/>
  <c r="AA19" i="17"/>
  <c r="W112" i="54"/>
  <c r="W116" i="54"/>
  <c r="W113" i="54"/>
  <c r="AA32" i="17"/>
  <c r="I294" i="17" s="1"/>
  <c r="W70" i="54"/>
  <c r="AA24" i="17" s="1"/>
  <c r="I289" i="17" s="1"/>
  <c r="W108" i="54"/>
  <c r="O151" i="54"/>
  <c r="O141" i="54"/>
  <c r="Q139" i="54" s="1"/>
  <c r="W62" i="54"/>
  <c r="M141" i="54"/>
  <c r="W82" i="54"/>
  <c r="AA30" i="17" s="1"/>
  <c r="I293" i="17" s="1"/>
  <c r="W117" i="54"/>
  <c r="AA18" i="17"/>
  <c r="M156" i="54"/>
  <c r="O165" i="54"/>
  <c r="Q163" i="54" s="1"/>
  <c r="AA44" i="17"/>
  <c r="I302" i="17" s="1"/>
  <c r="M165" i="54"/>
  <c r="W118" i="54"/>
  <c r="O175" i="54"/>
  <c r="Q173" i="54" s="1"/>
  <c r="Q175" i="54" s="1"/>
  <c r="O169" i="54"/>
  <c r="Q167" i="54" s="1"/>
  <c r="W115" i="54"/>
  <c r="M175" i="54"/>
  <c r="M151" i="54"/>
  <c r="M181" i="54" s="1"/>
  <c r="M169" i="54"/>
  <c r="W121" i="54"/>
  <c r="O112" i="54"/>
  <c r="O121" i="54"/>
  <c r="O118" i="54"/>
  <c r="Z26" i="17" s="1"/>
  <c r="J290" i="17" s="1"/>
  <c r="U124" i="54"/>
  <c r="O181" i="54" l="1"/>
  <c r="Q159" i="54"/>
  <c r="Q160" i="54" s="1"/>
  <c r="Q141" i="54"/>
  <c r="W101" i="54"/>
  <c r="W124" i="54"/>
  <c r="Z6" i="17"/>
  <c r="J276" i="17" s="1"/>
  <c r="O124" i="54"/>
  <c r="O126" i="54" s="1"/>
  <c r="I284" i="17"/>
  <c r="AA26" i="17"/>
  <c r="I290" i="17" s="1"/>
  <c r="Y62" i="54"/>
  <c r="L235" i="54"/>
  <c r="Q169" i="54"/>
  <c r="J284" i="17"/>
  <c r="AA5" i="17"/>
  <c r="I276" i="17" s="1"/>
  <c r="Q165" i="54"/>
  <c r="M233" i="54"/>
  <c r="O233" i="54"/>
  <c r="Z24" i="17"/>
  <c r="J289" i="17" s="1"/>
  <c r="O156" i="54"/>
  <c r="AA14" i="17"/>
  <c r="U126" i="54"/>
  <c r="Y52" i="17"/>
  <c r="X52" i="17"/>
  <c r="V52" i="17"/>
  <c r="Q154" i="54" l="1"/>
  <c r="Q156" i="54" s="1"/>
  <c r="I308" i="17"/>
  <c r="J308" i="17"/>
  <c r="M235" i="54"/>
  <c r="O235" i="54"/>
  <c r="AA52" i="17"/>
  <c r="Z52" i="17"/>
  <c r="W103" i="54"/>
  <c r="W126" i="54"/>
  <c r="W52" i="17"/>
  <c r="I63" i="17" l="1"/>
  <c r="D660" i="30" l="1"/>
  <c r="D659" i="30"/>
  <c r="D658" i="30"/>
  <c r="I657" i="30"/>
  <c r="D657" i="30"/>
  <c r="I656" i="30"/>
  <c r="D656" i="30"/>
  <c r="I655" i="30"/>
  <c r="D655" i="30"/>
  <c r="I654" i="30"/>
  <c r="D654" i="30"/>
  <c r="D653" i="30"/>
  <c r="I652" i="30"/>
  <c r="D652" i="30"/>
  <c r="I651" i="30"/>
  <c r="D651" i="30"/>
  <c r="I650" i="30"/>
  <c r="D650" i="30"/>
  <c r="I649" i="30"/>
  <c r="D649" i="30"/>
  <c r="I648" i="30"/>
  <c r="D648" i="30"/>
  <c r="I647" i="30"/>
  <c r="D647" i="30"/>
  <c r="I646" i="30"/>
  <c r="D646" i="30"/>
  <c r="I645" i="30"/>
  <c r="D645" i="30"/>
  <c r="I644" i="30"/>
  <c r="D644" i="30"/>
  <c r="I643" i="30"/>
  <c r="D643" i="30"/>
  <c r="I642" i="30"/>
  <c r="D642" i="30"/>
  <c r="I641" i="30"/>
  <c r="D641" i="30"/>
  <c r="D640" i="30"/>
  <c r="D639" i="30"/>
  <c r="D638" i="30"/>
  <c r="D637" i="30"/>
  <c r="I636" i="30"/>
  <c r="D636" i="30"/>
  <c r="I635" i="30"/>
  <c r="D635" i="30"/>
  <c r="I634" i="30"/>
  <c r="D634" i="30"/>
  <c r="I633" i="30"/>
  <c r="D633" i="30"/>
  <c r="I632" i="30"/>
  <c r="D632" i="30"/>
  <c r="I631" i="30"/>
  <c r="D631" i="30"/>
  <c r="I630" i="30"/>
  <c r="D630" i="30"/>
  <c r="I629" i="30"/>
  <c r="D629" i="30"/>
  <c r="I628" i="30"/>
  <c r="D628" i="30"/>
  <c r="I627" i="30"/>
  <c r="D627" i="30"/>
  <c r="I626" i="30"/>
  <c r="D626" i="30"/>
  <c r="I625" i="30"/>
  <c r="D625" i="30"/>
  <c r="I624" i="30"/>
  <c r="D624" i="30"/>
  <c r="I623" i="30"/>
  <c r="D623" i="30"/>
  <c r="I622" i="30"/>
  <c r="D622" i="30"/>
  <c r="I621" i="30"/>
  <c r="D621" i="30"/>
  <c r="I620" i="30"/>
  <c r="D620" i="30"/>
  <c r="I619" i="30"/>
  <c r="D619" i="30"/>
  <c r="I618" i="30"/>
  <c r="D618" i="30"/>
  <c r="I617" i="30"/>
  <c r="D617" i="30"/>
  <c r="I616" i="30"/>
  <c r="D616" i="30"/>
  <c r="I615" i="30"/>
  <c r="D615" i="30"/>
  <c r="I614" i="30"/>
  <c r="D614" i="30"/>
  <c r="I613" i="30"/>
  <c r="D613" i="30"/>
  <c r="I612" i="30"/>
  <c r="D612" i="30"/>
  <c r="I611" i="30"/>
  <c r="D611" i="30"/>
  <c r="I610" i="30"/>
  <c r="D610" i="30"/>
  <c r="I609" i="30"/>
  <c r="D609" i="30"/>
  <c r="I608" i="30"/>
  <c r="D608" i="30"/>
  <c r="I607" i="30"/>
  <c r="D607" i="30"/>
  <c r="I606" i="30"/>
  <c r="D606" i="30"/>
  <c r="I605" i="30"/>
  <c r="D605" i="30"/>
  <c r="I604" i="30"/>
  <c r="D604" i="30"/>
  <c r="I603" i="30"/>
  <c r="D603" i="30"/>
  <c r="I602" i="30"/>
  <c r="D602" i="30"/>
  <c r="I601" i="30"/>
  <c r="D601" i="30"/>
  <c r="I600" i="30"/>
  <c r="D600" i="30"/>
  <c r="I599" i="30"/>
  <c r="D599" i="30"/>
  <c r="I598" i="30"/>
  <c r="D598" i="30"/>
  <c r="I597" i="30"/>
  <c r="D597" i="30"/>
  <c r="I596" i="30"/>
  <c r="D596" i="30"/>
  <c r="I595" i="30"/>
  <c r="D595" i="30"/>
  <c r="I594" i="30"/>
  <c r="D594" i="30"/>
  <c r="I593" i="30"/>
  <c r="D593" i="30"/>
  <c r="I592" i="30"/>
  <c r="D592" i="30"/>
  <c r="I591" i="30"/>
  <c r="D591" i="30"/>
  <c r="I590" i="30"/>
  <c r="D590" i="30"/>
  <c r="I589" i="30"/>
  <c r="D589" i="30"/>
  <c r="I588" i="30"/>
  <c r="D588" i="30"/>
  <c r="I587" i="30"/>
  <c r="D587" i="30"/>
  <c r="I586" i="30"/>
  <c r="D586" i="30"/>
  <c r="I585" i="30"/>
  <c r="D585" i="30"/>
  <c r="I584" i="30"/>
  <c r="D584" i="30"/>
  <c r="I583" i="30"/>
  <c r="D583" i="30"/>
  <c r="I582" i="30"/>
  <c r="D582" i="30"/>
  <c r="I581" i="30"/>
  <c r="D581" i="30"/>
  <c r="I580" i="30"/>
  <c r="D580" i="30"/>
  <c r="I579" i="30"/>
  <c r="D579" i="30"/>
  <c r="I578" i="30"/>
  <c r="D578" i="30"/>
  <c r="I577" i="30"/>
  <c r="D577" i="30"/>
  <c r="I576" i="30"/>
  <c r="D576" i="30"/>
  <c r="I575" i="30"/>
  <c r="D575" i="30"/>
  <c r="I574" i="30"/>
  <c r="D574" i="30"/>
  <c r="I573" i="30"/>
  <c r="D573" i="30"/>
  <c r="I572" i="30"/>
  <c r="D572" i="30"/>
  <c r="I571" i="30"/>
  <c r="D571" i="30"/>
  <c r="I570" i="30"/>
  <c r="D570" i="30"/>
  <c r="I569" i="30"/>
  <c r="D569" i="30"/>
  <c r="I568" i="30"/>
  <c r="D568" i="30"/>
  <c r="I567" i="30"/>
  <c r="D567" i="30"/>
  <c r="I566" i="30"/>
  <c r="D566" i="30"/>
  <c r="I565" i="30"/>
  <c r="D565" i="30"/>
  <c r="I564" i="30"/>
  <c r="D564" i="30"/>
  <c r="I563" i="30"/>
  <c r="D563" i="30"/>
  <c r="I561" i="30"/>
  <c r="D561" i="30"/>
  <c r="I560" i="30"/>
  <c r="D560" i="30"/>
  <c r="I559" i="30"/>
  <c r="D559" i="30"/>
  <c r="I558" i="30"/>
  <c r="D558" i="30"/>
  <c r="I557" i="30"/>
  <c r="D557" i="30"/>
  <c r="I556" i="30"/>
  <c r="D556" i="30"/>
  <c r="I555" i="30"/>
  <c r="D555" i="30"/>
  <c r="I554" i="30"/>
  <c r="D554" i="30"/>
  <c r="I553" i="30"/>
  <c r="D553" i="30"/>
  <c r="I552" i="30"/>
  <c r="D552" i="30"/>
  <c r="I551" i="30"/>
  <c r="D551" i="30"/>
  <c r="I550" i="30"/>
  <c r="D550" i="30"/>
  <c r="I324" i="30"/>
  <c r="I323" i="30"/>
  <c r="I322" i="30"/>
  <c r="I321" i="30"/>
  <c r="I319" i="30"/>
  <c r="I318" i="30"/>
  <c r="I317" i="30"/>
  <c r="I316" i="30"/>
  <c r="I315" i="30"/>
  <c r="I314" i="30"/>
  <c r="I313" i="30"/>
  <c r="I312" i="30"/>
  <c r="I311" i="30"/>
  <c r="I310" i="30"/>
  <c r="I309" i="30"/>
  <c r="I308"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W173" i="2"/>
  <c r="V173" i="2"/>
  <c r="U173" i="2"/>
  <c r="L173" i="2"/>
  <c r="E173" i="2"/>
  <c r="W172" i="2"/>
  <c r="V172" i="2"/>
  <c r="U172" i="2"/>
  <c r="L172" i="2"/>
  <c r="E172" i="2"/>
  <c r="W171" i="2"/>
  <c r="V171" i="2"/>
  <c r="U171" i="2"/>
  <c r="L171" i="2"/>
  <c r="E171" i="2"/>
  <c r="W170" i="2"/>
  <c r="V170" i="2"/>
  <c r="U170" i="2"/>
  <c r="L170" i="2"/>
  <c r="E170" i="2"/>
  <c r="W169" i="2"/>
  <c r="V169" i="2"/>
  <c r="U169" i="2"/>
  <c r="L169" i="2"/>
  <c r="E169" i="2"/>
  <c r="U168" i="2"/>
  <c r="L168" i="2"/>
  <c r="E168" i="2"/>
  <c r="V167" i="2"/>
  <c r="U167" i="2"/>
  <c r="W167" i="2"/>
  <c r="L167" i="2"/>
  <c r="E167" i="2"/>
  <c r="U166" i="2"/>
  <c r="L166" i="2"/>
  <c r="E166" i="2"/>
  <c r="U165" i="2"/>
  <c r="L165" i="2"/>
  <c r="E165" i="2"/>
  <c r="U164" i="2"/>
  <c r="L164" i="2"/>
  <c r="E164" i="2"/>
  <c r="U163" i="2"/>
  <c r="W163" i="2"/>
  <c r="V163" i="2"/>
  <c r="L163" i="2"/>
  <c r="E163" i="2"/>
  <c r="U162" i="2"/>
  <c r="W162" i="2"/>
  <c r="L162" i="2"/>
  <c r="E162" i="2"/>
  <c r="U161" i="2"/>
  <c r="W161" i="2"/>
  <c r="L161" i="2"/>
  <c r="E161" i="2"/>
  <c r="U160" i="2"/>
  <c r="W160" i="2"/>
  <c r="L160" i="2"/>
  <c r="E160" i="2"/>
  <c r="U159" i="2"/>
  <c r="V159" i="2"/>
  <c r="L159" i="2"/>
  <c r="E159" i="2"/>
  <c r="V158" i="2"/>
  <c r="U158" i="2"/>
  <c r="L158" i="2"/>
  <c r="E158" i="2"/>
  <c r="W157" i="2"/>
  <c r="V157" i="2"/>
  <c r="U157" i="2"/>
  <c r="L157" i="2"/>
  <c r="E157" i="2"/>
  <c r="W156" i="2"/>
  <c r="V156" i="2"/>
  <c r="U156" i="2"/>
  <c r="L156" i="2"/>
  <c r="E156" i="2"/>
  <c r="W155" i="2"/>
  <c r="V155" i="2"/>
  <c r="U155" i="2"/>
  <c r="L155" i="2"/>
  <c r="E155" i="2"/>
  <c r="W154" i="2"/>
  <c r="V154" i="2"/>
  <c r="U154" i="2"/>
  <c r="L154" i="2"/>
  <c r="E154" i="2"/>
  <c r="W153" i="2"/>
  <c r="V153" i="2"/>
  <c r="U153" i="2"/>
  <c r="L153" i="2"/>
  <c r="E153" i="2"/>
  <c r="W152" i="2"/>
  <c r="V152" i="2"/>
  <c r="U152" i="2"/>
  <c r="L152" i="2"/>
  <c r="E152" i="2"/>
  <c r="W151" i="2"/>
  <c r="V151" i="2"/>
  <c r="U151" i="2"/>
  <c r="L151" i="2"/>
  <c r="E151" i="2"/>
  <c r="W150" i="2"/>
  <c r="V150" i="2"/>
  <c r="U150" i="2"/>
  <c r="L150" i="2"/>
  <c r="E150" i="2"/>
  <c r="W149" i="2"/>
  <c r="V149" i="2"/>
  <c r="U149" i="2"/>
  <c r="L149" i="2"/>
  <c r="E149" i="2"/>
  <c r="W148" i="2"/>
  <c r="V148" i="2"/>
  <c r="U148" i="2"/>
  <c r="L148" i="2"/>
  <c r="E148" i="2"/>
  <c r="W147" i="2"/>
  <c r="V147" i="2"/>
  <c r="U147" i="2"/>
  <c r="L147" i="2"/>
  <c r="E147" i="2"/>
  <c r="W146" i="2"/>
  <c r="V146" i="2"/>
  <c r="U146" i="2"/>
  <c r="L146" i="2"/>
  <c r="E146" i="2"/>
  <c r="W145" i="2"/>
  <c r="V145" i="2"/>
  <c r="U145" i="2"/>
  <c r="E145" i="2"/>
  <c r="W144" i="2"/>
  <c r="V144" i="2"/>
  <c r="U144" i="2"/>
  <c r="L144" i="2"/>
  <c r="E144" i="2"/>
  <c r="W143" i="2"/>
  <c r="V143" i="2"/>
  <c r="U143" i="2"/>
  <c r="L143" i="2"/>
  <c r="E143" i="2"/>
  <c r="W142" i="2"/>
  <c r="V142" i="2"/>
  <c r="U142" i="2"/>
  <c r="L142" i="2"/>
  <c r="E142" i="2"/>
  <c r="W141" i="2"/>
  <c r="V141" i="2"/>
  <c r="U141" i="2"/>
  <c r="L141" i="2"/>
  <c r="E141" i="2"/>
  <c r="W140" i="2"/>
  <c r="V140" i="2"/>
  <c r="U140" i="2"/>
  <c r="L140" i="2"/>
  <c r="E140"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6" i="2"/>
  <c r="L75" i="2"/>
  <c r="L74" i="2"/>
  <c r="L73" i="2"/>
  <c r="L72" i="2"/>
  <c r="W165" i="2" l="1"/>
  <c r="W158" i="2"/>
  <c r="V164" i="2"/>
  <c r="W168" i="2"/>
  <c r="W159" i="2"/>
  <c r="V166" i="2"/>
  <c r="W166" i="2"/>
  <c r="W164" i="2"/>
  <c r="V165" i="2"/>
  <c r="V168" i="2"/>
  <c r="V160" i="2" l="1"/>
  <c r="V162" i="2"/>
  <c r="V161" i="2"/>
  <c r="I20" i="2" l="1"/>
  <c r="H20" i="2"/>
  <c r="G20" i="2"/>
  <c r="I19" i="2"/>
  <c r="H19" i="2"/>
  <c r="G19" i="2"/>
  <c r="I18" i="2"/>
  <c r="H18" i="2"/>
  <c r="G18" i="2"/>
  <c r="E4" i="2" l="1"/>
  <c r="E130" i="30"/>
  <c r="E129" i="30"/>
  <c r="E128" i="30"/>
  <c r="E127" i="30"/>
  <c r="Q35" i="28"/>
  <c r="P35" i="28"/>
  <c r="W86" i="2"/>
  <c r="V86" i="2"/>
  <c r="U86" i="2"/>
  <c r="E86" i="2"/>
  <c r="W85" i="2"/>
  <c r="V85" i="2"/>
  <c r="U85" i="2"/>
  <c r="E85" i="2"/>
  <c r="W84" i="2"/>
  <c r="V84" i="2"/>
  <c r="U84" i="2"/>
  <c r="E84" i="2"/>
  <c r="AL2" i="29" l="1"/>
  <c r="AK2" i="29"/>
  <c r="I63" i="48" l="1"/>
  <c r="I64" i="48"/>
  <c r="I65" i="48"/>
  <c r="I66" i="48"/>
  <c r="I67" i="48"/>
  <c r="I68" i="48"/>
  <c r="I69" i="48"/>
  <c r="I70" i="48"/>
  <c r="I71" i="48"/>
  <c r="I72" i="48"/>
  <c r="I73" i="48"/>
  <c r="I74" i="48"/>
  <c r="AB160" i="48"/>
  <c r="AB159" i="48"/>
  <c r="AB123" i="48"/>
  <c r="AB122" i="48"/>
  <c r="AB121" i="48"/>
  <c r="AB119" i="48"/>
  <c r="AB118" i="48"/>
  <c r="AB117" i="48"/>
  <c r="AB114" i="48"/>
  <c r="AB111" i="48"/>
  <c r="AB109" i="48"/>
  <c r="AB102" i="48"/>
  <c r="AB101" i="48"/>
  <c r="AB100" i="48"/>
  <c r="AB98" i="48"/>
  <c r="AB97" i="48"/>
  <c r="AB96" i="48"/>
  <c r="AC87" i="48"/>
  <c r="AC86" i="48"/>
  <c r="Y86" i="48"/>
  <c r="AC85" i="48"/>
  <c r="Y85" i="48"/>
  <c r="AC84" i="48"/>
  <c r="Y84" i="48"/>
  <c r="H74" i="48"/>
  <c r="G74" i="48"/>
  <c r="E74" i="48"/>
  <c r="D74" i="48"/>
  <c r="C74" i="48"/>
  <c r="H73" i="48"/>
  <c r="G73" i="48"/>
  <c r="H72" i="48"/>
  <c r="G72" i="48"/>
  <c r="E72" i="48"/>
  <c r="D72" i="48"/>
  <c r="C72" i="48"/>
  <c r="H71" i="48"/>
  <c r="G71" i="48"/>
  <c r="E71" i="48"/>
  <c r="D71" i="48"/>
  <c r="C71" i="48"/>
  <c r="H70" i="48"/>
  <c r="G70" i="48"/>
  <c r="H69" i="48"/>
  <c r="G69" i="48"/>
  <c r="H68" i="48"/>
  <c r="G68" i="48"/>
  <c r="E68" i="48"/>
  <c r="D68" i="48"/>
  <c r="C68" i="48"/>
  <c r="H67" i="48"/>
  <c r="G67" i="48"/>
  <c r="H66" i="48"/>
  <c r="G66" i="48"/>
  <c r="H65" i="48"/>
  <c r="G65" i="48"/>
  <c r="H64" i="48"/>
  <c r="G64" i="48"/>
  <c r="H63" i="48"/>
  <c r="G63" i="48"/>
  <c r="E63" i="48"/>
  <c r="D63" i="48"/>
  <c r="C63" i="48"/>
  <c r="Y62" i="48"/>
  <c r="Y66" i="48" s="1"/>
  <c r="H61" i="48"/>
  <c r="G61" i="48"/>
  <c r="AB56" i="48"/>
  <c r="AB55" i="48"/>
  <c r="AB54" i="48"/>
  <c r="AB52" i="48"/>
  <c r="AB51" i="48"/>
  <c r="AB50" i="48"/>
  <c r="AB44" i="48"/>
  <c r="AB43" i="48"/>
  <c r="AB41" i="48"/>
  <c r="AB40" i="48"/>
  <c r="AB39" i="48"/>
  <c r="AB33" i="48"/>
  <c r="AB32" i="48"/>
  <c r="AB31" i="48"/>
  <c r="AB29" i="48"/>
  <c r="AB28" i="48"/>
  <c r="AB27" i="48"/>
  <c r="AC21" i="48"/>
  <c r="AB21" i="48"/>
  <c r="AC20" i="48"/>
  <c r="AB20" i="48"/>
  <c r="AC19" i="48"/>
  <c r="AB19" i="48"/>
  <c r="AC17" i="48"/>
  <c r="AB17" i="48"/>
  <c r="AC16" i="48"/>
  <c r="AB16" i="48"/>
  <c r="AC15" i="48"/>
  <c r="AB15" i="48"/>
  <c r="K8" i="48"/>
  <c r="A4" i="48"/>
  <c r="AB1" i="48"/>
  <c r="G7" i="48" s="1"/>
  <c r="B25" i="3"/>
  <c r="AB64" i="48" l="1"/>
  <c r="K74" i="48"/>
  <c r="L71" i="48"/>
  <c r="L74" i="48"/>
  <c r="M74" i="48"/>
  <c r="K72" i="48"/>
  <c r="L63" i="48"/>
  <c r="M72" i="48"/>
  <c r="K68" i="48"/>
  <c r="AB71" i="48"/>
  <c r="AB67" i="48"/>
  <c r="AB63" i="48"/>
  <c r="AB72" i="48"/>
  <c r="AB68" i="48"/>
  <c r="AB74" i="48"/>
  <c r="AB70" i="48"/>
  <c r="AB66" i="48"/>
  <c r="AB62" i="48"/>
  <c r="K63" i="48"/>
  <c r="M63" i="48"/>
  <c r="K71" i="48"/>
  <c r="C8" i="48"/>
  <c r="AB69" i="48"/>
  <c r="M71" i="48"/>
  <c r="M68" i="48"/>
  <c r="AB73" i="48"/>
  <c r="L68" i="48"/>
  <c r="L72" i="48"/>
  <c r="AB9" i="3" l="1"/>
  <c r="AB10" i="3" s="1"/>
  <c r="AB11" i="3" s="1"/>
  <c r="AB12" i="3" s="1"/>
  <c r="AB13" i="3" s="1"/>
  <c r="AB14" i="3" s="1"/>
  <c r="AB15" i="3" s="1"/>
  <c r="AB16" i="3" s="1"/>
  <c r="AB17" i="3" s="1"/>
  <c r="AB18" i="3" s="1"/>
  <c r="AB19" i="3" s="1"/>
  <c r="AB20" i="3" s="1"/>
  <c r="AB21" i="3" s="1"/>
  <c r="AB22" i="3" s="1"/>
  <c r="AB23" i="3" l="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AB45" i="3" s="1"/>
  <c r="AB46" i="3" s="1"/>
  <c r="AB47" i="3" s="1"/>
  <c r="AB48" i="3" s="1"/>
  <c r="AB49" i="3" s="1"/>
  <c r="AB50" i="3" s="1"/>
  <c r="AB51" i="3" s="1"/>
  <c r="AB52" i="3" s="1"/>
  <c r="AB53" i="3" s="1"/>
  <c r="AB54" i="3" s="1"/>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AB90" i="3" s="1"/>
  <c r="AB91" i="3" s="1"/>
  <c r="AM3" i="29" l="1"/>
  <c r="AM4" i="29" s="1"/>
  <c r="AM5" i="29" s="1"/>
  <c r="AM6" i="29" s="1"/>
  <c r="AM7" i="29" s="1"/>
  <c r="AM8" i="29" s="1"/>
  <c r="AM9" i="29" s="1"/>
  <c r="AM10" i="29" s="1"/>
  <c r="AM11" i="29" s="1"/>
  <c r="AM12" i="29" s="1"/>
  <c r="AM13" i="29" s="1"/>
  <c r="AM14" i="29" s="1"/>
  <c r="AM15" i="29" s="1"/>
  <c r="AM16" i="29" s="1"/>
  <c r="AM17" i="29" s="1"/>
  <c r="AM18" i="29" s="1"/>
  <c r="AM19" i="29" s="1"/>
  <c r="AM20" i="29" s="1"/>
  <c r="AM21" i="29" s="1"/>
  <c r="AM22" i="29" s="1"/>
  <c r="AM23" i="29" s="1"/>
  <c r="AM24" i="29" s="1"/>
  <c r="AM25" i="29" s="1"/>
  <c r="AM26" i="29" s="1"/>
  <c r="AM27" i="29" s="1"/>
  <c r="AM28" i="29" s="1"/>
  <c r="AM29" i="29" s="1"/>
  <c r="AM30" i="29" s="1"/>
  <c r="AM31" i="29" s="1"/>
  <c r="AM32" i="29" s="1"/>
  <c r="AM33" i="29" s="1"/>
  <c r="AM34" i="29" s="1"/>
  <c r="AM35" i="29" s="1"/>
  <c r="AM36" i="29" s="1"/>
  <c r="AM37" i="29" s="1"/>
  <c r="AM38" i="29" s="1"/>
  <c r="AM39" i="29" s="1"/>
  <c r="AM40" i="29" s="1"/>
  <c r="AM41" i="29" s="1"/>
  <c r="AM42" i="29" s="1"/>
  <c r="AM43" i="29" s="1"/>
  <c r="AM44" i="29" s="1"/>
  <c r="AM45" i="29" s="1"/>
  <c r="AM46" i="29" s="1"/>
  <c r="AM47" i="29" s="1"/>
  <c r="AM48" i="29" s="1"/>
  <c r="AM49" i="29" s="1"/>
  <c r="AM50" i="29" s="1"/>
  <c r="AM51" i="29" s="1"/>
  <c r="AM52" i="29" s="1"/>
  <c r="AM53" i="29" s="1"/>
  <c r="AM54" i="29" s="1"/>
  <c r="AM55" i="29" s="1"/>
  <c r="AM56" i="29" s="1"/>
  <c r="AM57" i="29" s="1"/>
  <c r="AM58" i="29" s="1"/>
  <c r="AM59" i="29" s="1"/>
  <c r="AM60" i="29" s="1"/>
  <c r="AM61" i="29" s="1"/>
  <c r="AM62" i="29" s="1"/>
  <c r="AM63" i="29" s="1"/>
  <c r="AM64" i="29" s="1"/>
  <c r="AM65" i="29" s="1"/>
  <c r="AM66" i="29" s="1"/>
  <c r="AM67" i="29" s="1"/>
  <c r="AM68" i="29" s="1"/>
  <c r="AM69" i="29" s="1"/>
  <c r="AM70" i="29" s="1"/>
  <c r="AM71" i="29" s="1"/>
  <c r="AM72" i="29" s="1"/>
  <c r="AM73" i="29" s="1"/>
  <c r="AM74" i="29" s="1"/>
  <c r="AM75" i="29" s="1"/>
  <c r="AM76" i="29" s="1"/>
  <c r="AM77" i="29" s="1"/>
  <c r="AM78" i="29" s="1"/>
  <c r="AM79" i="29" s="1"/>
  <c r="AM80" i="29" s="1"/>
  <c r="AM81" i="29" s="1"/>
  <c r="AM82" i="29" s="1"/>
  <c r="AM83" i="29" s="1"/>
  <c r="AM84" i="29" s="1"/>
  <c r="AM85" i="29" s="1"/>
  <c r="AM86" i="29" s="1"/>
  <c r="AM87" i="29" s="1"/>
  <c r="AM88" i="29" s="1"/>
  <c r="AM89" i="29" s="1"/>
  <c r="AM90" i="29" s="1"/>
  <c r="AM91" i="29" s="1"/>
  <c r="AM92" i="29" s="1"/>
  <c r="AM93" i="29" s="1"/>
  <c r="AM94" i="29" s="1"/>
  <c r="AM95" i="29" s="1"/>
  <c r="AM96" i="29" s="1"/>
  <c r="AM97" i="29" s="1"/>
  <c r="AM98" i="29" s="1"/>
  <c r="AM99" i="29" s="1"/>
  <c r="AM100" i="29" s="1"/>
  <c r="AM101" i="29" s="1"/>
  <c r="AM102" i="29" s="1"/>
  <c r="AM103" i="29" s="1"/>
  <c r="AM104" i="29" s="1"/>
  <c r="AM105" i="29" s="1"/>
  <c r="AM106" i="29" s="1"/>
  <c r="AM107" i="29" s="1"/>
  <c r="AM108" i="29" s="1"/>
  <c r="AM109" i="29" s="1"/>
  <c r="AM110" i="29" s="1"/>
  <c r="AM111" i="29" s="1"/>
  <c r="AM112" i="29" s="1"/>
  <c r="AM113" i="29" s="1"/>
  <c r="AM114" i="29" s="1"/>
  <c r="AM115" i="29" s="1"/>
  <c r="AM116" i="29" s="1"/>
  <c r="AM117" i="29" s="1"/>
  <c r="AM118" i="29" s="1"/>
  <c r="AM119" i="29" s="1"/>
  <c r="AM120" i="29" s="1"/>
  <c r="AM121" i="29" s="1"/>
  <c r="AM122" i="29" s="1"/>
  <c r="AM123" i="29" s="1"/>
  <c r="AM124" i="29" s="1"/>
  <c r="AM125" i="29" s="1"/>
  <c r="AM126" i="29" s="1"/>
  <c r="AM127" i="29" s="1"/>
  <c r="AM128" i="29" s="1"/>
  <c r="AM129" i="29" s="1"/>
  <c r="AM130" i="29" s="1"/>
  <c r="AM131" i="29" s="1"/>
  <c r="AM132" i="29" s="1"/>
  <c r="AM133" i="29" s="1"/>
  <c r="AM134" i="29" s="1"/>
  <c r="AM135" i="29" s="1"/>
  <c r="AM136" i="29" s="1"/>
  <c r="AM137" i="29" s="1"/>
  <c r="AM138" i="29" s="1"/>
  <c r="AM139" i="29" s="1"/>
  <c r="AM140" i="29" s="1"/>
  <c r="AM141" i="29" s="1"/>
  <c r="AM142" i="29" s="1"/>
  <c r="AM143" i="29" s="1"/>
  <c r="AM144" i="29" s="1"/>
  <c r="AM145" i="29" s="1"/>
  <c r="AM146" i="29" s="1"/>
  <c r="AM147" i="29" s="1"/>
  <c r="AM148" i="29" s="1"/>
  <c r="AM149" i="29" s="1"/>
  <c r="AM150" i="29" s="1"/>
  <c r="AM151" i="29" s="1"/>
  <c r="AM152" i="29" s="1"/>
  <c r="AM153" i="29" s="1"/>
  <c r="AM154" i="29" s="1"/>
  <c r="AM155" i="29" s="1"/>
  <c r="AM156" i="29" s="1"/>
  <c r="AM157" i="29" s="1"/>
  <c r="AM158" i="29" s="1"/>
  <c r="AM159" i="29" s="1"/>
  <c r="AM160" i="29" s="1"/>
  <c r="AM161" i="29" s="1"/>
  <c r="AM162" i="29" s="1"/>
  <c r="AM163" i="29" s="1"/>
  <c r="AM164" i="29" s="1"/>
  <c r="AM165" i="29" s="1"/>
  <c r="AM166" i="29" s="1"/>
  <c r="AM167" i="29" s="1"/>
  <c r="AM168" i="29" s="1"/>
  <c r="AM169" i="29" s="1"/>
  <c r="AM170" i="29" s="1"/>
  <c r="AM171" i="29" s="1"/>
  <c r="AM172" i="29" s="1"/>
  <c r="AM173" i="29" s="1"/>
  <c r="AM174" i="29" s="1"/>
  <c r="AM175" i="29" s="1"/>
  <c r="AM176" i="29" s="1"/>
  <c r="AM177" i="29" s="1"/>
  <c r="AM178" i="29" s="1"/>
  <c r="AM179" i="29" s="1"/>
  <c r="AM180" i="29" s="1"/>
  <c r="AM181" i="29" s="1"/>
  <c r="AM182" i="29" s="1"/>
  <c r="AM183" i="29" s="1"/>
  <c r="AM184" i="29" s="1"/>
  <c r="AM185" i="29" s="1"/>
  <c r="AM186" i="29" s="1"/>
  <c r="AM187" i="29" s="1"/>
  <c r="AM188" i="29" s="1"/>
  <c r="AM189" i="29" s="1"/>
  <c r="AM190" i="29" s="1"/>
  <c r="AM191" i="29" s="1"/>
  <c r="AM192" i="29" s="1"/>
  <c r="AM193" i="29" s="1"/>
  <c r="AM194" i="29" s="1"/>
  <c r="AM195" i="29" s="1"/>
  <c r="AM196" i="29" s="1"/>
  <c r="AM197" i="29" s="1"/>
  <c r="AM198" i="29" s="1"/>
  <c r="AM199" i="29" s="1"/>
  <c r="AM200" i="29" s="1"/>
  <c r="AM201" i="29" s="1"/>
  <c r="AM202" i="29" s="1"/>
  <c r="AM203" i="29" s="1"/>
  <c r="AM204" i="29" s="1"/>
  <c r="AM205" i="29" s="1"/>
  <c r="AM206" i="29" s="1"/>
  <c r="AM207" i="29" s="1"/>
  <c r="AM208" i="29" s="1"/>
  <c r="AM209" i="29" s="1"/>
  <c r="AM210" i="29" s="1"/>
  <c r="AM211" i="29" s="1"/>
  <c r="AM212" i="29" s="1"/>
  <c r="AM213" i="29" s="1"/>
  <c r="AM214" i="29" s="1"/>
  <c r="AM215" i="29" s="1"/>
  <c r="AM216" i="29" s="1"/>
  <c r="AM217" i="29" s="1"/>
  <c r="AM218" i="29" s="1"/>
  <c r="AM219" i="29" s="1"/>
  <c r="AM220" i="29" s="1"/>
  <c r="AM221" i="29" s="1"/>
  <c r="AM222" i="29" s="1"/>
  <c r="AM223" i="29" s="1"/>
  <c r="AM224" i="29" s="1"/>
  <c r="AM225" i="29" s="1"/>
  <c r="AM226" i="29" s="1"/>
  <c r="AM227" i="29" s="1"/>
  <c r="AM228" i="29" s="1"/>
  <c r="AM229" i="29" s="1"/>
  <c r="AM230" i="29" s="1"/>
  <c r="AM231" i="29" s="1"/>
  <c r="AM232" i="29" s="1"/>
  <c r="AM233" i="29" s="1"/>
  <c r="AM234" i="29" s="1"/>
  <c r="AM235" i="29" s="1"/>
  <c r="AM236" i="29" s="1"/>
  <c r="AM237" i="29" s="1"/>
  <c r="AM238" i="29" s="1"/>
  <c r="AM239" i="29" s="1"/>
  <c r="AM240" i="29" s="1"/>
  <c r="AM241" i="29" s="1"/>
  <c r="AM242" i="29" s="1"/>
  <c r="AM243" i="29" s="1"/>
  <c r="AM244" i="29" s="1"/>
  <c r="AM245" i="29" s="1"/>
  <c r="AM246" i="29" s="1"/>
  <c r="AM247" i="29" s="1"/>
  <c r="AM248" i="29" s="1"/>
  <c r="AM249" i="29" s="1"/>
  <c r="AM250" i="29" s="1"/>
  <c r="AM251" i="29" s="1"/>
  <c r="AM252" i="29" s="1"/>
  <c r="AM253" i="29" s="1"/>
  <c r="AM254" i="29" s="1"/>
  <c r="AM255" i="29" s="1"/>
  <c r="AM256" i="29" s="1"/>
  <c r="AM257" i="29" s="1"/>
  <c r="AM258" i="29" s="1"/>
  <c r="AM259" i="29" s="1"/>
  <c r="AM260" i="29" s="1"/>
  <c r="AM261" i="29" s="1"/>
  <c r="AM262" i="29" s="1"/>
  <c r="AM263" i="29" s="1"/>
  <c r="AM264" i="29" s="1"/>
  <c r="AM265" i="29" s="1"/>
  <c r="AM266" i="29" s="1"/>
  <c r="AM267" i="29" s="1"/>
  <c r="AM268" i="29" s="1"/>
  <c r="AM269" i="29" s="1"/>
  <c r="AM270" i="29" s="1"/>
  <c r="AM271" i="29" s="1"/>
  <c r="AM272" i="29" s="1"/>
  <c r="AM273" i="29" s="1"/>
  <c r="AM274" i="29" s="1"/>
  <c r="AM275" i="29" s="1"/>
  <c r="AM276" i="29" s="1"/>
  <c r="AM277" i="29" s="1"/>
  <c r="AM278" i="29" s="1"/>
  <c r="AM279" i="29" s="1"/>
  <c r="AM280" i="29" s="1"/>
  <c r="AM281" i="29" s="1"/>
  <c r="AM282" i="29" s="1"/>
  <c r="AM283" i="29" s="1"/>
  <c r="AM284" i="29" s="1"/>
  <c r="AM285" i="29" s="1"/>
  <c r="AM286" i="29" s="1"/>
  <c r="AM287" i="29" s="1"/>
  <c r="AM288" i="29" s="1"/>
  <c r="AM289" i="29" s="1"/>
  <c r="AM290" i="29" s="1"/>
  <c r="AM291" i="29" s="1"/>
  <c r="AM292" i="29" s="1"/>
  <c r="AM293" i="29" s="1"/>
  <c r="AM294" i="29" s="1"/>
  <c r="AM295" i="29" s="1"/>
  <c r="AM296" i="29" s="1"/>
  <c r="AM297" i="29" s="1"/>
  <c r="AM298" i="29" s="1"/>
  <c r="AM299" i="29" s="1"/>
  <c r="AM300" i="29" s="1"/>
  <c r="AM301" i="29" s="1"/>
  <c r="AM302" i="29" s="1"/>
  <c r="AM303" i="29" s="1"/>
  <c r="AM304" i="29" s="1"/>
  <c r="AM305" i="29" s="1"/>
  <c r="AM306" i="29" s="1"/>
  <c r="AM307" i="29" s="1"/>
  <c r="AM308" i="29" s="1"/>
  <c r="AM309" i="29" s="1"/>
  <c r="AM310" i="29" s="1"/>
  <c r="AM311" i="29" s="1"/>
  <c r="AM312" i="29" s="1"/>
  <c r="AM313" i="29" s="1"/>
  <c r="AM314" i="29" s="1"/>
  <c r="AM315" i="29" s="1"/>
  <c r="AM316" i="29" s="1"/>
  <c r="AM317" i="29" s="1"/>
  <c r="AM318" i="29" s="1"/>
  <c r="AM319" i="29" s="1"/>
  <c r="AM320" i="29" s="1"/>
  <c r="AM321" i="29" s="1"/>
  <c r="AM322" i="29" s="1"/>
  <c r="AM323" i="29" s="1"/>
  <c r="AM324" i="29" s="1"/>
  <c r="AM325" i="29" s="1"/>
  <c r="AM326" i="29" s="1"/>
  <c r="AM327" i="29" s="1"/>
  <c r="AM328" i="29" s="1"/>
  <c r="AM329" i="29" s="1"/>
  <c r="AM330" i="29" s="1"/>
  <c r="AM331" i="29" s="1"/>
  <c r="AM332" i="29" s="1"/>
  <c r="AM333" i="29" s="1"/>
  <c r="AM334" i="29" s="1"/>
  <c r="AM335" i="29" s="1"/>
  <c r="AM336" i="29" s="1"/>
  <c r="AM337" i="29" s="1"/>
  <c r="AM338" i="29" s="1"/>
  <c r="AM339" i="29" s="1"/>
  <c r="AM340" i="29" s="1"/>
  <c r="AM341" i="29" s="1"/>
  <c r="AM342" i="29" s="1"/>
  <c r="AM343" i="29" s="1"/>
  <c r="AM344" i="29" s="1"/>
  <c r="AM345" i="29" s="1"/>
  <c r="AM346" i="29" s="1"/>
  <c r="AM347" i="29" s="1"/>
  <c r="AM348" i="29" s="1"/>
  <c r="AM349" i="29" s="1"/>
  <c r="AM350" i="29" s="1"/>
  <c r="AM351" i="29" s="1"/>
  <c r="AM352" i="29" s="1"/>
  <c r="AM353" i="29" s="1"/>
  <c r="AM354" i="29" s="1"/>
  <c r="AM355" i="29" s="1"/>
  <c r="AM356" i="29" s="1"/>
  <c r="AM357" i="29" s="1"/>
  <c r="AM358" i="29" s="1"/>
  <c r="AM359" i="29" s="1"/>
  <c r="AM360" i="29" s="1"/>
  <c r="AM361" i="29" s="1"/>
  <c r="AM362" i="29" s="1"/>
  <c r="AM363" i="29" s="1"/>
  <c r="AM364" i="29" s="1"/>
  <c r="AM365" i="29" s="1"/>
  <c r="AM366" i="29" s="1"/>
  <c r="AM367" i="29" s="1"/>
  <c r="AM368" i="29" s="1"/>
  <c r="AM369" i="29" s="1"/>
  <c r="AM370" i="29" s="1"/>
  <c r="AM371" i="29" s="1"/>
  <c r="AM372" i="29" s="1"/>
  <c r="AM373" i="29" s="1"/>
  <c r="AM374" i="29" s="1"/>
  <c r="AM375" i="29" s="1"/>
  <c r="AM376" i="29" s="1"/>
  <c r="AM377" i="29" s="1"/>
  <c r="AM378" i="29" s="1"/>
  <c r="AM379" i="29" s="1"/>
  <c r="AM380" i="29" s="1"/>
  <c r="AM381" i="29" s="1"/>
  <c r="AM382" i="29" s="1"/>
  <c r="AM383" i="29" s="1"/>
  <c r="AM384" i="29" s="1"/>
  <c r="AM385" i="29" s="1"/>
  <c r="AM386" i="29" s="1"/>
  <c r="AM387" i="29" s="1"/>
  <c r="AM388" i="29" s="1"/>
  <c r="AM389" i="29" s="1"/>
  <c r="AM390" i="29" s="1"/>
  <c r="AM391" i="29" s="1"/>
  <c r="AM392" i="29" s="1"/>
  <c r="AM393" i="29" s="1"/>
  <c r="AM394" i="29" s="1"/>
  <c r="AM395" i="29" s="1"/>
  <c r="AM396" i="29" s="1"/>
  <c r="AM397" i="29" s="1"/>
  <c r="AM398" i="29" s="1"/>
  <c r="AM399" i="29" s="1"/>
  <c r="AM400" i="29" s="1"/>
  <c r="AM401" i="29" s="1"/>
  <c r="AM402" i="29" s="1"/>
  <c r="AM403" i="29" s="1"/>
  <c r="AM404" i="29" s="1"/>
  <c r="AM405" i="29" s="1"/>
  <c r="AM406" i="29" s="1"/>
  <c r="AM407" i="29" s="1"/>
  <c r="AM408" i="29" s="1"/>
  <c r="AM409" i="29" s="1"/>
  <c r="AM410" i="29" s="1"/>
  <c r="AM411" i="29" s="1"/>
  <c r="AM412" i="29" s="1"/>
  <c r="AM413" i="29" s="1"/>
  <c r="AM414" i="29" s="1"/>
  <c r="AM415" i="29" s="1"/>
  <c r="AM416" i="29" s="1"/>
  <c r="AM417" i="29" s="1"/>
  <c r="AM418" i="29" s="1"/>
  <c r="AM419" i="29" s="1"/>
  <c r="AM420" i="29" s="1"/>
  <c r="AM421" i="29" s="1"/>
  <c r="AM422" i="29" s="1"/>
  <c r="AM423" i="29" s="1"/>
  <c r="AM424" i="29" s="1"/>
  <c r="AM425" i="29" s="1"/>
  <c r="AM426" i="29" s="1"/>
  <c r="AM427" i="29" s="1"/>
  <c r="AM428" i="29" s="1"/>
  <c r="AM429" i="29" s="1"/>
  <c r="AM430" i="29" s="1"/>
  <c r="AM431" i="29" s="1"/>
  <c r="AM432" i="29" s="1"/>
  <c r="AM433" i="29" s="1"/>
  <c r="AM434" i="29" s="1"/>
  <c r="AM435" i="29" s="1"/>
  <c r="AM436" i="29" s="1"/>
  <c r="AM437" i="29" s="1"/>
  <c r="AM438" i="29" s="1"/>
  <c r="AM439" i="29" s="1"/>
  <c r="AM440" i="29" s="1"/>
  <c r="AM441" i="29" s="1"/>
  <c r="AM442" i="29" s="1"/>
  <c r="AM443" i="29" s="1"/>
  <c r="AM444" i="29" s="1"/>
  <c r="AM445" i="29" s="1"/>
  <c r="AM446" i="29" s="1"/>
  <c r="AM447" i="29" s="1"/>
  <c r="AM448" i="29" s="1"/>
  <c r="AM449" i="29" s="1"/>
  <c r="AM450" i="29" s="1"/>
  <c r="AM451" i="29" s="1"/>
  <c r="AM452" i="29" s="1"/>
  <c r="AM453" i="29" s="1"/>
  <c r="AM454" i="29" s="1"/>
  <c r="AM455" i="29" s="1"/>
  <c r="AM456" i="29" s="1"/>
  <c r="AM457" i="29" s="1"/>
  <c r="AM458" i="29" s="1"/>
  <c r="AM459" i="29" s="1"/>
  <c r="AM460" i="29" s="1"/>
  <c r="AM461" i="29" s="1"/>
  <c r="AM462" i="29" s="1"/>
  <c r="AM463" i="29" s="1"/>
  <c r="AM464" i="29" s="1"/>
  <c r="AM465" i="29" s="1"/>
  <c r="AM466" i="29" s="1"/>
  <c r="AM467" i="29" s="1"/>
  <c r="AM468" i="29" s="1"/>
  <c r="AM469" i="29" s="1"/>
  <c r="AM470" i="29" s="1"/>
  <c r="AM471" i="29" s="1"/>
  <c r="AM472" i="29" s="1"/>
  <c r="AM473" i="29" s="1"/>
  <c r="AM474" i="29" s="1"/>
  <c r="AM475" i="29" s="1"/>
  <c r="AM476" i="29" s="1"/>
  <c r="AM477" i="29" s="1"/>
  <c r="AM478" i="29" s="1"/>
  <c r="AM479" i="29" s="1"/>
  <c r="AM480" i="29" s="1"/>
  <c r="AM481" i="29" s="1"/>
  <c r="AM482" i="29" s="1"/>
  <c r="AM483" i="29" s="1"/>
  <c r="AM484" i="29" s="1"/>
  <c r="AM485" i="29" s="1"/>
  <c r="AM486" i="29" s="1"/>
  <c r="AM487" i="29" s="1"/>
  <c r="AM488" i="29" s="1"/>
  <c r="AM489" i="29" s="1"/>
  <c r="AM490" i="29" s="1"/>
  <c r="AM491" i="29" s="1"/>
  <c r="AM492" i="29" s="1"/>
  <c r="AM493" i="29" s="1"/>
  <c r="AM494" i="29" s="1"/>
  <c r="AM495" i="29" s="1"/>
  <c r="AM496" i="29" s="1"/>
  <c r="AM497" i="29" s="1"/>
  <c r="AM498" i="29" s="1"/>
  <c r="AM499" i="29" s="1"/>
  <c r="AM500" i="29" s="1"/>
  <c r="AM501" i="29" s="1"/>
  <c r="AM502" i="29" s="1"/>
  <c r="AM503" i="29" s="1"/>
  <c r="AM504" i="29" s="1"/>
  <c r="AM505" i="29" s="1"/>
  <c r="AM506" i="29" s="1"/>
  <c r="AM507" i="29" s="1"/>
  <c r="AM508" i="29" s="1"/>
  <c r="AM509" i="29" s="1"/>
  <c r="AM510" i="29" s="1"/>
  <c r="AM511" i="29" s="1"/>
  <c r="AM512" i="29" s="1"/>
  <c r="AM513" i="29" s="1"/>
  <c r="AM514" i="29" s="1"/>
  <c r="AM515" i="29" s="1"/>
  <c r="AM516" i="29" s="1"/>
  <c r="AM517" i="29" s="1"/>
  <c r="AM518" i="29" s="1"/>
  <c r="AM519" i="29" s="1"/>
  <c r="AM520" i="29" s="1"/>
  <c r="AM521" i="29" s="1"/>
  <c r="AM522" i="29" s="1"/>
  <c r="AM523" i="29" s="1"/>
  <c r="AM524" i="29" s="1"/>
  <c r="AM525" i="29" s="1"/>
  <c r="AM526" i="29" s="1"/>
  <c r="AM527" i="29" s="1"/>
  <c r="AM528" i="29" s="1"/>
  <c r="AM529" i="29" s="1"/>
  <c r="AM530" i="29" s="1"/>
  <c r="AM531" i="29" s="1"/>
  <c r="AM532" i="29" s="1"/>
  <c r="AM533" i="29" s="1"/>
  <c r="AM534" i="29" s="1"/>
  <c r="AM535" i="29" s="1"/>
  <c r="AM536" i="29" s="1"/>
  <c r="AM537" i="29" s="1"/>
  <c r="AM538" i="29" s="1"/>
  <c r="AM539" i="29" s="1"/>
  <c r="AM540" i="29" s="1"/>
  <c r="AM541" i="29" s="1"/>
  <c r="AM542" i="29" s="1"/>
  <c r="AM543" i="29" s="1"/>
  <c r="AM544" i="29" s="1"/>
  <c r="AM545" i="29" s="1"/>
  <c r="AM546" i="29" s="1"/>
  <c r="AM547" i="29" s="1"/>
  <c r="AM548" i="29" s="1"/>
  <c r="AM549" i="29" s="1"/>
  <c r="AM550" i="29" s="1"/>
  <c r="AM551" i="29" s="1"/>
  <c r="AM552" i="29" s="1"/>
  <c r="AM553" i="29" s="1"/>
  <c r="AM554" i="29" s="1"/>
  <c r="AM555" i="29" s="1"/>
  <c r="AM556" i="29" s="1"/>
  <c r="AM557" i="29" s="1"/>
  <c r="AM558" i="29" s="1"/>
  <c r="AM559" i="29" s="1"/>
  <c r="AM560" i="29" s="1"/>
  <c r="AM561" i="29" s="1"/>
  <c r="AM562" i="29" s="1"/>
  <c r="AM563" i="29" s="1"/>
  <c r="AM564" i="29" s="1"/>
  <c r="AM565" i="29" s="1"/>
  <c r="AM566" i="29" s="1"/>
  <c r="AM567" i="29" s="1"/>
  <c r="AM568" i="29" s="1"/>
  <c r="AM569" i="29" s="1"/>
  <c r="AM570" i="29" s="1"/>
  <c r="AM571" i="29" s="1"/>
  <c r="AM572" i="29" s="1"/>
  <c r="AM573" i="29" s="1"/>
  <c r="AM574" i="29" s="1"/>
  <c r="AM575" i="29" s="1"/>
  <c r="AM576" i="29" s="1"/>
  <c r="AM577" i="29" s="1"/>
  <c r="AM578" i="29" s="1"/>
  <c r="AM579" i="29" s="1"/>
  <c r="AM580" i="29" s="1"/>
  <c r="AM581" i="29" s="1"/>
  <c r="AM582" i="29" s="1"/>
  <c r="AM583" i="29" s="1"/>
  <c r="AM584" i="29" s="1"/>
  <c r="AM585" i="29" s="1"/>
  <c r="AM586" i="29" s="1"/>
  <c r="AM587" i="29" s="1"/>
  <c r="AM588" i="29" s="1"/>
  <c r="AM589" i="29" s="1"/>
  <c r="AM590" i="29" s="1"/>
  <c r="AM591" i="29" s="1"/>
  <c r="AM592" i="29" s="1"/>
  <c r="AM593" i="29" s="1"/>
  <c r="AM594" i="29" s="1"/>
  <c r="AM595" i="29" s="1"/>
  <c r="AM596" i="29" s="1"/>
  <c r="AM597" i="29" s="1"/>
  <c r="AM598" i="29" s="1"/>
  <c r="AM599" i="29" s="1"/>
  <c r="AM600" i="29" s="1"/>
  <c r="AM601" i="29" s="1"/>
  <c r="AM602" i="29" s="1"/>
  <c r="AM603" i="29" s="1"/>
  <c r="AM604" i="29" s="1"/>
  <c r="AM605" i="29" s="1"/>
  <c r="AM606" i="29" s="1"/>
  <c r="AM607" i="29" s="1"/>
  <c r="AM608" i="29" s="1"/>
  <c r="AM609" i="29" s="1"/>
  <c r="AM610" i="29" s="1"/>
  <c r="AM611" i="29" s="1"/>
  <c r="AM612" i="29" s="1"/>
  <c r="AM613" i="29" s="1"/>
  <c r="AM614" i="29" s="1"/>
  <c r="AM615" i="29" s="1"/>
  <c r="AM616" i="29" s="1"/>
  <c r="AM617" i="29" s="1"/>
  <c r="AM618" i="29" s="1"/>
  <c r="AM619" i="29" s="1"/>
  <c r="AM620" i="29" s="1"/>
  <c r="AM621" i="29" s="1"/>
  <c r="AM622" i="29" s="1"/>
  <c r="AM623" i="29" s="1"/>
  <c r="AM624" i="29" s="1"/>
  <c r="AM625" i="29" s="1"/>
  <c r="AM626" i="29" s="1"/>
  <c r="AM627" i="29" s="1"/>
  <c r="AM628" i="29" s="1"/>
  <c r="AM629" i="29" s="1"/>
  <c r="AM630" i="29" s="1"/>
  <c r="AM631" i="29" s="1"/>
  <c r="AM632" i="29" s="1"/>
  <c r="AM633" i="29" s="1"/>
  <c r="AM634" i="29" s="1"/>
  <c r="AM635" i="29" s="1"/>
  <c r="AM636" i="29" s="1"/>
  <c r="AM637" i="29" s="1"/>
  <c r="AM638" i="29" s="1"/>
  <c r="AM639" i="29" s="1"/>
  <c r="AM640" i="29" s="1"/>
  <c r="AM641" i="29" s="1"/>
  <c r="AM642" i="29" s="1"/>
  <c r="AM643" i="29" s="1"/>
  <c r="AM644" i="29" s="1"/>
  <c r="AM645" i="29" s="1"/>
  <c r="AM646" i="29" s="1"/>
  <c r="AM647" i="29" s="1"/>
  <c r="AM648" i="29" s="1"/>
  <c r="AM649" i="29" s="1"/>
  <c r="AM650" i="29" s="1"/>
  <c r="AM651" i="29" s="1"/>
  <c r="AM652" i="29" s="1"/>
  <c r="AM653" i="29" s="1"/>
  <c r="AM654" i="29" s="1"/>
  <c r="AM655" i="29" s="1"/>
  <c r="AM656" i="29" s="1"/>
  <c r="AM657" i="29" s="1"/>
  <c r="AM658" i="29" s="1"/>
  <c r="AM659" i="29" s="1"/>
  <c r="AM660" i="29" s="1"/>
  <c r="AM661" i="29" s="1"/>
  <c r="AM662" i="29" s="1"/>
  <c r="AM663" i="29" s="1"/>
  <c r="AM664" i="29" s="1"/>
  <c r="AM665" i="29" s="1"/>
  <c r="AM666" i="29" s="1"/>
  <c r="AM667" i="29" s="1"/>
  <c r="AM668" i="29" s="1"/>
  <c r="AM669" i="29" s="1"/>
  <c r="AM670" i="29" s="1"/>
  <c r="AM671" i="29" s="1"/>
  <c r="AM672" i="29" s="1"/>
  <c r="AM673" i="29" s="1"/>
  <c r="AM674" i="29" s="1"/>
  <c r="AM675" i="29" s="1"/>
  <c r="AM676" i="29" s="1"/>
  <c r="AM677" i="29" s="1"/>
  <c r="AM678" i="29" s="1"/>
  <c r="AM679" i="29" s="1"/>
  <c r="AM680" i="29" s="1"/>
  <c r="AM681" i="29" s="1"/>
  <c r="AM682" i="29" s="1"/>
  <c r="AM683" i="29" s="1"/>
  <c r="AM684" i="29" s="1"/>
  <c r="AM685" i="29" s="1"/>
  <c r="AM686" i="29" s="1"/>
  <c r="AM687" i="29" s="1"/>
  <c r="AM688" i="29" s="1"/>
  <c r="AM689" i="29" s="1"/>
  <c r="AM690" i="29" s="1"/>
  <c r="AM691" i="29" s="1"/>
  <c r="AM692" i="29" s="1"/>
  <c r="AM693" i="29" s="1"/>
  <c r="AM694" i="29" s="1"/>
  <c r="AM695" i="29" s="1"/>
  <c r="AM696" i="29" s="1"/>
  <c r="AM697" i="29" s="1"/>
  <c r="AM698" i="29" s="1"/>
  <c r="AM699" i="29" s="1"/>
  <c r="AM700" i="29" s="1"/>
  <c r="AM701" i="29" s="1"/>
  <c r="AM702" i="29" s="1"/>
  <c r="AM703" i="29" s="1"/>
  <c r="AM704" i="29" s="1"/>
  <c r="AM705" i="29" s="1"/>
  <c r="AM706" i="29" s="1"/>
  <c r="AM707" i="29" s="1"/>
  <c r="AM708" i="29" s="1"/>
  <c r="AM709" i="29" s="1"/>
  <c r="AM710" i="29" s="1"/>
  <c r="AM711" i="29" s="1"/>
  <c r="AM712" i="29" s="1"/>
  <c r="AM713" i="29" s="1"/>
  <c r="AM714" i="29" s="1"/>
  <c r="AM715" i="29" s="1"/>
  <c r="AM716" i="29" s="1"/>
  <c r="AM717" i="29" s="1"/>
  <c r="AM718" i="29" s="1"/>
  <c r="AM719" i="29" s="1"/>
  <c r="AM720" i="29" s="1"/>
  <c r="AM721" i="29" s="1"/>
  <c r="AM722" i="29" s="1"/>
  <c r="AM723" i="29" s="1"/>
  <c r="AM724" i="29" s="1"/>
  <c r="AM725" i="29" s="1"/>
  <c r="AM726" i="29" s="1"/>
  <c r="AM727" i="29" s="1"/>
  <c r="AM728" i="29" s="1"/>
  <c r="AM729" i="29" s="1"/>
  <c r="AM730" i="29" s="1"/>
  <c r="AM731" i="29" s="1"/>
  <c r="AM732" i="29" s="1"/>
  <c r="AM733" i="29" s="1"/>
  <c r="AM734" i="29" s="1"/>
  <c r="AM735" i="29" s="1"/>
  <c r="AM736" i="29" s="1"/>
  <c r="AM737" i="29" s="1"/>
  <c r="AM738" i="29" s="1"/>
  <c r="AM739" i="29" s="1"/>
  <c r="AM740" i="29" s="1"/>
  <c r="AM741" i="29" s="1"/>
  <c r="AM742" i="29" s="1"/>
  <c r="AM743" i="29" s="1"/>
  <c r="AM744" i="29" s="1"/>
  <c r="AM745" i="29" s="1"/>
  <c r="AM746" i="29" s="1"/>
  <c r="AM747" i="29" s="1"/>
  <c r="AM748" i="29" s="1"/>
  <c r="AM749" i="29" s="1"/>
  <c r="AM750" i="29" s="1"/>
  <c r="AM751" i="29" s="1"/>
  <c r="AM752" i="29" s="1"/>
  <c r="AM753" i="29" s="1"/>
  <c r="AM754" i="29" s="1"/>
  <c r="AM755" i="29" s="1"/>
  <c r="AM756" i="29" s="1"/>
  <c r="AM757" i="29" s="1"/>
  <c r="AM758" i="29" s="1"/>
  <c r="AM759" i="29" s="1"/>
  <c r="AM760" i="29" s="1"/>
  <c r="AM761" i="29" s="1"/>
  <c r="AM762" i="29" s="1"/>
  <c r="AM763" i="29" s="1"/>
  <c r="AM764" i="29" s="1"/>
  <c r="AM765" i="29" s="1"/>
  <c r="AM766" i="29" s="1"/>
  <c r="AM767" i="29" s="1"/>
  <c r="AM768" i="29" s="1"/>
  <c r="AM769" i="29" s="1"/>
  <c r="AM770" i="29" s="1"/>
  <c r="AM771" i="29" s="1"/>
  <c r="AM772" i="29" s="1"/>
  <c r="AM773" i="29" s="1"/>
  <c r="AM774" i="29" s="1"/>
  <c r="AM775" i="29" s="1"/>
  <c r="AM776" i="29" s="1"/>
  <c r="AM777" i="29" s="1"/>
  <c r="AM778" i="29" s="1"/>
  <c r="AM779" i="29" s="1"/>
  <c r="AM780" i="29" s="1"/>
  <c r="AM781" i="29" s="1"/>
  <c r="AM782" i="29" s="1"/>
  <c r="AM783" i="29" s="1"/>
  <c r="AM784" i="29" s="1"/>
  <c r="AM785" i="29" s="1"/>
  <c r="AM786" i="29" s="1"/>
  <c r="AM787" i="29" s="1"/>
  <c r="AM788" i="29" s="1"/>
  <c r="AM789" i="29" s="1"/>
  <c r="AM790" i="29" s="1"/>
  <c r="AM791" i="29" s="1"/>
  <c r="AM792" i="29" s="1"/>
  <c r="AM793" i="29" s="1"/>
  <c r="AM794" i="29" s="1"/>
  <c r="AM795" i="29" s="1"/>
  <c r="AM796" i="29" s="1"/>
  <c r="AM797" i="29" s="1"/>
  <c r="AM798" i="29" s="1"/>
  <c r="AM799" i="29" s="1"/>
  <c r="AM800" i="29" s="1"/>
  <c r="AM801" i="29" s="1"/>
  <c r="AM802" i="29" s="1"/>
  <c r="AM803" i="29" s="1"/>
  <c r="AM804" i="29" s="1"/>
  <c r="AM805" i="29" s="1"/>
  <c r="AM806" i="29" s="1"/>
  <c r="AM807" i="29" s="1"/>
  <c r="AM808" i="29" s="1"/>
  <c r="AM809" i="29" s="1"/>
  <c r="AM810" i="29" s="1"/>
  <c r="AM811" i="29" s="1"/>
  <c r="AM812" i="29" s="1"/>
  <c r="AM813" i="29" s="1"/>
  <c r="AM814" i="29" s="1"/>
  <c r="AM815" i="29" s="1"/>
  <c r="AM816" i="29" s="1"/>
  <c r="AM817" i="29" s="1"/>
  <c r="AM818" i="29" s="1"/>
  <c r="AM819" i="29" s="1"/>
  <c r="AM820" i="29" s="1"/>
  <c r="AM821" i="29" s="1"/>
  <c r="AM822" i="29" s="1"/>
  <c r="AM823" i="29" s="1"/>
  <c r="AM824" i="29" s="1"/>
  <c r="AM825" i="29" s="1"/>
  <c r="AM826" i="29" s="1"/>
  <c r="AM827" i="29" s="1"/>
  <c r="AM828" i="29" s="1"/>
  <c r="AM829" i="29" s="1"/>
  <c r="AM830" i="29" s="1"/>
  <c r="AM831" i="29" s="1"/>
  <c r="AM832" i="29" s="1"/>
  <c r="AM833" i="29" s="1"/>
  <c r="AM834" i="29" s="1"/>
  <c r="AM835" i="29" s="1"/>
  <c r="AM836" i="29" s="1"/>
  <c r="AM837" i="29" s="1"/>
  <c r="AM838" i="29" s="1"/>
  <c r="AM839" i="29" s="1"/>
  <c r="AM840" i="29" s="1"/>
  <c r="AM841" i="29" s="1"/>
  <c r="AM842" i="29" s="1"/>
  <c r="AM843" i="29" s="1"/>
  <c r="AM844" i="29" s="1"/>
  <c r="AM845" i="29" s="1"/>
  <c r="AM846" i="29" s="1"/>
  <c r="AM847" i="29" s="1"/>
  <c r="AM848" i="29" s="1"/>
  <c r="AM849" i="29" s="1"/>
  <c r="AM850" i="29" s="1"/>
  <c r="AM851" i="29" s="1"/>
  <c r="AM852" i="29" s="1"/>
  <c r="AM853" i="29" s="1"/>
  <c r="AM854" i="29" s="1"/>
  <c r="AM855" i="29" s="1"/>
  <c r="AM856" i="29" s="1"/>
  <c r="AM857" i="29" s="1"/>
  <c r="AM858" i="29" s="1"/>
  <c r="AM859" i="29" s="1"/>
  <c r="AM860" i="29" s="1"/>
  <c r="AM861" i="29" s="1"/>
  <c r="AM862" i="29" s="1"/>
  <c r="AM863" i="29" s="1"/>
  <c r="AM864" i="29" s="1"/>
  <c r="AM865" i="29" s="1"/>
  <c r="AM866" i="29" s="1"/>
  <c r="AM867" i="29" s="1"/>
  <c r="AM868" i="29" s="1"/>
  <c r="AM869" i="29" s="1"/>
  <c r="AM870" i="29" s="1"/>
  <c r="AM871" i="29" s="1"/>
  <c r="AM872" i="29" s="1"/>
  <c r="AM873" i="29" s="1"/>
  <c r="AM874" i="29" s="1"/>
  <c r="AM875" i="29" s="1"/>
  <c r="AM876" i="29" s="1"/>
  <c r="AM877" i="29" s="1"/>
  <c r="AM878" i="29" s="1"/>
  <c r="AM879" i="29" s="1"/>
  <c r="AM880" i="29" s="1"/>
  <c r="AM881" i="29" s="1"/>
  <c r="AM882" i="29" s="1"/>
  <c r="AM883" i="29" s="1"/>
  <c r="AM884" i="29" s="1"/>
  <c r="AM885" i="29" s="1"/>
  <c r="AM886" i="29" s="1"/>
  <c r="AM887" i="29" s="1"/>
  <c r="AM888" i="29" s="1"/>
  <c r="AM889" i="29" s="1"/>
  <c r="AM890" i="29" s="1"/>
  <c r="AM891" i="29" s="1"/>
  <c r="AM892" i="29" s="1"/>
  <c r="AM893" i="29" s="1"/>
  <c r="AM894" i="29" s="1"/>
  <c r="AM895" i="29" s="1"/>
  <c r="AM896" i="29" s="1"/>
  <c r="AM897" i="29" s="1"/>
  <c r="AM898" i="29" s="1"/>
  <c r="AM899" i="29" s="1"/>
  <c r="AM900" i="29" s="1"/>
  <c r="AM901" i="29" s="1"/>
  <c r="AM902" i="29" s="1"/>
  <c r="AM903" i="29" s="1"/>
  <c r="AM904" i="29" s="1"/>
  <c r="AM905" i="29" s="1"/>
  <c r="AM906" i="29" s="1"/>
  <c r="AM907" i="29" s="1"/>
  <c r="AM908" i="29" s="1"/>
  <c r="AM909" i="29" s="1"/>
  <c r="AM910" i="29" s="1"/>
  <c r="AM911" i="29" s="1"/>
  <c r="AM912" i="29" s="1"/>
  <c r="AM913" i="29" s="1"/>
  <c r="AM914" i="29" s="1"/>
  <c r="AM915" i="29" s="1"/>
  <c r="AM916" i="29" s="1"/>
  <c r="AM917" i="29" s="1"/>
  <c r="AM918" i="29" s="1"/>
  <c r="AM919" i="29" s="1"/>
  <c r="AM920" i="29" s="1"/>
  <c r="AM921" i="29" s="1"/>
  <c r="AM922" i="29" s="1"/>
  <c r="AM923" i="29" s="1"/>
  <c r="AM924" i="29" s="1"/>
  <c r="AM925" i="29" s="1"/>
  <c r="AM926" i="29" s="1"/>
  <c r="AM927" i="29" s="1"/>
  <c r="AM928" i="29" s="1"/>
  <c r="AM929" i="29" s="1"/>
  <c r="AM930" i="29" s="1"/>
  <c r="AM931" i="29" s="1"/>
  <c r="AM932" i="29" s="1"/>
  <c r="AM933" i="29" s="1"/>
  <c r="AM934" i="29" s="1"/>
  <c r="AM935" i="29" s="1"/>
  <c r="AM936" i="29" s="1"/>
  <c r="AM937" i="29" s="1"/>
  <c r="AM938" i="29" s="1"/>
  <c r="AM939" i="29" s="1"/>
  <c r="AM940" i="29" s="1"/>
  <c r="AM941" i="29" s="1"/>
  <c r="AM942" i="29" s="1"/>
  <c r="AM943" i="29" s="1"/>
  <c r="AM944" i="29" s="1"/>
  <c r="AM945" i="29" s="1"/>
  <c r="AM946" i="29" s="1"/>
  <c r="AM947" i="29" s="1"/>
  <c r="AM948" i="29" s="1"/>
  <c r="AM949" i="29" s="1"/>
  <c r="AM950" i="29" s="1"/>
  <c r="AM951" i="29" s="1"/>
  <c r="AM952" i="29" s="1"/>
  <c r="AM953" i="29" s="1"/>
  <c r="AM954" i="29" s="1"/>
  <c r="AM955" i="29" s="1"/>
  <c r="AM956" i="29" s="1"/>
  <c r="AM957" i="29" s="1"/>
  <c r="AM958" i="29" s="1"/>
  <c r="AM959" i="29" s="1"/>
  <c r="AM960" i="29" s="1"/>
  <c r="AM961" i="29" s="1"/>
  <c r="AM962" i="29" s="1"/>
  <c r="AM963" i="29" s="1"/>
  <c r="AM964" i="29" s="1"/>
  <c r="AM965" i="29" s="1"/>
  <c r="AM966" i="29" s="1"/>
  <c r="AM967" i="29" s="1"/>
  <c r="AM968" i="29" s="1"/>
  <c r="AM969" i="29" s="1"/>
  <c r="AM970" i="29" s="1"/>
  <c r="AM971" i="29" s="1"/>
  <c r="AM972" i="29" s="1"/>
  <c r="AM973" i="29" s="1"/>
  <c r="AM974" i="29" s="1"/>
  <c r="AM975" i="29" s="1"/>
  <c r="AM976" i="29" s="1"/>
  <c r="AM977" i="29" s="1"/>
  <c r="AM978" i="29" s="1"/>
  <c r="AM979" i="29" s="1"/>
  <c r="AM980" i="29" s="1"/>
  <c r="AM981" i="29" s="1"/>
  <c r="AM982" i="29" s="1"/>
  <c r="AM983" i="29" s="1"/>
  <c r="AM984" i="29" s="1"/>
  <c r="AM985" i="29" s="1"/>
  <c r="AM986" i="29" s="1"/>
  <c r="AM987" i="29" s="1"/>
  <c r="AM988" i="29" s="1"/>
  <c r="AM989" i="29" s="1"/>
  <c r="AM990" i="29" s="1"/>
  <c r="AM991" i="29" s="1"/>
  <c r="AM992" i="29" s="1"/>
  <c r="AM993" i="29" s="1"/>
  <c r="AM994" i="29" s="1"/>
  <c r="AM995" i="29" s="1"/>
  <c r="AM996" i="29" s="1"/>
  <c r="AM997" i="29" s="1"/>
  <c r="AM998" i="29" s="1"/>
  <c r="AM999" i="29" s="1"/>
  <c r="AM1000" i="29" s="1"/>
  <c r="AM1001" i="29" s="1"/>
  <c r="AM1002" i="29" s="1"/>
  <c r="AM1003" i="29" s="1"/>
  <c r="AM1004" i="29" s="1"/>
  <c r="AM1005" i="29" s="1"/>
  <c r="AM1006" i="29" s="1"/>
  <c r="AM1007" i="29" s="1"/>
  <c r="AM1008" i="29" s="1"/>
  <c r="AM1009" i="29" s="1"/>
  <c r="AM1010" i="29" s="1"/>
  <c r="AM1011" i="29" s="1"/>
  <c r="AM1012" i="29" s="1"/>
  <c r="AM1013" i="29" s="1"/>
  <c r="AM1014" i="29" s="1"/>
  <c r="AM1015" i="29" s="1"/>
  <c r="AM1016" i="29" s="1"/>
  <c r="AM1017" i="29" s="1"/>
  <c r="AM1018" i="29" s="1"/>
  <c r="AM1019" i="29" s="1"/>
  <c r="AM1020" i="29" s="1"/>
  <c r="AM1021" i="29" s="1"/>
  <c r="AM1022" i="29" s="1"/>
  <c r="AM1023" i="29" s="1"/>
  <c r="AM1024" i="29" s="1"/>
  <c r="AM1025" i="29" s="1"/>
  <c r="AM1026" i="29" s="1"/>
  <c r="AM1027" i="29" s="1"/>
  <c r="AM1028" i="29" s="1"/>
  <c r="AM1029" i="29" s="1"/>
  <c r="AM1030" i="29" s="1"/>
  <c r="AM1031" i="29" s="1"/>
  <c r="AM1032" i="29" s="1"/>
  <c r="AM1033" i="29" s="1"/>
  <c r="AM1034" i="29" s="1"/>
  <c r="AM1035" i="29" s="1"/>
  <c r="AM1036" i="29" s="1"/>
  <c r="AH1" i="29"/>
  <c r="AH2" i="29" s="1"/>
  <c r="AH3" i="29" s="1"/>
  <c r="AH4" i="29" s="1"/>
  <c r="AH5" i="29" s="1"/>
  <c r="AH6" i="29" s="1"/>
  <c r="AH7" i="29" s="1"/>
  <c r="AH8" i="29" s="1"/>
  <c r="AH9" i="29" s="1"/>
  <c r="AH10" i="29" s="1"/>
  <c r="AH11" i="29" s="1"/>
  <c r="AH12" i="29" s="1"/>
  <c r="AH13" i="29" s="1"/>
  <c r="AH14" i="29" s="1"/>
  <c r="AH15" i="29" s="1"/>
  <c r="AH16" i="29" s="1"/>
  <c r="AH17" i="29" s="1"/>
  <c r="AH18" i="29" s="1"/>
  <c r="AH19" i="29" s="1"/>
  <c r="AH20" i="29" s="1"/>
  <c r="AH21" i="29" s="1"/>
  <c r="AH22" i="29" s="1"/>
  <c r="AH23" i="29" s="1"/>
  <c r="AH24" i="29" s="1"/>
  <c r="AH25" i="29" s="1"/>
  <c r="AH26" i="29" s="1"/>
  <c r="AH27" i="29" s="1"/>
  <c r="AH28" i="29" s="1"/>
  <c r="AH29" i="29" s="1"/>
  <c r="AH30" i="29" s="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H86" i="29" s="1"/>
  <c r="AH87" i="29" s="1"/>
  <c r="AH88" i="29" s="1"/>
  <c r="AH89" i="29" s="1"/>
  <c r="AH90" i="29" s="1"/>
  <c r="AH91" i="29" s="1"/>
  <c r="AH92" i="29" s="1"/>
  <c r="AH93" i="29" s="1"/>
  <c r="AH94" i="29" s="1"/>
  <c r="AH95" i="29" s="1"/>
  <c r="AH96" i="29" s="1"/>
  <c r="AH97" i="29" s="1"/>
  <c r="AH98" i="29" s="1"/>
  <c r="AH99" i="29" s="1"/>
  <c r="AH100" i="29" s="1"/>
  <c r="AH101" i="29" s="1"/>
  <c r="AH102" i="29" s="1"/>
  <c r="AH103" i="29" s="1"/>
  <c r="AH104" i="29" s="1"/>
  <c r="AH105" i="29" s="1"/>
  <c r="AH106" i="29" s="1"/>
  <c r="AH107" i="29" s="1"/>
  <c r="AH108" i="29" s="1"/>
  <c r="AH109" i="29" s="1"/>
  <c r="AH110" i="29" s="1"/>
  <c r="AH111" i="29" s="1"/>
  <c r="AH112" i="29" s="1"/>
  <c r="AH113" i="29" s="1"/>
  <c r="AH114" i="29" s="1"/>
  <c r="AH115" i="29" s="1"/>
  <c r="AH116" i="29" s="1"/>
  <c r="AH117" i="29" s="1"/>
  <c r="AH118" i="29" s="1"/>
  <c r="AH119" i="29" s="1"/>
  <c r="AH120" i="29" s="1"/>
  <c r="AH121" i="29" s="1"/>
  <c r="AH122" i="29" s="1"/>
  <c r="AH123" i="29" s="1"/>
  <c r="AH124" i="29" s="1"/>
  <c r="AH125" i="29" s="1"/>
  <c r="AH126" i="29" s="1"/>
  <c r="AH127" i="29" s="1"/>
  <c r="AH128" i="29" s="1"/>
  <c r="AH129" i="29" s="1"/>
  <c r="AH130" i="29" s="1"/>
  <c r="AH131" i="29" s="1"/>
  <c r="AH132" i="29" s="1"/>
  <c r="AH133" i="29" s="1"/>
  <c r="AH134" i="29" s="1"/>
  <c r="AH135" i="29" s="1"/>
  <c r="AH136" i="29" s="1"/>
  <c r="AH137" i="29" s="1"/>
  <c r="AH138" i="29" s="1"/>
  <c r="AH139" i="29" s="1"/>
  <c r="AH140" i="29" s="1"/>
  <c r="AH141" i="29" s="1"/>
  <c r="AH142" i="29" s="1"/>
  <c r="AH143" i="29" s="1"/>
  <c r="AH144" i="29" s="1"/>
  <c r="AH145" i="29" s="1"/>
  <c r="AH146" i="29" s="1"/>
  <c r="AH147" i="29" s="1"/>
  <c r="AH148" i="29" s="1"/>
  <c r="AH149" i="29" s="1"/>
  <c r="AH150" i="29" s="1"/>
  <c r="AH151" i="29" s="1"/>
  <c r="AH152" i="29" s="1"/>
  <c r="AH153" i="29" s="1"/>
  <c r="AH154" i="29" s="1"/>
  <c r="AH155" i="29" s="1"/>
  <c r="AH156" i="29" s="1"/>
  <c r="AH157" i="29" s="1"/>
  <c r="AH158" i="29" s="1"/>
  <c r="AH159" i="29" s="1"/>
  <c r="AH160" i="29" s="1"/>
  <c r="AH161" i="29" s="1"/>
  <c r="AH162" i="29" s="1"/>
  <c r="AH163" i="29" s="1"/>
  <c r="AH164" i="29" s="1"/>
  <c r="AH165" i="29" s="1"/>
  <c r="AH166" i="29" s="1"/>
  <c r="AH167" i="29" s="1"/>
  <c r="AH168" i="29" s="1"/>
  <c r="AH169" i="29" s="1"/>
  <c r="AH170" i="29" s="1"/>
  <c r="AH171" i="29" s="1"/>
  <c r="AH172" i="29" s="1"/>
  <c r="AH173" i="29" s="1"/>
  <c r="AH174" i="29" s="1"/>
  <c r="AH175" i="29" s="1"/>
  <c r="AH176" i="29" s="1"/>
  <c r="AH177" i="29" s="1"/>
  <c r="AH178" i="29" s="1"/>
  <c r="AH179" i="29" s="1"/>
  <c r="AH180" i="29" s="1"/>
  <c r="AH181" i="29" s="1"/>
  <c r="AH182" i="29" s="1"/>
  <c r="AH183" i="29" s="1"/>
  <c r="AH184" i="29" s="1"/>
  <c r="AH185" i="29" s="1"/>
  <c r="AH186" i="29" s="1"/>
  <c r="AH187" i="29" s="1"/>
  <c r="AH188" i="29" s="1"/>
  <c r="AH189" i="29" s="1"/>
  <c r="AH190" i="29" s="1"/>
  <c r="AH191" i="29" s="1"/>
  <c r="AH192" i="29" s="1"/>
  <c r="AH193" i="29" s="1"/>
  <c r="AH194" i="29" s="1"/>
  <c r="AH195" i="29" s="1"/>
  <c r="AH196" i="29" s="1"/>
  <c r="AH197" i="29" s="1"/>
  <c r="AH198" i="29" s="1"/>
  <c r="AH199" i="29" s="1"/>
  <c r="AH200" i="29" s="1"/>
  <c r="AH201" i="29" s="1"/>
  <c r="AH202" i="29" s="1"/>
  <c r="AH203" i="29" s="1"/>
  <c r="AH204" i="29" s="1"/>
  <c r="AH205" i="29" s="1"/>
  <c r="AH206" i="29" s="1"/>
  <c r="AH207" i="29" s="1"/>
  <c r="AH208" i="29" s="1"/>
  <c r="AH209" i="29" s="1"/>
  <c r="AH210" i="29" s="1"/>
  <c r="AH211" i="29" s="1"/>
  <c r="AH212" i="29" s="1"/>
  <c r="AH213" i="29" s="1"/>
  <c r="AH214" i="29" s="1"/>
  <c r="AH215" i="29" s="1"/>
  <c r="AH216" i="29" s="1"/>
  <c r="AH217" i="29" s="1"/>
  <c r="AH218" i="29" s="1"/>
  <c r="AH219" i="29" s="1"/>
  <c r="AH220" i="29" s="1"/>
  <c r="AH221" i="29" s="1"/>
  <c r="AH222" i="29" s="1"/>
  <c r="AH223" i="29" s="1"/>
  <c r="AH224" i="29" s="1"/>
  <c r="AH225" i="29" s="1"/>
  <c r="AH226" i="29" s="1"/>
  <c r="AH227" i="29" s="1"/>
  <c r="AH228" i="29" s="1"/>
  <c r="AH229" i="29" s="1"/>
  <c r="AH230" i="29" s="1"/>
  <c r="AH231" i="29" s="1"/>
  <c r="AH232" i="29" s="1"/>
  <c r="AH233" i="29" s="1"/>
  <c r="AH234" i="29" s="1"/>
  <c r="AH235" i="29" s="1"/>
  <c r="AH236" i="29" s="1"/>
  <c r="AH237" i="29" s="1"/>
  <c r="AH238" i="29" s="1"/>
  <c r="AH239" i="29" s="1"/>
  <c r="AH240" i="29" s="1"/>
  <c r="AH241" i="29" s="1"/>
  <c r="AH242" i="29" s="1"/>
  <c r="AH243" i="29" s="1"/>
  <c r="AH244" i="29" s="1"/>
  <c r="AH245" i="29" s="1"/>
  <c r="AH246" i="29" s="1"/>
  <c r="AH247" i="29" s="1"/>
  <c r="AH248" i="29" s="1"/>
  <c r="AH249" i="29" s="1"/>
  <c r="AH250" i="29" s="1"/>
  <c r="AH251" i="29" s="1"/>
  <c r="AH252" i="29" s="1"/>
  <c r="AH253" i="29" s="1"/>
  <c r="AH254" i="29" s="1"/>
  <c r="AH255" i="29" s="1"/>
  <c r="AH256" i="29" s="1"/>
  <c r="AH257" i="29" s="1"/>
  <c r="AH258" i="29" s="1"/>
  <c r="AH259" i="29" s="1"/>
  <c r="AH260" i="29" s="1"/>
  <c r="AH261" i="29" s="1"/>
  <c r="AH262" i="29" s="1"/>
  <c r="AH263" i="29" s="1"/>
  <c r="AH264" i="29" s="1"/>
  <c r="AH265" i="29" s="1"/>
  <c r="AH266" i="29" s="1"/>
  <c r="AH267" i="29" s="1"/>
  <c r="AH268" i="29" s="1"/>
  <c r="AH269" i="29" s="1"/>
  <c r="AH270" i="29" s="1"/>
  <c r="AH271" i="29" s="1"/>
  <c r="AH272" i="29" s="1"/>
  <c r="AH273" i="29" s="1"/>
  <c r="AH274" i="29" s="1"/>
  <c r="AH275" i="29" s="1"/>
  <c r="AH276" i="29" s="1"/>
  <c r="AH277" i="29" s="1"/>
  <c r="AH278" i="29" s="1"/>
  <c r="AH279" i="29" s="1"/>
  <c r="AH280" i="29" s="1"/>
  <c r="AH281" i="29" s="1"/>
  <c r="AH282" i="29" s="1"/>
  <c r="AH283" i="29" s="1"/>
  <c r="AH284" i="29" s="1"/>
  <c r="AH285" i="29" s="1"/>
  <c r="AH286" i="29" s="1"/>
  <c r="AH287" i="29" s="1"/>
  <c r="AH288" i="29" s="1"/>
  <c r="AH289" i="29" s="1"/>
  <c r="AH290" i="29" s="1"/>
  <c r="AH291" i="29" s="1"/>
  <c r="AH292" i="29" s="1"/>
  <c r="AH293" i="29" s="1"/>
  <c r="AH294" i="29" s="1"/>
  <c r="AH295" i="29" s="1"/>
  <c r="AH296" i="29" s="1"/>
  <c r="AH297" i="29" s="1"/>
  <c r="AH298" i="29" s="1"/>
  <c r="AH299" i="29" s="1"/>
  <c r="AH300" i="29" s="1"/>
  <c r="AH301" i="29" s="1"/>
  <c r="AH302" i="29" s="1"/>
  <c r="AH303" i="29" s="1"/>
  <c r="AH304" i="29" s="1"/>
  <c r="AH305" i="29" s="1"/>
  <c r="AH306" i="29" s="1"/>
  <c r="AH307" i="29" s="1"/>
  <c r="AH308" i="29" s="1"/>
  <c r="AH309" i="29" s="1"/>
  <c r="AH310" i="29" s="1"/>
  <c r="AH311" i="29" s="1"/>
  <c r="AH312" i="29" s="1"/>
  <c r="AH313" i="29" s="1"/>
  <c r="AH314" i="29" s="1"/>
  <c r="AH315" i="29" s="1"/>
  <c r="AH316" i="29" s="1"/>
  <c r="AH317" i="29" s="1"/>
  <c r="AH318" i="29" s="1"/>
  <c r="AH319" i="29" s="1"/>
  <c r="AH320" i="29" s="1"/>
  <c r="AH321" i="29" s="1"/>
  <c r="AH322" i="29" s="1"/>
  <c r="AH323" i="29" s="1"/>
  <c r="AH324" i="29" s="1"/>
  <c r="AH325" i="29" s="1"/>
  <c r="AH326" i="29" s="1"/>
  <c r="AH327" i="29" s="1"/>
  <c r="AH328" i="29" s="1"/>
  <c r="AH329" i="29" s="1"/>
  <c r="AH330" i="29" s="1"/>
  <c r="AH331" i="29" s="1"/>
  <c r="AH332" i="29" s="1"/>
  <c r="AH333" i="29" s="1"/>
  <c r="AH334" i="29" s="1"/>
  <c r="AH335" i="29" s="1"/>
  <c r="AH336" i="29" s="1"/>
  <c r="AH337" i="29" s="1"/>
  <c r="AH338" i="29" s="1"/>
  <c r="AH339" i="29" s="1"/>
  <c r="AH340" i="29" s="1"/>
  <c r="AH341" i="29" s="1"/>
  <c r="AH342" i="29" s="1"/>
  <c r="AH343" i="29" s="1"/>
  <c r="AH344" i="29" s="1"/>
  <c r="AH345" i="29" s="1"/>
  <c r="AH346" i="29" s="1"/>
  <c r="AH347" i="29" s="1"/>
  <c r="AH348" i="29" s="1"/>
  <c r="AH349" i="29" s="1"/>
  <c r="AH350" i="29" s="1"/>
  <c r="AH351" i="29" s="1"/>
  <c r="AH352" i="29" s="1"/>
  <c r="AH353" i="29" s="1"/>
  <c r="AH354" i="29" s="1"/>
  <c r="AH355" i="29" s="1"/>
  <c r="AH356" i="29" s="1"/>
  <c r="AH357" i="29" s="1"/>
  <c r="AH358" i="29" s="1"/>
  <c r="AH359" i="29" s="1"/>
  <c r="AH360" i="29" s="1"/>
  <c r="AH361" i="29" s="1"/>
  <c r="AH362" i="29" s="1"/>
  <c r="AH363" i="29" s="1"/>
  <c r="AH364" i="29" s="1"/>
  <c r="AH365" i="29" s="1"/>
  <c r="AH366" i="29" s="1"/>
  <c r="AH367" i="29" s="1"/>
  <c r="AH368" i="29" s="1"/>
  <c r="AH369" i="29" s="1"/>
  <c r="AH370" i="29" s="1"/>
  <c r="AH371" i="29" s="1"/>
  <c r="AH372" i="29" s="1"/>
  <c r="AH373" i="29" s="1"/>
  <c r="AH374" i="29" s="1"/>
  <c r="AH375" i="29" s="1"/>
  <c r="AH376" i="29" s="1"/>
  <c r="AH377" i="29" s="1"/>
  <c r="AH378" i="29" s="1"/>
  <c r="AH379" i="29" s="1"/>
  <c r="AH380" i="29" s="1"/>
  <c r="AH381" i="29" s="1"/>
  <c r="AH382" i="29" s="1"/>
  <c r="AH383" i="29" s="1"/>
  <c r="AH384" i="29" s="1"/>
  <c r="AH385" i="29" s="1"/>
  <c r="AH386" i="29" s="1"/>
  <c r="AH387" i="29" s="1"/>
  <c r="AH388" i="29" s="1"/>
  <c r="AH389" i="29" s="1"/>
  <c r="AH390" i="29" s="1"/>
  <c r="AH391" i="29" s="1"/>
  <c r="AH392" i="29" s="1"/>
  <c r="AH393" i="29" s="1"/>
  <c r="AH394" i="29" s="1"/>
  <c r="AH395" i="29" s="1"/>
  <c r="AH396" i="29" s="1"/>
  <c r="AH397" i="29" s="1"/>
  <c r="AH398" i="29" s="1"/>
  <c r="AH399" i="29" s="1"/>
  <c r="AH400" i="29" s="1"/>
  <c r="AH401" i="29" s="1"/>
  <c r="AH402" i="29" s="1"/>
  <c r="AH403" i="29" s="1"/>
  <c r="AH404" i="29" s="1"/>
  <c r="AH405" i="29" s="1"/>
  <c r="AH406" i="29" s="1"/>
  <c r="AH407" i="29" s="1"/>
  <c r="AH408" i="29" s="1"/>
  <c r="AH409" i="29" s="1"/>
  <c r="AH410" i="29" s="1"/>
  <c r="AH411" i="29" s="1"/>
  <c r="AH412" i="29" s="1"/>
  <c r="AH413" i="29" s="1"/>
  <c r="AH414" i="29" s="1"/>
  <c r="AH415" i="29" s="1"/>
  <c r="AH416" i="29" s="1"/>
  <c r="AH417" i="29" s="1"/>
  <c r="AH418" i="29" s="1"/>
  <c r="AH419" i="29" s="1"/>
  <c r="AH420" i="29" s="1"/>
  <c r="AH421" i="29" s="1"/>
  <c r="AH422" i="29" s="1"/>
  <c r="AH423" i="29" s="1"/>
  <c r="AH424" i="29" s="1"/>
  <c r="AH425" i="29" s="1"/>
  <c r="AH426" i="29" s="1"/>
  <c r="AH427" i="29" s="1"/>
  <c r="AH428" i="29" s="1"/>
  <c r="AH429" i="29" s="1"/>
  <c r="AH430" i="29" s="1"/>
  <c r="AH431" i="29" s="1"/>
  <c r="AH432" i="29" s="1"/>
  <c r="AH433" i="29" s="1"/>
  <c r="AH434" i="29" s="1"/>
  <c r="AH435" i="29" s="1"/>
  <c r="AH436" i="29" s="1"/>
  <c r="AH437" i="29" s="1"/>
  <c r="AH438" i="29" s="1"/>
  <c r="AH439" i="29" s="1"/>
  <c r="AH440" i="29" s="1"/>
  <c r="AH441" i="29" s="1"/>
  <c r="AH442" i="29" s="1"/>
  <c r="AH443" i="29" s="1"/>
  <c r="AH444" i="29" s="1"/>
  <c r="AH445" i="29" s="1"/>
  <c r="AH446" i="29" s="1"/>
  <c r="AH447" i="29" s="1"/>
  <c r="AH448" i="29" s="1"/>
  <c r="AH449" i="29" s="1"/>
  <c r="AH450" i="29" s="1"/>
  <c r="AH451" i="29" s="1"/>
  <c r="AH452" i="29" s="1"/>
  <c r="AH453" i="29" s="1"/>
  <c r="AH454" i="29" s="1"/>
  <c r="AH455" i="29" s="1"/>
  <c r="AH456" i="29" s="1"/>
  <c r="AH457" i="29" s="1"/>
  <c r="AH458" i="29" s="1"/>
  <c r="AH459" i="29" s="1"/>
  <c r="AH460" i="29" s="1"/>
  <c r="AH461" i="29" s="1"/>
  <c r="AH462" i="29" s="1"/>
  <c r="AH463" i="29" s="1"/>
  <c r="AH464" i="29" s="1"/>
  <c r="AH465" i="29" s="1"/>
  <c r="AH466" i="29" s="1"/>
  <c r="AH467" i="29" s="1"/>
  <c r="AH468" i="29" s="1"/>
  <c r="AH469" i="29" s="1"/>
  <c r="AH470" i="29" s="1"/>
  <c r="AH471" i="29" s="1"/>
  <c r="AH472" i="29" s="1"/>
  <c r="AH473" i="29" s="1"/>
  <c r="AH474" i="29" s="1"/>
  <c r="AH475" i="29" s="1"/>
  <c r="AH476" i="29" s="1"/>
  <c r="AH477" i="29" s="1"/>
  <c r="AH478" i="29" s="1"/>
  <c r="AH479" i="29" s="1"/>
  <c r="AH480" i="29" s="1"/>
  <c r="AH481" i="29" s="1"/>
  <c r="AH482" i="29" s="1"/>
  <c r="AH483" i="29" s="1"/>
  <c r="AH484" i="29" s="1"/>
  <c r="AH485" i="29" s="1"/>
  <c r="AH486" i="29" s="1"/>
  <c r="AH487" i="29" s="1"/>
  <c r="AH488" i="29" s="1"/>
  <c r="AH489" i="29" s="1"/>
  <c r="AH490" i="29" s="1"/>
  <c r="AH491" i="29" s="1"/>
  <c r="AH492" i="29" s="1"/>
  <c r="AH493" i="29" s="1"/>
  <c r="AH494" i="29" s="1"/>
  <c r="AH495" i="29" s="1"/>
  <c r="AH496" i="29" s="1"/>
  <c r="AH497" i="29" s="1"/>
  <c r="AH498" i="29" s="1"/>
  <c r="AH499" i="29" s="1"/>
  <c r="AH500" i="29" s="1"/>
  <c r="AH501" i="29" s="1"/>
  <c r="AH502" i="29" s="1"/>
  <c r="AH503" i="29" s="1"/>
  <c r="AH504" i="29" s="1"/>
  <c r="AH505" i="29" s="1"/>
  <c r="AH506" i="29" s="1"/>
  <c r="AH507" i="29" s="1"/>
  <c r="AH508" i="29" s="1"/>
  <c r="AH509" i="29" s="1"/>
  <c r="AH510" i="29" s="1"/>
  <c r="AH511" i="29" s="1"/>
  <c r="AH512" i="29" s="1"/>
  <c r="AH513" i="29" s="1"/>
  <c r="AH514" i="29" s="1"/>
  <c r="AH515" i="29" s="1"/>
  <c r="AH516" i="29" s="1"/>
  <c r="AH517" i="29" s="1"/>
  <c r="AH518" i="29" s="1"/>
  <c r="AH519" i="29" s="1"/>
  <c r="AH520" i="29" s="1"/>
  <c r="AH521" i="29" s="1"/>
  <c r="AH522" i="29" s="1"/>
  <c r="AH523" i="29" s="1"/>
  <c r="AH524" i="29" s="1"/>
  <c r="AH525" i="29" s="1"/>
  <c r="AH526" i="29" s="1"/>
  <c r="AH527" i="29" s="1"/>
  <c r="AH528" i="29" s="1"/>
  <c r="AH529" i="29" s="1"/>
  <c r="AH530" i="29" s="1"/>
  <c r="AH531" i="29" s="1"/>
  <c r="AH532" i="29" s="1"/>
  <c r="AH533" i="29" s="1"/>
  <c r="AH534" i="29" s="1"/>
  <c r="AH535" i="29" s="1"/>
  <c r="AH536" i="29" s="1"/>
  <c r="AH537" i="29" s="1"/>
  <c r="AH538" i="29" s="1"/>
  <c r="AH539" i="29" s="1"/>
  <c r="AH540" i="29" s="1"/>
  <c r="AH541" i="29" s="1"/>
  <c r="AH542" i="29" s="1"/>
  <c r="AH543" i="29" s="1"/>
  <c r="AH544" i="29" s="1"/>
  <c r="AH545" i="29" s="1"/>
  <c r="AH546" i="29" s="1"/>
  <c r="AH547" i="29" s="1"/>
  <c r="AH548" i="29" s="1"/>
  <c r="AH549" i="29" s="1"/>
  <c r="AH550" i="29" s="1"/>
  <c r="AH551" i="29" s="1"/>
  <c r="AH552" i="29" s="1"/>
  <c r="AH553" i="29" s="1"/>
  <c r="AH554" i="29" s="1"/>
  <c r="AH555" i="29" s="1"/>
  <c r="AH556" i="29" s="1"/>
  <c r="AH557" i="29" s="1"/>
  <c r="AH558" i="29" s="1"/>
  <c r="AH559" i="29" s="1"/>
  <c r="AH560" i="29" s="1"/>
  <c r="AH561" i="29" s="1"/>
  <c r="AH562" i="29" s="1"/>
  <c r="AH563" i="29" s="1"/>
  <c r="AH564" i="29" s="1"/>
  <c r="AH565" i="29" s="1"/>
  <c r="AH566" i="29" s="1"/>
  <c r="AH567" i="29" s="1"/>
  <c r="AH568" i="29" s="1"/>
  <c r="AH569" i="29" s="1"/>
  <c r="AH570" i="29" s="1"/>
  <c r="AH571" i="29" s="1"/>
  <c r="AH572" i="29" s="1"/>
  <c r="AH573" i="29" s="1"/>
  <c r="AH574" i="29" s="1"/>
  <c r="AH575" i="29" s="1"/>
  <c r="AH576" i="29" s="1"/>
  <c r="AH577" i="29" s="1"/>
  <c r="AH578" i="29" s="1"/>
  <c r="AH579" i="29" s="1"/>
  <c r="AH580" i="29" s="1"/>
  <c r="AH581" i="29" s="1"/>
  <c r="AH582" i="29" s="1"/>
  <c r="AH583" i="29" s="1"/>
  <c r="AH584" i="29" s="1"/>
  <c r="AH585" i="29" s="1"/>
  <c r="AH586" i="29" s="1"/>
  <c r="AH587" i="29" s="1"/>
  <c r="AH588" i="29" s="1"/>
  <c r="AH589" i="29" s="1"/>
  <c r="AH590" i="29" s="1"/>
  <c r="AH591" i="29" s="1"/>
  <c r="AH592" i="29" s="1"/>
  <c r="AH593" i="29" s="1"/>
  <c r="AH594" i="29" s="1"/>
  <c r="AH595" i="29" s="1"/>
  <c r="AH596" i="29" s="1"/>
  <c r="AH597" i="29" s="1"/>
  <c r="AH598" i="29" s="1"/>
  <c r="AH599" i="29" s="1"/>
  <c r="AH600" i="29" s="1"/>
  <c r="AH601" i="29" s="1"/>
  <c r="AH602" i="29" s="1"/>
  <c r="AH603" i="29" s="1"/>
  <c r="AH604" i="29" s="1"/>
  <c r="AH605" i="29" s="1"/>
  <c r="AH606" i="29" s="1"/>
  <c r="AH607" i="29" s="1"/>
  <c r="AH608" i="29" s="1"/>
  <c r="AH609" i="29" s="1"/>
  <c r="AH610" i="29" s="1"/>
  <c r="AH611" i="29" s="1"/>
  <c r="AH612" i="29" s="1"/>
  <c r="AH613" i="29" s="1"/>
  <c r="AH614" i="29" s="1"/>
  <c r="AH615" i="29" s="1"/>
  <c r="AH616" i="29" s="1"/>
  <c r="AH617" i="29" s="1"/>
  <c r="AH618" i="29" s="1"/>
  <c r="AH619" i="29" s="1"/>
  <c r="AH620" i="29" s="1"/>
  <c r="AH621" i="29" s="1"/>
  <c r="AH622" i="29" s="1"/>
  <c r="AH623" i="29" s="1"/>
  <c r="AH624" i="29" s="1"/>
  <c r="AH625" i="29" s="1"/>
  <c r="AH626" i="29" s="1"/>
  <c r="AH627" i="29" s="1"/>
  <c r="AH628" i="29" s="1"/>
  <c r="AH629" i="29" s="1"/>
  <c r="AH630" i="29" s="1"/>
  <c r="AH631" i="29" s="1"/>
  <c r="AH632" i="29" s="1"/>
  <c r="AH633" i="29" s="1"/>
  <c r="AH634" i="29" s="1"/>
  <c r="AH635" i="29" s="1"/>
  <c r="AH636" i="29" s="1"/>
  <c r="AH637" i="29" s="1"/>
  <c r="AH638" i="29" s="1"/>
  <c r="AH639" i="29" s="1"/>
  <c r="AH640" i="29" s="1"/>
  <c r="AH641" i="29" s="1"/>
  <c r="AH642" i="29" s="1"/>
  <c r="AH643" i="29" s="1"/>
  <c r="AH644" i="29" s="1"/>
  <c r="AH645" i="29" s="1"/>
  <c r="AH646" i="29" s="1"/>
  <c r="AH647" i="29" s="1"/>
  <c r="AH648" i="29" s="1"/>
  <c r="AH649" i="29" s="1"/>
  <c r="AH650" i="29" s="1"/>
  <c r="AH651" i="29" s="1"/>
  <c r="AH652" i="29" s="1"/>
  <c r="AH653" i="29" s="1"/>
  <c r="AH654" i="29" s="1"/>
  <c r="AH655" i="29" s="1"/>
  <c r="AH656" i="29" s="1"/>
  <c r="AH657" i="29" s="1"/>
  <c r="AH658" i="29" s="1"/>
  <c r="AH659" i="29" s="1"/>
  <c r="AH660" i="29" s="1"/>
  <c r="AH661" i="29" s="1"/>
  <c r="AH662" i="29" s="1"/>
  <c r="AH663" i="29" s="1"/>
  <c r="AH664" i="29" s="1"/>
  <c r="AH665" i="29" s="1"/>
  <c r="AH666" i="29" s="1"/>
  <c r="AH667" i="29" s="1"/>
  <c r="AH668" i="29" s="1"/>
  <c r="AH669" i="29" s="1"/>
  <c r="AH670" i="29" s="1"/>
  <c r="AH671" i="29" s="1"/>
  <c r="AH672" i="29" s="1"/>
  <c r="AH673" i="29" s="1"/>
  <c r="AH674" i="29" s="1"/>
  <c r="AH675" i="29" s="1"/>
  <c r="AH676" i="29" s="1"/>
  <c r="AH677" i="29" s="1"/>
  <c r="AH678" i="29" s="1"/>
  <c r="AH679" i="29" s="1"/>
  <c r="AH680" i="29" s="1"/>
  <c r="AH681" i="29" s="1"/>
  <c r="AH682" i="29" s="1"/>
  <c r="AH683" i="29" s="1"/>
  <c r="AH684" i="29" s="1"/>
  <c r="AH685" i="29" s="1"/>
  <c r="AH686" i="29" s="1"/>
  <c r="AH687" i="29" s="1"/>
  <c r="AH688" i="29" s="1"/>
  <c r="AH689" i="29" s="1"/>
  <c r="AH690" i="29" s="1"/>
  <c r="AH691" i="29" s="1"/>
  <c r="AH692" i="29" s="1"/>
  <c r="AH693" i="29" s="1"/>
  <c r="AH694" i="29" s="1"/>
  <c r="AH695" i="29" s="1"/>
  <c r="AH696" i="29" s="1"/>
  <c r="AH697" i="29" s="1"/>
  <c r="AH698" i="29" s="1"/>
  <c r="AH699" i="29" s="1"/>
  <c r="AH700" i="29" s="1"/>
  <c r="AH701" i="29" s="1"/>
  <c r="AH702" i="29" s="1"/>
  <c r="AH703" i="29" s="1"/>
  <c r="AH704" i="29" s="1"/>
  <c r="AH705" i="29" s="1"/>
  <c r="AH706" i="29" s="1"/>
  <c r="AH707" i="29" s="1"/>
  <c r="AH708" i="29" s="1"/>
  <c r="AH709" i="29" s="1"/>
  <c r="AH710" i="29" s="1"/>
  <c r="AH711" i="29" s="1"/>
  <c r="AH712" i="29" s="1"/>
  <c r="AH713" i="29" s="1"/>
  <c r="AH714" i="29" s="1"/>
  <c r="AH715" i="29" s="1"/>
  <c r="AH716" i="29" s="1"/>
  <c r="AH717" i="29" s="1"/>
  <c r="AH718" i="29" s="1"/>
  <c r="AH719" i="29" s="1"/>
  <c r="AH720" i="29" s="1"/>
  <c r="AH721" i="29" s="1"/>
  <c r="AH722" i="29" s="1"/>
  <c r="AH723" i="29" s="1"/>
  <c r="AH724" i="29" s="1"/>
  <c r="AH725" i="29" s="1"/>
  <c r="AH726" i="29" s="1"/>
  <c r="AH727" i="29" s="1"/>
  <c r="AH728" i="29" s="1"/>
  <c r="AH729" i="29" s="1"/>
  <c r="AH730" i="29" s="1"/>
  <c r="AH731" i="29" s="1"/>
  <c r="AH732" i="29" s="1"/>
  <c r="AH733" i="29" s="1"/>
  <c r="AH734" i="29" s="1"/>
  <c r="AH735" i="29" s="1"/>
  <c r="AH736" i="29" s="1"/>
  <c r="AH737" i="29" s="1"/>
  <c r="AH738" i="29" s="1"/>
  <c r="AH739" i="29" s="1"/>
  <c r="AH740" i="29" s="1"/>
  <c r="AH741" i="29" s="1"/>
  <c r="AH742" i="29" s="1"/>
  <c r="AH743" i="29" s="1"/>
  <c r="AH744" i="29" s="1"/>
  <c r="AH745" i="29" s="1"/>
  <c r="AH746" i="29" s="1"/>
  <c r="AH747" i="29" s="1"/>
  <c r="AH748" i="29" s="1"/>
  <c r="AH749" i="29" s="1"/>
  <c r="AH750" i="29" s="1"/>
  <c r="AH751" i="29" s="1"/>
  <c r="AH752" i="29" s="1"/>
  <c r="AH753" i="29" s="1"/>
  <c r="AH754" i="29" s="1"/>
  <c r="AH755" i="29" s="1"/>
  <c r="AH756" i="29" s="1"/>
  <c r="AH757" i="29" s="1"/>
  <c r="AH758" i="29" s="1"/>
  <c r="AH759" i="29" s="1"/>
  <c r="AH760" i="29" s="1"/>
  <c r="AH761" i="29" s="1"/>
  <c r="AH762" i="29" s="1"/>
  <c r="AH763" i="29" s="1"/>
  <c r="AH764" i="29" s="1"/>
  <c r="AH765" i="29" s="1"/>
  <c r="AH766" i="29" s="1"/>
  <c r="AH767" i="29" s="1"/>
  <c r="AH768" i="29" s="1"/>
  <c r="AH769" i="29" s="1"/>
  <c r="AH770" i="29" s="1"/>
  <c r="AH771" i="29" s="1"/>
  <c r="AH772" i="29" s="1"/>
  <c r="AH773" i="29" s="1"/>
  <c r="AH774" i="29" s="1"/>
  <c r="AH775" i="29" s="1"/>
  <c r="AH776" i="29" s="1"/>
  <c r="AH777" i="29" s="1"/>
  <c r="AH778" i="29" s="1"/>
  <c r="AH779" i="29" s="1"/>
  <c r="AH780" i="29" s="1"/>
  <c r="AH781" i="29" s="1"/>
  <c r="AH782" i="29" s="1"/>
  <c r="AH783" i="29" s="1"/>
  <c r="AH784" i="29" s="1"/>
  <c r="AH785" i="29" s="1"/>
  <c r="AH786" i="29" s="1"/>
  <c r="AH787" i="29" s="1"/>
  <c r="AH788" i="29" s="1"/>
  <c r="AH789" i="29" s="1"/>
  <c r="AH790" i="29" s="1"/>
  <c r="AH791" i="29" s="1"/>
  <c r="AH792" i="29" s="1"/>
  <c r="AH793" i="29" s="1"/>
  <c r="AH794" i="29" s="1"/>
  <c r="AH795" i="29" s="1"/>
  <c r="AH796" i="29" s="1"/>
  <c r="AH797" i="29" s="1"/>
  <c r="AH798" i="29" s="1"/>
  <c r="AH799" i="29" s="1"/>
  <c r="AH800" i="29" s="1"/>
  <c r="AH801" i="29" s="1"/>
  <c r="AH802" i="29" s="1"/>
  <c r="AH803" i="29" s="1"/>
  <c r="AH804" i="29" s="1"/>
  <c r="AH805" i="29" s="1"/>
  <c r="AH806" i="29" s="1"/>
  <c r="AH807" i="29" s="1"/>
  <c r="AH808" i="29" s="1"/>
  <c r="AH809" i="29" s="1"/>
  <c r="AH810" i="29" s="1"/>
  <c r="AH811" i="29" s="1"/>
  <c r="AH812" i="29" s="1"/>
  <c r="AH813" i="29" s="1"/>
  <c r="AH814" i="29" s="1"/>
  <c r="AH815" i="29" s="1"/>
  <c r="AH816" i="29" s="1"/>
  <c r="AH817" i="29" s="1"/>
  <c r="AH818" i="29" s="1"/>
  <c r="AH819" i="29" s="1"/>
  <c r="AH820" i="29" s="1"/>
  <c r="AH821" i="29" s="1"/>
  <c r="AH822" i="29" s="1"/>
  <c r="AH823" i="29" s="1"/>
  <c r="AH824" i="29" s="1"/>
  <c r="AH825" i="29" s="1"/>
  <c r="AH826" i="29" s="1"/>
  <c r="AH827" i="29" s="1"/>
  <c r="AH828" i="29" s="1"/>
  <c r="AH829" i="29" s="1"/>
  <c r="AH830" i="29" s="1"/>
  <c r="AH831" i="29" s="1"/>
  <c r="AH832" i="29" s="1"/>
  <c r="AH833" i="29" s="1"/>
  <c r="AH834" i="29" s="1"/>
  <c r="AH835" i="29" s="1"/>
  <c r="AH836" i="29" s="1"/>
  <c r="AH837" i="29" s="1"/>
  <c r="AH838" i="29" s="1"/>
  <c r="AH839" i="29" s="1"/>
  <c r="AH840" i="29" s="1"/>
  <c r="AH841" i="29" s="1"/>
  <c r="AH842" i="29" s="1"/>
  <c r="AH843" i="29" s="1"/>
  <c r="AH844" i="29" s="1"/>
  <c r="AH845" i="29" s="1"/>
  <c r="AH846" i="29" s="1"/>
  <c r="AH847" i="29" s="1"/>
  <c r="AH848" i="29" s="1"/>
  <c r="AH849" i="29" s="1"/>
  <c r="AH850" i="29" s="1"/>
  <c r="AH851" i="29" s="1"/>
  <c r="AH852" i="29" s="1"/>
  <c r="AH853" i="29" s="1"/>
  <c r="AH854" i="29" s="1"/>
  <c r="AH855" i="29" s="1"/>
  <c r="AH856" i="29" s="1"/>
  <c r="AH857" i="29" s="1"/>
  <c r="AH858" i="29" s="1"/>
  <c r="AH859" i="29" s="1"/>
  <c r="AH860" i="29" s="1"/>
  <c r="AH861" i="29" s="1"/>
  <c r="AH862" i="29" s="1"/>
  <c r="AH863" i="29" s="1"/>
  <c r="AH864" i="29" s="1"/>
  <c r="AH865" i="29" s="1"/>
  <c r="AH866" i="29" s="1"/>
  <c r="AH867" i="29" s="1"/>
  <c r="AH868" i="29" s="1"/>
  <c r="AH869" i="29" s="1"/>
  <c r="AH870" i="29" s="1"/>
  <c r="AH871" i="29" s="1"/>
  <c r="AH872" i="29" s="1"/>
  <c r="AH873" i="29" s="1"/>
  <c r="AH874" i="29" s="1"/>
  <c r="AH875" i="29" s="1"/>
  <c r="AH876" i="29" s="1"/>
  <c r="AH877" i="29" s="1"/>
  <c r="AH878" i="29" s="1"/>
  <c r="AH879" i="29" s="1"/>
  <c r="AH880" i="29" s="1"/>
  <c r="AH881" i="29" s="1"/>
  <c r="AH882" i="29" s="1"/>
  <c r="AH883" i="29" s="1"/>
  <c r="AH884" i="29" s="1"/>
  <c r="AH885" i="29" s="1"/>
  <c r="AH886" i="29" s="1"/>
  <c r="AH887" i="29" s="1"/>
  <c r="AH888" i="29" s="1"/>
  <c r="AH889" i="29" s="1"/>
  <c r="AH890" i="29" s="1"/>
  <c r="AH891" i="29" s="1"/>
  <c r="AH892" i="29" s="1"/>
  <c r="AH893" i="29" s="1"/>
  <c r="AH894" i="29" s="1"/>
  <c r="AH895" i="29" s="1"/>
  <c r="AH896" i="29" s="1"/>
  <c r="AH897" i="29" s="1"/>
  <c r="AH898" i="29" s="1"/>
  <c r="AH899" i="29" s="1"/>
  <c r="AH900" i="29" s="1"/>
  <c r="AH901" i="29" s="1"/>
  <c r="AH902" i="29" s="1"/>
  <c r="AH903" i="29" s="1"/>
  <c r="AH904" i="29" s="1"/>
  <c r="AH905" i="29" s="1"/>
  <c r="AH906" i="29" s="1"/>
  <c r="AH907" i="29" s="1"/>
  <c r="AH908" i="29" s="1"/>
  <c r="AH909" i="29" s="1"/>
  <c r="AH910" i="29" s="1"/>
  <c r="AH911" i="29" s="1"/>
  <c r="AH912" i="29" s="1"/>
  <c r="AH913" i="29" s="1"/>
  <c r="AH914" i="29" s="1"/>
  <c r="AH915" i="29" s="1"/>
  <c r="AH916" i="29" s="1"/>
  <c r="AH917" i="29" s="1"/>
  <c r="AH918" i="29" s="1"/>
  <c r="AH919" i="29" s="1"/>
  <c r="AH920" i="29" s="1"/>
  <c r="AH921" i="29" s="1"/>
  <c r="AH922" i="29" s="1"/>
  <c r="AH923" i="29" s="1"/>
  <c r="AH924" i="29" s="1"/>
  <c r="AH925" i="29" s="1"/>
  <c r="AH926" i="29" s="1"/>
  <c r="AH927" i="29" s="1"/>
  <c r="AH928" i="29" s="1"/>
  <c r="AH929" i="29" s="1"/>
  <c r="AH930" i="29" s="1"/>
  <c r="AH931" i="29" s="1"/>
  <c r="AH932" i="29" s="1"/>
  <c r="AH933" i="29" s="1"/>
  <c r="AH934" i="29" s="1"/>
  <c r="AH935" i="29" s="1"/>
  <c r="AH936" i="29" s="1"/>
  <c r="AH937" i="29" s="1"/>
  <c r="AH938" i="29" s="1"/>
  <c r="AH939" i="29" s="1"/>
  <c r="AH940" i="29" s="1"/>
  <c r="AH941" i="29" s="1"/>
  <c r="AH942" i="29" s="1"/>
  <c r="AH943" i="29" s="1"/>
  <c r="AH944" i="29" s="1"/>
  <c r="AH945" i="29" s="1"/>
  <c r="AH946" i="29" s="1"/>
  <c r="AH947" i="29" s="1"/>
  <c r="AH948" i="29" s="1"/>
  <c r="AH949" i="29" s="1"/>
  <c r="AH950" i="29" s="1"/>
  <c r="AH951" i="29" s="1"/>
  <c r="AH952" i="29" s="1"/>
  <c r="AH953" i="29" s="1"/>
  <c r="AH954" i="29" s="1"/>
  <c r="AH955" i="29" s="1"/>
  <c r="AH956" i="29" s="1"/>
  <c r="AH957" i="29" s="1"/>
  <c r="AH958" i="29" s="1"/>
  <c r="AH959" i="29" s="1"/>
  <c r="AH960" i="29" s="1"/>
  <c r="AH961" i="29" s="1"/>
  <c r="AH962" i="29" s="1"/>
  <c r="AH963" i="29" s="1"/>
  <c r="AH964" i="29" s="1"/>
  <c r="AH965" i="29" s="1"/>
  <c r="AH966" i="29" s="1"/>
  <c r="AH967" i="29" s="1"/>
  <c r="AH968" i="29" s="1"/>
  <c r="AH969" i="29" s="1"/>
  <c r="AH970" i="29" s="1"/>
  <c r="AH971" i="29" s="1"/>
  <c r="AH972" i="29" s="1"/>
  <c r="AH973" i="29" s="1"/>
  <c r="AH974" i="29" s="1"/>
  <c r="AH975" i="29" s="1"/>
  <c r="AH976" i="29" s="1"/>
  <c r="AH977" i="29" s="1"/>
  <c r="AH978" i="29" s="1"/>
  <c r="AH979" i="29" s="1"/>
  <c r="AH980" i="29" s="1"/>
  <c r="AH981" i="29" s="1"/>
  <c r="AH982" i="29" s="1"/>
  <c r="AH983" i="29" s="1"/>
  <c r="AH984" i="29" s="1"/>
  <c r="AH985" i="29" s="1"/>
  <c r="AH986" i="29" s="1"/>
  <c r="AH987" i="29" s="1"/>
  <c r="AH988" i="29" s="1"/>
  <c r="AH989" i="29" s="1"/>
  <c r="AH990" i="29" s="1"/>
  <c r="AH991" i="29" s="1"/>
  <c r="AH992" i="29" s="1"/>
  <c r="AH993" i="29" s="1"/>
  <c r="AH994" i="29" s="1"/>
  <c r="AH995" i="29" s="1"/>
  <c r="AH996" i="29" s="1"/>
  <c r="AH997" i="29" s="1"/>
  <c r="AH998" i="29" s="1"/>
  <c r="AH999" i="29" s="1"/>
  <c r="AH1000" i="29" s="1"/>
  <c r="AH1001" i="29" s="1"/>
  <c r="AH1002" i="29" s="1"/>
  <c r="AH1003" i="29" s="1"/>
  <c r="AH1004" i="29" s="1"/>
  <c r="AH1005" i="29" s="1"/>
  <c r="AH1006" i="29" s="1"/>
  <c r="AH1007" i="29" s="1"/>
  <c r="AH1008" i="29" s="1"/>
  <c r="AH1009" i="29" s="1"/>
  <c r="AH1010" i="29" s="1"/>
  <c r="AH1011" i="29" s="1"/>
  <c r="AH1012" i="29" s="1"/>
  <c r="AH1013" i="29" s="1"/>
  <c r="AH1014" i="29" s="1"/>
  <c r="AH1015" i="29" s="1"/>
  <c r="AH1016" i="29" s="1"/>
  <c r="AH1017" i="29" s="1"/>
  <c r="AH1018" i="29" s="1"/>
  <c r="AH1019" i="29" s="1"/>
  <c r="AH1020" i="29" s="1"/>
  <c r="AH1021" i="29" s="1"/>
  <c r="AH1022" i="29" s="1"/>
  <c r="AH1023" i="29" s="1"/>
  <c r="AH1024" i="29" s="1"/>
  <c r="AH1025" i="29" s="1"/>
  <c r="AH1026" i="29" s="1"/>
  <c r="AH1027" i="29" s="1"/>
  <c r="AH1028" i="29" s="1"/>
  <c r="AH1029" i="29" s="1"/>
  <c r="AH1030" i="29" s="1"/>
  <c r="AH1031" i="29" s="1"/>
  <c r="AH1032" i="29" s="1"/>
  <c r="AH1033" i="29" s="1"/>
  <c r="AH1034" i="29" s="1"/>
  <c r="AH1035" i="29" s="1"/>
  <c r="AH1036" i="29" s="1"/>
  <c r="AO2" i="29"/>
  <c r="E135" i="30"/>
  <c r="X20" i="3"/>
  <c r="X19" i="3"/>
  <c r="X21" i="3"/>
  <c r="W54" i="2"/>
  <c r="V54" i="2"/>
  <c r="U54" i="2"/>
  <c r="I54" i="2"/>
  <c r="H54" i="2"/>
  <c r="G54" i="2"/>
  <c r="W53" i="2"/>
  <c r="V53" i="2"/>
  <c r="U53" i="2"/>
  <c r="I53" i="2"/>
  <c r="H53" i="2"/>
  <c r="G53" i="2"/>
  <c r="W52" i="2"/>
  <c r="V52" i="2"/>
  <c r="U52" i="2"/>
  <c r="I52" i="2"/>
  <c r="H52" i="2"/>
  <c r="G52" i="2"/>
  <c r="AH1037" i="29" l="1"/>
  <c r="AL1036" i="29"/>
  <c r="C1036" i="29" s="1"/>
  <c r="AM1037" i="29"/>
  <c r="AK1036" i="29"/>
  <c r="D1036" i="29" s="1"/>
  <c r="AL3" i="29"/>
  <c r="C3" i="29" s="1"/>
  <c r="AK3" i="29"/>
  <c r="D3" i="29" s="1"/>
  <c r="AL1037" i="29" l="1"/>
  <c r="C1037" i="29" s="1"/>
  <c r="AM1038" i="29"/>
  <c r="AK1037" i="29"/>
  <c r="D1037" i="29" s="1"/>
  <c r="AH1038" i="29"/>
  <c r="AK4" i="29"/>
  <c r="D4" i="29" s="1"/>
  <c r="AL4" i="29"/>
  <c r="C4" i="29" s="1"/>
  <c r="AL1038" i="29" l="1"/>
  <c r="C1038" i="29" s="1"/>
  <c r="AM1039" i="29"/>
  <c r="AK1038" i="29"/>
  <c r="D1038" i="29" s="1"/>
  <c r="AH1039" i="29"/>
  <c r="AL5" i="29"/>
  <c r="C5" i="29" s="1"/>
  <c r="AK5" i="29"/>
  <c r="D5" i="29" s="1"/>
  <c r="AH1040" i="29" l="1"/>
  <c r="AM1040" i="29"/>
  <c r="AL1039" i="29"/>
  <c r="C1039" i="29" s="1"/>
  <c r="AK1039" i="29"/>
  <c r="D1039" i="29" s="1"/>
  <c r="AL6" i="29"/>
  <c r="C6" i="29" s="1"/>
  <c r="AK6" i="29"/>
  <c r="D6" i="29" s="1"/>
  <c r="AL1040" i="29" l="1"/>
  <c r="C1040" i="29" s="1"/>
  <c r="AK1040" i="29"/>
  <c r="D1040" i="29" s="1"/>
  <c r="AM1041" i="29"/>
  <c r="AH1041" i="29"/>
  <c r="AL7" i="29"/>
  <c r="C7" i="29" s="1"/>
  <c r="AK7" i="29"/>
  <c r="D7" i="29" s="1"/>
  <c r="AH1042" i="29" l="1"/>
  <c r="AL1041" i="29"/>
  <c r="C1041" i="29" s="1"/>
  <c r="AM1042" i="29"/>
  <c r="AK1041" i="29"/>
  <c r="D1041" i="29" s="1"/>
  <c r="AK8" i="29"/>
  <c r="D8" i="29" s="1"/>
  <c r="AL8" i="29"/>
  <c r="C8" i="29" s="1"/>
  <c r="AL1042" i="29" l="1"/>
  <c r="C1042" i="29" s="1"/>
  <c r="AM1043" i="29"/>
  <c r="AK1042" i="29"/>
  <c r="D1042" i="29" s="1"/>
  <c r="AH1043" i="29"/>
  <c r="AL9" i="29"/>
  <c r="C9" i="29" s="1"/>
  <c r="AK9" i="29"/>
  <c r="D9" i="29" s="1"/>
  <c r="AH1044" i="29" l="1"/>
  <c r="AM1044" i="29"/>
  <c r="AL1043" i="29"/>
  <c r="C1043" i="29" s="1"/>
  <c r="AK1043" i="29"/>
  <c r="D1043" i="29" s="1"/>
  <c r="AK10" i="29"/>
  <c r="D10" i="29" s="1"/>
  <c r="AL10" i="29"/>
  <c r="C10" i="29" s="1"/>
  <c r="AL1044" i="29" l="1"/>
  <c r="C1044" i="29" s="1"/>
  <c r="AM1045" i="29"/>
  <c r="AK1044" i="29"/>
  <c r="D1044" i="29" s="1"/>
  <c r="AH1045" i="29"/>
  <c r="AL11" i="29"/>
  <c r="C11" i="29" s="1"/>
  <c r="AK11" i="29"/>
  <c r="D11" i="29" s="1"/>
  <c r="AH1046" i="29" l="1"/>
  <c r="AL1045" i="29"/>
  <c r="C1045" i="29" s="1"/>
  <c r="AM1046" i="29"/>
  <c r="AK1045" i="29"/>
  <c r="D1045" i="29" s="1"/>
  <c r="AL12" i="29"/>
  <c r="C12" i="29" s="1"/>
  <c r="AK12" i="29"/>
  <c r="D12" i="29" s="1"/>
  <c r="AL1046" i="29" l="1"/>
  <c r="C1046" i="29" s="1"/>
  <c r="AM1047" i="29"/>
  <c r="AK1046" i="29"/>
  <c r="D1046" i="29" s="1"/>
  <c r="AH1047" i="29"/>
  <c r="AL13" i="29"/>
  <c r="C13" i="29" s="1"/>
  <c r="AK13" i="29"/>
  <c r="D13" i="29" s="1"/>
  <c r="W105" i="2"/>
  <c r="V105" i="2"/>
  <c r="U105" i="2"/>
  <c r="W104" i="2"/>
  <c r="V104" i="2"/>
  <c r="U104" i="2"/>
  <c r="W103" i="2"/>
  <c r="V103" i="2"/>
  <c r="U103" i="2"/>
  <c r="W102" i="2"/>
  <c r="V102" i="2"/>
  <c r="U102" i="2"/>
  <c r="W101" i="2"/>
  <c r="V101" i="2"/>
  <c r="U101" i="2"/>
  <c r="U100" i="2"/>
  <c r="U99" i="2"/>
  <c r="W99" i="2"/>
  <c r="V99" i="2"/>
  <c r="U98" i="2"/>
  <c r="U97" i="2"/>
  <c r="U96" i="2"/>
  <c r="U95" i="2"/>
  <c r="W95" i="2"/>
  <c r="V95" i="2"/>
  <c r="U94" i="2"/>
  <c r="W94" i="2"/>
  <c r="U93" i="2"/>
  <c r="W93" i="2"/>
  <c r="U92" i="2"/>
  <c r="U91" i="2"/>
  <c r="W91" i="2"/>
  <c r="V90" i="2"/>
  <c r="U90" i="2"/>
  <c r="W89" i="2"/>
  <c r="V89" i="2"/>
  <c r="U89" i="2"/>
  <c r="W88" i="2"/>
  <c r="V88" i="2"/>
  <c r="U88" i="2"/>
  <c r="W87" i="2"/>
  <c r="V87" i="2"/>
  <c r="U87" i="2"/>
  <c r="W83" i="2"/>
  <c r="V83" i="2"/>
  <c r="U83" i="2"/>
  <c r="W82" i="2"/>
  <c r="V82" i="2"/>
  <c r="U82" i="2"/>
  <c r="W81" i="2"/>
  <c r="V81" i="2"/>
  <c r="U81" i="2"/>
  <c r="W80" i="2"/>
  <c r="V80" i="2"/>
  <c r="U80" i="2"/>
  <c r="W79" i="2"/>
  <c r="V79" i="2"/>
  <c r="U79" i="2"/>
  <c r="W78" i="2"/>
  <c r="V78" i="2"/>
  <c r="U78" i="2"/>
  <c r="W77" i="2"/>
  <c r="V77" i="2"/>
  <c r="U77" i="2"/>
  <c r="K77" i="2"/>
  <c r="W76" i="2"/>
  <c r="V76" i="2"/>
  <c r="U76" i="2"/>
  <c r="W75" i="2"/>
  <c r="V75" i="2"/>
  <c r="U75" i="2"/>
  <c r="W74" i="2"/>
  <c r="V74" i="2"/>
  <c r="U74" i="2"/>
  <c r="W73" i="2"/>
  <c r="V73" i="2"/>
  <c r="U73" i="2"/>
  <c r="W72" i="2"/>
  <c r="V72" i="2"/>
  <c r="U72" i="2"/>
  <c r="E72" i="2"/>
  <c r="W71" i="2"/>
  <c r="V71" i="2"/>
  <c r="U71" i="2"/>
  <c r="I71" i="2"/>
  <c r="H71" i="2"/>
  <c r="G71" i="2"/>
  <c r="W70" i="2"/>
  <c r="V70" i="2"/>
  <c r="U70" i="2"/>
  <c r="I70" i="2"/>
  <c r="H70" i="2"/>
  <c r="G70" i="2"/>
  <c r="W69" i="2"/>
  <c r="V69" i="2"/>
  <c r="U69" i="2"/>
  <c r="I69" i="2"/>
  <c r="H69" i="2"/>
  <c r="G69" i="2"/>
  <c r="W68" i="2"/>
  <c r="V68" i="2"/>
  <c r="U68" i="2"/>
  <c r="I68" i="2"/>
  <c r="H68" i="2"/>
  <c r="G68" i="2"/>
  <c r="W67" i="2"/>
  <c r="V67" i="2"/>
  <c r="U67" i="2"/>
  <c r="I67" i="2"/>
  <c r="H67" i="2"/>
  <c r="G67" i="2"/>
  <c r="U66" i="2"/>
  <c r="T66" i="2"/>
  <c r="W66" i="2" s="1"/>
  <c r="S66" i="2"/>
  <c r="V66" i="2" s="1"/>
  <c r="I66" i="2"/>
  <c r="H66" i="2"/>
  <c r="G66" i="2"/>
  <c r="U65" i="2"/>
  <c r="T65" i="2"/>
  <c r="W65" i="2" s="1"/>
  <c r="S65" i="2"/>
  <c r="V65" i="2" s="1"/>
  <c r="I65" i="2"/>
  <c r="H65" i="2"/>
  <c r="G65" i="2"/>
  <c r="U64" i="2"/>
  <c r="T64" i="2"/>
  <c r="W64" i="2" s="1"/>
  <c r="S64" i="2"/>
  <c r="V64" i="2" s="1"/>
  <c r="I64" i="2"/>
  <c r="H64" i="2"/>
  <c r="G64" i="2"/>
  <c r="U63" i="2"/>
  <c r="T63" i="2"/>
  <c r="W63" i="2" s="1"/>
  <c r="S63" i="2"/>
  <c r="V63" i="2" s="1"/>
  <c r="I63" i="2"/>
  <c r="H63" i="2"/>
  <c r="G63" i="2"/>
  <c r="U62" i="2"/>
  <c r="T62" i="2"/>
  <c r="W62" i="2" s="1"/>
  <c r="S62" i="2"/>
  <c r="V62" i="2" s="1"/>
  <c r="I62" i="2"/>
  <c r="H62" i="2"/>
  <c r="G62" i="2"/>
  <c r="U61" i="2"/>
  <c r="T61" i="2"/>
  <c r="W61" i="2" s="1"/>
  <c r="S61" i="2"/>
  <c r="V61" i="2" s="1"/>
  <c r="I61" i="2"/>
  <c r="H61" i="2"/>
  <c r="G61" i="2"/>
  <c r="U60" i="2"/>
  <c r="W60" i="2"/>
  <c r="I60" i="2"/>
  <c r="H60" i="2"/>
  <c r="G60" i="2"/>
  <c r="U59" i="2"/>
  <c r="W59" i="2"/>
  <c r="I59" i="2"/>
  <c r="H59" i="2"/>
  <c r="G59" i="2"/>
  <c r="U58" i="2"/>
  <c r="W58" i="2"/>
  <c r="I58" i="2"/>
  <c r="H58" i="2"/>
  <c r="G58" i="2"/>
  <c r="U57" i="2"/>
  <c r="W57" i="2"/>
  <c r="I57" i="2"/>
  <c r="H57" i="2"/>
  <c r="G57" i="2"/>
  <c r="V56" i="2"/>
  <c r="U56" i="2"/>
  <c r="W56" i="2"/>
  <c r="I56" i="2"/>
  <c r="H56" i="2"/>
  <c r="G56" i="2"/>
  <c r="W55" i="2"/>
  <c r="V55" i="2"/>
  <c r="U55" i="2"/>
  <c r="I55" i="2"/>
  <c r="H55" i="2"/>
  <c r="G55" i="2"/>
  <c r="W51" i="2"/>
  <c r="V51" i="2"/>
  <c r="U51" i="2"/>
  <c r="I51" i="2"/>
  <c r="H51" i="2"/>
  <c r="G51" i="2"/>
  <c r="W50" i="2"/>
  <c r="V50" i="2"/>
  <c r="U50" i="2"/>
  <c r="I50" i="2"/>
  <c r="H50" i="2"/>
  <c r="G50" i="2"/>
  <c r="W49" i="2"/>
  <c r="V49" i="2"/>
  <c r="U49" i="2"/>
  <c r="I49" i="2"/>
  <c r="H49" i="2"/>
  <c r="G49" i="2"/>
  <c r="W48" i="2"/>
  <c r="V48" i="2"/>
  <c r="U48" i="2"/>
  <c r="I48" i="2"/>
  <c r="H48" i="2"/>
  <c r="G48" i="2"/>
  <c r="W47" i="2"/>
  <c r="V47" i="2"/>
  <c r="U47" i="2"/>
  <c r="I47" i="2"/>
  <c r="H47" i="2"/>
  <c r="G47" i="2"/>
  <c r="W46" i="2"/>
  <c r="V46" i="2"/>
  <c r="U46" i="2"/>
  <c r="I46" i="2"/>
  <c r="H46" i="2"/>
  <c r="G46" i="2"/>
  <c r="W45" i="2"/>
  <c r="V45" i="2"/>
  <c r="U45" i="2"/>
  <c r="I45" i="2"/>
  <c r="H45" i="2"/>
  <c r="G45" i="2"/>
  <c r="W44" i="2"/>
  <c r="V44" i="2"/>
  <c r="U44" i="2"/>
  <c r="I44" i="2"/>
  <c r="H44" i="2"/>
  <c r="G44" i="2"/>
  <c r="W43" i="2"/>
  <c r="V43" i="2"/>
  <c r="U43" i="2"/>
  <c r="K43" i="2"/>
  <c r="J43" i="2"/>
  <c r="W42" i="2"/>
  <c r="V42" i="2"/>
  <c r="U42" i="2"/>
  <c r="I42" i="2"/>
  <c r="H42" i="2"/>
  <c r="G42" i="2"/>
  <c r="W41" i="2"/>
  <c r="V41" i="2"/>
  <c r="U41" i="2"/>
  <c r="I41" i="2"/>
  <c r="H41" i="2"/>
  <c r="G41" i="2"/>
  <c r="W40" i="2"/>
  <c r="V40" i="2"/>
  <c r="U40" i="2"/>
  <c r="I40" i="2"/>
  <c r="H40" i="2"/>
  <c r="G40" i="2"/>
  <c r="W39" i="2"/>
  <c r="V39" i="2"/>
  <c r="U39" i="2"/>
  <c r="I39" i="2"/>
  <c r="H39" i="2"/>
  <c r="G39" i="2"/>
  <c r="W38" i="2"/>
  <c r="V38" i="2"/>
  <c r="U38" i="2"/>
  <c r="I38" i="2"/>
  <c r="H38" i="2"/>
  <c r="G38" i="2"/>
  <c r="E38" i="2"/>
  <c r="W37" i="2"/>
  <c r="V37" i="2"/>
  <c r="U37" i="2"/>
  <c r="I37" i="2"/>
  <c r="H37" i="2"/>
  <c r="G37" i="2"/>
  <c r="W36" i="2"/>
  <c r="V36" i="2"/>
  <c r="U36" i="2"/>
  <c r="I36" i="2"/>
  <c r="H36" i="2"/>
  <c r="G36" i="2"/>
  <c r="W35" i="2"/>
  <c r="V35" i="2"/>
  <c r="U35" i="2"/>
  <c r="I35" i="2"/>
  <c r="H35" i="2"/>
  <c r="G35" i="2"/>
  <c r="W34" i="2"/>
  <c r="V34" i="2"/>
  <c r="U34" i="2"/>
  <c r="I34" i="2"/>
  <c r="H34" i="2"/>
  <c r="G34" i="2"/>
  <c r="W33" i="2"/>
  <c r="V33" i="2"/>
  <c r="U33" i="2"/>
  <c r="I33" i="2"/>
  <c r="H33" i="2"/>
  <c r="G33" i="2"/>
  <c r="U32" i="2"/>
  <c r="T32" i="2"/>
  <c r="W32" i="2" s="1"/>
  <c r="S32" i="2"/>
  <c r="V32" i="2" s="1"/>
  <c r="I32" i="2"/>
  <c r="H32" i="2"/>
  <c r="G32" i="2"/>
  <c r="U31" i="2"/>
  <c r="T31" i="2"/>
  <c r="W31" i="2" s="1"/>
  <c r="S31" i="2"/>
  <c r="V31" i="2" s="1"/>
  <c r="I31" i="2"/>
  <c r="H31" i="2"/>
  <c r="G31" i="2"/>
  <c r="U30" i="2"/>
  <c r="T30" i="2"/>
  <c r="W30" i="2" s="1"/>
  <c r="S30" i="2"/>
  <c r="V30" i="2" s="1"/>
  <c r="I30" i="2"/>
  <c r="H30" i="2"/>
  <c r="G30" i="2"/>
  <c r="U29" i="2"/>
  <c r="T29" i="2"/>
  <c r="W29" i="2" s="1"/>
  <c r="S29" i="2"/>
  <c r="V29" i="2" s="1"/>
  <c r="I29" i="2"/>
  <c r="H29" i="2"/>
  <c r="G29" i="2"/>
  <c r="U28" i="2"/>
  <c r="T28" i="2"/>
  <c r="W28" i="2" s="1"/>
  <c r="S28" i="2"/>
  <c r="V28" i="2" s="1"/>
  <c r="I28" i="2"/>
  <c r="H28" i="2"/>
  <c r="G28" i="2"/>
  <c r="U27" i="2"/>
  <c r="T27" i="2"/>
  <c r="W27" i="2" s="1"/>
  <c r="S27" i="2"/>
  <c r="V27" i="2" s="1"/>
  <c r="I27" i="2"/>
  <c r="H27" i="2"/>
  <c r="G27" i="2"/>
  <c r="U26" i="2"/>
  <c r="W26" i="2"/>
  <c r="I26" i="2"/>
  <c r="H26" i="2"/>
  <c r="G26" i="2"/>
  <c r="U25" i="2"/>
  <c r="W25" i="2"/>
  <c r="I25" i="2"/>
  <c r="H25" i="2"/>
  <c r="G25" i="2"/>
  <c r="U24" i="2"/>
  <c r="W24" i="2"/>
  <c r="I24" i="2"/>
  <c r="H24" i="2"/>
  <c r="G24" i="2"/>
  <c r="W23" i="2"/>
  <c r="U23" i="2"/>
  <c r="I23" i="2"/>
  <c r="H23" i="2"/>
  <c r="G23" i="2"/>
  <c r="U22" i="2"/>
  <c r="W22" i="2"/>
  <c r="I22" i="2"/>
  <c r="H22" i="2"/>
  <c r="G22" i="2"/>
  <c r="I21" i="2"/>
  <c r="H21" i="2"/>
  <c r="G21" i="2"/>
  <c r="I17" i="2"/>
  <c r="H17" i="2"/>
  <c r="G17" i="2"/>
  <c r="I16" i="2"/>
  <c r="H16" i="2"/>
  <c r="G16" i="2"/>
  <c r="I15" i="2"/>
  <c r="H15" i="2"/>
  <c r="G15" i="2"/>
  <c r="I14" i="2"/>
  <c r="H14" i="2"/>
  <c r="G14" i="2"/>
  <c r="I13" i="2"/>
  <c r="H13" i="2"/>
  <c r="G13" i="2"/>
  <c r="I12" i="2"/>
  <c r="H12" i="2"/>
  <c r="G12" i="2"/>
  <c r="I11" i="2"/>
  <c r="H11" i="2"/>
  <c r="G11" i="2"/>
  <c r="I10" i="2"/>
  <c r="H10" i="2"/>
  <c r="G10" i="2"/>
  <c r="K9" i="2"/>
  <c r="J9" i="2"/>
  <c r="I8" i="2"/>
  <c r="H8" i="2"/>
  <c r="G8" i="2"/>
  <c r="I7" i="2"/>
  <c r="H7" i="2"/>
  <c r="G7" i="2"/>
  <c r="I6" i="2"/>
  <c r="H6" i="2"/>
  <c r="G6" i="2"/>
  <c r="I5" i="2"/>
  <c r="H5" i="2"/>
  <c r="G5" i="2"/>
  <c r="I4" i="2"/>
  <c r="H4" i="2"/>
  <c r="G4" i="2"/>
  <c r="A219" i="30"/>
  <c r="D218" i="30"/>
  <c r="E215" i="30"/>
  <c r="E214" i="30"/>
  <c r="E213" i="30"/>
  <c r="E212" i="30"/>
  <c r="E210" i="30"/>
  <c r="E209" i="30"/>
  <c r="E208" i="30"/>
  <c r="E207" i="30"/>
  <c r="E206" i="30"/>
  <c r="E205" i="30"/>
  <c r="E204" i="30"/>
  <c r="E203" i="30"/>
  <c r="E202" i="30"/>
  <c r="E201" i="30"/>
  <c r="E200" i="30"/>
  <c r="E199" i="30"/>
  <c r="E198"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4" i="30"/>
  <c r="E133" i="30"/>
  <c r="E132" i="30"/>
  <c r="E131" i="30"/>
  <c r="E126" i="30"/>
  <c r="E125" i="30"/>
  <c r="E124" i="30"/>
  <c r="E123" i="30"/>
  <c r="E122" i="30"/>
  <c r="E121" i="30"/>
  <c r="E120" i="30"/>
  <c r="E119" i="30"/>
  <c r="E118" i="30"/>
  <c r="E117" i="30"/>
  <c r="E116" i="30"/>
  <c r="E115" i="30"/>
  <c r="E114" i="30"/>
  <c r="E113" i="30"/>
  <c r="E112" i="30"/>
  <c r="E111" i="30"/>
  <c r="E110" i="30"/>
  <c r="E109" i="30"/>
  <c r="E108" i="30"/>
  <c r="D108" i="30"/>
  <c r="E107" i="30"/>
  <c r="E106" i="30"/>
  <c r="E105" i="30"/>
  <c r="E104" i="30"/>
  <c r="E103" i="30"/>
  <c r="E102" i="30"/>
  <c r="E101" i="30"/>
  <c r="E100" i="30"/>
  <c r="E99" i="30"/>
  <c r="E97" i="30"/>
  <c r="E95" i="30"/>
  <c r="E94" i="30"/>
  <c r="E93" i="30"/>
  <c r="E92" i="30"/>
  <c r="E91" i="30"/>
  <c r="E90" i="30"/>
  <c r="E89"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D4" i="30"/>
  <c r="AH1048" i="29" l="1"/>
  <c r="AH1049" i="29" s="1"/>
  <c r="AH1050" i="29" s="1"/>
  <c r="AH1051" i="29" s="1"/>
  <c r="AH1052" i="29" s="1"/>
  <c r="AH1053" i="29" s="1"/>
  <c r="AH1054" i="29" s="1"/>
  <c r="AH1055" i="29" s="1"/>
  <c r="AH1056" i="29" s="1"/>
  <c r="AH1057" i="29" s="1"/>
  <c r="AM1048" i="29"/>
  <c r="AM1049" i="29" s="1"/>
  <c r="AM1050" i="29" s="1"/>
  <c r="AM1051" i="29" s="1"/>
  <c r="AM1052" i="29" s="1"/>
  <c r="AM1053" i="29" s="1"/>
  <c r="AM1054" i="29" s="1"/>
  <c r="AM1055" i="29" s="1"/>
  <c r="AM1056" i="29" s="1"/>
  <c r="AM1057" i="29" s="1"/>
  <c r="AL1047" i="29"/>
  <c r="C1047" i="29" s="1"/>
  <c r="AK1047" i="29"/>
  <c r="D1047" i="29" s="1"/>
  <c r="V98" i="2"/>
  <c r="W92" i="2"/>
  <c r="V97" i="2"/>
  <c r="W98" i="2"/>
  <c r="W90" i="2"/>
  <c r="V96" i="2"/>
  <c r="W97" i="2"/>
  <c r="V100" i="2"/>
  <c r="W96" i="2"/>
  <c r="W100" i="2"/>
  <c r="L77" i="2"/>
  <c r="N77" i="2"/>
  <c r="M77" i="2"/>
  <c r="I43" i="2"/>
  <c r="AK14" i="29"/>
  <c r="D14" i="29" s="1"/>
  <c r="AL14" i="29"/>
  <c r="C14" i="29" s="1"/>
  <c r="G43" i="2"/>
  <c r="G9" i="2"/>
  <c r="H43" i="2"/>
  <c r="H9" i="2"/>
  <c r="I9" i="2"/>
  <c r="A5" i="30"/>
  <c r="A6" i="30" s="1"/>
  <c r="A7" i="30" s="1"/>
  <c r="A8" i="30" s="1"/>
  <c r="A109" i="30"/>
  <c r="A110" i="30" s="1"/>
  <c r="A111" i="30" s="1"/>
  <c r="D111" i="30" s="1"/>
  <c r="V57" i="2"/>
  <c r="D219" i="30"/>
  <c r="A220" i="30"/>
  <c r="A5" i="2"/>
  <c r="V23" i="2"/>
  <c r="E74" i="2"/>
  <c r="V94" i="2"/>
  <c r="V93" i="2"/>
  <c r="A39" i="2"/>
  <c r="V92" i="2"/>
  <c r="E73" i="2"/>
  <c r="V91" i="2"/>
  <c r="X128" i="43"/>
  <c r="AL15" i="29" l="1"/>
  <c r="C15" i="29" s="1"/>
  <c r="AK15" i="29"/>
  <c r="D15" i="29" s="1"/>
  <c r="V24" i="2"/>
  <c r="D5" i="30"/>
  <c r="D7" i="30"/>
  <c r="D6" i="30"/>
  <c r="A112" i="30"/>
  <c r="A113" i="30" s="1"/>
  <c r="D109" i="30"/>
  <c r="D110" i="30"/>
  <c r="E39" i="2"/>
  <c r="A40" i="2"/>
  <c r="V26" i="2"/>
  <c r="V25" i="2"/>
  <c r="E75" i="2"/>
  <c r="A6" i="2"/>
  <c r="E5" i="2"/>
  <c r="V60" i="2"/>
  <c r="V59" i="2"/>
  <c r="D8" i="30"/>
  <c r="A9" i="30"/>
  <c r="A221" i="30"/>
  <c r="D220" i="30"/>
  <c r="D112" i="30"/>
  <c r="V58" i="2"/>
  <c r="AL16" i="29" l="1"/>
  <c r="C16" i="29" s="1"/>
  <c r="AK16" i="29"/>
  <c r="D16" i="29" s="1"/>
  <c r="A222" i="30"/>
  <c r="D221" i="30"/>
  <c r="E76" i="2"/>
  <c r="E40" i="2"/>
  <c r="A41" i="2"/>
  <c r="A7" i="2"/>
  <c r="E6" i="2"/>
  <c r="A114" i="30"/>
  <c r="D113" i="30"/>
  <c r="A10" i="30"/>
  <c r="D9" i="30"/>
  <c r="AL17" i="29" l="1"/>
  <c r="C17" i="29" s="1"/>
  <c r="AK17" i="29"/>
  <c r="D17" i="29" s="1"/>
  <c r="D10" i="30"/>
  <c r="A11" i="30"/>
  <c r="A8" i="2"/>
  <c r="E7" i="2"/>
  <c r="E77" i="2"/>
  <c r="D114" i="30"/>
  <c r="A115" i="30"/>
  <c r="D222" i="30"/>
  <c r="A223" i="30"/>
  <c r="E41" i="2"/>
  <c r="A42" i="2"/>
  <c r="AK18" i="29" l="1"/>
  <c r="D18" i="29" s="1"/>
  <c r="AL18" i="29"/>
  <c r="C18" i="29" s="1"/>
  <c r="D115" i="30"/>
  <c r="A116" i="30"/>
  <c r="A9" i="2"/>
  <c r="E8" i="2"/>
  <c r="E78" i="2"/>
  <c r="D11" i="30"/>
  <c r="A12" i="30"/>
  <c r="D223" i="30"/>
  <c r="A224" i="30"/>
  <c r="E42" i="2"/>
  <c r="A43" i="2"/>
  <c r="AL19" i="29" l="1"/>
  <c r="C19" i="29" s="1"/>
  <c r="AK19" i="29"/>
  <c r="D19" i="29" s="1"/>
  <c r="A225" i="30"/>
  <c r="D224" i="30"/>
  <c r="A117" i="30"/>
  <c r="D116" i="30"/>
  <c r="E79" i="2"/>
  <c r="E9" i="2"/>
  <c r="A10" i="2"/>
  <c r="E43" i="2"/>
  <c r="A44" i="2"/>
  <c r="D12" i="30"/>
  <c r="A13" i="30"/>
  <c r="AL20" i="29" l="1"/>
  <c r="C20" i="29" s="1"/>
  <c r="AK20" i="29"/>
  <c r="D20" i="29" s="1"/>
  <c r="A45" i="2"/>
  <c r="E44" i="2"/>
  <c r="A118" i="30"/>
  <c r="D117" i="30"/>
  <c r="E80" i="2"/>
  <c r="A226" i="30"/>
  <c r="D225" i="30"/>
  <c r="A14" i="30"/>
  <c r="D13" i="30"/>
  <c r="A11" i="2"/>
  <c r="E10" i="2"/>
  <c r="AL21" i="29" l="1"/>
  <c r="C21" i="29" s="1"/>
  <c r="AK21" i="29"/>
  <c r="D21" i="29" s="1"/>
  <c r="A12" i="2"/>
  <c r="E11" i="2"/>
  <c r="A46" i="2"/>
  <c r="E45" i="2"/>
  <c r="A15" i="30"/>
  <c r="D14" i="30"/>
  <c r="E81" i="2"/>
  <c r="D226" i="30"/>
  <c r="A227" i="30"/>
  <c r="A119" i="30"/>
  <c r="D118" i="30"/>
  <c r="AK22" i="29" l="1"/>
  <c r="D22" i="29" s="1"/>
  <c r="AL22" i="29"/>
  <c r="C22" i="29" s="1"/>
  <c r="D227" i="30"/>
  <c r="A228" i="30"/>
  <c r="D15" i="30"/>
  <c r="A16" i="30"/>
  <c r="A13" i="2"/>
  <c r="E12" i="2"/>
  <c r="D119" i="30"/>
  <c r="A120" i="30"/>
  <c r="E82" i="2"/>
  <c r="A47" i="2"/>
  <c r="E46" i="2"/>
  <c r="AL23" i="29" l="1"/>
  <c r="C23" i="29" s="1"/>
  <c r="AK23" i="29"/>
  <c r="D23" i="29" s="1"/>
  <c r="A48" i="2"/>
  <c r="E47" i="2"/>
  <c r="A14" i="2"/>
  <c r="E13" i="2"/>
  <c r="E83" i="2"/>
  <c r="A229" i="30"/>
  <c r="D228" i="30"/>
  <c r="D120" i="30"/>
  <c r="A121" i="30"/>
  <c r="D16" i="30"/>
  <c r="A17" i="30"/>
  <c r="AL24" i="29" l="1"/>
  <c r="C24" i="29" s="1"/>
  <c r="AK24" i="29"/>
  <c r="D24" i="29" s="1"/>
  <c r="A15" i="2"/>
  <c r="E14" i="2"/>
  <c r="E87" i="2"/>
  <c r="A49" i="2"/>
  <c r="E48" i="2"/>
  <c r="A122" i="30"/>
  <c r="D121" i="30"/>
  <c r="A230" i="30"/>
  <c r="D229" i="30"/>
  <c r="A18" i="30"/>
  <c r="D17" i="30"/>
  <c r="AL25" i="29" l="1"/>
  <c r="C25" i="29" s="1"/>
  <c r="AK25" i="29"/>
  <c r="D25" i="29" s="1"/>
  <c r="D230" i="30"/>
  <c r="A231" i="30"/>
  <c r="A16" i="2"/>
  <c r="E15" i="2"/>
  <c r="D18" i="30"/>
  <c r="A19" i="30"/>
  <c r="D122" i="30"/>
  <c r="A123" i="30"/>
  <c r="E88" i="2"/>
  <c r="A50" i="2"/>
  <c r="E49" i="2"/>
  <c r="A18" i="2" l="1"/>
  <c r="E18" i="2" s="1"/>
  <c r="A19" i="2"/>
  <c r="E19" i="2" s="1"/>
  <c r="A20" i="2"/>
  <c r="E20" i="2" s="1"/>
  <c r="AK26" i="29"/>
  <c r="D26" i="29" s="1"/>
  <c r="AL26" i="29"/>
  <c r="C26" i="29" s="1"/>
  <c r="A52" i="2"/>
  <c r="E52" i="2" s="1"/>
  <c r="A53" i="2"/>
  <c r="E53" i="2" s="1"/>
  <c r="A54" i="2"/>
  <c r="E54" i="2" s="1"/>
  <c r="D231" i="30"/>
  <c r="A232" i="30"/>
  <c r="A51" i="2"/>
  <c r="E50" i="2"/>
  <c r="A17" i="2"/>
  <c r="E16" i="2"/>
  <c r="E89" i="2"/>
  <c r="D19" i="30"/>
  <c r="A20" i="30"/>
  <c r="D123" i="30"/>
  <c r="A124" i="30"/>
  <c r="X35" i="3"/>
  <c r="X31" i="3"/>
  <c r="X30" i="3"/>
  <c r="X29" i="3"/>
  <c r="X28" i="3"/>
  <c r="X27" i="3"/>
  <c r="X26" i="3"/>
  <c r="X25" i="3"/>
  <c r="X24" i="3"/>
  <c r="X23" i="3"/>
  <c r="X22" i="3"/>
  <c r="X18" i="3"/>
  <c r="X17" i="3"/>
  <c r="X16" i="3"/>
  <c r="X15" i="3"/>
  <c r="X14" i="3"/>
  <c r="X13" i="3"/>
  <c r="X12" i="3"/>
  <c r="X11" i="3"/>
  <c r="X10" i="3"/>
  <c r="X9" i="3"/>
  <c r="X8" i="3"/>
  <c r="X7" i="3"/>
  <c r="X6" i="3"/>
  <c r="X5" i="3"/>
  <c r="X4" i="3"/>
  <c r="V5" i="3"/>
  <c r="BQ4" i="4"/>
  <c r="BS4" i="4" s="1"/>
  <c r="V6" i="3" l="1"/>
  <c r="V7" i="3" s="1"/>
  <c r="V8" i="3" s="1"/>
  <c r="V9" i="3" s="1"/>
  <c r="V10" i="3" s="1"/>
  <c r="V11" i="3" s="1"/>
  <c r="V12" i="3" s="1"/>
  <c r="V13" i="3" s="1"/>
  <c r="V14" i="3" s="1"/>
  <c r="V15" i="3" s="1"/>
  <c r="V16" i="3" s="1"/>
  <c r="V17" i="3" s="1"/>
  <c r="V18" i="3" s="1"/>
  <c r="AL27" i="29"/>
  <c r="C27" i="29" s="1"/>
  <c r="AK27" i="29"/>
  <c r="D27" i="29" s="1"/>
  <c r="A21" i="30"/>
  <c r="D20" i="30"/>
  <c r="A233" i="30"/>
  <c r="D232" i="30"/>
  <c r="E90" i="2"/>
  <c r="A21" i="2"/>
  <c r="E17" i="2"/>
  <c r="A55" i="2"/>
  <c r="E51" i="2"/>
  <c r="D124" i="30"/>
  <c r="A125" i="30"/>
  <c r="E4" i="4"/>
  <c r="D4" i="4"/>
  <c r="AL28" i="29" l="1"/>
  <c r="C28" i="29" s="1"/>
  <c r="AK28" i="29"/>
  <c r="D28" i="29" s="1"/>
  <c r="V19" i="3"/>
  <c r="A56" i="2"/>
  <c r="E55" i="2"/>
  <c r="E91" i="2"/>
  <c r="A22" i="30"/>
  <c r="D22" i="30" s="1"/>
  <c r="A23" i="30"/>
  <c r="D21" i="30"/>
  <c r="A22" i="2"/>
  <c r="E21" i="2"/>
  <c r="A234" i="30"/>
  <c r="D233" i="30"/>
  <c r="A126" i="30"/>
  <c r="A127" i="30" s="1"/>
  <c r="D125" i="30"/>
  <c r="V20" i="3" l="1"/>
  <c r="A128" i="30"/>
  <c r="D127" i="30"/>
  <c r="AL29" i="29"/>
  <c r="C29" i="29" s="1"/>
  <c r="AK29" i="29"/>
  <c r="D29" i="29" s="1"/>
  <c r="A57" i="2"/>
  <c r="E56" i="2"/>
  <c r="D234" i="30"/>
  <c r="A235" i="30"/>
  <c r="D23" i="30"/>
  <c r="A24" i="30"/>
  <c r="D126" i="30"/>
  <c r="A23" i="2"/>
  <c r="E22" i="2"/>
  <c r="E92" i="2"/>
  <c r="V21" i="3" l="1"/>
  <c r="A129" i="30"/>
  <c r="D128" i="30"/>
  <c r="AK30" i="29"/>
  <c r="D30" i="29" s="1"/>
  <c r="AL30" i="29"/>
  <c r="C30" i="29" s="1"/>
  <c r="A58" i="2"/>
  <c r="E57" i="2"/>
  <c r="A24" i="2"/>
  <c r="E23" i="2"/>
  <c r="A25" i="30"/>
  <c r="D24" i="30"/>
  <c r="E93" i="2"/>
  <c r="D235" i="30"/>
  <c r="A241" i="30"/>
  <c r="A236" i="30"/>
  <c r="V22" i="3" l="1"/>
  <c r="A130" i="30"/>
  <c r="D129" i="30"/>
  <c r="AL31" i="29"/>
  <c r="C31" i="29" s="1"/>
  <c r="AK31" i="29"/>
  <c r="D31" i="29" s="1"/>
  <c r="D236" i="30"/>
  <c r="A237" i="30"/>
  <c r="E94" i="2"/>
  <c r="E24" i="2"/>
  <c r="A25" i="2"/>
  <c r="E58" i="2"/>
  <c r="A59" i="2"/>
  <c r="A26" i="30"/>
  <c r="D25" i="30"/>
  <c r="A242" i="30"/>
  <c r="D241" i="30"/>
  <c r="V23" i="3" l="1"/>
  <c r="A131" i="30"/>
  <c r="D130" i="30"/>
  <c r="AK32" i="29"/>
  <c r="D32" i="29" s="1"/>
  <c r="AL32" i="29"/>
  <c r="C32" i="29" s="1"/>
  <c r="D237" i="30"/>
  <c r="A238" i="30"/>
  <c r="E59" i="2"/>
  <c r="A60" i="2"/>
  <c r="D242" i="30"/>
  <c r="A243" i="30"/>
  <c r="E95" i="2"/>
  <c r="D26" i="30"/>
  <c r="A27" i="30"/>
  <c r="E25" i="2"/>
  <c r="A26" i="2"/>
  <c r="V24" i="3" l="1"/>
  <c r="D131" i="30"/>
  <c r="A132" i="30"/>
  <c r="AL33" i="29"/>
  <c r="C33" i="29" s="1"/>
  <c r="AK33" i="29"/>
  <c r="D33" i="29" s="1"/>
  <c r="D238" i="30"/>
  <c r="A239" i="30"/>
  <c r="D27" i="30"/>
  <c r="A28" i="30"/>
  <c r="E60" i="2"/>
  <c r="A61" i="2"/>
  <c r="E96" i="2"/>
  <c r="E26" i="2"/>
  <c r="A27" i="2"/>
  <c r="D243" i="30"/>
  <c r="A244" i="30"/>
  <c r="V25" i="3" l="1"/>
  <c r="D132" i="30"/>
  <c r="A133" i="30"/>
  <c r="AL34" i="29"/>
  <c r="C34" i="29" s="1"/>
  <c r="AK34" i="29"/>
  <c r="D34" i="29" s="1"/>
  <c r="D239" i="30"/>
  <c r="A240" i="30"/>
  <c r="D240" i="30" s="1"/>
  <c r="E27" i="2"/>
  <c r="A28" i="2"/>
  <c r="D28" i="30"/>
  <c r="A29" i="30"/>
  <c r="A245" i="30"/>
  <c r="D244" i="30"/>
  <c r="E97" i="2"/>
  <c r="E61" i="2"/>
  <c r="A62" i="2"/>
  <c r="V26" i="3" l="1"/>
  <c r="A135" i="30"/>
  <c r="D135" i="30" s="1"/>
  <c r="A134" i="30"/>
  <c r="D133" i="30"/>
  <c r="AL35" i="29"/>
  <c r="C35" i="29" s="1"/>
  <c r="AK35" i="29"/>
  <c r="D35" i="29" s="1"/>
  <c r="A246" i="30"/>
  <c r="A247" i="30" s="1"/>
  <c r="D245" i="30"/>
  <c r="E98" i="2"/>
  <c r="A30" i="30"/>
  <c r="D29" i="30"/>
  <c r="E62" i="2"/>
  <c r="A63" i="2"/>
  <c r="E28" i="2"/>
  <c r="A29" i="2"/>
  <c r="V27" i="3" l="1"/>
  <c r="A248" i="30"/>
  <c r="D247" i="30"/>
  <c r="A136" i="30"/>
  <c r="D134" i="30"/>
  <c r="AK36" i="29"/>
  <c r="D36" i="29" s="1"/>
  <c r="AL36" i="29"/>
  <c r="C36" i="29" s="1"/>
  <c r="E63" i="2"/>
  <c r="A64" i="2"/>
  <c r="A31" i="30"/>
  <c r="D30" i="30"/>
  <c r="D246" i="30"/>
  <c r="E99" i="2"/>
  <c r="E29" i="2"/>
  <c r="A30" i="2"/>
  <c r="V28" i="3" l="1"/>
  <c r="D248" i="30"/>
  <c r="A249" i="30"/>
  <c r="A137" i="30"/>
  <c r="D136" i="30"/>
  <c r="AL37" i="29"/>
  <c r="C37" i="29" s="1"/>
  <c r="AK37" i="29"/>
  <c r="D37" i="29" s="1"/>
  <c r="E30" i="2"/>
  <c r="A31" i="2"/>
  <c r="E100" i="2"/>
  <c r="D31" i="30"/>
  <c r="A32" i="30"/>
  <c r="E64" i="2"/>
  <c r="A65" i="2"/>
  <c r="V29" i="3" l="1"/>
  <c r="D249" i="30"/>
  <c r="A250" i="30"/>
  <c r="A138" i="30"/>
  <c r="D137" i="30"/>
  <c r="AL38" i="29"/>
  <c r="C38" i="29" s="1"/>
  <c r="AK38" i="29"/>
  <c r="D38" i="29" s="1"/>
  <c r="E31" i="2"/>
  <c r="A32" i="2"/>
  <c r="A33" i="2"/>
  <c r="E33" i="2" s="1"/>
  <c r="A33" i="30"/>
  <c r="D32" i="30"/>
  <c r="E65" i="2"/>
  <c r="A66" i="2"/>
  <c r="E101" i="2"/>
  <c r="V30" i="3" l="1"/>
  <c r="V31" i="3" s="1"/>
  <c r="V32" i="3" s="1"/>
  <c r="V33" i="3" s="1"/>
  <c r="V34" i="3" s="1"/>
  <c r="V35" i="3" s="1"/>
  <c r="V36" i="3" s="1"/>
  <c r="V37" i="3" s="1"/>
  <c r="V38" i="3" s="1"/>
  <c r="V39" i="3" s="1"/>
  <c r="V40" i="3" s="1"/>
  <c r="V41" i="3" s="1"/>
  <c r="V42" i="3" s="1"/>
  <c r="BR4" i="4" s="1"/>
  <c r="A251" i="30"/>
  <c r="D250" i="30"/>
  <c r="A139" i="30"/>
  <c r="D138" i="30"/>
  <c r="AL39" i="29"/>
  <c r="C39" i="29" s="1"/>
  <c r="AK39" i="29"/>
  <c r="D39" i="29" s="1"/>
  <c r="E32" i="2"/>
  <c r="A34" i="2"/>
  <c r="E66" i="2"/>
  <c r="A67" i="2"/>
  <c r="A34" i="30"/>
  <c r="D33" i="30"/>
  <c r="E102" i="2"/>
  <c r="A252" i="30" l="1"/>
  <c r="D251" i="30"/>
  <c r="D139" i="30"/>
  <c r="A140" i="30"/>
  <c r="AK40" i="29"/>
  <c r="D40" i="29" s="1"/>
  <c r="AL40" i="29"/>
  <c r="C40" i="29" s="1"/>
  <c r="D34" i="30"/>
  <c r="A35" i="30"/>
  <c r="E103" i="2"/>
  <c r="E67" i="2"/>
  <c r="A68" i="2"/>
  <c r="E34" i="2"/>
  <c r="A35" i="2"/>
  <c r="BR5" i="4" l="1"/>
  <c r="BR6" i="4" s="1"/>
  <c r="D252" i="30"/>
  <c r="A253" i="30"/>
  <c r="A141" i="30"/>
  <c r="D140" i="30"/>
  <c r="AL41" i="29"/>
  <c r="C41" i="29" s="1"/>
  <c r="AK41" i="29"/>
  <c r="D41" i="29" s="1"/>
  <c r="E105" i="2"/>
  <c r="E104" i="2"/>
  <c r="E68" i="2"/>
  <c r="A69" i="2"/>
  <c r="D35" i="30"/>
  <c r="A36" i="30"/>
  <c r="E35" i="2"/>
  <c r="A36" i="2"/>
  <c r="BQ5" i="4" l="1"/>
  <c r="BS5" i="4" s="1"/>
  <c r="BR7" i="4"/>
  <c r="BQ6" i="4"/>
  <c r="BS6" i="4" s="1"/>
  <c r="D253" i="30"/>
  <c r="A254" i="30"/>
  <c r="A142" i="30"/>
  <c r="D141" i="30"/>
  <c r="AL42" i="29"/>
  <c r="C42" i="29" s="1"/>
  <c r="AK42" i="29"/>
  <c r="D42" i="29" s="1"/>
  <c r="E36" i="2"/>
  <c r="A37" i="2"/>
  <c r="E37" i="2" s="1"/>
  <c r="E69" i="2"/>
  <c r="A70" i="2"/>
  <c r="D36" i="30"/>
  <c r="A37" i="30"/>
  <c r="G118" i="19" l="1"/>
  <c r="H118" i="19" s="1"/>
  <c r="BR8" i="4"/>
  <c r="BQ7" i="4"/>
  <c r="BS7" i="4" s="1"/>
  <c r="A255" i="30"/>
  <c r="D254" i="30"/>
  <c r="A143" i="30"/>
  <c r="D142" i="30"/>
  <c r="AL43" i="29"/>
  <c r="C43" i="29" s="1"/>
  <c r="AK43" i="29"/>
  <c r="D43" i="29" s="1"/>
  <c r="A38" i="30"/>
  <c r="D37" i="30"/>
  <c r="E70" i="2"/>
  <c r="A71" i="2"/>
  <c r="E71" i="2" s="1"/>
  <c r="G153" i="19" l="1"/>
  <c r="H153" i="19" s="1"/>
  <c r="G155" i="19"/>
  <c r="H155" i="19" s="1"/>
  <c r="G88" i="19"/>
  <c r="G86" i="19"/>
  <c r="G120" i="19"/>
  <c r="H120" i="19" s="1"/>
  <c r="G333" i="19"/>
  <c r="H333" i="19" s="1"/>
  <c r="G388" i="19"/>
  <c r="G20" i="19"/>
  <c r="G191" i="19"/>
  <c r="G261" i="19"/>
  <c r="H261" i="19" s="1"/>
  <c r="G147" i="19"/>
  <c r="G18" i="19"/>
  <c r="G332" i="19"/>
  <c r="G119" i="19"/>
  <c r="G192" i="19"/>
  <c r="G83" i="19"/>
  <c r="G226" i="19"/>
  <c r="G221" i="19"/>
  <c r="G117" i="19"/>
  <c r="G260" i="19"/>
  <c r="G334" i="19"/>
  <c r="G11" i="19"/>
  <c r="G264" i="19"/>
  <c r="G114" i="19"/>
  <c r="G390" i="19"/>
  <c r="G187" i="19"/>
  <c r="G154" i="19"/>
  <c r="G330" i="19"/>
  <c r="G325" i="19"/>
  <c r="G152" i="19"/>
  <c r="G149" i="19"/>
  <c r="G190" i="19"/>
  <c r="G262" i="19"/>
  <c r="G219" i="19"/>
  <c r="G16" i="19"/>
  <c r="G327" i="19"/>
  <c r="G331" i="19"/>
  <c r="H331" i="19" s="1"/>
  <c r="G362" i="19"/>
  <c r="G184" i="19"/>
  <c r="G81" i="19"/>
  <c r="G182" i="19"/>
  <c r="G335" i="19"/>
  <c r="H335" i="19" s="1"/>
  <c r="G224" i="19"/>
  <c r="G225" i="19"/>
  <c r="G112" i="19"/>
  <c r="G189" i="19"/>
  <c r="G257" i="19"/>
  <c r="G227" i="19"/>
  <c r="G263" i="19"/>
  <c r="G48" i="19"/>
  <c r="G360" i="19"/>
  <c r="G265" i="19"/>
  <c r="G188" i="19"/>
  <c r="G228" i="19"/>
  <c r="G255" i="19"/>
  <c r="G19" i="19"/>
  <c r="G9" i="19"/>
  <c r="G229" i="19"/>
  <c r="G50" i="19"/>
  <c r="BR9" i="4"/>
  <c r="BQ8" i="4"/>
  <c r="BS8" i="4" s="1"/>
  <c r="A256" i="30"/>
  <c r="D255" i="30"/>
  <c r="D143" i="30"/>
  <c r="A144" i="30"/>
  <c r="AK44" i="29"/>
  <c r="D44" i="29" s="1"/>
  <c r="AL44" i="29"/>
  <c r="C44" i="29" s="1"/>
  <c r="A39" i="30"/>
  <c r="D38" i="30"/>
  <c r="H263" i="19" l="1"/>
  <c r="H265" i="19"/>
  <c r="H227" i="19"/>
  <c r="H225" i="19"/>
  <c r="H229" i="19"/>
  <c r="BR10" i="4"/>
  <c r="BQ9" i="4"/>
  <c r="BS9" i="4" s="1"/>
  <c r="A257" i="30"/>
  <c r="D256" i="30"/>
  <c r="A145" i="30"/>
  <c r="D144" i="30"/>
  <c r="AL45" i="29"/>
  <c r="C45" i="29" s="1"/>
  <c r="AK45" i="29"/>
  <c r="D45" i="29" s="1"/>
  <c r="D39" i="30"/>
  <c r="A40" i="30"/>
  <c r="BR11" i="4" l="1"/>
  <c r="BQ10" i="4"/>
  <c r="BS10" i="4" s="1"/>
  <c r="A258" i="30"/>
  <c r="D257" i="30"/>
  <c r="A146" i="30"/>
  <c r="D145" i="30"/>
  <c r="AK46" i="29"/>
  <c r="D46" i="29" s="1"/>
  <c r="AL46" i="29"/>
  <c r="C46" i="29" s="1"/>
  <c r="D40" i="30"/>
  <c r="A41" i="30"/>
  <c r="BR12" i="4" l="1"/>
  <c r="BQ11" i="4"/>
  <c r="BS11" i="4" s="1"/>
  <c r="D258" i="30"/>
  <c r="A259" i="30"/>
  <c r="A147" i="30"/>
  <c r="D146" i="30"/>
  <c r="AL47" i="29"/>
  <c r="C47" i="29" s="1"/>
  <c r="AK47" i="29"/>
  <c r="D47" i="29" s="1"/>
  <c r="A42" i="30"/>
  <c r="D41" i="30"/>
  <c r="BR13" i="4" l="1"/>
  <c r="BQ12" i="4"/>
  <c r="BS12" i="4" s="1"/>
  <c r="D259" i="30"/>
  <c r="A260" i="30"/>
  <c r="D147" i="30"/>
  <c r="A148" i="30"/>
  <c r="AL48" i="29"/>
  <c r="C48" i="29" s="1"/>
  <c r="AK48" i="29"/>
  <c r="D48" i="29" s="1"/>
  <c r="D42" i="30"/>
  <c r="A43" i="30"/>
  <c r="BR14" i="4" l="1"/>
  <c r="BQ13" i="4"/>
  <c r="BS13" i="4" s="1"/>
  <c r="A261" i="30"/>
  <c r="D260" i="30"/>
  <c r="A149" i="30"/>
  <c r="D148" i="30"/>
  <c r="AL49" i="29"/>
  <c r="C49" i="29" s="1"/>
  <c r="AK49" i="29"/>
  <c r="D49" i="29" s="1"/>
  <c r="D43" i="30"/>
  <c r="A44" i="30"/>
  <c r="BR15" i="4" l="1"/>
  <c r="BQ14" i="4"/>
  <c r="BS14" i="4" s="1"/>
  <c r="A262" i="30"/>
  <c r="D261" i="30"/>
  <c r="A150" i="30"/>
  <c r="D149" i="30"/>
  <c r="AK50" i="29"/>
  <c r="D50" i="29" s="1"/>
  <c r="AL50" i="29"/>
  <c r="C50" i="29" s="1"/>
  <c r="D44" i="30"/>
  <c r="A45" i="30"/>
  <c r="BR16" i="4" l="1"/>
  <c r="BQ15" i="4"/>
  <c r="BS15" i="4" s="1"/>
  <c r="D262" i="30"/>
  <c r="A263" i="30"/>
  <c r="D150" i="30"/>
  <c r="A151" i="30"/>
  <c r="AL51" i="29"/>
  <c r="C51" i="29" s="1"/>
  <c r="AK51" i="29"/>
  <c r="D51" i="29" s="1"/>
  <c r="A46" i="30"/>
  <c r="D45" i="30"/>
  <c r="BR17" i="4" l="1"/>
  <c r="BQ16" i="4"/>
  <c r="BS16" i="4" s="1"/>
  <c r="A264" i="30"/>
  <c r="D263" i="30"/>
  <c r="D151" i="30"/>
  <c r="A152" i="30"/>
  <c r="AL52" i="29"/>
  <c r="C52" i="29" s="1"/>
  <c r="AK52" i="29"/>
  <c r="D52" i="29" s="1"/>
  <c r="A47" i="30"/>
  <c r="D46" i="30"/>
  <c r="BR18" i="4" l="1"/>
  <c r="BQ17" i="4"/>
  <c r="BS17" i="4" s="1"/>
  <c r="D264" i="30"/>
  <c r="A265" i="30"/>
  <c r="A153" i="30"/>
  <c r="D152" i="30"/>
  <c r="AL53" i="29"/>
  <c r="C53" i="29" s="1"/>
  <c r="AK53" i="29"/>
  <c r="D53" i="29" s="1"/>
  <c r="D47" i="30"/>
  <c r="A48" i="30"/>
  <c r="BR19" i="4" l="1"/>
  <c r="BQ18" i="4"/>
  <c r="BS18" i="4" s="1"/>
  <c r="A266" i="30"/>
  <c r="D265" i="30"/>
  <c r="A154" i="30"/>
  <c r="D153" i="30"/>
  <c r="AK54" i="29"/>
  <c r="D54" i="29" s="1"/>
  <c r="AL54" i="29"/>
  <c r="C54" i="29" s="1"/>
  <c r="A49" i="30"/>
  <c r="D48" i="30"/>
  <c r="BR20" i="4" l="1"/>
  <c r="BQ19" i="4"/>
  <c r="BS19" i="4" s="1"/>
  <c r="D266" i="30"/>
  <c r="A267" i="30"/>
  <c r="A155" i="30"/>
  <c r="D154" i="30"/>
  <c r="AL55" i="29"/>
  <c r="C55" i="29" s="1"/>
  <c r="AK55" i="29"/>
  <c r="D55" i="29" s="1"/>
  <c r="A50" i="30"/>
  <c r="D49" i="30"/>
  <c r="BR21" i="4" l="1"/>
  <c r="BQ20" i="4"/>
  <c r="BS20" i="4" s="1"/>
  <c r="D267" i="30"/>
  <c r="A268" i="30"/>
  <c r="D155" i="30"/>
  <c r="A156" i="30"/>
  <c r="AK56" i="29"/>
  <c r="D56" i="29" s="1"/>
  <c r="AL56" i="29"/>
  <c r="C56" i="29" s="1"/>
  <c r="D50" i="30"/>
  <c r="A51" i="30"/>
  <c r="BR22" i="4" l="1"/>
  <c r="BQ21" i="4"/>
  <c r="BS21" i="4" s="1"/>
  <c r="A269" i="30"/>
  <c r="D268" i="30"/>
  <c r="A157" i="30"/>
  <c r="D156" i="30"/>
  <c r="AL57" i="29"/>
  <c r="C57" i="29" s="1"/>
  <c r="AK57" i="29"/>
  <c r="D57" i="29" s="1"/>
  <c r="D51" i="30"/>
  <c r="A52" i="30"/>
  <c r="BR23" i="4" l="1"/>
  <c r="BQ22" i="4"/>
  <c r="BS22" i="4" s="1"/>
  <c r="A270" i="30"/>
  <c r="D269" i="30"/>
  <c r="D157" i="30"/>
  <c r="A158" i="30"/>
  <c r="AL58" i="29"/>
  <c r="C58" i="29" s="1"/>
  <c r="AK58" i="29"/>
  <c r="D58" i="29" s="1"/>
  <c r="D52" i="30"/>
  <c r="A53" i="30"/>
  <c r="BR24" i="4" l="1"/>
  <c r="BQ23" i="4"/>
  <c r="BS23" i="4" s="1"/>
  <c r="A271" i="30"/>
  <c r="D270" i="30"/>
  <c r="D158" i="30"/>
  <c r="A159" i="30"/>
  <c r="AL59" i="29"/>
  <c r="C59" i="29" s="1"/>
  <c r="AK59" i="29"/>
  <c r="D59" i="29" s="1"/>
  <c r="A54" i="30"/>
  <c r="D53" i="30"/>
  <c r="BR25" i="4" l="1"/>
  <c r="BQ24" i="4"/>
  <c r="BS24" i="4" s="1"/>
  <c r="D271" i="30"/>
  <c r="A272" i="30"/>
  <c r="A160" i="30"/>
  <c r="D159" i="30"/>
  <c r="AK60" i="29"/>
  <c r="D60" i="29" s="1"/>
  <c r="AL60" i="29"/>
  <c r="C60" i="29" s="1"/>
  <c r="A55" i="30"/>
  <c r="D54" i="30"/>
  <c r="BR26" i="4" l="1"/>
  <c r="BQ25" i="4"/>
  <c r="BS25" i="4" s="1"/>
  <c r="D272" i="30"/>
  <c r="A273" i="30"/>
  <c r="A161" i="30"/>
  <c r="D160" i="30"/>
  <c r="AL61" i="29"/>
  <c r="C61" i="29" s="1"/>
  <c r="AK61" i="29"/>
  <c r="D61" i="29" s="1"/>
  <c r="D55" i="30"/>
  <c r="A56" i="30"/>
  <c r="BR27" i="4" l="1"/>
  <c r="BQ26" i="4"/>
  <c r="BS26" i="4" s="1"/>
  <c r="A274" i="30"/>
  <c r="D273" i="30"/>
  <c r="D161" i="30"/>
  <c r="A162" i="30"/>
  <c r="AL62" i="29"/>
  <c r="C62" i="29" s="1"/>
  <c r="AK62" i="29"/>
  <c r="D62" i="29" s="1"/>
  <c r="D56" i="30"/>
  <c r="A57" i="30"/>
  <c r="BR28" i="4" l="1"/>
  <c r="BQ27" i="4"/>
  <c r="BS27" i="4" s="1"/>
  <c r="A275" i="30"/>
  <c r="D274" i="30"/>
  <c r="D162" i="30"/>
  <c r="A163" i="30"/>
  <c r="AL63" i="29"/>
  <c r="C63" i="29" s="1"/>
  <c r="AK63" i="29"/>
  <c r="D63" i="29" s="1"/>
  <c r="A58" i="30"/>
  <c r="D57" i="30"/>
  <c r="BR29" i="4" l="1"/>
  <c r="BQ28" i="4"/>
  <c r="BS28" i="4" s="1"/>
  <c r="D275" i="30"/>
  <c r="A276" i="30"/>
  <c r="A164" i="30"/>
  <c r="D163" i="30"/>
  <c r="AK64" i="29"/>
  <c r="D64" i="29" s="1"/>
  <c r="AL64" i="29"/>
  <c r="C64" i="29" s="1"/>
  <c r="D58" i="30"/>
  <c r="A59" i="30"/>
  <c r="BR30" i="4" l="1"/>
  <c r="BR31" i="4" s="1"/>
  <c r="BQ29" i="4"/>
  <c r="BS29" i="4" s="1"/>
  <c r="D276" i="30"/>
  <c r="A277" i="30"/>
  <c r="D164" i="30"/>
  <c r="A165" i="30"/>
  <c r="AL65" i="29"/>
  <c r="C65" i="29" s="1"/>
  <c r="AK65" i="29"/>
  <c r="D65" i="29" s="1"/>
  <c r="D59" i="30"/>
  <c r="A60" i="30"/>
  <c r="BR32" i="4" l="1"/>
  <c r="BQ31" i="4"/>
  <c r="BQ30" i="4"/>
  <c r="BS30" i="4" s="1"/>
  <c r="A278" i="30"/>
  <c r="D277" i="30"/>
  <c r="D165" i="30"/>
  <c r="A166" i="30"/>
  <c r="AL66" i="29"/>
  <c r="C66" i="29" s="1"/>
  <c r="AK66" i="29"/>
  <c r="D66" i="29" s="1"/>
  <c r="D60" i="30"/>
  <c r="A61" i="30"/>
  <c r="BS31" i="4" l="1"/>
  <c r="D31" i="4" s="1"/>
  <c r="E31" i="4"/>
  <c r="BR33" i="4"/>
  <c r="BQ32" i="4"/>
  <c r="D278" i="30"/>
  <c r="A279" i="30"/>
  <c r="A167" i="30"/>
  <c r="D166" i="30"/>
  <c r="AL67" i="29"/>
  <c r="C67" i="29" s="1"/>
  <c r="AK67" i="29"/>
  <c r="D67" i="29" s="1"/>
  <c r="A62" i="30"/>
  <c r="D61" i="30"/>
  <c r="E32" i="4" l="1"/>
  <c r="BS32" i="4"/>
  <c r="D32" i="4" s="1"/>
  <c r="BR34" i="4"/>
  <c r="BQ33" i="4"/>
  <c r="D279" i="30"/>
  <c r="A280" i="30"/>
  <c r="D167" i="30"/>
  <c r="A168" i="30"/>
  <c r="AK68" i="29"/>
  <c r="D68" i="29" s="1"/>
  <c r="AL68" i="29"/>
  <c r="C68" i="29" s="1"/>
  <c r="A63" i="30"/>
  <c r="D62" i="30"/>
  <c r="BS33" i="4" l="1"/>
  <c r="D33" i="4" s="1"/>
  <c r="E33" i="4"/>
  <c r="BR35" i="4"/>
  <c r="BQ34" i="4"/>
  <c r="BS34" i="4" s="1"/>
  <c r="A281" i="30"/>
  <c r="D280" i="30"/>
  <c r="A169" i="30"/>
  <c r="D168" i="30"/>
  <c r="AL69" i="29"/>
  <c r="C69" i="29" s="1"/>
  <c r="AK69" i="29"/>
  <c r="D69" i="29" s="1"/>
  <c r="D63" i="30"/>
  <c r="A64" i="30"/>
  <c r="BR36" i="4" l="1"/>
  <c r="BQ35" i="4"/>
  <c r="BS35" i="4" s="1"/>
  <c r="A282" i="30"/>
  <c r="D281" i="30"/>
  <c r="D169" i="30"/>
  <c r="A170" i="30"/>
  <c r="AL70" i="29"/>
  <c r="C70" i="29" s="1"/>
  <c r="AK70" i="29"/>
  <c r="D70" i="29" s="1"/>
  <c r="A65" i="30"/>
  <c r="D64" i="30"/>
  <c r="BR37" i="4" l="1"/>
  <c r="BQ36" i="4"/>
  <c r="BS36" i="4" s="1"/>
  <c r="D282" i="30"/>
  <c r="A283" i="30"/>
  <c r="D170" i="30"/>
  <c r="A171" i="30"/>
  <c r="AL71" i="29"/>
  <c r="C71" i="29" s="1"/>
  <c r="AK71" i="29"/>
  <c r="D71" i="29" s="1"/>
  <c r="A66" i="30"/>
  <c r="D65" i="30"/>
  <c r="BR38" i="4" l="1"/>
  <c r="BQ37" i="4"/>
  <c r="BS37" i="4" s="1"/>
  <c r="D283" i="30"/>
  <c r="A284" i="30"/>
  <c r="D171" i="30"/>
  <c r="A172" i="30"/>
  <c r="AK72" i="29"/>
  <c r="D72" i="29" s="1"/>
  <c r="AL72" i="29"/>
  <c r="C72" i="29" s="1"/>
  <c r="D66" i="30"/>
  <c r="A67" i="30"/>
  <c r="BR39" i="4" l="1"/>
  <c r="BQ38" i="4"/>
  <c r="BS38" i="4" s="1"/>
  <c r="A285" i="30"/>
  <c r="D284" i="30"/>
  <c r="A173" i="30"/>
  <c r="D172" i="30"/>
  <c r="AL73" i="29"/>
  <c r="C73" i="29" s="1"/>
  <c r="AK73" i="29"/>
  <c r="D73" i="29" s="1"/>
  <c r="D67" i="30"/>
  <c r="A68" i="30"/>
  <c r="BR40" i="4" l="1"/>
  <c r="BQ39" i="4"/>
  <c r="BS39" i="4" s="1"/>
  <c r="A286" i="30"/>
  <c r="D285" i="30"/>
  <c r="D173" i="30"/>
  <c r="A174" i="30"/>
  <c r="AK74" i="29"/>
  <c r="D74" i="29" s="1"/>
  <c r="AL74" i="29"/>
  <c r="C74" i="29" s="1"/>
  <c r="D68" i="30"/>
  <c r="A69" i="30"/>
  <c r="BR41" i="4" l="1"/>
  <c r="BQ40" i="4"/>
  <c r="BS40" i="4" s="1"/>
  <c r="A287" i="30"/>
  <c r="D286" i="30"/>
  <c r="A175" i="30"/>
  <c r="D174" i="30"/>
  <c r="AL75" i="29"/>
  <c r="C75" i="29" s="1"/>
  <c r="AK75" i="29"/>
  <c r="D75" i="29" s="1"/>
  <c r="A70" i="30"/>
  <c r="D69" i="30"/>
  <c r="BR42" i="4" l="1"/>
  <c r="BQ41" i="4"/>
  <c r="BS41" i="4" s="1"/>
  <c r="D287" i="30"/>
  <c r="A288" i="30"/>
  <c r="A176" i="30"/>
  <c r="D175" i="30"/>
  <c r="AL76" i="29"/>
  <c r="C76" i="29" s="1"/>
  <c r="AK76" i="29"/>
  <c r="D76" i="29" s="1"/>
  <c r="A71" i="30"/>
  <c r="D70" i="30"/>
  <c r="BR43" i="4" l="1"/>
  <c r="BQ42" i="4"/>
  <c r="BS42" i="4" s="1"/>
  <c r="X259" i="17"/>
  <c r="D288" i="30"/>
  <c r="A289" i="30"/>
  <c r="A177" i="30"/>
  <c r="D176" i="30"/>
  <c r="AL77" i="29"/>
  <c r="C77" i="29" s="1"/>
  <c r="AK77" i="29"/>
  <c r="D77" i="29" s="1"/>
  <c r="D71" i="30"/>
  <c r="A72" i="30"/>
  <c r="BR44" i="4" l="1"/>
  <c r="BQ43" i="4"/>
  <c r="BS43" i="4" s="1"/>
  <c r="T300" i="17"/>
  <c r="S259" i="17"/>
  <c r="A290" i="30"/>
  <c r="D289" i="30"/>
  <c r="D177" i="30"/>
  <c r="A178" i="30"/>
  <c r="AK78" i="29"/>
  <c r="D78" i="29" s="1"/>
  <c r="AL78" i="29"/>
  <c r="C78" i="29" s="1"/>
  <c r="D72" i="30"/>
  <c r="A73" i="30"/>
  <c r="BR45" i="4" l="1"/>
  <c r="BQ44" i="4"/>
  <c r="BS44" i="4" s="1"/>
  <c r="Q54" i="17"/>
  <c r="D290" i="30"/>
  <c r="A291" i="30"/>
  <c r="D178" i="30"/>
  <c r="A179" i="30"/>
  <c r="AL79" i="29"/>
  <c r="C79" i="29" s="1"/>
  <c r="AK79" i="29"/>
  <c r="D79" i="29" s="1"/>
  <c r="A74" i="30"/>
  <c r="D73" i="30"/>
  <c r="BR46" i="4" l="1"/>
  <c r="BQ45" i="4"/>
  <c r="BS45" i="4" s="1"/>
  <c r="A292" i="30"/>
  <c r="D291" i="30"/>
  <c r="D179" i="30"/>
  <c r="A180" i="30"/>
  <c r="AL80" i="29"/>
  <c r="C80" i="29" s="1"/>
  <c r="AK80" i="29"/>
  <c r="D80" i="29" s="1"/>
  <c r="D74" i="30"/>
  <c r="A75" i="30"/>
  <c r="BR47" i="4" l="1"/>
  <c r="BQ46" i="4"/>
  <c r="BS46" i="4" s="1"/>
  <c r="A293" i="30"/>
  <c r="D292" i="30"/>
  <c r="A181" i="30"/>
  <c r="D180" i="30"/>
  <c r="AL81" i="29"/>
  <c r="C81" i="29" s="1"/>
  <c r="AK81" i="29"/>
  <c r="D81" i="29" s="1"/>
  <c r="D75" i="30"/>
  <c r="A76" i="30"/>
  <c r="BR48" i="4" l="1"/>
  <c r="BQ47" i="4"/>
  <c r="BS47" i="4" s="1"/>
  <c r="A294" i="30"/>
  <c r="D293" i="30"/>
  <c r="D181" i="30"/>
  <c r="A182" i="30"/>
  <c r="AK82" i="29"/>
  <c r="D82" i="29" s="1"/>
  <c r="AL82" i="29"/>
  <c r="C82" i="29" s="1"/>
  <c r="D76" i="30"/>
  <c r="A77" i="30"/>
  <c r="BR49" i="4" l="1"/>
  <c r="BQ48" i="4"/>
  <c r="BS48" i="4" s="1"/>
  <c r="D294" i="30"/>
  <c r="A295" i="30"/>
  <c r="D182" i="30"/>
  <c r="A183" i="30"/>
  <c r="AL83" i="29"/>
  <c r="C83" i="29" s="1"/>
  <c r="AK83" i="29"/>
  <c r="D83" i="29" s="1"/>
  <c r="A78" i="30"/>
  <c r="D77" i="30"/>
  <c r="BR50" i="4" l="1"/>
  <c r="BQ49" i="4"/>
  <c r="BS49" i="4" s="1"/>
  <c r="D295" i="30"/>
  <c r="A296" i="30"/>
  <c r="D183" i="30"/>
  <c r="A184" i="30"/>
  <c r="AL84" i="29"/>
  <c r="C84" i="29" s="1"/>
  <c r="AK84" i="29"/>
  <c r="D84" i="29" s="1"/>
  <c r="A79" i="30"/>
  <c r="D78" i="30"/>
  <c r="BR51" i="4" l="1"/>
  <c r="BQ50" i="4"/>
  <c r="BS50" i="4" s="1"/>
  <c r="A297" i="30"/>
  <c r="D296" i="30"/>
  <c r="D184" i="30"/>
  <c r="A185" i="30"/>
  <c r="AL85" i="29"/>
  <c r="C85" i="29" s="1"/>
  <c r="AK85" i="29"/>
  <c r="D85" i="29" s="1"/>
  <c r="D79" i="30"/>
  <c r="A80" i="30"/>
  <c r="BR52" i="4" l="1"/>
  <c r="BQ51" i="4"/>
  <c r="BS51" i="4" s="1"/>
  <c r="A298" i="30"/>
  <c r="D297" i="30"/>
  <c r="A186" i="30"/>
  <c r="D185" i="30"/>
  <c r="AK86" i="29"/>
  <c r="D86" i="29" s="1"/>
  <c r="AL86" i="29"/>
  <c r="C86" i="29" s="1"/>
  <c r="A81" i="30"/>
  <c r="D80" i="30"/>
  <c r="BR53" i="4" l="1"/>
  <c r="BQ52" i="4"/>
  <c r="BS52" i="4" s="1"/>
  <c r="D298" i="30"/>
  <c r="A299" i="30"/>
  <c r="D186" i="30"/>
  <c r="A187" i="30"/>
  <c r="AL87" i="29"/>
  <c r="C87" i="29" s="1"/>
  <c r="AK87" i="29"/>
  <c r="D87" i="29" s="1"/>
  <c r="A82" i="30"/>
  <c r="D81" i="30"/>
  <c r="BR54" i="4" l="1"/>
  <c r="BQ53" i="4"/>
  <c r="BS53" i="4" s="1"/>
  <c r="D299" i="30"/>
  <c r="A300" i="30"/>
  <c r="A188" i="30"/>
  <c r="D187" i="30"/>
  <c r="AK88" i="29"/>
  <c r="D88" i="29" s="1"/>
  <c r="AL88" i="29"/>
  <c r="C88" i="29" s="1"/>
  <c r="D82" i="30"/>
  <c r="A83" i="30"/>
  <c r="BR55" i="4" l="1"/>
  <c r="BQ54" i="4"/>
  <c r="BS54" i="4" s="1"/>
  <c r="A301" i="30"/>
  <c r="D300" i="30"/>
  <c r="D188" i="30"/>
  <c r="A189" i="30"/>
  <c r="AL89" i="29"/>
  <c r="C89" i="29" s="1"/>
  <c r="AK89" i="29"/>
  <c r="D89" i="29" s="1"/>
  <c r="D83" i="30"/>
  <c r="A84" i="30"/>
  <c r="B3" i="17"/>
  <c r="D2" i="29"/>
  <c r="BR56" i="4" l="1"/>
  <c r="BQ55" i="4"/>
  <c r="BS55" i="4" s="1"/>
  <c r="A302" i="30"/>
  <c r="D301" i="30"/>
  <c r="D189" i="30"/>
  <c r="A190" i="30"/>
  <c r="AL90" i="29"/>
  <c r="C90" i="29" s="1"/>
  <c r="AK90" i="29"/>
  <c r="D90" i="29" s="1"/>
  <c r="D84" i="30"/>
  <c r="A85" i="30"/>
  <c r="BR57" i="4" l="1"/>
  <c r="BQ56" i="4"/>
  <c r="BS56" i="4" s="1"/>
  <c r="D302" i="30"/>
  <c r="A303" i="30"/>
  <c r="A191" i="30"/>
  <c r="D190" i="30"/>
  <c r="AL91" i="29"/>
  <c r="C91" i="29" s="1"/>
  <c r="AK91" i="29"/>
  <c r="D91" i="29" s="1"/>
  <c r="A86" i="30"/>
  <c r="D85" i="30"/>
  <c r="BR58" i="4" l="1"/>
  <c r="BQ57" i="4"/>
  <c r="BS57" i="4" s="1"/>
  <c r="D303" i="30"/>
  <c r="A304" i="30"/>
  <c r="D191" i="30"/>
  <c r="A192" i="30"/>
  <c r="AK92" i="29"/>
  <c r="D92" i="29" s="1"/>
  <c r="AL92" i="29"/>
  <c r="C92" i="29" s="1"/>
  <c r="A87" i="30"/>
  <c r="D86" i="30"/>
  <c r="A3" i="29"/>
  <c r="C2" i="29"/>
  <c r="BR59" i="4" l="1"/>
  <c r="BQ58" i="4"/>
  <c r="BS58" i="4" s="1"/>
  <c r="A4" i="29"/>
  <c r="A305" i="30"/>
  <c r="D304" i="30"/>
  <c r="A193" i="30"/>
  <c r="D192" i="30"/>
  <c r="AL93" i="29"/>
  <c r="C93" i="29" s="1"/>
  <c r="AK93" i="29"/>
  <c r="D93" i="29" s="1"/>
  <c r="D87" i="30"/>
  <c r="A88" i="30"/>
  <c r="BR60" i="4" l="1"/>
  <c r="BQ59" i="4"/>
  <c r="BS59" i="4" s="1"/>
  <c r="A5" i="29"/>
  <c r="A306" i="30"/>
  <c r="D305" i="30"/>
  <c r="D193" i="30"/>
  <c r="A194" i="30"/>
  <c r="AL94" i="29"/>
  <c r="C94" i="29" s="1"/>
  <c r="AK94" i="29"/>
  <c r="D94" i="29" s="1"/>
  <c r="A89" i="30"/>
  <c r="D88" i="30"/>
  <c r="BR61" i="4" l="1"/>
  <c r="BQ60" i="4"/>
  <c r="BS60" i="4" s="1"/>
  <c r="A6" i="29"/>
  <c r="D306" i="30"/>
  <c r="A307" i="30"/>
  <c r="D194" i="30"/>
  <c r="A195" i="30"/>
  <c r="AL95" i="29"/>
  <c r="C95" i="29" s="1"/>
  <c r="AK95" i="29"/>
  <c r="D95" i="29" s="1"/>
  <c r="A90" i="30"/>
  <c r="D89" i="30"/>
  <c r="BR62" i="4" l="1"/>
  <c r="BQ61" i="4"/>
  <c r="BS61" i="4" s="1"/>
  <c r="A7" i="29"/>
  <c r="D307" i="30"/>
  <c r="A308" i="30"/>
  <c r="D195" i="30"/>
  <c r="A196" i="30"/>
  <c r="AK96" i="29"/>
  <c r="D96" i="29" s="1"/>
  <c r="AL96" i="29"/>
  <c r="C96" i="29" s="1"/>
  <c r="D90" i="30"/>
  <c r="A91" i="30"/>
  <c r="BR63" i="4" l="1"/>
  <c r="BQ62" i="4"/>
  <c r="BS62" i="4" s="1"/>
  <c r="A8" i="29"/>
  <c r="A309" i="30"/>
  <c r="D308" i="30"/>
  <c r="A197" i="30"/>
  <c r="D196" i="30"/>
  <c r="AL97" i="29"/>
  <c r="C97" i="29" s="1"/>
  <c r="AK97" i="29"/>
  <c r="D91" i="30"/>
  <c r="A92" i="30"/>
  <c r="BR64" i="4" l="1"/>
  <c r="BQ63" i="4"/>
  <c r="BS63" i="4" s="1"/>
  <c r="D97" i="29"/>
  <c r="A9" i="29"/>
  <c r="A310" i="30"/>
  <c r="D309" i="30"/>
  <c r="A198" i="30"/>
  <c r="D197" i="30"/>
  <c r="AK98" i="29"/>
  <c r="D98" i="29" s="1"/>
  <c r="AL98" i="29"/>
  <c r="C98" i="29" s="1"/>
  <c r="D92" i="30"/>
  <c r="A93" i="30"/>
  <c r="BR65" i="4" l="1"/>
  <c r="BQ64" i="4"/>
  <c r="BS64" i="4" s="1"/>
  <c r="A10" i="29"/>
  <c r="D310" i="30"/>
  <c r="A311" i="30"/>
  <c r="D311" i="30" s="1"/>
  <c r="A312" i="30"/>
  <c r="A199" i="30"/>
  <c r="D198" i="30"/>
  <c r="AL99" i="29"/>
  <c r="C99" i="29" s="1"/>
  <c r="AK99" i="29"/>
  <c r="D99" i="29" s="1"/>
  <c r="A94" i="30"/>
  <c r="D93" i="30"/>
  <c r="R38" i="28"/>
  <c r="Q38" i="28"/>
  <c r="P38" i="28"/>
  <c r="C110" i="28"/>
  <c r="C105" i="28"/>
  <c r="C101" i="28"/>
  <c r="C113" i="28"/>
  <c r="C112" i="28"/>
  <c r="C111" i="28"/>
  <c r="C109" i="28"/>
  <c r="C108" i="28"/>
  <c r="C107" i="28"/>
  <c r="C106" i="28"/>
  <c r="C104" i="28"/>
  <c r="C103" i="28"/>
  <c r="C102" i="28"/>
  <c r="C100" i="28"/>
  <c r="C99" i="28"/>
  <c r="C97" i="28"/>
  <c r="R37" i="28"/>
  <c r="Q37" i="28"/>
  <c r="P37" i="28"/>
  <c r="R36" i="28"/>
  <c r="Q36" i="28"/>
  <c r="P36" i="28"/>
  <c r="R35" i="28"/>
  <c r="R34" i="28"/>
  <c r="Q34" i="28"/>
  <c r="P34" i="28"/>
  <c r="BR66" i="4" l="1"/>
  <c r="BQ65" i="4"/>
  <c r="BS65" i="4" s="1"/>
  <c r="A11" i="29"/>
  <c r="A313" i="30"/>
  <c r="D312" i="30"/>
  <c r="A200" i="30"/>
  <c r="D199" i="30"/>
  <c r="AL100" i="29"/>
  <c r="C100" i="29" s="1"/>
  <c r="AK100" i="29"/>
  <c r="D100" i="29" s="1"/>
  <c r="A95" i="30"/>
  <c r="D94" i="30"/>
  <c r="BR67" i="4" l="1"/>
  <c r="BQ66" i="4"/>
  <c r="BS66" i="4" s="1"/>
  <c r="A12" i="29"/>
  <c r="A314" i="30"/>
  <c r="D313" i="30"/>
  <c r="A201" i="30"/>
  <c r="D200" i="30"/>
  <c r="AL101" i="29"/>
  <c r="C101" i="29" s="1"/>
  <c r="AK101" i="29"/>
  <c r="D101" i="29" s="1"/>
  <c r="D95" i="30"/>
  <c r="A96" i="30"/>
  <c r="BR68" i="4" l="1"/>
  <c r="BQ67" i="4"/>
  <c r="BS67" i="4" s="1"/>
  <c r="A13" i="29"/>
  <c r="D314" i="30"/>
  <c r="A315" i="30"/>
  <c r="D201" i="30"/>
  <c r="A202" i="30"/>
  <c r="AK102" i="29"/>
  <c r="D102" i="29" s="1"/>
  <c r="AL102" i="29"/>
  <c r="C102" i="29" s="1"/>
  <c r="A97" i="30"/>
  <c r="D96" i="30"/>
  <c r="R39" i="28"/>
  <c r="R33" i="28"/>
  <c r="R32" i="28"/>
  <c r="R31" i="28"/>
  <c r="R30" i="28"/>
  <c r="R29" i="28"/>
  <c r="R28" i="28"/>
  <c r="R27" i="28"/>
  <c r="R26" i="28"/>
  <c r="R25" i="28"/>
  <c r="R24" i="28"/>
  <c r="R23" i="28"/>
  <c r="R22" i="28"/>
  <c r="R21" i="28"/>
  <c r="R20" i="28"/>
  <c r="R19" i="28"/>
  <c r="R18" i="28"/>
  <c r="R17" i="28"/>
  <c r="Q39" i="28"/>
  <c r="Q33" i="28"/>
  <c r="Q32" i="28"/>
  <c r="Q31" i="28"/>
  <c r="Q30" i="28"/>
  <c r="Q29" i="28"/>
  <c r="Q28" i="28"/>
  <c r="Q27" i="28"/>
  <c r="Q26" i="28"/>
  <c r="Q25" i="28"/>
  <c r="Q24" i="28"/>
  <c r="Q23" i="28"/>
  <c r="Q22" i="28"/>
  <c r="Q21" i="28"/>
  <c r="Q20" i="28"/>
  <c r="Q19" i="28"/>
  <c r="Q18" i="28"/>
  <c r="Q17" i="28"/>
  <c r="P39" i="28"/>
  <c r="P33" i="28"/>
  <c r="P32" i="28"/>
  <c r="P31" i="28"/>
  <c r="P30" i="28"/>
  <c r="P29" i="28"/>
  <c r="P28" i="28"/>
  <c r="P27" i="28"/>
  <c r="P26" i="28"/>
  <c r="P25" i="28"/>
  <c r="P24" i="28"/>
  <c r="P23" i="28"/>
  <c r="P22" i="28"/>
  <c r="P21" i="28"/>
  <c r="P20" i="28"/>
  <c r="P19" i="28"/>
  <c r="P18" i="28"/>
  <c r="P17" i="28"/>
  <c r="Y33"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N39" i="28"/>
  <c r="M39" i="28"/>
  <c r="L39" i="28"/>
  <c r="K39" i="28"/>
  <c r="J39" i="28"/>
  <c r="I39" i="28"/>
  <c r="H39" i="28"/>
  <c r="G39" i="28"/>
  <c r="F39" i="28"/>
  <c r="N33" i="28"/>
  <c r="M33" i="28"/>
  <c r="L33" i="28"/>
  <c r="K33" i="28"/>
  <c r="J33" i="28"/>
  <c r="I33" i="28"/>
  <c r="H33" i="28"/>
  <c r="G33" i="28"/>
  <c r="F33" i="28"/>
  <c r="N32" i="28"/>
  <c r="M32" i="28"/>
  <c r="L32" i="28"/>
  <c r="K32" i="28"/>
  <c r="J32" i="28"/>
  <c r="I32" i="28"/>
  <c r="H32" i="28"/>
  <c r="G32" i="28"/>
  <c r="F32" i="28"/>
  <c r="N31" i="28"/>
  <c r="M31" i="28"/>
  <c r="L31" i="28"/>
  <c r="K31" i="28"/>
  <c r="J31" i="28"/>
  <c r="I31" i="28"/>
  <c r="H31" i="28"/>
  <c r="G31" i="28"/>
  <c r="F31" i="28"/>
  <c r="N30" i="28"/>
  <c r="M30" i="28"/>
  <c r="L30" i="28"/>
  <c r="K30" i="28"/>
  <c r="J30" i="28"/>
  <c r="I30" i="28"/>
  <c r="H30" i="28"/>
  <c r="G30" i="28"/>
  <c r="F30" i="28"/>
  <c r="N29" i="28"/>
  <c r="M29" i="28"/>
  <c r="L29" i="28"/>
  <c r="K29" i="28"/>
  <c r="J29" i="28"/>
  <c r="I29" i="28"/>
  <c r="H29" i="28"/>
  <c r="G29" i="28"/>
  <c r="F29" i="28"/>
  <c r="N28" i="28"/>
  <c r="M28" i="28"/>
  <c r="L28" i="28"/>
  <c r="K28" i="28"/>
  <c r="J28" i="28"/>
  <c r="I28" i="28"/>
  <c r="H28" i="28"/>
  <c r="G28" i="28"/>
  <c r="F28" i="28"/>
  <c r="N27" i="28"/>
  <c r="M27" i="28"/>
  <c r="L27" i="28"/>
  <c r="K27" i="28"/>
  <c r="J27" i="28"/>
  <c r="I27" i="28"/>
  <c r="H27" i="28"/>
  <c r="G27" i="28"/>
  <c r="F27" i="28"/>
  <c r="N26" i="28"/>
  <c r="M26" i="28"/>
  <c r="L26" i="28"/>
  <c r="K26" i="28"/>
  <c r="J26" i="28"/>
  <c r="I26" i="28"/>
  <c r="H26" i="28"/>
  <c r="G26" i="28"/>
  <c r="F26" i="28"/>
  <c r="N25" i="28"/>
  <c r="M25" i="28"/>
  <c r="L25" i="28"/>
  <c r="K25" i="28"/>
  <c r="J25" i="28"/>
  <c r="I25" i="28"/>
  <c r="H25" i="28"/>
  <c r="G25" i="28"/>
  <c r="F25" i="28"/>
  <c r="N24" i="28"/>
  <c r="M24" i="28"/>
  <c r="L24" i="28"/>
  <c r="K24" i="28"/>
  <c r="J24" i="28"/>
  <c r="I24" i="28"/>
  <c r="H24" i="28"/>
  <c r="G24" i="28"/>
  <c r="F24" i="28"/>
  <c r="N23" i="28"/>
  <c r="M23" i="28"/>
  <c r="L23" i="28"/>
  <c r="K23" i="28"/>
  <c r="J23" i="28"/>
  <c r="I23" i="28"/>
  <c r="H23" i="28"/>
  <c r="G23" i="28"/>
  <c r="F23" i="28"/>
  <c r="N22" i="28"/>
  <c r="M22" i="28"/>
  <c r="L22" i="28"/>
  <c r="K22" i="28"/>
  <c r="J22" i="28"/>
  <c r="I22" i="28"/>
  <c r="H22" i="28"/>
  <c r="G22" i="28"/>
  <c r="F22" i="28"/>
  <c r="N21" i="28"/>
  <c r="M21" i="28"/>
  <c r="L21" i="28"/>
  <c r="K21" i="28"/>
  <c r="J21" i="28"/>
  <c r="I21" i="28"/>
  <c r="H21" i="28"/>
  <c r="G21" i="28"/>
  <c r="F21" i="28"/>
  <c r="N20" i="28"/>
  <c r="M20" i="28"/>
  <c r="L20" i="28"/>
  <c r="K20" i="28"/>
  <c r="J20" i="28"/>
  <c r="I20" i="28"/>
  <c r="H20" i="28"/>
  <c r="G20" i="28"/>
  <c r="F20" i="28"/>
  <c r="N19" i="28"/>
  <c r="M19" i="28"/>
  <c r="L19" i="28"/>
  <c r="K19" i="28"/>
  <c r="J19" i="28"/>
  <c r="I19" i="28"/>
  <c r="H19" i="28"/>
  <c r="G19" i="28"/>
  <c r="F19" i="28"/>
  <c r="N18" i="28"/>
  <c r="M18" i="28"/>
  <c r="L18" i="28"/>
  <c r="K18" i="28"/>
  <c r="J18" i="28"/>
  <c r="I18" i="28"/>
  <c r="H18" i="28"/>
  <c r="G18" i="28"/>
  <c r="F18" i="28"/>
  <c r="N17" i="28"/>
  <c r="M17" i="28"/>
  <c r="L17" i="28"/>
  <c r="K17" i="28"/>
  <c r="J17" i="28"/>
  <c r="I17" i="28"/>
  <c r="H17" i="28"/>
  <c r="G17" i="28"/>
  <c r="F17" i="28"/>
  <c r="D16" i="28"/>
  <c r="E16" i="28" s="1"/>
  <c r="F16" i="28" s="1"/>
  <c r="O14" i="28"/>
  <c r="O13" i="28"/>
  <c r="O12" i="28"/>
  <c r="O11" i="28"/>
  <c r="O10" i="28"/>
  <c r="O9" i="28"/>
  <c r="O8" i="28"/>
  <c r="O7" i="28"/>
  <c r="O6" i="28"/>
  <c r="O5" i="28"/>
  <c r="O4" i="28"/>
  <c r="O3" i="28"/>
  <c r="BR69" i="4" l="1"/>
  <c r="BQ68" i="4"/>
  <c r="BS68" i="4" s="1"/>
  <c r="A14" i="29"/>
  <c r="D315" i="30"/>
  <c r="A316" i="30"/>
  <c r="A203" i="30"/>
  <c r="D202" i="30"/>
  <c r="AL103" i="29"/>
  <c r="C103" i="29" s="1"/>
  <c r="AK103" i="29"/>
  <c r="D103" i="29" s="1"/>
  <c r="F113" i="28"/>
  <c r="F111" i="28"/>
  <c r="F109" i="28"/>
  <c r="F107" i="28"/>
  <c r="F103" i="28"/>
  <c r="F101" i="28"/>
  <c r="F99" i="28"/>
  <c r="F96" i="28"/>
  <c r="F98" i="28"/>
  <c r="F105" i="28"/>
  <c r="F102" i="28"/>
  <c r="F110" i="28"/>
  <c r="F104" i="28"/>
  <c r="F112" i="28"/>
  <c r="F97" i="28"/>
  <c r="F106" i="28"/>
  <c r="F108" i="28"/>
  <c r="F100" i="28"/>
  <c r="A98" i="30"/>
  <c r="D97" i="30"/>
  <c r="F53" i="28"/>
  <c r="F65" i="28"/>
  <c r="F85" i="28"/>
  <c r="F95" i="28"/>
  <c r="F69" i="28"/>
  <c r="F45" i="28"/>
  <c r="F61" i="28"/>
  <c r="F77" i="28"/>
  <c r="F93" i="28"/>
  <c r="F81" i="28"/>
  <c r="F56" i="28"/>
  <c r="F60" i="28"/>
  <c r="F68" i="28"/>
  <c r="F84" i="28"/>
  <c r="F92" i="28"/>
  <c r="F44" i="28"/>
  <c r="F48" i="28"/>
  <c r="F64" i="28"/>
  <c r="F72" i="28"/>
  <c r="F76" i="28"/>
  <c r="F80" i="28"/>
  <c r="F88" i="28"/>
  <c r="F41" i="28"/>
  <c r="F52" i="28"/>
  <c r="F49" i="28"/>
  <c r="F57" i="28"/>
  <c r="F73" i="28"/>
  <c r="F89" i="28"/>
  <c r="F42" i="28"/>
  <c r="F46" i="28"/>
  <c r="F50" i="28"/>
  <c r="F54" i="28"/>
  <c r="F58" i="28"/>
  <c r="F62" i="28"/>
  <c r="F66" i="28"/>
  <c r="F70" i="28"/>
  <c r="F74" i="28"/>
  <c r="F78" i="28"/>
  <c r="F82" i="28"/>
  <c r="F86" i="28"/>
  <c r="F90" i="28"/>
  <c r="F94" i="28"/>
  <c r="F43" i="28"/>
  <c r="F47" i="28"/>
  <c r="F51" i="28"/>
  <c r="F55" i="28"/>
  <c r="F59" i="28"/>
  <c r="F63" i="28"/>
  <c r="F67" i="28"/>
  <c r="F71" i="28"/>
  <c r="F75" i="28"/>
  <c r="F79" i="28"/>
  <c r="F83" i="28"/>
  <c r="F87" i="28"/>
  <c r="F91" i="28"/>
  <c r="G16" i="28"/>
  <c r="BR70" i="4" l="1"/>
  <c r="BQ69" i="4"/>
  <c r="BS69" i="4" s="1"/>
  <c r="A15" i="29"/>
  <c r="A317" i="30"/>
  <c r="D316" i="30"/>
  <c r="A204" i="30"/>
  <c r="D203" i="30"/>
  <c r="AL104" i="29"/>
  <c r="C104" i="29" s="1"/>
  <c r="AK104" i="29"/>
  <c r="D104" i="29" s="1"/>
  <c r="G45" i="28"/>
  <c r="G96" i="28"/>
  <c r="G98" i="28"/>
  <c r="G112" i="28"/>
  <c r="G106" i="28"/>
  <c r="G102" i="28"/>
  <c r="G108" i="28"/>
  <c r="G104" i="28"/>
  <c r="G97" i="28"/>
  <c r="G100" i="28"/>
  <c r="G110" i="28"/>
  <c r="G101" i="28"/>
  <c r="G103" i="28"/>
  <c r="G105" i="28"/>
  <c r="G107" i="28"/>
  <c r="G109" i="28"/>
  <c r="G111" i="28"/>
  <c r="G113" i="28"/>
  <c r="G99" i="28"/>
  <c r="D98" i="30"/>
  <c r="A99" i="30"/>
  <c r="G49" i="28"/>
  <c r="G50" i="28"/>
  <c r="G82" i="28"/>
  <c r="G61" i="28"/>
  <c r="G66" i="28"/>
  <c r="G57" i="28"/>
  <c r="G86" i="28"/>
  <c r="G56" i="28"/>
  <c r="G72" i="28"/>
  <c r="G90" i="28"/>
  <c r="G48" i="28"/>
  <c r="G80" i="28"/>
  <c r="G93" i="28"/>
  <c r="G81" i="28"/>
  <c r="G77" i="28"/>
  <c r="G73" i="28"/>
  <c r="G65" i="28"/>
  <c r="G53" i="28"/>
  <c r="G87" i="28"/>
  <c r="G67" i="28"/>
  <c r="G63" i="28"/>
  <c r="G59" i="28"/>
  <c r="G55" i="28"/>
  <c r="G91" i="28"/>
  <c r="G83" i="28"/>
  <c r="G79" i="28"/>
  <c r="G75" i="28"/>
  <c r="G71" i="28"/>
  <c r="G95" i="28"/>
  <c r="G51" i="28"/>
  <c r="G43" i="28"/>
  <c r="G47" i="28"/>
  <c r="G70" i="28"/>
  <c r="G54" i="28"/>
  <c r="G60" i="28"/>
  <c r="G89" i="28"/>
  <c r="G69" i="28"/>
  <c r="G74" i="28"/>
  <c r="G58" i="28"/>
  <c r="G42" i="28"/>
  <c r="G84" i="28"/>
  <c r="G52" i="28"/>
  <c r="G94" i="28"/>
  <c r="G78" i="28"/>
  <c r="G62" i="28"/>
  <c r="G46" i="28"/>
  <c r="G68" i="28"/>
  <c r="G44" i="28"/>
  <c r="G76" i="28"/>
  <c r="G64" i="28"/>
  <c r="G85" i="28"/>
  <c r="G41" i="28"/>
  <c r="G92" i="28"/>
  <c r="G88" i="28"/>
  <c r="H16" i="28"/>
  <c r="BR71" i="4" l="1"/>
  <c r="BQ70" i="4"/>
  <c r="A16" i="29"/>
  <c r="D317" i="30"/>
  <c r="A318" i="30"/>
  <c r="D204" i="30"/>
  <c r="A205" i="30"/>
  <c r="AL105" i="29"/>
  <c r="C105" i="29" s="1"/>
  <c r="AK105" i="29"/>
  <c r="D105" i="29" s="1"/>
  <c r="H110" i="28"/>
  <c r="H98" i="28"/>
  <c r="H96" i="28"/>
  <c r="H102" i="28"/>
  <c r="H108" i="28"/>
  <c r="H103" i="28"/>
  <c r="H111" i="28"/>
  <c r="H100" i="28"/>
  <c r="H106" i="28"/>
  <c r="H112" i="28"/>
  <c r="H105" i="28"/>
  <c r="H113" i="28"/>
  <c r="H104" i="28"/>
  <c r="H107" i="28"/>
  <c r="H99" i="28"/>
  <c r="H101" i="28"/>
  <c r="H109" i="28"/>
  <c r="H97" i="28"/>
  <c r="D99" i="30"/>
  <c r="A100" i="30"/>
  <c r="H90" i="28"/>
  <c r="H86" i="28"/>
  <c r="H82" i="28"/>
  <c r="H78" i="28"/>
  <c r="H66" i="28"/>
  <c r="H58" i="28"/>
  <c r="H95" i="28"/>
  <c r="H94" i="28"/>
  <c r="H74" i="28"/>
  <c r="H70" i="28"/>
  <c r="H62" i="28"/>
  <c r="H79" i="28"/>
  <c r="H63" i="28"/>
  <c r="H47" i="28"/>
  <c r="H71" i="28"/>
  <c r="H55" i="28"/>
  <c r="H51" i="28"/>
  <c r="H75" i="28"/>
  <c r="H59" i="28"/>
  <c r="H50" i="28"/>
  <c r="H83" i="28"/>
  <c r="H67" i="28"/>
  <c r="H54" i="28"/>
  <c r="H46" i="28"/>
  <c r="H87" i="28"/>
  <c r="H43" i="28"/>
  <c r="H91" i="28"/>
  <c r="H42" i="28"/>
  <c r="H52" i="28"/>
  <c r="H76" i="28"/>
  <c r="H80" i="28"/>
  <c r="H88" i="28"/>
  <c r="H45" i="28"/>
  <c r="H53" i="28"/>
  <c r="H65" i="28"/>
  <c r="H81" i="28"/>
  <c r="H68" i="28"/>
  <c r="H92" i="28"/>
  <c r="H48" i="28"/>
  <c r="H57" i="28"/>
  <c r="H89" i="28"/>
  <c r="H56" i="28"/>
  <c r="H60" i="28"/>
  <c r="H41" i="28"/>
  <c r="H85" i="28"/>
  <c r="H84" i="28"/>
  <c r="H64" i="28"/>
  <c r="H61" i="28"/>
  <c r="H77" i="28"/>
  <c r="H93" i="28"/>
  <c r="H44" i="28"/>
  <c r="H72" i="28"/>
  <c r="H49" i="28"/>
  <c r="H73" i="28"/>
  <c r="H69" i="28"/>
  <c r="I16" i="28"/>
  <c r="BS70" i="4" l="1"/>
  <c r="D70" i="4" s="1"/>
  <c r="E70" i="4"/>
  <c r="BR72" i="4"/>
  <c r="BQ71" i="4"/>
  <c r="A17" i="29"/>
  <c r="A319" i="30"/>
  <c r="D318" i="30"/>
  <c r="D205" i="30"/>
  <c r="A206" i="30"/>
  <c r="AK106" i="29"/>
  <c r="D106" i="29" s="1"/>
  <c r="AL106" i="29"/>
  <c r="C106" i="29" s="1"/>
  <c r="I98" i="28"/>
  <c r="I96" i="28"/>
  <c r="I101" i="28"/>
  <c r="I107" i="28"/>
  <c r="I102" i="28"/>
  <c r="I104" i="28"/>
  <c r="I106" i="28"/>
  <c r="I108" i="28"/>
  <c r="I110" i="28"/>
  <c r="I112" i="28"/>
  <c r="I97" i="28"/>
  <c r="I99" i="28"/>
  <c r="I100" i="28"/>
  <c r="I103" i="28"/>
  <c r="I111" i="28"/>
  <c r="I105" i="28"/>
  <c r="I113" i="28"/>
  <c r="I109" i="28"/>
  <c r="D100" i="30"/>
  <c r="A101" i="30"/>
  <c r="I95" i="28"/>
  <c r="I90" i="28"/>
  <c r="I74" i="28"/>
  <c r="I58" i="28"/>
  <c r="I50" i="28"/>
  <c r="I42" i="28"/>
  <c r="I82" i="28"/>
  <c r="I66" i="28"/>
  <c r="I46" i="28"/>
  <c r="I45" i="28"/>
  <c r="I94" i="28"/>
  <c r="I78" i="28"/>
  <c r="I62" i="28"/>
  <c r="I41" i="28"/>
  <c r="I54" i="28"/>
  <c r="I86" i="28"/>
  <c r="I70" i="28"/>
  <c r="I53" i="28"/>
  <c r="I49" i="28"/>
  <c r="I57" i="28"/>
  <c r="I73" i="28"/>
  <c r="I89" i="28"/>
  <c r="I93" i="28"/>
  <c r="I43" i="28"/>
  <c r="I59" i="28"/>
  <c r="I75" i="28"/>
  <c r="I91" i="28"/>
  <c r="I79" i="28"/>
  <c r="I81" i="28"/>
  <c r="I51" i="28"/>
  <c r="I67" i="28"/>
  <c r="I56" i="28"/>
  <c r="I92" i="28"/>
  <c r="I52" i="28"/>
  <c r="I72" i="28"/>
  <c r="I80" i="28"/>
  <c r="I44" i="28"/>
  <c r="I60" i="28"/>
  <c r="I84" i="28"/>
  <c r="I48" i="28"/>
  <c r="I64" i="28"/>
  <c r="I76" i="28"/>
  <c r="I88" i="28"/>
  <c r="I69" i="28"/>
  <c r="I85" i="28"/>
  <c r="I47" i="28"/>
  <c r="I63" i="28"/>
  <c r="I61" i="28"/>
  <c r="I65" i="28"/>
  <c r="I83" i="28"/>
  <c r="I68" i="28"/>
  <c r="I77" i="28"/>
  <c r="I71" i="28"/>
  <c r="I55" i="28"/>
  <c r="I87" i="28"/>
  <c r="J16" i="28"/>
  <c r="BS71" i="4" l="1"/>
  <c r="D71" i="4" s="1"/>
  <c r="E71" i="4"/>
  <c r="BR73" i="4"/>
  <c r="BQ72" i="4"/>
  <c r="A18" i="29"/>
  <c r="D319" i="30"/>
  <c r="A320" i="30"/>
  <c r="A207" i="30"/>
  <c r="D206" i="30"/>
  <c r="AL107" i="29"/>
  <c r="C107" i="29" s="1"/>
  <c r="AK107" i="29"/>
  <c r="D107" i="29" s="1"/>
  <c r="J113" i="28"/>
  <c r="J111" i="28"/>
  <c r="J96" i="28"/>
  <c r="J98" i="28"/>
  <c r="J99" i="28"/>
  <c r="J101" i="28"/>
  <c r="J104" i="28"/>
  <c r="J112" i="28"/>
  <c r="J97" i="28"/>
  <c r="J107" i="28"/>
  <c r="J106" i="28"/>
  <c r="J103" i="28"/>
  <c r="J109" i="28"/>
  <c r="J108" i="28"/>
  <c r="J100" i="28"/>
  <c r="J105" i="28"/>
  <c r="J102" i="28"/>
  <c r="J110" i="28"/>
  <c r="A102" i="30"/>
  <c r="D101" i="30"/>
  <c r="J95" i="28"/>
  <c r="J49" i="28"/>
  <c r="J41" i="28"/>
  <c r="J93" i="28"/>
  <c r="J77" i="28"/>
  <c r="J61" i="28"/>
  <c r="J81" i="28"/>
  <c r="J65" i="28"/>
  <c r="J73" i="28"/>
  <c r="J84" i="28"/>
  <c r="J92" i="28"/>
  <c r="J85" i="28"/>
  <c r="J46" i="28"/>
  <c r="J62" i="28"/>
  <c r="J78" i="28"/>
  <c r="J94" i="28"/>
  <c r="J51" i="28"/>
  <c r="J67" i="28"/>
  <c r="J83" i="28"/>
  <c r="J50" i="28"/>
  <c r="J66" i="28"/>
  <c r="J47" i="28"/>
  <c r="J57" i="28"/>
  <c r="J60" i="28"/>
  <c r="J45" i="28"/>
  <c r="J70" i="28"/>
  <c r="J86" i="28"/>
  <c r="J43" i="28"/>
  <c r="J52" i="28"/>
  <c r="J64" i="28"/>
  <c r="J88" i="28"/>
  <c r="J53" i="28"/>
  <c r="J69" i="28"/>
  <c r="J42" i="28"/>
  <c r="J56" i="28"/>
  <c r="J68" i="28"/>
  <c r="J72" i="28"/>
  <c r="J80" i="28"/>
  <c r="J48" i="28"/>
  <c r="J82" i="28"/>
  <c r="J63" i="28"/>
  <c r="J79" i="28"/>
  <c r="J89" i="28"/>
  <c r="J76" i="28"/>
  <c r="J54" i="28"/>
  <c r="J59" i="28"/>
  <c r="J75" i="28"/>
  <c r="J91" i="28"/>
  <c r="J44" i="28"/>
  <c r="J90" i="28"/>
  <c r="J74" i="28"/>
  <c r="J58" i="28"/>
  <c r="J55" i="28"/>
  <c r="J71" i="28"/>
  <c r="J87" i="28"/>
  <c r="K16" i="28"/>
  <c r="BR74" i="4" l="1"/>
  <c r="BQ73" i="4"/>
  <c r="BS73" i="4" s="1"/>
  <c r="E72" i="4"/>
  <c r="BS72" i="4"/>
  <c r="D72" i="4" s="1"/>
  <c r="A19" i="29"/>
  <c r="A321" i="30"/>
  <c r="D320" i="30"/>
  <c r="A208" i="30"/>
  <c r="D207" i="30"/>
  <c r="AK108" i="29"/>
  <c r="D108" i="29" s="1"/>
  <c r="AL108" i="29"/>
  <c r="C108" i="29" s="1"/>
  <c r="K96" i="28"/>
  <c r="K98" i="28"/>
  <c r="K112" i="28"/>
  <c r="K110" i="28"/>
  <c r="K106" i="28"/>
  <c r="K97" i="28"/>
  <c r="K102" i="28"/>
  <c r="K108" i="28"/>
  <c r="K101" i="28"/>
  <c r="K103" i="28"/>
  <c r="K105" i="28"/>
  <c r="K107" i="28"/>
  <c r="K109" i="28"/>
  <c r="K111" i="28"/>
  <c r="K113" i="28"/>
  <c r="K99" i="28"/>
  <c r="K100" i="28"/>
  <c r="K104" i="28"/>
  <c r="A103" i="30"/>
  <c r="D102" i="30"/>
  <c r="K91" i="28"/>
  <c r="K83" i="28"/>
  <c r="K75" i="28"/>
  <c r="K87" i="28"/>
  <c r="K79" i="28"/>
  <c r="K71" i="28"/>
  <c r="K67" i="28"/>
  <c r="K63" i="28"/>
  <c r="K59" i="28"/>
  <c r="K55" i="28"/>
  <c r="K51" i="28"/>
  <c r="K43" i="28"/>
  <c r="K95" i="28"/>
  <c r="K47" i="28"/>
  <c r="K56" i="28"/>
  <c r="K84" i="28"/>
  <c r="K49" i="28"/>
  <c r="K57" i="28"/>
  <c r="K61" i="28"/>
  <c r="K48" i="28"/>
  <c r="K42" i="28"/>
  <c r="K58" i="28"/>
  <c r="K74" i="28"/>
  <c r="K90" i="28"/>
  <c r="K70" i="28"/>
  <c r="K86" i="28"/>
  <c r="K45" i="28"/>
  <c r="K53" i="28"/>
  <c r="K65" i="28"/>
  <c r="K73" i="28"/>
  <c r="K77" i="28"/>
  <c r="K93" i="28"/>
  <c r="K76" i="28"/>
  <c r="K66" i="28"/>
  <c r="K82" i="28"/>
  <c r="K69" i="28"/>
  <c r="K89" i="28"/>
  <c r="K80" i="28"/>
  <c r="K92" i="28"/>
  <c r="K44" i="28"/>
  <c r="K88" i="28"/>
  <c r="K68" i="28"/>
  <c r="K41" i="28"/>
  <c r="K85" i="28"/>
  <c r="K60" i="28"/>
  <c r="K72" i="28"/>
  <c r="K54" i="28"/>
  <c r="K81" i="28"/>
  <c r="K64" i="28"/>
  <c r="K50" i="28"/>
  <c r="K52" i="28"/>
  <c r="K46" i="28"/>
  <c r="K62" i="28"/>
  <c r="K78" i="28"/>
  <c r="K94" i="28"/>
  <c r="L16" i="28"/>
  <c r="BR75" i="4" l="1"/>
  <c r="BQ74" i="4"/>
  <c r="BS74" i="4" s="1"/>
  <c r="A20" i="29"/>
  <c r="D321" i="30"/>
  <c r="A322" i="30"/>
  <c r="D208" i="30"/>
  <c r="A209" i="30"/>
  <c r="AL109" i="29"/>
  <c r="C109" i="29" s="1"/>
  <c r="AK109" i="29"/>
  <c r="D109" i="29" s="1"/>
  <c r="L98" i="28"/>
  <c r="L96" i="28"/>
  <c r="L102" i="28"/>
  <c r="L106" i="28"/>
  <c r="L105" i="28"/>
  <c r="L113" i="28"/>
  <c r="L112" i="28"/>
  <c r="L107" i="28"/>
  <c r="L99" i="28"/>
  <c r="L100" i="28"/>
  <c r="L104" i="28"/>
  <c r="L108" i="28"/>
  <c r="L110" i="28"/>
  <c r="L101" i="28"/>
  <c r="L109" i="28"/>
  <c r="L97" i="28"/>
  <c r="L103" i="28"/>
  <c r="L111" i="28"/>
  <c r="D103" i="30"/>
  <c r="A104" i="30"/>
  <c r="L94" i="28"/>
  <c r="L74" i="28"/>
  <c r="L70" i="28"/>
  <c r="L62" i="28"/>
  <c r="L95" i="28"/>
  <c r="L90" i="28"/>
  <c r="L86" i="28"/>
  <c r="L82" i="28"/>
  <c r="L78" i="28"/>
  <c r="L66" i="28"/>
  <c r="L58" i="28"/>
  <c r="L91" i="28"/>
  <c r="L75" i="28"/>
  <c r="L59" i="28"/>
  <c r="L51" i="28"/>
  <c r="L43" i="28"/>
  <c r="L47" i="28"/>
  <c r="L87" i="28"/>
  <c r="L71" i="28"/>
  <c r="L54" i="28"/>
  <c r="L46" i="28"/>
  <c r="L79" i="28"/>
  <c r="L63" i="28"/>
  <c r="L50" i="28"/>
  <c r="L42" i="28"/>
  <c r="L83" i="28"/>
  <c r="L67" i="28"/>
  <c r="L55" i="28"/>
  <c r="L56" i="28"/>
  <c r="L60" i="28"/>
  <c r="L41" i="28"/>
  <c r="L69" i="28"/>
  <c r="L85" i="28"/>
  <c r="L84" i="28"/>
  <c r="L61" i="28"/>
  <c r="L68" i="28"/>
  <c r="L48" i="28"/>
  <c r="L57" i="28"/>
  <c r="L73" i="28"/>
  <c r="L89" i="28"/>
  <c r="L52" i="28"/>
  <c r="L76" i="28"/>
  <c r="L80" i="28"/>
  <c r="L88" i="28"/>
  <c r="L45" i="28"/>
  <c r="L53" i="28"/>
  <c r="L65" i="28"/>
  <c r="L81" i="28"/>
  <c r="L64" i="28"/>
  <c r="L77" i="28"/>
  <c r="L93" i="28"/>
  <c r="L44" i="28"/>
  <c r="L92" i="28"/>
  <c r="L72" i="28"/>
  <c r="L49" i="28"/>
  <c r="M16" i="28"/>
  <c r="BR76" i="4" l="1"/>
  <c r="BQ75" i="4"/>
  <c r="BS75" i="4" s="1"/>
  <c r="A21" i="29"/>
  <c r="A323" i="30"/>
  <c r="D322" i="30"/>
  <c r="D209" i="30"/>
  <c r="A210" i="30"/>
  <c r="AL110" i="29"/>
  <c r="C110" i="29" s="1"/>
  <c r="AK110" i="29"/>
  <c r="D110" i="29" s="1"/>
  <c r="M98" i="28"/>
  <c r="M96" i="28"/>
  <c r="M111" i="28"/>
  <c r="M107" i="28"/>
  <c r="M113" i="28"/>
  <c r="M103" i="28"/>
  <c r="M101" i="28"/>
  <c r="M105" i="28"/>
  <c r="M109" i="28"/>
  <c r="M102" i="28"/>
  <c r="M104" i="28"/>
  <c r="M106" i="28"/>
  <c r="M108" i="28"/>
  <c r="M110" i="28"/>
  <c r="M112" i="28"/>
  <c r="M97" i="28"/>
  <c r="M99" i="28"/>
  <c r="M100" i="28"/>
  <c r="A105" i="30"/>
  <c r="D104" i="30"/>
  <c r="M95" i="28"/>
  <c r="M86" i="28"/>
  <c r="M70" i="28"/>
  <c r="M54" i="28"/>
  <c r="M46" i="28"/>
  <c r="M78" i="28"/>
  <c r="M62" i="28"/>
  <c r="M50" i="28"/>
  <c r="M42" i="28"/>
  <c r="M82" i="28"/>
  <c r="M66" i="28"/>
  <c r="M49" i="28"/>
  <c r="M41" i="28"/>
  <c r="M90" i="28"/>
  <c r="M74" i="28"/>
  <c r="M58" i="28"/>
  <c r="M94" i="28"/>
  <c r="M56" i="28"/>
  <c r="M68" i="28"/>
  <c r="M92" i="28"/>
  <c r="M52" i="28"/>
  <c r="M72" i="28"/>
  <c r="M80" i="28"/>
  <c r="M73" i="28"/>
  <c r="M77" i="28"/>
  <c r="M47" i="28"/>
  <c r="M63" i="28"/>
  <c r="M79" i="28"/>
  <c r="M83" i="28"/>
  <c r="M44" i="28"/>
  <c r="M60" i="28"/>
  <c r="M64" i="28"/>
  <c r="M76" i="28"/>
  <c r="M88" i="28"/>
  <c r="M55" i="28"/>
  <c r="M45" i="28"/>
  <c r="M61" i="28"/>
  <c r="M65" i="28"/>
  <c r="M81" i="28"/>
  <c r="M93" i="28"/>
  <c r="M57" i="28"/>
  <c r="M69" i="28"/>
  <c r="M89" i="28"/>
  <c r="M51" i="28"/>
  <c r="M67" i="28"/>
  <c r="M84" i="28"/>
  <c r="M48" i="28"/>
  <c r="M85" i="28"/>
  <c r="M71" i="28"/>
  <c r="M87" i="28"/>
  <c r="M53" i="28"/>
  <c r="M43" i="28"/>
  <c r="M59" i="28"/>
  <c r="M91" i="28"/>
  <c r="M75" i="28"/>
  <c r="N16" i="28"/>
  <c r="BR77" i="4" l="1"/>
  <c r="BQ76" i="4"/>
  <c r="BS76" i="4" s="1"/>
  <c r="A22" i="29"/>
  <c r="D323" i="30"/>
  <c r="A324" i="30"/>
  <c r="A211" i="30"/>
  <c r="D210" i="30"/>
  <c r="AL111" i="29"/>
  <c r="C111" i="29" s="1"/>
  <c r="AK111" i="29"/>
  <c r="D111" i="29" s="1"/>
  <c r="N113" i="28"/>
  <c r="N111" i="28"/>
  <c r="N96" i="28"/>
  <c r="N98" i="28"/>
  <c r="N99" i="28"/>
  <c r="N107" i="28"/>
  <c r="N101" i="28"/>
  <c r="N106" i="28"/>
  <c r="N109" i="28"/>
  <c r="N105" i="28"/>
  <c r="N108" i="28"/>
  <c r="N100" i="28"/>
  <c r="N102" i="28"/>
  <c r="N110" i="28"/>
  <c r="N104" i="28"/>
  <c r="N112" i="28"/>
  <c r="N97" i="28"/>
  <c r="N103" i="28"/>
  <c r="A106" i="30"/>
  <c r="D105" i="30"/>
  <c r="N95" i="28"/>
  <c r="N57" i="28"/>
  <c r="N93" i="28"/>
  <c r="N89" i="28"/>
  <c r="N73" i="28"/>
  <c r="N53" i="28"/>
  <c r="N45" i="28"/>
  <c r="N77" i="28"/>
  <c r="N61" i="28"/>
  <c r="N64" i="28"/>
  <c r="N50" i="28"/>
  <c r="N66" i="28"/>
  <c r="N82" i="28"/>
  <c r="N47" i="28"/>
  <c r="N63" i="28"/>
  <c r="N79" i="28"/>
  <c r="N54" i="28"/>
  <c r="N70" i="28"/>
  <c r="N86" i="28"/>
  <c r="N59" i="28"/>
  <c r="N75" i="28"/>
  <c r="N91" i="28"/>
  <c r="N56" i="28"/>
  <c r="N44" i="28"/>
  <c r="N81" i="28"/>
  <c r="N74" i="28"/>
  <c r="N90" i="28"/>
  <c r="N55" i="28"/>
  <c r="N71" i="28"/>
  <c r="N87" i="28"/>
  <c r="N85" i="28"/>
  <c r="N84" i="28"/>
  <c r="N69" i="28"/>
  <c r="N48" i="28"/>
  <c r="N68" i="28"/>
  <c r="N72" i="28"/>
  <c r="N41" i="28"/>
  <c r="N65" i="28"/>
  <c r="N43" i="28"/>
  <c r="N92" i="28"/>
  <c r="N80" i="28"/>
  <c r="N52" i="28"/>
  <c r="N49" i="28"/>
  <c r="N42" i="28"/>
  <c r="N58" i="28"/>
  <c r="N60" i="28"/>
  <c r="N76" i="28"/>
  <c r="N88" i="28"/>
  <c r="N46" i="28"/>
  <c r="N78" i="28"/>
  <c r="N83" i="28"/>
  <c r="N62" i="28"/>
  <c r="N94" i="28"/>
  <c r="N51" i="28"/>
  <c r="N67" i="28"/>
  <c r="O16" i="28"/>
  <c r="BR78" i="4" l="1"/>
  <c r="BQ77" i="4"/>
  <c r="BS77" i="4" s="1"/>
  <c r="Y235" i="17"/>
  <c r="Y237" i="17"/>
  <c r="T252" i="17"/>
  <c r="Y252" i="17"/>
  <c r="Y242" i="17"/>
  <c r="Y236" i="17"/>
  <c r="Y239" i="17"/>
  <c r="T249" i="17"/>
  <c r="T255" i="17"/>
  <c r="T254" i="17"/>
  <c r="T235" i="17"/>
  <c r="T253" i="17"/>
  <c r="Y238" i="17"/>
  <c r="Y246" i="17"/>
  <c r="Y247" i="17"/>
  <c r="T250" i="17"/>
  <c r="Y248" i="17"/>
  <c r="T247" i="17"/>
  <c r="T248" i="17"/>
  <c r="T251" i="17"/>
  <c r="Y254" i="17"/>
  <c r="Y256" i="17"/>
  <c r="T238" i="17"/>
  <c r="T256" i="17"/>
  <c r="Y250" i="17"/>
  <c r="Y255" i="17"/>
  <c r="T243" i="17"/>
  <c r="T239" i="17"/>
  <c r="T236" i="17"/>
  <c r="Y249" i="17"/>
  <c r="T246" i="17"/>
  <c r="Y253" i="17"/>
  <c r="T237" i="17"/>
  <c r="U291" i="17"/>
  <c r="G296" i="17" s="1"/>
  <c r="T242" i="17"/>
  <c r="T291" i="17"/>
  <c r="F296" i="17" s="1"/>
  <c r="Y251" i="17"/>
  <c r="Y243" i="17"/>
  <c r="X250" i="17"/>
  <c r="T287" i="17"/>
  <c r="F289" i="17" s="1"/>
  <c r="S250" i="17"/>
  <c r="S246" i="17"/>
  <c r="S248" i="17"/>
  <c r="X246" i="17"/>
  <c r="X248" i="17"/>
  <c r="T289" i="17"/>
  <c r="F293" i="17" s="1"/>
  <c r="S249" i="17"/>
  <c r="T288" i="17"/>
  <c r="F290" i="17" s="1"/>
  <c r="T290" i="17"/>
  <c r="F294" i="17" s="1"/>
  <c r="S247" i="17"/>
  <c r="X249" i="17"/>
  <c r="X247" i="17"/>
  <c r="T283" i="17"/>
  <c r="F285" i="17" s="1"/>
  <c r="S242" i="17"/>
  <c r="X242" i="17"/>
  <c r="X243" i="17"/>
  <c r="S253" i="17"/>
  <c r="T294" i="17"/>
  <c r="F300" i="17" s="1"/>
  <c r="X253" i="17"/>
  <c r="T295" i="17"/>
  <c r="F302" i="17" s="1"/>
  <c r="S254" i="17"/>
  <c r="X254" i="17"/>
  <c r="T279" i="17"/>
  <c r="F281" i="17" s="1"/>
  <c r="S238" i="17"/>
  <c r="X238" i="17"/>
  <c r="S239" i="17"/>
  <c r="T280" i="17"/>
  <c r="F282" i="17" s="1"/>
  <c r="X239" i="17"/>
  <c r="T293" i="17"/>
  <c r="T306" i="17" s="1"/>
  <c r="S252" i="17"/>
  <c r="S251" i="17"/>
  <c r="X252" i="17"/>
  <c r="T292" i="17"/>
  <c r="F298" i="17" s="1"/>
  <c r="U276" i="17"/>
  <c r="X251" i="17"/>
  <c r="T277" i="17"/>
  <c r="U277" i="17"/>
  <c r="X236" i="17"/>
  <c r="S235" i="17"/>
  <c r="T276" i="17"/>
  <c r="F276" i="17" s="1"/>
  <c r="S236" i="17"/>
  <c r="V277" i="17"/>
  <c r="X235" i="17"/>
  <c r="U278" i="17"/>
  <c r="G278" i="17" s="1"/>
  <c r="S237" i="17"/>
  <c r="X237" i="17"/>
  <c r="T278" i="17"/>
  <c r="F278" i="17" s="1"/>
  <c r="R35" i="17"/>
  <c r="R26" i="17"/>
  <c r="Q13" i="17"/>
  <c r="Q38" i="17"/>
  <c r="R6" i="17"/>
  <c r="R42" i="17"/>
  <c r="R44" i="17"/>
  <c r="R39" i="17"/>
  <c r="Q18" i="17"/>
  <c r="R14" i="17"/>
  <c r="R18" i="17"/>
  <c r="Q32" i="17"/>
  <c r="Q39" i="17"/>
  <c r="Q42" i="17"/>
  <c r="Q5" i="17"/>
  <c r="Q14" i="17"/>
  <c r="R5" i="17"/>
  <c r="R19" i="17"/>
  <c r="R10" i="17"/>
  <c r="Q10" i="17"/>
  <c r="Q6" i="17"/>
  <c r="Q44" i="17"/>
  <c r="Q35" i="17"/>
  <c r="R38" i="17"/>
  <c r="R13" i="17"/>
  <c r="Q19" i="17"/>
  <c r="R32" i="17"/>
  <c r="Q24" i="17"/>
  <c r="A23" i="29"/>
  <c r="D324" i="30"/>
  <c r="A325" i="30"/>
  <c r="D211" i="30"/>
  <c r="A212" i="30"/>
  <c r="AK112" i="29"/>
  <c r="D112" i="29" s="1"/>
  <c r="AL112" i="29"/>
  <c r="C112" i="29" s="1"/>
  <c r="O112" i="28"/>
  <c r="O111" i="28"/>
  <c r="O107" i="28"/>
  <c r="O102" i="28"/>
  <c r="O108" i="28"/>
  <c r="O99" i="28"/>
  <c r="O103" i="28"/>
  <c r="O109" i="28"/>
  <c r="O104" i="28"/>
  <c r="O113" i="28"/>
  <c r="O100" i="28"/>
  <c r="O106" i="28"/>
  <c r="O97" i="28"/>
  <c r="D106" i="30"/>
  <c r="A107" i="30"/>
  <c r="D107" i="30" s="1"/>
  <c r="P16" i="28"/>
  <c r="O87" i="28"/>
  <c r="O79" i="28"/>
  <c r="O71" i="28"/>
  <c r="O67" i="28"/>
  <c r="O59" i="28"/>
  <c r="O55" i="28"/>
  <c r="O91" i="28"/>
  <c r="O75" i="28"/>
  <c r="O51" i="28"/>
  <c r="O43" i="28"/>
  <c r="O74" i="28"/>
  <c r="O94" i="28"/>
  <c r="O69" i="28"/>
  <c r="O88" i="28"/>
  <c r="O48" i="28"/>
  <c r="O62" i="28"/>
  <c r="O84" i="28"/>
  <c r="O50" i="28"/>
  <c r="O85" i="28"/>
  <c r="O54" i="28"/>
  <c r="O82" i="28"/>
  <c r="O45" i="28"/>
  <c r="O77" i="28"/>
  <c r="O46" i="28"/>
  <c r="O44" i="28"/>
  <c r="O80" i="28"/>
  <c r="O58" i="28"/>
  <c r="O90" i="28"/>
  <c r="O57" i="28"/>
  <c r="O61" i="28"/>
  <c r="O78" i="28"/>
  <c r="O64" i="28"/>
  <c r="O53" i="28"/>
  <c r="O65" i="28"/>
  <c r="O73" i="28"/>
  <c r="O93" i="28"/>
  <c r="O72" i="28"/>
  <c r="BR79" i="4" l="1"/>
  <c r="BQ78" i="4"/>
  <c r="BS78" i="4" s="1"/>
  <c r="T258" i="17"/>
  <c r="X258" i="17"/>
  <c r="G276" i="17"/>
  <c r="T261" i="17"/>
  <c r="P98" i="28"/>
  <c r="P96" i="28"/>
  <c r="P95" i="28"/>
  <c r="P105" i="28"/>
  <c r="P110" i="28"/>
  <c r="P101" i="28"/>
  <c r="A24" i="29"/>
  <c r="A327" i="30"/>
  <c r="D327" i="30" s="1"/>
  <c r="A326" i="30"/>
  <c r="D326" i="30" s="1"/>
  <c r="D325" i="30"/>
  <c r="A213" i="30"/>
  <c r="D212" i="30"/>
  <c r="AL113" i="29"/>
  <c r="C113" i="29" s="1"/>
  <c r="AK113" i="29"/>
  <c r="D113" i="29" s="1"/>
  <c r="Q16" i="28"/>
  <c r="P106" i="28"/>
  <c r="P112" i="28"/>
  <c r="P107" i="28"/>
  <c r="P99" i="28"/>
  <c r="P102" i="28"/>
  <c r="P100" i="28"/>
  <c r="P109" i="28"/>
  <c r="P97" i="28"/>
  <c r="P103" i="28"/>
  <c r="P111" i="28"/>
  <c r="P113" i="28"/>
  <c r="P108" i="28"/>
  <c r="P104" i="28"/>
  <c r="P90" i="28"/>
  <c r="P82" i="28"/>
  <c r="P78" i="28"/>
  <c r="P74" i="28"/>
  <c r="P70" i="28"/>
  <c r="P94" i="28"/>
  <c r="P86" i="28"/>
  <c r="P66" i="28"/>
  <c r="P62" i="28"/>
  <c r="P58" i="28"/>
  <c r="P54" i="28"/>
  <c r="P87" i="28"/>
  <c r="P71" i="28"/>
  <c r="P55" i="28"/>
  <c r="P47" i="28"/>
  <c r="P79" i="28"/>
  <c r="P63" i="28"/>
  <c r="P51" i="28"/>
  <c r="P43" i="28"/>
  <c r="P83" i="28"/>
  <c r="P91" i="28"/>
  <c r="P75" i="28"/>
  <c r="P59" i="28"/>
  <c r="P46" i="28"/>
  <c r="P67" i="28"/>
  <c r="P50" i="28"/>
  <c r="P42" i="28"/>
  <c r="P44" i="28"/>
  <c r="P68" i="28"/>
  <c r="P92" i="28"/>
  <c r="P48" i="28"/>
  <c r="P72" i="28"/>
  <c r="P49" i="28"/>
  <c r="P57" i="28"/>
  <c r="P73" i="28"/>
  <c r="P89" i="28"/>
  <c r="P52" i="28"/>
  <c r="P76" i="28"/>
  <c r="P80" i="28"/>
  <c r="P88" i="28"/>
  <c r="P45" i="28"/>
  <c r="P65" i="28"/>
  <c r="P81" i="28"/>
  <c r="P77" i="28"/>
  <c r="P93" i="28"/>
  <c r="P56" i="28"/>
  <c r="P60" i="28"/>
  <c r="P41" i="28"/>
  <c r="P69" i="28"/>
  <c r="P85" i="28"/>
  <c r="P53" i="28"/>
  <c r="P84" i="28"/>
  <c r="P64" i="28"/>
  <c r="P61" i="28"/>
  <c r="BR80" i="4" l="1"/>
  <c r="BQ79" i="4"/>
  <c r="BS79" i="4" s="1"/>
  <c r="Q96" i="28"/>
  <c r="Q95" i="28"/>
  <c r="Q98" i="28"/>
  <c r="Q105" i="28"/>
  <c r="Q110" i="28"/>
  <c r="Q101" i="28"/>
  <c r="Q52" i="28"/>
  <c r="Q46" i="28"/>
  <c r="Q82" i="28"/>
  <c r="Q43" i="28"/>
  <c r="Q57" i="28"/>
  <c r="Q60" i="28"/>
  <c r="Q81" i="28"/>
  <c r="Q58" i="28"/>
  <c r="Q85" i="28"/>
  <c r="Q64" i="28"/>
  <c r="Q93" i="28"/>
  <c r="Q53" i="28"/>
  <c r="Q92" i="28"/>
  <c r="Q71" i="28"/>
  <c r="Q90" i="28"/>
  <c r="Q47" i="28"/>
  <c r="Q73" i="28"/>
  <c r="Q76" i="28"/>
  <c r="Q59" i="28"/>
  <c r="Q83" i="28"/>
  <c r="Q45" i="28"/>
  <c r="Q86" i="28"/>
  <c r="Q50" i="28"/>
  <c r="Q79" i="28"/>
  <c r="Q89" i="28"/>
  <c r="Q68" i="28"/>
  <c r="Q91" i="28"/>
  <c r="Q55" i="28"/>
  <c r="Q65" i="28"/>
  <c r="Q70" i="28"/>
  <c r="Q74" i="28"/>
  <c r="R16" i="28"/>
  <c r="S16" i="28" s="1"/>
  <c r="T16" i="28" s="1"/>
  <c r="U16" i="28" s="1"/>
  <c r="Q48" i="28"/>
  <c r="Q80" i="28"/>
  <c r="Q88" i="28"/>
  <c r="Q44" i="28"/>
  <c r="Q69" i="28"/>
  <c r="Q51" i="28"/>
  <c r="Q61" i="28"/>
  <c r="Q41" i="28"/>
  <c r="Q78" i="28"/>
  <c r="Q66" i="28"/>
  <c r="A25" i="29"/>
  <c r="D213" i="30"/>
  <c r="A214" i="30"/>
  <c r="AL114" i="29"/>
  <c r="C114" i="29" s="1"/>
  <c r="AK114" i="29"/>
  <c r="D114" i="29" s="1"/>
  <c r="Q63" i="28"/>
  <c r="Q49" i="28"/>
  <c r="Q72" i="28"/>
  <c r="Q56" i="28"/>
  <c r="Q84" i="28"/>
  <c r="Q75" i="28"/>
  <c r="Q87" i="28"/>
  <c r="Q67" i="28"/>
  <c r="Q77" i="28"/>
  <c r="Q94" i="28"/>
  <c r="Q54" i="28"/>
  <c r="Q62" i="28"/>
  <c r="Q42" i="28"/>
  <c r="Q100" i="28"/>
  <c r="Q104" i="28"/>
  <c r="Q108" i="28"/>
  <c r="Q103" i="28"/>
  <c r="Q107" i="28"/>
  <c r="Q113" i="28"/>
  <c r="Q102" i="28"/>
  <c r="Q106" i="28"/>
  <c r="Q112" i="28"/>
  <c r="Q109" i="28"/>
  <c r="Q97" i="28"/>
  <c r="Q99" i="28"/>
  <c r="Q111" i="28"/>
  <c r="O105" i="28"/>
  <c r="O110" i="28"/>
  <c r="O101" i="28"/>
  <c r="R57" i="28"/>
  <c r="R50" i="28"/>
  <c r="O60" i="28"/>
  <c r="O92" i="28"/>
  <c r="O70" i="28"/>
  <c r="O66" i="28"/>
  <c r="O56" i="28"/>
  <c r="O41" i="28"/>
  <c r="O81" i="28"/>
  <c r="O83" i="28"/>
  <c r="O89" i="28"/>
  <c r="O52" i="28"/>
  <c r="O49" i="28"/>
  <c r="O86" i="28"/>
  <c r="O63" i="28"/>
  <c r="O76" i="28"/>
  <c r="O68" i="28"/>
  <c r="O47" i="28"/>
  <c r="O42" i="28"/>
  <c r="O39" i="28"/>
  <c r="O32" i="28"/>
  <c r="O30" i="28"/>
  <c r="O28" i="28"/>
  <c r="O26" i="28"/>
  <c r="O24" i="28"/>
  <c r="O22" i="28"/>
  <c r="O20" i="28"/>
  <c r="O18" i="28"/>
  <c r="O31" i="28"/>
  <c r="O23" i="28"/>
  <c r="O27" i="28"/>
  <c r="O19" i="28"/>
  <c r="O29" i="28"/>
  <c r="O21" i="28"/>
  <c r="O33" i="28"/>
  <c r="O25" i="28"/>
  <c r="O17" i="28"/>
  <c r="BR81" i="4" l="1"/>
  <c r="BQ80" i="4"/>
  <c r="BS80" i="4" s="1"/>
  <c r="U110" i="28"/>
  <c r="U106" i="28"/>
  <c r="U102" i="28"/>
  <c r="U98" i="28"/>
  <c r="U94" i="28"/>
  <c r="U90" i="28"/>
  <c r="U86" i="28"/>
  <c r="U82" i="28"/>
  <c r="U78" i="28"/>
  <c r="U74" i="28"/>
  <c r="U70" i="28"/>
  <c r="U66" i="28"/>
  <c r="U62" i="28"/>
  <c r="U58" i="28"/>
  <c r="U54" i="28"/>
  <c r="U50" i="28"/>
  <c r="U46" i="28"/>
  <c r="U42" i="28"/>
  <c r="U108" i="28"/>
  <c r="U96" i="28"/>
  <c r="U92" i="28"/>
  <c r="U84" i="28"/>
  <c r="U76" i="28"/>
  <c r="U68" i="28"/>
  <c r="U64" i="28"/>
  <c r="U56" i="28"/>
  <c r="U48" i="28"/>
  <c r="U107" i="28"/>
  <c r="U99" i="28"/>
  <c r="U91" i="28"/>
  <c r="U83" i="28"/>
  <c r="U75" i="28"/>
  <c r="U67" i="28"/>
  <c r="U55" i="28"/>
  <c r="U51" i="28"/>
  <c r="U43" i="28"/>
  <c r="U113" i="28"/>
  <c r="U109" i="28"/>
  <c r="U105" i="28"/>
  <c r="U101" i="28"/>
  <c r="U97" i="28"/>
  <c r="U93" i="28"/>
  <c r="U89" i="28"/>
  <c r="U85" i="28"/>
  <c r="U81" i="28"/>
  <c r="U77" i="28"/>
  <c r="U73" i="28"/>
  <c r="U69" i="28"/>
  <c r="U65" i="28"/>
  <c r="U61" i="28"/>
  <c r="U57" i="28"/>
  <c r="U53" i="28"/>
  <c r="U49" i="28"/>
  <c r="U45" i="28"/>
  <c r="U41" i="28"/>
  <c r="U112" i="28"/>
  <c r="U104" i="28"/>
  <c r="U100" i="28"/>
  <c r="U88" i="28"/>
  <c r="U80" i="28"/>
  <c r="U72" i="28"/>
  <c r="U60" i="28"/>
  <c r="U52" i="28"/>
  <c r="U44" i="28"/>
  <c r="U111" i="28"/>
  <c r="U103" i="28"/>
  <c r="U95" i="28"/>
  <c r="U87" i="28"/>
  <c r="U79" i="28"/>
  <c r="U71" i="28"/>
  <c r="U63" i="28"/>
  <c r="U59" i="28"/>
  <c r="U47" i="28"/>
  <c r="R58" i="28"/>
  <c r="R83" i="28"/>
  <c r="R111" i="28"/>
  <c r="R54" i="28"/>
  <c r="T113" i="28"/>
  <c r="T109" i="28"/>
  <c r="T105" i="28"/>
  <c r="T101" i="28"/>
  <c r="T97" i="28"/>
  <c r="T93" i="28"/>
  <c r="T89" i="28"/>
  <c r="T85" i="28"/>
  <c r="T81" i="28"/>
  <c r="T77" i="28"/>
  <c r="T73" i="28"/>
  <c r="T69" i="28"/>
  <c r="T65" i="28"/>
  <c r="T61" i="28"/>
  <c r="T57" i="28"/>
  <c r="T53" i="28"/>
  <c r="T49" i="28"/>
  <c r="T45" i="28"/>
  <c r="T41" i="28"/>
  <c r="T107" i="28"/>
  <c r="T99" i="28"/>
  <c r="T91" i="28"/>
  <c r="T83" i="28"/>
  <c r="T75" i="28"/>
  <c r="T67" i="28"/>
  <c r="T59" i="28"/>
  <c r="T51" i="28"/>
  <c r="T43" i="28"/>
  <c r="T106" i="28"/>
  <c r="T102" i="28"/>
  <c r="T90" i="28"/>
  <c r="T82" i="28"/>
  <c r="T74" i="28"/>
  <c r="T66" i="28"/>
  <c r="T58" i="28"/>
  <c r="T54" i="28"/>
  <c r="T46" i="28"/>
  <c r="T112" i="28"/>
  <c r="T108" i="28"/>
  <c r="T104" i="28"/>
  <c r="T100" i="28"/>
  <c r="T96" i="28"/>
  <c r="T92" i="28"/>
  <c r="T88" i="28"/>
  <c r="T84" i="28"/>
  <c r="T80" i="28"/>
  <c r="T76" i="28"/>
  <c r="T72" i="28"/>
  <c r="T68" i="28"/>
  <c r="T64" i="28"/>
  <c r="T60" i="28"/>
  <c r="T56" i="28"/>
  <c r="T52" i="28"/>
  <c r="T48" i="28"/>
  <c r="T44" i="28"/>
  <c r="T111" i="28"/>
  <c r="T103" i="28"/>
  <c r="T95" i="28"/>
  <c r="T87" i="28"/>
  <c r="T79" i="28"/>
  <c r="T71" i="28"/>
  <c r="T63" i="28"/>
  <c r="T55" i="28"/>
  <c r="T47" i="28"/>
  <c r="T110" i="28"/>
  <c r="T98" i="28"/>
  <c r="T94" i="28"/>
  <c r="T86" i="28"/>
  <c r="T78" i="28"/>
  <c r="T70" i="28"/>
  <c r="T62" i="28"/>
  <c r="T50" i="28"/>
  <c r="T42" i="28"/>
  <c r="R47" i="28"/>
  <c r="R44" i="28"/>
  <c r="R85" i="28"/>
  <c r="R94" i="28"/>
  <c r="R92" i="28"/>
  <c r="R56" i="28"/>
  <c r="R43" i="28"/>
  <c r="R103" i="28"/>
  <c r="R93" i="28"/>
  <c r="R48" i="28"/>
  <c r="R109" i="28"/>
  <c r="R59" i="28"/>
  <c r="R51" i="28"/>
  <c r="R74" i="28"/>
  <c r="R52" i="28"/>
  <c r="R112" i="28"/>
  <c r="S113" i="28"/>
  <c r="S112" i="28"/>
  <c r="S108" i="28"/>
  <c r="S104" i="28"/>
  <c r="S100" i="28"/>
  <c r="S96" i="28"/>
  <c r="S92" i="28"/>
  <c r="S88" i="28"/>
  <c r="S84" i="28"/>
  <c r="S80" i="28"/>
  <c r="S76" i="28"/>
  <c r="S72" i="28"/>
  <c r="S68" i="28"/>
  <c r="S64" i="28"/>
  <c r="S60" i="28"/>
  <c r="S56" i="28"/>
  <c r="S52" i="28"/>
  <c r="S48" i="28"/>
  <c r="S44" i="28"/>
  <c r="S107" i="28"/>
  <c r="S103" i="28"/>
  <c r="S99" i="28"/>
  <c r="S95" i="28"/>
  <c r="S91" i="28"/>
  <c r="S87" i="28"/>
  <c r="S83" i="28"/>
  <c r="S79" i="28"/>
  <c r="S75" i="28"/>
  <c r="S71" i="28"/>
  <c r="S67" i="28"/>
  <c r="S63" i="28"/>
  <c r="S59" i="28"/>
  <c r="S55" i="28"/>
  <c r="S51" i="28"/>
  <c r="S47" i="28"/>
  <c r="S43" i="28"/>
  <c r="S111" i="28"/>
  <c r="S110" i="28"/>
  <c r="S106" i="28"/>
  <c r="S102" i="28"/>
  <c r="S98" i="28"/>
  <c r="S94" i="28"/>
  <c r="S90" i="28"/>
  <c r="S86" i="28"/>
  <c r="S82" i="28"/>
  <c r="S78" i="28"/>
  <c r="S74" i="28"/>
  <c r="S70" i="28"/>
  <c r="S66" i="28"/>
  <c r="S62" i="28"/>
  <c r="S58" i="28"/>
  <c r="S54" i="28"/>
  <c r="S50" i="28"/>
  <c r="S46" i="28"/>
  <c r="S42" i="28"/>
  <c r="S109" i="28"/>
  <c r="S105" i="28"/>
  <c r="S101" i="28"/>
  <c r="S97" i="28"/>
  <c r="S93" i="28"/>
  <c r="S89" i="28"/>
  <c r="S85" i="28"/>
  <c r="S81" i="28"/>
  <c r="S77" i="28"/>
  <c r="S73" i="28"/>
  <c r="S69" i="28"/>
  <c r="S65" i="28"/>
  <c r="S61" i="28"/>
  <c r="S57" i="28"/>
  <c r="S53" i="28"/>
  <c r="S49" i="28"/>
  <c r="S45" i="28"/>
  <c r="S41" i="28"/>
  <c r="R88" i="28"/>
  <c r="R81" i="28"/>
  <c r="R100" i="28"/>
  <c r="R66" i="28"/>
  <c r="R46" i="28"/>
  <c r="R67" i="28"/>
  <c r="R72" i="28"/>
  <c r="R70" i="28"/>
  <c r="R75" i="28"/>
  <c r="R49" i="28"/>
  <c r="R106" i="28"/>
  <c r="R108" i="28"/>
  <c r="R99" i="28"/>
  <c r="R95" i="28"/>
  <c r="R98" i="28"/>
  <c r="R96" i="28"/>
  <c r="R105" i="28"/>
  <c r="R110" i="28"/>
  <c r="R101" i="28"/>
  <c r="R82" i="28"/>
  <c r="R80" i="28"/>
  <c r="R62" i="28"/>
  <c r="R90" i="28"/>
  <c r="R63" i="28"/>
  <c r="R79" i="28"/>
  <c r="R87" i="28"/>
  <c r="R68" i="28"/>
  <c r="R86" i="28"/>
  <c r="R71" i="28"/>
  <c r="R64" i="28"/>
  <c r="R60" i="28"/>
  <c r="R41" i="28"/>
  <c r="R69" i="28"/>
  <c r="R107" i="28"/>
  <c r="R113" i="28"/>
  <c r="R61" i="28"/>
  <c r="R78" i="28"/>
  <c r="R91" i="28"/>
  <c r="R45" i="28"/>
  <c r="R65" i="28"/>
  <c r="R53" i="28"/>
  <c r="R55" i="28"/>
  <c r="R42" i="28"/>
  <c r="R77" i="28"/>
  <c r="R76" i="28"/>
  <c r="R84" i="28"/>
  <c r="R73" i="28"/>
  <c r="R89" i="28"/>
  <c r="R104" i="28"/>
  <c r="R102" i="28"/>
  <c r="R97" i="28"/>
  <c r="A26" i="29"/>
  <c r="D214" i="30"/>
  <c r="A215" i="30"/>
  <c r="A216" i="30"/>
  <c r="D216" i="30" s="1"/>
  <c r="AL115" i="29"/>
  <c r="C115" i="29" s="1"/>
  <c r="AK115" i="29"/>
  <c r="D115" i="29" s="1"/>
  <c r="O95" i="28"/>
  <c r="O96" i="28"/>
  <c r="O98" i="28"/>
  <c r="BR82" i="4" l="1"/>
  <c r="BQ81" i="4"/>
  <c r="BS81" i="4" s="1"/>
  <c r="A27" i="29"/>
  <c r="D215" i="30"/>
  <c r="A217" i="30"/>
  <c r="D217" i="30" s="1"/>
  <c r="AK116" i="29"/>
  <c r="D116" i="29" s="1"/>
  <c r="AL116" i="29"/>
  <c r="C116" i="29" s="1"/>
  <c r="BR83" i="4" l="1"/>
  <c r="BQ82" i="4"/>
  <c r="BS82" i="4" s="1"/>
  <c r="G57" i="48"/>
  <c r="H97" i="48"/>
  <c r="H91" i="48"/>
  <c r="I106" i="48"/>
  <c r="H82" i="48"/>
  <c r="I98" i="48"/>
  <c r="H138" i="48"/>
  <c r="G45" i="48"/>
  <c r="G37" i="48"/>
  <c r="H92" i="48"/>
  <c r="I21" i="48"/>
  <c r="H122" i="48"/>
  <c r="G125" i="48"/>
  <c r="H25" i="48"/>
  <c r="G20" i="48"/>
  <c r="G91" i="48"/>
  <c r="H131" i="48"/>
  <c r="I117" i="48"/>
  <c r="I41" i="48"/>
  <c r="H81" i="48"/>
  <c r="G131" i="48"/>
  <c r="G49" i="48"/>
  <c r="G32" i="48"/>
  <c r="H103" i="48"/>
  <c r="H104" i="48"/>
  <c r="I131" i="48"/>
  <c r="H37" i="48"/>
  <c r="H40" i="48"/>
  <c r="I138" i="48"/>
  <c r="I24" i="48"/>
  <c r="G105" i="48"/>
  <c r="H27" i="48"/>
  <c r="G29" i="48"/>
  <c r="G139" i="48"/>
  <c r="H29" i="48"/>
  <c r="I124" i="48"/>
  <c r="I105" i="48"/>
  <c r="G36" i="48"/>
  <c r="I128" i="48"/>
  <c r="G39" i="48"/>
  <c r="H108" i="48"/>
  <c r="H118" i="48"/>
  <c r="I113" i="48"/>
  <c r="G34" i="48"/>
  <c r="I23" i="48"/>
  <c r="I32" i="48"/>
  <c r="I125" i="48"/>
  <c r="I40" i="48"/>
  <c r="I83" i="48"/>
  <c r="I123" i="48"/>
  <c r="H86" i="48"/>
  <c r="G53" i="48"/>
  <c r="H125" i="48"/>
  <c r="H124" i="48"/>
  <c r="G25" i="48"/>
  <c r="I45" i="48"/>
  <c r="I89" i="48"/>
  <c r="A28" i="29"/>
  <c r="H117" i="48"/>
  <c r="G126" i="48"/>
  <c r="G129" i="48"/>
  <c r="G106" i="48"/>
  <c r="G89" i="48"/>
  <c r="I38" i="48"/>
  <c r="H35" i="48"/>
  <c r="H106" i="48"/>
  <c r="G50" i="48"/>
  <c r="G97" i="48"/>
  <c r="G99" i="48"/>
  <c r="I122" i="48"/>
  <c r="G24" i="48"/>
  <c r="I80" i="48"/>
  <c r="G21" i="48"/>
  <c r="I19" i="48"/>
  <c r="G111" i="48"/>
  <c r="G107" i="48"/>
  <c r="H83" i="48"/>
  <c r="H55" i="48"/>
  <c r="G30" i="48"/>
  <c r="G48" i="48"/>
  <c r="I81" i="48"/>
  <c r="H123" i="48"/>
  <c r="I84" i="48"/>
  <c r="G83" i="48"/>
  <c r="I88" i="48"/>
  <c r="G108" i="48"/>
  <c r="H49" i="48"/>
  <c r="H45" i="48"/>
  <c r="H109" i="48"/>
  <c r="H57" i="48"/>
  <c r="G28" i="48"/>
  <c r="G110" i="48"/>
  <c r="G46" i="48"/>
  <c r="H53" i="48"/>
  <c r="I104" i="48"/>
  <c r="H36" i="48"/>
  <c r="I126" i="48"/>
  <c r="I27" i="48"/>
  <c r="I36" i="48"/>
  <c r="H56" i="48"/>
  <c r="I28" i="48"/>
  <c r="G109" i="48"/>
  <c r="I91" i="48"/>
  <c r="H130" i="48"/>
  <c r="H126" i="48"/>
  <c r="I108" i="48"/>
  <c r="G103" i="48"/>
  <c r="I34" i="48"/>
  <c r="I53" i="48"/>
  <c r="I54" i="48"/>
  <c r="G52" i="48"/>
  <c r="I50" i="48"/>
  <c r="I17" i="48"/>
  <c r="G81" i="48"/>
  <c r="G92" i="48"/>
  <c r="G130" i="48"/>
  <c r="G104" i="48"/>
  <c r="I96" i="48"/>
  <c r="G123" i="48"/>
  <c r="H121" i="48"/>
  <c r="H98" i="48"/>
  <c r="H22" i="48"/>
  <c r="H39" i="48"/>
  <c r="H46" i="48"/>
  <c r="H96" i="48"/>
  <c r="G113" i="48"/>
  <c r="I49" i="48"/>
  <c r="G56" i="48"/>
  <c r="G55" i="48"/>
  <c r="G119" i="48"/>
  <c r="G47" i="48"/>
  <c r="H89" i="48"/>
  <c r="G17" i="48"/>
  <c r="G54" i="48"/>
  <c r="H48" i="48"/>
  <c r="I52" i="48"/>
  <c r="H51" i="48"/>
  <c r="I48" i="48"/>
  <c r="I119" i="48"/>
  <c r="H139" i="48"/>
  <c r="H30" i="48"/>
  <c r="H111" i="48"/>
  <c r="I99" i="48"/>
  <c r="H52" i="48"/>
  <c r="I102" i="48"/>
  <c r="H20" i="48"/>
  <c r="G16" i="48"/>
  <c r="H50" i="48"/>
  <c r="H47" i="48"/>
  <c r="G98" i="48"/>
  <c r="H101" i="48"/>
  <c r="I35" i="48"/>
  <c r="G114" i="48"/>
  <c r="I61" i="48"/>
  <c r="G86" i="48"/>
  <c r="I18" i="48"/>
  <c r="G35" i="48"/>
  <c r="G118" i="48"/>
  <c r="H128" i="48"/>
  <c r="H17" i="48"/>
  <c r="I25" i="48"/>
  <c r="I110" i="48"/>
  <c r="I30" i="48"/>
  <c r="H21" i="48"/>
  <c r="I37" i="48"/>
  <c r="I118" i="48"/>
  <c r="H88" i="48"/>
  <c r="G58" i="48"/>
  <c r="G22" i="48"/>
  <c r="G31" i="48"/>
  <c r="G124" i="48"/>
  <c r="G96" i="48"/>
  <c r="G19" i="48"/>
  <c r="G100" i="48"/>
  <c r="I112" i="48"/>
  <c r="H32" i="48"/>
  <c r="I111" i="48"/>
  <c r="I22" i="48"/>
  <c r="I46" i="48"/>
  <c r="G23" i="48"/>
  <c r="G85" i="48"/>
  <c r="G138" i="48"/>
  <c r="H31" i="48"/>
  <c r="I114" i="48"/>
  <c r="I101" i="48"/>
  <c r="H54" i="48"/>
  <c r="I82" i="48"/>
  <c r="I127" i="48"/>
  <c r="G122" i="48"/>
  <c r="I16" i="48"/>
  <c r="H107" i="48"/>
  <c r="H129" i="48"/>
  <c r="G41" i="48"/>
  <c r="I20" i="48"/>
  <c r="H105" i="48"/>
  <c r="G88" i="48"/>
  <c r="I129" i="48"/>
  <c r="I130" i="48"/>
  <c r="H100" i="48"/>
  <c r="H18" i="48"/>
  <c r="H23" i="48"/>
  <c r="H110" i="48"/>
  <c r="H102" i="48"/>
  <c r="G51" i="48"/>
  <c r="H84" i="48"/>
  <c r="I56" i="48"/>
  <c r="I86" i="48"/>
  <c r="I51" i="48"/>
  <c r="I139" i="48"/>
  <c r="G127" i="48"/>
  <c r="I100" i="48"/>
  <c r="G121" i="48"/>
  <c r="I31" i="48"/>
  <c r="H119" i="48"/>
  <c r="H41" i="48"/>
  <c r="I29" i="48"/>
  <c r="I47" i="48"/>
  <c r="H99" i="48"/>
  <c r="I59" i="48"/>
  <c r="G115" i="48"/>
  <c r="H38" i="48"/>
  <c r="I120" i="48"/>
  <c r="I39" i="48"/>
  <c r="G128" i="48"/>
  <c r="G27" i="48"/>
  <c r="H19" i="48"/>
  <c r="I115" i="48"/>
  <c r="G18" i="48"/>
  <c r="G102" i="48"/>
  <c r="I121" i="48"/>
  <c r="G101" i="48"/>
  <c r="I85" i="48"/>
  <c r="H28" i="48"/>
  <c r="G84" i="48"/>
  <c r="I55" i="48"/>
  <c r="I58" i="48"/>
  <c r="G80" i="48"/>
  <c r="H24" i="48"/>
  <c r="H16" i="48"/>
  <c r="G59" i="48"/>
  <c r="I103" i="48"/>
  <c r="G40" i="48"/>
  <c r="I92" i="48"/>
  <c r="H85" i="48"/>
  <c r="I109" i="48"/>
  <c r="G82" i="48"/>
  <c r="G117" i="48"/>
  <c r="G38" i="48"/>
  <c r="G120" i="48"/>
  <c r="H80" i="48"/>
  <c r="I107" i="48"/>
  <c r="H34" i="48"/>
  <c r="H114" i="48"/>
  <c r="I97" i="48"/>
  <c r="G112" i="48"/>
  <c r="H127" i="48"/>
  <c r="I57" i="48"/>
  <c r="H120" i="48"/>
  <c r="AL117" i="29"/>
  <c r="C117" i="29" s="1"/>
  <c r="AK117" i="29"/>
  <c r="D117" i="29" s="1"/>
  <c r="BR84" i="4" l="1"/>
  <c r="BQ83" i="4"/>
  <c r="BS83" i="4" s="1"/>
  <c r="A29" i="29"/>
  <c r="AL118" i="29"/>
  <c r="C118" i="29" s="1"/>
  <c r="AK118" i="29"/>
  <c r="D118" i="29" s="1"/>
  <c r="A25" i="3"/>
  <c r="A24" i="3"/>
  <c r="BR85" i="4" l="1"/>
  <c r="BQ84" i="4"/>
  <c r="BS84" i="4" s="1"/>
  <c r="A30" i="29"/>
  <c r="AL119" i="29"/>
  <c r="C119" i="29" s="1"/>
  <c r="AK119" i="29"/>
  <c r="D119" i="29" s="1"/>
  <c r="AB2" i="48"/>
  <c r="A5" i="48"/>
  <c r="AB3" i="48"/>
  <c r="E8" i="48" s="1"/>
  <c r="A6" i="48"/>
  <c r="BR86" i="4" l="1"/>
  <c r="BQ85" i="4"/>
  <c r="BS85" i="4" s="1"/>
  <c r="A31" i="29"/>
  <c r="AK120" i="29"/>
  <c r="D120" i="29" s="1"/>
  <c r="AL120" i="29"/>
  <c r="C120" i="29" s="1"/>
  <c r="H7" i="48"/>
  <c r="D8" i="48"/>
  <c r="BR87" i="4" l="1"/>
  <c r="BQ86" i="4"/>
  <c r="BS86" i="4" s="1"/>
  <c r="A32" i="29"/>
  <c r="AL121" i="29"/>
  <c r="C121" i="29" s="1"/>
  <c r="AK121" i="29"/>
  <c r="D121" i="29" s="1"/>
  <c r="BR88" i="4" l="1"/>
  <c r="BQ87" i="4"/>
  <c r="BS87" i="4" s="1"/>
  <c r="A33" i="29"/>
  <c r="AK122" i="29"/>
  <c r="D122" i="29" s="1"/>
  <c r="AL122" i="29"/>
  <c r="C122" i="29" s="1"/>
  <c r="BR89" i="4" l="1"/>
  <c r="BQ88" i="4"/>
  <c r="BS88" i="4" s="1"/>
  <c r="A34" i="29"/>
  <c r="AL123" i="29"/>
  <c r="C123" i="29" s="1"/>
  <c r="AK123" i="29"/>
  <c r="D123" i="29" s="1"/>
  <c r="BR90" i="4" l="1"/>
  <c r="BQ89" i="4"/>
  <c r="BS89" i="4" s="1"/>
  <c r="A35" i="29"/>
  <c r="AL124" i="29"/>
  <c r="C124" i="29" s="1"/>
  <c r="AK124" i="29"/>
  <c r="D124" i="29" s="1"/>
  <c r="BR91" i="4" l="1"/>
  <c r="BQ90" i="4"/>
  <c r="BS90" i="4" s="1"/>
  <c r="A36" i="29"/>
  <c r="AL125" i="29"/>
  <c r="C125" i="29" s="1"/>
  <c r="AK125" i="29"/>
  <c r="D125" i="29" s="1"/>
  <c r="BR92" i="4" l="1"/>
  <c r="BQ91" i="4"/>
  <c r="BS91" i="4" s="1"/>
  <c r="A37" i="29"/>
  <c r="AK126" i="29"/>
  <c r="D126" i="29" s="1"/>
  <c r="AL126" i="29"/>
  <c r="C126" i="29" s="1"/>
  <c r="BR93" i="4" l="1"/>
  <c r="BQ92" i="4"/>
  <c r="BS92" i="4" s="1"/>
  <c r="A38" i="29"/>
  <c r="AL127" i="29"/>
  <c r="C127" i="29" s="1"/>
  <c r="AK127" i="29"/>
  <c r="D127" i="29" s="1"/>
  <c r="BR94" i="4" l="1"/>
  <c r="BQ93" i="4"/>
  <c r="BS93" i="4" s="1"/>
  <c r="A39" i="29"/>
  <c r="AL128" i="29"/>
  <c r="C128" i="29" s="1"/>
  <c r="AK128" i="29"/>
  <c r="D128" i="29" s="1"/>
  <c r="BR95" i="4" l="1"/>
  <c r="BQ94" i="4"/>
  <c r="BS94" i="4" s="1"/>
  <c r="A40" i="29"/>
  <c r="AL129" i="29"/>
  <c r="C129" i="29" s="1"/>
  <c r="AK129" i="29"/>
  <c r="D129" i="29" s="1"/>
  <c r="BR96" i="4" l="1"/>
  <c r="BQ95" i="4"/>
  <c r="BS95" i="4" s="1"/>
  <c r="A41" i="29"/>
  <c r="AK130" i="29"/>
  <c r="D130" i="29" s="1"/>
  <c r="AL130" i="29"/>
  <c r="C130" i="29" s="1"/>
  <c r="BR97" i="4" l="1"/>
  <c r="BQ96" i="4"/>
  <c r="BS96" i="4" s="1"/>
  <c r="A42" i="29"/>
  <c r="AL131" i="29"/>
  <c r="C131" i="29" s="1"/>
  <c r="AK131" i="29"/>
  <c r="D131" i="29" s="1"/>
  <c r="BR98" i="4" l="1"/>
  <c r="BQ97" i="4"/>
  <c r="BS97" i="4" s="1"/>
  <c r="A43" i="29"/>
  <c r="AK132" i="29"/>
  <c r="D132" i="29" s="1"/>
  <c r="AL132" i="29"/>
  <c r="C132" i="29" s="1"/>
  <c r="BR99" i="4" l="1"/>
  <c r="BQ98" i="4"/>
  <c r="BS98" i="4" s="1"/>
  <c r="A44" i="29"/>
  <c r="AL133" i="29"/>
  <c r="C133" i="29" s="1"/>
  <c r="AK133" i="29"/>
  <c r="D133" i="29" s="1"/>
  <c r="BR100" i="4" l="1"/>
  <c r="BQ99" i="4"/>
  <c r="BS99" i="4" s="1"/>
  <c r="A45" i="29"/>
  <c r="AL134" i="29"/>
  <c r="C134" i="29" s="1"/>
  <c r="AK134" i="29"/>
  <c r="D134" i="29" s="1"/>
  <c r="BR101" i="4" l="1"/>
  <c r="BQ100" i="4"/>
  <c r="BS100" i="4" s="1"/>
  <c r="A46" i="29"/>
  <c r="AL135" i="29"/>
  <c r="C135" i="29" s="1"/>
  <c r="AK135" i="29"/>
  <c r="D135" i="29" s="1"/>
  <c r="BR102" i="4" l="1"/>
  <c r="BQ101" i="4"/>
  <c r="BS101" i="4" s="1"/>
  <c r="A47" i="29"/>
  <c r="AK136" i="29"/>
  <c r="D136" i="29" s="1"/>
  <c r="AL136" i="29"/>
  <c r="C136" i="29" s="1"/>
  <c r="BR103" i="4" l="1"/>
  <c r="BQ102" i="4"/>
  <c r="BS102" i="4" s="1"/>
  <c r="A48" i="29"/>
  <c r="AL137" i="29"/>
  <c r="C137" i="29" s="1"/>
  <c r="AK137" i="29"/>
  <c r="D137" i="29" s="1"/>
  <c r="BR104" i="4" l="1"/>
  <c r="BQ103" i="4"/>
  <c r="BS103" i="4" s="1"/>
  <c r="A49" i="29"/>
  <c r="AL138" i="29"/>
  <c r="C138" i="29" s="1"/>
  <c r="AK138" i="29"/>
  <c r="D138" i="29" s="1"/>
  <c r="BR105" i="4" l="1"/>
  <c r="BQ104" i="4"/>
  <c r="BS104" i="4" s="1"/>
  <c r="X262" i="17"/>
  <c r="S262" i="17"/>
  <c r="A50" i="29"/>
  <c r="AL139" i="29"/>
  <c r="C139" i="29" s="1"/>
  <c r="AK139" i="29"/>
  <c r="D139" i="29" s="1"/>
  <c r="BR106" i="4" l="1"/>
  <c r="BQ105" i="4"/>
  <c r="BS105" i="4" s="1"/>
  <c r="A51" i="29"/>
  <c r="AK140" i="29"/>
  <c r="D140" i="29" s="1"/>
  <c r="AL140" i="29"/>
  <c r="C140" i="29" s="1"/>
  <c r="BR107" i="4" l="1"/>
  <c r="BQ106" i="4"/>
  <c r="BS106" i="4" s="1"/>
  <c r="A52" i="29"/>
  <c r="AL141" i="29"/>
  <c r="C141" i="29" s="1"/>
  <c r="AK141" i="29"/>
  <c r="D141" i="29" s="1"/>
  <c r="BR108" i="4" l="1"/>
  <c r="BQ107" i="4"/>
  <c r="BS107" i="4" s="1"/>
  <c r="A53" i="29"/>
  <c r="AL142" i="29"/>
  <c r="C142" i="29" s="1"/>
  <c r="AK142" i="29"/>
  <c r="D142" i="29" s="1"/>
  <c r="BR109" i="4" l="1"/>
  <c r="BQ108" i="4"/>
  <c r="BS108" i="4" s="1"/>
  <c r="A54" i="29"/>
  <c r="AL143" i="29"/>
  <c r="C143" i="29" s="1"/>
  <c r="AK143" i="29"/>
  <c r="D143" i="29" s="1"/>
  <c r="BR110" i="4" l="1"/>
  <c r="BQ109" i="4"/>
  <c r="A55" i="29"/>
  <c r="AK144" i="29"/>
  <c r="D144" i="29" s="1"/>
  <c r="AL144" i="29"/>
  <c r="C144" i="29" s="1"/>
  <c r="BS109" i="4" l="1"/>
  <c r="D109" i="4" s="1"/>
  <c r="E109" i="4"/>
  <c r="BR111" i="4"/>
  <c r="BQ110" i="4"/>
  <c r="A56" i="29"/>
  <c r="AL145" i="29"/>
  <c r="C145" i="29" s="1"/>
  <c r="AK145" i="29"/>
  <c r="D145" i="29" s="1"/>
  <c r="BR112" i="4" l="1"/>
  <c r="BQ111" i="4"/>
  <c r="E110" i="4"/>
  <c r="BS110" i="4"/>
  <c r="D110" i="4" s="1"/>
  <c r="A57" i="29"/>
  <c r="AK146" i="29"/>
  <c r="D146" i="29" s="1"/>
  <c r="AL146" i="29"/>
  <c r="C146" i="29" s="1"/>
  <c r="E111" i="4" l="1"/>
  <c r="BS111" i="4"/>
  <c r="D111" i="4" s="1"/>
  <c r="BR113" i="4"/>
  <c r="BQ112" i="4"/>
  <c r="BS112" i="4" s="1"/>
  <c r="A58" i="29"/>
  <c r="AL147" i="29"/>
  <c r="C147" i="29" s="1"/>
  <c r="AK147" i="29"/>
  <c r="D147" i="29" s="1"/>
  <c r="BR114" i="4" l="1"/>
  <c r="BQ113" i="4"/>
  <c r="BS113" i="4" s="1"/>
  <c r="A59" i="29"/>
  <c r="AL148" i="29"/>
  <c r="C148" i="29" s="1"/>
  <c r="AK148" i="29"/>
  <c r="D148" i="29" s="1"/>
  <c r="BR115" i="4" l="1"/>
  <c r="BQ114" i="4"/>
  <c r="BS114" i="4" s="1"/>
  <c r="A60" i="29"/>
  <c r="AL149" i="29"/>
  <c r="C149" i="29" s="1"/>
  <c r="AK149" i="29"/>
  <c r="D149" i="29" s="1"/>
  <c r="BR116" i="4" l="1"/>
  <c r="BQ115" i="4"/>
  <c r="BS115" i="4" s="1"/>
  <c r="A61" i="29"/>
  <c r="AK150" i="29"/>
  <c r="D150" i="29" s="1"/>
  <c r="AL150" i="29"/>
  <c r="C150" i="29" s="1"/>
  <c r="BR117" i="4" l="1"/>
  <c r="BQ116" i="4"/>
  <c r="BS116" i="4" s="1"/>
  <c r="A62" i="29"/>
  <c r="AL151" i="29"/>
  <c r="C151" i="29" s="1"/>
  <c r="AK151" i="29"/>
  <c r="D151" i="29" s="1"/>
  <c r="BR118" i="4" l="1"/>
  <c r="BQ117" i="4"/>
  <c r="BS117" i="4" s="1"/>
  <c r="A63" i="29"/>
  <c r="AL152" i="29"/>
  <c r="C152" i="29" s="1"/>
  <c r="AK152" i="29"/>
  <c r="D152" i="29" s="1"/>
  <c r="BR119" i="4" l="1"/>
  <c r="BQ118" i="4"/>
  <c r="BS118" i="4" s="1"/>
  <c r="A64" i="29"/>
  <c r="AL153" i="29"/>
  <c r="C153" i="29" s="1"/>
  <c r="AK153" i="29"/>
  <c r="D153" i="29" s="1"/>
  <c r="BR120" i="4" l="1"/>
  <c r="BQ119" i="4"/>
  <c r="BS119" i="4" s="1"/>
  <c r="A65" i="29"/>
  <c r="AK154" i="29"/>
  <c r="D154" i="29" s="1"/>
  <c r="AL154" i="29"/>
  <c r="C154" i="29" s="1"/>
  <c r="BR121" i="4" l="1"/>
  <c r="BQ120" i="4"/>
  <c r="BS120" i="4" s="1"/>
  <c r="A66" i="29"/>
  <c r="AL155" i="29"/>
  <c r="C155" i="29" s="1"/>
  <c r="AK155" i="29"/>
  <c r="D155" i="29" s="1"/>
  <c r="BR122" i="4" l="1"/>
  <c r="BQ121" i="4"/>
  <c r="BS121" i="4" s="1"/>
  <c r="A67" i="29"/>
  <c r="AK156" i="29"/>
  <c r="D156" i="29" s="1"/>
  <c r="AL156" i="29"/>
  <c r="C156" i="29" s="1"/>
  <c r="BR123" i="4" l="1"/>
  <c r="BQ122" i="4"/>
  <c r="BS122" i="4" s="1"/>
  <c r="A68" i="29"/>
  <c r="AL157" i="29"/>
  <c r="C157" i="29" s="1"/>
  <c r="AK157" i="29"/>
  <c r="D157" i="29" s="1"/>
  <c r="BR124" i="4" l="1"/>
  <c r="BQ123" i="4"/>
  <c r="BS123" i="4" s="1"/>
  <c r="A69" i="29"/>
  <c r="AL158" i="29"/>
  <c r="C158" i="29" s="1"/>
  <c r="AK158" i="29"/>
  <c r="D158" i="29" s="1"/>
  <c r="BR125" i="4" l="1"/>
  <c r="BQ124" i="4"/>
  <c r="BS124" i="4" s="1"/>
  <c r="A70" i="29"/>
  <c r="AL159" i="29"/>
  <c r="C159" i="29" s="1"/>
  <c r="AK159" i="29"/>
  <c r="D159" i="29" s="1"/>
  <c r="BR126" i="4" l="1"/>
  <c r="BQ125" i="4"/>
  <c r="BS125" i="4" s="1"/>
  <c r="U303" i="17"/>
  <c r="T303" i="17"/>
  <c r="S243" i="17"/>
  <c r="S258" i="17" s="1"/>
  <c r="A71" i="29"/>
  <c r="AK160" i="29"/>
  <c r="D160" i="29" s="1"/>
  <c r="AL160" i="29"/>
  <c r="C160" i="29" s="1"/>
  <c r="BR127" i="4" l="1"/>
  <c r="BQ126" i="4"/>
  <c r="BS126" i="4" s="1"/>
  <c r="X255" i="17"/>
  <c r="X256" i="17"/>
  <c r="T296" i="17"/>
  <c r="T284" i="17"/>
  <c r="T297" i="17"/>
  <c r="F306" i="17" s="1"/>
  <c r="U296" i="17"/>
  <c r="U297" i="17"/>
  <c r="G306" i="17" s="1"/>
  <c r="S255" i="17"/>
  <c r="S256" i="17"/>
  <c r="R24" i="17"/>
  <c r="R30" i="17"/>
  <c r="R49" i="17"/>
  <c r="R48" i="17"/>
  <c r="F57" i="17"/>
  <c r="A72" i="29"/>
  <c r="AL161" i="29"/>
  <c r="C161" i="29" s="1"/>
  <c r="AK161" i="29"/>
  <c r="D161" i="29" s="1"/>
  <c r="BR128" i="4" l="1"/>
  <c r="BQ127" i="4"/>
  <c r="BS127" i="4" s="1"/>
  <c r="X261" i="17"/>
  <c r="F305" i="17"/>
  <c r="T302" i="17"/>
  <c r="G305" i="17"/>
  <c r="U302" i="17"/>
  <c r="F286" i="17"/>
  <c r="F308" i="17" s="1"/>
  <c r="T299" i="17"/>
  <c r="T305" i="17" s="1"/>
  <c r="T307" i="17" s="1"/>
  <c r="S261" i="17"/>
  <c r="Q55" i="17"/>
  <c r="Q30" i="17"/>
  <c r="Q26" i="17"/>
  <c r="Q48" i="17"/>
  <c r="Q49" i="17"/>
  <c r="A73" i="29"/>
  <c r="AL162" i="29"/>
  <c r="C162" i="29" s="1"/>
  <c r="AK162" i="29"/>
  <c r="D162" i="29" s="1"/>
  <c r="BR129" i="4" l="1"/>
  <c r="BQ128" i="4"/>
  <c r="BS128" i="4" s="1"/>
  <c r="Q52" i="17"/>
  <c r="Q56" i="17" s="1"/>
  <c r="A74" i="29"/>
  <c r="AL163" i="29"/>
  <c r="C163" i="29" s="1"/>
  <c r="AK163" i="29"/>
  <c r="D163" i="29" s="1"/>
  <c r="BR130" i="4" l="1"/>
  <c r="BQ129" i="4"/>
  <c r="BS129" i="4" s="1"/>
  <c r="A75" i="29"/>
  <c r="AK164" i="29"/>
  <c r="D164" i="29" s="1"/>
  <c r="AL164" i="29"/>
  <c r="C164" i="29" s="1"/>
  <c r="BR131" i="4" l="1"/>
  <c r="BQ130" i="4"/>
  <c r="BS130" i="4" s="1"/>
  <c r="A76" i="29"/>
  <c r="AL165" i="29"/>
  <c r="C165" i="29" s="1"/>
  <c r="AK165" i="29"/>
  <c r="D165" i="29" s="1"/>
  <c r="BR132" i="4" l="1"/>
  <c r="BQ131" i="4"/>
  <c r="BS131" i="4" s="1"/>
  <c r="A77" i="29"/>
  <c r="AL166" i="29"/>
  <c r="C166" i="29" s="1"/>
  <c r="AK166" i="29"/>
  <c r="D166" i="29" s="1"/>
  <c r="BR133" i="4" l="1"/>
  <c r="BQ132" i="4"/>
  <c r="BS132" i="4" s="1"/>
  <c r="A78" i="29"/>
  <c r="AL167" i="29"/>
  <c r="C167" i="29" s="1"/>
  <c r="AK167" i="29"/>
  <c r="D167" i="29" s="1"/>
  <c r="BR134" i="4" l="1"/>
  <c r="BQ133" i="4"/>
  <c r="BS133" i="4" s="1"/>
  <c r="A79" i="29"/>
  <c r="AK168" i="29"/>
  <c r="D168" i="29" s="1"/>
  <c r="AL168" i="29"/>
  <c r="C168" i="29" s="1"/>
  <c r="BR135" i="4" l="1"/>
  <c r="BQ134" i="4"/>
  <c r="BS134" i="4" s="1"/>
  <c r="A80" i="29"/>
  <c r="AL169" i="29"/>
  <c r="C169" i="29" s="1"/>
  <c r="AK169" i="29"/>
  <c r="D169" i="29" s="1"/>
  <c r="BR136" i="4" l="1"/>
  <c r="BQ135" i="4"/>
  <c r="BS135" i="4" s="1"/>
  <c r="A81" i="29"/>
  <c r="AL170" i="29"/>
  <c r="C170" i="29" s="1"/>
  <c r="AK170" i="29"/>
  <c r="D170" i="29" s="1"/>
  <c r="BR137" i="4" l="1"/>
  <c r="BQ136" i="4"/>
  <c r="BS136" i="4" s="1"/>
  <c r="A82" i="29"/>
  <c r="AL171" i="29"/>
  <c r="C171" i="29" s="1"/>
  <c r="AK171" i="29"/>
  <c r="D171" i="29" s="1"/>
  <c r="BR138" i="4" l="1"/>
  <c r="BQ137" i="4"/>
  <c r="BS137" i="4" s="1"/>
  <c r="A83" i="29"/>
  <c r="AK172" i="29"/>
  <c r="D172" i="29" s="1"/>
  <c r="AL172" i="29"/>
  <c r="C172" i="29" s="1"/>
  <c r="BR139" i="4" l="1"/>
  <c r="BQ138" i="4"/>
  <c r="BS138" i="4" s="1"/>
  <c r="A84" i="29"/>
  <c r="AL173" i="29"/>
  <c r="C173" i="29" s="1"/>
  <c r="AK173" i="29"/>
  <c r="D173" i="29" s="1"/>
  <c r="BR140" i="4" l="1"/>
  <c r="BQ139" i="4"/>
  <c r="BS139" i="4" s="1"/>
  <c r="A85" i="29"/>
  <c r="AK174" i="29"/>
  <c r="D174" i="29" s="1"/>
  <c r="AL174" i="29"/>
  <c r="C174" i="29" s="1"/>
  <c r="BR141" i="4" l="1"/>
  <c r="BQ140" i="4"/>
  <c r="BS140" i="4" s="1"/>
  <c r="A86" i="29"/>
  <c r="AL175" i="29"/>
  <c r="C175" i="29" s="1"/>
  <c r="AK175" i="29"/>
  <c r="D175" i="29" s="1"/>
  <c r="BR142" i="4" l="1"/>
  <c r="BQ141" i="4"/>
  <c r="BS141" i="4" s="1"/>
  <c r="A87" i="29"/>
  <c r="AL176" i="29"/>
  <c r="C176" i="29" s="1"/>
  <c r="AK176" i="29"/>
  <c r="D176" i="29" s="1"/>
  <c r="BR143" i="4" l="1"/>
  <c r="BQ142" i="4"/>
  <c r="BS142" i="4" s="1"/>
  <c r="A88" i="29"/>
  <c r="AL177" i="29"/>
  <c r="C177" i="29" s="1"/>
  <c r="AK177" i="29"/>
  <c r="D177" i="29" s="1"/>
  <c r="BR144" i="4" l="1"/>
  <c r="BQ143" i="4"/>
  <c r="BS143" i="4" s="1"/>
  <c r="A89" i="29"/>
  <c r="AK178" i="29"/>
  <c r="D178" i="29" s="1"/>
  <c r="AL178" i="29"/>
  <c r="C178" i="29" s="1"/>
  <c r="BR145" i="4" l="1"/>
  <c r="BQ144" i="4"/>
  <c r="BS144" i="4" s="1"/>
  <c r="A90" i="29"/>
  <c r="AL179" i="29"/>
  <c r="C179" i="29" s="1"/>
  <c r="AK179" i="29"/>
  <c r="D179" i="29" s="1"/>
  <c r="BR146" i="4" l="1"/>
  <c r="BQ145" i="4"/>
  <c r="BS145" i="4" s="1"/>
  <c r="A91" i="29"/>
  <c r="AL180" i="29"/>
  <c r="C180" i="29" s="1"/>
  <c r="AK180" i="29"/>
  <c r="D180" i="29" s="1"/>
  <c r="BR147" i="4" l="1"/>
  <c r="BQ146" i="4"/>
  <c r="BS146" i="4" s="1"/>
  <c r="A92" i="29"/>
  <c r="AL181" i="29"/>
  <c r="C181" i="29" s="1"/>
  <c r="AK181" i="29"/>
  <c r="D181" i="29" s="1"/>
  <c r="BR148" i="4" l="1"/>
  <c r="BQ147" i="4"/>
  <c r="BS147" i="4" s="1"/>
  <c r="A93" i="29"/>
  <c r="AK182" i="29"/>
  <c r="D182" i="29" s="1"/>
  <c r="AL182" i="29"/>
  <c r="C182" i="29" s="1"/>
  <c r="BR149" i="4" l="1"/>
  <c r="BQ148" i="4"/>
  <c r="A94" i="29"/>
  <c r="AL183" i="29"/>
  <c r="C183" i="29" s="1"/>
  <c r="AK183" i="29"/>
  <c r="D183" i="29" s="1"/>
  <c r="E148" i="4" l="1"/>
  <c r="BS148" i="4"/>
  <c r="D148" i="4" s="1"/>
  <c r="BR150" i="4"/>
  <c r="BQ149" i="4"/>
  <c r="A95" i="29"/>
  <c r="AL184" i="29"/>
  <c r="C184" i="29" s="1"/>
  <c r="AK184" i="29"/>
  <c r="D184" i="29" s="1"/>
  <c r="BR151" i="4" l="1"/>
  <c r="BQ150" i="4"/>
  <c r="E149" i="4"/>
  <c r="BS149" i="4"/>
  <c r="D149" i="4" s="1"/>
  <c r="A96" i="29"/>
  <c r="AL185" i="29"/>
  <c r="C185" i="29" s="1"/>
  <c r="AK185" i="29"/>
  <c r="D185" i="29" s="1"/>
  <c r="E150" i="4" l="1"/>
  <c r="BS150" i="4"/>
  <c r="D150" i="4" s="1"/>
  <c r="BR152" i="4"/>
  <c r="BQ151" i="4"/>
  <c r="BS151" i="4" s="1"/>
  <c r="A97" i="29"/>
  <c r="AK186" i="29"/>
  <c r="D186" i="29" s="1"/>
  <c r="AL186" i="29"/>
  <c r="C186" i="29" s="1"/>
  <c r="BR153" i="4" l="1"/>
  <c r="BQ152" i="4"/>
  <c r="BS152" i="4" s="1"/>
  <c r="A98" i="29"/>
  <c r="AL187" i="29"/>
  <c r="C187" i="29" s="1"/>
  <c r="AK187" i="29"/>
  <c r="D187" i="29" s="1"/>
  <c r="BR154" i="4" l="1"/>
  <c r="BQ153" i="4"/>
  <c r="BS153" i="4" s="1"/>
  <c r="A99" i="29"/>
  <c r="AK188" i="29"/>
  <c r="D188" i="29" s="1"/>
  <c r="AL188" i="29"/>
  <c r="C188" i="29" s="1"/>
  <c r="BR155" i="4" l="1"/>
  <c r="BQ154" i="4"/>
  <c r="BS154" i="4" s="1"/>
  <c r="A100" i="29"/>
  <c r="AL189" i="29"/>
  <c r="C189" i="29" s="1"/>
  <c r="AK189" i="29"/>
  <c r="D189" i="29" s="1"/>
  <c r="BR156" i="4" l="1"/>
  <c r="BQ155" i="4"/>
  <c r="BS155" i="4" s="1"/>
  <c r="A101" i="29"/>
  <c r="AL190" i="29"/>
  <c r="C190" i="29" s="1"/>
  <c r="AK190" i="29"/>
  <c r="D190" i="29" s="1"/>
  <c r="BR157" i="4" l="1"/>
  <c r="BQ156" i="4"/>
  <c r="BS156" i="4" s="1"/>
  <c r="A102" i="29"/>
  <c r="AL191" i="29"/>
  <c r="C191" i="29" s="1"/>
  <c r="AK191" i="29"/>
  <c r="D191" i="29" s="1"/>
  <c r="BR158" i="4" l="1"/>
  <c r="BQ157" i="4"/>
  <c r="BS157" i="4" s="1"/>
  <c r="A103" i="29"/>
  <c r="AK192" i="29"/>
  <c r="D192" i="29" s="1"/>
  <c r="AL192" i="29"/>
  <c r="C192" i="29" s="1"/>
  <c r="BR159" i="4" l="1"/>
  <c r="BQ158" i="4"/>
  <c r="BS158" i="4" s="1"/>
  <c r="A104" i="29"/>
  <c r="AL193" i="29"/>
  <c r="C193" i="29" s="1"/>
  <c r="AK193" i="29"/>
  <c r="D193" i="29" s="1"/>
  <c r="BR160" i="4" l="1"/>
  <c r="BQ159" i="4"/>
  <c r="BS159" i="4" s="1"/>
  <c r="A105" i="29"/>
  <c r="AL194" i="29"/>
  <c r="C194" i="29" s="1"/>
  <c r="AK194" i="29"/>
  <c r="D194" i="29" s="1"/>
  <c r="BR161" i="4" l="1"/>
  <c r="BQ160" i="4"/>
  <c r="BS160" i="4" s="1"/>
  <c r="A106" i="29"/>
  <c r="AL195" i="29"/>
  <c r="C195" i="29" s="1"/>
  <c r="AK195" i="29"/>
  <c r="D195" i="29" s="1"/>
  <c r="BR162" i="4" l="1"/>
  <c r="BQ161" i="4"/>
  <c r="BS161" i="4" s="1"/>
  <c r="A107" i="29"/>
  <c r="AK196" i="29"/>
  <c r="D196" i="29" s="1"/>
  <c r="AL196" i="29"/>
  <c r="C196" i="29" s="1"/>
  <c r="BR163" i="4" l="1"/>
  <c r="BQ162" i="4"/>
  <c r="BS162" i="4" s="1"/>
  <c r="A108" i="29"/>
  <c r="AL197" i="29"/>
  <c r="C197" i="29" s="1"/>
  <c r="AK197" i="29"/>
  <c r="D197" i="29" s="1"/>
  <c r="BR164" i="4" l="1"/>
  <c r="BQ163" i="4"/>
  <c r="BS163" i="4" s="1"/>
  <c r="A109" i="29"/>
  <c r="AL198" i="29"/>
  <c r="C198" i="29" s="1"/>
  <c r="AK198" i="29"/>
  <c r="D198" i="29" s="1"/>
  <c r="BR165" i="4" l="1"/>
  <c r="BQ164" i="4"/>
  <c r="BS164" i="4" s="1"/>
  <c r="A110" i="29"/>
  <c r="AL199" i="29"/>
  <c r="C199" i="29" s="1"/>
  <c r="AK199" i="29"/>
  <c r="D199" i="29" s="1"/>
  <c r="BR166" i="4" l="1"/>
  <c r="BQ165" i="4"/>
  <c r="BS165" i="4" s="1"/>
  <c r="A111" i="29"/>
  <c r="AK200" i="29"/>
  <c r="D200" i="29" s="1"/>
  <c r="AL200" i="29"/>
  <c r="C200" i="29" s="1"/>
  <c r="BR167" i="4" l="1"/>
  <c r="BQ166" i="4"/>
  <c r="BS166" i="4" s="1"/>
  <c r="A112" i="29"/>
  <c r="AL201" i="29"/>
  <c r="C201" i="29" s="1"/>
  <c r="AK201" i="29"/>
  <c r="D201" i="29" s="1"/>
  <c r="BR168" i="4" l="1"/>
  <c r="BQ167" i="4"/>
  <c r="BS167" i="4" s="1"/>
  <c r="A113" i="29"/>
  <c r="AK202" i="29"/>
  <c r="D202" i="29" s="1"/>
  <c r="AL202" i="29"/>
  <c r="C202" i="29" s="1"/>
  <c r="BR169" i="4" l="1"/>
  <c r="BQ168" i="4"/>
  <c r="BS168" i="4" s="1"/>
  <c r="A114" i="29"/>
  <c r="AL203" i="29"/>
  <c r="C203" i="29" s="1"/>
  <c r="AK203" i="29"/>
  <c r="D203" i="29" s="1"/>
  <c r="BR170" i="4" l="1"/>
  <c r="BQ169" i="4"/>
  <c r="BS169" i="4" s="1"/>
  <c r="A115" i="29"/>
  <c r="AK204" i="29"/>
  <c r="D204" i="29" s="1"/>
  <c r="AL204" i="29"/>
  <c r="C204" i="29" s="1"/>
  <c r="BR171" i="4" l="1"/>
  <c r="BQ170" i="4"/>
  <c r="BS170" i="4" s="1"/>
  <c r="A116" i="29"/>
  <c r="AL205" i="29"/>
  <c r="C205" i="29" s="1"/>
  <c r="AK205" i="29"/>
  <c r="D205" i="29" s="1"/>
  <c r="BR172" i="4" l="1"/>
  <c r="BQ171" i="4"/>
  <c r="BS171" i="4" s="1"/>
  <c r="A117" i="29"/>
  <c r="AK206" i="29"/>
  <c r="D206" i="29" s="1"/>
  <c r="AL206" i="29"/>
  <c r="C206" i="29" s="1"/>
  <c r="BR173" i="4" l="1"/>
  <c r="BQ172" i="4"/>
  <c r="BS172" i="4" s="1"/>
  <c r="A118" i="29"/>
  <c r="AL207" i="29"/>
  <c r="C207" i="29" s="1"/>
  <c r="AK207" i="29"/>
  <c r="D207" i="29" s="1"/>
  <c r="BR174" i="4" l="1"/>
  <c r="BQ173" i="4"/>
  <c r="BS173" i="4" s="1"/>
  <c r="A119" i="29"/>
  <c r="AK208" i="29"/>
  <c r="D208" i="29" s="1"/>
  <c r="AL208" i="29"/>
  <c r="C208" i="29" s="1"/>
  <c r="BR175" i="4" l="1"/>
  <c r="BQ174" i="4"/>
  <c r="BS174" i="4" s="1"/>
  <c r="A120" i="29"/>
  <c r="AL209" i="29"/>
  <c r="C209" i="29" s="1"/>
  <c r="AK209" i="29"/>
  <c r="D209" i="29" s="1"/>
  <c r="BR176" i="4" l="1"/>
  <c r="BQ175" i="4"/>
  <c r="BS175" i="4" s="1"/>
  <c r="A121" i="29"/>
  <c r="AK210" i="29"/>
  <c r="D210" i="29" s="1"/>
  <c r="AL210" i="29"/>
  <c r="C210" i="29" s="1"/>
  <c r="BR177" i="4" l="1"/>
  <c r="BQ176" i="4"/>
  <c r="BS176" i="4" s="1"/>
  <c r="A122" i="29"/>
  <c r="AL211" i="29"/>
  <c r="C211" i="29" s="1"/>
  <c r="AK211" i="29"/>
  <c r="D211" i="29" s="1"/>
  <c r="BR178" i="4" l="1"/>
  <c r="BQ177" i="4"/>
  <c r="BS177" i="4" s="1"/>
  <c r="A123" i="29"/>
  <c r="AK212" i="29"/>
  <c r="D212" i="29" s="1"/>
  <c r="AL212" i="29"/>
  <c r="C212" i="29" s="1"/>
  <c r="BR179" i="4" l="1"/>
  <c r="BQ178" i="4"/>
  <c r="BS178" i="4" s="1"/>
  <c r="A124" i="29"/>
  <c r="AL213" i="29"/>
  <c r="C213" i="29" s="1"/>
  <c r="AK213" i="29"/>
  <c r="D213" i="29" s="1"/>
  <c r="BR180" i="4" l="1"/>
  <c r="BQ179" i="4"/>
  <c r="BS179" i="4" s="1"/>
  <c r="A125" i="29"/>
  <c r="AK214" i="29"/>
  <c r="D214" i="29" s="1"/>
  <c r="AL214" i="29"/>
  <c r="C214" i="29" s="1"/>
  <c r="BR181" i="4" l="1"/>
  <c r="BQ180" i="4"/>
  <c r="BS180" i="4" s="1"/>
  <c r="A126" i="29"/>
  <c r="AL215" i="29"/>
  <c r="C215" i="29" s="1"/>
  <c r="AK215" i="29"/>
  <c r="D215" i="29" s="1"/>
  <c r="BR182" i="4" l="1"/>
  <c r="BQ181" i="4"/>
  <c r="BS181" i="4" s="1"/>
  <c r="A127" i="29"/>
  <c r="AK216" i="29"/>
  <c r="D216" i="29" s="1"/>
  <c r="AL216" i="29"/>
  <c r="C216" i="29" s="1"/>
  <c r="BR183" i="4" l="1"/>
  <c r="BQ182" i="4"/>
  <c r="BS182" i="4" s="1"/>
  <c r="A128" i="29"/>
  <c r="AL217" i="29"/>
  <c r="C217" i="29" s="1"/>
  <c r="AK217" i="29"/>
  <c r="D217" i="29" s="1"/>
  <c r="BR184" i="4" l="1"/>
  <c r="BQ183" i="4"/>
  <c r="BS183" i="4" s="1"/>
  <c r="A129" i="29"/>
  <c r="AK218" i="29"/>
  <c r="D218" i="29" s="1"/>
  <c r="AL218" i="29"/>
  <c r="C218" i="29" s="1"/>
  <c r="BR185" i="4" l="1"/>
  <c r="BQ184" i="4"/>
  <c r="BS184" i="4" s="1"/>
  <c r="A130" i="29"/>
  <c r="AL219" i="29"/>
  <c r="C219" i="29" s="1"/>
  <c r="AK219" i="29"/>
  <c r="D219" i="29" s="1"/>
  <c r="BR186" i="4" l="1"/>
  <c r="BQ185" i="4"/>
  <c r="BS185" i="4" s="1"/>
  <c r="A131" i="29"/>
  <c r="AK220" i="29"/>
  <c r="D220" i="29" s="1"/>
  <c r="AL220" i="29"/>
  <c r="C220" i="29" s="1"/>
  <c r="BR187" i="4" l="1"/>
  <c r="BQ186" i="4"/>
  <c r="BS186" i="4" s="1"/>
  <c r="A132" i="29"/>
  <c r="AL221" i="29"/>
  <c r="C221" i="29" s="1"/>
  <c r="AK221" i="29"/>
  <c r="D221" i="29" s="1"/>
  <c r="BR188" i="4" l="1"/>
  <c r="BQ187" i="4"/>
  <c r="BS187" i="4" s="1"/>
  <c r="A133" i="29"/>
  <c r="AK222" i="29"/>
  <c r="D222" i="29" s="1"/>
  <c r="AL222" i="29"/>
  <c r="C222" i="29" s="1"/>
  <c r="BR189" i="4" l="1"/>
  <c r="BQ188" i="4"/>
  <c r="A134" i="29"/>
  <c r="AL223" i="29"/>
  <c r="C223" i="29" s="1"/>
  <c r="AK223" i="29"/>
  <c r="D223" i="29" s="1"/>
  <c r="E188" i="4" l="1"/>
  <c r="BS188" i="4"/>
  <c r="D188" i="4" s="1"/>
  <c r="BR190" i="4"/>
  <c r="BQ189" i="4"/>
  <c r="A135" i="29"/>
  <c r="AK224" i="29"/>
  <c r="D224" i="29" s="1"/>
  <c r="AL224" i="29"/>
  <c r="C224" i="29" s="1"/>
  <c r="BR191" i="4" l="1"/>
  <c r="BQ190" i="4"/>
  <c r="BS189" i="4"/>
  <c r="D189" i="4" s="1"/>
  <c r="E189" i="4"/>
  <c r="A136" i="29"/>
  <c r="AL225" i="29"/>
  <c r="C225" i="29" s="1"/>
  <c r="AK225" i="29"/>
  <c r="D225" i="29" s="1"/>
  <c r="BS190" i="4" l="1"/>
  <c r="D190" i="4" s="1"/>
  <c r="E190" i="4"/>
  <c r="BR192" i="4"/>
  <c r="BQ191" i="4"/>
  <c r="BS191" i="4" s="1"/>
  <c r="A137" i="29"/>
  <c r="AK226" i="29"/>
  <c r="D226" i="29" s="1"/>
  <c r="AL226" i="29"/>
  <c r="C226" i="29" s="1"/>
  <c r="BR193" i="4" l="1"/>
  <c r="BQ192" i="4"/>
  <c r="BS192" i="4" s="1"/>
  <c r="A138" i="29"/>
  <c r="AL227" i="29"/>
  <c r="C227" i="29" s="1"/>
  <c r="AK227" i="29"/>
  <c r="D227" i="29" s="1"/>
  <c r="BR194" i="4" l="1"/>
  <c r="BQ193" i="4"/>
  <c r="BS193" i="4" s="1"/>
  <c r="A139" i="29"/>
  <c r="AK228" i="29"/>
  <c r="D228" i="29" s="1"/>
  <c r="AL228" i="29"/>
  <c r="C228" i="29" s="1"/>
  <c r="BR195" i="4" l="1"/>
  <c r="BQ194" i="4"/>
  <c r="BS194" i="4" s="1"/>
  <c r="A140" i="29"/>
  <c r="AL229" i="29"/>
  <c r="C229" i="29" s="1"/>
  <c r="AK229" i="29"/>
  <c r="D229" i="29" s="1"/>
  <c r="BR196" i="4" l="1"/>
  <c r="BQ195" i="4"/>
  <c r="BS195" i="4" s="1"/>
  <c r="A141" i="29"/>
  <c r="AK230" i="29"/>
  <c r="D230" i="29" s="1"/>
  <c r="AL230" i="29"/>
  <c r="C230" i="29" s="1"/>
  <c r="BR197" i="4" l="1"/>
  <c r="BQ196" i="4"/>
  <c r="BS196" i="4" s="1"/>
  <c r="A142" i="29"/>
  <c r="AL231" i="29"/>
  <c r="C231" i="29" s="1"/>
  <c r="AK231" i="29"/>
  <c r="D231" i="29" s="1"/>
  <c r="BR198" i="4" l="1"/>
  <c r="BQ197" i="4"/>
  <c r="BS197" i="4" s="1"/>
  <c r="A143" i="29"/>
  <c r="AK232" i="29"/>
  <c r="D232" i="29" s="1"/>
  <c r="AL232" i="29"/>
  <c r="C232" i="29" s="1"/>
  <c r="BR199" i="4" l="1"/>
  <c r="BQ198" i="4"/>
  <c r="BS198" i="4" s="1"/>
  <c r="A144" i="29"/>
  <c r="AL233" i="29"/>
  <c r="C233" i="29" s="1"/>
  <c r="AK233" i="29"/>
  <c r="D233" i="29" s="1"/>
  <c r="BR200" i="4" l="1"/>
  <c r="BQ199" i="4"/>
  <c r="BS199" i="4" s="1"/>
  <c r="A145" i="29"/>
  <c r="AK234" i="29"/>
  <c r="D234" i="29" s="1"/>
  <c r="AL234" i="29"/>
  <c r="C234" i="29" s="1"/>
  <c r="BR201" i="4" l="1"/>
  <c r="BQ200" i="4"/>
  <c r="BS200" i="4" s="1"/>
  <c r="A146" i="29"/>
  <c r="AL235" i="29"/>
  <c r="C235" i="29" s="1"/>
  <c r="AK235" i="29"/>
  <c r="D235" i="29" s="1"/>
  <c r="BR202" i="4" l="1"/>
  <c r="BQ201" i="4"/>
  <c r="BS201" i="4" s="1"/>
  <c r="A147" i="29"/>
  <c r="AK236" i="29"/>
  <c r="D236" i="29" s="1"/>
  <c r="AL236" i="29"/>
  <c r="C236" i="29" s="1"/>
  <c r="BR203" i="4" l="1"/>
  <c r="BQ202" i="4"/>
  <c r="BS202" i="4" s="1"/>
  <c r="A148" i="29"/>
  <c r="AL237" i="29"/>
  <c r="C237" i="29" s="1"/>
  <c r="AK237" i="29"/>
  <c r="D237" i="29" s="1"/>
  <c r="BR204" i="4" l="1"/>
  <c r="BQ203" i="4"/>
  <c r="BS203" i="4" s="1"/>
  <c r="A149" i="29"/>
  <c r="AK238" i="29"/>
  <c r="D238" i="29" s="1"/>
  <c r="AL238" i="29"/>
  <c r="C238" i="29" s="1"/>
  <c r="BR205" i="4" l="1"/>
  <c r="BQ204" i="4"/>
  <c r="BS204" i="4" s="1"/>
  <c r="A150" i="29"/>
  <c r="AL239" i="29"/>
  <c r="C239" i="29" s="1"/>
  <c r="AK239" i="29"/>
  <c r="D239" i="29" s="1"/>
  <c r="BR206" i="4" l="1"/>
  <c r="BQ205" i="4"/>
  <c r="BS205" i="4" s="1"/>
  <c r="A151" i="29"/>
  <c r="AK240" i="29"/>
  <c r="D240" i="29" s="1"/>
  <c r="AL240" i="29"/>
  <c r="C240" i="29" s="1"/>
  <c r="BR207" i="4" l="1"/>
  <c r="BQ206" i="4"/>
  <c r="BS206" i="4" s="1"/>
  <c r="A152" i="29"/>
  <c r="AL241" i="29"/>
  <c r="C241" i="29" s="1"/>
  <c r="AK241" i="29"/>
  <c r="D241" i="29" s="1"/>
  <c r="BR208" i="4" l="1"/>
  <c r="BQ207" i="4"/>
  <c r="BS207" i="4" s="1"/>
  <c r="A153" i="29"/>
  <c r="AK242" i="29"/>
  <c r="D242" i="29" s="1"/>
  <c r="AL242" i="29"/>
  <c r="C242" i="29" s="1"/>
  <c r="BR209" i="4" l="1"/>
  <c r="BQ208" i="4"/>
  <c r="BS208" i="4" s="1"/>
  <c r="A154" i="29"/>
  <c r="AL243" i="29"/>
  <c r="C243" i="29" s="1"/>
  <c r="AK243" i="29"/>
  <c r="D243" i="29" s="1"/>
  <c r="BR210" i="4" l="1"/>
  <c r="BQ209" i="4"/>
  <c r="BS209" i="4" s="1"/>
  <c r="A155" i="29"/>
  <c r="AK244" i="29"/>
  <c r="D244" i="29" s="1"/>
  <c r="AL244" i="29"/>
  <c r="C244" i="29" s="1"/>
  <c r="BR211" i="4" l="1"/>
  <c r="BQ210" i="4"/>
  <c r="BS210" i="4" s="1"/>
  <c r="A156" i="29"/>
  <c r="AL245" i="29"/>
  <c r="C245" i="29" s="1"/>
  <c r="AK245" i="29"/>
  <c r="D245" i="29" s="1"/>
  <c r="BR212" i="4" l="1"/>
  <c r="BQ211" i="4"/>
  <c r="BS211" i="4" s="1"/>
  <c r="A157" i="29"/>
  <c r="AK246" i="29"/>
  <c r="D246" i="29" s="1"/>
  <c r="AL246" i="29"/>
  <c r="C246" i="29" s="1"/>
  <c r="BR213" i="4" l="1"/>
  <c r="BQ212" i="4"/>
  <c r="BS212" i="4" s="1"/>
  <c r="A158" i="29"/>
  <c r="AL247" i="29"/>
  <c r="C247" i="29" s="1"/>
  <c r="AK247" i="29"/>
  <c r="D247" i="29" s="1"/>
  <c r="BR214" i="4" l="1"/>
  <c r="BQ213" i="4"/>
  <c r="BS213" i="4" s="1"/>
  <c r="A159" i="29"/>
  <c r="AK248" i="29"/>
  <c r="D248" i="29" s="1"/>
  <c r="AL248" i="29"/>
  <c r="C248" i="29" s="1"/>
  <c r="BR215" i="4" l="1"/>
  <c r="BQ214" i="4"/>
  <c r="BS214" i="4" s="1"/>
  <c r="A160" i="29"/>
  <c r="AL249" i="29"/>
  <c r="C249" i="29" s="1"/>
  <c r="AK249" i="29"/>
  <c r="D249" i="29" s="1"/>
  <c r="BR216" i="4" l="1"/>
  <c r="BQ215" i="4"/>
  <c r="BS215" i="4" s="1"/>
  <c r="A161" i="29"/>
  <c r="AK250" i="29"/>
  <c r="D250" i="29" s="1"/>
  <c r="AL250" i="29"/>
  <c r="C250" i="29" s="1"/>
  <c r="BR217" i="4" l="1"/>
  <c r="BQ216" i="4"/>
  <c r="BS216" i="4" s="1"/>
  <c r="A162" i="29"/>
  <c r="AL251" i="29"/>
  <c r="C251" i="29" s="1"/>
  <c r="AK251" i="29"/>
  <c r="D251" i="29" s="1"/>
  <c r="BR218" i="4" l="1"/>
  <c r="BQ217" i="4"/>
  <c r="BS217" i="4" s="1"/>
  <c r="A163" i="29"/>
  <c r="AK252" i="29"/>
  <c r="D252" i="29" s="1"/>
  <c r="AL252" i="29"/>
  <c r="C252" i="29" s="1"/>
  <c r="BR219" i="4" l="1"/>
  <c r="BQ218" i="4"/>
  <c r="BS218" i="4" s="1"/>
  <c r="A164" i="29"/>
  <c r="AL253" i="29"/>
  <c r="C253" i="29" s="1"/>
  <c r="AK253" i="29"/>
  <c r="D253" i="29" s="1"/>
  <c r="BR220" i="4" l="1"/>
  <c r="BQ219" i="4"/>
  <c r="BS219" i="4" s="1"/>
  <c r="A165" i="29"/>
  <c r="AK254" i="29"/>
  <c r="D254" i="29" s="1"/>
  <c r="AL254" i="29"/>
  <c r="C254" i="29" s="1"/>
  <c r="BR221" i="4" l="1"/>
  <c r="BQ220" i="4"/>
  <c r="BS220" i="4" s="1"/>
  <c r="A166" i="29"/>
  <c r="AL255" i="29"/>
  <c r="C255" i="29" s="1"/>
  <c r="AK255" i="29"/>
  <c r="D255" i="29" s="1"/>
  <c r="BR222" i="4" l="1"/>
  <c r="BQ221" i="4"/>
  <c r="BS221" i="4" s="1"/>
  <c r="A167" i="29"/>
  <c r="AK256" i="29"/>
  <c r="D256" i="29" s="1"/>
  <c r="AL256" i="29"/>
  <c r="C256" i="29" s="1"/>
  <c r="BR223" i="4" l="1"/>
  <c r="BQ222" i="4"/>
  <c r="BS222" i="4" s="1"/>
  <c r="A168" i="29"/>
  <c r="AL257" i="29"/>
  <c r="C257" i="29" s="1"/>
  <c r="AK257" i="29"/>
  <c r="D257" i="29" s="1"/>
  <c r="BR224" i="4" l="1"/>
  <c r="BQ223" i="4"/>
  <c r="BS223" i="4" s="1"/>
  <c r="A169" i="29"/>
  <c r="AK258" i="29"/>
  <c r="D258" i="29" s="1"/>
  <c r="AL258" i="29"/>
  <c r="C258" i="29" s="1"/>
  <c r="BR225" i="4" l="1"/>
  <c r="BQ224" i="4"/>
  <c r="BS224" i="4" s="1"/>
  <c r="A170" i="29"/>
  <c r="AL259" i="29"/>
  <c r="C259" i="29" s="1"/>
  <c r="AK259" i="29"/>
  <c r="D259" i="29" s="1"/>
  <c r="BR226" i="4" l="1"/>
  <c r="BQ225" i="4"/>
  <c r="BS225" i="4" s="1"/>
  <c r="A171" i="29"/>
  <c r="AK260" i="29"/>
  <c r="D260" i="29" s="1"/>
  <c r="AL260" i="29"/>
  <c r="C260" i="29" s="1"/>
  <c r="BR227" i="4" l="1"/>
  <c r="BQ226" i="4"/>
  <c r="A172" i="29"/>
  <c r="AL261" i="29"/>
  <c r="C261" i="29" s="1"/>
  <c r="AK261" i="29"/>
  <c r="D261" i="29" s="1"/>
  <c r="BS226" i="4" l="1"/>
  <c r="D226" i="4" s="1"/>
  <c r="E226" i="4"/>
  <c r="BR228" i="4"/>
  <c r="BQ227" i="4"/>
  <c r="A173" i="29"/>
  <c r="AK262" i="29"/>
  <c r="D262" i="29" s="1"/>
  <c r="AL262" i="29"/>
  <c r="C262" i="29" s="1"/>
  <c r="BR229" i="4" l="1"/>
  <c r="BQ228" i="4"/>
  <c r="BS227" i="4"/>
  <c r="D227" i="4" s="1"/>
  <c r="E227" i="4"/>
  <c r="A174" i="29"/>
  <c r="AL263" i="29"/>
  <c r="C263" i="29" s="1"/>
  <c r="AK263" i="29"/>
  <c r="D263" i="29" s="1"/>
  <c r="BS228" i="4" l="1"/>
  <c r="D228" i="4" s="1"/>
  <c r="E228" i="4"/>
  <c r="BR230" i="4"/>
  <c r="BQ229" i="4"/>
  <c r="BS229" i="4" s="1"/>
  <c r="A175" i="29"/>
  <c r="AK264" i="29"/>
  <c r="D264" i="29" s="1"/>
  <c r="AL264" i="29"/>
  <c r="C264" i="29" s="1"/>
  <c r="BR231" i="4" l="1"/>
  <c r="BQ230" i="4"/>
  <c r="BS230" i="4" s="1"/>
  <c r="A176" i="29"/>
  <c r="AL265" i="29"/>
  <c r="C265" i="29" s="1"/>
  <c r="AK265" i="29"/>
  <c r="D265" i="29" s="1"/>
  <c r="BR232" i="4" l="1"/>
  <c r="BQ231" i="4"/>
  <c r="BS231" i="4" s="1"/>
  <c r="A177" i="29"/>
  <c r="AK266" i="29"/>
  <c r="D266" i="29" s="1"/>
  <c r="AL266" i="29"/>
  <c r="C266" i="29" s="1"/>
  <c r="BR233" i="4" l="1"/>
  <c r="BQ232" i="4"/>
  <c r="BS232" i="4" s="1"/>
  <c r="A178" i="29"/>
  <c r="AL267" i="29"/>
  <c r="C267" i="29" s="1"/>
  <c r="AK267" i="29"/>
  <c r="D267" i="29" s="1"/>
  <c r="BR234" i="4" l="1"/>
  <c r="BQ233" i="4"/>
  <c r="BS233" i="4" s="1"/>
  <c r="A179" i="29"/>
  <c r="AK268" i="29"/>
  <c r="D268" i="29" s="1"/>
  <c r="AL268" i="29"/>
  <c r="C268" i="29" s="1"/>
  <c r="BR235" i="4" l="1"/>
  <c r="BQ234" i="4"/>
  <c r="BS234" i="4" s="1"/>
  <c r="A180" i="29"/>
  <c r="AL269" i="29"/>
  <c r="C269" i="29" s="1"/>
  <c r="AK269" i="29"/>
  <c r="D269" i="29" s="1"/>
  <c r="BR236" i="4" l="1"/>
  <c r="BQ235" i="4"/>
  <c r="BS235" i="4" s="1"/>
  <c r="A181" i="29"/>
  <c r="AK270" i="29"/>
  <c r="D270" i="29" s="1"/>
  <c r="AL270" i="29"/>
  <c r="C270" i="29" s="1"/>
  <c r="BR237" i="4" l="1"/>
  <c r="BQ236" i="4"/>
  <c r="BS236" i="4" s="1"/>
  <c r="A182" i="29"/>
  <c r="AL271" i="29"/>
  <c r="C271" i="29" s="1"/>
  <c r="AK271" i="29"/>
  <c r="D271" i="29" s="1"/>
  <c r="BR238" i="4" l="1"/>
  <c r="BQ237" i="4"/>
  <c r="BS237" i="4" s="1"/>
  <c r="A183" i="29"/>
  <c r="AK272" i="29"/>
  <c r="D272" i="29" s="1"/>
  <c r="AL272" i="29"/>
  <c r="C272" i="29" s="1"/>
  <c r="BR239" i="4" l="1"/>
  <c r="BQ238" i="4"/>
  <c r="BS238" i="4" s="1"/>
  <c r="A184" i="29"/>
  <c r="AL273" i="29"/>
  <c r="C273" i="29" s="1"/>
  <c r="AK273" i="29"/>
  <c r="D273" i="29" s="1"/>
  <c r="BR240" i="4" l="1"/>
  <c r="BQ239" i="4"/>
  <c r="BS239" i="4" s="1"/>
  <c r="A185" i="29"/>
  <c r="AK274" i="29"/>
  <c r="D274" i="29" s="1"/>
  <c r="AL274" i="29"/>
  <c r="C274" i="29" s="1"/>
  <c r="BR241" i="4" l="1"/>
  <c r="BQ240" i="4"/>
  <c r="BS240" i="4" s="1"/>
  <c r="A186" i="29"/>
  <c r="AL275" i="29"/>
  <c r="C275" i="29" s="1"/>
  <c r="AK275" i="29"/>
  <c r="D275" i="29" s="1"/>
  <c r="BR242" i="4" l="1"/>
  <c r="BQ241" i="4"/>
  <c r="BS241" i="4" s="1"/>
  <c r="A187" i="29"/>
  <c r="AK276" i="29"/>
  <c r="D276" i="29" s="1"/>
  <c r="AL276" i="29"/>
  <c r="C276" i="29" s="1"/>
  <c r="BR243" i="4" l="1"/>
  <c r="BQ242" i="4"/>
  <c r="BS242" i="4" s="1"/>
  <c r="A188" i="29"/>
  <c r="AL277" i="29"/>
  <c r="C277" i="29" s="1"/>
  <c r="AK277" i="29"/>
  <c r="D277" i="29" s="1"/>
  <c r="BR244" i="4" l="1"/>
  <c r="BQ243" i="4"/>
  <c r="BS243" i="4" s="1"/>
  <c r="A189" i="29"/>
  <c r="AK278" i="29"/>
  <c r="D278" i="29" s="1"/>
  <c r="AL278" i="29"/>
  <c r="C278" i="29" s="1"/>
  <c r="BR245" i="4" l="1"/>
  <c r="BQ244" i="4"/>
  <c r="BS244" i="4" s="1"/>
  <c r="A190" i="29"/>
  <c r="AL279" i="29"/>
  <c r="C279" i="29" s="1"/>
  <c r="AK279" i="29"/>
  <c r="D279" i="29" s="1"/>
  <c r="BR246" i="4" l="1"/>
  <c r="BQ245" i="4"/>
  <c r="BS245" i="4" s="1"/>
  <c r="A191" i="29"/>
  <c r="AK280" i="29"/>
  <c r="D280" i="29" s="1"/>
  <c r="AL280" i="29"/>
  <c r="C280" i="29" s="1"/>
  <c r="BR247" i="4" l="1"/>
  <c r="BQ246" i="4"/>
  <c r="BS246" i="4" s="1"/>
  <c r="A192" i="29"/>
  <c r="AL281" i="29"/>
  <c r="C281" i="29" s="1"/>
  <c r="AK281" i="29"/>
  <c r="D281" i="29" s="1"/>
  <c r="BR248" i="4" l="1"/>
  <c r="BQ247" i="4"/>
  <c r="BS247" i="4" s="1"/>
  <c r="A193" i="29"/>
  <c r="AK282" i="29"/>
  <c r="D282" i="29" s="1"/>
  <c r="AL282" i="29"/>
  <c r="C282" i="29" s="1"/>
  <c r="BR249" i="4" l="1"/>
  <c r="BQ248" i="4"/>
  <c r="BS248" i="4" s="1"/>
  <c r="A194" i="29"/>
  <c r="AL283" i="29"/>
  <c r="C283" i="29" s="1"/>
  <c r="AK283" i="29"/>
  <c r="D283" i="29" s="1"/>
  <c r="BR250" i="4" l="1"/>
  <c r="BQ249" i="4"/>
  <c r="BS249" i="4" s="1"/>
  <c r="A195" i="29"/>
  <c r="AK284" i="29"/>
  <c r="D284" i="29" s="1"/>
  <c r="AL284" i="29"/>
  <c r="C284" i="29" s="1"/>
  <c r="BR251" i="4" l="1"/>
  <c r="BQ250" i="4"/>
  <c r="BS250" i="4" s="1"/>
  <c r="A196" i="29"/>
  <c r="AL285" i="29"/>
  <c r="C285" i="29" s="1"/>
  <c r="AK285" i="29"/>
  <c r="D285" i="29" s="1"/>
  <c r="BR252" i="4" l="1"/>
  <c r="BQ251" i="4"/>
  <c r="BS251" i="4" s="1"/>
  <c r="A197" i="29"/>
  <c r="AK286" i="29"/>
  <c r="D286" i="29" s="1"/>
  <c r="AL286" i="29"/>
  <c r="C286" i="29" s="1"/>
  <c r="BR253" i="4" l="1"/>
  <c r="BQ252" i="4"/>
  <c r="BS252" i="4" s="1"/>
  <c r="A198" i="29"/>
  <c r="AL287" i="29"/>
  <c r="C287" i="29" s="1"/>
  <c r="AK287" i="29"/>
  <c r="D287" i="29" s="1"/>
  <c r="BR254" i="4" l="1"/>
  <c r="BQ253" i="4"/>
  <c r="BS253" i="4" s="1"/>
  <c r="A199" i="29"/>
  <c r="AK288" i="29"/>
  <c r="D288" i="29" s="1"/>
  <c r="AL288" i="29"/>
  <c r="C288" i="29" s="1"/>
  <c r="BR255" i="4" l="1"/>
  <c r="BQ254" i="4"/>
  <c r="BS254" i="4" s="1"/>
  <c r="A200" i="29"/>
  <c r="AL289" i="29"/>
  <c r="C289" i="29" s="1"/>
  <c r="AK289" i="29"/>
  <c r="D289" i="29" s="1"/>
  <c r="BR256" i="4" l="1"/>
  <c r="BQ255" i="4"/>
  <c r="BS255" i="4" s="1"/>
  <c r="A201" i="29"/>
  <c r="AK290" i="29"/>
  <c r="D290" i="29" s="1"/>
  <c r="AL290" i="29"/>
  <c r="C290" i="29" s="1"/>
  <c r="BR257" i="4" l="1"/>
  <c r="BQ256" i="4"/>
  <c r="BS256" i="4" s="1"/>
  <c r="A202" i="29"/>
  <c r="AL291" i="29"/>
  <c r="C291" i="29" s="1"/>
  <c r="AK291" i="29"/>
  <c r="D291" i="29" s="1"/>
  <c r="BR258" i="4" l="1"/>
  <c r="BQ257" i="4"/>
  <c r="BS257" i="4" s="1"/>
  <c r="A203" i="29"/>
  <c r="AK292" i="29"/>
  <c r="D292" i="29" s="1"/>
  <c r="AL292" i="29"/>
  <c r="C292" i="29" s="1"/>
  <c r="BR259" i="4" l="1"/>
  <c r="BQ258" i="4"/>
  <c r="BS258" i="4" s="1"/>
  <c r="A204" i="29"/>
  <c r="AL293" i="29"/>
  <c r="C293" i="29" s="1"/>
  <c r="AK293" i="29"/>
  <c r="D293" i="29" s="1"/>
  <c r="BR260" i="4" l="1"/>
  <c r="BQ259" i="4"/>
  <c r="BS259" i="4" s="1"/>
  <c r="A205" i="29"/>
  <c r="AK294" i="29"/>
  <c r="D294" i="29" s="1"/>
  <c r="AL294" i="29"/>
  <c r="C294" i="29" s="1"/>
  <c r="BR261" i="4" l="1"/>
  <c r="BQ260" i="4"/>
  <c r="BS260" i="4" s="1"/>
  <c r="A206" i="29"/>
  <c r="AL295" i="29"/>
  <c r="C295" i="29" s="1"/>
  <c r="AK295" i="29"/>
  <c r="D295" i="29" s="1"/>
  <c r="BR262" i="4" l="1"/>
  <c r="BQ261" i="4"/>
  <c r="BS261" i="4" s="1"/>
  <c r="A207" i="29"/>
  <c r="AK296" i="29"/>
  <c r="D296" i="29" s="1"/>
  <c r="AL296" i="29"/>
  <c r="C296" i="29" s="1"/>
  <c r="BR263" i="4" l="1"/>
  <c r="BQ262" i="4"/>
  <c r="BS262" i="4" s="1"/>
  <c r="A208" i="29"/>
  <c r="AL297" i="29"/>
  <c r="C297" i="29" s="1"/>
  <c r="AK297" i="29"/>
  <c r="D297" i="29" s="1"/>
  <c r="BR264" i="4" l="1"/>
  <c r="BQ263" i="4"/>
  <c r="BS263" i="4" s="1"/>
  <c r="A209" i="29"/>
  <c r="AK298" i="29"/>
  <c r="D298" i="29" s="1"/>
  <c r="AL298" i="29"/>
  <c r="C298" i="29" s="1"/>
  <c r="BR265" i="4" l="1"/>
  <c r="BQ264" i="4"/>
  <c r="BS264" i="4" s="1"/>
  <c r="A210" i="29"/>
  <c r="AL299" i="29"/>
  <c r="C299" i="29" s="1"/>
  <c r="AK299" i="29"/>
  <c r="D299" i="29" s="1"/>
  <c r="BR266" i="4" l="1"/>
  <c r="BQ265" i="4"/>
  <c r="BS265" i="4" s="1"/>
  <c r="A211" i="29"/>
  <c r="AK300" i="29"/>
  <c r="D300" i="29" s="1"/>
  <c r="AL300" i="29"/>
  <c r="C300" i="29" s="1"/>
  <c r="BR267" i="4" l="1"/>
  <c r="BQ266" i="4"/>
  <c r="A212" i="29"/>
  <c r="AL301" i="29"/>
  <c r="C301" i="29" s="1"/>
  <c r="AK301" i="29"/>
  <c r="D301" i="29" s="1"/>
  <c r="E266" i="4" l="1"/>
  <c r="BS266" i="4"/>
  <c r="D266" i="4" s="1"/>
  <c r="BR268" i="4"/>
  <c r="BQ267" i="4"/>
  <c r="A213" i="29"/>
  <c r="AK302" i="29"/>
  <c r="D302" i="29" s="1"/>
  <c r="AL302" i="29"/>
  <c r="C302" i="29" s="1"/>
  <c r="BS267" i="4" l="1"/>
  <c r="D267" i="4" s="1"/>
  <c r="E267" i="4"/>
  <c r="BR269" i="4"/>
  <c r="BQ268" i="4"/>
  <c r="A214" i="29"/>
  <c r="AL303" i="29"/>
  <c r="C303" i="29" s="1"/>
  <c r="AK303" i="29"/>
  <c r="D303" i="29" s="1"/>
  <c r="BR270" i="4" l="1"/>
  <c r="BQ269" i="4"/>
  <c r="BS269" i="4" s="1"/>
  <c r="BS268" i="4"/>
  <c r="D268" i="4" s="1"/>
  <c r="E268" i="4"/>
  <c r="A215" i="29"/>
  <c r="AK304" i="29"/>
  <c r="D304" i="29" s="1"/>
  <c r="AL304" i="29"/>
  <c r="C304" i="29" s="1"/>
  <c r="BR271" i="4" l="1"/>
  <c r="BQ270" i="4"/>
  <c r="BS270" i="4" s="1"/>
  <c r="A216" i="29"/>
  <c r="AL305" i="29"/>
  <c r="C305" i="29" s="1"/>
  <c r="AK305" i="29"/>
  <c r="D305" i="29" s="1"/>
  <c r="BR272" i="4" l="1"/>
  <c r="BQ271" i="4"/>
  <c r="BS271" i="4" s="1"/>
  <c r="A217" i="29"/>
  <c r="AK306" i="29"/>
  <c r="D306" i="29" s="1"/>
  <c r="AL306" i="29"/>
  <c r="C306" i="29" s="1"/>
  <c r="BR273" i="4" l="1"/>
  <c r="BQ272" i="4"/>
  <c r="BS272" i="4" s="1"/>
  <c r="A218" i="29"/>
  <c r="AL307" i="29"/>
  <c r="C307" i="29" s="1"/>
  <c r="AK307" i="29"/>
  <c r="D307" i="29" s="1"/>
  <c r="BR274" i="4" l="1"/>
  <c r="BQ273" i="4"/>
  <c r="BS273" i="4" s="1"/>
  <c r="A219" i="29"/>
  <c r="AK308" i="29"/>
  <c r="D308" i="29" s="1"/>
  <c r="AL308" i="29"/>
  <c r="C308" i="29" s="1"/>
  <c r="BR275" i="4" l="1"/>
  <c r="BQ274" i="4"/>
  <c r="BS274" i="4" s="1"/>
  <c r="A220" i="29"/>
  <c r="AL309" i="29"/>
  <c r="C309" i="29" s="1"/>
  <c r="AK309" i="29"/>
  <c r="D309" i="29" s="1"/>
  <c r="BR276" i="4" l="1"/>
  <c r="BQ275" i="4"/>
  <c r="BS275" i="4" s="1"/>
  <c r="A221" i="29"/>
  <c r="AK310" i="29"/>
  <c r="D310" i="29" s="1"/>
  <c r="AL310" i="29"/>
  <c r="C310" i="29" s="1"/>
  <c r="BR277" i="4" l="1"/>
  <c r="BQ276" i="4"/>
  <c r="BS276" i="4" s="1"/>
  <c r="A222" i="29"/>
  <c r="AL311" i="29"/>
  <c r="C311" i="29" s="1"/>
  <c r="AK311" i="29"/>
  <c r="D311" i="29" s="1"/>
  <c r="BR278" i="4" l="1"/>
  <c r="BQ277" i="4"/>
  <c r="BS277" i="4" s="1"/>
  <c r="A223" i="29"/>
  <c r="AK312" i="29"/>
  <c r="D312" i="29" s="1"/>
  <c r="AL312" i="29"/>
  <c r="C312" i="29" s="1"/>
  <c r="BR279" i="4" l="1"/>
  <c r="BQ278" i="4"/>
  <c r="BS278" i="4" s="1"/>
  <c r="A224" i="29"/>
  <c r="AL313" i="29"/>
  <c r="C313" i="29" s="1"/>
  <c r="AK313" i="29"/>
  <c r="D313" i="29" s="1"/>
  <c r="BR280" i="4" l="1"/>
  <c r="BQ279" i="4"/>
  <c r="BS279" i="4" s="1"/>
  <c r="A225" i="29"/>
  <c r="BR281" i="4" l="1"/>
  <c r="BQ280" i="4"/>
  <c r="BS280" i="4" s="1"/>
  <c r="A226" i="29"/>
  <c r="AL314" i="29"/>
  <c r="C314" i="29" s="1"/>
  <c r="AK314" i="29"/>
  <c r="D314" i="29" s="1"/>
  <c r="BR282" i="4" l="1"/>
  <c r="BQ281" i="4"/>
  <c r="BS281" i="4" s="1"/>
  <c r="A227" i="29"/>
  <c r="AK315" i="29"/>
  <c r="D315" i="29" s="1"/>
  <c r="AL315" i="29"/>
  <c r="C315" i="29" s="1"/>
  <c r="BR283" i="4" l="1"/>
  <c r="BQ282" i="4"/>
  <c r="BS282" i="4" s="1"/>
  <c r="A228" i="29"/>
  <c r="AL316" i="29"/>
  <c r="C316" i="29" s="1"/>
  <c r="AK316" i="29"/>
  <c r="D316" i="29" s="1"/>
  <c r="BR284" i="4" l="1"/>
  <c r="BQ283" i="4"/>
  <c r="BS283" i="4" s="1"/>
  <c r="A229" i="29"/>
  <c r="AK317" i="29"/>
  <c r="D317" i="29" s="1"/>
  <c r="AL317" i="29"/>
  <c r="C317" i="29" s="1"/>
  <c r="BR285" i="4" l="1"/>
  <c r="BQ284" i="4"/>
  <c r="BS284" i="4" s="1"/>
  <c r="A230" i="29"/>
  <c r="AL318" i="29"/>
  <c r="C318" i="29" s="1"/>
  <c r="AK318" i="29"/>
  <c r="D318" i="29" s="1"/>
  <c r="BR286" i="4" l="1"/>
  <c r="BQ285" i="4"/>
  <c r="BS285" i="4" s="1"/>
  <c r="A231" i="29"/>
  <c r="AK319" i="29"/>
  <c r="D319" i="29" s="1"/>
  <c r="AL319" i="29"/>
  <c r="C319" i="29" s="1"/>
  <c r="BR287" i="4" l="1"/>
  <c r="BQ286" i="4"/>
  <c r="BS286" i="4" s="1"/>
  <c r="A232" i="29"/>
  <c r="AL320" i="29"/>
  <c r="C320" i="29" s="1"/>
  <c r="AK320" i="29"/>
  <c r="D320" i="29" s="1"/>
  <c r="BR288" i="4" l="1"/>
  <c r="BQ287" i="4"/>
  <c r="BS287" i="4" s="1"/>
  <c r="A233" i="29"/>
  <c r="AK321" i="29"/>
  <c r="D321" i="29" s="1"/>
  <c r="AL321" i="29"/>
  <c r="C321" i="29" s="1"/>
  <c r="BR289" i="4" l="1"/>
  <c r="BQ288" i="4"/>
  <c r="BS288" i="4" s="1"/>
  <c r="A234" i="29"/>
  <c r="AL322" i="29"/>
  <c r="C322" i="29" s="1"/>
  <c r="AK322" i="29"/>
  <c r="D322" i="29" s="1"/>
  <c r="BR290" i="4" l="1"/>
  <c r="BQ289" i="4"/>
  <c r="BS289" i="4" s="1"/>
  <c r="A235" i="29"/>
  <c r="AK323" i="29"/>
  <c r="D323" i="29" s="1"/>
  <c r="AL323" i="29"/>
  <c r="C323" i="29" s="1"/>
  <c r="BR291" i="4" l="1"/>
  <c r="BQ290" i="4"/>
  <c r="BS290" i="4" s="1"/>
  <c r="A236" i="29"/>
  <c r="AL324" i="29"/>
  <c r="C324" i="29" s="1"/>
  <c r="AK324" i="29"/>
  <c r="D324" i="29" s="1"/>
  <c r="BR292" i="4" l="1"/>
  <c r="BQ291" i="4"/>
  <c r="BS291" i="4" s="1"/>
  <c r="A237" i="29"/>
  <c r="AK325" i="29"/>
  <c r="D325" i="29" s="1"/>
  <c r="AL325" i="29"/>
  <c r="C325" i="29" s="1"/>
  <c r="BR293" i="4" l="1"/>
  <c r="BQ292" i="4"/>
  <c r="BS292" i="4" s="1"/>
  <c r="A238" i="29"/>
  <c r="AL326" i="29"/>
  <c r="C326" i="29" s="1"/>
  <c r="AK326" i="29"/>
  <c r="D326" i="29" s="1"/>
  <c r="BR294" i="4" l="1"/>
  <c r="BQ293" i="4"/>
  <c r="BS293" i="4" s="1"/>
  <c r="A239" i="29"/>
  <c r="AK327" i="29"/>
  <c r="D327" i="29" s="1"/>
  <c r="AL327" i="29"/>
  <c r="C327" i="29" s="1"/>
  <c r="BR295" i="4" l="1"/>
  <c r="BQ294" i="4"/>
  <c r="BS294" i="4" s="1"/>
  <c r="A240" i="29"/>
  <c r="AL328" i="29"/>
  <c r="C328" i="29" s="1"/>
  <c r="AK328" i="29"/>
  <c r="D328" i="29" s="1"/>
  <c r="BR296" i="4" l="1"/>
  <c r="BQ295" i="4"/>
  <c r="BS295" i="4" s="1"/>
  <c r="A241" i="29"/>
  <c r="AK329" i="29"/>
  <c r="D329" i="29" s="1"/>
  <c r="AL329" i="29"/>
  <c r="C329" i="29" s="1"/>
  <c r="BR297" i="4" l="1"/>
  <c r="BQ296" i="4"/>
  <c r="BS296" i="4" s="1"/>
  <c r="A242" i="29"/>
  <c r="AL330" i="29"/>
  <c r="C330" i="29" s="1"/>
  <c r="AK330" i="29"/>
  <c r="D330" i="29" s="1"/>
  <c r="BR298" i="4" l="1"/>
  <c r="BQ297" i="4"/>
  <c r="BS297" i="4" s="1"/>
  <c r="A243" i="29"/>
  <c r="AK331" i="29"/>
  <c r="D331" i="29" s="1"/>
  <c r="AL331" i="29"/>
  <c r="C331" i="29" s="1"/>
  <c r="BR299" i="4" l="1"/>
  <c r="BQ298" i="4"/>
  <c r="BS298" i="4" s="1"/>
  <c r="A244" i="29"/>
  <c r="BR300" i="4" l="1"/>
  <c r="BQ299" i="4"/>
  <c r="BS299" i="4" s="1"/>
  <c r="A245" i="29"/>
  <c r="BR301" i="4" l="1"/>
  <c r="BQ300" i="4"/>
  <c r="BS300" i="4" s="1"/>
  <c r="A246" i="29"/>
  <c r="AL332" i="29"/>
  <c r="C332" i="29" s="1"/>
  <c r="AK332" i="29"/>
  <c r="D332" i="29" s="1"/>
  <c r="BR302" i="4" l="1"/>
  <c r="BQ301" i="4"/>
  <c r="BS301" i="4" s="1"/>
  <c r="A247" i="29"/>
  <c r="AK333" i="29"/>
  <c r="D333" i="29" s="1"/>
  <c r="AL333" i="29"/>
  <c r="C333" i="29" s="1"/>
  <c r="BR303" i="4" l="1"/>
  <c r="BQ302" i="4"/>
  <c r="BS302" i="4" s="1"/>
  <c r="A248" i="29"/>
  <c r="AL334" i="29"/>
  <c r="C334" i="29" s="1"/>
  <c r="AK334" i="29"/>
  <c r="D334" i="29" s="1"/>
  <c r="BR304" i="4" l="1"/>
  <c r="BQ303" i="4"/>
  <c r="BS303" i="4" s="1"/>
  <c r="A249" i="29"/>
  <c r="BR305" i="4" l="1"/>
  <c r="BQ304" i="4"/>
  <c r="BS304" i="4" s="1"/>
  <c r="A250" i="29"/>
  <c r="AL335" i="29"/>
  <c r="C335" i="29" s="1"/>
  <c r="AK335" i="29"/>
  <c r="D335" i="29" s="1"/>
  <c r="BR306" i="4" l="1"/>
  <c r="BQ305" i="4"/>
  <c r="A251" i="29"/>
  <c r="AK336" i="29"/>
  <c r="D336" i="29" s="1"/>
  <c r="AL336" i="29"/>
  <c r="C336" i="29" s="1"/>
  <c r="BS305" i="4" l="1"/>
  <c r="D305" i="4" s="1"/>
  <c r="E305" i="4"/>
  <c r="BR307" i="4"/>
  <c r="BQ306" i="4"/>
  <c r="A252" i="29"/>
  <c r="AL337" i="29"/>
  <c r="C337" i="29" s="1"/>
  <c r="AK337" i="29"/>
  <c r="D337" i="29" s="1"/>
  <c r="BS306" i="4" l="1"/>
  <c r="D306" i="4" s="1"/>
  <c r="E306" i="4"/>
  <c r="BR308" i="4"/>
  <c r="BQ307" i="4"/>
  <c r="A253" i="29"/>
  <c r="AK338" i="29"/>
  <c r="D338" i="29" s="1"/>
  <c r="AL338" i="29"/>
  <c r="C338" i="29" s="1"/>
  <c r="BR309" i="4" l="1"/>
  <c r="BQ308" i="4"/>
  <c r="BS308" i="4" s="1"/>
  <c r="BS307" i="4"/>
  <c r="D307" i="4" s="1"/>
  <c r="E307" i="4"/>
  <c r="A254" i="29"/>
  <c r="AL339" i="29"/>
  <c r="C339" i="29" s="1"/>
  <c r="AK339" i="29"/>
  <c r="D339" i="29" s="1"/>
  <c r="BR310" i="4" l="1"/>
  <c r="BQ309" i="4"/>
  <c r="BS309" i="4" s="1"/>
  <c r="A255" i="29"/>
  <c r="AK340" i="29"/>
  <c r="D340" i="29" s="1"/>
  <c r="AL340" i="29"/>
  <c r="C340" i="29" s="1"/>
  <c r="BR311" i="4" l="1"/>
  <c r="BQ310" i="4"/>
  <c r="BS310" i="4" s="1"/>
  <c r="A256" i="29"/>
  <c r="AL341" i="29"/>
  <c r="C341" i="29" s="1"/>
  <c r="AK341" i="29"/>
  <c r="D341" i="29" s="1"/>
  <c r="BR312" i="4" l="1"/>
  <c r="BQ311" i="4"/>
  <c r="BS311" i="4" s="1"/>
  <c r="A257" i="29"/>
  <c r="AK342" i="29"/>
  <c r="D342" i="29" s="1"/>
  <c r="AL342" i="29"/>
  <c r="C342" i="29" s="1"/>
  <c r="BR313" i="4" l="1"/>
  <c r="BQ312" i="4"/>
  <c r="BS312" i="4" s="1"/>
  <c r="A258" i="29"/>
  <c r="AL343" i="29"/>
  <c r="C343" i="29" s="1"/>
  <c r="AK343" i="29"/>
  <c r="D343" i="29" s="1"/>
  <c r="BR314" i="4" l="1"/>
  <c r="BQ313" i="4"/>
  <c r="BS313" i="4" s="1"/>
  <c r="A259" i="29"/>
  <c r="AK344" i="29"/>
  <c r="D344" i="29" s="1"/>
  <c r="AL344" i="29"/>
  <c r="C344" i="29" s="1"/>
  <c r="BR315" i="4" l="1"/>
  <c r="BQ314" i="4"/>
  <c r="BS314" i="4" s="1"/>
  <c r="A260" i="29"/>
  <c r="AL345" i="29"/>
  <c r="C345" i="29" s="1"/>
  <c r="AK345" i="29"/>
  <c r="D345" i="29" s="1"/>
  <c r="BR316" i="4" l="1"/>
  <c r="BQ315" i="4"/>
  <c r="BS315" i="4" s="1"/>
  <c r="A261" i="29"/>
  <c r="AK346" i="29"/>
  <c r="D346" i="29" s="1"/>
  <c r="AL346" i="29"/>
  <c r="C346" i="29" s="1"/>
  <c r="BR317" i="4" l="1"/>
  <c r="BQ316" i="4"/>
  <c r="BS316" i="4" s="1"/>
  <c r="A262" i="29"/>
  <c r="AL347" i="29"/>
  <c r="C347" i="29" s="1"/>
  <c r="AK347" i="29"/>
  <c r="D347" i="29" s="1"/>
  <c r="BR318" i="4" l="1"/>
  <c r="BQ317" i="4"/>
  <c r="BS317" i="4" s="1"/>
  <c r="A263" i="29"/>
  <c r="AK348" i="29"/>
  <c r="D348" i="29" s="1"/>
  <c r="AL348" i="29"/>
  <c r="C348" i="29" s="1"/>
  <c r="BR319" i="4" l="1"/>
  <c r="BQ318" i="4"/>
  <c r="BS318" i="4" s="1"/>
  <c r="A264" i="29"/>
  <c r="AL349" i="29"/>
  <c r="C349" i="29" s="1"/>
  <c r="AK349" i="29"/>
  <c r="D349" i="29" s="1"/>
  <c r="BR320" i="4" l="1"/>
  <c r="BQ319" i="4"/>
  <c r="BS319" i="4" s="1"/>
  <c r="A265" i="29"/>
  <c r="AK350" i="29"/>
  <c r="D350" i="29" s="1"/>
  <c r="AL350" i="29"/>
  <c r="C350" i="29" s="1"/>
  <c r="BR321" i="4" l="1"/>
  <c r="BQ320" i="4"/>
  <c r="BS320" i="4" s="1"/>
  <c r="A266" i="29"/>
  <c r="AL351" i="29"/>
  <c r="C351" i="29" s="1"/>
  <c r="AK351" i="29"/>
  <c r="D351" i="29" s="1"/>
  <c r="BR322" i="4" l="1"/>
  <c r="BQ321" i="4"/>
  <c r="BS321" i="4" s="1"/>
  <c r="A267" i="29"/>
  <c r="AK352" i="29"/>
  <c r="D352" i="29" s="1"/>
  <c r="AL352" i="29"/>
  <c r="C352" i="29" s="1"/>
  <c r="BR323" i="4" l="1"/>
  <c r="BQ322" i="4"/>
  <c r="BS322" i="4" s="1"/>
  <c r="A268" i="29"/>
  <c r="AL353" i="29"/>
  <c r="C353" i="29" s="1"/>
  <c r="AK353" i="29"/>
  <c r="D353" i="29" s="1"/>
  <c r="BR324" i="4" l="1"/>
  <c r="BQ323" i="4"/>
  <c r="BS323" i="4" s="1"/>
  <c r="A269" i="29"/>
  <c r="AK354" i="29"/>
  <c r="D354" i="29" s="1"/>
  <c r="AL354" i="29"/>
  <c r="C354" i="29" s="1"/>
  <c r="BR325" i="4" l="1"/>
  <c r="BQ324" i="4"/>
  <c r="BS324" i="4" s="1"/>
  <c r="A270" i="29"/>
  <c r="AL355" i="29"/>
  <c r="C355" i="29" s="1"/>
  <c r="AK355" i="29"/>
  <c r="D355" i="29" s="1"/>
  <c r="BR326" i="4" l="1"/>
  <c r="BQ325" i="4"/>
  <c r="BS325" i="4" s="1"/>
  <c r="A271" i="29"/>
  <c r="AK356" i="29"/>
  <c r="D356" i="29" s="1"/>
  <c r="AL356" i="29"/>
  <c r="C356" i="29" s="1"/>
  <c r="BR327" i="4" l="1"/>
  <c r="BQ326" i="4"/>
  <c r="BS326" i="4" s="1"/>
  <c r="A272" i="29"/>
  <c r="AL357" i="29"/>
  <c r="C357" i="29" s="1"/>
  <c r="AK357" i="29"/>
  <c r="D357" i="29" s="1"/>
  <c r="BR328" i="4" l="1"/>
  <c r="BQ327" i="4"/>
  <c r="BS327" i="4" s="1"/>
  <c r="A273" i="29"/>
  <c r="AK358" i="29"/>
  <c r="D358" i="29" s="1"/>
  <c r="AL358" i="29"/>
  <c r="C358" i="29" s="1"/>
  <c r="BR329" i="4" l="1"/>
  <c r="BQ328" i="4"/>
  <c r="BS328" i="4" s="1"/>
  <c r="A274" i="29"/>
  <c r="AL359" i="29"/>
  <c r="C359" i="29" s="1"/>
  <c r="AK359" i="29"/>
  <c r="D359" i="29" s="1"/>
  <c r="BR330" i="4" l="1"/>
  <c r="BQ329" i="4"/>
  <c r="BS329" i="4" s="1"/>
  <c r="A275" i="29"/>
  <c r="AK360" i="29"/>
  <c r="D360" i="29" s="1"/>
  <c r="AL360" i="29"/>
  <c r="C360" i="29" s="1"/>
  <c r="BR331" i="4" l="1"/>
  <c r="BQ330" i="4"/>
  <c r="BS330" i="4" s="1"/>
  <c r="A276" i="29"/>
  <c r="AL361" i="29"/>
  <c r="C361" i="29" s="1"/>
  <c r="AK361" i="29"/>
  <c r="D361" i="29" s="1"/>
  <c r="BR332" i="4" l="1"/>
  <c r="BQ331" i="4"/>
  <c r="BS331" i="4" s="1"/>
  <c r="A277" i="29"/>
  <c r="AK362" i="29"/>
  <c r="D362" i="29" s="1"/>
  <c r="AL362" i="29"/>
  <c r="C362" i="29" s="1"/>
  <c r="BR333" i="4" l="1"/>
  <c r="BQ332" i="4"/>
  <c r="BS332" i="4" s="1"/>
  <c r="A278" i="29"/>
  <c r="AL363" i="29"/>
  <c r="C363" i="29" s="1"/>
  <c r="AK363" i="29"/>
  <c r="D363" i="29" s="1"/>
  <c r="BR334" i="4" l="1"/>
  <c r="BQ333" i="4"/>
  <c r="BS333" i="4" s="1"/>
  <c r="A279" i="29"/>
  <c r="BR335" i="4" l="1"/>
  <c r="BQ334" i="4"/>
  <c r="BS334" i="4" s="1"/>
  <c r="A280" i="29"/>
  <c r="BR336" i="4" l="1"/>
  <c r="BQ335" i="4"/>
  <c r="BS335" i="4" s="1"/>
  <c r="A281" i="29"/>
  <c r="BR337" i="4" l="1"/>
  <c r="BQ336" i="4"/>
  <c r="BS336" i="4" s="1"/>
  <c r="A282" i="29"/>
  <c r="BR338" i="4" l="1"/>
  <c r="BQ337" i="4"/>
  <c r="BS337" i="4" s="1"/>
  <c r="A283" i="29"/>
  <c r="AK364" i="29"/>
  <c r="D364" i="29" s="1"/>
  <c r="AL364" i="29"/>
  <c r="C364" i="29" s="1"/>
  <c r="BR339" i="4" l="1"/>
  <c r="BQ338" i="4"/>
  <c r="BS338" i="4" s="1"/>
  <c r="A284" i="29"/>
  <c r="AL365" i="29"/>
  <c r="C365" i="29" s="1"/>
  <c r="AK365" i="29"/>
  <c r="D365" i="29" s="1"/>
  <c r="BR340" i="4" l="1"/>
  <c r="BQ339" i="4"/>
  <c r="BS339" i="4" s="1"/>
  <c r="A285" i="29"/>
  <c r="AK366" i="29"/>
  <c r="D366" i="29" s="1"/>
  <c r="AL366" i="29"/>
  <c r="C366" i="29" s="1"/>
  <c r="BR341" i="4" l="1"/>
  <c r="BQ340" i="4"/>
  <c r="BS340" i="4" s="1"/>
  <c r="A286" i="29"/>
  <c r="AL367" i="29"/>
  <c r="C367" i="29" s="1"/>
  <c r="AK367" i="29"/>
  <c r="D367" i="29" s="1"/>
  <c r="BR342" i="4" l="1"/>
  <c r="BQ341" i="4"/>
  <c r="BS341" i="4" s="1"/>
  <c r="A287" i="29"/>
  <c r="AK368" i="29"/>
  <c r="D368" i="29" s="1"/>
  <c r="AL368" i="29"/>
  <c r="C368" i="29" s="1"/>
  <c r="BR343" i="4" l="1"/>
  <c r="BQ342" i="4"/>
  <c r="BS342" i="4" s="1"/>
  <c r="A288" i="29"/>
  <c r="AL369" i="29"/>
  <c r="C369" i="29" s="1"/>
  <c r="AK369" i="29"/>
  <c r="D369" i="29" s="1"/>
  <c r="BR344" i="4" l="1"/>
  <c r="BQ343" i="4"/>
  <c r="BS343" i="4" s="1"/>
  <c r="A289" i="29"/>
  <c r="AK370" i="29"/>
  <c r="D370" i="29" s="1"/>
  <c r="AL370" i="29"/>
  <c r="C370" i="29" s="1"/>
  <c r="BR345" i="4" l="1"/>
  <c r="BQ344" i="4"/>
  <c r="A290" i="29"/>
  <c r="AL371" i="29"/>
  <c r="C371" i="29" s="1"/>
  <c r="AK371" i="29"/>
  <c r="D371" i="29" s="1"/>
  <c r="BS344" i="4" l="1"/>
  <c r="D344" i="4" s="1"/>
  <c r="E344" i="4"/>
  <c r="BR346" i="4"/>
  <c r="BQ345" i="4"/>
  <c r="A291" i="29"/>
  <c r="AK372" i="29"/>
  <c r="D372" i="29" s="1"/>
  <c r="AL372" i="29"/>
  <c r="C372" i="29" s="1"/>
  <c r="BR347" i="4" l="1"/>
  <c r="BQ346" i="4"/>
  <c r="BS345" i="4"/>
  <c r="D345" i="4" s="1"/>
  <c r="E345" i="4"/>
  <c r="A292" i="29"/>
  <c r="AL373" i="29"/>
  <c r="C373" i="29" s="1"/>
  <c r="AK373" i="29"/>
  <c r="D373" i="29" s="1"/>
  <c r="E346" i="4" l="1"/>
  <c r="BS346" i="4"/>
  <c r="D346" i="4" s="1"/>
  <c r="BR348" i="4"/>
  <c r="BQ347" i="4"/>
  <c r="BS347" i="4" s="1"/>
  <c r="A293" i="29"/>
  <c r="AK374" i="29"/>
  <c r="D374" i="29" s="1"/>
  <c r="AL374" i="29"/>
  <c r="C374" i="29" s="1"/>
  <c r="BR349" i="4" l="1"/>
  <c r="BQ348" i="4"/>
  <c r="BS348" i="4" s="1"/>
  <c r="A294" i="29"/>
  <c r="AL375" i="29"/>
  <c r="C375" i="29" s="1"/>
  <c r="AK375" i="29"/>
  <c r="D375" i="29" s="1"/>
  <c r="BR350" i="4" l="1"/>
  <c r="BQ349" i="4"/>
  <c r="BS349" i="4" s="1"/>
  <c r="A295" i="29"/>
  <c r="AK376" i="29"/>
  <c r="D376" i="29" s="1"/>
  <c r="AL376" i="29"/>
  <c r="C376" i="29" s="1"/>
  <c r="BR351" i="4" l="1"/>
  <c r="BQ350" i="4"/>
  <c r="BS350" i="4" s="1"/>
  <c r="A296" i="29"/>
  <c r="AL377" i="29"/>
  <c r="C377" i="29" s="1"/>
  <c r="AK377" i="29"/>
  <c r="D377" i="29" s="1"/>
  <c r="BR352" i="4" l="1"/>
  <c r="BQ351" i="4"/>
  <c r="BS351" i="4" s="1"/>
  <c r="A297" i="29"/>
  <c r="AK378" i="29"/>
  <c r="D378" i="29" s="1"/>
  <c r="AL378" i="29"/>
  <c r="C378" i="29" s="1"/>
  <c r="BR353" i="4" l="1"/>
  <c r="BQ352" i="4"/>
  <c r="BS352" i="4" s="1"/>
  <c r="A298" i="29"/>
  <c r="AL379" i="29"/>
  <c r="C379" i="29" s="1"/>
  <c r="AK379" i="29"/>
  <c r="D379" i="29" s="1"/>
  <c r="BR354" i="4" l="1"/>
  <c r="BQ353" i="4"/>
  <c r="BS353" i="4" s="1"/>
  <c r="A299" i="29"/>
  <c r="AK380" i="29"/>
  <c r="D380" i="29" s="1"/>
  <c r="AL380" i="29"/>
  <c r="C380" i="29" s="1"/>
  <c r="BR355" i="4" l="1"/>
  <c r="BQ354" i="4"/>
  <c r="BS354" i="4" s="1"/>
  <c r="A300" i="29"/>
  <c r="AL381" i="29"/>
  <c r="C381" i="29" s="1"/>
  <c r="AK381" i="29"/>
  <c r="D381" i="29" s="1"/>
  <c r="BR356" i="4" l="1"/>
  <c r="BQ355" i="4"/>
  <c r="BS355" i="4" s="1"/>
  <c r="A301" i="29"/>
  <c r="AK382" i="29"/>
  <c r="D382" i="29" s="1"/>
  <c r="AL382" i="29"/>
  <c r="C382" i="29" s="1"/>
  <c r="BR357" i="4" l="1"/>
  <c r="BQ356" i="4"/>
  <c r="BS356" i="4" s="1"/>
  <c r="A302" i="29"/>
  <c r="AL383" i="29"/>
  <c r="C383" i="29" s="1"/>
  <c r="AK383" i="29"/>
  <c r="D383" i="29" s="1"/>
  <c r="BR358" i="4" l="1"/>
  <c r="BQ357" i="4"/>
  <c r="BS357" i="4" s="1"/>
  <c r="A303" i="29"/>
  <c r="AK384" i="29"/>
  <c r="D384" i="29" s="1"/>
  <c r="AL384" i="29"/>
  <c r="C384" i="29" s="1"/>
  <c r="BR359" i="4" l="1"/>
  <c r="BQ358" i="4"/>
  <c r="BS358" i="4" s="1"/>
  <c r="A304" i="29"/>
  <c r="AL385" i="29"/>
  <c r="C385" i="29" s="1"/>
  <c r="AK385" i="29"/>
  <c r="D385" i="29" s="1"/>
  <c r="BR360" i="4" l="1"/>
  <c r="BQ359" i="4"/>
  <c r="BS359" i="4" s="1"/>
  <c r="A305" i="29"/>
  <c r="AK386" i="29"/>
  <c r="D386" i="29" s="1"/>
  <c r="AL386" i="29"/>
  <c r="C386" i="29" s="1"/>
  <c r="BR361" i="4" l="1"/>
  <c r="BQ360" i="4"/>
  <c r="BS360" i="4" s="1"/>
  <c r="A306" i="29"/>
  <c r="AL387" i="29"/>
  <c r="C387" i="29" s="1"/>
  <c r="AK387" i="29"/>
  <c r="D387" i="29" s="1"/>
  <c r="BR362" i="4" l="1"/>
  <c r="BQ361" i="4"/>
  <c r="BS361" i="4" s="1"/>
  <c r="A307" i="29"/>
  <c r="AK388" i="29"/>
  <c r="D388" i="29" s="1"/>
  <c r="AL388" i="29"/>
  <c r="C388" i="29" s="1"/>
  <c r="BR363" i="4" l="1"/>
  <c r="BQ362" i="4"/>
  <c r="BS362" i="4" s="1"/>
  <c r="A308" i="29"/>
  <c r="AL389" i="29"/>
  <c r="C389" i="29" s="1"/>
  <c r="AK389" i="29"/>
  <c r="D389" i="29" s="1"/>
  <c r="BR364" i="4" l="1"/>
  <c r="BQ363" i="4"/>
  <c r="BS363" i="4" s="1"/>
  <c r="A309" i="29"/>
  <c r="AK390" i="29"/>
  <c r="D390" i="29" s="1"/>
  <c r="AL390" i="29"/>
  <c r="C390" i="29" s="1"/>
  <c r="BR365" i="4" l="1"/>
  <c r="BQ364" i="4"/>
  <c r="BS364" i="4" s="1"/>
  <c r="A310" i="29"/>
  <c r="AL391" i="29"/>
  <c r="C391" i="29" s="1"/>
  <c r="AK391" i="29"/>
  <c r="D391" i="29" s="1"/>
  <c r="BR366" i="4" l="1"/>
  <c r="BQ365" i="4"/>
  <c r="BS365" i="4" s="1"/>
  <c r="A311" i="29"/>
  <c r="AK392" i="29"/>
  <c r="D392" i="29" s="1"/>
  <c r="AL392" i="29"/>
  <c r="C392" i="29" s="1"/>
  <c r="BR367" i="4" l="1"/>
  <c r="BQ366" i="4"/>
  <c r="BS366" i="4" s="1"/>
  <c r="A312" i="29"/>
  <c r="AL393" i="29"/>
  <c r="C393" i="29" s="1"/>
  <c r="AK393" i="29"/>
  <c r="D393" i="29" s="1"/>
  <c r="BR368" i="4" l="1"/>
  <c r="BQ367" i="4"/>
  <c r="BS367" i="4" s="1"/>
  <c r="A313" i="29"/>
  <c r="A314" i="29" s="1"/>
  <c r="AK394" i="29"/>
  <c r="D394" i="29" s="1"/>
  <c r="AL394" i="29"/>
  <c r="C394" i="29" s="1"/>
  <c r="BR369" i="4" l="1"/>
  <c r="BQ368" i="4"/>
  <c r="BS368" i="4" s="1"/>
  <c r="AL395" i="29"/>
  <c r="C395" i="29" s="1"/>
  <c r="AK395" i="29"/>
  <c r="D395" i="29" s="1"/>
  <c r="BR370" i="4" l="1"/>
  <c r="BQ369" i="4"/>
  <c r="BS369" i="4" s="1"/>
  <c r="AK396" i="29"/>
  <c r="D396" i="29" s="1"/>
  <c r="AL396" i="29"/>
  <c r="C396" i="29" s="1"/>
  <c r="BR371" i="4" l="1"/>
  <c r="BQ370" i="4"/>
  <c r="BS370" i="4" s="1"/>
  <c r="A315" i="29"/>
  <c r="AL397" i="29"/>
  <c r="C397" i="29" s="1"/>
  <c r="AK397" i="29"/>
  <c r="D397" i="29" s="1"/>
  <c r="BR372" i="4" l="1"/>
  <c r="BQ371" i="4"/>
  <c r="BS371" i="4" s="1"/>
  <c r="A316" i="29"/>
  <c r="AK398" i="29"/>
  <c r="D398" i="29" s="1"/>
  <c r="AL398" i="29"/>
  <c r="C398" i="29" s="1"/>
  <c r="BR373" i="4" l="1"/>
  <c r="BQ372" i="4"/>
  <c r="BS372" i="4" s="1"/>
  <c r="A317" i="29"/>
  <c r="AL399" i="29"/>
  <c r="C399" i="29" s="1"/>
  <c r="AK399" i="29"/>
  <c r="D399" i="29" s="1"/>
  <c r="BR374" i="4" l="1"/>
  <c r="BQ373" i="4"/>
  <c r="BS373" i="4" s="1"/>
  <c r="A318" i="29"/>
  <c r="AK400" i="29"/>
  <c r="D400" i="29" s="1"/>
  <c r="AL400" i="29"/>
  <c r="C400" i="29" s="1"/>
  <c r="BR375" i="4" l="1"/>
  <c r="BQ374" i="4"/>
  <c r="BS374" i="4" s="1"/>
  <c r="A319" i="29"/>
  <c r="AL401" i="29"/>
  <c r="C401" i="29" s="1"/>
  <c r="AK401" i="29"/>
  <c r="D401" i="29" s="1"/>
  <c r="BR376" i="4" l="1"/>
  <c r="BQ375" i="4"/>
  <c r="BS375" i="4" s="1"/>
  <c r="A320" i="29"/>
  <c r="AK402" i="29"/>
  <c r="D402" i="29" s="1"/>
  <c r="AL402" i="29"/>
  <c r="C402" i="29" s="1"/>
  <c r="A23" i="3"/>
  <c r="BR377" i="4" l="1"/>
  <c r="BQ376" i="4"/>
  <c r="BS376" i="4" s="1"/>
  <c r="A321" i="29"/>
  <c r="AL403" i="29"/>
  <c r="C403" i="29" s="1"/>
  <c r="AK403" i="29"/>
  <c r="D403" i="29" s="1"/>
  <c r="BR378" i="4" l="1"/>
  <c r="BQ377" i="4"/>
  <c r="BS377" i="4" s="1"/>
  <c r="A322" i="29"/>
  <c r="AK404" i="29"/>
  <c r="D404" i="29" s="1"/>
  <c r="AL404" i="29"/>
  <c r="C404" i="29" s="1"/>
  <c r="BR379" i="4" l="1"/>
  <c r="BQ378" i="4"/>
  <c r="BS378" i="4" s="1"/>
  <c r="A323" i="29"/>
  <c r="AL405" i="29"/>
  <c r="C405" i="29" s="1"/>
  <c r="AK405" i="29"/>
  <c r="D405" i="29" s="1"/>
  <c r="BR380" i="4" l="1"/>
  <c r="BQ379" i="4"/>
  <c r="BS379" i="4" s="1"/>
  <c r="A324" i="29"/>
  <c r="AK406" i="29"/>
  <c r="D406" i="29" s="1"/>
  <c r="AL406" i="29"/>
  <c r="C406" i="29" s="1"/>
  <c r="BR381" i="4" l="1"/>
  <c r="BQ380" i="4"/>
  <c r="BS380" i="4" s="1"/>
  <c r="A325" i="29"/>
  <c r="AL407" i="29"/>
  <c r="C407" i="29" s="1"/>
  <c r="AK407" i="29"/>
  <c r="D407" i="29" s="1"/>
  <c r="BR382" i="4" l="1"/>
  <c r="BQ381" i="4"/>
  <c r="A326" i="29"/>
  <c r="AK408" i="29"/>
  <c r="D408" i="29" s="1"/>
  <c r="AL408" i="29"/>
  <c r="C408" i="29" s="1"/>
  <c r="BS381" i="4" l="1"/>
  <c r="D381" i="4" s="1"/>
  <c r="E381" i="4"/>
  <c r="BR383" i="4"/>
  <c r="BQ382" i="4"/>
  <c r="A327" i="29"/>
  <c r="AL409" i="29"/>
  <c r="C409" i="29" s="1"/>
  <c r="AK409" i="29"/>
  <c r="D409" i="29" s="1"/>
  <c r="BS382" i="4" l="1"/>
  <c r="D382" i="4" s="1"/>
  <c r="E382" i="4"/>
  <c r="BR384" i="4"/>
  <c r="BQ383" i="4"/>
  <c r="A328" i="29"/>
  <c r="AK410" i="29"/>
  <c r="D410" i="29" s="1"/>
  <c r="AL410" i="29"/>
  <c r="C410" i="29" s="1"/>
  <c r="BS383" i="4" l="1"/>
  <c r="D383" i="4" s="1"/>
  <c r="E383" i="4"/>
  <c r="BR385" i="4"/>
  <c r="BQ384" i="4"/>
  <c r="A329" i="29"/>
  <c r="AL411" i="29"/>
  <c r="C411" i="29" s="1"/>
  <c r="AK411" i="29"/>
  <c r="D411" i="29" s="1"/>
  <c r="E384" i="4" l="1"/>
  <c r="BS384" i="4"/>
  <c r="D384" i="4" s="1"/>
  <c r="BR386" i="4"/>
  <c r="BQ385" i="4"/>
  <c r="A330" i="29"/>
  <c r="AK412" i="29"/>
  <c r="D412" i="29" s="1"/>
  <c r="AL412" i="29"/>
  <c r="C412" i="29" s="1"/>
  <c r="BS385" i="4" l="1"/>
  <c r="D385" i="4" s="1"/>
  <c r="E385" i="4"/>
  <c r="BR387" i="4"/>
  <c r="BQ386" i="4"/>
  <c r="A331" i="29"/>
  <c r="A332" i="29" s="1"/>
  <c r="AL413" i="29"/>
  <c r="C413" i="29" s="1"/>
  <c r="AK413" i="29"/>
  <c r="D413" i="29" s="1"/>
  <c r="D6" i="18"/>
  <c r="D2" i="17"/>
  <c r="D1" i="17"/>
  <c r="E3" i="17" s="1"/>
  <c r="C2" i="17"/>
  <c r="BS386" i="4" l="1"/>
  <c r="D386" i="4" s="1"/>
  <c r="E386" i="4"/>
  <c r="BR388" i="4"/>
  <c r="BQ387" i="4"/>
  <c r="AK414" i="29"/>
  <c r="D414" i="29" s="1"/>
  <c r="AL414" i="29"/>
  <c r="C414" i="29" s="1"/>
  <c r="E6" i="18"/>
  <c r="E1" i="17"/>
  <c r="BS387" i="4" l="1"/>
  <c r="D387" i="4" s="1"/>
  <c r="E387" i="4"/>
  <c r="BR389" i="4"/>
  <c r="BQ388" i="4"/>
  <c r="AL415" i="29"/>
  <c r="C415" i="29" s="1"/>
  <c r="AK415" i="29"/>
  <c r="D415" i="29" s="1"/>
  <c r="F6" i="18"/>
  <c r="F1" i="17"/>
  <c r="G1" i="17" s="1"/>
  <c r="H1" i="17" s="1"/>
  <c r="G6" i="18" l="1"/>
  <c r="H6" i="18" s="1"/>
  <c r="BR390" i="4"/>
  <c r="BQ389" i="4"/>
  <c r="BS388" i="4"/>
  <c r="D388" i="4" s="1"/>
  <c r="E388" i="4"/>
  <c r="AK416" i="29"/>
  <c r="D416" i="29" s="1"/>
  <c r="AL416" i="29"/>
  <c r="C416" i="29" s="1"/>
  <c r="G3" i="17"/>
  <c r="I1" i="17"/>
  <c r="H3" i="17"/>
  <c r="BS389" i="4" l="1"/>
  <c r="D389" i="4" s="1"/>
  <c r="E389" i="4"/>
  <c r="BR391" i="4"/>
  <c r="BQ390" i="4"/>
  <c r="A333" i="29"/>
  <c r="AL417" i="29"/>
  <c r="C417" i="29" s="1"/>
  <c r="AK417" i="29"/>
  <c r="D417" i="29" s="1"/>
  <c r="J1" i="17"/>
  <c r="J3" i="17"/>
  <c r="BS390" i="4" l="1"/>
  <c r="D390" i="4" s="1"/>
  <c r="E390" i="4"/>
  <c r="BR392" i="4"/>
  <c r="BQ391" i="4"/>
  <c r="A334" i="29"/>
  <c r="A335" i="29" s="1"/>
  <c r="AK418" i="29"/>
  <c r="D418" i="29" s="1"/>
  <c r="AL418" i="29"/>
  <c r="C418" i="29" s="1"/>
  <c r="I6" i="18"/>
  <c r="K1" i="17"/>
  <c r="K3" i="17"/>
  <c r="BS391" i="4" l="1"/>
  <c r="D391" i="4" s="1"/>
  <c r="E391" i="4"/>
  <c r="BR393" i="4"/>
  <c r="BQ392" i="4"/>
  <c r="AL419" i="29"/>
  <c r="C419" i="29" s="1"/>
  <c r="AK419" i="29"/>
  <c r="D419" i="29" s="1"/>
  <c r="BS392" i="4" l="1"/>
  <c r="D392" i="4" s="1"/>
  <c r="E392" i="4"/>
  <c r="BR394" i="4"/>
  <c r="BQ393" i="4"/>
  <c r="AK420" i="29"/>
  <c r="D420" i="29" s="1"/>
  <c r="AL420" i="29"/>
  <c r="C420" i="29" s="1"/>
  <c r="BS393" i="4" l="1"/>
  <c r="D393" i="4" s="1"/>
  <c r="E393" i="4"/>
  <c r="BR395" i="4"/>
  <c r="BQ394" i="4"/>
  <c r="A336" i="29"/>
  <c r="AL421" i="29"/>
  <c r="C421" i="29" s="1"/>
  <c r="AK421" i="29"/>
  <c r="D421" i="29"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BR396" i="4" l="1"/>
  <c r="BQ395" i="4"/>
  <c r="BS394" i="4"/>
  <c r="D394" i="4" s="1"/>
  <c r="E394" i="4"/>
  <c r="A28" i="4"/>
  <c r="A32" i="4" s="1"/>
  <c r="A33" i="4" s="1"/>
  <c r="A31" i="4"/>
  <c r="A337" i="29"/>
  <c r="AK422" i="29"/>
  <c r="D422" i="29" s="1"/>
  <c r="AL422" i="29"/>
  <c r="C422" i="29" s="1"/>
  <c r="BS395" i="4" l="1"/>
  <c r="D395" i="4" s="1"/>
  <c r="E395" i="4"/>
  <c r="BR397" i="4"/>
  <c r="BQ396" i="4"/>
  <c r="A29" i="4"/>
  <c r="A30"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338" i="29"/>
  <c r="AL423" i="29"/>
  <c r="C423" i="29" s="1"/>
  <c r="AK423" i="29"/>
  <c r="D423" i="29" s="1"/>
  <c r="BS396" i="4" l="1"/>
  <c r="D396" i="4" s="1"/>
  <c r="E396" i="4"/>
  <c r="BR398" i="4"/>
  <c r="BQ397" i="4"/>
  <c r="A71" i="4"/>
  <c r="A68" i="4"/>
  <c r="A69"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9" i="4" s="1"/>
  <c r="A70" i="4"/>
  <c r="A339" i="29"/>
  <c r="AK424" i="29"/>
  <c r="D424" i="29" s="1"/>
  <c r="AL424" i="29"/>
  <c r="C424" i="29" s="1"/>
  <c r="BS397" i="4" l="1"/>
  <c r="D397" i="4" s="1"/>
  <c r="E397" i="4"/>
  <c r="BR399" i="4"/>
  <c r="BQ398" i="4"/>
  <c r="A72" i="4"/>
  <c r="A106" i="4"/>
  <c r="A107" i="4" s="1"/>
  <c r="A111" i="4" s="1"/>
  <c r="A340" i="29"/>
  <c r="AL425" i="29"/>
  <c r="C425" i="29" s="1"/>
  <c r="AK425" i="29"/>
  <c r="D425" i="29" s="1"/>
  <c r="BR400" i="4" l="1"/>
  <c r="BQ399" i="4"/>
  <c r="BS398" i="4"/>
  <c r="D398" i="4" s="1"/>
  <c r="E398" i="4"/>
  <c r="A110" i="4"/>
  <c r="A108" i="4"/>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341" i="29"/>
  <c r="AK426" i="29"/>
  <c r="D426" i="29" s="1"/>
  <c r="AL426" i="29"/>
  <c r="C426" i="29" s="1"/>
  <c r="BS399" i="4" l="1"/>
  <c r="D399" i="4" s="1"/>
  <c r="E399" i="4"/>
  <c r="BR401" i="4"/>
  <c r="BQ400" i="4"/>
  <c r="A148" i="4"/>
  <c r="A149" i="4"/>
  <c r="A185" i="4"/>
  <c r="A186" i="4" s="1"/>
  <c r="A188" i="4"/>
  <c r="A150" i="4"/>
  <c r="A342" i="29"/>
  <c r="AL427" i="29"/>
  <c r="C427" i="29" s="1"/>
  <c r="AK427" i="29"/>
  <c r="D427" i="29" s="1"/>
  <c r="BR402" i="4" l="1"/>
  <c r="BQ401" i="4"/>
  <c r="BS400" i="4"/>
  <c r="D400" i="4" s="1"/>
  <c r="E400" i="4"/>
  <c r="A187" i="4"/>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190" i="4"/>
  <c r="A189" i="4"/>
  <c r="A343" i="29"/>
  <c r="AK428" i="29"/>
  <c r="D428" i="29" s="1"/>
  <c r="AL428" i="29"/>
  <c r="C428" i="29" s="1"/>
  <c r="BS401" i="4" l="1"/>
  <c r="D401" i="4" s="1"/>
  <c r="E401" i="4"/>
  <c r="BR403" i="4"/>
  <c r="BQ402" i="4"/>
  <c r="A223" i="4"/>
  <c r="A224" i="4" s="1"/>
  <c r="A225"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26" i="4"/>
  <c r="A344" i="29"/>
  <c r="AL429" i="29"/>
  <c r="C429" i="29" s="1"/>
  <c r="AK429" i="29"/>
  <c r="D429" i="29" s="1"/>
  <c r="BS402" i="4" l="1"/>
  <c r="D402" i="4" s="1"/>
  <c r="E402" i="4"/>
  <c r="BR404" i="4"/>
  <c r="BQ403" i="4"/>
  <c r="A227" i="4"/>
  <c r="A263" i="4"/>
  <c r="A267" i="4" s="1"/>
  <c r="A266" i="4"/>
  <c r="A228" i="4"/>
  <c r="A345" i="29"/>
  <c r="AK430" i="29"/>
  <c r="D430" i="29" s="1"/>
  <c r="AL430" i="29"/>
  <c r="C430" i="29" s="1"/>
  <c r="BR405" i="4" l="1"/>
  <c r="BQ404" i="4"/>
  <c r="BS403" i="4"/>
  <c r="D403" i="4" s="1"/>
  <c r="E403" i="4"/>
  <c r="A264" i="4"/>
  <c r="A265"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6" i="29"/>
  <c r="AL431" i="29"/>
  <c r="C431" i="29" s="1"/>
  <c r="AK431" i="29"/>
  <c r="D431" i="29" s="1"/>
  <c r="BS404" i="4" l="1"/>
  <c r="D404" i="4" s="1"/>
  <c r="E404" i="4"/>
  <c r="BR406" i="4"/>
  <c r="BQ405" i="4"/>
  <c r="A341" i="4"/>
  <c r="A342" i="4" s="1"/>
  <c r="A343"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44" i="4"/>
  <c r="A268" i="4"/>
  <c r="A305" i="4"/>
  <c r="A306" i="4"/>
  <c r="A307" i="4"/>
  <c r="A347" i="29"/>
  <c r="AK432" i="29"/>
  <c r="D432" i="29" s="1"/>
  <c r="AL432" i="29"/>
  <c r="C432" i="29" s="1"/>
  <c r="BR407" i="4" l="1"/>
  <c r="BQ406" i="4"/>
  <c r="BS405" i="4"/>
  <c r="D405" i="4" s="1"/>
  <c r="E405" i="4"/>
  <c r="A345" i="4"/>
  <c r="A346" i="4"/>
  <c r="A394" i="4"/>
  <c r="A392" i="4"/>
  <c r="A393" i="4"/>
  <c r="A378" i="4"/>
  <c r="A382" i="4" s="1"/>
  <c r="A395" i="4"/>
  <c r="A348" i="29"/>
  <c r="AL433" i="29"/>
  <c r="C433" i="29" s="1"/>
  <c r="AK433" i="29"/>
  <c r="D433" i="29" s="1"/>
  <c r="BS406" i="4" l="1"/>
  <c r="D406" i="4" s="1"/>
  <c r="E406" i="4"/>
  <c r="BR408" i="4"/>
  <c r="BQ407" i="4"/>
  <c r="A396" i="4"/>
  <c r="A379" i="4"/>
  <c r="A383" i="4" s="1"/>
  <c r="A349" i="29"/>
  <c r="AK434" i="29"/>
  <c r="D434" i="29" s="1"/>
  <c r="AL434" i="29"/>
  <c r="C434" i="29" s="1"/>
  <c r="BR409" i="4" l="1"/>
  <c r="BQ408" i="4"/>
  <c r="BS407" i="4"/>
  <c r="D407" i="4" s="1"/>
  <c r="E407" i="4"/>
  <c r="A380" i="4"/>
  <c r="A384" i="4" s="1"/>
  <c r="A397" i="4"/>
  <c r="A350" i="29"/>
  <c r="AL435" i="29"/>
  <c r="C435" i="29" s="1"/>
  <c r="AK435" i="29"/>
  <c r="D435" i="29" s="1"/>
  <c r="BS408" i="4" l="1"/>
  <c r="D408" i="4" s="1"/>
  <c r="E408" i="4"/>
  <c r="BR410" i="4"/>
  <c r="BQ409" i="4"/>
  <c r="A381" i="4"/>
  <c r="A398" i="4"/>
  <c r="A351" i="29"/>
  <c r="AK436" i="29"/>
  <c r="D436" i="29" s="1"/>
  <c r="AL436" i="29"/>
  <c r="C436" i="29" s="1"/>
  <c r="BR411" i="4" l="1"/>
  <c r="BQ410" i="4"/>
  <c r="BS409" i="4"/>
  <c r="D409" i="4" s="1"/>
  <c r="E409" i="4"/>
  <c r="A399" i="4"/>
  <c r="A385" i="4"/>
  <c r="A352" i="29"/>
  <c r="AL437" i="29"/>
  <c r="C437" i="29" s="1"/>
  <c r="AK437" i="29"/>
  <c r="D437" i="29" s="1"/>
  <c r="BS410" i="4" l="1"/>
  <c r="D410" i="4" s="1"/>
  <c r="E410" i="4"/>
  <c r="BR412" i="4"/>
  <c r="BQ411" i="4"/>
  <c r="A386" i="4"/>
  <c r="A400" i="4"/>
  <c r="A353" i="29"/>
  <c r="AK438" i="29"/>
  <c r="D438" i="29" s="1"/>
  <c r="AL438" i="29"/>
  <c r="C438" i="29" s="1"/>
  <c r="BS411" i="4" l="1"/>
  <c r="D411" i="4" s="1"/>
  <c r="E411" i="4"/>
  <c r="BR413" i="4"/>
  <c r="BQ412" i="4"/>
  <c r="A387" i="4"/>
  <c r="A401" i="4"/>
  <c r="A411" i="4"/>
  <c r="A428" i="4"/>
  <c r="A354" i="29"/>
  <c r="AL439" i="29"/>
  <c r="C439" i="29" s="1"/>
  <c r="AK439" i="29"/>
  <c r="D439" i="29" s="1"/>
  <c r="BR414" i="4" l="1"/>
  <c r="BQ413" i="4"/>
  <c r="BS412" i="4"/>
  <c r="D412" i="4" s="1"/>
  <c r="E412" i="4"/>
  <c r="A412" i="4"/>
  <c r="A429" i="4"/>
  <c r="A389" i="4"/>
  <c r="A405" i="4" s="1"/>
  <c r="A402" i="4"/>
  <c r="A388" i="4"/>
  <c r="A355" i="29"/>
  <c r="AK440" i="29"/>
  <c r="D440" i="29" s="1"/>
  <c r="AL440" i="29"/>
  <c r="C440" i="29" s="1"/>
  <c r="BS413" i="4" l="1"/>
  <c r="D413" i="4" s="1"/>
  <c r="E413" i="4"/>
  <c r="BR415" i="4"/>
  <c r="BQ414" i="4"/>
  <c r="A404" i="4"/>
  <c r="A390" i="4"/>
  <c r="A403" i="4"/>
  <c r="A430" i="4"/>
  <c r="A413" i="4"/>
  <c r="A356" i="29"/>
  <c r="AL441" i="29"/>
  <c r="C441" i="29" s="1"/>
  <c r="AK441" i="29"/>
  <c r="D441" i="29" s="1"/>
  <c r="BS414" i="4" l="1"/>
  <c r="D414" i="4" s="1"/>
  <c r="E414" i="4"/>
  <c r="BR416" i="4"/>
  <c r="BQ415" i="4"/>
  <c r="A391" i="4"/>
  <c r="A470" i="4" s="1"/>
  <c r="A471" i="4" s="1"/>
  <c r="A406" i="4"/>
  <c r="A407" i="4" s="1"/>
  <c r="A408" i="4" s="1"/>
  <c r="A409" i="4" s="1"/>
  <c r="A410" i="4" s="1"/>
  <c r="A414" i="4"/>
  <c r="A431" i="4"/>
  <c r="A357" i="29"/>
  <c r="AK442" i="29"/>
  <c r="D442" i="29" s="1"/>
  <c r="AL442" i="29"/>
  <c r="C442" i="29" s="1"/>
  <c r="BS415" i="4" l="1"/>
  <c r="D415" i="4" s="1"/>
  <c r="E415" i="4"/>
  <c r="BR417" i="4"/>
  <c r="BQ416" i="4"/>
  <c r="A438" i="4"/>
  <c r="A452" i="4"/>
  <c r="A415" i="4"/>
  <c r="A432" i="4"/>
  <c r="A358" i="29"/>
  <c r="AL443" i="29"/>
  <c r="C443" i="29" s="1"/>
  <c r="AK443" i="29"/>
  <c r="D443" i="29" s="1"/>
  <c r="BR418" i="4" l="1"/>
  <c r="BQ417" i="4"/>
  <c r="BS416" i="4"/>
  <c r="D416" i="4" s="1"/>
  <c r="E416" i="4"/>
  <c r="A416" i="4"/>
  <c r="A433" i="4"/>
  <c r="A453" i="4"/>
  <c r="A439" i="4"/>
  <c r="A359" i="29"/>
  <c r="AK444" i="29"/>
  <c r="D444" i="29" s="1"/>
  <c r="AL444" i="29"/>
  <c r="C444" i="29" s="1"/>
  <c r="BS417" i="4" l="1"/>
  <c r="D417" i="4" s="1"/>
  <c r="E417" i="4"/>
  <c r="BR419" i="4"/>
  <c r="BQ418" i="4"/>
  <c r="A440" i="4"/>
  <c r="A454" i="4"/>
  <c r="A434" i="4"/>
  <c r="A417" i="4"/>
  <c r="A421" i="4" s="1"/>
  <c r="A360" i="29"/>
  <c r="AL445" i="29"/>
  <c r="C445" i="29" s="1"/>
  <c r="AK445" i="29"/>
  <c r="D445" i="29" s="1"/>
  <c r="BS418" i="4" l="1"/>
  <c r="D418" i="4" s="1"/>
  <c r="E418" i="4"/>
  <c r="BR420" i="4"/>
  <c r="BQ419" i="4"/>
  <c r="A418" i="4"/>
  <c r="A422" i="4" s="1"/>
  <c r="A435" i="4"/>
  <c r="A455" i="4"/>
  <c r="A441" i="4"/>
  <c r="A361" i="29"/>
  <c r="AK446" i="29"/>
  <c r="D446" i="29" s="1"/>
  <c r="AL446" i="29"/>
  <c r="C446" i="29" s="1"/>
  <c r="BR421" i="4" l="1"/>
  <c r="BQ420" i="4"/>
  <c r="BS419" i="4"/>
  <c r="D419" i="4" s="1"/>
  <c r="E419" i="4"/>
  <c r="A456" i="4"/>
  <c r="A442" i="4"/>
  <c r="A436" i="4"/>
  <c r="A419" i="4"/>
  <c r="A423" i="4" s="1"/>
  <c r="A362" i="29"/>
  <c r="AL447" i="29"/>
  <c r="C447" i="29" s="1"/>
  <c r="AK447" i="29"/>
  <c r="D447" i="29" s="1"/>
  <c r="BS420" i="4" l="1"/>
  <c r="D420" i="4" s="1"/>
  <c r="E420" i="4"/>
  <c r="BR422" i="4"/>
  <c r="BQ421" i="4"/>
  <c r="A457" i="4"/>
  <c r="A443" i="4"/>
  <c r="A461" i="4" s="1"/>
  <c r="A437" i="4"/>
  <c r="A420" i="4"/>
  <c r="A363" i="29"/>
  <c r="A364" i="29" s="1"/>
  <c r="AK448" i="29"/>
  <c r="D448" i="29" s="1"/>
  <c r="AL448" i="29"/>
  <c r="C448" i="29" s="1"/>
  <c r="BS421" i="4" l="1"/>
  <c r="D421" i="4" s="1"/>
  <c r="E421" i="4"/>
  <c r="BR423" i="4"/>
  <c r="BQ422" i="4"/>
  <c r="A458" i="4"/>
  <c r="A444" i="4"/>
  <c r="A462" i="4" s="1"/>
  <c r="A425" i="4"/>
  <c r="A424" i="4"/>
  <c r="A426" i="4" s="1"/>
  <c r="A427" i="4" s="1"/>
  <c r="AL449" i="29"/>
  <c r="C449" i="29" s="1"/>
  <c r="AK449" i="29"/>
  <c r="D449" i="29" s="1"/>
  <c r="E422" i="4" l="1"/>
  <c r="BS422" i="4"/>
  <c r="D422" i="4" s="1"/>
  <c r="BR424" i="4"/>
  <c r="BQ423" i="4"/>
  <c r="A445" i="4"/>
  <c r="A463" i="4" s="1"/>
  <c r="A459" i="4"/>
  <c r="AK450" i="29"/>
  <c r="D450" i="29" s="1"/>
  <c r="AL450" i="29"/>
  <c r="C450" i="29" s="1"/>
  <c r="BR425" i="4" l="1"/>
  <c r="BQ424" i="4"/>
  <c r="BS423" i="4"/>
  <c r="D423" i="4" s="1"/>
  <c r="E423" i="4"/>
  <c r="A460" i="4"/>
  <c r="A446" i="4"/>
  <c r="AL451" i="29"/>
  <c r="C451" i="29" s="1"/>
  <c r="AK451" i="29"/>
  <c r="D451" i="29" s="1"/>
  <c r="BS424" i="4" l="1"/>
  <c r="D424" i="4" s="1"/>
  <c r="E424" i="4"/>
  <c r="BR426" i="4"/>
  <c r="BQ425" i="4"/>
  <c r="A464" i="4"/>
  <c r="A447" i="4"/>
  <c r="AK452" i="29"/>
  <c r="D452" i="29" s="1"/>
  <c r="AL452" i="29"/>
  <c r="C452" i="29" s="1"/>
  <c r="BS425" i="4" l="1"/>
  <c r="D425" i="4" s="1"/>
  <c r="E425" i="4"/>
  <c r="BR427" i="4"/>
  <c r="BQ426" i="4"/>
  <c r="A449" i="4"/>
  <c r="A468" i="4" s="1"/>
  <c r="A448" i="4"/>
  <c r="A465" i="4"/>
  <c r="AL453" i="29"/>
  <c r="C453" i="29" s="1"/>
  <c r="AK453" i="29"/>
  <c r="D453" i="29" s="1"/>
  <c r="BS426" i="4" l="1"/>
  <c r="D426" i="4" s="1"/>
  <c r="E426" i="4"/>
  <c r="BR428" i="4"/>
  <c r="BQ427" i="4"/>
  <c r="A450" i="4"/>
  <c r="A466" i="4"/>
  <c r="A467" i="4"/>
  <c r="A365" i="29"/>
  <c r="AK454" i="29"/>
  <c r="D454" i="29" s="1"/>
  <c r="AL454" i="29"/>
  <c r="C454" i="29" s="1"/>
  <c r="BS427" i="4" l="1"/>
  <c r="D427" i="4" s="1"/>
  <c r="E427" i="4"/>
  <c r="BR429" i="4"/>
  <c r="BQ428" i="4"/>
  <c r="A451" i="4"/>
  <c r="A469" i="4"/>
  <c r="A366" i="29"/>
  <c r="AL455" i="29"/>
  <c r="C455" i="29" s="1"/>
  <c r="AK455" i="29"/>
  <c r="D455" i="29" s="1"/>
  <c r="BS428" i="4" l="1"/>
  <c r="D428" i="4" s="1"/>
  <c r="E428" i="4"/>
  <c r="BR430" i="4"/>
  <c r="BQ429" i="4"/>
  <c r="A367" i="29"/>
  <c r="AK456" i="29"/>
  <c r="D456" i="29" s="1"/>
  <c r="AL456" i="29"/>
  <c r="C456" i="29" s="1"/>
  <c r="BS429" i="4" l="1"/>
  <c r="D429" i="4" s="1"/>
  <c r="E429" i="4"/>
  <c r="BR431" i="4"/>
  <c r="BQ430" i="4"/>
  <c r="A368" i="29"/>
  <c r="AL457" i="29"/>
  <c r="C457" i="29" s="1"/>
  <c r="AK457" i="29"/>
  <c r="D457" i="29" s="1"/>
  <c r="BS430" i="4" l="1"/>
  <c r="D430" i="4" s="1"/>
  <c r="E430" i="4"/>
  <c r="BR432" i="4"/>
  <c r="BQ431" i="4"/>
  <c r="A369" i="29"/>
  <c r="AK458" i="29"/>
  <c r="D458" i="29" s="1"/>
  <c r="AL458" i="29"/>
  <c r="C458" i="29" s="1"/>
  <c r="BS431" i="4" l="1"/>
  <c r="D431" i="4" s="1"/>
  <c r="E431" i="4"/>
  <c r="BR433" i="4"/>
  <c r="BQ432" i="4"/>
  <c r="A370" i="29"/>
  <c r="AL459" i="29"/>
  <c r="C459" i="29" s="1"/>
  <c r="AK459" i="29"/>
  <c r="D459" i="29" s="1"/>
  <c r="BS432" i="4" l="1"/>
  <c r="D432" i="4" s="1"/>
  <c r="E432" i="4"/>
  <c r="BR434" i="4"/>
  <c r="BQ433" i="4"/>
  <c r="A371" i="29"/>
  <c r="AK460" i="29"/>
  <c r="D460" i="29" s="1"/>
  <c r="AL460" i="29"/>
  <c r="C460" i="29" s="1"/>
  <c r="BS433" i="4" l="1"/>
  <c r="D433" i="4" s="1"/>
  <c r="E433" i="4"/>
  <c r="BR435" i="4"/>
  <c r="BQ434" i="4"/>
  <c r="A372" i="29"/>
  <c r="AL461" i="29"/>
  <c r="C461" i="29" s="1"/>
  <c r="AK461" i="29"/>
  <c r="D461" i="29" s="1"/>
  <c r="BS434" i="4" l="1"/>
  <c r="D434" i="4" s="1"/>
  <c r="E434" i="4"/>
  <c r="BR436" i="4"/>
  <c r="BQ435" i="4"/>
  <c r="A373" i="29"/>
  <c r="AK462" i="29"/>
  <c r="D462" i="29" s="1"/>
  <c r="AL462" i="29"/>
  <c r="C462" i="29" s="1"/>
  <c r="BS435" i="4" l="1"/>
  <c r="D435" i="4" s="1"/>
  <c r="E435" i="4"/>
  <c r="BR437" i="4"/>
  <c r="BQ436" i="4"/>
  <c r="A374" i="29"/>
  <c r="AL463" i="29"/>
  <c r="C463" i="29" s="1"/>
  <c r="AK463" i="29"/>
  <c r="D463" i="29" s="1"/>
  <c r="BS436" i="4" l="1"/>
  <c r="D436" i="4" s="1"/>
  <c r="E436" i="4"/>
  <c r="BR438" i="4"/>
  <c r="BQ437" i="4"/>
  <c r="A375" i="29"/>
  <c r="AK464" i="29"/>
  <c r="D464" i="29" s="1"/>
  <c r="AL464" i="29"/>
  <c r="C464" i="29" s="1"/>
  <c r="BS437" i="4" l="1"/>
  <c r="D437" i="4" s="1"/>
  <c r="E437" i="4"/>
  <c r="BR439" i="4"/>
  <c r="BQ438" i="4"/>
  <c r="N38" i="17"/>
  <c r="A376" i="29"/>
  <c r="AL465" i="29"/>
  <c r="C465" i="29" s="1"/>
  <c r="AK465" i="29"/>
  <c r="D465" i="29" s="1"/>
  <c r="BS438" i="4" l="1"/>
  <c r="D438" i="4" s="1"/>
  <c r="E438" i="4"/>
  <c r="BR440" i="4"/>
  <c r="BQ439" i="4"/>
  <c r="A377" i="29"/>
  <c r="AK466" i="29"/>
  <c r="D466" i="29" s="1"/>
  <c r="AL466" i="29"/>
  <c r="C466" i="29" s="1"/>
  <c r="BS439" i="4" l="1"/>
  <c r="D439" i="4" s="1"/>
  <c r="E439" i="4"/>
  <c r="BR441" i="4"/>
  <c r="BQ440" i="4"/>
  <c r="A378" i="29"/>
  <c r="AL467" i="29"/>
  <c r="C467" i="29" s="1"/>
  <c r="AK467" i="29"/>
  <c r="D467" i="29" s="1"/>
  <c r="BS440" i="4" l="1"/>
  <c r="D440" i="4" s="1"/>
  <c r="E440" i="4"/>
  <c r="BR442" i="4"/>
  <c r="BQ441" i="4"/>
  <c r="A379" i="29"/>
  <c r="AK468" i="29"/>
  <c r="D468" i="29" s="1"/>
  <c r="AL468" i="29"/>
  <c r="C468" i="29" s="1"/>
  <c r="BS441" i="4" l="1"/>
  <c r="D441" i="4" s="1"/>
  <c r="E441" i="4"/>
  <c r="BR443" i="4"/>
  <c r="BQ442" i="4"/>
  <c r="A380" i="29"/>
  <c r="AL469" i="29"/>
  <c r="C469" i="29" s="1"/>
  <c r="AK469" i="29"/>
  <c r="D469" i="29" s="1"/>
  <c r="BS442" i="4" l="1"/>
  <c r="D442" i="4" s="1"/>
  <c r="E442" i="4"/>
  <c r="BR444" i="4"/>
  <c r="BQ443" i="4"/>
  <c r="A381" i="29"/>
  <c r="AK470" i="29"/>
  <c r="D470" i="29" s="1"/>
  <c r="AL470" i="29"/>
  <c r="C470" i="29" s="1"/>
  <c r="BS443" i="4" l="1"/>
  <c r="D443" i="4" s="1"/>
  <c r="E443" i="4"/>
  <c r="BR445" i="4"/>
  <c r="BQ444" i="4"/>
  <c r="A382" i="29"/>
  <c r="AL471" i="29"/>
  <c r="C471" i="29" s="1"/>
  <c r="AK471" i="29"/>
  <c r="D471" i="29" s="1"/>
  <c r="BS444" i="4" l="1"/>
  <c r="D444" i="4" s="1"/>
  <c r="E444" i="4"/>
  <c r="BR446" i="4"/>
  <c r="BQ445" i="4"/>
  <c r="A383" i="29"/>
  <c r="AK472" i="29"/>
  <c r="D472" i="29" s="1"/>
  <c r="AL472" i="29"/>
  <c r="C472" i="29" s="1"/>
  <c r="BS445" i="4" l="1"/>
  <c r="D445" i="4" s="1"/>
  <c r="E445" i="4"/>
  <c r="BR447" i="4"/>
  <c r="BQ446" i="4"/>
  <c r="A384" i="29"/>
  <c r="AL473" i="29"/>
  <c r="C473" i="29" s="1"/>
  <c r="AK473" i="29"/>
  <c r="D473" i="29" s="1"/>
  <c r="BR448" i="4" l="1"/>
  <c r="BQ447" i="4"/>
  <c r="BS446" i="4"/>
  <c r="D446" i="4" s="1"/>
  <c r="E446" i="4"/>
  <c r="A385" i="29"/>
  <c r="AK474" i="29"/>
  <c r="D474" i="29" s="1"/>
  <c r="AL474" i="29"/>
  <c r="C474" i="29" s="1"/>
  <c r="BR449" i="4" l="1"/>
  <c r="BQ448" i="4"/>
  <c r="BS447" i="4"/>
  <c r="D447" i="4" s="1"/>
  <c r="E447" i="4"/>
  <c r="A386" i="29"/>
  <c r="AL475" i="29"/>
  <c r="C475" i="29" s="1"/>
  <c r="AK475" i="29"/>
  <c r="D475" i="29" s="1"/>
  <c r="BR450" i="4" l="1"/>
  <c r="BQ449" i="4"/>
  <c r="BS448" i="4"/>
  <c r="D448" i="4" s="1"/>
  <c r="E448" i="4"/>
  <c r="A387" i="29"/>
  <c r="AK476" i="29"/>
  <c r="D476" i="29" s="1"/>
  <c r="AL476" i="29"/>
  <c r="C476" i="29" s="1"/>
  <c r="BR451" i="4" l="1"/>
  <c r="BQ450" i="4"/>
  <c r="BS449" i="4"/>
  <c r="D449" i="4" s="1"/>
  <c r="E449" i="4"/>
  <c r="A388" i="29"/>
  <c r="AL477" i="29"/>
  <c r="C477" i="29" s="1"/>
  <c r="AK477" i="29"/>
  <c r="D477" i="29" s="1"/>
  <c r="BR452" i="4" l="1"/>
  <c r="BQ451" i="4"/>
  <c r="BS450" i="4"/>
  <c r="D450" i="4" s="1"/>
  <c r="E450" i="4"/>
  <c r="A389" i="29"/>
  <c r="AK478" i="29"/>
  <c r="D478" i="29" s="1"/>
  <c r="AL478" i="29"/>
  <c r="C478" i="29" s="1"/>
  <c r="BR453" i="4" l="1"/>
  <c r="BQ452" i="4"/>
  <c r="BS451" i="4"/>
  <c r="D451" i="4" s="1"/>
  <c r="E451" i="4"/>
  <c r="A390" i="29"/>
  <c r="AL479" i="29"/>
  <c r="C479" i="29" s="1"/>
  <c r="AK479" i="29"/>
  <c r="D479" i="29" s="1"/>
  <c r="BR454" i="4" l="1"/>
  <c r="BQ453" i="4"/>
  <c r="BS452" i="4"/>
  <c r="D452" i="4" s="1"/>
  <c r="E452" i="4"/>
  <c r="A391" i="29"/>
  <c r="AK480" i="29"/>
  <c r="D480" i="29" s="1"/>
  <c r="AL480" i="29"/>
  <c r="C480" i="29" s="1"/>
  <c r="BR455" i="4" l="1"/>
  <c r="BQ454" i="4"/>
  <c r="BS453" i="4"/>
  <c r="D453" i="4" s="1"/>
  <c r="E453" i="4"/>
  <c r="A392" i="29"/>
  <c r="AL481" i="29"/>
  <c r="C481" i="29" s="1"/>
  <c r="AK481" i="29"/>
  <c r="D481" i="29" s="1"/>
  <c r="BR456" i="4" l="1"/>
  <c r="BQ455" i="4"/>
  <c r="BS454" i="4"/>
  <c r="D454" i="4" s="1"/>
  <c r="E454" i="4"/>
  <c r="A393" i="29"/>
  <c r="AK482" i="29"/>
  <c r="D482" i="29" s="1"/>
  <c r="AL482" i="29"/>
  <c r="C482" i="29" s="1"/>
  <c r="BR457" i="4" l="1"/>
  <c r="BQ456" i="4"/>
  <c r="BS455" i="4"/>
  <c r="D455" i="4" s="1"/>
  <c r="E455" i="4"/>
  <c r="A394" i="29"/>
  <c r="AL483" i="29"/>
  <c r="C483" i="29" s="1"/>
  <c r="AK483" i="29"/>
  <c r="D483" i="29" s="1"/>
  <c r="BS456" i="4" l="1"/>
  <c r="D456" i="4" s="1"/>
  <c r="E456" i="4"/>
  <c r="BR458" i="4"/>
  <c r="BQ457" i="4"/>
  <c r="A395" i="29"/>
  <c r="AK484" i="29"/>
  <c r="D484" i="29" s="1"/>
  <c r="AL484" i="29"/>
  <c r="C484" i="29" s="1"/>
  <c r="BS457" i="4" l="1"/>
  <c r="D457" i="4" s="1"/>
  <c r="E457" i="4"/>
  <c r="BR459" i="4"/>
  <c r="BQ458" i="4"/>
  <c r="A396" i="29"/>
  <c r="AL485" i="29"/>
  <c r="C485" i="29" s="1"/>
  <c r="AK485" i="29"/>
  <c r="D485" i="29" s="1"/>
  <c r="BS458" i="4" l="1"/>
  <c r="D458" i="4" s="1"/>
  <c r="E458" i="4"/>
  <c r="BR460" i="4"/>
  <c r="BQ459" i="4"/>
  <c r="A397" i="29"/>
  <c r="AK486" i="29"/>
  <c r="D486" i="29" s="1"/>
  <c r="AL486" i="29"/>
  <c r="C486" i="29" s="1"/>
  <c r="BS459" i="4" l="1"/>
  <c r="D459" i="4" s="1"/>
  <c r="E459" i="4"/>
  <c r="BR461" i="4"/>
  <c r="BQ460" i="4"/>
  <c r="A398" i="29"/>
  <c r="AL487" i="29"/>
  <c r="C487" i="29" s="1"/>
  <c r="AK487" i="29"/>
  <c r="D487" i="29" s="1"/>
  <c r="BS460" i="4" l="1"/>
  <c r="D460" i="4" s="1"/>
  <c r="E460" i="4"/>
  <c r="BR462" i="4"/>
  <c r="BQ461" i="4"/>
  <c r="A399" i="29"/>
  <c r="AK488" i="29"/>
  <c r="D488" i="29" s="1"/>
  <c r="AL488" i="29"/>
  <c r="C488" i="29" s="1"/>
  <c r="E461" i="4" l="1"/>
  <c r="BS461" i="4"/>
  <c r="D461" i="4" s="1"/>
  <c r="BR463" i="4"/>
  <c r="BQ462" i="4"/>
  <c r="A400" i="29"/>
  <c r="AL489" i="29"/>
  <c r="C489" i="29" s="1"/>
  <c r="AK489" i="29"/>
  <c r="D489" i="29" s="1"/>
  <c r="E462" i="4" l="1"/>
  <c r="BS462" i="4"/>
  <c r="D462" i="4" s="1"/>
  <c r="BR464" i="4"/>
  <c r="BQ463" i="4"/>
  <c r="A401" i="29"/>
  <c r="AK490" i="29"/>
  <c r="D490" i="29" s="1"/>
  <c r="AL490" i="29"/>
  <c r="C490" i="29" s="1"/>
  <c r="E463" i="4" l="1"/>
  <c r="BS463" i="4"/>
  <c r="D463" i="4" s="1"/>
  <c r="BR465" i="4"/>
  <c r="BQ464" i="4"/>
  <c r="A402" i="29"/>
  <c r="AL491" i="29"/>
  <c r="C491" i="29" s="1"/>
  <c r="AK491" i="29"/>
  <c r="D491" i="29" s="1"/>
  <c r="BS464" i="4" l="1"/>
  <c r="D464" i="4" s="1"/>
  <c r="E464" i="4"/>
  <c r="BR466" i="4"/>
  <c r="BQ465" i="4"/>
  <c r="A403" i="29"/>
  <c r="AK492" i="29"/>
  <c r="D492" i="29" s="1"/>
  <c r="AL492" i="29"/>
  <c r="C492" i="29" s="1"/>
  <c r="BS465" i="4" l="1"/>
  <c r="D465" i="4" s="1"/>
  <c r="E465" i="4"/>
  <c r="BR467" i="4"/>
  <c r="BQ466" i="4"/>
  <c r="A404" i="29"/>
  <c r="AL493" i="29"/>
  <c r="C493" i="29" s="1"/>
  <c r="AK493" i="29"/>
  <c r="D493" i="29" s="1"/>
  <c r="BS466" i="4" l="1"/>
  <c r="D466" i="4" s="1"/>
  <c r="E466" i="4"/>
  <c r="BR468" i="4"/>
  <c r="BQ467" i="4"/>
  <c r="A405" i="29"/>
  <c r="AK494" i="29"/>
  <c r="D494" i="29" s="1"/>
  <c r="AL494" i="29"/>
  <c r="C494" i="29" s="1"/>
  <c r="BS467" i="4" l="1"/>
  <c r="D467" i="4" s="1"/>
  <c r="E467" i="4"/>
  <c r="BR469" i="4"/>
  <c r="BQ468" i="4"/>
  <c r="A406" i="29"/>
  <c r="AL495" i="29"/>
  <c r="C495" i="29" s="1"/>
  <c r="AK495" i="29"/>
  <c r="D495" i="29" s="1"/>
  <c r="BS468" i="4" l="1"/>
  <c r="D468" i="4" s="1"/>
  <c r="E468" i="4"/>
  <c r="BR470" i="4"/>
  <c r="BQ469" i="4"/>
  <c r="A407" i="29"/>
  <c r="AK496" i="29"/>
  <c r="D496" i="29" s="1"/>
  <c r="AL496" i="29"/>
  <c r="C496" i="29" s="1"/>
  <c r="BS469" i="4" l="1"/>
  <c r="D469" i="4" s="1"/>
  <c r="E469" i="4"/>
  <c r="BR471" i="4"/>
  <c r="BQ471" i="4" s="1"/>
  <c r="BQ470" i="4"/>
  <c r="A408" i="29"/>
  <c r="AL497" i="29"/>
  <c r="C497" i="29" s="1"/>
  <c r="AK497" i="29"/>
  <c r="D497" i="29" s="1"/>
  <c r="BS470" i="4" l="1"/>
  <c r="D470" i="4" s="1"/>
  <c r="E470" i="4"/>
  <c r="BS471" i="4"/>
  <c r="D471" i="4" s="1"/>
  <c r="E471" i="4"/>
  <c r="A409" i="29"/>
  <c r="AK498" i="29"/>
  <c r="D498" i="29" s="1"/>
  <c r="AL498" i="29"/>
  <c r="C498" i="29" s="1"/>
  <c r="A410" i="29" l="1"/>
  <c r="AL499" i="29"/>
  <c r="C499" i="29" s="1"/>
  <c r="AK499" i="29"/>
  <c r="D499" i="29" s="1"/>
  <c r="A411" i="29" l="1"/>
  <c r="AK500" i="29"/>
  <c r="D500" i="29" s="1"/>
  <c r="AL500" i="29"/>
  <c r="C500" i="29" s="1"/>
  <c r="A412" i="29" l="1"/>
  <c r="AL501" i="29"/>
  <c r="C501" i="29" s="1"/>
  <c r="AK501" i="29"/>
  <c r="D501" i="29" s="1"/>
  <c r="A413" i="29" l="1"/>
  <c r="AK502" i="29"/>
  <c r="D502" i="29" s="1"/>
  <c r="AL502" i="29"/>
  <c r="C502" i="29" s="1"/>
  <c r="A414" i="29" l="1"/>
  <c r="AL503" i="29"/>
  <c r="C503" i="29" s="1"/>
  <c r="AK503" i="29"/>
  <c r="D503" i="29" s="1"/>
  <c r="A415" i="29" l="1"/>
  <c r="AK504" i="29"/>
  <c r="D504" i="29" s="1"/>
  <c r="AL504" i="29"/>
  <c r="C504" i="29" s="1"/>
  <c r="A416" i="29" l="1"/>
  <c r="AL505" i="29"/>
  <c r="C505" i="29" s="1"/>
  <c r="AK505" i="29"/>
  <c r="D505" i="29" s="1"/>
  <c r="A417" i="29" l="1"/>
  <c r="AK506" i="29"/>
  <c r="D506" i="29" s="1"/>
  <c r="AL506" i="29"/>
  <c r="C506" i="29" s="1"/>
  <c r="A418" i="29" l="1"/>
  <c r="AL507" i="29"/>
  <c r="C507" i="29" s="1"/>
  <c r="AK507" i="29"/>
  <c r="D507" i="29" s="1"/>
  <c r="A419" i="29" l="1"/>
  <c r="AK508" i="29"/>
  <c r="D508" i="29" s="1"/>
  <c r="AL508" i="29"/>
  <c r="C508" i="29" s="1"/>
  <c r="A420" i="29" l="1"/>
  <c r="AL509" i="29"/>
  <c r="C509" i="29" s="1"/>
  <c r="AK509" i="29"/>
  <c r="D509" i="29" s="1"/>
  <c r="A421" i="29" l="1"/>
  <c r="AK510" i="29"/>
  <c r="D510" i="29" s="1"/>
  <c r="AL510" i="29"/>
  <c r="C510" i="29" s="1"/>
  <c r="A422" i="29" l="1"/>
  <c r="AL511" i="29"/>
  <c r="C511" i="29" s="1"/>
  <c r="AK511" i="29"/>
  <c r="D511" i="29" s="1"/>
  <c r="A423" i="29" l="1"/>
  <c r="AK512" i="29"/>
  <c r="D512" i="29" s="1"/>
  <c r="AL512" i="29"/>
  <c r="C512" i="29" s="1"/>
  <c r="A424" i="29" l="1"/>
  <c r="AL513" i="29"/>
  <c r="C513" i="29" s="1"/>
  <c r="AK513" i="29"/>
  <c r="D513" i="29" s="1"/>
  <c r="A425" i="29" l="1"/>
  <c r="AK514" i="29"/>
  <c r="D514" i="29" s="1"/>
  <c r="AL514" i="29"/>
  <c r="C514" i="29" s="1"/>
  <c r="A426" i="29" l="1"/>
  <c r="AL515" i="29"/>
  <c r="C515" i="29" s="1"/>
  <c r="AK515" i="29"/>
  <c r="D515" i="29" s="1"/>
  <c r="A427" i="29" l="1"/>
  <c r="AK516" i="29"/>
  <c r="D516" i="29" s="1"/>
  <c r="AL516" i="29"/>
  <c r="C516" i="29" s="1"/>
  <c r="A428" i="29" l="1"/>
  <c r="AL517" i="29"/>
  <c r="C517" i="29" s="1"/>
  <c r="AK517" i="29"/>
  <c r="D517" i="29" s="1"/>
  <c r="A429" i="29" l="1"/>
  <c r="AK518" i="29"/>
  <c r="D518" i="29" s="1"/>
  <c r="AL518" i="29"/>
  <c r="C518" i="29" s="1"/>
  <c r="A430" i="29" l="1"/>
  <c r="AL519" i="29"/>
  <c r="C519" i="29" s="1"/>
  <c r="AK519" i="29"/>
  <c r="D519" i="29" s="1"/>
  <c r="A431" i="29" l="1"/>
  <c r="AK520" i="29"/>
  <c r="D520" i="29" s="1"/>
  <c r="AL520" i="29"/>
  <c r="C520" i="29" s="1"/>
  <c r="A432" i="29" l="1"/>
  <c r="AL521" i="29"/>
  <c r="C521" i="29" s="1"/>
  <c r="AK521" i="29"/>
  <c r="D521" i="29" s="1"/>
  <c r="A433" i="29" l="1"/>
  <c r="AK522" i="29"/>
  <c r="D522" i="29" s="1"/>
  <c r="AL522" i="29"/>
  <c r="C522" i="29" s="1"/>
  <c r="A434" i="29" l="1"/>
  <c r="AL523" i="29"/>
  <c r="C523" i="29" s="1"/>
  <c r="AK523" i="29"/>
  <c r="D523" i="29" s="1"/>
  <c r="A435" i="29" l="1"/>
  <c r="AK524" i="29"/>
  <c r="D524" i="29" s="1"/>
  <c r="AL524" i="29"/>
  <c r="C524" i="29" s="1"/>
  <c r="A436" i="29" l="1"/>
  <c r="AL525" i="29"/>
  <c r="C525" i="29" s="1"/>
  <c r="AK525" i="29"/>
  <c r="D525" i="29" s="1"/>
  <c r="A437" i="29" l="1"/>
  <c r="AK526" i="29"/>
  <c r="D526" i="29" s="1"/>
  <c r="AL526" i="29"/>
  <c r="C526" i="29" s="1"/>
  <c r="A438" i="29" l="1"/>
  <c r="AL527" i="29"/>
  <c r="C527" i="29" s="1"/>
  <c r="AK527" i="29"/>
  <c r="D527" i="29" s="1"/>
  <c r="A439" i="29" l="1"/>
  <c r="AK528" i="29"/>
  <c r="D528" i="29" s="1"/>
  <c r="AL528" i="29"/>
  <c r="C528" i="29" s="1"/>
  <c r="A440" i="29" l="1"/>
  <c r="AL529" i="29"/>
  <c r="C529" i="29" s="1"/>
  <c r="AK529" i="29"/>
  <c r="D529" i="29" s="1"/>
  <c r="A441" i="29" l="1"/>
  <c r="AK530" i="29"/>
  <c r="D530" i="29" s="1"/>
  <c r="AL530" i="29"/>
  <c r="C530" i="29" s="1"/>
  <c r="A442" i="29" l="1"/>
  <c r="AL531" i="29"/>
  <c r="C531" i="29" s="1"/>
  <c r="AK531" i="29"/>
  <c r="D531" i="29" s="1"/>
  <c r="A443" i="29" l="1"/>
  <c r="AK532" i="29"/>
  <c r="D532" i="29" s="1"/>
  <c r="AL532" i="29"/>
  <c r="C532" i="29" s="1"/>
  <c r="A444" i="29" l="1"/>
  <c r="AL533" i="29"/>
  <c r="C533" i="29" s="1"/>
  <c r="AK533" i="29"/>
  <c r="D533" i="29" s="1"/>
  <c r="A445" i="29" l="1"/>
  <c r="AK534" i="29"/>
  <c r="D534" i="29" s="1"/>
  <c r="AL534" i="29"/>
  <c r="C534" i="29" s="1"/>
  <c r="A446" i="29" l="1"/>
  <c r="AL535" i="29"/>
  <c r="C535" i="29" s="1"/>
  <c r="AK535" i="29"/>
  <c r="D535" i="29" s="1"/>
  <c r="A447" i="29" l="1"/>
  <c r="AK536" i="29"/>
  <c r="D536" i="29" s="1"/>
  <c r="AL536" i="29"/>
  <c r="C536" i="29" s="1"/>
  <c r="A448" i="29" l="1"/>
  <c r="AL537" i="29"/>
  <c r="C537" i="29" s="1"/>
  <c r="AK537" i="29"/>
  <c r="D537" i="29" s="1"/>
  <c r="A449" i="29" l="1"/>
  <c r="AK538" i="29"/>
  <c r="D538" i="29" s="1"/>
  <c r="AL538" i="29"/>
  <c r="C538" i="29" s="1"/>
  <c r="A450" i="29" l="1"/>
  <c r="AL539" i="29"/>
  <c r="C539" i="29" s="1"/>
  <c r="AK539" i="29"/>
  <c r="D539" i="29" s="1"/>
  <c r="A451" i="29" l="1"/>
  <c r="AK540" i="29"/>
  <c r="D540" i="29" s="1"/>
  <c r="AL540" i="29"/>
  <c r="C540" i="29" s="1"/>
  <c r="A452" i="29" l="1"/>
  <c r="AL541" i="29"/>
  <c r="C541" i="29" s="1"/>
  <c r="AK541" i="29"/>
  <c r="D541" i="29" s="1"/>
  <c r="A453" i="29" l="1"/>
  <c r="AK542" i="29"/>
  <c r="D542" i="29" s="1"/>
  <c r="AL542" i="29"/>
  <c r="C542" i="29" s="1"/>
  <c r="A454" i="29" l="1"/>
  <c r="AL543" i="29"/>
  <c r="C543" i="29" s="1"/>
  <c r="AK543" i="29"/>
  <c r="D543" i="29" s="1"/>
  <c r="A455" i="29" l="1"/>
  <c r="AK544" i="29"/>
  <c r="D544" i="29" s="1"/>
  <c r="AL544" i="29"/>
  <c r="C544" i="29" s="1"/>
  <c r="A456" i="29" l="1"/>
  <c r="AL545" i="29"/>
  <c r="C545" i="29" s="1"/>
  <c r="AK545" i="29"/>
  <c r="D545" i="29" s="1"/>
  <c r="A457" i="29" l="1"/>
  <c r="AK546" i="29"/>
  <c r="D546" i="29" s="1"/>
  <c r="AL546" i="29"/>
  <c r="C546" i="29" s="1"/>
  <c r="A458" i="29" l="1"/>
  <c r="AL547" i="29"/>
  <c r="C547" i="29" s="1"/>
  <c r="AK547" i="29"/>
  <c r="D547" i="29" s="1"/>
  <c r="A459" i="29" l="1"/>
  <c r="AK548" i="29"/>
  <c r="D548" i="29" s="1"/>
  <c r="AL548" i="29"/>
  <c r="C548" i="29" s="1"/>
  <c r="A460" i="29" l="1"/>
  <c r="AL549" i="29"/>
  <c r="C549" i="29" s="1"/>
  <c r="AK549" i="29"/>
  <c r="D549" i="29" s="1"/>
  <c r="A461" i="29" l="1"/>
  <c r="AK550" i="29"/>
  <c r="D550" i="29" s="1"/>
  <c r="AL550" i="29"/>
  <c r="C550" i="29" s="1"/>
  <c r="A462" i="29" l="1"/>
  <c r="AL551" i="29"/>
  <c r="C551" i="29" s="1"/>
  <c r="AK551" i="29"/>
  <c r="D551" i="29" s="1"/>
  <c r="A463" i="29" l="1"/>
  <c r="AK552" i="29"/>
  <c r="D552" i="29" s="1"/>
  <c r="AL552" i="29"/>
  <c r="C552" i="29" s="1"/>
  <c r="A464" i="29" l="1"/>
  <c r="AL553" i="29"/>
  <c r="C553" i="29" s="1"/>
  <c r="AK553" i="29"/>
  <c r="D553" i="29" s="1"/>
  <c r="A465" i="29" l="1"/>
  <c r="AK554" i="29"/>
  <c r="D554" i="29" s="1"/>
  <c r="AL554" i="29"/>
  <c r="C554" i="29" s="1"/>
  <c r="A466" i="29" l="1"/>
  <c r="AL555" i="29"/>
  <c r="C555" i="29" s="1"/>
  <c r="AK555" i="29"/>
  <c r="D555" i="29" s="1"/>
  <c r="A467" i="29" l="1"/>
  <c r="AK556" i="29"/>
  <c r="D556" i="29" s="1"/>
  <c r="AL556" i="29"/>
  <c r="C556" i="29" s="1"/>
  <c r="A468" i="29" l="1"/>
  <c r="AL557" i="29"/>
  <c r="C557" i="29" s="1"/>
  <c r="AK557" i="29"/>
  <c r="D557" i="29" s="1"/>
  <c r="A469" i="29" l="1"/>
  <c r="AK558" i="29"/>
  <c r="D558" i="29" s="1"/>
  <c r="AL558" i="29"/>
  <c r="C558" i="29" s="1"/>
  <c r="A470" i="29" l="1"/>
  <c r="AL559" i="29"/>
  <c r="C559" i="29" s="1"/>
  <c r="AK559" i="29"/>
  <c r="D559" i="29" s="1"/>
  <c r="A471" i="29" l="1"/>
  <c r="AK560" i="29"/>
  <c r="D560" i="29" s="1"/>
  <c r="AL560" i="29"/>
  <c r="C560" i="29" s="1"/>
  <c r="A472" i="29" l="1"/>
  <c r="AL561" i="29"/>
  <c r="C561" i="29" s="1"/>
  <c r="AK561" i="29"/>
  <c r="D561" i="29" s="1"/>
  <c r="A473" i="29" l="1"/>
  <c r="AK562" i="29"/>
  <c r="D562" i="29" s="1"/>
  <c r="AL562" i="29"/>
  <c r="C562" i="29" s="1"/>
  <c r="A474" i="29" l="1"/>
  <c r="AL563" i="29"/>
  <c r="C563" i="29" s="1"/>
  <c r="AK563" i="29"/>
  <c r="D563" i="29" s="1"/>
  <c r="A475" i="29" l="1"/>
  <c r="AK564" i="29"/>
  <c r="D564" i="29" s="1"/>
  <c r="AL564" i="29"/>
  <c r="C564" i="29" s="1"/>
  <c r="A476" i="29" l="1"/>
  <c r="AL565" i="29"/>
  <c r="C565" i="29" s="1"/>
  <c r="AK565" i="29"/>
  <c r="D565" i="29" s="1"/>
  <c r="A477" i="29" l="1"/>
  <c r="AK566" i="29"/>
  <c r="D566" i="29" s="1"/>
  <c r="AL566" i="29"/>
  <c r="C566" i="29" s="1"/>
  <c r="A478" i="29" l="1"/>
  <c r="AL567" i="29"/>
  <c r="C567" i="29" s="1"/>
  <c r="AK567" i="29"/>
  <c r="D567" i="29" s="1"/>
  <c r="A479" i="29" l="1"/>
  <c r="AK568" i="29"/>
  <c r="D568" i="29" s="1"/>
  <c r="AL568" i="29"/>
  <c r="C568" i="29" s="1"/>
  <c r="A480" i="29" l="1"/>
  <c r="AL569" i="29"/>
  <c r="C569" i="29" s="1"/>
  <c r="AK569" i="29"/>
  <c r="D569" i="29" s="1"/>
  <c r="A481" i="29" l="1"/>
  <c r="AK570" i="29"/>
  <c r="D570" i="29" s="1"/>
  <c r="AL570" i="29"/>
  <c r="C570" i="29" s="1"/>
  <c r="A482" i="29" l="1"/>
  <c r="AL571" i="29"/>
  <c r="C571" i="29" s="1"/>
  <c r="AK571" i="29"/>
  <c r="D571" i="29" s="1"/>
  <c r="A483" i="29" l="1"/>
  <c r="AK572" i="29"/>
  <c r="D572" i="29" s="1"/>
  <c r="AL572" i="29"/>
  <c r="C572" i="29" s="1"/>
  <c r="A484" i="29" l="1"/>
  <c r="AL573" i="29"/>
  <c r="C573" i="29" s="1"/>
  <c r="AK573" i="29"/>
  <c r="D573" i="29" s="1"/>
  <c r="A485" i="29" l="1"/>
  <c r="AK574" i="29"/>
  <c r="D574" i="29" s="1"/>
  <c r="AL574" i="29"/>
  <c r="C574" i="29" s="1"/>
  <c r="A486" i="29" l="1"/>
  <c r="AL575" i="29"/>
  <c r="C575" i="29" s="1"/>
  <c r="AK575" i="29"/>
  <c r="D575" i="29" s="1"/>
  <c r="A487" i="29" l="1"/>
  <c r="AK576" i="29"/>
  <c r="D576" i="29" s="1"/>
  <c r="AL576" i="29"/>
  <c r="C576" i="29" s="1"/>
  <c r="A488" i="29" l="1"/>
  <c r="AL577" i="29"/>
  <c r="C577" i="29" s="1"/>
  <c r="AK577" i="29"/>
  <c r="D577" i="29" s="1"/>
  <c r="A489" i="29" l="1"/>
  <c r="AK578" i="29"/>
  <c r="D578" i="29" s="1"/>
  <c r="AL578" i="29"/>
  <c r="C578" i="29" s="1"/>
  <c r="A490" i="29" l="1"/>
  <c r="AL579" i="29"/>
  <c r="C579" i="29" s="1"/>
  <c r="AK579" i="29"/>
  <c r="D579" i="29" s="1"/>
  <c r="A491" i="29" l="1"/>
  <c r="AK580" i="29"/>
  <c r="D580" i="29" s="1"/>
  <c r="AL580" i="29"/>
  <c r="C580" i="29" s="1"/>
  <c r="A492" i="29" l="1"/>
  <c r="AL581" i="29"/>
  <c r="C581" i="29" s="1"/>
  <c r="AK581" i="29"/>
  <c r="D581" i="29" s="1"/>
  <c r="A493" i="29" l="1"/>
  <c r="AK582" i="29"/>
  <c r="D582" i="29" s="1"/>
  <c r="AL582" i="29"/>
  <c r="C582" i="29" s="1"/>
  <c r="A494" i="29" l="1"/>
  <c r="AL583" i="29"/>
  <c r="C583" i="29" s="1"/>
  <c r="AK583" i="29"/>
  <c r="D583" i="29" s="1"/>
  <c r="A495" i="29" l="1"/>
  <c r="AK584" i="29"/>
  <c r="D584" i="29" s="1"/>
  <c r="AL584" i="29"/>
  <c r="C584" i="29" s="1"/>
  <c r="A496" i="29" l="1"/>
  <c r="AL585" i="29"/>
  <c r="C585" i="29" s="1"/>
  <c r="AK585" i="29"/>
  <c r="D585" i="29" s="1"/>
  <c r="A497" i="29" l="1"/>
  <c r="AK586" i="29"/>
  <c r="D586" i="29" s="1"/>
  <c r="AL586" i="29"/>
  <c r="C586" i="29" s="1"/>
  <c r="A498" i="29" l="1"/>
  <c r="AL587" i="29"/>
  <c r="C587" i="29" s="1"/>
  <c r="AK587" i="29"/>
  <c r="D587" i="29" s="1"/>
  <c r="A499" i="29" l="1"/>
  <c r="AK588" i="29"/>
  <c r="D588" i="29" s="1"/>
  <c r="AL588" i="29"/>
  <c r="C588" i="29" s="1"/>
  <c r="A500" i="29" l="1"/>
  <c r="AL589" i="29"/>
  <c r="C589" i="29" s="1"/>
  <c r="AK589" i="29"/>
  <c r="D589" i="29" s="1"/>
  <c r="A501" i="29" l="1"/>
  <c r="AK590" i="29"/>
  <c r="D590" i="29" s="1"/>
  <c r="AL590" i="29"/>
  <c r="C590" i="29" s="1"/>
  <c r="A502" i="29" l="1"/>
  <c r="AL591" i="29"/>
  <c r="C591" i="29" s="1"/>
  <c r="AK591" i="29"/>
  <c r="D591" i="29" s="1"/>
  <c r="A503" i="29" l="1"/>
  <c r="AK592" i="29"/>
  <c r="D592" i="29" s="1"/>
  <c r="AL592" i="29"/>
  <c r="C592" i="29" s="1"/>
  <c r="A504" i="29" l="1"/>
  <c r="AL593" i="29"/>
  <c r="C593" i="29" s="1"/>
  <c r="AK593" i="29"/>
  <c r="D593" i="29" s="1"/>
  <c r="A505" i="29" l="1"/>
  <c r="AK594" i="29"/>
  <c r="D594" i="29" s="1"/>
  <c r="AL594" i="29"/>
  <c r="C594" i="29" s="1"/>
  <c r="A506" i="29" l="1"/>
  <c r="AL595" i="29"/>
  <c r="C595" i="29" s="1"/>
  <c r="AK595" i="29"/>
  <c r="D595" i="29" s="1"/>
  <c r="A507" i="29" l="1"/>
  <c r="AK596" i="29"/>
  <c r="D596" i="29" s="1"/>
  <c r="AL596" i="29"/>
  <c r="C596" i="29" s="1"/>
  <c r="A508" i="29" l="1"/>
  <c r="AL597" i="29"/>
  <c r="C597" i="29" s="1"/>
  <c r="AK597" i="29"/>
  <c r="D597" i="29" s="1"/>
  <c r="A509" i="29" l="1"/>
  <c r="AK598" i="29"/>
  <c r="D598" i="29" s="1"/>
  <c r="AL598" i="29"/>
  <c r="C598" i="29" s="1"/>
  <c r="A510" i="29" l="1"/>
  <c r="AL599" i="29"/>
  <c r="C599" i="29" s="1"/>
  <c r="AK599" i="29"/>
  <c r="D599" i="29" s="1"/>
  <c r="A511" i="29" l="1"/>
  <c r="AK600" i="29"/>
  <c r="D600" i="29" s="1"/>
  <c r="AL600" i="29"/>
  <c r="C600" i="29" s="1"/>
  <c r="A512" i="29" l="1"/>
  <c r="AL601" i="29"/>
  <c r="C601" i="29" s="1"/>
  <c r="AK601" i="29"/>
  <c r="D601" i="29" s="1"/>
  <c r="A513" i="29" l="1"/>
  <c r="AK602" i="29"/>
  <c r="D602" i="29" s="1"/>
  <c r="AL602" i="29"/>
  <c r="C602" i="29" s="1"/>
  <c r="A514" i="29" l="1"/>
  <c r="AL603" i="29"/>
  <c r="C603" i="29" s="1"/>
  <c r="AK603" i="29"/>
  <c r="D603" i="29" s="1"/>
  <c r="A515" i="29" l="1"/>
  <c r="AK604" i="29"/>
  <c r="D604" i="29" s="1"/>
  <c r="AL604" i="29"/>
  <c r="C604" i="29" s="1"/>
  <c r="A516" i="29" l="1"/>
  <c r="AL605" i="29"/>
  <c r="C605" i="29" s="1"/>
  <c r="AK605" i="29"/>
  <c r="D605" i="29" s="1"/>
  <c r="A517" i="29" l="1"/>
  <c r="AK606" i="29"/>
  <c r="D606" i="29" s="1"/>
  <c r="AL606" i="29"/>
  <c r="C606" i="29" s="1"/>
  <c r="A518" i="29" l="1"/>
  <c r="AL607" i="29"/>
  <c r="C607" i="29" s="1"/>
  <c r="AK607" i="29"/>
  <c r="D607" i="29" s="1"/>
  <c r="A519" i="29" l="1"/>
  <c r="AK608" i="29"/>
  <c r="D608" i="29" s="1"/>
  <c r="AL608" i="29"/>
  <c r="C608" i="29" s="1"/>
  <c r="A520" i="29" l="1"/>
  <c r="AL609" i="29"/>
  <c r="C609" i="29" s="1"/>
  <c r="AK609" i="29"/>
  <c r="D609" i="29" s="1"/>
  <c r="A521" i="29" l="1"/>
  <c r="AK610" i="29"/>
  <c r="D610" i="29" s="1"/>
  <c r="AL610" i="29"/>
  <c r="C610" i="29" s="1"/>
  <c r="A522" i="29" l="1"/>
  <c r="AL611" i="29"/>
  <c r="C611" i="29" s="1"/>
  <c r="AK611" i="29"/>
  <c r="D611" i="29" s="1"/>
  <c r="A523" i="29" l="1"/>
  <c r="AK612" i="29"/>
  <c r="D612" i="29" s="1"/>
  <c r="AL612" i="29"/>
  <c r="C612" i="29" s="1"/>
  <c r="A524" i="29" l="1"/>
  <c r="AL613" i="29"/>
  <c r="C613" i="29" s="1"/>
  <c r="AK613" i="29"/>
  <c r="D613" i="29" s="1"/>
  <c r="A525" i="29" l="1"/>
  <c r="AK614" i="29"/>
  <c r="D614" i="29" s="1"/>
  <c r="AL614" i="29"/>
  <c r="C614" i="29" s="1"/>
  <c r="A526" i="29" l="1"/>
  <c r="AL615" i="29"/>
  <c r="C615" i="29" s="1"/>
  <c r="AK615" i="29"/>
  <c r="D615" i="29" s="1"/>
  <c r="A527" i="29" l="1"/>
  <c r="AK616" i="29"/>
  <c r="D616" i="29" s="1"/>
  <c r="AL616" i="29"/>
  <c r="C616" i="29" s="1"/>
  <c r="A528" i="29" l="1"/>
  <c r="AL617" i="29"/>
  <c r="C617" i="29" s="1"/>
  <c r="AK617" i="29"/>
  <c r="D617" i="29" s="1"/>
  <c r="A529" i="29" l="1"/>
  <c r="AK618" i="29"/>
  <c r="D618" i="29" s="1"/>
  <c r="AL618" i="29"/>
  <c r="C618" i="29" s="1"/>
  <c r="A530" i="29" l="1"/>
  <c r="AL619" i="29"/>
  <c r="C619" i="29" s="1"/>
  <c r="AK619" i="29"/>
  <c r="D619" i="29" s="1"/>
  <c r="A531" i="29" l="1"/>
  <c r="AK620" i="29"/>
  <c r="D620" i="29" s="1"/>
  <c r="AL620" i="29"/>
  <c r="C620" i="29" s="1"/>
  <c r="A532" i="29" l="1"/>
  <c r="AL621" i="29"/>
  <c r="C621" i="29" s="1"/>
  <c r="AK621" i="29"/>
  <c r="D621" i="29" s="1"/>
  <c r="A533" i="29" l="1"/>
  <c r="AK622" i="29"/>
  <c r="D622" i="29" s="1"/>
  <c r="AL622" i="29"/>
  <c r="C622" i="29" s="1"/>
  <c r="A534" i="29" l="1"/>
  <c r="AL623" i="29"/>
  <c r="C623" i="29" s="1"/>
  <c r="AK623" i="29"/>
  <c r="D623" i="29" s="1"/>
  <c r="A535" i="29" l="1"/>
  <c r="AK624" i="29"/>
  <c r="D624" i="29" s="1"/>
  <c r="AL624" i="29"/>
  <c r="C624" i="29" s="1"/>
  <c r="A536" i="29" l="1"/>
  <c r="AL625" i="29"/>
  <c r="C625" i="29" s="1"/>
  <c r="AK625" i="29"/>
  <c r="D625" i="29" s="1"/>
  <c r="A537" i="29" l="1"/>
  <c r="AK626" i="29"/>
  <c r="D626" i="29" s="1"/>
  <c r="AL626" i="29"/>
  <c r="C626" i="29" s="1"/>
  <c r="A538" i="29" l="1"/>
  <c r="AL627" i="29"/>
  <c r="C627" i="29" s="1"/>
  <c r="AK627" i="29"/>
  <c r="D627" i="29" s="1"/>
  <c r="A539" i="29" l="1"/>
  <c r="AK628" i="29"/>
  <c r="D628" i="29" s="1"/>
  <c r="AL628" i="29"/>
  <c r="C628" i="29" s="1"/>
  <c r="A540" i="29" l="1"/>
  <c r="AL629" i="29"/>
  <c r="C629" i="29" s="1"/>
  <c r="AK629" i="29"/>
  <c r="D629" i="29" s="1"/>
  <c r="A541" i="29" l="1"/>
  <c r="AK630" i="29"/>
  <c r="D630" i="29" s="1"/>
  <c r="AL630" i="29"/>
  <c r="C630" i="29" s="1"/>
  <c r="A542" i="29" l="1"/>
  <c r="AL631" i="29"/>
  <c r="C631" i="29" s="1"/>
  <c r="AK631" i="29"/>
  <c r="D631" i="29" s="1"/>
  <c r="A543" i="29" l="1"/>
  <c r="AK632" i="29"/>
  <c r="D632" i="29" s="1"/>
  <c r="AL632" i="29"/>
  <c r="C632" i="29" s="1"/>
  <c r="A544" i="29" l="1"/>
  <c r="AL633" i="29"/>
  <c r="C633" i="29" s="1"/>
  <c r="AK633" i="29"/>
  <c r="D633" i="29" s="1"/>
  <c r="A545" i="29" l="1"/>
  <c r="AK634" i="29"/>
  <c r="D634" i="29" s="1"/>
  <c r="AL634" i="29"/>
  <c r="C634" i="29" s="1"/>
  <c r="A546" i="29" l="1"/>
  <c r="AL635" i="29"/>
  <c r="C635" i="29" s="1"/>
  <c r="AK635" i="29"/>
  <c r="D635" i="29" s="1"/>
  <c r="A547" i="29" l="1"/>
  <c r="AK636" i="29"/>
  <c r="D636" i="29" s="1"/>
  <c r="AL636" i="29"/>
  <c r="C636" i="29" s="1"/>
  <c r="A548" i="29" l="1"/>
  <c r="AL637" i="29"/>
  <c r="C637" i="29" s="1"/>
  <c r="AK637" i="29"/>
  <c r="D637" i="29" s="1"/>
  <c r="A549" i="29" l="1"/>
  <c r="AK638" i="29"/>
  <c r="D638" i="29" s="1"/>
  <c r="AL638" i="29"/>
  <c r="C638" i="29" s="1"/>
  <c r="A550" i="29" l="1"/>
  <c r="AL639" i="29"/>
  <c r="C639" i="29" s="1"/>
  <c r="AK639" i="29"/>
  <c r="D639" i="29" s="1"/>
  <c r="A551" i="29" l="1"/>
  <c r="AK640" i="29"/>
  <c r="D640" i="29" s="1"/>
  <c r="AL640" i="29"/>
  <c r="C640" i="29" s="1"/>
  <c r="A552" i="29" l="1"/>
  <c r="AL641" i="29"/>
  <c r="C641" i="29" s="1"/>
  <c r="AK641" i="29"/>
  <c r="D641" i="29" s="1"/>
  <c r="A553" i="29" l="1"/>
  <c r="AK642" i="29"/>
  <c r="D642" i="29" s="1"/>
  <c r="AL642" i="29"/>
  <c r="C642" i="29" s="1"/>
  <c r="A554" i="29" l="1"/>
  <c r="AL643" i="29"/>
  <c r="C643" i="29" s="1"/>
  <c r="AK643" i="29"/>
  <c r="D643" i="29" s="1"/>
  <c r="A555" i="29" l="1"/>
  <c r="AK644" i="29"/>
  <c r="D644" i="29" s="1"/>
  <c r="AL644" i="29"/>
  <c r="C644" i="29" s="1"/>
  <c r="A556" i="29" l="1"/>
  <c r="AL645" i="29"/>
  <c r="C645" i="29" s="1"/>
  <c r="AK645" i="29"/>
  <c r="D645" i="29" s="1"/>
  <c r="A557" i="29" l="1"/>
  <c r="AK646" i="29"/>
  <c r="D646" i="29" s="1"/>
  <c r="AL646" i="29"/>
  <c r="C646" i="29" s="1"/>
  <c r="A558" i="29" l="1"/>
  <c r="AL647" i="29"/>
  <c r="C647" i="29" s="1"/>
  <c r="AK647" i="29"/>
  <c r="D647" i="29" s="1"/>
  <c r="A559" i="29" l="1"/>
  <c r="AK648" i="29"/>
  <c r="D648" i="29" s="1"/>
  <c r="AL648" i="29"/>
  <c r="C648" i="29" s="1"/>
  <c r="A560" i="29" l="1"/>
  <c r="AL649" i="29"/>
  <c r="C649" i="29" s="1"/>
  <c r="AK649" i="29"/>
  <c r="D649" i="29" s="1"/>
  <c r="A561" i="29" l="1"/>
  <c r="AK650" i="29"/>
  <c r="D650" i="29" s="1"/>
  <c r="AL650" i="29"/>
  <c r="C650" i="29" s="1"/>
  <c r="A562" i="29" l="1"/>
  <c r="AL651" i="29"/>
  <c r="C651" i="29" s="1"/>
  <c r="AK651" i="29"/>
  <c r="D651" i="29" s="1"/>
  <c r="A563" i="29" l="1"/>
  <c r="AK652" i="29"/>
  <c r="D652" i="29" s="1"/>
  <c r="AL652" i="29"/>
  <c r="C652" i="29" s="1"/>
  <c r="A564" i="29" l="1"/>
  <c r="AL653" i="29"/>
  <c r="C653" i="29" s="1"/>
  <c r="AK653" i="29"/>
  <c r="D653" i="29" s="1"/>
  <c r="A565" i="29" l="1"/>
  <c r="AK654" i="29"/>
  <c r="D654" i="29" s="1"/>
  <c r="AL654" i="29"/>
  <c r="C654" i="29" s="1"/>
  <c r="A566" i="29" l="1"/>
  <c r="AL655" i="29"/>
  <c r="C655" i="29" s="1"/>
  <c r="AK655" i="29"/>
  <c r="D655" i="29" s="1"/>
  <c r="A567" i="29" l="1"/>
  <c r="AK656" i="29"/>
  <c r="D656" i="29" s="1"/>
  <c r="AL656" i="29"/>
  <c r="C656" i="29" s="1"/>
  <c r="A568" i="29" l="1"/>
  <c r="AL657" i="29"/>
  <c r="C657" i="29" s="1"/>
  <c r="AK657" i="29"/>
  <c r="D657" i="29" s="1"/>
  <c r="A569" i="29" l="1"/>
  <c r="AK658" i="29"/>
  <c r="D658" i="29" s="1"/>
  <c r="AL658" i="29"/>
  <c r="C658" i="29" s="1"/>
  <c r="A570" i="29" l="1"/>
  <c r="AL659" i="29"/>
  <c r="C659" i="29" s="1"/>
  <c r="AK659" i="29"/>
  <c r="D659" i="29" s="1"/>
  <c r="A571" i="29" l="1"/>
  <c r="AK660" i="29"/>
  <c r="D660" i="29" s="1"/>
  <c r="AL660" i="29"/>
  <c r="C660" i="29" s="1"/>
  <c r="A572" i="29" l="1"/>
  <c r="AL661" i="29"/>
  <c r="C661" i="29" s="1"/>
  <c r="AK661" i="29"/>
  <c r="D661" i="29" s="1"/>
  <c r="A573" i="29" l="1"/>
  <c r="AK662" i="29"/>
  <c r="D662" i="29" s="1"/>
  <c r="AL662" i="29"/>
  <c r="C662" i="29" s="1"/>
  <c r="A574" i="29" l="1"/>
  <c r="AL663" i="29"/>
  <c r="C663" i="29" s="1"/>
  <c r="AK663" i="29"/>
  <c r="D663" i="29" s="1"/>
  <c r="A575" i="29" l="1"/>
  <c r="AK664" i="29"/>
  <c r="D664" i="29" s="1"/>
  <c r="AL664" i="29"/>
  <c r="C664" i="29" s="1"/>
  <c r="A576" i="29" l="1"/>
  <c r="AL665" i="29"/>
  <c r="C665" i="29" s="1"/>
  <c r="AK665" i="29"/>
  <c r="D665" i="29" s="1"/>
  <c r="A577" i="29" l="1"/>
  <c r="AK666" i="29"/>
  <c r="D666" i="29" s="1"/>
  <c r="AL666" i="29"/>
  <c r="C666" i="29" s="1"/>
  <c r="A578" i="29" l="1"/>
  <c r="AL667" i="29"/>
  <c r="C667" i="29" s="1"/>
  <c r="AK667" i="29"/>
  <c r="D667" i="29" s="1"/>
  <c r="A579" i="29" l="1"/>
  <c r="AK668" i="29"/>
  <c r="D668" i="29" s="1"/>
  <c r="AL668" i="29"/>
  <c r="C668" i="29" s="1"/>
  <c r="A580" i="29" l="1"/>
  <c r="AL669" i="29"/>
  <c r="C669" i="29" s="1"/>
  <c r="AK669" i="29"/>
  <c r="D669" i="29" s="1"/>
  <c r="A581" i="29" l="1"/>
  <c r="AK670" i="29"/>
  <c r="D670" i="29" s="1"/>
  <c r="AL670" i="29"/>
  <c r="C670" i="29" s="1"/>
  <c r="A582" i="29" l="1"/>
  <c r="AL671" i="29"/>
  <c r="C671" i="29" s="1"/>
  <c r="AK671" i="29"/>
  <c r="D671" i="29" s="1"/>
  <c r="A583" i="29" l="1"/>
  <c r="AK672" i="29"/>
  <c r="D672" i="29" s="1"/>
  <c r="AL672" i="29"/>
  <c r="C672" i="29" s="1"/>
  <c r="A584" i="29" l="1"/>
  <c r="AL673" i="29"/>
  <c r="C673" i="29" s="1"/>
  <c r="AK673" i="29"/>
  <c r="D673" i="29" s="1"/>
  <c r="A585" i="29" l="1"/>
  <c r="AK674" i="29"/>
  <c r="D674" i="29" s="1"/>
  <c r="AL674" i="29"/>
  <c r="C674" i="29" s="1"/>
  <c r="A586" i="29" l="1"/>
  <c r="AL675" i="29"/>
  <c r="C675" i="29" s="1"/>
  <c r="AK675" i="29"/>
  <c r="D675" i="29" s="1"/>
  <c r="A587" i="29" l="1"/>
  <c r="AK676" i="29"/>
  <c r="D676" i="29" s="1"/>
  <c r="AL676" i="29"/>
  <c r="C676" i="29" s="1"/>
  <c r="A588" i="29" l="1"/>
  <c r="AL677" i="29"/>
  <c r="C677" i="29" s="1"/>
  <c r="AK677" i="29"/>
  <c r="D677" i="29" s="1"/>
  <c r="A589" i="29" l="1"/>
  <c r="AK678" i="29"/>
  <c r="D678" i="29" s="1"/>
  <c r="AL678" i="29"/>
  <c r="C678" i="29" s="1"/>
  <c r="A590" i="29" l="1"/>
  <c r="AL679" i="29"/>
  <c r="C679" i="29" s="1"/>
  <c r="AK679" i="29"/>
  <c r="D679" i="29" s="1"/>
  <c r="A591" i="29" l="1"/>
  <c r="AK680" i="29"/>
  <c r="D680" i="29" s="1"/>
  <c r="AL680" i="29"/>
  <c r="C680" i="29" s="1"/>
  <c r="A592" i="29" l="1"/>
  <c r="AL681" i="29"/>
  <c r="C681" i="29" s="1"/>
  <c r="AK681" i="29"/>
  <c r="D681" i="29" s="1"/>
  <c r="A593" i="29" l="1"/>
  <c r="AK682" i="29"/>
  <c r="D682" i="29" s="1"/>
  <c r="AL682" i="29"/>
  <c r="C682" i="29" s="1"/>
  <c r="A594" i="29" l="1"/>
  <c r="AL683" i="29"/>
  <c r="C683" i="29" s="1"/>
  <c r="AK683" i="29"/>
  <c r="D683" i="29" s="1"/>
  <c r="A595" i="29" l="1"/>
  <c r="AK684" i="29"/>
  <c r="D684" i="29" s="1"/>
  <c r="AL684" i="29"/>
  <c r="C684" i="29" s="1"/>
  <c r="A596" i="29" l="1"/>
  <c r="AL685" i="29"/>
  <c r="C685" i="29" s="1"/>
  <c r="AK685" i="29"/>
  <c r="D685" i="29" s="1"/>
  <c r="A597" i="29" l="1"/>
  <c r="AK686" i="29"/>
  <c r="D686" i="29" s="1"/>
  <c r="AL686" i="29"/>
  <c r="C686" i="29" s="1"/>
  <c r="A598" i="29" l="1"/>
  <c r="AL687" i="29"/>
  <c r="C687" i="29" s="1"/>
  <c r="AK687" i="29"/>
  <c r="D687" i="29" s="1"/>
  <c r="A599" i="29" l="1"/>
  <c r="AK688" i="29"/>
  <c r="D688" i="29" s="1"/>
  <c r="AL688" i="29"/>
  <c r="C688" i="29" s="1"/>
  <c r="A600" i="29" l="1"/>
  <c r="AL689" i="29"/>
  <c r="C689" i="29" s="1"/>
  <c r="AK689" i="29"/>
  <c r="D689" i="29" s="1"/>
  <c r="A601" i="29" l="1"/>
  <c r="AK690" i="29"/>
  <c r="D690" i="29" s="1"/>
  <c r="AL690" i="29"/>
  <c r="C690" i="29" s="1"/>
  <c r="A602" i="29" l="1"/>
  <c r="AL691" i="29"/>
  <c r="C691" i="29" s="1"/>
  <c r="AK691" i="29"/>
  <c r="D691" i="29" s="1"/>
  <c r="A603" i="29" l="1"/>
  <c r="AK692" i="29"/>
  <c r="D692" i="29" s="1"/>
  <c r="AL692" i="29"/>
  <c r="C692" i="29" s="1"/>
  <c r="A604" i="29" l="1"/>
  <c r="AL693" i="29"/>
  <c r="C693" i="29" s="1"/>
  <c r="AK693" i="29"/>
  <c r="D693" i="29" s="1"/>
  <c r="A605" i="29" l="1"/>
  <c r="AK694" i="29"/>
  <c r="D694" i="29" s="1"/>
  <c r="AL694" i="29"/>
  <c r="C694" i="29" s="1"/>
  <c r="A606" i="29" l="1"/>
  <c r="AL695" i="29"/>
  <c r="C695" i="29" s="1"/>
  <c r="AK695" i="29"/>
  <c r="D695" i="29" s="1"/>
  <c r="A607" i="29" l="1"/>
  <c r="AK696" i="29"/>
  <c r="D696" i="29" s="1"/>
  <c r="AL696" i="29"/>
  <c r="C696" i="29" s="1"/>
  <c r="A608" i="29" l="1"/>
  <c r="AL697" i="29"/>
  <c r="C697" i="29" s="1"/>
  <c r="AK697" i="29"/>
  <c r="D697" i="29" s="1"/>
  <c r="A609" i="29" l="1"/>
  <c r="AK698" i="29"/>
  <c r="D698" i="29" s="1"/>
  <c r="AL698" i="29"/>
  <c r="C698" i="29" s="1"/>
  <c r="A610" i="29" l="1"/>
  <c r="AL699" i="29"/>
  <c r="C699" i="29" s="1"/>
  <c r="AK699" i="29"/>
  <c r="D699" i="29" s="1"/>
  <c r="A611" i="29" l="1"/>
  <c r="AK700" i="29"/>
  <c r="D700" i="29" s="1"/>
  <c r="AL700" i="29"/>
  <c r="C700" i="29" s="1"/>
  <c r="A612" i="29" l="1"/>
  <c r="AL701" i="29"/>
  <c r="C701" i="29" s="1"/>
  <c r="AK701" i="29"/>
  <c r="D701" i="29" s="1"/>
  <c r="A613" i="29" l="1"/>
  <c r="AK702" i="29"/>
  <c r="D702" i="29" s="1"/>
  <c r="AL702" i="29"/>
  <c r="C702" i="29" s="1"/>
  <c r="A614" i="29" l="1"/>
  <c r="AL703" i="29"/>
  <c r="C703" i="29" s="1"/>
  <c r="AK703" i="29"/>
  <c r="D703" i="29" s="1"/>
  <c r="A615" i="29" l="1"/>
  <c r="AK704" i="29"/>
  <c r="D704" i="29" s="1"/>
  <c r="AL704" i="29"/>
  <c r="C704" i="29" s="1"/>
  <c r="A616" i="29" l="1"/>
  <c r="AL705" i="29"/>
  <c r="C705" i="29" s="1"/>
  <c r="AK705" i="29"/>
  <c r="D705" i="29" s="1"/>
  <c r="A617" i="29" l="1"/>
  <c r="AK706" i="29"/>
  <c r="D706" i="29" s="1"/>
  <c r="AL706" i="29"/>
  <c r="C706" i="29" s="1"/>
  <c r="A618" i="29" l="1"/>
  <c r="AL707" i="29"/>
  <c r="C707" i="29" s="1"/>
  <c r="AK707" i="29"/>
  <c r="D707" i="29" s="1"/>
  <c r="A619" i="29" l="1"/>
  <c r="AK708" i="29"/>
  <c r="D708" i="29" s="1"/>
  <c r="AL708" i="29"/>
  <c r="C708" i="29" s="1"/>
  <c r="A620" i="29" l="1"/>
  <c r="AL709" i="29"/>
  <c r="C709" i="29" s="1"/>
  <c r="AK709" i="29"/>
  <c r="D709" i="29" s="1"/>
  <c r="A621" i="29" l="1"/>
  <c r="AK710" i="29"/>
  <c r="D710" i="29" s="1"/>
  <c r="AL710" i="29"/>
  <c r="C710" i="29" s="1"/>
  <c r="A622" i="29" l="1"/>
  <c r="AL711" i="29"/>
  <c r="C711" i="29" s="1"/>
  <c r="AK711" i="29"/>
  <c r="D711" i="29" s="1"/>
  <c r="A623" i="29" l="1"/>
  <c r="AK712" i="29"/>
  <c r="D712" i="29" s="1"/>
  <c r="AL712" i="29"/>
  <c r="C712" i="29" s="1"/>
  <c r="A624" i="29" l="1"/>
  <c r="AL713" i="29"/>
  <c r="C713" i="29" s="1"/>
  <c r="AK713" i="29"/>
  <c r="D713" i="29" s="1"/>
  <c r="A625" i="29" l="1"/>
  <c r="AK714" i="29"/>
  <c r="D714" i="29" s="1"/>
  <c r="AL714" i="29"/>
  <c r="C714" i="29" s="1"/>
  <c r="A626" i="29" l="1"/>
  <c r="AL715" i="29"/>
  <c r="C715" i="29" s="1"/>
  <c r="AK715" i="29"/>
  <c r="D715" i="29" s="1"/>
  <c r="A627" i="29" l="1"/>
  <c r="AK716" i="29"/>
  <c r="D716" i="29" s="1"/>
  <c r="AL716" i="29"/>
  <c r="C716" i="29" s="1"/>
  <c r="A628" i="29" l="1"/>
  <c r="AL717" i="29"/>
  <c r="C717" i="29" s="1"/>
  <c r="AK717" i="29"/>
  <c r="D717" i="29" s="1"/>
  <c r="A629" i="29" l="1"/>
  <c r="AK718" i="29"/>
  <c r="D718" i="29" s="1"/>
  <c r="AL718" i="29"/>
  <c r="C718" i="29" s="1"/>
  <c r="A630" i="29" l="1"/>
  <c r="AL719" i="29"/>
  <c r="C719" i="29" s="1"/>
  <c r="AK719" i="29"/>
  <c r="D719" i="29" s="1"/>
  <c r="A631" i="29" l="1"/>
  <c r="AK720" i="29"/>
  <c r="D720" i="29" s="1"/>
  <c r="AL720" i="29"/>
  <c r="C720" i="29" s="1"/>
  <c r="A632" i="29" l="1"/>
  <c r="AL721" i="29"/>
  <c r="C721" i="29" s="1"/>
  <c r="AK721" i="29"/>
  <c r="D721" i="29" s="1"/>
  <c r="A633" i="29" l="1"/>
  <c r="AK722" i="29"/>
  <c r="D722" i="29" s="1"/>
  <c r="AL722" i="29"/>
  <c r="C722" i="29" s="1"/>
  <c r="A634" i="29" l="1"/>
  <c r="AL723" i="29"/>
  <c r="C723" i="29" s="1"/>
  <c r="AK723" i="29"/>
  <c r="D723" i="29" s="1"/>
  <c r="A635" i="29" l="1"/>
  <c r="AK724" i="29"/>
  <c r="D724" i="29" s="1"/>
  <c r="AL724" i="29"/>
  <c r="C724" i="29" s="1"/>
  <c r="A636" i="29" l="1"/>
  <c r="AL725" i="29"/>
  <c r="C725" i="29" s="1"/>
  <c r="AK725" i="29"/>
  <c r="D725" i="29" s="1"/>
  <c r="A637" i="29" l="1"/>
  <c r="AK726" i="29"/>
  <c r="D726" i="29" s="1"/>
  <c r="AL726" i="29"/>
  <c r="C726" i="29" s="1"/>
  <c r="A638" i="29" l="1"/>
  <c r="AL727" i="29"/>
  <c r="C727" i="29" s="1"/>
  <c r="AK727" i="29"/>
  <c r="D727" i="29" s="1"/>
  <c r="A639" i="29" l="1"/>
  <c r="AK728" i="29"/>
  <c r="D728" i="29" s="1"/>
  <c r="AL728" i="29"/>
  <c r="C728" i="29" s="1"/>
  <c r="A640" i="29" l="1"/>
  <c r="AL729" i="29"/>
  <c r="C729" i="29" s="1"/>
  <c r="AK729" i="29"/>
  <c r="D729" i="29" s="1"/>
  <c r="A641" i="29" l="1"/>
  <c r="AK730" i="29"/>
  <c r="D730" i="29" s="1"/>
  <c r="AL730" i="29"/>
  <c r="C730" i="29" s="1"/>
  <c r="A642" i="29" l="1"/>
  <c r="AL731" i="29"/>
  <c r="C731" i="29" s="1"/>
  <c r="AK731" i="29"/>
  <c r="D731" i="29" s="1"/>
  <c r="A643" i="29" l="1"/>
  <c r="AK732" i="29"/>
  <c r="D732" i="29" s="1"/>
  <c r="AL732" i="29"/>
  <c r="C732" i="29" s="1"/>
  <c r="A644" i="29" l="1"/>
  <c r="AL733" i="29"/>
  <c r="C733" i="29" s="1"/>
  <c r="AK733" i="29"/>
  <c r="D733" i="29" s="1"/>
  <c r="A645" i="29" l="1"/>
  <c r="AK734" i="29"/>
  <c r="D734" i="29" s="1"/>
  <c r="AL734" i="29"/>
  <c r="C734" i="29" s="1"/>
  <c r="A646" i="29" l="1"/>
  <c r="AL735" i="29"/>
  <c r="C735" i="29" s="1"/>
  <c r="AK735" i="29"/>
  <c r="D735" i="29" s="1"/>
  <c r="A647" i="29" l="1"/>
  <c r="AK736" i="29"/>
  <c r="D736" i="29" s="1"/>
  <c r="AL736" i="29"/>
  <c r="C736" i="29" s="1"/>
  <c r="A648" i="29" l="1"/>
  <c r="AL737" i="29"/>
  <c r="C737" i="29" s="1"/>
  <c r="AK737" i="29"/>
  <c r="D737" i="29" s="1"/>
  <c r="A649" i="29" l="1"/>
  <c r="AK738" i="29"/>
  <c r="D738" i="29" s="1"/>
  <c r="AL738" i="29"/>
  <c r="C738" i="29" s="1"/>
  <c r="A650" i="29" l="1"/>
  <c r="AL739" i="29"/>
  <c r="C739" i="29" s="1"/>
  <c r="AK739" i="29"/>
  <c r="D739" i="29" s="1"/>
  <c r="A651" i="29" l="1"/>
  <c r="AK740" i="29"/>
  <c r="D740" i="29" s="1"/>
  <c r="AL740" i="29"/>
  <c r="C740" i="29" s="1"/>
  <c r="A652" i="29" l="1"/>
  <c r="AL741" i="29"/>
  <c r="C741" i="29" s="1"/>
  <c r="AK741" i="29"/>
  <c r="D741" i="29" s="1"/>
  <c r="A653" i="29" l="1"/>
  <c r="AK742" i="29"/>
  <c r="D742" i="29" s="1"/>
  <c r="AL742" i="29"/>
  <c r="C742" i="29" s="1"/>
  <c r="A654" i="29" l="1"/>
  <c r="AL743" i="29"/>
  <c r="C743" i="29" s="1"/>
  <c r="AK743" i="29"/>
  <c r="D743" i="29" s="1"/>
  <c r="A655" i="29" l="1"/>
  <c r="AK744" i="29"/>
  <c r="D744" i="29" s="1"/>
  <c r="AL744" i="29"/>
  <c r="C744" i="29" s="1"/>
  <c r="A656" i="29" l="1"/>
  <c r="AL745" i="29"/>
  <c r="C745" i="29" s="1"/>
  <c r="AK745" i="29"/>
  <c r="D745" i="29" s="1"/>
  <c r="A657" i="29" l="1"/>
  <c r="AK746" i="29"/>
  <c r="D746" i="29" s="1"/>
  <c r="AL746" i="29"/>
  <c r="C746" i="29" s="1"/>
  <c r="A658" i="29" l="1"/>
  <c r="AL747" i="29"/>
  <c r="C747" i="29" s="1"/>
  <c r="AK747" i="29"/>
  <c r="D747" i="29" s="1"/>
  <c r="A659" i="29" l="1"/>
  <c r="AK748" i="29"/>
  <c r="D748" i="29" s="1"/>
  <c r="AL748" i="29"/>
  <c r="C748" i="29" s="1"/>
  <c r="A660" i="29" l="1"/>
  <c r="AL749" i="29"/>
  <c r="C749" i="29" s="1"/>
  <c r="AK749" i="29"/>
  <c r="D749" i="29" s="1"/>
  <c r="A661" i="29" l="1"/>
  <c r="AK750" i="29"/>
  <c r="D750" i="29" s="1"/>
  <c r="AL750" i="29"/>
  <c r="C750" i="29" s="1"/>
  <c r="A662" i="29" l="1"/>
  <c r="AL751" i="29"/>
  <c r="C751" i="29" s="1"/>
  <c r="AK751" i="29"/>
  <c r="D751" i="29" s="1"/>
  <c r="A663" i="29" l="1"/>
  <c r="AK752" i="29"/>
  <c r="D752" i="29" s="1"/>
  <c r="AL752" i="29"/>
  <c r="C752" i="29" s="1"/>
  <c r="A664" i="29" l="1"/>
  <c r="AL753" i="29"/>
  <c r="C753" i="29" s="1"/>
  <c r="AK753" i="29"/>
  <c r="D753" i="29" s="1"/>
  <c r="A665" i="29" l="1"/>
  <c r="AK754" i="29"/>
  <c r="D754" i="29" s="1"/>
  <c r="AL754" i="29"/>
  <c r="C754" i="29" s="1"/>
  <c r="A666" i="29" l="1"/>
  <c r="AL755" i="29"/>
  <c r="C755" i="29" s="1"/>
  <c r="AK755" i="29"/>
  <c r="D755" i="29" s="1"/>
  <c r="A667" i="29" l="1"/>
  <c r="AK756" i="29"/>
  <c r="D756" i="29" s="1"/>
  <c r="AL756" i="29"/>
  <c r="C756" i="29" s="1"/>
  <c r="A668" i="29" l="1"/>
  <c r="AL757" i="29"/>
  <c r="C757" i="29" s="1"/>
  <c r="AK757" i="29"/>
  <c r="D757" i="29" s="1"/>
  <c r="A669" i="29" l="1"/>
  <c r="AK758" i="29"/>
  <c r="D758" i="29" s="1"/>
  <c r="AL758" i="29"/>
  <c r="C758" i="29" s="1"/>
  <c r="A670" i="29" l="1"/>
  <c r="AL759" i="29"/>
  <c r="C759" i="29" s="1"/>
  <c r="AK759" i="29"/>
  <c r="D759" i="29" s="1"/>
  <c r="A671" i="29" l="1"/>
  <c r="AK760" i="29"/>
  <c r="D760" i="29" s="1"/>
  <c r="AL760" i="29"/>
  <c r="C760" i="29" s="1"/>
  <c r="A672" i="29" l="1"/>
  <c r="AL761" i="29"/>
  <c r="C761" i="29" s="1"/>
  <c r="AK761" i="29"/>
  <c r="D761" i="29" s="1"/>
  <c r="A673" i="29" l="1"/>
  <c r="AK762" i="29"/>
  <c r="D762" i="29" s="1"/>
  <c r="AL762" i="29"/>
  <c r="C762" i="29" s="1"/>
  <c r="A674" i="29" l="1"/>
  <c r="AL763" i="29"/>
  <c r="C763" i="29" s="1"/>
  <c r="AK763" i="29"/>
  <c r="D763" i="29" s="1"/>
  <c r="A675" i="29" l="1"/>
  <c r="AK764" i="29"/>
  <c r="D764" i="29" s="1"/>
  <c r="AL764" i="29"/>
  <c r="C764" i="29" s="1"/>
  <c r="A676" i="29" l="1"/>
  <c r="AL765" i="29"/>
  <c r="C765" i="29" s="1"/>
  <c r="AK765" i="29"/>
  <c r="D765" i="29" s="1"/>
  <c r="A677" i="29" l="1"/>
  <c r="AK766" i="29"/>
  <c r="D766" i="29" s="1"/>
  <c r="AL766" i="29"/>
  <c r="C766" i="29" s="1"/>
  <c r="A678" i="29" l="1"/>
  <c r="AL767" i="29"/>
  <c r="C767" i="29" s="1"/>
  <c r="AK767" i="29"/>
  <c r="D767" i="29" s="1"/>
  <c r="A679" i="29" l="1"/>
  <c r="AK768" i="29"/>
  <c r="D768" i="29" s="1"/>
  <c r="AL768" i="29"/>
  <c r="C768" i="29" s="1"/>
  <c r="A680" i="29" l="1"/>
  <c r="AL769" i="29"/>
  <c r="C769" i="29" s="1"/>
  <c r="AK769" i="29"/>
  <c r="D769" i="29" s="1"/>
  <c r="A681" i="29" l="1"/>
  <c r="AK770" i="29"/>
  <c r="D770" i="29" s="1"/>
  <c r="AL770" i="29"/>
  <c r="C770" i="29" s="1"/>
  <c r="A682" i="29" l="1"/>
  <c r="AL771" i="29"/>
  <c r="C771" i="29" s="1"/>
  <c r="AK771" i="29"/>
  <c r="D771" i="29" s="1"/>
  <c r="A683" i="29" l="1"/>
  <c r="AK772" i="29"/>
  <c r="D772" i="29" s="1"/>
  <c r="AL772" i="29"/>
  <c r="C772" i="29" s="1"/>
  <c r="A684" i="29" l="1"/>
  <c r="AL773" i="29"/>
  <c r="C773" i="29" s="1"/>
  <c r="AK773" i="29"/>
  <c r="D773" i="29" s="1"/>
  <c r="A685" i="29" l="1"/>
  <c r="AK774" i="29"/>
  <c r="D774" i="29" s="1"/>
  <c r="AL774" i="29"/>
  <c r="C774" i="29" s="1"/>
  <c r="A686" i="29" l="1"/>
  <c r="AL775" i="29"/>
  <c r="C775" i="29" s="1"/>
  <c r="AK775" i="29"/>
  <c r="D775" i="29" s="1"/>
  <c r="A687" i="29" l="1"/>
  <c r="AK776" i="29"/>
  <c r="D776" i="29" s="1"/>
  <c r="AL776" i="29"/>
  <c r="C776" i="29" s="1"/>
  <c r="A688" i="29" l="1"/>
  <c r="AL777" i="29"/>
  <c r="C777" i="29" s="1"/>
  <c r="AK777" i="29"/>
  <c r="D777" i="29" s="1"/>
  <c r="A689" i="29" l="1"/>
  <c r="AK778" i="29"/>
  <c r="D778" i="29" s="1"/>
  <c r="AL778" i="29"/>
  <c r="C778" i="29" s="1"/>
  <c r="A690" i="29" l="1"/>
  <c r="AL779" i="29"/>
  <c r="C779" i="29" s="1"/>
  <c r="AK779" i="29"/>
  <c r="D779" i="29" s="1"/>
  <c r="A691" i="29" l="1"/>
  <c r="AK780" i="29"/>
  <c r="D780" i="29" s="1"/>
  <c r="AL780" i="29"/>
  <c r="C780" i="29" s="1"/>
  <c r="A692" i="29" l="1"/>
  <c r="AL781" i="29"/>
  <c r="C781" i="29" s="1"/>
  <c r="AK781" i="29"/>
  <c r="D781" i="29" s="1"/>
  <c r="A693" i="29" l="1"/>
  <c r="AK782" i="29"/>
  <c r="D782" i="29" s="1"/>
  <c r="AL782" i="29"/>
  <c r="C782" i="29" s="1"/>
  <c r="A694" i="29" l="1"/>
  <c r="AL783" i="29"/>
  <c r="C783" i="29" s="1"/>
  <c r="AK783" i="29"/>
  <c r="D783" i="29" s="1"/>
  <c r="A695" i="29" l="1"/>
  <c r="AK784" i="29"/>
  <c r="D784" i="29" s="1"/>
  <c r="AL784" i="29"/>
  <c r="C784" i="29" s="1"/>
  <c r="A696" i="29" l="1"/>
  <c r="AL785" i="29"/>
  <c r="C785" i="29" s="1"/>
  <c r="AK785" i="29"/>
  <c r="D785" i="29" s="1"/>
  <c r="A697" i="29" l="1"/>
  <c r="AK786" i="29"/>
  <c r="D786" i="29" s="1"/>
  <c r="AL786" i="29"/>
  <c r="C786" i="29" s="1"/>
  <c r="A698" i="29" l="1"/>
  <c r="AL787" i="29"/>
  <c r="C787" i="29" s="1"/>
  <c r="AK787" i="29"/>
  <c r="D787" i="29" s="1"/>
  <c r="A699" i="29" l="1"/>
  <c r="AK788" i="29"/>
  <c r="D788" i="29" s="1"/>
  <c r="AL788" i="29"/>
  <c r="C788" i="29" s="1"/>
  <c r="A700" i="29" l="1"/>
  <c r="AL789" i="29"/>
  <c r="C789" i="29" s="1"/>
  <c r="AK789" i="29"/>
  <c r="D789" i="29" s="1"/>
  <c r="A701" i="29" l="1"/>
  <c r="AK790" i="29"/>
  <c r="D790" i="29" s="1"/>
  <c r="AL790" i="29"/>
  <c r="C790" i="29" s="1"/>
  <c r="A702" i="29" l="1"/>
  <c r="AL791" i="29"/>
  <c r="C791" i="29" s="1"/>
  <c r="AK791" i="29"/>
  <c r="D791" i="29" s="1"/>
  <c r="A703" i="29" l="1"/>
  <c r="AK792" i="29"/>
  <c r="D792" i="29" s="1"/>
  <c r="AL792" i="29"/>
  <c r="C792" i="29" s="1"/>
  <c r="A704" i="29" l="1"/>
  <c r="AL793" i="29"/>
  <c r="C793" i="29" s="1"/>
  <c r="AK793" i="29"/>
  <c r="D793" i="29" s="1"/>
  <c r="A705" i="29" l="1"/>
  <c r="AK794" i="29"/>
  <c r="D794" i="29" s="1"/>
  <c r="AL794" i="29"/>
  <c r="C794" i="29" s="1"/>
  <c r="A706" i="29" l="1"/>
  <c r="AL795" i="29"/>
  <c r="C795" i="29" s="1"/>
  <c r="AK795" i="29"/>
  <c r="D795" i="29" s="1"/>
  <c r="A707" i="29" l="1"/>
  <c r="AK796" i="29"/>
  <c r="D796" i="29" s="1"/>
  <c r="AL796" i="29"/>
  <c r="C796" i="29" s="1"/>
  <c r="A708" i="29" l="1"/>
  <c r="AL797" i="29"/>
  <c r="C797" i="29" s="1"/>
  <c r="AK797" i="29"/>
  <c r="D797" i="29" s="1"/>
  <c r="A709" i="29" l="1"/>
  <c r="AK798" i="29"/>
  <c r="D798" i="29" s="1"/>
  <c r="AL798" i="29"/>
  <c r="C798" i="29" s="1"/>
  <c r="A710" i="29" l="1"/>
  <c r="AL799" i="29"/>
  <c r="C799" i="29" s="1"/>
  <c r="AK799" i="29"/>
  <c r="D799" i="29" s="1"/>
  <c r="A711" i="29" l="1"/>
  <c r="AK800" i="29"/>
  <c r="D800" i="29" s="1"/>
  <c r="AL800" i="29"/>
  <c r="C800" i="29" s="1"/>
  <c r="A712" i="29" l="1"/>
  <c r="AL801" i="29"/>
  <c r="C801" i="29" s="1"/>
  <c r="AK801" i="29"/>
  <c r="D801" i="29" s="1"/>
  <c r="A713" i="29" l="1"/>
  <c r="AK802" i="29"/>
  <c r="D802" i="29" s="1"/>
  <c r="AL802" i="29"/>
  <c r="C802" i="29" s="1"/>
  <c r="A714" i="29" l="1"/>
  <c r="AL803" i="29"/>
  <c r="C803" i="29" s="1"/>
  <c r="AK803" i="29"/>
  <c r="D803" i="29" s="1"/>
  <c r="A715" i="29" l="1"/>
  <c r="AK804" i="29"/>
  <c r="D804" i="29" s="1"/>
  <c r="AL804" i="29"/>
  <c r="C804" i="29" s="1"/>
  <c r="A716" i="29" l="1"/>
  <c r="AL805" i="29"/>
  <c r="C805" i="29" s="1"/>
  <c r="AK805" i="29"/>
  <c r="D805" i="29" s="1"/>
  <c r="A717" i="29" l="1"/>
  <c r="AK806" i="29"/>
  <c r="D806" i="29" s="1"/>
  <c r="AL806" i="29"/>
  <c r="C806" i="29" s="1"/>
  <c r="A718" i="29" l="1"/>
  <c r="AL807" i="29"/>
  <c r="C807" i="29" s="1"/>
  <c r="AK807" i="29"/>
  <c r="D807" i="29" s="1"/>
  <c r="A719" i="29" l="1"/>
  <c r="AK808" i="29"/>
  <c r="D808" i="29" s="1"/>
  <c r="AL808" i="29"/>
  <c r="C808" i="29" s="1"/>
  <c r="A720" i="29" l="1"/>
  <c r="AL809" i="29"/>
  <c r="C809" i="29" s="1"/>
  <c r="AK809" i="29"/>
  <c r="D809" i="29" s="1"/>
  <c r="A721" i="29" l="1"/>
  <c r="AK810" i="29"/>
  <c r="D810" i="29" s="1"/>
  <c r="AL810" i="29"/>
  <c r="C810" i="29" s="1"/>
  <c r="A722" i="29" l="1"/>
  <c r="AL811" i="29"/>
  <c r="C811" i="29" s="1"/>
  <c r="AK811" i="29"/>
  <c r="D811" i="29" s="1"/>
  <c r="A723" i="29" l="1"/>
  <c r="AK812" i="29"/>
  <c r="D812" i="29" s="1"/>
  <c r="AL812" i="29"/>
  <c r="C812" i="29" s="1"/>
  <c r="A724" i="29" l="1"/>
  <c r="AL813" i="29"/>
  <c r="C813" i="29" s="1"/>
  <c r="AK813" i="29"/>
  <c r="D813" i="29" s="1"/>
  <c r="A725" i="29" l="1"/>
  <c r="AK814" i="29"/>
  <c r="D814" i="29" s="1"/>
  <c r="AL814" i="29"/>
  <c r="C814" i="29" s="1"/>
  <c r="A726" i="29" l="1"/>
  <c r="AL815" i="29"/>
  <c r="C815" i="29" s="1"/>
  <c r="AK815" i="29"/>
  <c r="D815" i="29" s="1"/>
  <c r="A727" i="29" l="1"/>
  <c r="AK816" i="29"/>
  <c r="D816" i="29" s="1"/>
  <c r="AL816" i="29"/>
  <c r="C816" i="29" s="1"/>
  <c r="A728" i="29" l="1"/>
  <c r="AL817" i="29"/>
  <c r="C817" i="29" s="1"/>
  <c r="AK817" i="29"/>
  <c r="D817" i="29" s="1"/>
  <c r="A729" i="29" l="1"/>
  <c r="AK818" i="29"/>
  <c r="D818" i="29" s="1"/>
  <c r="AL818" i="29"/>
  <c r="C818" i="29" s="1"/>
  <c r="A730" i="29" l="1"/>
  <c r="AL819" i="29"/>
  <c r="C819" i="29" s="1"/>
  <c r="AK819" i="29"/>
  <c r="D819" i="29" s="1"/>
  <c r="A731" i="29" l="1"/>
  <c r="AK820" i="29"/>
  <c r="D820" i="29" s="1"/>
  <c r="AL820" i="29"/>
  <c r="C820" i="29" s="1"/>
  <c r="A732" i="29" l="1"/>
  <c r="AL821" i="29"/>
  <c r="C821" i="29" s="1"/>
  <c r="AK821" i="29"/>
  <c r="D821" i="29" s="1"/>
  <c r="A733" i="29" l="1"/>
  <c r="AK822" i="29"/>
  <c r="D822" i="29" s="1"/>
  <c r="AL822" i="29"/>
  <c r="C822" i="29" s="1"/>
  <c r="A734" i="29" l="1"/>
  <c r="AL823" i="29"/>
  <c r="C823" i="29" s="1"/>
  <c r="AK823" i="29"/>
  <c r="D823" i="29" s="1"/>
  <c r="A735" i="29" l="1"/>
  <c r="AK824" i="29"/>
  <c r="D824" i="29" s="1"/>
  <c r="AL824" i="29"/>
  <c r="C824" i="29" s="1"/>
  <c r="A736" i="29" l="1"/>
  <c r="AL825" i="29"/>
  <c r="C825" i="29" s="1"/>
  <c r="AK825" i="29"/>
  <c r="D825" i="29" s="1"/>
  <c r="A737" i="29" l="1"/>
  <c r="AK826" i="29"/>
  <c r="D826" i="29" s="1"/>
  <c r="AL826" i="29"/>
  <c r="C826" i="29" s="1"/>
  <c r="A738" i="29" l="1"/>
  <c r="AL827" i="29"/>
  <c r="C827" i="29" s="1"/>
  <c r="AK827" i="29"/>
  <c r="D827" i="29" s="1"/>
  <c r="A739" i="29" l="1"/>
  <c r="AK828" i="29"/>
  <c r="D828" i="29" s="1"/>
  <c r="AL828" i="29"/>
  <c r="C828" i="29" s="1"/>
  <c r="A740" i="29" l="1"/>
  <c r="AL829" i="29"/>
  <c r="C829" i="29" s="1"/>
  <c r="AK829" i="29"/>
  <c r="D829" i="29" s="1"/>
  <c r="A741" i="29" l="1"/>
  <c r="AK830" i="29"/>
  <c r="D830" i="29" s="1"/>
  <c r="AL830" i="29"/>
  <c r="C830" i="29" s="1"/>
  <c r="A742" i="29" l="1"/>
  <c r="AL831" i="29"/>
  <c r="C831" i="29" s="1"/>
  <c r="AK831" i="29"/>
  <c r="D831" i="29" s="1"/>
  <c r="A743" i="29" l="1"/>
  <c r="AK832" i="29"/>
  <c r="D832" i="29" s="1"/>
  <c r="AL832" i="29"/>
  <c r="C832" i="29" s="1"/>
  <c r="A744" i="29" l="1"/>
  <c r="AL833" i="29"/>
  <c r="C833" i="29" s="1"/>
  <c r="AK833" i="29"/>
  <c r="D833" i="29" s="1"/>
  <c r="A745" i="29" l="1"/>
  <c r="AK834" i="29"/>
  <c r="D834" i="29" s="1"/>
  <c r="AL834" i="29"/>
  <c r="C834" i="29" s="1"/>
  <c r="A746" i="29" l="1"/>
  <c r="AL835" i="29"/>
  <c r="C835" i="29" s="1"/>
  <c r="AK835" i="29"/>
  <c r="D835" i="29" s="1"/>
  <c r="A747" i="29" l="1"/>
  <c r="AK836" i="29"/>
  <c r="D836" i="29" s="1"/>
  <c r="AL836" i="29"/>
  <c r="C836" i="29" s="1"/>
  <c r="A748" i="29" l="1"/>
  <c r="AL837" i="29"/>
  <c r="C837" i="29" s="1"/>
  <c r="AK837" i="29"/>
  <c r="D837" i="29" s="1"/>
  <c r="A749" i="29" l="1"/>
  <c r="AK838" i="29"/>
  <c r="D838" i="29" s="1"/>
  <c r="AL838" i="29"/>
  <c r="C838" i="29" s="1"/>
  <c r="A750" i="29" l="1"/>
  <c r="AL839" i="29"/>
  <c r="C839" i="29" s="1"/>
  <c r="AK839" i="29"/>
  <c r="D839" i="29" s="1"/>
  <c r="A751" i="29" l="1"/>
  <c r="AK840" i="29"/>
  <c r="D840" i="29" s="1"/>
  <c r="AL840" i="29"/>
  <c r="C840" i="29" s="1"/>
  <c r="A752" i="29" l="1"/>
  <c r="AL841" i="29"/>
  <c r="C841" i="29" s="1"/>
  <c r="AK841" i="29"/>
  <c r="D841" i="29" s="1"/>
  <c r="A753" i="29" l="1"/>
  <c r="AK842" i="29"/>
  <c r="D842" i="29" s="1"/>
  <c r="AL842" i="29"/>
  <c r="C842" i="29" s="1"/>
  <c r="A754" i="29" l="1"/>
  <c r="AL843" i="29"/>
  <c r="C843" i="29" s="1"/>
  <c r="AK843" i="29"/>
  <c r="D843" i="29" s="1"/>
  <c r="A755" i="29" l="1"/>
  <c r="AK844" i="29"/>
  <c r="D844" i="29" s="1"/>
  <c r="AL844" i="29"/>
  <c r="C844" i="29" s="1"/>
  <c r="A756" i="29" l="1"/>
  <c r="AL845" i="29"/>
  <c r="C845" i="29" s="1"/>
  <c r="AK845" i="29"/>
  <c r="D845" i="29" s="1"/>
  <c r="A757" i="29" l="1"/>
  <c r="AK846" i="29"/>
  <c r="D846" i="29" s="1"/>
  <c r="AL846" i="29"/>
  <c r="C846" i="29" s="1"/>
  <c r="A758" i="29" l="1"/>
  <c r="AL847" i="29"/>
  <c r="C847" i="29" s="1"/>
  <c r="AK847" i="29"/>
  <c r="D847" i="29" s="1"/>
  <c r="A759" i="29" l="1"/>
  <c r="AK848" i="29"/>
  <c r="D848" i="29" s="1"/>
  <c r="AL848" i="29"/>
  <c r="C848" i="29" s="1"/>
  <c r="A760" i="29" l="1"/>
  <c r="AL849" i="29"/>
  <c r="C849" i="29" s="1"/>
  <c r="AK849" i="29"/>
  <c r="D849" i="29" s="1"/>
  <c r="A761" i="29" l="1"/>
  <c r="AK850" i="29"/>
  <c r="D850" i="29" s="1"/>
  <c r="AL850" i="29"/>
  <c r="C850" i="29" s="1"/>
  <c r="A762" i="29" l="1"/>
  <c r="AL851" i="29"/>
  <c r="C851" i="29" s="1"/>
  <c r="AK851" i="29"/>
  <c r="D851" i="29" s="1"/>
  <c r="A763" i="29" l="1"/>
  <c r="AK852" i="29"/>
  <c r="D852" i="29" s="1"/>
  <c r="AL852" i="29"/>
  <c r="C852" i="29" s="1"/>
  <c r="A764" i="29" l="1"/>
  <c r="AL853" i="29"/>
  <c r="C853" i="29" s="1"/>
  <c r="AK853" i="29"/>
  <c r="D853" i="29" s="1"/>
  <c r="A765" i="29" l="1"/>
  <c r="AK854" i="29"/>
  <c r="D854" i="29" s="1"/>
  <c r="AL854" i="29"/>
  <c r="C854" i="29" s="1"/>
  <c r="A766" i="29" l="1"/>
  <c r="AL855" i="29"/>
  <c r="C855" i="29" s="1"/>
  <c r="AK855" i="29"/>
  <c r="D855" i="29" s="1"/>
  <c r="A767" i="29" l="1"/>
  <c r="AK856" i="29"/>
  <c r="D856" i="29" s="1"/>
  <c r="AL856" i="29"/>
  <c r="C856" i="29" s="1"/>
  <c r="A768" i="29" l="1"/>
  <c r="AL857" i="29"/>
  <c r="C857" i="29" s="1"/>
  <c r="AK857" i="29"/>
  <c r="D857" i="29" s="1"/>
  <c r="A769" i="29" l="1"/>
  <c r="AK858" i="29"/>
  <c r="D858" i="29" s="1"/>
  <c r="AL858" i="29"/>
  <c r="C858" i="29" s="1"/>
  <c r="A770" i="29" l="1"/>
  <c r="AL859" i="29"/>
  <c r="C859" i="29" s="1"/>
  <c r="AK859" i="29"/>
  <c r="D859" i="29" s="1"/>
  <c r="A771" i="29" l="1"/>
  <c r="AK860" i="29"/>
  <c r="D860" i="29" s="1"/>
  <c r="AL860" i="29"/>
  <c r="C860" i="29" s="1"/>
  <c r="A772" i="29" l="1"/>
  <c r="AL861" i="29"/>
  <c r="C861" i="29" s="1"/>
  <c r="AK861" i="29"/>
  <c r="D861" i="29" s="1"/>
  <c r="A773" i="29" l="1"/>
  <c r="AK862" i="29"/>
  <c r="D862" i="29" s="1"/>
  <c r="AL862" i="29"/>
  <c r="C862" i="29" s="1"/>
  <c r="A774" i="29" l="1"/>
  <c r="AL863" i="29"/>
  <c r="C863" i="29" s="1"/>
  <c r="AK863" i="29"/>
  <c r="D863" i="29" s="1"/>
  <c r="A775" i="29" l="1"/>
  <c r="AK864" i="29"/>
  <c r="D864" i="29" s="1"/>
  <c r="AL864" i="29"/>
  <c r="C864" i="29" s="1"/>
  <c r="A776" i="29" l="1"/>
  <c r="AL865" i="29"/>
  <c r="C865" i="29" s="1"/>
  <c r="AK865" i="29"/>
  <c r="D865" i="29" s="1"/>
  <c r="A777" i="29" l="1"/>
  <c r="AK866" i="29"/>
  <c r="D866" i="29" s="1"/>
  <c r="AL866" i="29"/>
  <c r="C866" i="29" s="1"/>
  <c r="A778" i="29" l="1"/>
  <c r="AL867" i="29"/>
  <c r="C867" i="29" s="1"/>
  <c r="AK867" i="29"/>
  <c r="D867" i="29" s="1"/>
  <c r="A779" i="29" l="1"/>
  <c r="AK868" i="29"/>
  <c r="D868" i="29" s="1"/>
  <c r="AL868" i="29"/>
  <c r="C868" i="29" s="1"/>
  <c r="A780" i="29" l="1"/>
  <c r="AL869" i="29"/>
  <c r="C869" i="29" s="1"/>
  <c r="AK869" i="29"/>
  <c r="D869" i="29" s="1"/>
  <c r="A781" i="29" l="1"/>
  <c r="AK870" i="29"/>
  <c r="D870" i="29" s="1"/>
  <c r="AL870" i="29"/>
  <c r="C870" i="29" s="1"/>
  <c r="A782" i="29" l="1"/>
  <c r="AL871" i="29"/>
  <c r="C871" i="29" s="1"/>
  <c r="AK871" i="29"/>
  <c r="D871" i="29" s="1"/>
  <c r="A783" i="29" l="1"/>
  <c r="AK872" i="29"/>
  <c r="D872" i="29" s="1"/>
  <c r="AL872" i="29"/>
  <c r="C872" i="29" s="1"/>
  <c r="A784" i="29" l="1"/>
  <c r="AL873" i="29"/>
  <c r="C873" i="29" s="1"/>
  <c r="AK873" i="29"/>
  <c r="D873" i="29" s="1"/>
  <c r="A785" i="29" l="1"/>
  <c r="AK874" i="29"/>
  <c r="D874" i="29" s="1"/>
  <c r="AL874" i="29"/>
  <c r="C874" i="29" s="1"/>
  <c r="A786" i="29" l="1"/>
  <c r="AL875" i="29"/>
  <c r="C875" i="29" s="1"/>
  <c r="AK875" i="29"/>
  <c r="D875" i="29" s="1"/>
  <c r="A787" i="29" l="1"/>
  <c r="AK876" i="29"/>
  <c r="D876" i="29" s="1"/>
  <c r="AL876" i="29"/>
  <c r="C876" i="29" s="1"/>
  <c r="A788" i="29" l="1"/>
  <c r="AL877" i="29"/>
  <c r="C877" i="29" s="1"/>
  <c r="AK877" i="29"/>
  <c r="D877" i="29" s="1"/>
  <c r="A789" i="29" l="1"/>
  <c r="AK878" i="29"/>
  <c r="D878" i="29" s="1"/>
  <c r="AL878" i="29"/>
  <c r="C878" i="29" s="1"/>
  <c r="A790" i="29" l="1"/>
  <c r="AL879" i="29"/>
  <c r="C879" i="29" s="1"/>
  <c r="AK879" i="29"/>
  <c r="D879" i="29" s="1"/>
  <c r="A791" i="29" l="1"/>
  <c r="AK880" i="29"/>
  <c r="D880" i="29" s="1"/>
  <c r="AL880" i="29"/>
  <c r="C880" i="29" s="1"/>
  <c r="A792" i="29" l="1"/>
  <c r="AL881" i="29"/>
  <c r="C881" i="29" s="1"/>
  <c r="AK881" i="29"/>
  <c r="D881" i="29" s="1"/>
  <c r="A793" i="29" l="1"/>
  <c r="AK882" i="29"/>
  <c r="D882" i="29" s="1"/>
  <c r="AL882" i="29"/>
  <c r="C882" i="29" s="1"/>
  <c r="A794" i="29" l="1"/>
  <c r="AL883" i="29"/>
  <c r="C883" i="29" s="1"/>
  <c r="AK883" i="29"/>
  <c r="D883" i="29" s="1"/>
  <c r="A795" i="29" l="1"/>
  <c r="AK884" i="29"/>
  <c r="D884" i="29" s="1"/>
  <c r="AL884" i="29"/>
  <c r="C884" i="29" s="1"/>
  <c r="A796" i="29" l="1"/>
  <c r="AL885" i="29"/>
  <c r="C885" i="29" s="1"/>
  <c r="AK885" i="29"/>
  <c r="D885" i="29" s="1"/>
  <c r="A797" i="29" l="1"/>
  <c r="AK886" i="29"/>
  <c r="D886" i="29" s="1"/>
  <c r="AL886" i="29"/>
  <c r="C886" i="29" s="1"/>
  <c r="A798" i="29" l="1"/>
  <c r="AL887" i="29"/>
  <c r="C887" i="29" s="1"/>
  <c r="AK887" i="29"/>
  <c r="D887" i="29" s="1"/>
  <c r="A799" i="29" l="1"/>
  <c r="AK888" i="29"/>
  <c r="D888" i="29" s="1"/>
  <c r="AL888" i="29"/>
  <c r="C888" i="29" s="1"/>
  <c r="A800" i="29" l="1"/>
  <c r="AL889" i="29"/>
  <c r="C889" i="29" s="1"/>
  <c r="AK889" i="29"/>
  <c r="D889" i="29" s="1"/>
  <c r="A801" i="29" l="1"/>
  <c r="AK890" i="29"/>
  <c r="D890" i="29" s="1"/>
  <c r="AL890" i="29"/>
  <c r="C890" i="29" s="1"/>
  <c r="A802" i="29" l="1"/>
  <c r="AL891" i="29"/>
  <c r="C891" i="29" s="1"/>
  <c r="AK891" i="29"/>
  <c r="D891" i="29" s="1"/>
  <c r="A803" i="29" l="1"/>
  <c r="AK892" i="29"/>
  <c r="D892" i="29" s="1"/>
  <c r="AL892" i="29"/>
  <c r="C892" i="29" s="1"/>
  <c r="A804" i="29" l="1"/>
  <c r="AL893" i="29"/>
  <c r="C893" i="29" s="1"/>
  <c r="AK893" i="29"/>
  <c r="D893" i="29" s="1"/>
  <c r="A805" i="29" l="1"/>
  <c r="AK894" i="29"/>
  <c r="D894" i="29" s="1"/>
  <c r="AL894" i="29"/>
  <c r="C894" i="29" s="1"/>
  <c r="A806" i="29" l="1"/>
  <c r="AL895" i="29"/>
  <c r="C895" i="29" s="1"/>
  <c r="AK895" i="29"/>
  <c r="D895" i="29" s="1"/>
  <c r="A807" i="29" l="1"/>
  <c r="AK896" i="29"/>
  <c r="D896" i="29" s="1"/>
  <c r="AL896" i="29"/>
  <c r="C896" i="29" s="1"/>
  <c r="A808" i="29" l="1"/>
  <c r="AL897" i="29"/>
  <c r="C897" i="29" s="1"/>
  <c r="AK897" i="29"/>
  <c r="D897" i="29" s="1"/>
  <c r="A809" i="29" l="1"/>
  <c r="AK898" i="29"/>
  <c r="D898" i="29" s="1"/>
  <c r="AL898" i="29"/>
  <c r="C898" i="29" s="1"/>
  <c r="A810" i="29" l="1"/>
  <c r="AL899" i="29"/>
  <c r="C899" i="29" s="1"/>
  <c r="AK899" i="29"/>
  <c r="D899" i="29" s="1"/>
  <c r="A811" i="29" l="1"/>
  <c r="AK900" i="29"/>
  <c r="D900" i="29" s="1"/>
  <c r="AL900" i="29"/>
  <c r="C900" i="29" s="1"/>
  <c r="A812" i="29" l="1"/>
  <c r="AL901" i="29"/>
  <c r="C901" i="29" s="1"/>
  <c r="AK901" i="29"/>
  <c r="D901" i="29" s="1"/>
  <c r="A813" i="29" l="1"/>
  <c r="AK902" i="29"/>
  <c r="D902" i="29" s="1"/>
  <c r="AL902" i="29"/>
  <c r="C902" i="29" s="1"/>
  <c r="A814" i="29" l="1"/>
  <c r="AL903" i="29"/>
  <c r="C903" i="29" s="1"/>
  <c r="AK903" i="29"/>
  <c r="D903" i="29" s="1"/>
  <c r="A815" i="29" l="1"/>
  <c r="AK904" i="29"/>
  <c r="D904" i="29" s="1"/>
  <c r="AL904" i="29"/>
  <c r="C904" i="29" s="1"/>
  <c r="A816" i="29" l="1"/>
  <c r="AL905" i="29"/>
  <c r="C905" i="29" s="1"/>
  <c r="AK905" i="29"/>
  <c r="D905" i="29" s="1"/>
  <c r="A817" i="29" l="1"/>
  <c r="AK906" i="29"/>
  <c r="D906" i="29" s="1"/>
  <c r="AL906" i="29"/>
  <c r="C906" i="29" s="1"/>
  <c r="A818" i="29" l="1"/>
  <c r="AL907" i="29"/>
  <c r="C907" i="29" s="1"/>
  <c r="AK907" i="29"/>
  <c r="D907" i="29" s="1"/>
  <c r="A819" i="29" l="1"/>
  <c r="AK908" i="29"/>
  <c r="D908" i="29" s="1"/>
  <c r="AL908" i="29"/>
  <c r="C908" i="29" s="1"/>
  <c r="A820" i="29" l="1"/>
  <c r="AL909" i="29"/>
  <c r="C909" i="29" s="1"/>
  <c r="AK909" i="29"/>
  <c r="D909" i="29" s="1"/>
  <c r="A821" i="29" l="1"/>
  <c r="AK910" i="29"/>
  <c r="D910" i="29" s="1"/>
  <c r="AL910" i="29"/>
  <c r="C910" i="29" s="1"/>
  <c r="A822" i="29" l="1"/>
  <c r="AL911" i="29"/>
  <c r="C911" i="29" s="1"/>
  <c r="AK911" i="29"/>
  <c r="D911" i="29" s="1"/>
  <c r="A823" i="29" l="1"/>
  <c r="AK912" i="29"/>
  <c r="D912" i="29" s="1"/>
  <c r="AL912" i="29"/>
  <c r="C912" i="29" s="1"/>
  <c r="A824" i="29" l="1"/>
  <c r="AL913" i="29"/>
  <c r="C913" i="29" s="1"/>
  <c r="AK913" i="29"/>
  <c r="D913" i="29" s="1"/>
  <c r="A825" i="29" l="1"/>
  <c r="AK914" i="29"/>
  <c r="D914" i="29" s="1"/>
  <c r="AL914" i="29"/>
  <c r="C914" i="29" s="1"/>
  <c r="A826" i="29" l="1"/>
  <c r="AL915" i="29"/>
  <c r="C915" i="29" s="1"/>
  <c r="AK915" i="29"/>
  <c r="D915" i="29" s="1"/>
  <c r="A827" i="29" l="1"/>
  <c r="AK916" i="29"/>
  <c r="D916" i="29" s="1"/>
  <c r="AL916" i="29"/>
  <c r="C916" i="29" s="1"/>
  <c r="A828" i="29" l="1"/>
  <c r="AL917" i="29"/>
  <c r="C917" i="29" s="1"/>
  <c r="AK917" i="29"/>
  <c r="D917" i="29" s="1"/>
  <c r="A829" i="29" l="1"/>
  <c r="AK918" i="29"/>
  <c r="D918" i="29" s="1"/>
  <c r="AL918" i="29"/>
  <c r="C918" i="29" s="1"/>
  <c r="A830" i="29" l="1"/>
  <c r="AL919" i="29"/>
  <c r="C919" i="29" s="1"/>
  <c r="AK919" i="29"/>
  <c r="D919" i="29" s="1"/>
  <c r="A831" i="29" l="1"/>
  <c r="AK920" i="29"/>
  <c r="D920" i="29" s="1"/>
  <c r="AL920" i="29"/>
  <c r="C920" i="29" s="1"/>
  <c r="A832" i="29" l="1"/>
  <c r="AL921" i="29"/>
  <c r="C921" i="29" s="1"/>
  <c r="AK921" i="29"/>
  <c r="D921" i="29" s="1"/>
  <c r="A833" i="29" l="1"/>
  <c r="AK922" i="29"/>
  <c r="D922" i="29" s="1"/>
  <c r="AL922" i="29"/>
  <c r="C922" i="29" s="1"/>
  <c r="A834" i="29" l="1"/>
  <c r="AL923" i="29"/>
  <c r="C923" i="29" s="1"/>
  <c r="AK923" i="29"/>
  <c r="D923" i="29" s="1"/>
  <c r="A835" i="29" l="1"/>
  <c r="AK924" i="29"/>
  <c r="D924" i="29" s="1"/>
  <c r="AL924" i="29"/>
  <c r="C924" i="29" s="1"/>
  <c r="A836" i="29" l="1"/>
  <c r="AL925" i="29"/>
  <c r="C925" i="29" s="1"/>
  <c r="AK925" i="29"/>
  <c r="D925" i="29" s="1"/>
  <c r="A837" i="29" l="1"/>
  <c r="AK926" i="29"/>
  <c r="D926" i="29" s="1"/>
  <c r="AL926" i="29"/>
  <c r="C926" i="29" s="1"/>
  <c r="A838" i="29" l="1"/>
  <c r="AL927" i="29"/>
  <c r="C927" i="29" s="1"/>
  <c r="AK927" i="29"/>
  <c r="D927" i="29" s="1"/>
  <c r="A839" i="29" l="1"/>
  <c r="AK928" i="29"/>
  <c r="D928" i="29" s="1"/>
  <c r="AL928" i="29"/>
  <c r="C928" i="29" s="1"/>
  <c r="A840" i="29" l="1"/>
  <c r="AL929" i="29"/>
  <c r="C929" i="29" s="1"/>
  <c r="AK929" i="29"/>
  <c r="D929" i="29" s="1"/>
  <c r="A841" i="29" l="1"/>
  <c r="AK930" i="29"/>
  <c r="D930" i="29" s="1"/>
  <c r="AL930" i="29"/>
  <c r="C930" i="29" s="1"/>
  <c r="A842" i="29" l="1"/>
  <c r="AL931" i="29"/>
  <c r="C931" i="29" s="1"/>
  <c r="AK931" i="29"/>
  <c r="D931" i="29" s="1"/>
  <c r="A843" i="29" l="1"/>
  <c r="AK932" i="29"/>
  <c r="D932" i="29" s="1"/>
  <c r="AL932" i="29"/>
  <c r="C932" i="29" s="1"/>
  <c r="A844" i="29" l="1"/>
  <c r="AL933" i="29"/>
  <c r="C933" i="29" s="1"/>
  <c r="AK933" i="29"/>
  <c r="D933" i="29" s="1"/>
  <c r="A845" i="29" l="1"/>
  <c r="AK934" i="29"/>
  <c r="D934" i="29" s="1"/>
  <c r="AL934" i="29"/>
  <c r="C934" i="29" s="1"/>
  <c r="A846" i="29" l="1"/>
  <c r="AL935" i="29"/>
  <c r="C935" i="29" s="1"/>
  <c r="AK935" i="29"/>
  <c r="D935" i="29" s="1"/>
  <c r="A847" i="29" l="1"/>
  <c r="AK936" i="29"/>
  <c r="D936" i="29" s="1"/>
  <c r="AL936" i="29"/>
  <c r="C936" i="29" s="1"/>
  <c r="A848" i="29" l="1"/>
  <c r="AL937" i="29"/>
  <c r="C937" i="29" s="1"/>
  <c r="AK937" i="29"/>
  <c r="D937" i="29" s="1"/>
  <c r="A849" i="29" l="1"/>
  <c r="AK938" i="29"/>
  <c r="D938" i="29" s="1"/>
  <c r="AL938" i="29"/>
  <c r="C938" i="29" s="1"/>
  <c r="A850" i="29" l="1"/>
  <c r="AL939" i="29"/>
  <c r="C939" i="29" s="1"/>
  <c r="AK939" i="29"/>
  <c r="D939" i="29" s="1"/>
  <c r="A851" i="29" l="1"/>
  <c r="AK940" i="29"/>
  <c r="D940" i="29" s="1"/>
  <c r="AL940" i="29"/>
  <c r="C940" i="29" s="1"/>
  <c r="A852" i="29" l="1"/>
  <c r="AL941" i="29"/>
  <c r="C941" i="29" s="1"/>
  <c r="AK941" i="29"/>
  <c r="D941" i="29" s="1"/>
  <c r="A853" i="29" l="1"/>
  <c r="AK942" i="29"/>
  <c r="D942" i="29" s="1"/>
  <c r="AL942" i="29"/>
  <c r="C942" i="29" s="1"/>
  <c r="A854" i="29" l="1"/>
  <c r="AL943" i="29"/>
  <c r="C943" i="29" s="1"/>
  <c r="AK943" i="29"/>
  <c r="D943" i="29" s="1"/>
  <c r="A855" i="29" l="1"/>
  <c r="AK944" i="29"/>
  <c r="D944" i="29" s="1"/>
  <c r="AL944" i="29"/>
  <c r="C944" i="29" s="1"/>
  <c r="A856" i="29" l="1"/>
  <c r="AL945" i="29"/>
  <c r="C945" i="29" s="1"/>
  <c r="AK945" i="29"/>
  <c r="D945" i="29" s="1"/>
  <c r="A857" i="29" l="1"/>
  <c r="AK946" i="29"/>
  <c r="D946" i="29" s="1"/>
  <c r="AL946" i="29"/>
  <c r="C946" i="29" s="1"/>
  <c r="A858" i="29" l="1"/>
  <c r="AL947" i="29"/>
  <c r="C947" i="29" s="1"/>
  <c r="AK947" i="29"/>
  <c r="D947" i="29" s="1"/>
  <c r="A859" i="29" l="1"/>
  <c r="AK948" i="29"/>
  <c r="D948" i="29" s="1"/>
  <c r="AL948" i="29"/>
  <c r="C948" i="29" s="1"/>
  <c r="A860" i="29" l="1"/>
  <c r="AL949" i="29"/>
  <c r="C949" i="29" s="1"/>
  <c r="AK949" i="29"/>
  <c r="D949" i="29" s="1"/>
  <c r="A861" i="29" l="1"/>
  <c r="AK950" i="29"/>
  <c r="D950" i="29" s="1"/>
  <c r="AL950" i="29"/>
  <c r="C950" i="29" s="1"/>
  <c r="A862" i="29" l="1"/>
  <c r="AL951" i="29"/>
  <c r="C951" i="29" s="1"/>
  <c r="AK951" i="29"/>
  <c r="D951" i="29" s="1"/>
  <c r="A863" i="29" l="1"/>
  <c r="AK952" i="29"/>
  <c r="D952" i="29" s="1"/>
  <c r="AL952" i="29"/>
  <c r="C952" i="29" s="1"/>
  <c r="A864" i="29" l="1"/>
  <c r="AL953" i="29"/>
  <c r="C953" i="29" s="1"/>
  <c r="AK953" i="29"/>
  <c r="D953" i="29" s="1"/>
  <c r="A865" i="29" l="1"/>
  <c r="AK954" i="29"/>
  <c r="D954" i="29" s="1"/>
  <c r="AL954" i="29"/>
  <c r="C954" i="29" s="1"/>
  <c r="A866" i="29" l="1"/>
  <c r="AL955" i="29"/>
  <c r="C955" i="29" s="1"/>
  <c r="AK955" i="29"/>
  <c r="D955" i="29" s="1"/>
  <c r="A867" i="29" l="1"/>
  <c r="AK956" i="29"/>
  <c r="D956" i="29" s="1"/>
  <c r="AL956" i="29"/>
  <c r="C956" i="29" s="1"/>
  <c r="A868" i="29" l="1"/>
  <c r="AL957" i="29"/>
  <c r="C957" i="29" s="1"/>
  <c r="AK957" i="29"/>
  <c r="D957" i="29" s="1"/>
  <c r="A869" i="29" l="1"/>
  <c r="AK958" i="29"/>
  <c r="D958" i="29" s="1"/>
  <c r="AL958" i="29"/>
  <c r="C958" i="29" s="1"/>
  <c r="A870" i="29" l="1"/>
  <c r="AL959" i="29"/>
  <c r="C959" i="29" s="1"/>
  <c r="AK959" i="29"/>
  <c r="D959" i="29" s="1"/>
  <c r="A871" i="29" l="1"/>
  <c r="AK960" i="29"/>
  <c r="D960" i="29" s="1"/>
  <c r="AL960" i="29"/>
  <c r="C960" i="29" s="1"/>
  <c r="A872" i="29" l="1"/>
  <c r="AL961" i="29"/>
  <c r="C961" i="29" s="1"/>
  <c r="AK961" i="29"/>
  <c r="D961" i="29" s="1"/>
  <c r="A873" i="29" l="1"/>
  <c r="AK962" i="29"/>
  <c r="D962" i="29" s="1"/>
  <c r="AL962" i="29"/>
  <c r="C962" i="29" s="1"/>
  <c r="A874" i="29" l="1"/>
  <c r="AL963" i="29"/>
  <c r="C963" i="29" s="1"/>
  <c r="AK963" i="29"/>
  <c r="D963" i="29" s="1"/>
  <c r="A875" i="29" l="1"/>
  <c r="AK964" i="29"/>
  <c r="D964" i="29" s="1"/>
  <c r="AL964" i="29"/>
  <c r="C964" i="29" s="1"/>
  <c r="A876" i="29" l="1"/>
  <c r="AL965" i="29"/>
  <c r="C965" i="29" s="1"/>
  <c r="AK965" i="29"/>
  <c r="D965" i="29" s="1"/>
  <c r="A877" i="29" l="1"/>
  <c r="AK966" i="29"/>
  <c r="D966" i="29" s="1"/>
  <c r="AL966" i="29"/>
  <c r="C966" i="29" s="1"/>
  <c r="A878" i="29" l="1"/>
  <c r="AL967" i="29"/>
  <c r="C967" i="29" s="1"/>
  <c r="AK967" i="29"/>
  <c r="D967" i="29" s="1"/>
  <c r="A879" i="29" l="1"/>
  <c r="AK968" i="29"/>
  <c r="D968" i="29" s="1"/>
  <c r="AL968" i="29"/>
  <c r="C968" i="29" s="1"/>
  <c r="A880" i="29" l="1"/>
  <c r="AL969" i="29"/>
  <c r="C969" i="29" s="1"/>
  <c r="AK969" i="29"/>
  <c r="D969" i="29" s="1"/>
  <c r="A881" i="29" l="1"/>
  <c r="AK970" i="29"/>
  <c r="D970" i="29" s="1"/>
  <c r="AL970" i="29"/>
  <c r="C970" i="29" s="1"/>
  <c r="A882" i="29" l="1"/>
  <c r="AL971" i="29"/>
  <c r="C971" i="29" s="1"/>
  <c r="AK971" i="29"/>
  <c r="D971" i="29" s="1"/>
  <c r="A883" i="29" l="1"/>
  <c r="AK972" i="29"/>
  <c r="D972" i="29" s="1"/>
  <c r="AL972" i="29"/>
  <c r="C972" i="29" s="1"/>
  <c r="A884" i="29" l="1"/>
  <c r="AL973" i="29"/>
  <c r="C973" i="29" s="1"/>
  <c r="AK973" i="29"/>
  <c r="D973" i="29" s="1"/>
  <c r="A885" i="29" l="1"/>
  <c r="AK974" i="29"/>
  <c r="D974" i="29" s="1"/>
  <c r="AL974" i="29"/>
  <c r="C974" i="29" s="1"/>
  <c r="A886" i="29" l="1"/>
  <c r="AL975" i="29"/>
  <c r="C975" i="29" s="1"/>
  <c r="AK975" i="29"/>
  <c r="D975" i="29" s="1"/>
  <c r="A887" i="29" l="1"/>
  <c r="AK976" i="29"/>
  <c r="D976" i="29" s="1"/>
  <c r="AL976" i="29"/>
  <c r="C976" i="29" s="1"/>
  <c r="A888" i="29" l="1"/>
  <c r="AL977" i="29"/>
  <c r="C977" i="29" s="1"/>
  <c r="AK977" i="29"/>
  <c r="D977" i="29" s="1"/>
  <c r="A889" i="29" l="1"/>
  <c r="AK978" i="29"/>
  <c r="D978" i="29" s="1"/>
  <c r="AL978" i="29"/>
  <c r="C978" i="29" s="1"/>
  <c r="A890" i="29" l="1"/>
  <c r="AL979" i="29"/>
  <c r="C979" i="29" s="1"/>
  <c r="AK979" i="29"/>
  <c r="D979" i="29" s="1"/>
  <c r="A891" i="29" l="1"/>
  <c r="AK980" i="29"/>
  <c r="D980" i="29" s="1"/>
  <c r="AL980" i="29"/>
  <c r="C980" i="29" s="1"/>
  <c r="A892" i="29" l="1"/>
  <c r="AL981" i="29"/>
  <c r="C981" i="29" s="1"/>
  <c r="AK981" i="29"/>
  <c r="D981" i="29" s="1"/>
  <c r="A893" i="29" l="1"/>
  <c r="AK982" i="29"/>
  <c r="D982" i="29" s="1"/>
  <c r="AL982" i="29"/>
  <c r="C982" i="29" s="1"/>
  <c r="A894" i="29" l="1"/>
  <c r="AL983" i="29"/>
  <c r="C983" i="29" s="1"/>
  <c r="AK983" i="29"/>
  <c r="D983" i="29" s="1"/>
  <c r="A895" i="29" l="1"/>
  <c r="AK984" i="29"/>
  <c r="D984" i="29" s="1"/>
  <c r="AL984" i="29"/>
  <c r="C984" i="29" s="1"/>
  <c r="A896" i="29" l="1"/>
  <c r="AL985" i="29"/>
  <c r="C985" i="29" s="1"/>
  <c r="AK985" i="29"/>
  <c r="D985" i="29" s="1"/>
  <c r="A897" i="29" l="1"/>
  <c r="AK986" i="29"/>
  <c r="D986" i="29" s="1"/>
  <c r="AL986" i="29"/>
  <c r="C986" i="29" s="1"/>
  <c r="A898" i="29" l="1"/>
  <c r="AL987" i="29"/>
  <c r="C987" i="29" s="1"/>
  <c r="AK987" i="29"/>
  <c r="D987" i="29" s="1"/>
  <c r="A899" i="29" l="1"/>
  <c r="AK988" i="29"/>
  <c r="D988" i="29" s="1"/>
  <c r="AL988" i="29"/>
  <c r="C988" i="29" s="1"/>
  <c r="A900" i="29" l="1"/>
  <c r="AL989" i="29"/>
  <c r="C989" i="29" s="1"/>
  <c r="AK989" i="29"/>
  <c r="D989" i="29" s="1"/>
  <c r="A901" i="29" l="1"/>
  <c r="AK990" i="29"/>
  <c r="D990" i="29" s="1"/>
  <c r="AL990" i="29"/>
  <c r="C990" i="29" s="1"/>
  <c r="A902" i="29" l="1"/>
  <c r="AL991" i="29"/>
  <c r="C991" i="29" s="1"/>
  <c r="AK991" i="29"/>
  <c r="D991" i="29" s="1"/>
  <c r="A903" i="29" l="1"/>
  <c r="AK992" i="29"/>
  <c r="D992" i="29" s="1"/>
  <c r="AL992" i="29"/>
  <c r="C992" i="29" s="1"/>
  <c r="A904" i="29" l="1"/>
  <c r="AL993" i="29"/>
  <c r="C993" i="29" s="1"/>
  <c r="AK993" i="29"/>
  <c r="D993" i="29" s="1"/>
  <c r="A905" i="29" l="1"/>
  <c r="AK994" i="29"/>
  <c r="D994" i="29" s="1"/>
  <c r="AL994" i="29"/>
  <c r="C994" i="29" s="1"/>
  <c r="A906" i="29" l="1"/>
  <c r="AL995" i="29"/>
  <c r="C995" i="29" s="1"/>
  <c r="AK995" i="29"/>
  <c r="D995" i="29" s="1"/>
  <c r="A907" i="29" l="1"/>
  <c r="AK996" i="29"/>
  <c r="D996" i="29" s="1"/>
  <c r="AL996" i="29"/>
  <c r="C996" i="29" s="1"/>
  <c r="A908" i="29" l="1"/>
  <c r="AL997" i="29"/>
  <c r="C997" i="29" s="1"/>
  <c r="AK997" i="29"/>
  <c r="D997" i="29" s="1"/>
  <c r="A909" i="29" l="1"/>
  <c r="AK998" i="29"/>
  <c r="D998" i="29" s="1"/>
  <c r="AL998" i="29"/>
  <c r="C998" i="29" s="1"/>
  <c r="A910" i="29" l="1"/>
  <c r="AL999" i="29"/>
  <c r="C999" i="29" s="1"/>
  <c r="AK999" i="29"/>
  <c r="D999" i="29" s="1"/>
  <c r="A911" i="29" l="1"/>
  <c r="AK1000" i="29"/>
  <c r="D1000" i="29" s="1"/>
  <c r="AL1000" i="29"/>
  <c r="C1000" i="29" s="1"/>
  <c r="A912" i="29" l="1"/>
  <c r="AL1001" i="29"/>
  <c r="C1001" i="29" s="1"/>
  <c r="AK1001" i="29"/>
  <c r="D1001" i="29" s="1"/>
  <c r="A913" i="29" l="1"/>
  <c r="AK1002" i="29"/>
  <c r="D1002" i="29" s="1"/>
  <c r="AL1002" i="29"/>
  <c r="C1002" i="29" s="1"/>
  <c r="A914" i="29" l="1"/>
  <c r="AL1003" i="29"/>
  <c r="C1003" i="29" s="1"/>
  <c r="AK1003" i="29"/>
  <c r="D1003" i="29" s="1"/>
  <c r="A915" i="29" l="1"/>
  <c r="AK1004" i="29"/>
  <c r="D1004" i="29" s="1"/>
  <c r="AL1004" i="29"/>
  <c r="C1004" i="29" s="1"/>
  <c r="A916" i="29" l="1"/>
  <c r="AL1005" i="29"/>
  <c r="C1005" i="29" s="1"/>
  <c r="AK1005" i="29"/>
  <c r="D1005" i="29" s="1"/>
  <c r="A917" i="29" l="1"/>
  <c r="AK1006" i="29"/>
  <c r="D1006" i="29" s="1"/>
  <c r="AL1006" i="29"/>
  <c r="C1006" i="29" s="1"/>
  <c r="A918" i="29" l="1"/>
  <c r="AL1007" i="29"/>
  <c r="C1007" i="29" s="1"/>
  <c r="AK1007" i="29"/>
  <c r="D1007" i="29" s="1"/>
  <c r="A919" i="29" l="1"/>
  <c r="AK1008" i="29"/>
  <c r="D1008" i="29" s="1"/>
  <c r="AL1008" i="29"/>
  <c r="C1008" i="29" s="1"/>
  <c r="A920" i="29" l="1"/>
  <c r="AL1009" i="29"/>
  <c r="C1009" i="29" s="1"/>
  <c r="AK1009" i="29"/>
  <c r="D1009" i="29" s="1"/>
  <c r="A921" i="29" l="1"/>
  <c r="AK1010" i="29"/>
  <c r="D1010" i="29" s="1"/>
  <c r="AL1010" i="29"/>
  <c r="C1010" i="29" s="1"/>
  <c r="A922" i="29" l="1"/>
  <c r="AL1011" i="29"/>
  <c r="C1011" i="29" s="1"/>
  <c r="AK1011" i="29"/>
  <c r="D1011" i="29" s="1"/>
  <c r="A923" i="29" l="1"/>
  <c r="AK1012" i="29"/>
  <c r="D1012" i="29" s="1"/>
  <c r="AL1012" i="29"/>
  <c r="C1012" i="29" s="1"/>
  <c r="A924" i="29" l="1"/>
  <c r="AL1013" i="29"/>
  <c r="C1013" i="29" s="1"/>
  <c r="AK1013" i="29"/>
  <c r="D1013" i="29" s="1"/>
  <c r="A925" i="29" l="1"/>
  <c r="AK1014" i="29"/>
  <c r="D1014" i="29" s="1"/>
  <c r="AL1014" i="29"/>
  <c r="C1014" i="29" s="1"/>
  <c r="A926" i="29" l="1"/>
  <c r="AL1015" i="29"/>
  <c r="C1015" i="29" s="1"/>
  <c r="AK1015" i="29"/>
  <c r="D1015" i="29" s="1"/>
  <c r="A927" i="29" l="1"/>
  <c r="AK1016" i="29"/>
  <c r="D1016" i="29" s="1"/>
  <c r="AL1016" i="29"/>
  <c r="C1016" i="29" s="1"/>
  <c r="A928" i="29" l="1"/>
  <c r="AL1017" i="29"/>
  <c r="C1017" i="29" s="1"/>
  <c r="AK1017" i="29"/>
  <c r="D1017" i="29" s="1"/>
  <c r="A929" i="29" l="1"/>
  <c r="AK1018" i="29"/>
  <c r="D1018" i="29" s="1"/>
  <c r="AL1018" i="29"/>
  <c r="C1018" i="29" s="1"/>
  <c r="A930" i="29" l="1"/>
  <c r="AL1019" i="29"/>
  <c r="C1019" i="29" s="1"/>
  <c r="AK1019" i="29"/>
  <c r="D1019" i="29" s="1"/>
  <c r="A931" i="29" l="1"/>
  <c r="AK1020" i="29"/>
  <c r="D1020" i="29" s="1"/>
  <c r="AL1020" i="29"/>
  <c r="C1020" i="29" s="1"/>
  <c r="A932" i="29" l="1"/>
  <c r="AL1021" i="29"/>
  <c r="C1021" i="29" s="1"/>
  <c r="AK1021" i="29"/>
  <c r="D1021" i="29" s="1"/>
  <c r="A933" i="29" l="1"/>
  <c r="AK1022" i="29"/>
  <c r="D1022" i="29" s="1"/>
  <c r="AL1022" i="29"/>
  <c r="C1022" i="29" s="1"/>
  <c r="A934" i="29" l="1"/>
  <c r="AL1023" i="29"/>
  <c r="C1023" i="29" s="1"/>
  <c r="AK1023" i="29"/>
  <c r="D1023" i="29" s="1"/>
  <c r="A935" i="29" l="1"/>
  <c r="AK1024" i="29"/>
  <c r="D1024" i="29" s="1"/>
  <c r="AL1024" i="29"/>
  <c r="C1024" i="29" s="1"/>
  <c r="A936" i="29" l="1"/>
  <c r="AL1025" i="29"/>
  <c r="C1025" i="29" s="1"/>
  <c r="AK1025" i="29"/>
  <c r="D1025" i="29" s="1"/>
  <c r="A937" i="29" l="1"/>
  <c r="AK1026" i="29"/>
  <c r="D1026" i="29" s="1"/>
  <c r="AL1026" i="29"/>
  <c r="C1026" i="29" s="1"/>
  <c r="A938" i="29" l="1"/>
  <c r="AL1027" i="29"/>
  <c r="C1027" i="29" s="1"/>
  <c r="AK1027" i="29"/>
  <c r="D1027" i="29" s="1"/>
  <c r="A939" i="29" l="1"/>
  <c r="AK1028" i="29"/>
  <c r="D1028" i="29" s="1"/>
  <c r="AL1028" i="29"/>
  <c r="C1028" i="29" s="1"/>
  <c r="A940" i="29" l="1"/>
  <c r="AL1029" i="29"/>
  <c r="C1029" i="29" s="1"/>
  <c r="AK1029" i="29"/>
  <c r="D1029" i="29" s="1"/>
  <c r="A941" i="29" l="1"/>
  <c r="AK1030" i="29"/>
  <c r="D1030" i="29" s="1"/>
  <c r="AL1030" i="29"/>
  <c r="C1030" i="29" s="1"/>
  <c r="A942" i="29" l="1"/>
  <c r="AL1031" i="29"/>
  <c r="C1031" i="29" s="1"/>
  <c r="AK1031" i="29"/>
  <c r="D1031" i="29" s="1"/>
  <c r="A943" i="29" l="1"/>
  <c r="AK1032" i="29"/>
  <c r="D1032" i="29" s="1"/>
  <c r="AL1032" i="29"/>
  <c r="C1032" i="29" s="1"/>
  <c r="A944" i="29" l="1"/>
  <c r="AL1033" i="29"/>
  <c r="C1033" i="29" s="1"/>
  <c r="AK1033" i="29"/>
  <c r="D1033" i="29" s="1"/>
  <c r="A945" i="29" l="1"/>
  <c r="AK1034" i="29"/>
  <c r="D1034" i="29" s="1"/>
  <c r="AL1034" i="29"/>
  <c r="C1034" i="29" s="1"/>
  <c r="A946" i="29" l="1"/>
  <c r="AL1035" i="29"/>
  <c r="C1035" i="29" s="1"/>
  <c r="AK1035" i="29"/>
  <c r="D1035" i="29" s="1"/>
  <c r="A947" i="29" l="1"/>
  <c r="AK1048" i="29"/>
  <c r="D1048" i="29" s="1"/>
  <c r="AL1048" i="29"/>
  <c r="C1048" i="29" s="1"/>
  <c r="A948" i="29" l="1"/>
  <c r="AL1049" i="29"/>
  <c r="C1049" i="29" s="1"/>
  <c r="AK1049" i="29"/>
  <c r="D1049" i="29" s="1"/>
  <c r="A949" i="29" l="1"/>
  <c r="AK1050" i="29"/>
  <c r="D1050" i="29" s="1"/>
  <c r="AL1050" i="29"/>
  <c r="C1050" i="29" s="1"/>
  <c r="A950" i="29" l="1"/>
  <c r="AL1051" i="29"/>
  <c r="C1051" i="29" s="1"/>
  <c r="AK1051" i="29"/>
  <c r="D1051" i="29" s="1"/>
  <c r="A951" i="29" l="1"/>
  <c r="AK1052" i="29"/>
  <c r="D1052" i="29" s="1"/>
  <c r="AL1052" i="29"/>
  <c r="C1052" i="29" s="1"/>
  <c r="A952" i="29" l="1"/>
  <c r="AL1053" i="29"/>
  <c r="C1053" i="29" s="1"/>
  <c r="AK1053" i="29"/>
  <c r="D1053" i="29" s="1"/>
  <c r="A953" i="29" l="1"/>
  <c r="AK1054" i="29"/>
  <c r="D1054" i="29" s="1"/>
  <c r="AL1054" i="29"/>
  <c r="C1054" i="29" s="1"/>
  <c r="A954" i="29" l="1"/>
  <c r="AL1055" i="29"/>
  <c r="C1055" i="29" s="1"/>
  <c r="AK1055" i="29"/>
  <c r="D1055" i="29" s="1"/>
  <c r="A955" i="29" l="1"/>
  <c r="AK1056" i="29"/>
  <c r="D1056" i="29" s="1"/>
  <c r="AL1056" i="29"/>
  <c r="C1056" i="29" s="1"/>
  <c r="A956" i="29" l="1"/>
  <c r="AL1057" i="29"/>
  <c r="C1057" i="29" s="1"/>
  <c r="AK1057" i="29"/>
  <c r="D1057" i="29" s="1"/>
  <c r="W256" i="17" l="1"/>
  <c r="W255" i="17"/>
  <c r="A957" i="29"/>
  <c r="W261" i="17" l="1"/>
  <c r="A958" i="29"/>
  <c r="A959" i="29" l="1"/>
  <c r="A960" i="29" l="1"/>
  <c r="A961" i="29" l="1"/>
  <c r="A962" i="29" l="1"/>
  <c r="A963" i="29" l="1"/>
  <c r="A964" i="29" l="1"/>
  <c r="A965" i="29" l="1"/>
  <c r="A966" i="29" l="1"/>
  <c r="A967" i="29" l="1"/>
  <c r="A968" i="29" l="1"/>
  <c r="A969" i="29" l="1"/>
  <c r="A970" i="29" l="1"/>
  <c r="A971" i="29" l="1"/>
  <c r="A972" i="29" l="1"/>
  <c r="A973" i="29" l="1"/>
  <c r="A974" i="29" l="1"/>
  <c r="A975" i="29" l="1"/>
  <c r="A976" i="29" l="1"/>
  <c r="A977" i="29" l="1"/>
  <c r="A978" i="29" l="1"/>
  <c r="A979" i="29" l="1"/>
  <c r="A980" i="29" l="1"/>
  <c r="A981" i="29" l="1"/>
  <c r="A982" i="29" l="1"/>
  <c r="A983" i="29" l="1"/>
  <c r="A984" i="29" l="1"/>
  <c r="A985" i="29" l="1"/>
  <c r="A986" i="29" l="1"/>
  <c r="A987" i="29" l="1"/>
  <c r="A988" i="29" l="1"/>
  <c r="A989" i="29" l="1"/>
  <c r="A990" i="29" l="1"/>
  <c r="A991" i="29" l="1"/>
  <c r="A992" i="29" l="1"/>
  <c r="A993" i="29" l="1"/>
  <c r="A994" i="29" l="1"/>
  <c r="A995" i="29" l="1"/>
  <c r="A996" i="29" l="1"/>
  <c r="A997" i="29" l="1"/>
  <c r="A998" i="29" l="1"/>
  <c r="A999" i="29" l="1"/>
  <c r="A1000" i="29" l="1"/>
  <c r="A1001" i="29" l="1"/>
  <c r="A1002" i="29" l="1"/>
  <c r="A1003" i="29" l="1"/>
  <c r="A1004" i="29" l="1"/>
  <c r="A1005" i="29" l="1"/>
  <c r="A1006" i="29" l="1"/>
  <c r="A1007" i="29" l="1"/>
  <c r="A1008" i="29" l="1"/>
  <c r="A1009" i="29" l="1"/>
  <c r="A1010" i="29" l="1"/>
  <c r="A1011" i="29" l="1"/>
  <c r="A1012" i="29" l="1"/>
  <c r="A1013" i="29" l="1"/>
  <c r="A1014" i="29" l="1"/>
  <c r="A1015" i="29" l="1"/>
  <c r="A1016" i="29" l="1"/>
  <c r="A1017" i="29" l="1"/>
  <c r="A1018" i="29" l="1"/>
  <c r="A1019" i="29" l="1"/>
  <c r="A1020" i="29" l="1"/>
  <c r="A1021" i="29" l="1"/>
  <c r="A1022" i="29" l="1"/>
  <c r="A1023" i="29" l="1"/>
  <c r="A1024" i="29" l="1"/>
  <c r="A1025" i="29" l="1"/>
  <c r="A1026" i="29" l="1"/>
  <c r="A1027" i="29" l="1"/>
  <c r="A1028" i="29" l="1"/>
  <c r="A1029" i="29" l="1"/>
  <c r="A1030" i="29" l="1"/>
  <c r="A1031" i="29" l="1"/>
  <c r="A1032" i="29" l="1"/>
  <c r="L78" i="69" l="1"/>
  <c r="H80" i="69"/>
  <c r="L144" i="69"/>
  <c r="L133" i="69"/>
  <c r="L81" i="69"/>
  <c r="H81" i="69"/>
  <c r="H131" i="69"/>
  <c r="H79" i="69"/>
  <c r="H133" i="69"/>
  <c r="L150" i="69"/>
  <c r="L79" i="69"/>
  <c r="H132" i="69"/>
  <c r="H78" i="69"/>
  <c r="H140" i="69"/>
  <c r="H130" i="69"/>
  <c r="L143" i="69"/>
  <c r="L132" i="69"/>
  <c r="H138" i="69"/>
  <c r="L140" i="69"/>
  <c r="L131" i="69"/>
  <c r="H143" i="69"/>
  <c r="H144" i="69"/>
  <c r="L130" i="69"/>
  <c r="L138" i="69"/>
  <c r="H150" i="69"/>
  <c r="L80" i="69"/>
  <c r="C150" i="69"/>
  <c r="C143" i="69"/>
  <c r="C78" i="69"/>
  <c r="D79" i="69"/>
  <c r="D140" i="69"/>
  <c r="D130" i="69"/>
  <c r="D150" i="69"/>
  <c r="C130" i="69"/>
  <c r="C132" i="69"/>
  <c r="D78" i="69"/>
  <c r="C81" i="69"/>
  <c r="C79" i="69"/>
  <c r="D132" i="69"/>
  <c r="D81" i="69"/>
  <c r="D144" i="69"/>
  <c r="D138" i="69"/>
  <c r="D131" i="69"/>
  <c r="C131" i="69"/>
  <c r="C133" i="69"/>
  <c r="D80" i="69"/>
  <c r="D133" i="69"/>
  <c r="C140" i="69"/>
  <c r="C144" i="69"/>
  <c r="C80" i="69"/>
  <c r="D143" i="69"/>
  <c r="C138" i="69"/>
  <c r="A1033" i="29"/>
  <c r="J81" i="69" l="1"/>
  <c r="I81" i="69"/>
  <c r="J78" i="69"/>
  <c r="I78" i="69"/>
  <c r="I80" i="69"/>
  <c r="J80" i="69"/>
  <c r="J79" i="69"/>
  <c r="I79" i="69"/>
  <c r="I130" i="69"/>
  <c r="J130" i="69"/>
  <c r="I143" i="69"/>
  <c r="J143" i="69"/>
  <c r="J133" i="69"/>
  <c r="I133" i="69"/>
  <c r="I131" i="69"/>
  <c r="J131" i="69"/>
  <c r="I150" i="69"/>
  <c r="J150" i="69"/>
  <c r="I132" i="69"/>
  <c r="J132" i="69"/>
  <c r="I144" i="69"/>
  <c r="J144" i="69"/>
  <c r="I138" i="69"/>
  <c r="J138" i="69"/>
  <c r="I140" i="69"/>
  <c r="J140" i="69"/>
  <c r="A1034" i="29"/>
  <c r="K80" i="69" l="1"/>
  <c r="M80" i="69" s="1"/>
  <c r="K81" i="69"/>
  <c r="M81" i="69" s="1"/>
  <c r="K79" i="69"/>
  <c r="M79" i="69" s="1"/>
  <c r="K78" i="69"/>
  <c r="M78" i="69" s="1"/>
  <c r="K140" i="69"/>
  <c r="M140" i="69" s="1"/>
  <c r="K144" i="69"/>
  <c r="M144" i="69" s="1"/>
  <c r="K150" i="69"/>
  <c r="M150" i="69" s="1"/>
  <c r="K130" i="69"/>
  <c r="M130" i="69" s="1"/>
  <c r="K138" i="69"/>
  <c r="M138" i="69" s="1"/>
  <c r="K132" i="69"/>
  <c r="M132" i="69" s="1"/>
  <c r="K131" i="69"/>
  <c r="M131" i="69" s="1"/>
  <c r="K143" i="69"/>
  <c r="M143" i="69" s="1"/>
  <c r="K133" i="69"/>
  <c r="M133" i="69" s="1"/>
  <c r="A1035" i="29"/>
  <c r="A1036" i="29" s="1"/>
  <c r="A1037" i="29" s="1"/>
  <c r="A1038" i="29" s="1"/>
  <c r="A1039" i="29" s="1"/>
  <c r="A1040" i="29" s="1"/>
  <c r="A1041" i="29" s="1"/>
  <c r="A1042" i="29" s="1"/>
  <c r="A1043" i="29" s="1"/>
  <c r="A1044" i="29" s="1"/>
  <c r="A1045" i="29" s="1"/>
  <c r="A1046" i="29" s="1"/>
  <c r="A1047" i="29" s="1"/>
  <c r="A1048" i="29" s="1"/>
  <c r="A1049" i="29" s="1"/>
  <c r="A1050" i="29" s="1"/>
  <c r="A1051" i="29" s="1"/>
  <c r="A1052" i="29" s="1"/>
  <c r="A1053" i="29" s="1"/>
  <c r="A1054" i="29" s="1"/>
  <c r="A1055" i="29" s="1"/>
  <c r="A1056" i="29" s="1"/>
  <c r="A1057" i="29" s="1"/>
  <c r="U287" i="17" l="1"/>
  <c r="G289" i="17" s="1"/>
  <c r="U289" i="17" l="1"/>
  <c r="G293" i="17" s="1"/>
  <c r="U290" i="17" l="1"/>
  <c r="G294" i="17" s="1"/>
  <c r="U288" i="17" l="1"/>
  <c r="G290" i="17" s="1"/>
  <c r="U283" i="17" l="1"/>
  <c r="G285" i="17" s="1"/>
  <c r="U294" i="17" l="1"/>
  <c r="G300" i="17" s="1"/>
  <c r="U295" i="17" l="1"/>
  <c r="G302" i="17" s="1"/>
  <c r="U279" i="17" l="1"/>
  <c r="G281" i="17" l="1"/>
  <c r="U280" i="17"/>
  <c r="G282" i="17" s="1"/>
  <c r="U293" i="17" l="1"/>
  <c r="U292" i="17" l="1"/>
  <c r="G298" i="17" s="1"/>
  <c r="U300" i="17" l="1"/>
  <c r="U284" i="17"/>
  <c r="G286" i="17" l="1"/>
  <c r="G308" i="17" s="1"/>
  <c r="U299" i="17"/>
  <c r="U305" i="17" s="1"/>
  <c r="V303" i="17" l="1"/>
  <c r="V296" i="17"/>
  <c r="V297" i="17"/>
  <c r="H306" i="17" s="1"/>
  <c r="R52" i="17"/>
  <c r="S49" i="17"/>
  <c r="S48" i="17"/>
  <c r="B57" i="17"/>
  <c r="V302" i="17" l="1"/>
  <c r="H305" i="17"/>
  <c r="E116" i="4"/>
  <c r="E163" i="4"/>
  <c r="E214" i="4"/>
  <c r="E18" i="4"/>
  <c r="E40" i="4"/>
  <c r="E57" i="4"/>
  <c r="E80" i="4"/>
  <c r="E99" i="4"/>
  <c r="E122" i="4"/>
  <c r="E142" i="4"/>
  <c r="D142" i="4"/>
  <c r="E165" i="4"/>
  <c r="E182" i="4"/>
  <c r="E205" i="4"/>
  <c r="E235" i="4"/>
  <c r="E251" i="4"/>
  <c r="E270" i="4"/>
  <c r="E286" i="4"/>
  <c r="E302" i="4"/>
  <c r="E321" i="4"/>
  <c r="E337" i="4"/>
  <c r="E356" i="4"/>
  <c r="E372" i="4"/>
  <c r="E54" i="4"/>
  <c r="E159" i="4"/>
  <c r="E237" i="4"/>
  <c r="E272" i="4"/>
  <c r="E304" i="4"/>
  <c r="E339" i="4"/>
  <c r="E374" i="4"/>
  <c r="E29" i="4"/>
  <c r="E63" i="4"/>
  <c r="E98" i="4"/>
  <c r="E133" i="4"/>
  <c r="E168" i="4"/>
  <c r="E203" i="4"/>
  <c r="E234" i="4"/>
  <c r="E269" i="4"/>
  <c r="E301" i="4"/>
  <c r="E336" i="4"/>
  <c r="E371" i="4"/>
  <c r="E73" i="4"/>
  <c r="D73" i="4"/>
  <c r="E179" i="4"/>
  <c r="D179" i="4"/>
  <c r="E23" i="4"/>
  <c r="D76" i="4"/>
  <c r="E76" i="4"/>
  <c r="E127" i="4"/>
  <c r="E174" i="4"/>
  <c r="E232" i="4"/>
  <c r="E19" i="4"/>
  <c r="E41" i="4"/>
  <c r="E60" i="4"/>
  <c r="E83" i="4"/>
  <c r="E103" i="4"/>
  <c r="E123" i="4"/>
  <c r="D143" i="4"/>
  <c r="E143" i="4"/>
  <c r="E166" i="4"/>
  <c r="E185" i="4"/>
  <c r="E208" i="4"/>
  <c r="E236" i="4"/>
  <c r="E252" i="4"/>
  <c r="E271" i="4"/>
  <c r="E287" i="4"/>
  <c r="E303" i="4"/>
  <c r="E322" i="4"/>
  <c r="E338" i="4"/>
  <c r="E357" i="4"/>
  <c r="E373" i="4"/>
  <c r="E66" i="4"/>
  <c r="E171" i="4"/>
  <c r="E241" i="4"/>
  <c r="E276" i="4"/>
  <c r="E311" i="4"/>
  <c r="E343" i="4"/>
  <c r="E378" i="4"/>
  <c r="E67" i="4"/>
  <c r="E102" i="4"/>
  <c r="E137" i="4"/>
  <c r="E172" i="4"/>
  <c r="E207" i="4"/>
  <c r="E238" i="4"/>
  <c r="E273" i="4"/>
  <c r="E308" i="4"/>
  <c r="E340" i="4"/>
  <c r="E375" i="4"/>
  <c r="E85" i="4"/>
  <c r="E194" i="4"/>
  <c r="E50" i="4"/>
  <c r="E202" i="4"/>
  <c r="E53" i="4"/>
  <c r="E95" i="4"/>
  <c r="E118" i="4"/>
  <c r="E135" i="4"/>
  <c r="E158" i="4"/>
  <c r="E178" i="4"/>
  <c r="E200" i="4"/>
  <c r="E225" i="4"/>
  <c r="E247" i="4"/>
  <c r="E263" i="4"/>
  <c r="E282" i="4"/>
  <c r="E298" i="4"/>
  <c r="E317" i="4"/>
  <c r="E333" i="4"/>
  <c r="E352" i="4"/>
  <c r="E368" i="4"/>
  <c r="E28" i="4"/>
  <c r="E132" i="4"/>
  <c r="E218" i="4"/>
  <c r="D218" i="4"/>
  <c r="E261" i="4"/>
  <c r="E296" i="4"/>
  <c r="E331" i="4"/>
  <c r="E366" i="4"/>
  <c r="D366" i="4"/>
  <c r="E21" i="4"/>
  <c r="E55" i="4"/>
  <c r="E90" i="4"/>
  <c r="E125" i="4"/>
  <c r="E160" i="4"/>
  <c r="E195" i="4"/>
  <c r="E223" i="4"/>
  <c r="E258" i="4"/>
  <c r="D258" i="4"/>
  <c r="E293" i="4"/>
  <c r="E328" i="4"/>
  <c r="D328" i="4"/>
  <c r="E363" i="4"/>
  <c r="E46" i="4"/>
  <c r="E155" i="4"/>
  <c r="E11" i="4"/>
  <c r="E61" i="4"/>
  <c r="E115" i="4"/>
  <c r="E162" i="4"/>
  <c r="E213" i="4"/>
  <c r="E15" i="4"/>
  <c r="E36" i="4"/>
  <c r="D36" i="4"/>
  <c r="E56" i="4"/>
  <c r="E79" i="4"/>
  <c r="E96" i="4"/>
  <c r="E119" i="4"/>
  <c r="E138" i="4"/>
  <c r="E161" i="4"/>
  <c r="E181" i="4"/>
  <c r="D181" i="4"/>
  <c r="E204" i="4"/>
  <c r="E231" i="4"/>
  <c r="E248" i="4"/>
  <c r="E264" i="4"/>
  <c r="E283" i="4"/>
  <c r="E299" i="4"/>
  <c r="E318" i="4"/>
  <c r="E334" i="4"/>
  <c r="E353" i="4"/>
  <c r="D369" i="4"/>
  <c r="E369" i="4"/>
  <c r="E42" i="4"/>
  <c r="E144" i="4"/>
  <c r="D144" i="4"/>
  <c r="E229" i="4"/>
  <c r="E265" i="4"/>
  <c r="E300" i="4"/>
  <c r="E335" i="4"/>
  <c r="E370" i="4"/>
  <c r="E25" i="4"/>
  <c r="E59" i="4"/>
  <c r="E94" i="4"/>
  <c r="E129" i="4"/>
  <c r="E164" i="4"/>
  <c r="E199" i="4"/>
  <c r="E230" i="4"/>
  <c r="E262" i="4"/>
  <c r="E297" i="4"/>
  <c r="E332" i="4"/>
  <c r="D332" i="4"/>
  <c r="E367" i="4"/>
  <c r="E58" i="4"/>
  <c r="E167" i="4"/>
  <c r="E62" i="4"/>
  <c r="E151" i="4"/>
  <c r="E14" i="4"/>
  <c r="E75" i="4"/>
  <c r="E38" i="4"/>
  <c r="E89" i="4"/>
  <c r="E140" i="4"/>
  <c r="E187" i="4"/>
  <c r="E7" i="4"/>
  <c r="E27" i="4"/>
  <c r="E48" i="4"/>
  <c r="E68" i="4"/>
  <c r="D68" i="4"/>
  <c r="E91" i="4"/>
  <c r="E108" i="4"/>
  <c r="E131" i="4"/>
  <c r="E154" i="4"/>
  <c r="E173" i="4"/>
  <c r="E196" i="4"/>
  <c r="D221" i="4"/>
  <c r="E221" i="4"/>
  <c r="E243" i="4"/>
  <c r="E259" i="4"/>
  <c r="E278" i="4"/>
  <c r="E294" i="4"/>
  <c r="E313" i="4"/>
  <c r="E329" i="4"/>
  <c r="D329" i="4"/>
  <c r="E348" i="4"/>
  <c r="E364" i="4"/>
  <c r="D364" i="4"/>
  <c r="E380" i="4"/>
  <c r="E105" i="4"/>
  <c r="D105" i="4"/>
  <c r="E210" i="4"/>
  <c r="E253" i="4"/>
  <c r="D253" i="4"/>
  <c r="E288" i="4"/>
  <c r="E323" i="4"/>
  <c r="E358" i="4"/>
  <c r="E13" i="4"/>
  <c r="E47" i="4"/>
  <c r="E82" i="4"/>
  <c r="E117" i="4"/>
  <c r="E152" i="4"/>
  <c r="E184" i="4"/>
  <c r="D184" i="4"/>
  <c r="E215" i="4"/>
  <c r="E250" i="4"/>
  <c r="E285" i="4"/>
  <c r="E320" i="4"/>
  <c r="E355" i="4"/>
  <c r="E20" i="4"/>
  <c r="E124" i="4"/>
  <c r="E5" i="4"/>
  <c r="E49" i="4"/>
  <c r="E100" i="4"/>
  <c r="D147" i="4"/>
  <c r="E147" i="4"/>
  <c r="E201" i="4"/>
  <c r="E10" i="4"/>
  <c r="E30" i="4"/>
  <c r="E52" i="4"/>
  <c r="D69" i="4"/>
  <c r="E69" i="4"/>
  <c r="E92" i="4"/>
  <c r="E114" i="4"/>
  <c r="E134" i="4"/>
  <c r="E157" i="4"/>
  <c r="E177" i="4"/>
  <c r="E197" i="4"/>
  <c r="E224" i="4"/>
  <c r="E244" i="4"/>
  <c r="E260" i="4"/>
  <c r="E279" i="4"/>
  <c r="D295" i="4"/>
  <c r="E295" i="4"/>
  <c r="E314" i="4"/>
  <c r="E330" i="4"/>
  <c r="E349" i="4"/>
  <c r="D365" i="4"/>
  <c r="E365" i="4"/>
  <c r="E16" i="4"/>
  <c r="E120" i="4"/>
  <c r="D217" i="4"/>
  <c r="E217" i="4"/>
  <c r="E257" i="4"/>
  <c r="E292" i="4"/>
  <c r="D292" i="4"/>
  <c r="E327" i="4"/>
  <c r="D327" i="4"/>
  <c r="E362" i="4"/>
  <c r="E17" i="4"/>
  <c r="E51" i="4"/>
  <c r="E86" i="4"/>
  <c r="E121" i="4"/>
  <c r="E156" i="4"/>
  <c r="E191" i="4"/>
  <c r="E219" i="4"/>
  <c r="E254" i="4"/>
  <c r="D254" i="4"/>
  <c r="E289" i="4"/>
  <c r="E324" i="4"/>
  <c r="E359" i="4"/>
  <c r="E35" i="4"/>
  <c r="E136" i="4"/>
  <c r="E12" i="4"/>
  <c r="E101" i="4"/>
  <c r="E34" i="4"/>
  <c r="E24" i="4"/>
  <c r="E77" i="4"/>
  <c r="E128" i="4"/>
  <c r="E175" i="4"/>
  <c r="E233" i="4"/>
  <c r="E22" i="4"/>
  <c r="E44" i="4"/>
  <c r="E64" i="4"/>
  <c r="E84" i="4"/>
  <c r="E104" i="4"/>
  <c r="E126" i="4"/>
  <c r="E146" i="4"/>
  <c r="E169" i="4"/>
  <c r="E192" i="4"/>
  <c r="E209" i="4"/>
  <c r="E239" i="4"/>
  <c r="E255" i="4"/>
  <c r="D255" i="4"/>
  <c r="E274" i="4"/>
  <c r="E290" i="4"/>
  <c r="D290" i="4"/>
  <c r="E309" i="4"/>
  <c r="E325" i="4"/>
  <c r="E341" i="4"/>
  <c r="E360" i="4"/>
  <c r="E376" i="4"/>
  <c r="E81" i="4"/>
  <c r="E183" i="4"/>
  <c r="E245" i="4"/>
  <c r="E280" i="4"/>
  <c r="E315" i="4"/>
  <c r="E350" i="4"/>
  <c r="E216" i="4"/>
  <c r="D216" i="4"/>
  <c r="E39" i="4"/>
  <c r="D39" i="4"/>
  <c r="E74" i="4"/>
  <c r="E106" i="4"/>
  <c r="D106" i="4"/>
  <c r="E141" i="4"/>
  <c r="E176" i="4"/>
  <c r="E211" i="4"/>
  <c r="E242" i="4"/>
  <c r="E277" i="4"/>
  <c r="E312" i="4"/>
  <c r="E347" i="4"/>
  <c r="E379" i="4"/>
  <c r="E97" i="4"/>
  <c r="E206" i="4"/>
  <c r="E37" i="4"/>
  <c r="E88" i="4"/>
  <c r="E139" i="4"/>
  <c r="E186" i="4"/>
  <c r="E6" i="4"/>
  <c r="E26" i="4"/>
  <c r="E45" i="4"/>
  <c r="E65" i="4"/>
  <c r="E87" i="4"/>
  <c r="E107" i="4"/>
  <c r="D107" i="4"/>
  <c r="E130" i="4"/>
  <c r="E153" i="4"/>
  <c r="E170" i="4"/>
  <c r="E193" i="4"/>
  <c r="E220" i="4"/>
  <c r="E240" i="4"/>
  <c r="E256" i="4"/>
  <c r="E275" i="4"/>
  <c r="D291" i="4"/>
  <c r="E291" i="4"/>
  <c r="E310" i="4"/>
  <c r="E326" i="4"/>
  <c r="E342" i="4"/>
  <c r="E361" i="4"/>
  <c r="E377" i="4"/>
  <c r="E93" i="4"/>
  <c r="E198" i="4"/>
  <c r="E249" i="4"/>
  <c r="E284" i="4"/>
  <c r="E319" i="4"/>
  <c r="E354" i="4"/>
  <c r="E9" i="4"/>
  <c r="E43" i="4"/>
  <c r="E78" i="4"/>
  <c r="E113" i="4"/>
  <c r="D113" i="4"/>
  <c r="E145" i="4"/>
  <c r="E180" i="4"/>
  <c r="D180" i="4"/>
  <c r="E212" i="4"/>
  <c r="E246" i="4"/>
  <c r="E281" i="4"/>
  <c r="E316" i="4"/>
  <c r="E351" i="4"/>
  <c r="E8" i="4"/>
  <c r="E112" i="4"/>
  <c r="E222" i="4"/>
  <c r="D8" i="4" l="1"/>
  <c r="D222" i="4"/>
  <c r="D316" i="4"/>
  <c r="D212" i="4"/>
  <c r="D112" i="4"/>
  <c r="D281" i="4"/>
  <c r="D354" i="4"/>
  <c r="D198" i="4"/>
  <c r="D246" i="4"/>
  <c r="D351" i="4"/>
  <c r="D78" i="4"/>
  <c r="D319" i="4"/>
  <c r="D43" i="4"/>
  <c r="D284" i="4"/>
  <c r="D361" i="4"/>
  <c r="D153" i="4"/>
  <c r="D45" i="4"/>
  <c r="D139" i="4"/>
  <c r="D206" i="4"/>
  <c r="D312" i="4"/>
  <c r="D176" i="4"/>
  <c r="D280" i="4"/>
  <c r="D376" i="4"/>
  <c r="D309" i="4"/>
  <c r="D239" i="4"/>
  <c r="D209" i="4"/>
  <c r="D146" i="4"/>
  <c r="D64" i="4"/>
  <c r="D175" i="4"/>
  <c r="D35" i="4"/>
  <c r="D121" i="4"/>
  <c r="D362" i="4"/>
  <c r="D330" i="4"/>
  <c r="D260" i="4"/>
  <c r="D114" i="4"/>
  <c r="D92" i="4"/>
  <c r="D30" i="4"/>
  <c r="D49" i="4"/>
  <c r="D20" i="4"/>
  <c r="D250" i="4"/>
  <c r="D117" i="4"/>
  <c r="D358" i="4"/>
  <c r="D210" i="4"/>
  <c r="D348" i="4"/>
  <c r="D278" i="4"/>
  <c r="D196" i="4"/>
  <c r="D7" i="4"/>
  <c r="D89" i="4"/>
  <c r="D151" i="4"/>
  <c r="D367" i="4"/>
  <c r="D230" i="4"/>
  <c r="D94" i="4"/>
  <c r="D335" i="4"/>
  <c r="D318" i="4"/>
  <c r="D248" i="4"/>
  <c r="D213" i="4"/>
  <c r="D11" i="4"/>
  <c r="D363" i="4"/>
  <c r="D223" i="4"/>
  <c r="D90" i="4"/>
  <c r="D331" i="4"/>
  <c r="D132" i="4"/>
  <c r="D333" i="4"/>
  <c r="D263" i="4"/>
  <c r="D158" i="4"/>
  <c r="D95" i="4"/>
  <c r="D53" i="4"/>
  <c r="D194" i="4"/>
  <c r="D308" i="4"/>
  <c r="D172" i="4"/>
  <c r="D276" i="4"/>
  <c r="D357" i="4"/>
  <c r="D287" i="4"/>
  <c r="D123" i="4"/>
  <c r="D60" i="4"/>
  <c r="D41" i="4"/>
  <c r="D127" i="4"/>
  <c r="D301" i="4"/>
  <c r="D168" i="4"/>
  <c r="D29" i="4"/>
  <c r="D272" i="4"/>
  <c r="D372" i="4"/>
  <c r="D302" i="4"/>
  <c r="D235" i="4"/>
  <c r="D205" i="4"/>
  <c r="D163" i="4"/>
  <c r="D145" i="4"/>
  <c r="D9" i="4"/>
  <c r="D249" i="4"/>
  <c r="D342" i="4"/>
  <c r="D275" i="4"/>
  <c r="D220" i="4"/>
  <c r="D193" i="4"/>
  <c r="D130" i="4"/>
  <c r="D88" i="4"/>
  <c r="D97" i="4"/>
  <c r="D277" i="4"/>
  <c r="D141" i="4"/>
  <c r="D245" i="4"/>
  <c r="D360" i="4"/>
  <c r="D126" i="4"/>
  <c r="D104" i="4"/>
  <c r="D44" i="4"/>
  <c r="D128" i="4"/>
  <c r="D101" i="4"/>
  <c r="D359" i="4"/>
  <c r="D219" i="4"/>
  <c r="D86" i="4"/>
  <c r="D120" i="4"/>
  <c r="D314" i="4"/>
  <c r="D244" i="4"/>
  <c r="D177" i="4"/>
  <c r="D10" i="4"/>
  <c r="D201" i="4"/>
  <c r="D355" i="4"/>
  <c r="D215" i="4"/>
  <c r="D82" i="4"/>
  <c r="D323" i="4"/>
  <c r="D259" i="4"/>
  <c r="D173" i="4"/>
  <c r="D154" i="4"/>
  <c r="D91" i="4"/>
  <c r="D38" i="4"/>
  <c r="D62" i="4"/>
  <c r="D199" i="4"/>
  <c r="D59" i="4"/>
  <c r="D300" i="4"/>
  <c r="D42" i="4"/>
  <c r="D299" i="4"/>
  <c r="D161" i="4"/>
  <c r="D79" i="4"/>
  <c r="D162" i="4"/>
  <c r="D195" i="4"/>
  <c r="D55" i="4"/>
  <c r="D296" i="4"/>
  <c r="D28" i="4"/>
  <c r="D317" i="4"/>
  <c r="D247" i="4"/>
  <c r="D225" i="4"/>
  <c r="D135" i="4"/>
  <c r="D85" i="4"/>
  <c r="D273" i="4"/>
  <c r="D137" i="4"/>
  <c r="D378" i="4"/>
  <c r="D241" i="4"/>
  <c r="D338" i="4"/>
  <c r="D271" i="4"/>
  <c r="D208" i="4"/>
  <c r="D19" i="4"/>
  <c r="D269" i="4"/>
  <c r="D133" i="4"/>
  <c r="D374" i="4"/>
  <c r="D237" i="4"/>
  <c r="D356" i="4"/>
  <c r="D286" i="4"/>
  <c r="D182" i="4"/>
  <c r="D122" i="4"/>
  <c r="D40" i="4"/>
  <c r="D116" i="4"/>
  <c r="D326" i="4"/>
  <c r="D256" i="4"/>
  <c r="D170" i="4"/>
  <c r="D26" i="4"/>
  <c r="D37" i="4"/>
  <c r="D379" i="4"/>
  <c r="D242" i="4"/>
  <c r="D350" i="4"/>
  <c r="D183" i="4"/>
  <c r="D341" i="4"/>
  <c r="D274" i="4"/>
  <c r="D192" i="4"/>
  <c r="D84" i="4"/>
  <c r="D22" i="4"/>
  <c r="D77" i="4"/>
  <c r="D12" i="4"/>
  <c r="D324" i="4"/>
  <c r="D191" i="4"/>
  <c r="D51" i="4"/>
  <c r="D16" i="4"/>
  <c r="D157" i="4"/>
  <c r="D5" i="4"/>
  <c r="D320" i="4"/>
  <c r="D47" i="4"/>
  <c r="D288" i="4"/>
  <c r="D380" i="4"/>
  <c r="D313" i="4"/>
  <c r="D243" i="4"/>
  <c r="D131" i="4"/>
  <c r="D187" i="4"/>
  <c r="D75" i="4"/>
  <c r="D167" i="4"/>
  <c r="D297" i="4"/>
  <c r="D164" i="4"/>
  <c r="D25" i="4"/>
  <c r="D265" i="4"/>
  <c r="D353" i="4"/>
  <c r="D283" i="4"/>
  <c r="D231" i="4"/>
  <c r="D138" i="4"/>
  <c r="D119" i="4"/>
  <c r="D56" i="4"/>
  <c r="D115" i="4"/>
  <c r="D155" i="4"/>
  <c r="D293" i="4"/>
  <c r="D160" i="4"/>
  <c r="D21" i="4"/>
  <c r="D261" i="4"/>
  <c r="D368" i="4"/>
  <c r="D298" i="4"/>
  <c r="D202" i="4"/>
  <c r="D375" i="4"/>
  <c r="D238" i="4"/>
  <c r="D102" i="4"/>
  <c r="D343" i="4"/>
  <c r="D171" i="4"/>
  <c r="D322" i="4"/>
  <c r="D252" i="4"/>
  <c r="D185" i="4"/>
  <c r="D166" i="4"/>
  <c r="D103" i="4"/>
  <c r="D232" i="4"/>
  <c r="D23" i="4"/>
  <c r="D371" i="4"/>
  <c r="D234" i="4"/>
  <c r="D98" i="4"/>
  <c r="D339" i="4"/>
  <c r="D159" i="4"/>
  <c r="D337" i="4"/>
  <c r="D270" i="4"/>
  <c r="D99" i="4"/>
  <c r="D80" i="4"/>
  <c r="D18" i="4"/>
  <c r="D93" i="4"/>
  <c r="D377" i="4"/>
  <c r="D310" i="4"/>
  <c r="D240" i="4"/>
  <c r="D87" i="4"/>
  <c r="D65" i="4"/>
  <c r="D6" i="4"/>
  <c r="D186" i="4"/>
  <c r="D347" i="4"/>
  <c r="D211" i="4"/>
  <c r="D74" i="4"/>
  <c r="D315" i="4"/>
  <c r="D81" i="4"/>
  <c r="D325" i="4"/>
  <c r="D169" i="4"/>
  <c r="D233" i="4"/>
  <c r="D24" i="4"/>
  <c r="D34" i="4"/>
  <c r="D136" i="4"/>
  <c r="D289" i="4"/>
  <c r="D156" i="4"/>
  <c r="D17" i="4"/>
  <c r="D257" i="4"/>
  <c r="D349" i="4"/>
  <c r="D279" i="4"/>
  <c r="D224" i="4"/>
  <c r="D197" i="4"/>
  <c r="D134" i="4"/>
  <c r="D52" i="4"/>
  <c r="D100" i="4"/>
  <c r="D124" i="4"/>
  <c r="D285" i="4"/>
  <c r="D152" i="4"/>
  <c r="D13" i="4"/>
  <c r="D294" i="4"/>
  <c r="D108" i="4"/>
  <c r="D48" i="4"/>
  <c r="D27" i="4"/>
  <c r="D140" i="4"/>
  <c r="D14" i="4"/>
  <c r="D58" i="4"/>
  <c r="D262" i="4"/>
  <c r="D129" i="4"/>
  <c r="D370" i="4"/>
  <c r="D229" i="4"/>
  <c r="D334" i="4"/>
  <c r="D264" i="4"/>
  <c r="D204" i="4"/>
  <c r="D96" i="4"/>
  <c r="D15" i="4"/>
  <c r="D61" i="4"/>
  <c r="D46" i="4"/>
  <c r="D125" i="4"/>
  <c r="D352" i="4"/>
  <c r="D282" i="4"/>
  <c r="D200" i="4"/>
  <c r="D178" i="4"/>
  <c r="D118" i="4"/>
  <c r="D50" i="4"/>
  <c r="D340" i="4"/>
  <c r="D207" i="4"/>
  <c r="D67" i="4"/>
  <c r="D311" i="4"/>
  <c r="D66" i="4"/>
  <c r="D373" i="4"/>
  <c r="D303" i="4"/>
  <c r="D236" i="4"/>
  <c r="D83" i="4"/>
  <c r="D174" i="4"/>
  <c r="D336" i="4"/>
  <c r="D203" i="4"/>
  <c r="D63" i="4"/>
  <c r="D304" i="4"/>
  <c r="D54" i="4"/>
  <c r="D321" i="4"/>
  <c r="D251" i="4"/>
  <c r="D165" i="4"/>
  <c r="D57" i="4"/>
  <c r="D214" i="4"/>
  <c r="AP526" i="4" l="1"/>
  <c r="AP522" i="4"/>
  <c r="AP518" i="4"/>
  <c r="AQ527" i="4"/>
  <c r="AU526" i="4"/>
  <c r="AS522" i="4"/>
  <c r="AU519" i="4"/>
  <c r="AU518" i="4"/>
  <c r="AQ514" i="4"/>
  <c r="AQ523" i="4"/>
  <c r="AR510" i="4"/>
  <c r="G514" i="4"/>
  <c r="G510" i="4"/>
  <c r="AQ506" i="4"/>
  <c r="AQ499" i="4"/>
  <c r="AS498" i="4"/>
  <c r="AP506" i="4"/>
  <c r="AR503" i="4"/>
  <c r="AU502" i="4"/>
  <c r="AT498" i="4"/>
  <c r="G495" i="4"/>
  <c r="AP494" i="4"/>
  <c r="AU479" i="4"/>
  <c r="AR483" i="4"/>
  <c r="AS482" i="4"/>
  <c r="AS494" i="4"/>
  <c r="AL490" i="4"/>
  <c r="AS479" i="4"/>
  <c r="AT478" i="4"/>
  <c r="AL483" i="4"/>
  <c r="AS487" i="4"/>
  <c r="AU483" i="4"/>
  <c r="AQ494" i="4"/>
  <c r="G491" i="4"/>
  <c r="AQ486" i="4"/>
  <c r="AT506" i="4"/>
  <c r="AT491" i="4"/>
  <c r="AT479" i="4"/>
  <c r="AU478" i="4"/>
  <c r="AR482" i="4"/>
  <c r="AR484" i="4" s="1"/>
  <c r="AR499" i="4"/>
  <c r="AR491" i="4"/>
  <c r="AQ522" i="4"/>
  <c r="AS519" i="4"/>
  <c r="AP514" i="4"/>
  <c r="AP510" i="4"/>
  <c r="AQ519" i="4"/>
  <c r="AS511" i="4"/>
  <c r="AS514" i="4"/>
  <c r="AU503" i="4"/>
  <c r="AL511" i="4"/>
  <c r="AR502" i="4"/>
  <c r="G502" i="4"/>
  <c r="AR498" i="4"/>
  <c r="G498" i="4"/>
  <c r="AR494" i="4"/>
  <c r="G494" i="4"/>
  <c r="G496" i="4" s="1"/>
  <c r="AR490" i="4"/>
  <c r="AR492" i="4" s="1"/>
  <c r="G490" i="4"/>
  <c r="AR486" i="4"/>
  <c r="G486" i="4"/>
  <c r="G506" i="4"/>
  <c r="G503" i="4"/>
  <c r="AQ526" i="4"/>
  <c r="AR506" i="4"/>
  <c r="AQ502" i="4"/>
  <c r="AS499" i="4"/>
  <c r="AU495" i="4"/>
  <c r="AP486" i="4"/>
  <c r="AL478" i="4"/>
  <c r="AT483" i="4"/>
  <c r="AU482" i="4"/>
  <c r="AU484" i="4" s="1"/>
  <c r="G507" i="4"/>
  <c r="AS510" i="4"/>
  <c r="AL502" i="4"/>
  <c r="AQ498" i="4"/>
  <c r="AT482" i="4"/>
  <c r="AT511" i="4"/>
  <c r="AS495" i="4"/>
  <c r="AQ483" i="4"/>
  <c r="AL486" i="4"/>
  <c r="AL482" i="4"/>
  <c r="AS526" i="4"/>
  <c r="AT514" i="4"/>
  <c r="AT510" i="4"/>
  <c r="AS518" i="4"/>
  <c r="AU510" i="4"/>
  <c r="AR495" i="4"/>
  <c r="AS486" i="4"/>
  <c r="AQ479" i="4"/>
  <c r="AQ511" i="4"/>
  <c r="AL507" i="4"/>
  <c r="AP490" i="4"/>
  <c r="AS483" i="4"/>
  <c r="AQ495" i="4"/>
  <c r="AS478" i="4"/>
  <c r="AP482" i="4"/>
  <c r="AT507" i="4"/>
  <c r="AL495" i="4"/>
  <c r="AL503" i="4"/>
  <c r="AU511" i="4"/>
  <c r="AP523" i="4"/>
  <c r="AT495" i="4"/>
  <c r="AL523" i="4"/>
  <c r="AR527" i="4"/>
  <c r="AQ515" i="4"/>
  <c r="AL515" i="4"/>
  <c r="AQ507" i="4"/>
  <c r="AT499" i="4"/>
  <c r="AT519" i="4"/>
  <c r="AT527" i="4"/>
  <c r="AU491" i="4"/>
  <c r="G527" i="4"/>
  <c r="AT526" i="4"/>
  <c r="AT522" i="4"/>
  <c r="AT518" i="4"/>
  <c r="AR526" i="4"/>
  <c r="AR528" i="4" s="1"/>
  <c r="AR522" i="4"/>
  <c r="AR518" i="4"/>
  <c r="AU514" i="4"/>
  <c r="AL514" i="4"/>
  <c r="AL510" i="4"/>
  <c r="AS506" i="4"/>
  <c r="AU522" i="4"/>
  <c r="AQ503" i="4"/>
  <c r="AS502" i="4"/>
  <c r="AU499" i="4"/>
  <c r="AS527" i="4"/>
  <c r="AT490" i="4"/>
  <c r="AT492" i="4" s="1"/>
  <c r="AQ510" i="4"/>
  <c r="AQ482" i="4"/>
  <c r="AT494" i="4"/>
  <c r="AP479" i="4"/>
  <c r="AP515" i="4"/>
  <c r="AT502" i="4"/>
  <c r="AU490" i="4"/>
  <c r="AU492" i="4" s="1"/>
  <c r="G482" i="4"/>
  <c r="AP502" i="4"/>
  <c r="AS490" i="4"/>
  <c r="G483" i="4"/>
  <c r="G523" i="4"/>
  <c r="AS515" i="4"/>
  <c r="AL527" i="4"/>
  <c r="AT487" i="4"/>
  <c r="G519" i="4"/>
  <c r="AP491" i="4"/>
  <c r="AL526" i="4"/>
  <c r="AL522" i="4"/>
  <c r="AL518" i="4"/>
  <c r="AQ518" i="4"/>
  <c r="AU523" i="4"/>
  <c r="G518" i="4"/>
  <c r="AL506" i="4"/>
  <c r="AL498" i="4"/>
  <c r="AS491" i="4"/>
  <c r="G478" i="4"/>
  <c r="AU486" i="4"/>
  <c r="AU498" i="4"/>
  <c r="AP487" i="4"/>
  <c r="AL479" i="4"/>
  <c r="AR514" i="4"/>
  <c r="G499" i="4"/>
  <c r="AL494" i="4"/>
  <c r="AL496" i="4" s="1"/>
  <c r="AR479" i="4"/>
  <c r="AQ487" i="4"/>
  <c r="AP507" i="4"/>
  <c r="AU507" i="4"/>
  <c r="AP499" i="4"/>
  <c r="AR511" i="4"/>
  <c r="AP519" i="4"/>
  <c r="AP527" i="4"/>
  <c r="AR523" i="4"/>
  <c r="AT503" i="4"/>
  <c r="AU487" i="4"/>
  <c r="AR515" i="4"/>
  <c r="AQ491" i="4"/>
  <c r="AP511" i="4"/>
  <c r="AP495" i="4"/>
  <c r="AP503" i="4"/>
  <c r="AT523" i="4"/>
  <c r="AR519" i="4"/>
  <c r="G487" i="4"/>
  <c r="AT515" i="4"/>
  <c r="G526" i="4"/>
  <c r="G522" i="4"/>
  <c r="AU527" i="4"/>
  <c r="AU506" i="4"/>
  <c r="AU508" i="4" s="1"/>
  <c r="AU494" i="4"/>
  <c r="AS523" i="4"/>
  <c r="AP498" i="4"/>
  <c r="AQ490" i="4"/>
  <c r="AP483" i="4"/>
  <c r="AT486" i="4"/>
  <c r="AS503" i="4"/>
  <c r="AL491" i="4"/>
  <c r="AR507" i="4"/>
  <c r="G479" i="4"/>
  <c r="AL487" i="4"/>
  <c r="G511" i="4"/>
  <c r="AR487" i="4"/>
  <c r="AL499" i="4"/>
  <c r="AL519" i="4"/>
  <c r="AU515" i="4"/>
  <c r="AS507" i="4"/>
  <c r="G515" i="4"/>
  <c r="W254" i="17"/>
  <c r="W247" i="17"/>
  <c r="R250" i="17"/>
  <c r="R242" i="17"/>
  <c r="W242" i="17"/>
  <c r="W235" i="17"/>
  <c r="R239" i="17"/>
  <c r="W246" i="17"/>
  <c r="R248" i="17"/>
  <c r="W253" i="17"/>
  <c r="W252" i="17"/>
  <c r="W251" i="17"/>
  <c r="R251" i="17"/>
  <c r="R235" i="17"/>
  <c r="R243" i="17"/>
  <c r="W249" i="17"/>
  <c r="W239" i="17"/>
  <c r="R254" i="17"/>
  <c r="R249" i="17"/>
  <c r="R238" i="17"/>
  <c r="W236" i="17"/>
  <c r="R236" i="17"/>
  <c r="W238" i="17"/>
  <c r="W243" i="17"/>
  <c r="R253" i="17"/>
  <c r="R237" i="17"/>
  <c r="R247" i="17"/>
  <c r="W237" i="17"/>
  <c r="R246" i="17"/>
  <c r="W248" i="17"/>
  <c r="R252" i="17"/>
  <c r="W250" i="17"/>
  <c r="K141" i="48"/>
  <c r="L141" i="48" s="1"/>
  <c r="M141" i="48" s="1"/>
  <c r="AQ528" i="4" l="1"/>
  <c r="AU520" i="4"/>
  <c r="AL512" i="4"/>
  <c r="AT528" i="4"/>
  <c r="AS488" i="4"/>
  <c r="AS520" i="4"/>
  <c r="AT488" i="4"/>
  <c r="G484" i="4"/>
  <c r="AT512" i="4"/>
  <c r="AT484" i="4"/>
  <c r="AQ524" i="4"/>
  <c r="AQ520" i="4"/>
  <c r="AQ512" i="4"/>
  <c r="AQ492" i="4"/>
  <c r="AP500" i="4"/>
  <c r="AR504" i="4"/>
  <c r="AS528" i="4"/>
  <c r="G488" i="4"/>
  <c r="AP516" i="4"/>
  <c r="AL528" i="4"/>
  <c r="AP504" i="4"/>
  <c r="AT520" i="4"/>
  <c r="AP492" i="4"/>
  <c r="AR496" i="4"/>
  <c r="AQ496" i="4"/>
  <c r="AS484" i="4"/>
  <c r="AU512" i="4"/>
  <c r="AS524" i="4"/>
  <c r="AS504" i="4"/>
  <c r="AL504" i="4"/>
  <c r="G508" i="4"/>
  <c r="AQ500" i="4"/>
  <c r="AR500" i="4"/>
  <c r="AL492" i="4"/>
  <c r="AU500" i="4"/>
  <c r="AU524" i="4"/>
  <c r="AL480" i="4"/>
  <c r="AR508" i="4"/>
  <c r="G524" i="4"/>
  <c r="AR516" i="4"/>
  <c r="AL524" i="4"/>
  <c r="AT504" i="4"/>
  <c r="AS508" i="4"/>
  <c r="AL516" i="4"/>
  <c r="AU516" i="4"/>
  <c r="AR520" i="4"/>
  <c r="AT524" i="4"/>
  <c r="AP484" i="4"/>
  <c r="AT516" i="4"/>
  <c r="AL484" i="4"/>
  <c r="G492" i="4"/>
  <c r="G500" i="4"/>
  <c r="AP512" i="4"/>
  <c r="AQ488" i="4"/>
  <c r="AS496" i="4"/>
  <c r="AT500" i="4"/>
  <c r="AS500" i="4"/>
  <c r="AQ508" i="4"/>
  <c r="AR512" i="4"/>
  <c r="AQ516" i="4"/>
  <c r="AU528" i="4"/>
  <c r="AP520" i="4"/>
  <c r="AP528" i="4"/>
  <c r="G504" i="4"/>
  <c r="AT480" i="4"/>
  <c r="AU504" i="4"/>
  <c r="AP524" i="4"/>
  <c r="AU496" i="4"/>
  <c r="AL520" i="4"/>
  <c r="AS512" i="4"/>
  <c r="AR488" i="4"/>
  <c r="G516" i="4"/>
  <c r="G528" i="4"/>
  <c r="AU488" i="4"/>
  <c r="G480" i="4"/>
  <c r="AL500" i="4"/>
  <c r="AL508" i="4"/>
  <c r="G520" i="4"/>
  <c r="AS492" i="4"/>
  <c r="AT496" i="4"/>
  <c r="AQ484" i="4"/>
  <c r="AR524" i="4"/>
  <c r="AS480" i="4"/>
  <c r="AL488" i="4"/>
  <c r="AP488" i="4"/>
  <c r="AQ504" i="4"/>
  <c r="AS516" i="4"/>
  <c r="AU480" i="4"/>
  <c r="AT508" i="4"/>
  <c r="AP496" i="4"/>
  <c r="AP508" i="4"/>
  <c r="G512" i="4"/>
  <c r="R258" i="17"/>
  <c r="W258" i="17"/>
  <c r="H58" i="48" l="1"/>
  <c r="I197" i="30" l="1"/>
  <c r="H59" i="48"/>
  <c r="I216" i="30" l="1"/>
  <c r="H112" i="48"/>
  <c r="H113" i="48"/>
  <c r="I217" i="30" l="1"/>
  <c r="H115" i="48"/>
  <c r="O38" i="17" l="1"/>
  <c r="S6" i="17" l="1"/>
  <c r="P38" i="17" l="1"/>
  <c r="S38" i="17" l="1"/>
  <c r="T38" i="17" s="1"/>
  <c r="V290" i="17" l="1"/>
  <c r="H294" i="17" s="1"/>
  <c r="V279" i="17" l="1"/>
  <c r="H281" i="17" s="1"/>
  <c r="S32" i="17"/>
  <c r="V289" i="17"/>
  <c r="H293" i="17" s="1"/>
  <c r="S13" i="17"/>
  <c r="V280" i="17"/>
  <c r="H282" i="17" s="1"/>
  <c r="V278" i="17"/>
  <c r="H278" i="17" s="1"/>
  <c r="V292" i="17"/>
  <c r="H298" i="17" s="1"/>
  <c r="V287" i="17" l="1"/>
  <c r="H289" i="17" s="1"/>
  <c r="S5" i="17"/>
  <c r="V293" i="17"/>
  <c r="V276" i="17"/>
  <c r="H276" i="17" s="1"/>
  <c r="V284" i="17"/>
  <c r="H286" i="17" s="1"/>
  <c r="V295" i="17"/>
  <c r="H302" i="17" s="1"/>
  <c r="V294" i="17"/>
  <c r="H300" i="17" s="1"/>
  <c r="V283" i="17"/>
  <c r="H285" i="17" s="1"/>
  <c r="V288" i="17"/>
  <c r="H290" i="17" s="1"/>
  <c r="S14" i="17"/>
  <c r="S39" i="17"/>
  <c r="S44" i="17"/>
  <c r="S24" i="17"/>
  <c r="S18" i="17"/>
  <c r="S10" i="17"/>
  <c r="S42" i="17"/>
  <c r="S19" i="17"/>
  <c r="S30" i="17"/>
  <c r="S26" i="17"/>
  <c r="V291" i="17" l="1"/>
  <c r="V300" i="17"/>
  <c r="S35" i="17"/>
  <c r="I57" i="17"/>
  <c r="H296" i="17" l="1"/>
  <c r="H308" i="17" s="1"/>
  <c r="V299" i="17"/>
  <c r="V305" i="17" s="1"/>
  <c r="S52" i="17"/>
  <c r="D137" i="69" l="1"/>
  <c r="D139" i="69"/>
  <c r="D141" i="69"/>
  <c r="D142" i="69"/>
  <c r="D145" i="69"/>
  <c r="D146" i="69"/>
  <c r="D147" i="69"/>
  <c r="D148" i="69"/>
  <c r="C137" i="69"/>
  <c r="C139" i="69"/>
  <c r="C141" i="69"/>
  <c r="C142" i="69"/>
  <c r="C145" i="69"/>
  <c r="C146" i="69"/>
  <c r="C147" i="69"/>
  <c r="C148" i="69"/>
  <c r="H139" i="69" l="1"/>
  <c r="H141" i="69"/>
  <c r="H142" i="69"/>
  <c r="H145" i="69"/>
  <c r="H146" i="69"/>
  <c r="H147" i="69"/>
  <c r="H148" i="69"/>
  <c r="H137" i="69"/>
  <c r="J146" i="69"/>
  <c r="I146" i="69"/>
  <c r="J139" i="69"/>
  <c r="I139" i="69"/>
  <c r="L137" i="69"/>
  <c r="L139" i="69"/>
  <c r="L141" i="69"/>
  <c r="L142" i="69"/>
  <c r="L146" i="69"/>
  <c r="L145" i="69"/>
  <c r="L147" i="69"/>
  <c r="L148" i="69"/>
  <c r="I145" i="69"/>
  <c r="J145" i="69"/>
  <c r="J148" i="69"/>
  <c r="I148" i="69"/>
  <c r="J147" i="69"/>
  <c r="I147" i="69"/>
  <c r="J142" i="69"/>
  <c r="I142" i="69"/>
  <c r="J141" i="69"/>
  <c r="I141" i="69"/>
  <c r="J137" i="69"/>
  <c r="I137" i="69"/>
  <c r="K142" i="69" l="1"/>
  <c r="M142" i="69" s="1"/>
  <c r="K141" i="69"/>
  <c r="M141" i="69" s="1"/>
  <c r="K146" i="69"/>
  <c r="M146" i="69" s="1"/>
  <c r="K148" i="69"/>
  <c r="M148" i="69" s="1"/>
  <c r="K145" i="69"/>
  <c r="M145" i="69" s="1"/>
  <c r="K137" i="69"/>
  <c r="M137" i="69" s="1"/>
  <c r="K147" i="69"/>
  <c r="M147" i="69" s="1"/>
  <c r="K139" i="69"/>
  <c r="M139" i="69" s="1"/>
  <c r="G473" i="4"/>
  <c r="AL473" i="4"/>
  <c r="R259" i="17" l="1"/>
  <c r="A6" i="3" l="1"/>
  <c r="A7" i="3" s="1"/>
  <c r="A8" i="3" s="1"/>
  <c r="E2" i="43" l="1"/>
  <c r="A9" i="3"/>
  <c r="F2" i="43"/>
  <c r="F3" i="43" s="1"/>
  <c r="B8" i="3"/>
  <c r="B7" i="3"/>
  <c r="E3" i="43"/>
  <c r="D2" i="43"/>
  <c r="A5" i="3"/>
  <c r="B6" i="3"/>
  <c r="A10" i="3" l="1"/>
  <c r="G2" i="43"/>
  <c r="G3" i="43" s="1"/>
  <c r="B9" i="3"/>
  <c r="C2" i="43"/>
  <c r="B5" i="3"/>
  <c r="F7" i="43"/>
  <c r="BM4" i="4"/>
  <c r="AD2" i="29"/>
  <c r="F58" i="43"/>
  <c r="F74" i="43" s="1"/>
  <c r="E58" i="43"/>
  <c r="E74" i="43" s="1"/>
  <c r="D58" i="43"/>
  <c r="D7" i="43"/>
  <c r="D56" i="43" s="1"/>
  <c r="D3" i="43"/>
  <c r="E7" i="43"/>
  <c r="E56" i="43" s="1"/>
  <c r="D57" i="43" l="1"/>
  <c r="G7" i="43"/>
  <c r="G56" i="43" s="1"/>
  <c r="G58" i="43"/>
  <c r="G74" i="43" s="1"/>
  <c r="B10" i="3"/>
  <c r="H2" i="43"/>
  <c r="D43" i="43"/>
  <c r="D23" i="43"/>
  <c r="D44" i="43"/>
  <c r="D74" i="43"/>
  <c r="D45" i="43"/>
  <c r="E45" i="43"/>
  <c r="E44" i="43"/>
  <c r="AI2" i="29"/>
  <c r="B2" i="29"/>
  <c r="AD3" i="29"/>
  <c r="F44" i="43"/>
  <c r="F56" i="43"/>
  <c r="F57" i="43" s="1"/>
  <c r="F45" i="43"/>
  <c r="F23" i="43"/>
  <c r="F123" i="43" s="1"/>
  <c r="F43" i="43"/>
  <c r="E43" i="43"/>
  <c r="BL4" i="4"/>
  <c r="BM5" i="4"/>
  <c r="B4" i="4"/>
  <c r="BP4" i="4"/>
  <c r="E23" i="43"/>
  <c r="E123" i="43" s="1"/>
  <c r="E57" i="43"/>
  <c r="C58" i="43"/>
  <c r="C3" i="43"/>
  <c r="C7" i="43"/>
  <c r="C56" i="43" s="1"/>
  <c r="G43" i="43" l="1"/>
  <c r="E2" i="29"/>
  <c r="G57" i="43"/>
  <c r="G23" i="43"/>
  <c r="G123" i="43" s="1"/>
  <c r="G45" i="43"/>
  <c r="G44" i="43"/>
  <c r="H3" i="43"/>
  <c r="H7" i="43"/>
  <c r="H56" i="43" s="1"/>
  <c r="H58" i="43"/>
  <c r="D123" i="43"/>
  <c r="BP5" i="4"/>
  <c r="BM6" i="4"/>
  <c r="B5" i="4"/>
  <c r="G2" i="29"/>
  <c r="T2" i="29"/>
  <c r="R2" i="29"/>
  <c r="Q2" i="29"/>
  <c r="U2" i="29"/>
  <c r="S2" i="29"/>
  <c r="AF2" i="29"/>
  <c r="AE2" i="29"/>
  <c r="BO4" i="4"/>
  <c r="BN4" i="4"/>
  <c r="C44" i="43"/>
  <c r="C74" i="43"/>
  <c r="C43" i="43"/>
  <c r="C45" i="43"/>
  <c r="C23" i="43"/>
  <c r="C57" i="43"/>
  <c r="O4" i="4"/>
  <c r="F4" i="4"/>
  <c r="P4" i="4"/>
  <c r="K4" i="4"/>
  <c r="AZ4" i="4"/>
  <c r="AY4" i="4"/>
  <c r="BD4" i="4"/>
  <c r="BB4" i="4"/>
  <c r="Q4" i="4"/>
  <c r="BA4" i="4"/>
  <c r="R4" i="4"/>
  <c r="N4" i="4"/>
  <c r="M4" i="4"/>
  <c r="AM4" i="4"/>
  <c r="BC4" i="4"/>
  <c r="AI3" i="29"/>
  <c r="B3" i="29"/>
  <c r="AD4" i="29"/>
  <c r="O2" i="29" l="1"/>
  <c r="H74" i="43"/>
  <c r="H57" i="43"/>
  <c r="H45" i="43"/>
  <c r="H44" i="43"/>
  <c r="H43" i="43"/>
  <c r="H23" i="43"/>
  <c r="AW4" i="4"/>
  <c r="AF4" i="4"/>
  <c r="AE4" i="4"/>
  <c r="AJ4" i="4" s="1"/>
  <c r="Z4" i="4"/>
  <c r="AH4" i="4" s="1"/>
  <c r="Y4" i="4"/>
  <c r="AG4" i="4" s="1"/>
  <c r="AD4" i="4"/>
  <c r="AI4" i="4" s="1"/>
  <c r="AC4" i="4"/>
  <c r="BG4" i="4" s="1"/>
  <c r="AY5" i="4"/>
  <c r="BC5" i="4"/>
  <c r="Q5" i="4"/>
  <c r="N5" i="4"/>
  <c r="P5" i="4"/>
  <c r="BB5" i="4"/>
  <c r="BD5" i="4"/>
  <c r="O5" i="4"/>
  <c r="R5" i="4"/>
  <c r="M5" i="4"/>
  <c r="AZ5" i="4"/>
  <c r="BA5" i="4"/>
  <c r="AM5" i="4"/>
  <c r="F5" i="4"/>
  <c r="K5" i="4"/>
  <c r="J2" i="29"/>
  <c r="Y2" i="29" s="1"/>
  <c r="I2" i="29"/>
  <c r="K2" i="29" s="1"/>
  <c r="N2" i="29" s="1"/>
  <c r="B6" i="4"/>
  <c r="BM7" i="4"/>
  <c r="BP6" i="4"/>
  <c r="Q3" i="29"/>
  <c r="T3" i="29"/>
  <c r="E3" i="29"/>
  <c r="U3" i="29"/>
  <c r="S3" i="29"/>
  <c r="G3" i="29"/>
  <c r="R3" i="29"/>
  <c r="AF3" i="29"/>
  <c r="AE3" i="29"/>
  <c r="C123" i="43"/>
  <c r="BN5" i="4"/>
  <c r="BO5" i="4"/>
  <c r="AI4" i="29"/>
  <c r="B4" i="29"/>
  <c r="AD5" i="29"/>
  <c r="Z2" i="29" l="1"/>
  <c r="H123" i="43"/>
  <c r="AE4" i="29"/>
  <c r="AF4" i="29"/>
  <c r="U4" i="29"/>
  <c r="G4" i="29"/>
  <c r="T4" i="29"/>
  <c r="S4" i="29"/>
  <c r="Q4" i="29"/>
  <c r="E4" i="29"/>
  <c r="R4" i="29"/>
  <c r="BO6" i="4"/>
  <c r="BN6" i="4"/>
  <c r="B7" i="4"/>
  <c r="BM8" i="4"/>
  <c r="BP7" i="4"/>
  <c r="AK4" i="4"/>
  <c r="AN4" i="4"/>
  <c r="F6" i="4"/>
  <c r="BD6" i="4"/>
  <c r="N6" i="4"/>
  <c r="BB6" i="4"/>
  <c r="AY6" i="4"/>
  <c r="BC6" i="4"/>
  <c r="AM6" i="4"/>
  <c r="M6" i="4"/>
  <c r="P6" i="4"/>
  <c r="BA6" i="4"/>
  <c r="Q6" i="4"/>
  <c r="O6" i="4"/>
  <c r="K6" i="4"/>
  <c r="R6" i="4"/>
  <c r="AZ6" i="4"/>
  <c r="V2" i="29"/>
  <c r="W2" i="29" s="1"/>
  <c r="P2" i="29"/>
  <c r="AI5" i="29"/>
  <c r="B5" i="29"/>
  <c r="AD6" i="29"/>
  <c r="AF5" i="4"/>
  <c r="AK5" i="4" s="1"/>
  <c r="AD5" i="4"/>
  <c r="AI5" i="4" s="1"/>
  <c r="Y5" i="4"/>
  <c r="AG5" i="4" s="1"/>
  <c r="AC5" i="4"/>
  <c r="BG5" i="4" s="1"/>
  <c r="AE5" i="4"/>
  <c r="AJ5" i="4" s="1"/>
  <c r="Z5" i="4"/>
  <c r="AH5" i="4" s="1"/>
  <c r="I3" i="29"/>
  <c r="K3" i="29" s="1"/>
  <c r="N3" i="29" s="1"/>
  <c r="J3" i="29"/>
  <c r="Y3" i="29" s="1"/>
  <c r="O3" i="29"/>
  <c r="AW5" i="4"/>
  <c r="BH4" i="4"/>
  <c r="F7" i="4" l="1"/>
  <c r="BH5" i="4"/>
  <c r="AO4" i="4"/>
  <c r="P3" i="29"/>
  <c r="V3" i="29"/>
  <c r="W3" i="29" s="1"/>
  <c r="AW6" i="4"/>
  <c r="Y6" i="4"/>
  <c r="AF6" i="4"/>
  <c r="AC6" i="4"/>
  <c r="BG6" i="4" s="1"/>
  <c r="AE6" i="4"/>
  <c r="AD6" i="4"/>
  <c r="AI6" i="4" s="1"/>
  <c r="Z6" i="4"/>
  <c r="I4" i="29"/>
  <c r="J4" i="29"/>
  <c r="Y4" i="29" s="1"/>
  <c r="Z3" i="29"/>
  <c r="AI6" i="29"/>
  <c r="AD7" i="29"/>
  <c r="B6" i="29"/>
  <c r="AN5" i="4"/>
  <c r="BN7" i="4"/>
  <c r="BO7" i="4"/>
  <c r="O4" i="29"/>
  <c r="E5" i="29"/>
  <c r="G5" i="29"/>
  <c r="U5" i="29"/>
  <c r="R5" i="29"/>
  <c r="S5" i="29"/>
  <c r="Q5" i="29"/>
  <c r="T5" i="29"/>
  <c r="AE5" i="29"/>
  <c r="AF5" i="29"/>
  <c r="BM9" i="4"/>
  <c r="BP8" i="4"/>
  <c r="B8" i="4"/>
  <c r="BC7" i="4"/>
  <c r="O7" i="4"/>
  <c r="BD7" i="4"/>
  <c r="BA7" i="4"/>
  <c r="Q7" i="4"/>
  <c r="AY7" i="4"/>
  <c r="R7" i="4"/>
  <c r="BB7" i="4"/>
  <c r="M7" i="4"/>
  <c r="AZ7" i="4"/>
  <c r="K7" i="4"/>
  <c r="N7" i="4"/>
  <c r="P7" i="4"/>
  <c r="AM7" i="4"/>
  <c r="AV4" i="4" l="1"/>
  <c r="AV5" i="4"/>
  <c r="AO5" i="4"/>
  <c r="AW7" i="4"/>
  <c r="BO8" i="4"/>
  <c r="BN8" i="4"/>
  <c r="B9" i="4"/>
  <c r="BM10" i="4"/>
  <c r="BP9" i="4"/>
  <c r="AD7" i="4"/>
  <c r="AI7" i="4" s="1"/>
  <c r="AE7" i="4"/>
  <c r="AJ7" i="4" s="1"/>
  <c r="Y7" i="4"/>
  <c r="AG7" i="4" s="1"/>
  <c r="AC7" i="4"/>
  <c r="BG7" i="4" s="1"/>
  <c r="Z7" i="4"/>
  <c r="AH7" i="4" s="1"/>
  <c r="AF7" i="4"/>
  <c r="R6" i="29"/>
  <c r="U6" i="29"/>
  <c r="G6" i="29"/>
  <c r="T6" i="29"/>
  <c r="S6" i="29"/>
  <c r="Q6" i="29"/>
  <c r="E6" i="29"/>
  <c r="AH6" i="4"/>
  <c r="AK6" i="4"/>
  <c r="AN6" i="4"/>
  <c r="O5" i="29"/>
  <c r="AI7" i="29"/>
  <c r="B7" i="29"/>
  <c r="AD8" i="29"/>
  <c r="AG6" i="4"/>
  <c r="AY8" i="4"/>
  <c r="M8" i="4"/>
  <c r="N8" i="4"/>
  <c r="AZ8" i="4"/>
  <c r="K8" i="4"/>
  <c r="BD8" i="4"/>
  <c r="BC8" i="4"/>
  <c r="BA8" i="4"/>
  <c r="BB8" i="4"/>
  <c r="Q8" i="4"/>
  <c r="AM8" i="4"/>
  <c r="R8" i="4"/>
  <c r="O8" i="4"/>
  <c r="F8" i="4"/>
  <c r="P8" i="4"/>
  <c r="I5" i="29"/>
  <c r="J5" i="29"/>
  <c r="Y5" i="29" s="1"/>
  <c r="Z4" i="29"/>
  <c r="AE6" i="29"/>
  <c r="AF6" i="29"/>
  <c r="AJ6" i="4"/>
  <c r="BE4" i="4" l="1"/>
  <c r="BF4" i="4" s="1"/>
  <c r="K4" i="29"/>
  <c r="N4" i="29" s="1"/>
  <c r="AX5" i="4"/>
  <c r="BH6" i="4"/>
  <c r="AX4" i="4"/>
  <c r="BE5" i="4"/>
  <c r="BH7" i="4"/>
  <c r="AO6" i="4"/>
  <c r="AV6" i="4"/>
  <c r="AE7" i="29"/>
  <c r="AF7" i="29"/>
  <c r="J6" i="29"/>
  <c r="Y6" i="29" s="1"/>
  <c r="I6" i="29"/>
  <c r="AW8" i="4"/>
  <c r="AK7" i="4"/>
  <c r="AN7" i="4"/>
  <c r="BO9" i="4"/>
  <c r="BN9" i="4"/>
  <c r="AI8" i="29"/>
  <c r="B8" i="29"/>
  <c r="AD9" i="29"/>
  <c r="B10" i="4"/>
  <c r="BP10" i="4"/>
  <c r="BM11" i="4"/>
  <c r="Z8" i="4"/>
  <c r="AH8" i="4" s="1"/>
  <c r="AF8" i="4"/>
  <c r="Y8" i="4"/>
  <c r="AG8" i="4" s="1"/>
  <c r="AC8" i="4"/>
  <c r="BG8" i="4" s="1"/>
  <c r="AD8" i="4"/>
  <c r="AI8" i="4" s="1"/>
  <c r="AE8" i="4"/>
  <c r="AJ8" i="4" s="1"/>
  <c r="Q7" i="29"/>
  <c r="S7" i="29"/>
  <c r="G7" i="29"/>
  <c r="E7" i="29"/>
  <c r="T7" i="29"/>
  <c r="U7" i="29"/>
  <c r="R7" i="29"/>
  <c r="Z5" i="29"/>
  <c r="O6" i="29"/>
  <c r="AY9" i="4"/>
  <c r="N9" i="4"/>
  <c r="Q9" i="4"/>
  <c r="BD9" i="4"/>
  <c r="BA9" i="4"/>
  <c r="K9" i="4"/>
  <c r="BB9" i="4"/>
  <c r="M9" i="4"/>
  <c r="O9" i="4"/>
  <c r="BC9" i="4"/>
  <c r="R9" i="4"/>
  <c r="AM9" i="4"/>
  <c r="P9" i="4"/>
  <c r="AZ9" i="4"/>
  <c r="F9" i="4"/>
  <c r="P4" i="29" l="1"/>
  <c r="V4" i="29"/>
  <c r="W4" i="29" s="1"/>
  <c r="K5" i="29"/>
  <c r="N5" i="29" s="1"/>
  <c r="BF5" i="4"/>
  <c r="AX6" i="4"/>
  <c r="AO7" i="4"/>
  <c r="AV7" i="4"/>
  <c r="B11" i="4"/>
  <c r="BM12" i="4"/>
  <c r="BP11" i="4"/>
  <c r="U8" i="29"/>
  <c r="E8" i="29"/>
  <c r="G8" i="29"/>
  <c r="Q8" i="29"/>
  <c r="T8" i="29"/>
  <c r="R8" i="29"/>
  <c r="S8" i="29"/>
  <c r="AE9" i="4"/>
  <c r="AJ9" i="4" s="1"/>
  <c r="AC9" i="4"/>
  <c r="BG9" i="4" s="1"/>
  <c r="Y9" i="4"/>
  <c r="AG9" i="4" s="1"/>
  <c r="AF9" i="4"/>
  <c r="AD9" i="4"/>
  <c r="AI9" i="4" s="1"/>
  <c r="Z9" i="4"/>
  <c r="AH9" i="4" s="1"/>
  <c r="I7" i="29"/>
  <c r="J7" i="29"/>
  <c r="Y7" i="29" s="1"/>
  <c r="AK8" i="4"/>
  <c r="AN8" i="4"/>
  <c r="BO10" i="4"/>
  <c r="BN10" i="4"/>
  <c r="AF8" i="29"/>
  <c r="AE8" i="29"/>
  <c r="Z6" i="29"/>
  <c r="O7" i="29"/>
  <c r="BH8" i="4"/>
  <c r="K10" i="4"/>
  <c r="F10" i="4"/>
  <c r="BA10" i="4"/>
  <c r="BC10" i="4"/>
  <c r="BB10" i="4"/>
  <c r="AY10" i="4"/>
  <c r="BD10" i="4"/>
  <c r="R10" i="4"/>
  <c r="P10" i="4"/>
  <c r="N10" i="4"/>
  <c r="AM10" i="4"/>
  <c r="M10" i="4"/>
  <c r="O10" i="4"/>
  <c r="Q10" i="4"/>
  <c r="AZ10" i="4"/>
  <c r="AW9" i="4"/>
  <c r="AI9" i="29"/>
  <c r="B9" i="29"/>
  <c r="AD10" i="29"/>
  <c r="BE6" i="4"/>
  <c r="V5" i="29" l="1"/>
  <c r="W5" i="29" s="1"/>
  <c r="P5" i="29"/>
  <c r="K6" i="29"/>
  <c r="N6" i="29" s="1"/>
  <c r="P6" i="29" s="1"/>
  <c r="BH9" i="4"/>
  <c r="AX7" i="4"/>
  <c r="BF6" i="4"/>
  <c r="BE7" i="4"/>
  <c r="AV8" i="4"/>
  <c r="P11" i="4"/>
  <c r="AY11" i="4"/>
  <c r="BC11" i="4"/>
  <c r="Q11" i="4"/>
  <c r="O11" i="4"/>
  <c r="M11" i="4"/>
  <c r="AM11" i="4"/>
  <c r="BD11" i="4"/>
  <c r="AZ11" i="4"/>
  <c r="F11" i="4"/>
  <c r="BA11" i="4"/>
  <c r="N11" i="4"/>
  <c r="R11" i="4"/>
  <c r="BB11" i="4"/>
  <c r="K11" i="4"/>
  <c r="R9" i="29"/>
  <c r="E9" i="29"/>
  <c r="S9" i="29"/>
  <c r="T9" i="29"/>
  <c r="U9" i="29"/>
  <c r="G9" i="29"/>
  <c r="Q9" i="29"/>
  <c r="AE9" i="29"/>
  <c r="AF9" i="29"/>
  <c r="AD10" i="4"/>
  <c r="AI10" i="4" s="1"/>
  <c r="AF10" i="4"/>
  <c r="AC10" i="4"/>
  <c r="BG10" i="4" s="1"/>
  <c r="AE10" i="4"/>
  <c r="AJ10" i="4" s="1"/>
  <c r="Y10" i="4"/>
  <c r="AG10" i="4" s="1"/>
  <c r="Z10" i="4"/>
  <c r="AH10" i="4" s="1"/>
  <c r="AK9" i="4"/>
  <c r="AN9" i="4"/>
  <c r="AW10" i="4"/>
  <c r="O8" i="29"/>
  <c r="BN11" i="4"/>
  <c r="BO11" i="4"/>
  <c r="AI10" i="29"/>
  <c r="AD11" i="29"/>
  <c r="B10" i="29"/>
  <c r="Z7" i="29"/>
  <c r="J8" i="29"/>
  <c r="Y8" i="29" s="1"/>
  <c r="I8" i="29"/>
  <c r="AO8" i="4"/>
  <c r="B12" i="4"/>
  <c r="BM13" i="4"/>
  <c r="BP12" i="4"/>
  <c r="V6" i="29" l="1"/>
  <c r="W6" i="29" s="1"/>
  <c r="K8" i="29"/>
  <c r="N8" i="29" s="1"/>
  <c r="K7" i="29"/>
  <c r="N7" i="29" s="1"/>
  <c r="AX8" i="4"/>
  <c r="BF7" i="4"/>
  <c r="BE8" i="4"/>
  <c r="AV9" i="4"/>
  <c r="BH10" i="4"/>
  <c r="AO9" i="4"/>
  <c r="AE10" i="29"/>
  <c r="AF10" i="29"/>
  <c r="AF11" i="4"/>
  <c r="AE11" i="4"/>
  <c r="AJ11" i="4" s="1"/>
  <c r="Y11" i="4"/>
  <c r="AG11" i="4" s="1"/>
  <c r="AD11" i="4"/>
  <c r="AI11" i="4" s="1"/>
  <c r="AC11" i="4"/>
  <c r="BG11" i="4" s="1"/>
  <c r="Z11" i="4"/>
  <c r="AH11" i="4" s="1"/>
  <c r="O9" i="29"/>
  <c r="AW11" i="4"/>
  <c r="O12" i="4"/>
  <c r="P12" i="4"/>
  <c r="R12" i="4"/>
  <c r="AM12" i="4"/>
  <c r="K12" i="4"/>
  <c r="F12" i="4"/>
  <c r="Q12" i="4"/>
  <c r="BB12" i="4"/>
  <c r="AZ12" i="4"/>
  <c r="BA12" i="4"/>
  <c r="BD12" i="4"/>
  <c r="AY12" i="4"/>
  <c r="N12" i="4"/>
  <c r="BC12" i="4"/>
  <c r="M12" i="4"/>
  <c r="E10" i="29"/>
  <c r="G10" i="29"/>
  <c r="Q10" i="29"/>
  <c r="R10" i="29"/>
  <c r="U10" i="29"/>
  <c r="T10" i="29"/>
  <c r="S10" i="29"/>
  <c r="AI11" i="29"/>
  <c r="B11" i="29"/>
  <c r="AD12" i="29"/>
  <c r="BO12" i="4"/>
  <c r="BN12" i="4"/>
  <c r="AK10" i="4"/>
  <c r="AN10" i="4"/>
  <c r="I9" i="29"/>
  <c r="J9" i="29"/>
  <c r="Y9" i="29" s="1"/>
  <c r="BP13" i="4"/>
  <c r="BM14" i="4"/>
  <c r="B13" i="4"/>
  <c r="Z8" i="29"/>
  <c r="V8" i="29" l="1"/>
  <c r="W8" i="29" s="1"/>
  <c r="P8" i="29"/>
  <c r="K9" i="29"/>
  <c r="N9" i="29" s="1"/>
  <c r="V7" i="29"/>
  <c r="W7" i="29" s="1"/>
  <c r="P7" i="29"/>
  <c r="AX9" i="4"/>
  <c r="BF8" i="4"/>
  <c r="BE9" i="4"/>
  <c r="BH11" i="4"/>
  <c r="AO10" i="4"/>
  <c r="AV10" i="4"/>
  <c r="BN13" i="4"/>
  <c r="BO13" i="4"/>
  <c r="AI12" i="29"/>
  <c r="AD13" i="29"/>
  <c r="B12" i="29"/>
  <c r="O10" i="29"/>
  <c r="AW12" i="4"/>
  <c r="AK11" i="4"/>
  <c r="AN11" i="4"/>
  <c r="BD13" i="4"/>
  <c r="AZ13" i="4"/>
  <c r="BC13" i="4"/>
  <c r="M13" i="4"/>
  <c r="R13" i="4"/>
  <c r="N13" i="4"/>
  <c r="BB13" i="4"/>
  <c r="P13" i="4"/>
  <c r="Q13" i="4"/>
  <c r="AM13" i="4"/>
  <c r="O13" i="4"/>
  <c r="AY13" i="4"/>
  <c r="F13" i="4"/>
  <c r="K13" i="4"/>
  <c r="BA13" i="4"/>
  <c r="AF11" i="29"/>
  <c r="AE11" i="29"/>
  <c r="BM15" i="4"/>
  <c r="B14" i="4"/>
  <c r="BP14" i="4"/>
  <c r="Y12" i="4"/>
  <c r="AG12" i="4" s="1"/>
  <c r="Z12" i="4"/>
  <c r="AH12" i="4" s="1"/>
  <c r="AD12" i="4"/>
  <c r="AI12" i="4" s="1"/>
  <c r="AC12" i="4"/>
  <c r="BG12" i="4" s="1"/>
  <c r="AF12" i="4"/>
  <c r="AE12" i="4"/>
  <c r="AJ12" i="4" s="1"/>
  <c r="Z9" i="29"/>
  <c r="I10" i="29"/>
  <c r="J10" i="29"/>
  <c r="Y10" i="29" s="1"/>
  <c r="T11" i="29"/>
  <c r="E11" i="29"/>
  <c r="G11" i="29"/>
  <c r="Q11" i="29"/>
  <c r="U11" i="29"/>
  <c r="R11" i="29"/>
  <c r="S11" i="29"/>
  <c r="P9" i="29" l="1"/>
  <c r="V9" i="29"/>
  <c r="W9" i="29" s="1"/>
  <c r="K10" i="29"/>
  <c r="N10" i="29" s="1"/>
  <c r="BF9" i="4"/>
  <c r="AX10" i="4"/>
  <c r="AV11" i="4"/>
  <c r="AO11" i="4"/>
  <c r="BE10" i="4"/>
  <c r="O11" i="29"/>
  <c r="AK12" i="4"/>
  <c r="AN12" i="4"/>
  <c r="BP15" i="4"/>
  <c r="B15" i="4"/>
  <c r="BM16" i="4"/>
  <c r="J11" i="29"/>
  <c r="Y11" i="29" s="1"/>
  <c r="I11" i="29"/>
  <c r="AI13" i="29"/>
  <c r="B13" i="29"/>
  <c r="AD14" i="29"/>
  <c r="Z10" i="29"/>
  <c r="AF12" i="29"/>
  <c r="AE12" i="29"/>
  <c r="BO14" i="4"/>
  <c r="BN14" i="4"/>
  <c r="AC13" i="4"/>
  <c r="BG13" i="4" s="1"/>
  <c r="Y13" i="4"/>
  <c r="AG13" i="4" s="1"/>
  <c r="AF13" i="4"/>
  <c r="AD13" i="4"/>
  <c r="AI13" i="4" s="1"/>
  <c r="AE13" i="4"/>
  <c r="AJ13" i="4" s="1"/>
  <c r="Z13" i="4"/>
  <c r="AH13" i="4" s="1"/>
  <c r="BH12" i="4"/>
  <c r="AM14" i="4"/>
  <c r="AY14" i="4"/>
  <c r="BA14" i="4"/>
  <c r="K14" i="4"/>
  <c r="AZ14" i="4"/>
  <c r="M14" i="4"/>
  <c r="BB14" i="4"/>
  <c r="BD14" i="4"/>
  <c r="BC14" i="4"/>
  <c r="P14" i="4"/>
  <c r="N14" i="4"/>
  <c r="R14" i="4"/>
  <c r="O14" i="4"/>
  <c r="F14" i="4"/>
  <c r="Q14" i="4"/>
  <c r="AW13" i="4"/>
  <c r="E12" i="29"/>
  <c r="Q12" i="29"/>
  <c r="S12" i="29"/>
  <c r="U12" i="29"/>
  <c r="T12" i="29"/>
  <c r="G12" i="29"/>
  <c r="R12" i="29"/>
  <c r="V10" i="29" l="1"/>
  <c r="W10" i="29" s="1"/>
  <c r="P10" i="29"/>
  <c r="BF10" i="4"/>
  <c r="AX11" i="4"/>
  <c r="BE11" i="4"/>
  <c r="AV12" i="4"/>
  <c r="BH13" i="4"/>
  <c r="O12" i="29"/>
  <c r="AI14" i="29"/>
  <c r="B14" i="29"/>
  <c r="AD15" i="29"/>
  <c r="BP16" i="4"/>
  <c r="B16" i="4"/>
  <c r="BM17" i="4"/>
  <c r="Z11" i="29"/>
  <c r="Z14" i="4"/>
  <c r="AH14" i="4" s="1"/>
  <c r="Y14" i="4"/>
  <c r="AG14" i="4" s="1"/>
  <c r="AE14" i="4"/>
  <c r="AJ14" i="4" s="1"/>
  <c r="AC14" i="4"/>
  <c r="BG14" i="4" s="1"/>
  <c r="AF14" i="4"/>
  <c r="AD14" i="4"/>
  <c r="AI14" i="4" s="1"/>
  <c r="J12" i="29"/>
  <c r="Y12" i="29" s="1"/>
  <c r="I12" i="29"/>
  <c r="G13" i="29"/>
  <c r="Q13" i="29"/>
  <c r="E13" i="29"/>
  <c r="R13" i="29"/>
  <c r="S13" i="29"/>
  <c r="T13" i="29"/>
  <c r="U13" i="29"/>
  <c r="BB15" i="4"/>
  <c r="BA15" i="4"/>
  <c r="AZ15" i="4"/>
  <c r="M15" i="4"/>
  <c r="R15" i="4"/>
  <c r="N15" i="4"/>
  <c r="O15" i="4"/>
  <c r="AM15" i="4"/>
  <c r="K15" i="4"/>
  <c r="Q15" i="4"/>
  <c r="P15" i="4"/>
  <c r="BC15" i="4"/>
  <c r="AY15" i="4"/>
  <c r="F15" i="4"/>
  <c r="BD15" i="4"/>
  <c r="AO12" i="4"/>
  <c r="AW14" i="4"/>
  <c r="AK13" i="4"/>
  <c r="AN13" i="4"/>
  <c r="AE13" i="29"/>
  <c r="AF13" i="29"/>
  <c r="BN15" i="4"/>
  <c r="BO15" i="4"/>
  <c r="K11" i="29" l="1"/>
  <c r="N11" i="29" s="1"/>
  <c r="AX12" i="4"/>
  <c r="BF11" i="4"/>
  <c r="BE12" i="4"/>
  <c r="O13" i="29"/>
  <c r="AO13" i="4"/>
  <c r="AV13" i="4"/>
  <c r="AF15" i="4"/>
  <c r="AE15" i="4"/>
  <c r="AJ15" i="4" s="1"/>
  <c r="Z15" i="4"/>
  <c r="AH15" i="4" s="1"/>
  <c r="AC15" i="4"/>
  <c r="BG15" i="4" s="1"/>
  <c r="Y15" i="4"/>
  <c r="AG15" i="4" s="1"/>
  <c r="AD15" i="4"/>
  <c r="AI15" i="4" s="1"/>
  <c r="K16" i="4"/>
  <c r="AM16" i="4"/>
  <c r="N16" i="4"/>
  <c r="BC16" i="4"/>
  <c r="AY16" i="4"/>
  <c r="BA16" i="4"/>
  <c r="O16" i="4"/>
  <c r="M16" i="4"/>
  <c r="AZ16" i="4"/>
  <c r="BB16" i="4"/>
  <c r="F16" i="4"/>
  <c r="Q16" i="4"/>
  <c r="R16" i="4"/>
  <c r="P16" i="4"/>
  <c r="BD16" i="4"/>
  <c r="AI15" i="29"/>
  <c r="B15" i="29"/>
  <c r="AD16" i="29"/>
  <c r="BN16" i="4"/>
  <c r="BO16" i="4"/>
  <c r="U14" i="29"/>
  <c r="Q14" i="29"/>
  <c r="T14" i="29"/>
  <c r="R14" i="29"/>
  <c r="G14" i="29"/>
  <c r="S14" i="29"/>
  <c r="E14" i="29"/>
  <c r="AW15" i="4"/>
  <c r="AE14" i="29"/>
  <c r="AF14" i="29"/>
  <c r="Z12" i="29"/>
  <c r="J13" i="29"/>
  <c r="Y13" i="29" s="1"/>
  <c r="I13" i="29"/>
  <c r="AK14" i="4"/>
  <c r="AN14" i="4"/>
  <c r="BH14" i="4"/>
  <c r="BP17" i="4"/>
  <c r="BM18" i="4"/>
  <c r="B17" i="4"/>
  <c r="Z13" i="29" l="1"/>
  <c r="V11" i="29"/>
  <c r="W11" i="29" s="1"/>
  <c r="P11" i="29"/>
  <c r="K13" i="29"/>
  <c r="N13" i="29" s="1"/>
  <c r="K12" i="29"/>
  <c r="N12" i="29" s="1"/>
  <c r="AX13" i="4"/>
  <c r="BF12" i="4"/>
  <c r="BH15" i="4"/>
  <c r="BE13" i="4"/>
  <c r="AV14" i="4"/>
  <c r="AX14" i="4" s="1"/>
  <c r="BB17" i="4"/>
  <c r="AZ17" i="4"/>
  <c r="K17" i="4"/>
  <c r="F17" i="4"/>
  <c r="N17" i="4"/>
  <c r="O17" i="4"/>
  <c r="BC17" i="4"/>
  <c r="BD17" i="4"/>
  <c r="Q17" i="4"/>
  <c r="AM17" i="4"/>
  <c r="BA17" i="4"/>
  <c r="M17" i="4"/>
  <c r="AY17" i="4"/>
  <c r="P17" i="4"/>
  <c r="R17" i="4"/>
  <c r="AO14" i="4"/>
  <c r="AI16" i="29"/>
  <c r="AD17" i="29"/>
  <c r="B16" i="29"/>
  <c r="AK15" i="4"/>
  <c r="AN15" i="4"/>
  <c r="AC16" i="4"/>
  <c r="BG16" i="4" s="1"/>
  <c r="Z16" i="4"/>
  <c r="AH16" i="4" s="1"/>
  <c r="AE16" i="4"/>
  <c r="AJ16" i="4" s="1"/>
  <c r="AF16" i="4"/>
  <c r="AD16" i="4"/>
  <c r="AI16" i="4" s="1"/>
  <c r="Y16" i="4"/>
  <c r="AG16" i="4" s="1"/>
  <c r="R15" i="29"/>
  <c r="G15" i="29"/>
  <c r="S15" i="29"/>
  <c r="E15" i="29"/>
  <c r="U15" i="29"/>
  <c r="Q15" i="29"/>
  <c r="T15" i="29"/>
  <c r="BM19" i="4"/>
  <c r="B18" i="4"/>
  <c r="BP18" i="4"/>
  <c r="AF15" i="29"/>
  <c r="AE15" i="29"/>
  <c r="BO17" i="4"/>
  <c r="BN17" i="4"/>
  <c r="J14" i="29"/>
  <c r="Y14" i="29" s="1"/>
  <c r="I14" i="29"/>
  <c r="O14" i="29"/>
  <c r="AW16" i="4"/>
  <c r="V13" i="29" l="1"/>
  <c r="W13" i="29" s="1"/>
  <c r="P13" i="29"/>
  <c r="P12" i="29"/>
  <c r="V12" i="29"/>
  <c r="W12" i="29" s="1"/>
  <c r="BF13" i="4"/>
  <c r="O15" i="29"/>
  <c r="BE14" i="4"/>
  <c r="BF14" i="4" s="1"/>
  <c r="AV15" i="4"/>
  <c r="BH16" i="4"/>
  <c r="B19" i="4"/>
  <c r="BP19" i="4"/>
  <c r="BM20" i="4"/>
  <c r="AK16" i="4"/>
  <c r="AN16" i="4"/>
  <c r="AO15" i="4"/>
  <c r="U16" i="29"/>
  <c r="T16" i="29"/>
  <c r="Q16" i="29"/>
  <c r="R16" i="29"/>
  <c r="G16" i="29"/>
  <c r="E16" i="29"/>
  <c r="S16" i="29"/>
  <c r="AI17" i="29"/>
  <c r="B17" i="29"/>
  <c r="AD18" i="29"/>
  <c r="AW17" i="4"/>
  <c r="Z14" i="29"/>
  <c r="J15" i="29"/>
  <c r="Y15" i="29" s="1"/>
  <c r="I15" i="29"/>
  <c r="BO18" i="4"/>
  <c r="BN18" i="4"/>
  <c r="Z17" i="4"/>
  <c r="AH17" i="4" s="1"/>
  <c r="AD17" i="4"/>
  <c r="AI17" i="4" s="1"/>
  <c r="AF17" i="4"/>
  <c r="AE17" i="4"/>
  <c r="AJ17" i="4" s="1"/>
  <c r="AC17" i="4"/>
  <c r="BG17" i="4" s="1"/>
  <c r="Y17" i="4"/>
  <c r="AG17" i="4" s="1"/>
  <c r="Q18" i="4"/>
  <c r="N18" i="4"/>
  <c r="AY18" i="4"/>
  <c r="M18" i="4"/>
  <c r="AM18" i="4"/>
  <c r="P18" i="4"/>
  <c r="R18" i="4"/>
  <c r="BB18" i="4"/>
  <c r="BA18" i="4"/>
  <c r="K18" i="4"/>
  <c r="F18" i="4"/>
  <c r="O18" i="4"/>
  <c r="AZ18" i="4"/>
  <c r="BD18" i="4"/>
  <c r="BC18" i="4"/>
  <c r="AE16" i="29"/>
  <c r="AF16" i="29"/>
  <c r="K14" i="29" l="1"/>
  <c r="N14" i="29" s="1"/>
  <c r="AX15" i="4"/>
  <c r="BE15" i="4"/>
  <c r="Z15" i="29"/>
  <c r="AV16" i="4"/>
  <c r="AW18" i="4"/>
  <c r="I16" i="29"/>
  <c r="J16" i="29"/>
  <c r="Y16" i="29" s="1"/>
  <c r="AF17" i="29"/>
  <c r="AE17" i="29"/>
  <c r="AO16" i="4"/>
  <c r="AK17" i="4"/>
  <c r="AN17" i="4"/>
  <c r="AE18" i="4"/>
  <c r="AJ18" i="4" s="1"/>
  <c r="AD18" i="4"/>
  <c r="AI18" i="4" s="1"/>
  <c r="Y18" i="4"/>
  <c r="AG18" i="4" s="1"/>
  <c r="AC18" i="4"/>
  <c r="BG18" i="4" s="1"/>
  <c r="Z18" i="4"/>
  <c r="AH18" i="4" s="1"/>
  <c r="AF18" i="4"/>
  <c r="B20" i="4"/>
  <c r="BM21" i="4"/>
  <c r="BP20" i="4"/>
  <c r="AI18" i="29"/>
  <c r="AD19" i="29"/>
  <c r="B18" i="29"/>
  <c r="BN19" i="4"/>
  <c r="BO19" i="4"/>
  <c r="BH17" i="4"/>
  <c r="G17" i="29"/>
  <c r="Q17" i="29"/>
  <c r="E17" i="29"/>
  <c r="U17" i="29"/>
  <c r="R17" i="29"/>
  <c r="T17" i="29"/>
  <c r="S17" i="29"/>
  <c r="O16" i="29"/>
  <c r="BA19" i="4"/>
  <c r="AY19" i="4"/>
  <c r="K19" i="4"/>
  <c r="F19" i="4"/>
  <c r="M19" i="4"/>
  <c r="BD19" i="4"/>
  <c r="BC19" i="4"/>
  <c r="R19" i="4"/>
  <c r="AZ19" i="4"/>
  <c r="BB19" i="4"/>
  <c r="N19" i="4"/>
  <c r="O19" i="4"/>
  <c r="P19" i="4"/>
  <c r="Q19" i="4"/>
  <c r="AM19" i="4"/>
  <c r="K15" i="29" l="1"/>
  <c r="N15" i="29" s="1"/>
  <c r="V14" i="29"/>
  <c r="W14" i="29" s="1"/>
  <c r="P14" i="29"/>
  <c r="AX16" i="4"/>
  <c r="BF15" i="4"/>
  <c r="BE16" i="4"/>
  <c r="BH18" i="4"/>
  <c r="AV17" i="4"/>
  <c r="AO17" i="4"/>
  <c r="AW19" i="4"/>
  <c r="Y19" i="4"/>
  <c r="AG19" i="4" s="1"/>
  <c r="AD19" i="4"/>
  <c r="AI19" i="4" s="1"/>
  <c r="AC19" i="4"/>
  <c r="BG19" i="4" s="1"/>
  <c r="Z19" i="4"/>
  <c r="AH19" i="4" s="1"/>
  <c r="AE19" i="4"/>
  <c r="AJ19" i="4" s="1"/>
  <c r="AF19" i="4"/>
  <c r="BM22" i="4"/>
  <c r="B21" i="4"/>
  <c r="BP21" i="4"/>
  <c r="Z16" i="29"/>
  <c r="Q18" i="29"/>
  <c r="T18" i="29"/>
  <c r="U18" i="29"/>
  <c r="G18" i="29"/>
  <c r="R18" i="29"/>
  <c r="E18" i="29"/>
  <c r="S18" i="29"/>
  <c r="N20" i="4"/>
  <c r="AM20" i="4"/>
  <c r="O20" i="4"/>
  <c r="R20" i="4"/>
  <c r="P20" i="4"/>
  <c r="K20" i="4"/>
  <c r="Q20" i="4"/>
  <c r="F20" i="4"/>
  <c r="AY20" i="4"/>
  <c r="BB20" i="4"/>
  <c r="BA20" i="4"/>
  <c r="AZ20" i="4"/>
  <c r="M20" i="4"/>
  <c r="BD20" i="4"/>
  <c r="BC20" i="4"/>
  <c r="AI19" i="29"/>
  <c r="AD20" i="29"/>
  <c r="B19" i="29"/>
  <c r="AK18" i="4"/>
  <c r="AN18" i="4"/>
  <c r="O17" i="29"/>
  <c r="AE18" i="29"/>
  <c r="AF18" i="29"/>
  <c r="BO20" i="4"/>
  <c r="BN20" i="4"/>
  <c r="I17" i="29"/>
  <c r="J17" i="29"/>
  <c r="Y17" i="29" s="1"/>
  <c r="K16" i="29" l="1"/>
  <c r="N16" i="29" s="1"/>
  <c r="V15" i="29"/>
  <c r="W15" i="29" s="1"/>
  <c r="P15" i="29"/>
  <c r="BF16" i="4"/>
  <c r="BE17" i="4"/>
  <c r="BF17" i="4" s="1"/>
  <c r="AX17" i="4"/>
  <c r="AO18" i="4"/>
  <c r="BH19" i="4"/>
  <c r="AW20" i="4"/>
  <c r="AC20" i="4"/>
  <c r="BG20" i="4" s="1"/>
  <c r="Y20" i="4"/>
  <c r="AG20" i="4" s="1"/>
  <c r="AF20" i="4"/>
  <c r="AD20" i="4"/>
  <c r="AI20" i="4" s="1"/>
  <c r="Z20" i="4"/>
  <c r="AH20" i="4" s="1"/>
  <c r="BH20" i="4" s="1"/>
  <c r="AE20" i="4"/>
  <c r="AJ20" i="4" s="1"/>
  <c r="Z17" i="29"/>
  <c r="AV18" i="4"/>
  <c r="Q19" i="29"/>
  <c r="R19" i="29"/>
  <c r="T19" i="29"/>
  <c r="S19" i="29"/>
  <c r="G19" i="29"/>
  <c r="E19" i="29"/>
  <c r="U19" i="29"/>
  <c r="BP22" i="4"/>
  <c r="B22" i="4"/>
  <c r="BM23" i="4"/>
  <c r="AK19" i="4"/>
  <c r="AN19" i="4"/>
  <c r="O18" i="29"/>
  <c r="BO21" i="4"/>
  <c r="BN21" i="4"/>
  <c r="AI20" i="29"/>
  <c r="AD21" i="29"/>
  <c r="B20" i="29"/>
  <c r="J18" i="29"/>
  <c r="Y18" i="29" s="1"/>
  <c r="I18" i="29"/>
  <c r="AE19" i="29"/>
  <c r="AF19" i="29"/>
  <c r="AZ21" i="4"/>
  <c r="AY21" i="4"/>
  <c r="P21" i="4"/>
  <c r="AM21" i="4"/>
  <c r="O21" i="4"/>
  <c r="R21" i="4"/>
  <c r="BA21" i="4"/>
  <c r="K21" i="4"/>
  <c r="Q21" i="4"/>
  <c r="F21" i="4"/>
  <c r="BC21" i="4"/>
  <c r="M21" i="4"/>
  <c r="N21" i="4"/>
  <c r="BD21" i="4"/>
  <c r="BB21" i="4"/>
  <c r="K17" i="29" l="1"/>
  <c r="N17" i="29" s="1"/>
  <c r="V16" i="29"/>
  <c r="W16" i="29" s="1"/>
  <c r="P16" i="29"/>
  <c r="AX18" i="4"/>
  <c r="O19" i="29"/>
  <c r="AO19" i="4"/>
  <c r="I19" i="29"/>
  <c r="J19" i="29"/>
  <c r="Y19" i="29" s="1"/>
  <c r="AC21" i="4"/>
  <c r="BG21" i="4" s="1"/>
  <c r="AD21" i="4"/>
  <c r="AI21" i="4" s="1"/>
  <c r="Z21" i="4"/>
  <c r="AH21" i="4" s="1"/>
  <c r="AE21" i="4"/>
  <c r="AJ21" i="4" s="1"/>
  <c r="Y21" i="4"/>
  <c r="AG21" i="4" s="1"/>
  <c r="AF21" i="4"/>
  <c r="BP23" i="4"/>
  <c r="BM24" i="4"/>
  <c r="B23" i="4"/>
  <c r="AW21" i="4"/>
  <c r="U20" i="29"/>
  <c r="Q20" i="29"/>
  <c r="T20" i="29"/>
  <c r="R20" i="29"/>
  <c r="G20" i="29"/>
  <c r="E20" i="29"/>
  <c r="S20" i="29"/>
  <c r="Z18" i="29"/>
  <c r="F22" i="4"/>
  <c r="BD22" i="4"/>
  <c r="AZ22" i="4"/>
  <c r="BA22" i="4"/>
  <c r="AY22" i="4"/>
  <c r="O22" i="4"/>
  <c r="BC22" i="4"/>
  <c r="BB22" i="4"/>
  <c r="M22" i="4"/>
  <c r="AM22" i="4"/>
  <c r="N22" i="4"/>
  <c r="R22" i="4"/>
  <c r="P22" i="4"/>
  <c r="K22" i="4"/>
  <c r="Q22" i="4"/>
  <c r="BE18" i="4"/>
  <c r="AI21" i="29"/>
  <c r="B21" i="29"/>
  <c r="AD22" i="29"/>
  <c r="BO22" i="4"/>
  <c r="BN22" i="4"/>
  <c r="AE20" i="29"/>
  <c r="AF20" i="29"/>
  <c r="AV19" i="4"/>
  <c r="AX19" i="4" s="1"/>
  <c r="AK20" i="4"/>
  <c r="AN20" i="4"/>
  <c r="K19" i="29" l="1"/>
  <c r="N19" i="29" s="1"/>
  <c r="P17" i="29"/>
  <c r="V17" i="29"/>
  <c r="W17" i="29" s="1"/>
  <c r="K18" i="29"/>
  <c r="N18" i="29" s="1"/>
  <c r="BF18" i="4"/>
  <c r="Z19" i="29"/>
  <c r="AV20" i="4"/>
  <c r="AW22" i="4"/>
  <c r="AO20" i="4"/>
  <c r="I20" i="29"/>
  <c r="J20" i="29"/>
  <c r="Y20" i="29" s="1"/>
  <c r="BE19" i="4"/>
  <c r="BF19" i="4" s="1"/>
  <c r="AF22" i="4"/>
  <c r="AE22" i="4"/>
  <c r="AJ22" i="4" s="1"/>
  <c r="AD22" i="4"/>
  <c r="AI22" i="4" s="1"/>
  <c r="AC22" i="4"/>
  <c r="BG22" i="4" s="1"/>
  <c r="Z22" i="4"/>
  <c r="AH22" i="4" s="1"/>
  <c r="Y22" i="4"/>
  <c r="AG22" i="4" s="1"/>
  <c r="AI22" i="29"/>
  <c r="AD23" i="29"/>
  <c r="B22" i="29"/>
  <c r="BN23" i="4"/>
  <c r="BO23" i="4"/>
  <c r="Q23" i="4"/>
  <c r="O23" i="4"/>
  <c r="N23" i="4"/>
  <c r="BA23" i="4"/>
  <c r="F23" i="4"/>
  <c r="P23" i="4"/>
  <c r="R23" i="4"/>
  <c r="BD23" i="4"/>
  <c r="AZ23" i="4"/>
  <c r="AY23" i="4"/>
  <c r="K23" i="4"/>
  <c r="AM23" i="4"/>
  <c r="M23" i="4"/>
  <c r="BB23" i="4"/>
  <c r="BC23" i="4"/>
  <c r="BH21" i="4"/>
  <c r="U21" i="29"/>
  <c r="G21" i="29"/>
  <c r="E21" i="29"/>
  <c r="Q21" i="29"/>
  <c r="R21" i="29"/>
  <c r="S21" i="29"/>
  <c r="T21" i="29"/>
  <c r="AE21" i="29"/>
  <c r="AF21" i="29"/>
  <c r="O20" i="29"/>
  <c r="BP24" i="4"/>
  <c r="B24" i="4"/>
  <c r="BM25" i="4"/>
  <c r="AK21" i="4"/>
  <c r="AN21" i="4"/>
  <c r="P19" i="29" l="1"/>
  <c r="V19" i="29"/>
  <c r="W19" i="29" s="1"/>
  <c r="V18" i="29"/>
  <c r="W18" i="29" s="1"/>
  <c r="P18" i="29"/>
  <c r="BE20" i="4"/>
  <c r="BF20" i="4" s="1"/>
  <c r="AX20" i="4"/>
  <c r="AV21" i="4"/>
  <c r="AO21" i="4"/>
  <c r="BN24" i="4"/>
  <c r="BO24" i="4"/>
  <c r="AF22" i="29"/>
  <c r="AE22" i="29"/>
  <c r="AW23" i="4"/>
  <c r="O21" i="29"/>
  <c r="Y23" i="4"/>
  <c r="AG23" i="4" s="1"/>
  <c r="AF23" i="4"/>
  <c r="AD23" i="4"/>
  <c r="AI23" i="4" s="1"/>
  <c r="AE23" i="4"/>
  <c r="AJ23" i="4" s="1"/>
  <c r="Z23" i="4"/>
  <c r="AH23" i="4" s="1"/>
  <c r="AC23" i="4"/>
  <c r="BG23" i="4" s="1"/>
  <c r="R22" i="29"/>
  <c r="E22" i="29"/>
  <c r="G22" i="29"/>
  <c r="U22" i="29"/>
  <c r="Q22" i="29"/>
  <c r="S22" i="29"/>
  <c r="T22" i="29"/>
  <c r="BH22" i="4"/>
  <c r="AK22" i="4"/>
  <c r="AN22" i="4"/>
  <c r="BP25" i="4"/>
  <c r="BM26" i="4"/>
  <c r="B25" i="4"/>
  <c r="Z20" i="29"/>
  <c r="BA24" i="4"/>
  <c r="K24" i="4"/>
  <c r="F24" i="4"/>
  <c r="BC24" i="4"/>
  <c r="AZ24" i="4"/>
  <c r="AY24" i="4"/>
  <c r="BD24" i="4"/>
  <c r="M24" i="4"/>
  <c r="N24" i="4"/>
  <c r="BB24" i="4"/>
  <c r="O24" i="4"/>
  <c r="Q24" i="4"/>
  <c r="AM24" i="4"/>
  <c r="P24" i="4"/>
  <c r="R24" i="4"/>
  <c r="I21" i="29"/>
  <c r="J21" i="29"/>
  <c r="Y21" i="29" s="1"/>
  <c r="AI23" i="29"/>
  <c r="AD24" i="29"/>
  <c r="B23" i="29"/>
  <c r="K20" i="29" l="1"/>
  <c r="N20" i="29" s="1"/>
  <c r="AX21" i="4"/>
  <c r="BE21" i="4"/>
  <c r="BF21" i="4" s="1"/>
  <c r="BH23" i="4"/>
  <c r="AV22" i="4"/>
  <c r="BN25" i="4"/>
  <c r="BO25" i="4"/>
  <c r="AO22" i="4"/>
  <c r="AC24" i="4"/>
  <c r="BG24" i="4" s="1"/>
  <c r="AD24" i="4"/>
  <c r="AI24" i="4" s="1"/>
  <c r="AF24" i="4"/>
  <c r="Z24" i="4"/>
  <c r="AH24" i="4" s="1"/>
  <c r="Y24" i="4"/>
  <c r="AG24" i="4" s="1"/>
  <c r="AE24" i="4"/>
  <c r="AJ24" i="4" s="1"/>
  <c r="AI24" i="29"/>
  <c r="AD25" i="29"/>
  <c r="B24" i="29"/>
  <c r="E23" i="29"/>
  <c r="G23" i="29"/>
  <c r="Q23" i="29"/>
  <c r="T23" i="29"/>
  <c r="R23" i="29"/>
  <c r="U23" i="29"/>
  <c r="S23" i="29"/>
  <c r="AE23" i="29"/>
  <c r="AF23" i="29"/>
  <c r="AW24" i="4"/>
  <c r="Q25" i="4"/>
  <c r="BC25" i="4"/>
  <c r="AZ25" i="4"/>
  <c r="F25" i="4"/>
  <c r="K25" i="4"/>
  <c r="M25" i="4"/>
  <c r="P25" i="4"/>
  <c r="AM25" i="4"/>
  <c r="BA25" i="4"/>
  <c r="N25" i="4"/>
  <c r="BD25" i="4"/>
  <c r="R25" i="4"/>
  <c r="BB25" i="4"/>
  <c r="O25" i="4"/>
  <c r="AY25" i="4"/>
  <c r="O22" i="29"/>
  <c r="AK23" i="4"/>
  <c r="AN23" i="4"/>
  <c r="Z21" i="29"/>
  <c r="J22" i="29"/>
  <c r="Y22" i="29" s="1"/>
  <c r="I22" i="29"/>
  <c r="BM27" i="4"/>
  <c r="BM31" i="4" s="1"/>
  <c r="BP26" i="4"/>
  <c r="B26" i="4"/>
  <c r="AX22" i="4" l="1"/>
  <c r="P20" i="29"/>
  <c r="V20" i="29"/>
  <c r="W20" i="29" s="1"/>
  <c r="K21" i="29"/>
  <c r="N21" i="29" s="1"/>
  <c r="B31" i="4"/>
  <c r="BP31" i="4"/>
  <c r="AV23" i="4"/>
  <c r="BE22" i="4"/>
  <c r="BF22" i="4" s="1"/>
  <c r="Z22" i="29"/>
  <c r="BH24" i="4"/>
  <c r="BO26" i="4"/>
  <c r="BN26" i="4"/>
  <c r="AO23" i="4"/>
  <c r="AE24" i="29"/>
  <c r="AF24" i="29"/>
  <c r="AK24" i="4"/>
  <c r="AN24" i="4"/>
  <c r="AC25" i="4"/>
  <c r="BG25" i="4" s="1"/>
  <c r="AF25" i="4"/>
  <c r="Y25" i="4"/>
  <c r="AG25" i="4" s="1"/>
  <c r="AD25" i="4"/>
  <c r="AI25" i="4" s="1"/>
  <c r="AE25" i="4"/>
  <c r="AJ25" i="4" s="1"/>
  <c r="Z25" i="4"/>
  <c r="AH25" i="4" s="1"/>
  <c r="J23" i="29"/>
  <c r="Y23" i="29" s="1"/>
  <c r="I23" i="29"/>
  <c r="O23" i="29"/>
  <c r="T24" i="29"/>
  <c r="S24" i="29"/>
  <c r="U24" i="29"/>
  <c r="R24" i="29"/>
  <c r="E24" i="29"/>
  <c r="G24" i="29"/>
  <c r="Q24" i="29"/>
  <c r="B27" i="4"/>
  <c r="BP27" i="4"/>
  <c r="BM28" i="4"/>
  <c r="BM32" i="4" s="1"/>
  <c r="AZ26" i="4"/>
  <c r="AY26" i="4"/>
  <c r="BA26" i="4"/>
  <c r="BC26" i="4"/>
  <c r="N26" i="4"/>
  <c r="BD26" i="4"/>
  <c r="M26" i="4"/>
  <c r="BB26" i="4"/>
  <c r="Q26" i="4"/>
  <c r="R26" i="4"/>
  <c r="AM26" i="4"/>
  <c r="O26" i="4"/>
  <c r="F26" i="4"/>
  <c r="P26" i="4"/>
  <c r="K26" i="4"/>
  <c r="AW25" i="4"/>
  <c r="AI25" i="29"/>
  <c r="AD26" i="29"/>
  <c r="B25" i="29"/>
  <c r="M4" i="7" l="1"/>
  <c r="V21" i="29"/>
  <c r="W21" i="29" s="1"/>
  <c r="P21" i="29"/>
  <c r="K22" i="29"/>
  <c r="N22" i="29" s="1"/>
  <c r="K23" i="29"/>
  <c r="N23" i="29" s="1"/>
  <c r="AX23" i="4"/>
  <c r="BE23" i="4"/>
  <c r="BF23" i="4" s="1"/>
  <c r="BO31" i="4"/>
  <c r="BN31" i="4"/>
  <c r="BC31" i="4"/>
  <c r="AY31" i="4"/>
  <c r="P31" i="4"/>
  <c r="K31" i="4"/>
  <c r="BB31" i="4"/>
  <c r="O31" i="4"/>
  <c r="F31" i="4"/>
  <c r="BD31" i="4"/>
  <c r="BA31" i="4"/>
  <c r="AM31" i="4"/>
  <c r="R31" i="4"/>
  <c r="N31" i="4"/>
  <c r="AZ31" i="4"/>
  <c r="Q31" i="4"/>
  <c r="M31" i="4"/>
  <c r="BP32" i="4"/>
  <c r="B32" i="4"/>
  <c r="BM33" i="4"/>
  <c r="BH25" i="4"/>
  <c r="AO24" i="4"/>
  <c r="AV24" i="4"/>
  <c r="U25" i="29"/>
  <c r="G25" i="29"/>
  <c r="T25" i="29"/>
  <c r="S25" i="29"/>
  <c r="E25" i="29"/>
  <c r="Q25" i="29"/>
  <c r="R25" i="29"/>
  <c r="O27" i="4"/>
  <c r="M27" i="4"/>
  <c r="AZ27" i="4"/>
  <c r="Q27" i="4"/>
  <c r="AY27" i="4"/>
  <c r="F27" i="4"/>
  <c r="K27" i="4"/>
  <c r="BB27" i="4"/>
  <c r="AM27" i="4"/>
  <c r="R27" i="4"/>
  <c r="P27" i="4"/>
  <c r="BA27" i="4"/>
  <c r="BD27" i="4"/>
  <c r="BC27" i="4"/>
  <c r="N27" i="4"/>
  <c r="Z23" i="29"/>
  <c r="AK25" i="4"/>
  <c r="AN25" i="4"/>
  <c r="J24" i="29"/>
  <c r="Y24" i="29" s="1"/>
  <c r="I24" i="29"/>
  <c r="AF25" i="29"/>
  <c r="AE25" i="29"/>
  <c r="BP28" i="4"/>
  <c r="B28" i="4"/>
  <c r="BM29" i="4"/>
  <c r="AI26" i="29"/>
  <c r="AD27" i="29"/>
  <c r="B26" i="29"/>
  <c r="AW26" i="4"/>
  <c r="BO27" i="4"/>
  <c r="BN27" i="4"/>
  <c r="O24" i="29"/>
  <c r="AD26" i="4"/>
  <c r="AI26" i="4" s="1"/>
  <c r="AF26" i="4"/>
  <c r="Z26" i="4"/>
  <c r="AH26" i="4" s="1"/>
  <c r="Y26" i="4"/>
  <c r="AG26" i="4" s="1"/>
  <c r="AE26" i="4"/>
  <c r="AJ26" i="4" s="1"/>
  <c r="AC26" i="4"/>
  <c r="BG26" i="4" s="1"/>
  <c r="P23" i="29" l="1"/>
  <c r="V23" i="29"/>
  <c r="W23" i="29" s="1"/>
  <c r="P22" i="29"/>
  <c r="V22" i="29"/>
  <c r="W22" i="29" s="1"/>
  <c r="BE24" i="4"/>
  <c r="BF24" i="4" s="1"/>
  <c r="AX24" i="4"/>
  <c r="AW31" i="4"/>
  <c r="AF31" i="4"/>
  <c r="Z31" i="4"/>
  <c r="AH31" i="4" s="1"/>
  <c r="AE31" i="4"/>
  <c r="AJ31" i="4" s="1"/>
  <c r="Y31" i="4"/>
  <c r="AG31" i="4" s="1"/>
  <c r="AD31" i="4"/>
  <c r="AI31" i="4" s="1"/>
  <c r="AC31" i="4"/>
  <c r="BG31" i="4" s="1"/>
  <c r="B33" i="4"/>
  <c r="BP33" i="4"/>
  <c r="BA32" i="4"/>
  <c r="AM32" i="4"/>
  <c r="R32" i="4"/>
  <c r="N32" i="4"/>
  <c r="BD32" i="4"/>
  <c r="AZ32" i="4"/>
  <c r="Q32" i="4"/>
  <c r="M32" i="4"/>
  <c r="BC32" i="4"/>
  <c r="AY32" i="4"/>
  <c r="P32" i="4"/>
  <c r="K32" i="4"/>
  <c r="BB32" i="4"/>
  <c r="O32" i="4"/>
  <c r="F32" i="4"/>
  <c r="BO32" i="4"/>
  <c r="BN32" i="4"/>
  <c r="BH26" i="4"/>
  <c r="AV25" i="4"/>
  <c r="AO25" i="4"/>
  <c r="AW27" i="4"/>
  <c r="T26" i="29"/>
  <c r="E26" i="29"/>
  <c r="G26" i="29"/>
  <c r="S26" i="29"/>
  <c r="R26" i="29"/>
  <c r="Q26" i="29"/>
  <c r="U26" i="29"/>
  <c r="B29" i="4"/>
  <c r="BP29" i="4"/>
  <c r="BM30" i="4"/>
  <c r="AI27" i="29"/>
  <c r="B27" i="29"/>
  <c r="AD28" i="29"/>
  <c r="N28" i="4"/>
  <c r="P28" i="4"/>
  <c r="Q28" i="4"/>
  <c r="BD28" i="4"/>
  <c r="O28" i="4"/>
  <c r="AY28" i="4"/>
  <c r="BC28" i="4"/>
  <c r="K28" i="4"/>
  <c r="BB28" i="4"/>
  <c r="BA28" i="4"/>
  <c r="F28" i="4"/>
  <c r="AZ28" i="4"/>
  <c r="AM28" i="4"/>
  <c r="R28" i="4"/>
  <c r="M28" i="4"/>
  <c r="AK26" i="4"/>
  <c r="AN26" i="4"/>
  <c r="O25" i="29"/>
  <c r="AD27" i="4"/>
  <c r="AI27" i="4" s="1"/>
  <c r="Z27" i="4"/>
  <c r="AH27" i="4" s="1"/>
  <c r="AE27" i="4"/>
  <c r="AJ27" i="4" s="1"/>
  <c r="AC27" i="4"/>
  <c r="BG27" i="4" s="1"/>
  <c r="AF27" i="4"/>
  <c r="Y27" i="4"/>
  <c r="AG27" i="4" s="1"/>
  <c r="AE26" i="29"/>
  <c r="AF26" i="29"/>
  <c r="BN28" i="4"/>
  <c r="BO28" i="4"/>
  <c r="J25" i="29"/>
  <c r="Y25" i="29" s="1"/>
  <c r="I25" i="29"/>
  <c r="Z24" i="29"/>
  <c r="M5" i="7" l="1"/>
  <c r="K24" i="29"/>
  <c r="N24" i="29" s="1"/>
  <c r="AX25" i="4"/>
  <c r="BH31" i="4"/>
  <c r="AN31" i="4"/>
  <c r="AK31" i="4"/>
  <c r="AW32" i="4"/>
  <c r="BO33" i="4"/>
  <c r="BN33" i="4"/>
  <c r="AD32" i="4"/>
  <c r="AI32" i="4" s="1"/>
  <c r="AC32" i="4"/>
  <c r="BG32" i="4" s="1"/>
  <c r="AF32" i="4"/>
  <c r="Z32" i="4"/>
  <c r="AH32" i="4" s="1"/>
  <c r="AE32" i="4"/>
  <c r="AJ32" i="4" s="1"/>
  <c r="Y32" i="4"/>
  <c r="AG32" i="4" s="1"/>
  <c r="BC33" i="4"/>
  <c r="AY33" i="4"/>
  <c r="P33" i="4"/>
  <c r="K33" i="4"/>
  <c r="BB33" i="4"/>
  <c r="O33" i="4"/>
  <c r="F33" i="4"/>
  <c r="BA33" i="4"/>
  <c r="AM33" i="4"/>
  <c r="R33" i="4"/>
  <c r="N33" i="4"/>
  <c r="BD33" i="4"/>
  <c r="AZ33" i="4"/>
  <c r="Q33" i="4"/>
  <c r="M33" i="4"/>
  <c r="O26" i="29"/>
  <c r="BE25" i="4"/>
  <c r="BF25" i="4" s="1"/>
  <c r="AO26" i="4"/>
  <c r="AV26" i="4"/>
  <c r="Q27" i="29"/>
  <c r="R27" i="29"/>
  <c r="G27" i="29"/>
  <c r="T27" i="29"/>
  <c r="S27" i="29"/>
  <c r="E27" i="29"/>
  <c r="U27" i="29"/>
  <c r="BH27" i="4"/>
  <c r="Y28" i="4"/>
  <c r="AG28" i="4" s="1"/>
  <c r="AF28" i="4"/>
  <c r="AE28" i="4"/>
  <c r="AJ28" i="4" s="1"/>
  <c r="AC28" i="4"/>
  <c r="BG28" i="4" s="1"/>
  <c r="AD28" i="4"/>
  <c r="AI28" i="4" s="1"/>
  <c r="Z28" i="4"/>
  <c r="AH28" i="4" s="1"/>
  <c r="AK27" i="4"/>
  <c r="AN27" i="4"/>
  <c r="AF27" i="29"/>
  <c r="AE27" i="29"/>
  <c r="BM34" i="4"/>
  <c r="BP30" i="4"/>
  <c r="B30" i="4"/>
  <c r="AW28" i="4"/>
  <c r="BO29" i="4"/>
  <c r="BN29" i="4"/>
  <c r="Z25" i="29"/>
  <c r="J26" i="29"/>
  <c r="Y26" i="29" s="1"/>
  <c r="I26" i="29"/>
  <c r="AI28" i="29"/>
  <c r="B28" i="29"/>
  <c r="AD29" i="29"/>
  <c r="O29" i="4"/>
  <c r="AM29" i="4"/>
  <c r="N29" i="4"/>
  <c r="BD29" i="4"/>
  <c r="F29" i="4"/>
  <c r="BA29" i="4"/>
  <c r="AY29" i="4"/>
  <c r="K29" i="4"/>
  <c r="P29" i="4"/>
  <c r="Q29" i="4"/>
  <c r="R29" i="4"/>
  <c r="BB29" i="4"/>
  <c r="M29" i="4"/>
  <c r="AZ29" i="4"/>
  <c r="BC29" i="4"/>
  <c r="K26" i="29" l="1"/>
  <c r="N26" i="29" s="1"/>
  <c r="K25" i="29"/>
  <c r="N25" i="29" s="1"/>
  <c r="V24" i="29"/>
  <c r="W24" i="29" s="1"/>
  <c r="P24" i="29"/>
  <c r="BE26" i="4"/>
  <c r="BF26" i="4" s="1"/>
  <c r="AX26" i="4"/>
  <c r="AO31" i="4"/>
  <c r="Z26" i="29"/>
  <c r="BH32" i="4"/>
  <c r="AV31" i="4"/>
  <c r="AW33" i="4"/>
  <c r="AN32" i="4"/>
  <c r="AF33" i="4"/>
  <c r="AK33" i="4" s="1"/>
  <c r="Z33" i="4"/>
  <c r="AH33" i="4" s="1"/>
  <c r="AE33" i="4"/>
  <c r="AJ33" i="4" s="1"/>
  <c r="Y33" i="4"/>
  <c r="AG33" i="4" s="1"/>
  <c r="AD33" i="4"/>
  <c r="AI33" i="4" s="1"/>
  <c r="AC33" i="4"/>
  <c r="BG33" i="4" s="1"/>
  <c r="AK32" i="4"/>
  <c r="O27" i="29"/>
  <c r="AV27" i="4"/>
  <c r="BH28" i="4"/>
  <c r="K30" i="4"/>
  <c r="AZ30" i="4"/>
  <c r="BD30" i="4"/>
  <c r="BA30" i="4"/>
  <c r="BC30" i="4"/>
  <c r="R30" i="4"/>
  <c r="BB30" i="4"/>
  <c r="N30" i="4"/>
  <c r="M30" i="4"/>
  <c r="AY30" i="4"/>
  <c r="Q30" i="4"/>
  <c r="AM30" i="4"/>
  <c r="O30" i="4"/>
  <c r="F30" i="4"/>
  <c r="P30" i="4"/>
  <c r="AW29" i="4"/>
  <c r="AI29" i="29"/>
  <c r="AD30" i="29"/>
  <c r="B29" i="29"/>
  <c r="AE29" i="4"/>
  <c r="AJ29" i="4" s="1"/>
  <c r="AF29" i="4"/>
  <c r="Z29" i="4"/>
  <c r="AH29" i="4" s="1"/>
  <c r="AD29" i="4"/>
  <c r="AI29" i="4" s="1"/>
  <c r="Y29" i="4"/>
  <c r="AG29" i="4" s="1"/>
  <c r="AC29" i="4"/>
  <c r="BG29" i="4" s="1"/>
  <c r="BN30" i="4"/>
  <c r="BO30" i="4"/>
  <c r="AK28" i="4"/>
  <c r="AN28" i="4"/>
  <c r="U28" i="29"/>
  <c r="S28" i="29"/>
  <c r="G28" i="29"/>
  <c r="E28" i="29"/>
  <c r="R28" i="29"/>
  <c r="T28" i="29"/>
  <c r="Q28" i="29"/>
  <c r="BM35" i="4"/>
  <c r="BP34" i="4"/>
  <c r="B34" i="4"/>
  <c r="AF28" i="29"/>
  <c r="AE28" i="29"/>
  <c r="I27" i="29"/>
  <c r="J27" i="29"/>
  <c r="Y27" i="29" s="1"/>
  <c r="AO27" i="4"/>
  <c r="P26" i="29" l="1"/>
  <c r="V26" i="29"/>
  <c r="W26" i="29" s="1"/>
  <c r="P25" i="29"/>
  <c r="V25" i="29"/>
  <c r="W25" i="29" s="1"/>
  <c r="K27" i="29"/>
  <c r="N27" i="29" s="1"/>
  <c r="AX31" i="4"/>
  <c r="BE27" i="4"/>
  <c r="BF27" i="4" s="1"/>
  <c r="AX27" i="4"/>
  <c r="Z27" i="29"/>
  <c r="BE31" i="4"/>
  <c r="AO32" i="4"/>
  <c r="BH33" i="4"/>
  <c r="AN33" i="4"/>
  <c r="AV32" i="4"/>
  <c r="AX32" i="4" s="1"/>
  <c r="AV28" i="4"/>
  <c r="AX28" i="4" s="1"/>
  <c r="AO28" i="4"/>
  <c r="J28" i="29"/>
  <c r="Y28" i="29" s="1"/>
  <c r="I28" i="29"/>
  <c r="F34" i="4"/>
  <c r="AZ34" i="4"/>
  <c r="AY34" i="4"/>
  <c r="K34" i="4"/>
  <c r="M34" i="4"/>
  <c r="Q34" i="4"/>
  <c r="P34" i="4"/>
  <c r="BB34" i="4"/>
  <c r="R34" i="4"/>
  <c r="AM34" i="4"/>
  <c r="O34" i="4"/>
  <c r="BA34" i="4"/>
  <c r="N34" i="4"/>
  <c r="BD34" i="4"/>
  <c r="BC34" i="4"/>
  <c r="AK29" i="4"/>
  <c r="AN29" i="4"/>
  <c r="U29" i="29"/>
  <c r="Q29" i="29"/>
  <c r="T29" i="29"/>
  <c r="S29" i="29"/>
  <c r="E29" i="29"/>
  <c r="R29" i="29"/>
  <c r="G29" i="29"/>
  <c r="AW30" i="4"/>
  <c r="AI30" i="29"/>
  <c r="AD31" i="29"/>
  <c r="B30" i="29"/>
  <c r="BO34" i="4"/>
  <c r="BN34" i="4"/>
  <c r="BM36" i="4"/>
  <c r="BP35" i="4"/>
  <c r="B35" i="4"/>
  <c r="AF29" i="29"/>
  <c r="AE29" i="29"/>
  <c r="O28" i="29"/>
  <c r="Y30" i="4"/>
  <c r="AG30" i="4" s="1"/>
  <c r="AD30" i="4"/>
  <c r="AI30" i="4" s="1"/>
  <c r="AE30" i="4"/>
  <c r="AJ30" i="4" s="1"/>
  <c r="AC30" i="4"/>
  <c r="BG30" i="4" s="1"/>
  <c r="AF30" i="4"/>
  <c r="Z30" i="4"/>
  <c r="AH30" i="4" s="1"/>
  <c r="BH29" i="4"/>
  <c r="V27" i="29" l="1"/>
  <c r="W27" i="29" s="1"/>
  <c r="P27" i="29"/>
  <c r="K28" i="29"/>
  <c r="N28" i="29" s="1"/>
  <c r="AO33" i="4"/>
  <c r="BF31" i="4"/>
  <c r="BE28" i="4"/>
  <c r="BF28" i="4" s="1"/>
  <c r="BE32" i="4"/>
  <c r="BF32" i="4" s="1"/>
  <c r="AV33" i="4"/>
  <c r="AV29" i="4"/>
  <c r="AW34" i="4"/>
  <c r="AI31" i="29"/>
  <c r="B31" i="29"/>
  <c r="AD32" i="29"/>
  <c r="AK30" i="4"/>
  <c r="AN30" i="4"/>
  <c r="Z28" i="29"/>
  <c r="BC35" i="4"/>
  <c r="BA35" i="4"/>
  <c r="K35" i="4"/>
  <c r="F35" i="4"/>
  <c r="O35" i="4"/>
  <c r="BB35" i="4"/>
  <c r="AZ35" i="4"/>
  <c r="AY35" i="4"/>
  <c r="P35" i="4"/>
  <c r="AM35" i="4"/>
  <c r="BD35" i="4"/>
  <c r="M35" i="4"/>
  <c r="R35" i="4"/>
  <c r="Q35" i="4"/>
  <c r="N35" i="4"/>
  <c r="I29" i="29"/>
  <c r="J29" i="29"/>
  <c r="Y29" i="29" s="1"/>
  <c r="BP36" i="4"/>
  <c r="B36" i="4"/>
  <c r="BM37" i="4"/>
  <c r="AF30" i="29"/>
  <c r="AE30" i="29"/>
  <c r="O29" i="29"/>
  <c r="U30" i="29"/>
  <c r="Q30" i="29"/>
  <c r="T30" i="29"/>
  <c r="R30" i="29"/>
  <c r="G30" i="29"/>
  <c r="S30" i="29"/>
  <c r="E30" i="29"/>
  <c r="BN35" i="4"/>
  <c r="BO35" i="4"/>
  <c r="BH30" i="4"/>
  <c r="Y34" i="4"/>
  <c r="AG34" i="4" s="1"/>
  <c r="AE34" i="4"/>
  <c r="AJ34" i="4" s="1"/>
  <c r="AC34" i="4"/>
  <c r="BG34" i="4" s="1"/>
  <c r="AD34" i="4"/>
  <c r="AI34" i="4" s="1"/>
  <c r="AF34" i="4"/>
  <c r="Z34" i="4"/>
  <c r="AH34" i="4" s="1"/>
  <c r="AO29" i="4"/>
  <c r="V28" i="29" l="1"/>
  <c r="W28" i="29" s="1"/>
  <c r="P28" i="29"/>
  <c r="K29" i="29"/>
  <c r="N29" i="29" s="1"/>
  <c r="AX29" i="4"/>
  <c r="AX33" i="4"/>
  <c r="BE29" i="4"/>
  <c r="BF29" i="4" s="1"/>
  <c r="BE33" i="4"/>
  <c r="AO30" i="4"/>
  <c r="AW35" i="4"/>
  <c r="BH34" i="4"/>
  <c r="O30" i="29"/>
  <c r="Z29" i="29"/>
  <c r="BO36" i="4"/>
  <c r="BN36" i="4"/>
  <c r="AI32" i="29"/>
  <c r="AD33" i="29"/>
  <c r="B32" i="29"/>
  <c r="AK34" i="4"/>
  <c r="AN34" i="4"/>
  <c r="AE35" i="4"/>
  <c r="AJ35" i="4" s="1"/>
  <c r="AD35" i="4"/>
  <c r="AI35" i="4" s="1"/>
  <c r="Z35" i="4"/>
  <c r="AH35" i="4" s="1"/>
  <c r="Y35" i="4"/>
  <c r="AG35" i="4" s="1"/>
  <c r="AF35" i="4"/>
  <c r="AC35" i="4"/>
  <c r="BG35" i="4" s="1"/>
  <c r="BP37" i="4"/>
  <c r="BM38" i="4"/>
  <c r="B37" i="4"/>
  <c r="AV30" i="4"/>
  <c r="U31" i="29"/>
  <c r="S31" i="29"/>
  <c r="R31" i="29"/>
  <c r="T31" i="29"/>
  <c r="G31" i="29"/>
  <c r="E31" i="29"/>
  <c r="Q31" i="29"/>
  <c r="J30" i="29"/>
  <c r="Y30" i="29" s="1"/>
  <c r="I30" i="29"/>
  <c r="BC36" i="4"/>
  <c r="AZ36" i="4"/>
  <c r="BD36" i="4"/>
  <c r="BA36" i="4"/>
  <c r="BB36" i="4"/>
  <c r="M36" i="4"/>
  <c r="N36" i="4"/>
  <c r="O36" i="4"/>
  <c r="AM36" i="4"/>
  <c r="R36" i="4"/>
  <c r="P36" i="4"/>
  <c r="Q36" i="4"/>
  <c r="K36" i="4"/>
  <c r="F36" i="4"/>
  <c r="AY36" i="4"/>
  <c r="AE31" i="29"/>
  <c r="AF31" i="29"/>
  <c r="V29" i="29" l="1"/>
  <c r="W29" i="29" s="1"/>
  <c r="P29" i="29"/>
  <c r="BF33" i="4"/>
  <c r="AX30" i="4"/>
  <c r="AO34" i="4"/>
  <c r="AV34" i="4"/>
  <c r="BH35" i="4"/>
  <c r="B38" i="4"/>
  <c r="BP38" i="4"/>
  <c r="BM39" i="4"/>
  <c r="AK35" i="4"/>
  <c r="AN35" i="4"/>
  <c r="AE32" i="29"/>
  <c r="AF32" i="29"/>
  <c r="J31" i="29"/>
  <c r="Y31" i="29" s="1"/>
  <c r="I31" i="29"/>
  <c r="O31" i="29"/>
  <c r="BE30" i="4"/>
  <c r="BF30" i="4" s="1"/>
  <c r="BO37" i="4"/>
  <c r="BN37" i="4"/>
  <c r="Z30" i="29"/>
  <c r="AW36" i="4"/>
  <c r="S32" i="29"/>
  <c r="E32" i="29"/>
  <c r="U32" i="29"/>
  <c r="G32" i="29"/>
  <c r="Q32" i="29"/>
  <c r="T32" i="29"/>
  <c r="R32" i="29"/>
  <c r="P37" i="4"/>
  <c r="F37" i="4"/>
  <c r="K37" i="4"/>
  <c r="BC37" i="4"/>
  <c r="BA37" i="4"/>
  <c r="AM37" i="4"/>
  <c r="BD37" i="4"/>
  <c r="AZ37" i="4"/>
  <c r="M37" i="4"/>
  <c r="N37" i="4"/>
  <c r="BB37" i="4"/>
  <c r="AY37" i="4"/>
  <c r="R37" i="4"/>
  <c r="Q37" i="4"/>
  <c r="O37" i="4"/>
  <c r="AI33" i="29"/>
  <c r="B33" i="29"/>
  <c r="AD34" i="29"/>
  <c r="Z36" i="4"/>
  <c r="AH36" i="4" s="1"/>
  <c r="Y36" i="4"/>
  <c r="AG36" i="4" s="1"/>
  <c r="AC36" i="4"/>
  <c r="BG36" i="4" s="1"/>
  <c r="AF36" i="4"/>
  <c r="AE36" i="4"/>
  <c r="AJ36" i="4" s="1"/>
  <c r="AD36" i="4"/>
  <c r="AI36" i="4" s="1"/>
  <c r="K30" i="29" l="1"/>
  <c r="N30" i="29" s="1"/>
  <c r="AX34" i="4"/>
  <c r="BE34" i="4"/>
  <c r="AV35" i="4"/>
  <c r="AX35" i="4" s="1"/>
  <c r="AO35" i="4"/>
  <c r="Q33" i="29"/>
  <c r="G33" i="29"/>
  <c r="S33" i="29"/>
  <c r="U33" i="29"/>
  <c r="T33" i="29"/>
  <c r="R33" i="29"/>
  <c r="E33" i="29"/>
  <c r="AF37" i="4"/>
  <c r="AE37" i="4"/>
  <c r="AJ37" i="4" s="1"/>
  <c r="Y37" i="4"/>
  <c r="AG37" i="4" s="1"/>
  <c r="Z37" i="4"/>
  <c r="AH37" i="4" s="1"/>
  <c r="AC37" i="4"/>
  <c r="BG37" i="4" s="1"/>
  <c r="AD37" i="4"/>
  <c r="AI37" i="4" s="1"/>
  <c r="Z31" i="29"/>
  <c r="J32" i="29"/>
  <c r="Y32" i="29" s="1"/>
  <c r="I32" i="29"/>
  <c r="B39" i="4"/>
  <c r="BP39" i="4"/>
  <c r="BM40" i="4"/>
  <c r="BH36" i="4"/>
  <c r="AW37" i="4"/>
  <c r="BN38" i="4"/>
  <c r="BO38" i="4"/>
  <c r="AE33" i="29"/>
  <c r="AF33" i="29"/>
  <c r="AK36" i="4"/>
  <c r="AN36" i="4"/>
  <c r="AI34" i="29"/>
  <c r="B34" i="29"/>
  <c r="AD35" i="29"/>
  <c r="O32" i="29"/>
  <c r="N38" i="4"/>
  <c r="BA38" i="4"/>
  <c r="O38" i="4"/>
  <c r="Q38" i="4"/>
  <c r="AM38" i="4"/>
  <c r="P38" i="4"/>
  <c r="R38" i="4"/>
  <c r="AY38" i="4"/>
  <c r="K38" i="4"/>
  <c r="F38" i="4"/>
  <c r="BB38" i="4"/>
  <c r="AZ38" i="4"/>
  <c r="BC38" i="4"/>
  <c r="BD38" i="4"/>
  <c r="M38" i="4"/>
  <c r="V30" i="29" l="1"/>
  <c r="W30" i="29" s="1"/>
  <c r="P30" i="29"/>
  <c r="K32" i="29"/>
  <c r="N32" i="29" s="1"/>
  <c r="K31" i="29"/>
  <c r="N31" i="29" s="1"/>
  <c r="BF34" i="4"/>
  <c r="BE35" i="4"/>
  <c r="BF35" i="4" s="1"/>
  <c r="AV36" i="4"/>
  <c r="AO36" i="4"/>
  <c r="J33" i="29"/>
  <c r="Y33" i="29" s="1"/>
  <c r="I33" i="29"/>
  <c r="O33" i="29"/>
  <c r="AW38" i="4"/>
  <c r="AI35" i="29"/>
  <c r="AD36" i="29"/>
  <c r="B35" i="29"/>
  <c r="BP40" i="4"/>
  <c r="BM41" i="4"/>
  <c r="B40" i="4"/>
  <c r="Z32" i="29"/>
  <c r="U34" i="29"/>
  <c r="T34" i="29"/>
  <c r="Q34" i="29"/>
  <c r="G34" i="29"/>
  <c r="E34" i="29"/>
  <c r="S34" i="29"/>
  <c r="R34" i="29"/>
  <c r="BN39" i="4"/>
  <c r="BO39" i="4"/>
  <c r="AK37" i="4"/>
  <c r="AN37" i="4"/>
  <c r="AF34" i="29"/>
  <c r="AE34" i="29"/>
  <c r="Y38" i="4"/>
  <c r="AG38" i="4" s="1"/>
  <c r="AD38" i="4"/>
  <c r="AI38" i="4" s="1"/>
  <c r="Z38" i="4"/>
  <c r="AH38" i="4" s="1"/>
  <c r="AF38" i="4"/>
  <c r="AE38" i="4"/>
  <c r="AJ38" i="4" s="1"/>
  <c r="AC38" i="4"/>
  <c r="BG38" i="4" s="1"/>
  <c r="BC39" i="4"/>
  <c r="M39" i="4"/>
  <c r="AZ39" i="4"/>
  <c r="R39" i="4"/>
  <c r="N39" i="4"/>
  <c r="Q39" i="4"/>
  <c r="P39" i="4"/>
  <c r="K39" i="4"/>
  <c r="O39" i="4"/>
  <c r="AM39" i="4"/>
  <c r="AY39" i="4"/>
  <c r="F39" i="4"/>
  <c r="BB39" i="4"/>
  <c r="BA39" i="4"/>
  <c r="BD39" i="4"/>
  <c r="BH37" i="4"/>
  <c r="V32" i="29" l="1"/>
  <c r="W32" i="29" s="1"/>
  <c r="P32" i="29"/>
  <c r="K33" i="29"/>
  <c r="N33" i="29" s="1"/>
  <c r="V31" i="29"/>
  <c r="W31" i="29" s="1"/>
  <c r="P31" i="29"/>
  <c r="AX36" i="4"/>
  <c r="BE36" i="4"/>
  <c r="AW39" i="4"/>
  <c r="AV37" i="4"/>
  <c r="Y39" i="4"/>
  <c r="AG39" i="4" s="1"/>
  <c r="AE39" i="4"/>
  <c r="AJ39" i="4" s="1"/>
  <c r="AC39" i="4"/>
  <c r="BG39" i="4" s="1"/>
  <c r="AF39" i="4"/>
  <c r="Z39" i="4"/>
  <c r="AH39" i="4" s="1"/>
  <c r="AD39" i="4"/>
  <c r="AI39" i="4" s="1"/>
  <c r="BD40" i="4"/>
  <c r="BC40" i="4"/>
  <c r="F40" i="4"/>
  <c r="AM40" i="4"/>
  <c r="I40" i="4"/>
  <c r="H40" i="4"/>
  <c r="P40" i="4"/>
  <c r="M40" i="4"/>
  <c r="N40" i="4"/>
  <c r="O40" i="4"/>
  <c r="AZ40" i="4"/>
  <c r="BB40" i="4"/>
  <c r="BA40" i="4"/>
  <c r="AY40" i="4"/>
  <c r="K40" i="4"/>
  <c r="J40" i="4"/>
  <c r="R40" i="4"/>
  <c r="Q40" i="4"/>
  <c r="U35" i="29"/>
  <c r="T35" i="29"/>
  <c r="E35" i="29"/>
  <c r="G35" i="29"/>
  <c r="R35" i="29"/>
  <c r="S35" i="29"/>
  <c r="Q35" i="29"/>
  <c r="Z33" i="29"/>
  <c r="AK38" i="4"/>
  <c r="AN38" i="4"/>
  <c r="I34" i="29"/>
  <c r="J34" i="29"/>
  <c r="Y34" i="29" s="1"/>
  <c r="AO37" i="4"/>
  <c r="BM42" i="4"/>
  <c r="B41" i="4"/>
  <c r="BP41" i="4"/>
  <c r="AI36" i="29"/>
  <c r="B36" i="29"/>
  <c r="AD37" i="29"/>
  <c r="BH38" i="4"/>
  <c r="O34" i="29"/>
  <c r="BN40" i="4"/>
  <c r="BO40" i="4"/>
  <c r="AE35" i="29"/>
  <c r="AF35" i="29"/>
  <c r="V33" i="29" l="1"/>
  <c r="W33" i="29" s="1"/>
  <c r="P33" i="29"/>
  <c r="K34" i="29"/>
  <c r="N34" i="29" s="1"/>
  <c r="BF36" i="4"/>
  <c r="AX37" i="4"/>
  <c r="BE37" i="4"/>
  <c r="AV38" i="4"/>
  <c r="AX38" i="4" s="1"/>
  <c r="AO38" i="4"/>
  <c r="AK39" i="4"/>
  <c r="AN39" i="4"/>
  <c r="AA40" i="4"/>
  <c r="AC40" i="4"/>
  <c r="BG40" i="4" s="1"/>
  <c r="Y40" i="4"/>
  <c r="AG40" i="4" s="1"/>
  <c r="Z40" i="4"/>
  <c r="AH40" i="4" s="1"/>
  <c r="AE40" i="4"/>
  <c r="AJ40" i="4" s="1"/>
  <c r="AB40" i="4"/>
  <c r="AD40" i="4"/>
  <c r="AI40" i="4" s="1"/>
  <c r="AF40" i="4"/>
  <c r="Z34" i="29"/>
  <c r="R36" i="29"/>
  <c r="E36" i="29"/>
  <c r="S36" i="29"/>
  <c r="Q36" i="29"/>
  <c r="T36" i="29"/>
  <c r="U36" i="29"/>
  <c r="G36" i="29"/>
  <c r="BP42" i="4"/>
  <c r="BM43" i="4"/>
  <c r="B42" i="4"/>
  <c r="AF36" i="29"/>
  <c r="AE36" i="29"/>
  <c r="AW40" i="4"/>
  <c r="J35" i="29"/>
  <c r="Y35" i="29" s="1"/>
  <c r="I35" i="29"/>
  <c r="BN41" i="4"/>
  <c r="BO41" i="4"/>
  <c r="O35" i="29"/>
  <c r="AI37" i="29"/>
  <c r="B37" i="29"/>
  <c r="AD38" i="29"/>
  <c r="AY41" i="4"/>
  <c r="BA41" i="4"/>
  <c r="F41" i="4"/>
  <c r="K41" i="4"/>
  <c r="O41" i="4"/>
  <c r="BC41" i="4"/>
  <c r="AZ41" i="4"/>
  <c r="BB41" i="4"/>
  <c r="P41" i="4"/>
  <c r="N41" i="4"/>
  <c r="M41" i="4"/>
  <c r="BD41" i="4"/>
  <c r="R41" i="4"/>
  <c r="Q41" i="4"/>
  <c r="AM41" i="4"/>
  <c r="BH39" i="4"/>
  <c r="P34" i="29" l="1"/>
  <c r="V34" i="29"/>
  <c r="W34" i="29" s="1"/>
  <c r="K35" i="29"/>
  <c r="N35" i="29" s="1"/>
  <c r="BF37" i="4"/>
  <c r="BE38" i="4"/>
  <c r="BF38" i="4" s="1"/>
  <c r="AW41" i="4"/>
  <c r="BH40" i="4"/>
  <c r="AV39" i="4"/>
  <c r="AO39" i="4"/>
  <c r="AF37" i="29"/>
  <c r="AE37" i="29"/>
  <c r="BD42" i="4"/>
  <c r="O42" i="4"/>
  <c r="Q42" i="4"/>
  <c r="N42" i="4"/>
  <c r="P42" i="4"/>
  <c r="R42" i="4"/>
  <c r="AM42" i="4"/>
  <c r="K42" i="4"/>
  <c r="F42" i="4"/>
  <c r="AZ42" i="4"/>
  <c r="AY42" i="4"/>
  <c r="BC42" i="4"/>
  <c r="BA42" i="4"/>
  <c r="M42" i="4"/>
  <c r="BB42" i="4"/>
  <c r="O36" i="29"/>
  <c r="BE39" i="4"/>
  <c r="BF39" i="4" s="1"/>
  <c r="AE41" i="4"/>
  <c r="AJ41" i="4" s="1"/>
  <c r="AD41" i="4"/>
  <c r="AI41" i="4" s="1"/>
  <c r="Z41" i="4"/>
  <c r="AH41" i="4" s="1"/>
  <c r="Y41" i="4"/>
  <c r="AG41" i="4" s="1"/>
  <c r="AF41" i="4"/>
  <c r="AC41" i="4"/>
  <c r="BG41" i="4" s="1"/>
  <c r="I36" i="29"/>
  <c r="J36" i="29"/>
  <c r="Y36" i="29" s="1"/>
  <c r="B43" i="4"/>
  <c r="BP43" i="4"/>
  <c r="BM44" i="4"/>
  <c r="AI38" i="29"/>
  <c r="AD39" i="29"/>
  <c r="B38" i="29"/>
  <c r="BN42" i="4"/>
  <c r="BO42" i="4"/>
  <c r="T37" i="29"/>
  <c r="S37" i="29"/>
  <c r="U37" i="29"/>
  <c r="E37" i="29"/>
  <c r="R37" i="29"/>
  <c r="Q37" i="29"/>
  <c r="G37" i="29"/>
  <c r="Z35" i="29"/>
  <c r="AK40" i="4"/>
  <c r="AN40" i="4"/>
  <c r="V35" i="29" l="1"/>
  <c r="W35" i="29" s="1"/>
  <c r="P35" i="29"/>
  <c r="AX39" i="4"/>
  <c r="BH41" i="4"/>
  <c r="AV40" i="4"/>
  <c r="O37" i="29"/>
  <c r="AF38" i="29"/>
  <c r="AE38" i="29"/>
  <c r="J37" i="29"/>
  <c r="Y37" i="29" s="1"/>
  <c r="I37" i="29"/>
  <c r="AF42" i="4"/>
  <c r="Z42" i="4"/>
  <c r="AH42" i="4" s="1"/>
  <c r="AC42" i="4"/>
  <c r="BG42" i="4" s="1"/>
  <c r="AD42" i="4"/>
  <c r="AI42" i="4" s="1"/>
  <c r="AE42" i="4"/>
  <c r="AJ42" i="4" s="1"/>
  <c r="Y42" i="4"/>
  <c r="AG42" i="4" s="1"/>
  <c r="B44" i="4"/>
  <c r="BP44" i="4"/>
  <c r="BM45" i="4"/>
  <c r="Z36" i="29"/>
  <c r="AW42" i="4"/>
  <c r="U38" i="29"/>
  <c r="T38" i="29"/>
  <c r="G38" i="29"/>
  <c r="Q38" i="29"/>
  <c r="E38" i="29"/>
  <c r="R38" i="29"/>
  <c r="S38" i="29"/>
  <c r="BO43" i="4"/>
  <c r="BN43" i="4"/>
  <c r="AO40" i="4"/>
  <c r="K37" i="29"/>
  <c r="N37" i="29" s="1"/>
  <c r="AI39" i="29"/>
  <c r="B39" i="29"/>
  <c r="AD40" i="29"/>
  <c r="BB43" i="4"/>
  <c r="AY43" i="4"/>
  <c r="M43" i="4"/>
  <c r="BC43" i="4"/>
  <c r="O43" i="4"/>
  <c r="N43" i="4"/>
  <c r="Q43" i="4"/>
  <c r="AM43" i="4"/>
  <c r="R43" i="4"/>
  <c r="P43" i="4"/>
  <c r="K43" i="4"/>
  <c r="BA43" i="4"/>
  <c r="F43" i="4"/>
  <c r="BD43" i="4"/>
  <c r="AZ43" i="4"/>
  <c r="AK41" i="4"/>
  <c r="AN41" i="4"/>
  <c r="K36" i="29" l="1"/>
  <c r="N36" i="29" s="1"/>
  <c r="AX40" i="4"/>
  <c r="AO41" i="4"/>
  <c r="BE40" i="4"/>
  <c r="BF40" i="4" s="1"/>
  <c r="AV41" i="4"/>
  <c r="AF39" i="29"/>
  <c r="AE39" i="29"/>
  <c r="BH42" i="4"/>
  <c r="Z37" i="29"/>
  <c r="P37" i="29"/>
  <c r="V37" i="29"/>
  <c r="W37" i="29" s="1"/>
  <c r="AF43" i="4"/>
  <c r="Z43" i="4"/>
  <c r="AH43" i="4" s="1"/>
  <c r="AD43" i="4"/>
  <c r="AI43" i="4" s="1"/>
  <c r="AE43" i="4"/>
  <c r="AJ43" i="4" s="1"/>
  <c r="Y43" i="4"/>
  <c r="AG43" i="4" s="1"/>
  <c r="AC43" i="4"/>
  <c r="BG43" i="4" s="1"/>
  <c r="B45" i="4"/>
  <c r="BM46" i="4"/>
  <c r="BP45" i="4"/>
  <c r="AK42" i="4"/>
  <c r="AN42" i="4"/>
  <c r="AI40" i="29"/>
  <c r="AD41" i="29"/>
  <c r="B40" i="29"/>
  <c r="BN44" i="4"/>
  <c r="BO44" i="4"/>
  <c r="AW43" i="4"/>
  <c r="R39" i="29"/>
  <c r="Q39" i="29"/>
  <c r="T39" i="29"/>
  <c r="G39" i="29"/>
  <c r="U39" i="29"/>
  <c r="E39" i="29"/>
  <c r="S39" i="29"/>
  <c r="O38" i="29"/>
  <c r="F44" i="4"/>
  <c r="BD44" i="4"/>
  <c r="AY44" i="4"/>
  <c r="K44" i="4"/>
  <c r="M44" i="4"/>
  <c r="Q44" i="4"/>
  <c r="O44" i="4"/>
  <c r="BA44" i="4"/>
  <c r="P44" i="4"/>
  <c r="R44" i="4"/>
  <c r="AM44" i="4"/>
  <c r="AZ44" i="4"/>
  <c r="N44" i="4"/>
  <c r="BB44" i="4"/>
  <c r="BC44" i="4"/>
  <c r="I38" i="29"/>
  <c r="J38" i="29"/>
  <c r="Y38" i="29" s="1"/>
  <c r="P36" i="29" l="1"/>
  <c r="V36" i="29"/>
  <c r="W36" i="29" s="1"/>
  <c r="K38" i="29"/>
  <c r="N38" i="29" s="1"/>
  <c r="AX41" i="4"/>
  <c r="O39" i="29"/>
  <c r="AO42" i="4"/>
  <c r="AV42" i="4"/>
  <c r="BE41" i="4"/>
  <c r="BF41" i="4" s="1"/>
  <c r="R40" i="29"/>
  <c r="T40" i="29"/>
  <c r="G40" i="29"/>
  <c r="E40" i="29"/>
  <c r="S40" i="29"/>
  <c r="U40" i="29"/>
  <c r="Q40" i="29"/>
  <c r="P45" i="4"/>
  <c r="AM45" i="4"/>
  <c r="R45" i="4"/>
  <c r="BC45" i="4"/>
  <c r="BA45" i="4"/>
  <c r="K45" i="4"/>
  <c r="F45" i="4"/>
  <c r="O45" i="4"/>
  <c r="AZ45" i="4"/>
  <c r="AY45" i="4"/>
  <c r="BD45" i="4"/>
  <c r="Q45" i="4"/>
  <c r="N45" i="4"/>
  <c r="BB45" i="4"/>
  <c r="M45" i="4"/>
  <c r="AK43" i="4"/>
  <c r="AN43" i="4"/>
  <c r="AW44" i="4"/>
  <c r="AI41" i="29"/>
  <c r="AD42" i="29"/>
  <c r="B41" i="29"/>
  <c r="Z38" i="29"/>
  <c r="AE40" i="29"/>
  <c r="AF40" i="29"/>
  <c r="BO45" i="4"/>
  <c r="BN45" i="4"/>
  <c r="AF44" i="4"/>
  <c r="AE44" i="4"/>
  <c r="AJ44" i="4" s="1"/>
  <c r="AD44" i="4"/>
  <c r="AI44" i="4" s="1"/>
  <c r="Z44" i="4"/>
  <c r="AH44" i="4" s="1"/>
  <c r="AC44" i="4"/>
  <c r="BG44" i="4" s="1"/>
  <c r="Y44" i="4"/>
  <c r="AG44" i="4" s="1"/>
  <c r="BM47" i="4"/>
  <c r="BP46" i="4"/>
  <c r="B46" i="4"/>
  <c r="BH43" i="4"/>
  <c r="J39" i="29"/>
  <c r="Y39" i="29" s="1"/>
  <c r="I39" i="29"/>
  <c r="F46" i="4" l="1"/>
  <c r="V38" i="29"/>
  <c r="W38" i="29" s="1"/>
  <c r="P38" i="29"/>
  <c r="BE42" i="4"/>
  <c r="BF42" i="4" s="1"/>
  <c r="AX42" i="4"/>
  <c r="Z39" i="29"/>
  <c r="O40" i="29"/>
  <c r="AV43" i="4"/>
  <c r="AO43" i="4"/>
  <c r="BO46" i="4"/>
  <c r="BN46" i="4"/>
  <c r="BH44" i="4"/>
  <c r="B47" i="4"/>
  <c r="BP47" i="4"/>
  <c r="BM48" i="4"/>
  <c r="AF45" i="4"/>
  <c r="AD45" i="4"/>
  <c r="AI45" i="4" s="1"/>
  <c r="Z45" i="4"/>
  <c r="AH45" i="4" s="1"/>
  <c r="Y45" i="4"/>
  <c r="AG45" i="4" s="1"/>
  <c r="AE45" i="4"/>
  <c r="AJ45" i="4" s="1"/>
  <c r="AC45" i="4"/>
  <c r="BG45" i="4" s="1"/>
  <c r="G41" i="29"/>
  <c r="T41" i="29"/>
  <c r="R41" i="29"/>
  <c r="E41" i="29"/>
  <c r="Q41" i="29"/>
  <c r="U41" i="29"/>
  <c r="S41" i="29"/>
  <c r="AW45" i="4"/>
  <c r="I40" i="29"/>
  <c r="J40" i="29"/>
  <c r="Y40" i="29" s="1"/>
  <c r="AI42" i="29"/>
  <c r="AD43" i="29"/>
  <c r="B42" i="29"/>
  <c r="AZ46" i="4"/>
  <c r="K46" i="4"/>
  <c r="N46" i="4"/>
  <c r="M46" i="4"/>
  <c r="AM46" i="4"/>
  <c r="O46" i="4"/>
  <c r="Q46" i="4"/>
  <c r="P46" i="4"/>
  <c r="BD46" i="4"/>
  <c r="AY46" i="4"/>
  <c r="BC46" i="4"/>
  <c r="R46" i="4"/>
  <c r="BA46" i="4"/>
  <c r="BB46" i="4"/>
  <c r="AK44" i="4"/>
  <c r="AN44" i="4"/>
  <c r="AF41" i="29"/>
  <c r="AE41" i="29"/>
  <c r="K39" i="29" l="1"/>
  <c r="N39" i="29" s="1"/>
  <c r="AX43" i="4"/>
  <c r="Z40" i="29"/>
  <c r="BE43" i="4"/>
  <c r="AO44" i="4"/>
  <c r="O41" i="29"/>
  <c r="AV44" i="4"/>
  <c r="AW46" i="4"/>
  <c r="AE42" i="29"/>
  <c r="AF42" i="29"/>
  <c r="BD47" i="4"/>
  <c r="BC47" i="4"/>
  <c r="AY47" i="4"/>
  <c r="P47" i="4"/>
  <c r="AM47" i="4"/>
  <c r="Q47" i="4"/>
  <c r="BB47" i="4"/>
  <c r="O47" i="4"/>
  <c r="K47" i="4"/>
  <c r="F47" i="4"/>
  <c r="M47" i="4"/>
  <c r="AZ47" i="4"/>
  <c r="N47" i="4"/>
  <c r="R47" i="4"/>
  <c r="BA47" i="4"/>
  <c r="AE46" i="4"/>
  <c r="AJ46" i="4" s="1"/>
  <c r="AC46" i="4"/>
  <c r="BG46" i="4" s="1"/>
  <c r="AF46" i="4"/>
  <c r="Y46" i="4"/>
  <c r="AG46" i="4" s="1"/>
  <c r="AD46" i="4"/>
  <c r="AI46" i="4" s="1"/>
  <c r="Z46" i="4"/>
  <c r="AH46" i="4" s="1"/>
  <c r="J41" i="29"/>
  <c r="Y41" i="29" s="1"/>
  <c r="I41" i="29"/>
  <c r="BH45" i="4"/>
  <c r="G42" i="29"/>
  <c r="Q42" i="29"/>
  <c r="E42" i="29"/>
  <c r="U42" i="29"/>
  <c r="S42" i="29"/>
  <c r="R42" i="29"/>
  <c r="T42" i="29"/>
  <c r="BP48" i="4"/>
  <c r="B48" i="4"/>
  <c r="BM49" i="4"/>
  <c r="AI43" i="29"/>
  <c r="AD44" i="29"/>
  <c r="B43" i="29"/>
  <c r="AK45" i="4"/>
  <c r="AN45" i="4"/>
  <c r="BN47" i="4"/>
  <c r="BO47" i="4"/>
  <c r="V39" i="29" l="1"/>
  <c r="W39" i="29" s="1"/>
  <c r="P39" i="29"/>
  <c r="K40" i="29"/>
  <c r="N40" i="29" s="1"/>
  <c r="BF43" i="4"/>
  <c r="AX44" i="4"/>
  <c r="BH46" i="4"/>
  <c r="Z41" i="29"/>
  <c r="AO45" i="4"/>
  <c r="BE44" i="4"/>
  <c r="I42" i="29"/>
  <c r="J42" i="29"/>
  <c r="Y42" i="29" s="1"/>
  <c r="B49" i="4"/>
  <c r="BM50" i="4"/>
  <c r="BP49" i="4"/>
  <c r="T43" i="29"/>
  <c r="E43" i="29"/>
  <c r="U43" i="29"/>
  <c r="S43" i="29"/>
  <c r="R43" i="29"/>
  <c r="Q43" i="29"/>
  <c r="G43" i="29"/>
  <c r="BC48" i="4"/>
  <c r="BB48" i="4"/>
  <c r="N48" i="4"/>
  <c r="AZ48" i="4"/>
  <c r="BD48" i="4"/>
  <c r="M48" i="4"/>
  <c r="R48" i="4"/>
  <c r="O48" i="4"/>
  <c r="AM48" i="4"/>
  <c r="P48" i="4"/>
  <c r="Q48" i="4"/>
  <c r="K48" i="4"/>
  <c r="F48" i="4"/>
  <c r="BA48" i="4"/>
  <c r="AY48" i="4"/>
  <c r="AE47" i="4"/>
  <c r="AJ47" i="4" s="1"/>
  <c r="AC47" i="4"/>
  <c r="BG47" i="4" s="1"/>
  <c r="AD47" i="4"/>
  <c r="AI47" i="4" s="1"/>
  <c r="AF47" i="4"/>
  <c r="Z47" i="4"/>
  <c r="AH47" i="4" s="1"/>
  <c r="Y47" i="4"/>
  <c r="AG47" i="4" s="1"/>
  <c r="AI44" i="29"/>
  <c r="AD45" i="29"/>
  <c r="B44" i="29"/>
  <c r="BO48" i="4"/>
  <c r="BN48" i="4"/>
  <c r="AV45" i="4"/>
  <c r="AF43" i="29"/>
  <c r="AE43" i="29"/>
  <c r="O42" i="29"/>
  <c r="AK46" i="4"/>
  <c r="AN46" i="4"/>
  <c r="AW47" i="4"/>
  <c r="AX45" i="4" l="1"/>
  <c r="P40" i="29"/>
  <c r="V40" i="29"/>
  <c r="W40" i="29" s="1"/>
  <c r="K42" i="29"/>
  <c r="N42" i="29" s="1"/>
  <c r="K41" i="29"/>
  <c r="N41" i="29" s="1"/>
  <c r="BF44" i="4"/>
  <c r="AV46" i="4"/>
  <c r="BH47" i="4"/>
  <c r="AO46" i="4"/>
  <c r="J43" i="29"/>
  <c r="Y43" i="29" s="1"/>
  <c r="I43" i="29"/>
  <c r="AI45" i="29"/>
  <c r="AD46" i="29"/>
  <c r="B45" i="29"/>
  <c r="AE44" i="29"/>
  <c r="AF44" i="29"/>
  <c r="AW48" i="4"/>
  <c r="B50" i="4"/>
  <c r="BP50" i="4"/>
  <c r="BM51" i="4"/>
  <c r="O43" i="29"/>
  <c r="O49" i="4"/>
  <c r="AY49" i="4"/>
  <c r="M49" i="4"/>
  <c r="AM49" i="4"/>
  <c r="Q49" i="4"/>
  <c r="N49" i="4"/>
  <c r="R49" i="4"/>
  <c r="P49" i="4"/>
  <c r="F49" i="4"/>
  <c r="K49" i="4"/>
  <c r="BA49" i="4"/>
  <c r="BD49" i="4"/>
  <c r="BB49" i="4"/>
  <c r="AZ49" i="4"/>
  <c r="BC49" i="4"/>
  <c r="Z42" i="29"/>
  <c r="BE45" i="4"/>
  <c r="BF45" i="4" s="1"/>
  <c r="AF48" i="4"/>
  <c r="Y48" i="4"/>
  <c r="AG48" i="4" s="1"/>
  <c r="AD48" i="4"/>
  <c r="AI48" i="4" s="1"/>
  <c r="AE48" i="4"/>
  <c r="AJ48" i="4" s="1"/>
  <c r="Z48" i="4"/>
  <c r="AH48" i="4" s="1"/>
  <c r="AC48" i="4"/>
  <c r="BG48" i="4" s="1"/>
  <c r="R44" i="29"/>
  <c r="T44" i="29"/>
  <c r="U44" i="29"/>
  <c r="Q44" i="29"/>
  <c r="G44" i="29"/>
  <c r="E44" i="29"/>
  <c r="S44" i="29"/>
  <c r="AK47" i="4"/>
  <c r="AN47" i="4"/>
  <c r="K43" i="29"/>
  <c r="N43" i="29" s="1"/>
  <c r="BO49" i="4"/>
  <c r="BN49" i="4"/>
  <c r="V42" i="29" l="1"/>
  <c r="W42" i="29" s="1"/>
  <c r="P42" i="29"/>
  <c r="V41" i="29"/>
  <c r="W41" i="29" s="1"/>
  <c r="P41" i="29"/>
  <c r="AX46" i="4"/>
  <c r="P43" i="29"/>
  <c r="BE46" i="4"/>
  <c r="AO47" i="4"/>
  <c r="V43" i="29"/>
  <c r="W43" i="29" s="1"/>
  <c r="O44" i="29"/>
  <c r="AV47" i="4"/>
  <c r="AX47" i="4" s="1"/>
  <c r="BH48" i="4"/>
  <c r="AW49" i="4"/>
  <c r="K50" i="4"/>
  <c r="F50" i="4"/>
  <c r="AY50" i="4"/>
  <c r="BD50" i="4"/>
  <c r="AM50" i="4"/>
  <c r="R50" i="4"/>
  <c r="BC50" i="4"/>
  <c r="BA50" i="4"/>
  <c r="N50" i="4"/>
  <c r="AZ50" i="4"/>
  <c r="BB50" i="4"/>
  <c r="O50" i="4"/>
  <c r="Q50" i="4"/>
  <c r="M50" i="4"/>
  <c r="P50" i="4"/>
  <c r="J44" i="29"/>
  <c r="Y44" i="29" s="1"/>
  <c r="I44" i="29"/>
  <c r="AF45" i="29"/>
  <c r="AE45" i="29"/>
  <c r="AK48" i="4"/>
  <c r="AN48" i="4"/>
  <c r="Z43" i="29"/>
  <c r="BP51" i="4"/>
  <c r="B51" i="4"/>
  <c r="BM52" i="4"/>
  <c r="S45" i="29"/>
  <c r="T45" i="29"/>
  <c r="Q45" i="29"/>
  <c r="G45" i="29"/>
  <c r="R45" i="29"/>
  <c r="E45" i="29"/>
  <c r="U45" i="29"/>
  <c r="AD49" i="4"/>
  <c r="AI49" i="4" s="1"/>
  <c r="Y49" i="4"/>
  <c r="AG49" i="4" s="1"/>
  <c r="AC49" i="4"/>
  <c r="BG49" i="4" s="1"/>
  <c r="Z49" i="4"/>
  <c r="AH49" i="4" s="1"/>
  <c r="AF49" i="4"/>
  <c r="AE49" i="4"/>
  <c r="AJ49" i="4" s="1"/>
  <c r="BN50" i="4"/>
  <c r="BO50" i="4"/>
  <c r="AI46" i="29"/>
  <c r="B46" i="29"/>
  <c r="AD47" i="29"/>
  <c r="BF46" i="4" l="1"/>
  <c r="BE47" i="4"/>
  <c r="BF47" i="4" s="1"/>
  <c r="Z44" i="29"/>
  <c r="AV48" i="4"/>
  <c r="AX48" i="4" s="1"/>
  <c r="BH49" i="4"/>
  <c r="AO48" i="4"/>
  <c r="AE46" i="29"/>
  <c r="AF46" i="29"/>
  <c r="AF50" i="4"/>
  <c r="AK50" i="4" s="1"/>
  <c r="Y50" i="4"/>
  <c r="AG50" i="4" s="1"/>
  <c r="AC50" i="4"/>
  <c r="BG50" i="4" s="1"/>
  <c r="Z50" i="4"/>
  <c r="AH50" i="4" s="1"/>
  <c r="AD50" i="4"/>
  <c r="AI50" i="4" s="1"/>
  <c r="AE50" i="4"/>
  <c r="AJ50" i="4" s="1"/>
  <c r="AK49" i="4"/>
  <c r="AN49" i="4"/>
  <c r="O45" i="29"/>
  <c r="B52" i="4"/>
  <c r="BP52" i="4"/>
  <c r="BM53" i="4"/>
  <c r="S50" i="4"/>
  <c r="AW50" i="4"/>
  <c r="M51" i="4"/>
  <c r="N51" i="4"/>
  <c r="BB51" i="4"/>
  <c r="AZ51" i="4"/>
  <c r="F51" i="4"/>
  <c r="R51" i="4"/>
  <c r="AM51" i="4"/>
  <c r="BC51" i="4"/>
  <c r="AY51" i="4"/>
  <c r="BA51" i="4"/>
  <c r="K51" i="4"/>
  <c r="P51" i="4"/>
  <c r="Q51" i="4"/>
  <c r="O51" i="4"/>
  <c r="BD51" i="4"/>
  <c r="U50" i="4"/>
  <c r="AI47" i="29"/>
  <c r="B47" i="29"/>
  <c r="AD48" i="29"/>
  <c r="BO51" i="4"/>
  <c r="BN51" i="4"/>
  <c r="J45" i="29"/>
  <c r="Y45" i="29" s="1"/>
  <c r="I45" i="29"/>
  <c r="E46" i="29"/>
  <c r="S46" i="29"/>
  <c r="U46" i="29"/>
  <c r="G46" i="29"/>
  <c r="T46" i="29"/>
  <c r="R46" i="29"/>
  <c r="Q46" i="29"/>
  <c r="T50" i="4"/>
  <c r="K45" i="29" l="1"/>
  <c r="N45" i="29" s="1"/>
  <c r="K44" i="29"/>
  <c r="N44" i="29" s="1"/>
  <c r="D188" i="19"/>
  <c r="H188" i="19" s="1"/>
  <c r="D190" i="19"/>
  <c r="D192" i="19"/>
  <c r="BE48" i="4"/>
  <c r="BF48" i="4" s="1"/>
  <c r="AV49" i="4"/>
  <c r="AX49" i="4" s="1"/>
  <c r="BH50" i="4"/>
  <c r="AW51" i="4"/>
  <c r="O46" i="29"/>
  <c r="BP53" i="4"/>
  <c r="BM54" i="4"/>
  <c r="B53" i="4"/>
  <c r="Z45" i="29"/>
  <c r="AE51" i="4"/>
  <c r="AJ51" i="4" s="1"/>
  <c r="AF51" i="4"/>
  <c r="Y51" i="4"/>
  <c r="AG51" i="4" s="1"/>
  <c r="AD51" i="4"/>
  <c r="AI51" i="4" s="1"/>
  <c r="AC51" i="4"/>
  <c r="BG51" i="4" s="1"/>
  <c r="Z51" i="4"/>
  <c r="AH51" i="4" s="1"/>
  <c r="AI48" i="29"/>
  <c r="B48" i="29"/>
  <c r="AD49" i="29"/>
  <c r="BN52" i="4"/>
  <c r="BO52" i="4"/>
  <c r="AO49" i="4"/>
  <c r="R47" i="29"/>
  <c r="E47" i="29"/>
  <c r="T47" i="29"/>
  <c r="S47" i="29"/>
  <c r="Q47" i="29"/>
  <c r="U47" i="29"/>
  <c r="G47" i="29"/>
  <c r="F52" i="4"/>
  <c r="Q52" i="4"/>
  <c r="O52" i="4"/>
  <c r="AZ52" i="4"/>
  <c r="AY52" i="4"/>
  <c r="K52" i="4"/>
  <c r="BD52" i="4"/>
  <c r="M52" i="4"/>
  <c r="BA52" i="4"/>
  <c r="BC52" i="4"/>
  <c r="N52" i="4"/>
  <c r="R52" i="4"/>
  <c r="AM52" i="4"/>
  <c r="BB52" i="4"/>
  <c r="P52" i="4"/>
  <c r="J46" i="29"/>
  <c r="Y46" i="29" s="1"/>
  <c r="I46" i="29"/>
  <c r="AE47" i="29"/>
  <c r="AF47" i="29"/>
  <c r="AN50" i="4"/>
  <c r="V45" i="29" l="1"/>
  <c r="W45" i="29" s="1"/>
  <c r="P45" i="29"/>
  <c r="K46" i="29"/>
  <c r="N46" i="29" s="1"/>
  <c r="P44" i="29"/>
  <c r="V44" i="29"/>
  <c r="W44" i="29" s="1"/>
  <c r="AO50" i="4"/>
  <c r="H190" i="19"/>
  <c r="H192" i="19"/>
  <c r="BE49" i="4"/>
  <c r="BF49" i="4" s="1"/>
  <c r="BH51" i="4"/>
  <c r="AF48" i="29"/>
  <c r="AE48" i="29"/>
  <c r="AV50" i="4"/>
  <c r="AZ53" i="4"/>
  <c r="R53" i="4"/>
  <c r="N53" i="4"/>
  <c r="M53" i="4"/>
  <c r="AM53" i="4"/>
  <c r="Q53" i="4"/>
  <c r="P53" i="4"/>
  <c r="AY53" i="4"/>
  <c r="O53" i="4"/>
  <c r="BB53" i="4"/>
  <c r="BD53" i="4"/>
  <c r="K53" i="4"/>
  <c r="BC53" i="4"/>
  <c r="BA53" i="4"/>
  <c r="F53" i="4"/>
  <c r="Z46" i="29"/>
  <c r="I47" i="29"/>
  <c r="J47" i="29"/>
  <c r="Y47" i="29" s="1"/>
  <c r="AW52" i="4"/>
  <c r="AK51" i="4"/>
  <c r="AN51" i="4"/>
  <c r="BM55" i="4"/>
  <c r="BP54" i="4"/>
  <c r="B54" i="4"/>
  <c r="O47" i="29"/>
  <c r="AI49" i="29"/>
  <c r="B49" i="29"/>
  <c r="AD50" i="29"/>
  <c r="BO53" i="4"/>
  <c r="BN53" i="4"/>
  <c r="AD52" i="4"/>
  <c r="AI52" i="4" s="1"/>
  <c r="Y52" i="4"/>
  <c r="AG52" i="4" s="1"/>
  <c r="Z52" i="4"/>
  <c r="AH52" i="4" s="1"/>
  <c r="AF52" i="4"/>
  <c r="AC52" i="4"/>
  <c r="BG52" i="4" s="1"/>
  <c r="AE52" i="4"/>
  <c r="AJ52" i="4" s="1"/>
  <c r="R48" i="29"/>
  <c r="G48" i="29"/>
  <c r="S48" i="29"/>
  <c r="Q48" i="29"/>
  <c r="E48" i="29"/>
  <c r="U48" i="29"/>
  <c r="T48" i="29"/>
  <c r="P46" i="29" l="1"/>
  <c r="V46" i="29"/>
  <c r="W46" i="29" s="1"/>
  <c r="K47" i="29"/>
  <c r="N47" i="29" s="1"/>
  <c r="AX50" i="4"/>
  <c r="AO51" i="4"/>
  <c r="AV51" i="4"/>
  <c r="AX51" i="4" s="1"/>
  <c r="R49" i="29"/>
  <c r="U49" i="29"/>
  <c r="S49" i="29"/>
  <c r="E49" i="29"/>
  <c r="T49" i="29"/>
  <c r="Q49" i="29"/>
  <c r="G49" i="29"/>
  <c r="Z47" i="29"/>
  <c r="AE49" i="29"/>
  <c r="AF49" i="29"/>
  <c r="P54" i="4"/>
  <c r="Q54" i="4"/>
  <c r="AM54" i="4"/>
  <c r="O54" i="4"/>
  <c r="R54" i="4"/>
  <c r="N54" i="4"/>
  <c r="BA54" i="4"/>
  <c r="F54" i="4"/>
  <c r="BB54" i="4"/>
  <c r="AY54" i="4"/>
  <c r="K54" i="4"/>
  <c r="BD54" i="4"/>
  <c r="M54" i="4"/>
  <c r="AZ54" i="4"/>
  <c r="BC54" i="4"/>
  <c r="I48" i="29"/>
  <c r="J48" i="29"/>
  <c r="Y48" i="29" s="1"/>
  <c r="O48" i="29"/>
  <c r="AK52" i="4"/>
  <c r="AN52" i="4"/>
  <c r="BN54" i="4"/>
  <c r="BO54" i="4"/>
  <c r="AW53" i="4"/>
  <c r="BE50" i="4"/>
  <c r="BH52" i="4"/>
  <c r="AF53" i="4"/>
  <c r="AD53" i="4"/>
  <c r="AI53" i="4" s="1"/>
  <c r="Y53" i="4"/>
  <c r="AG53" i="4" s="1"/>
  <c r="AC53" i="4"/>
  <c r="BG53" i="4" s="1"/>
  <c r="Z53" i="4"/>
  <c r="AH53" i="4" s="1"/>
  <c r="AE53" i="4"/>
  <c r="AJ53" i="4" s="1"/>
  <c r="AI50" i="29"/>
  <c r="AD51" i="29"/>
  <c r="B50" i="29"/>
  <c r="BP55" i="4"/>
  <c r="B55" i="4"/>
  <c r="BM56" i="4"/>
  <c r="P47" i="29" l="1"/>
  <c r="V47" i="29"/>
  <c r="W47" i="29" s="1"/>
  <c r="BF50" i="4"/>
  <c r="AO52" i="4"/>
  <c r="BH53" i="4"/>
  <c r="AV52" i="4"/>
  <c r="BE51" i="4"/>
  <c r="BF51" i="4" s="1"/>
  <c r="AC54" i="4"/>
  <c r="BG54" i="4" s="1"/>
  <c r="AE54" i="4"/>
  <c r="AJ54" i="4" s="1"/>
  <c r="Z54" i="4"/>
  <c r="AH54" i="4" s="1"/>
  <c r="Y54" i="4"/>
  <c r="AG54" i="4" s="1"/>
  <c r="AF54" i="4"/>
  <c r="AD54" i="4"/>
  <c r="AI54" i="4" s="1"/>
  <c r="BO55" i="4"/>
  <c r="BN55" i="4"/>
  <c r="AI51" i="29"/>
  <c r="AD52" i="29"/>
  <c r="B51" i="29"/>
  <c r="AF50" i="29"/>
  <c r="AE50" i="29"/>
  <c r="Z48" i="29"/>
  <c r="I49" i="29"/>
  <c r="J49" i="29"/>
  <c r="Y49" i="29" s="1"/>
  <c r="BP56" i="4"/>
  <c r="BM57" i="4"/>
  <c r="B56" i="4"/>
  <c r="AW54" i="4"/>
  <c r="F55" i="4"/>
  <c r="BB55" i="4"/>
  <c r="BD55" i="4"/>
  <c r="BA55" i="4"/>
  <c r="N55" i="4"/>
  <c r="R55" i="4"/>
  <c r="O55" i="4"/>
  <c r="AM55" i="4"/>
  <c r="P55" i="4"/>
  <c r="K55" i="4"/>
  <c r="Q55" i="4"/>
  <c r="BC55" i="4"/>
  <c r="M55" i="4"/>
  <c r="AY55" i="4"/>
  <c r="AZ55" i="4"/>
  <c r="E50" i="29"/>
  <c r="T50" i="29"/>
  <c r="S50" i="29"/>
  <c r="R50" i="29"/>
  <c r="U50" i="29"/>
  <c r="G50" i="29"/>
  <c r="Q50" i="29"/>
  <c r="AK53" i="4"/>
  <c r="AN53" i="4"/>
  <c r="O49" i="29"/>
  <c r="AX52" i="4" l="1"/>
  <c r="K49" i="29"/>
  <c r="N49" i="29" s="1"/>
  <c r="K48" i="29"/>
  <c r="N48" i="29" s="1"/>
  <c r="BH54" i="4"/>
  <c r="BE52" i="4"/>
  <c r="BF52" i="4" s="1"/>
  <c r="AO53" i="4"/>
  <c r="BM58" i="4"/>
  <c r="BP57" i="4"/>
  <c r="B57" i="4"/>
  <c r="Y55" i="4"/>
  <c r="AG55" i="4" s="1"/>
  <c r="Z55" i="4"/>
  <c r="AH55" i="4" s="1"/>
  <c r="AF55" i="4"/>
  <c r="AE55" i="4"/>
  <c r="AJ55" i="4" s="1"/>
  <c r="AD55" i="4"/>
  <c r="AI55" i="4" s="1"/>
  <c r="AC55" i="4"/>
  <c r="BG55" i="4" s="1"/>
  <c r="AW55" i="4"/>
  <c r="BN56" i="4"/>
  <c r="BO56" i="4"/>
  <c r="S51" i="29"/>
  <c r="U51" i="29"/>
  <c r="T51" i="29"/>
  <c r="G51" i="29"/>
  <c r="E51" i="29"/>
  <c r="R51" i="29"/>
  <c r="Q51" i="29"/>
  <c r="AK54" i="4"/>
  <c r="AN54" i="4"/>
  <c r="J50" i="29"/>
  <c r="Y50" i="29" s="1"/>
  <c r="I50" i="29"/>
  <c r="AV53" i="4"/>
  <c r="AX53" i="4" s="1"/>
  <c r="AI52" i="29"/>
  <c r="AD53" i="29"/>
  <c r="B52" i="29"/>
  <c r="Z49" i="29"/>
  <c r="O50" i="29"/>
  <c r="Q56" i="4"/>
  <c r="AM56" i="4"/>
  <c r="R56" i="4"/>
  <c r="O56" i="4"/>
  <c r="K56" i="4"/>
  <c r="F56" i="4"/>
  <c r="P56" i="4"/>
  <c r="BA56" i="4"/>
  <c r="BC56" i="4"/>
  <c r="BB56" i="4"/>
  <c r="AY56" i="4"/>
  <c r="N56" i="4"/>
  <c r="AZ56" i="4"/>
  <c r="M56" i="4"/>
  <c r="BD56" i="4"/>
  <c r="AE51" i="29"/>
  <c r="AF51" i="29"/>
  <c r="P49" i="29" l="1"/>
  <c r="V49" i="29"/>
  <c r="W49" i="29" s="1"/>
  <c r="P48" i="29"/>
  <c r="V48" i="29"/>
  <c r="W48" i="29" s="1"/>
  <c r="AO54" i="4"/>
  <c r="AW56" i="4"/>
  <c r="Z50" i="29"/>
  <c r="BE53" i="4"/>
  <c r="BF53" i="4" s="1"/>
  <c r="AV54" i="4"/>
  <c r="I51" i="29"/>
  <c r="J51" i="29"/>
  <c r="Y51" i="29" s="1"/>
  <c r="T52" i="29"/>
  <c r="Q52" i="29"/>
  <c r="U52" i="29"/>
  <c r="S52" i="29"/>
  <c r="R52" i="29"/>
  <c r="G52" i="29"/>
  <c r="E52" i="29"/>
  <c r="AF56" i="4"/>
  <c r="AD56" i="4"/>
  <c r="AI56" i="4" s="1"/>
  <c r="Y56" i="4"/>
  <c r="AG56" i="4" s="1"/>
  <c r="AE56" i="4"/>
  <c r="AJ56" i="4" s="1"/>
  <c r="Z56" i="4"/>
  <c r="AH56" i="4" s="1"/>
  <c r="AC56" i="4"/>
  <c r="BG56" i="4" s="1"/>
  <c r="AK55" i="4"/>
  <c r="AN55" i="4"/>
  <c r="P57" i="4"/>
  <c r="N57" i="4"/>
  <c r="BD57" i="4"/>
  <c r="R57" i="4"/>
  <c r="F57" i="4"/>
  <c r="Q57" i="4"/>
  <c r="AM57" i="4"/>
  <c r="AZ57" i="4"/>
  <c r="BA57" i="4"/>
  <c r="K57" i="4"/>
  <c r="AY57" i="4"/>
  <c r="M57" i="4"/>
  <c r="BC57" i="4"/>
  <c r="BB57" i="4"/>
  <c r="O57" i="4"/>
  <c r="AI53" i="29"/>
  <c r="AD54" i="29"/>
  <c r="B53" i="29"/>
  <c r="O51" i="29"/>
  <c r="BH55" i="4"/>
  <c r="BN57" i="4"/>
  <c r="BO57" i="4"/>
  <c r="AE52" i="29"/>
  <c r="AF52" i="29"/>
  <c r="B58" i="4"/>
  <c r="BP58" i="4"/>
  <c r="BM59" i="4"/>
  <c r="K50" i="29" l="1"/>
  <c r="N50" i="29" s="1"/>
  <c r="AX54" i="4"/>
  <c r="AO55" i="4"/>
  <c r="BN58" i="4"/>
  <c r="BO58" i="4"/>
  <c r="AC57" i="4"/>
  <c r="BG57" i="4" s="1"/>
  <c r="Y57" i="4"/>
  <c r="AG57" i="4" s="1"/>
  <c r="Z57" i="4"/>
  <c r="AH57" i="4" s="1"/>
  <c r="AE57" i="4"/>
  <c r="AJ57" i="4" s="1"/>
  <c r="AF57" i="4"/>
  <c r="AD57" i="4"/>
  <c r="AI57" i="4" s="1"/>
  <c r="U53" i="29"/>
  <c r="E53" i="29"/>
  <c r="R53" i="29"/>
  <c r="S53" i="29"/>
  <c r="T53" i="29"/>
  <c r="G53" i="29"/>
  <c r="Q53" i="29"/>
  <c r="AY58" i="4"/>
  <c r="K58" i="4"/>
  <c r="AZ58" i="4"/>
  <c r="BA58" i="4"/>
  <c r="BB58" i="4"/>
  <c r="BC58" i="4"/>
  <c r="M58" i="4"/>
  <c r="O58" i="4"/>
  <c r="BD58" i="4"/>
  <c r="P58" i="4"/>
  <c r="Q58" i="4"/>
  <c r="AM58" i="4"/>
  <c r="F58" i="4"/>
  <c r="N58" i="4"/>
  <c r="R58" i="4"/>
  <c r="AI54" i="29"/>
  <c r="B54" i="29"/>
  <c r="AD55" i="29"/>
  <c r="AF53" i="29"/>
  <c r="AE53" i="29"/>
  <c r="BM60" i="4"/>
  <c r="BP59" i="4"/>
  <c r="B59" i="4"/>
  <c r="I52" i="29"/>
  <c r="J52" i="29"/>
  <c r="Y52" i="29" s="1"/>
  <c r="Z51" i="29"/>
  <c r="BH56" i="4"/>
  <c r="AK56" i="4"/>
  <c r="AN56" i="4"/>
  <c r="O52" i="29"/>
  <c r="BE54" i="4"/>
  <c r="BF54" i="4" s="1"/>
  <c r="AV55" i="4"/>
  <c r="AW57" i="4"/>
  <c r="V50" i="29" l="1"/>
  <c r="W50" i="29" s="1"/>
  <c r="P50" i="29"/>
  <c r="K51" i="29"/>
  <c r="N51" i="29" s="1"/>
  <c r="AX55" i="4"/>
  <c r="AW58" i="4"/>
  <c r="AV56" i="4"/>
  <c r="AO56" i="4"/>
  <c r="BH57" i="4"/>
  <c r="BP60" i="4"/>
  <c r="B60" i="4"/>
  <c r="BM61" i="4"/>
  <c r="E54" i="29"/>
  <c r="R54" i="29"/>
  <c r="S54" i="29"/>
  <c r="Q54" i="29"/>
  <c r="U54" i="29"/>
  <c r="T54" i="29"/>
  <c r="G54" i="29"/>
  <c r="Z52" i="29"/>
  <c r="J53" i="29"/>
  <c r="Y53" i="29" s="1"/>
  <c r="I53" i="29"/>
  <c r="AE54" i="29"/>
  <c r="AF54" i="29"/>
  <c r="BO59" i="4"/>
  <c r="BN59" i="4"/>
  <c r="AI55" i="29"/>
  <c r="AD56" i="29"/>
  <c r="B55" i="29"/>
  <c r="BE55" i="4"/>
  <c r="BF55" i="4" s="1"/>
  <c r="O53" i="29"/>
  <c r="Y58" i="4"/>
  <c r="AG58" i="4" s="1"/>
  <c r="AF58" i="4"/>
  <c r="AE58" i="4"/>
  <c r="AJ58" i="4" s="1"/>
  <c r="Z58" i="4"/>
  <c r="AH58" i="4" s="1"/>
  <c r="AC58" i="4"/>
  <c r="BG58" i="4" s="1"/>
  <c r="AD58" i="4"/>
  <c r="AI58" i="4" s="1"/>
  <c r="AK57" i="4"/>
  <c r="AN57" i="4"/>
  <c r="M59" i="4"/>
  <c r="BB59" i="4"/>
  <c r="AZ59" i="4"/>
  <c r="AY59" i="4"/>
  <c r="Q59" i="4"/>
  <c r="O59" i="4"/>
  <c r="BC59" i="4"/>
  <c r="N59" i="4"/>
  <c r="R59" i="4"/>
  <c r="AM59" i="4"/>
  <c r="P59" i="4"/>
  <c r="BD59" i="4"/>
  <c r="BA59" i="4"/>
  <c r="K59" i="4"/>
  <c r="F59" i="4"/>
  <c r="P51" i="29" l="1"/>
  <c r="V51" i="29"/>
  <c r="W51" i="29" s="1"/>
  <c r="K52" i="29"/>
  <c r="N52" i="29" s="1"/>
  <c r="K53" i="29"/>
  <c r="N53" i="29" s="1"/>
  <c r="BE56" i="4"/>
  <c r="BF56" i="4" s="1"/>
  <c r="AX56" i="4"/>
  <c r="AO57" i="4"/>
  <c r="BH58" i="4"/>
  <c r="AF55" i="29"/>
  <c r="AE55" i="29"/>
  <c r="J54" i="29"/>
  <c r="Y54" i="29" s="1"/>
  <c r="I54" i="29"/>
  <c r="O54" i="29"/>
  <c r="AW59" i="4"/>
  <c r="AV57" i="4"/>
  <c r="AC59" i="4"/>
  <c r="BG59" i="4" s="1"/>
  <c r="AE59" i="4"/>
  <c r="AJ59" i="4" s="1"/>
  <c r="AD59" i="4"/>
  <c r="AI59" i="4" s="1"/>
  <c r="AF59" i="4"/>
  <c r="Y59" i="4"/>
  <c r="AG59" i="4" s="1"/>
  <c r="Z59" i="4"/>
  <c r="AH59" i="4" s="1"/>
  <c r="BM62" i="4"/>
  <c r="B61" i="4"/>
  <c r="BP61" i="4"/>
  <c r="AK58" i="4"/>
  <c r="AN58" i="4"/>
  <c r="T55" i="29"/>
  <c r="G55" i="29"/>
  <c r="R55" i="29"/>
  <c r="S55" i="29"/>
  <c r="U55" i="29"/>
  <c r="Q55" i="29"/>
  <c r="E55" i="29"/>
  <c r="BA60" i="4"/>
  <c r="M60" i="4"/>
  <c r="Q60" i="4"/>
  <c r="O60" i="4"/>
  <c r="R60" i="4"/>
  <c r="AM60" i="4"/>
  <c r="P60" i="4"/>
  <c r="K60" i="4"/>
  <c r="F60" i="4"/>
  <c r="BD60" i="4"/>
  <c r="AY60" i="4"/>
  <c r="BC60" i="4"/>
  <c r="AZ60" i="4"/>
  <c r="N60" i="4"/>
  <c r="BB60" i="4"/>
  <c r="Z53" i="29"/>
  <c r="AI56" i="29"/>
  <c r="AD57" i="29"/>
  <c r="B56" i="29"/>
  <c r="BO60" i="4"/>
  <c r="BN60" i="4"/>
  <c r="AX57" i="4" l="1"/>
  <c r="P53" i="29"/>
  <c r="V53" i="29"/>
  <c r="W53" i="29" s="1"/>
  <c r="V52" i="29"/>
  <c r="W52" i="29" s="1"/>
  <c r="P52" i="29"/>
  <c r="O55" i="29"/>
  <c r="Z54" i="29"/>
  <c r="AO58" i="4"/>
  <c r="AV58" i="4"/>
  <c r="AX58" i="4" s="1"/>
  <c r="BE57" i="4"/>
  <c r="BF57" i="4" s="1"/>
  <c r="BO61" i="4"/>
  <c r="BN61" i="4"/>
  <c r="BH59" i="4"/>
  <c r="AY61" i="4"/>
  <c r="M61" i="4"/>
  <c r="O61" i="4"/>
  <c r="AZ61" i="4"/>
  <c r="AM61" i="4"/>
  <c r="F61" i="4"/>
  <c r="P61" i="4"/>
  <c r="K61" i="4"/>
  <c r="BD61" i="4"/>
  <c r="BC61" i="4"/>
  <c r="BA61" i="4"/>
  <c r="BB61" i="4"/>
  <c r="R61" i="4"/>
  <c r="Q61" i="4"/>
  <c r="N61" i="4"/>
  <c r="I55" i="29"/>
  <c r="J55" i="29"/>
  <c r="Y55" i="29" s="1"/>
  <c r="Z55" i="29" s="1"/>
  <c r="G56" i="29"/>
  <c r="S56" i="29"/>
  <c r="Q56" i="29"/>
  <c r="R56" i="29"/>
  <c r="T56" i="29"/>
  <c r="U56" i="29"/>
  <c r="E56" i="29"/>
  <c r="AI57" i="29"/>
  <c r="B57" i="29"/>
  <c r="AD58" i="29"/>
  <c r="AE56" i="29"/>
  <c r="AF56" i="29"/>
  <c r="AC60" i="4"/>
  <c r="BG60" i="4" s="1"/>
  <c r="Z60" i="4"/>
  <c r="AH60" i="4" s="1"/>
  <c r="AE60" i="4"/>
  <c r="AJ60" i="4" s="1"/>
  <c r="AD60" i="4"/>
  <c r="AI60" i="4" s="1"/>
  <c r="AF60" i="4"/>
  <c r="Y60" i="4"/>
  <c r="AG60" i="4" s="1"/>
  <c r="AW60" i="4"/>
  <c r="B62" i="4"/>
  <c r="BP62" i="4"/>
  <c r="BM63" i="4"/>
  <c r="AK59" i="4"/>
  <c r="AN59" i="4"/>
  <c r="K54" i="29" l="1"/>
  <c r="N54" i="29" s="1"/>
  <c r="O56" i="29"/>
  <c r="BE58" i="4"/>
  <c r="BF58" i="4" s="1"/>
  <c r="AV59" i="4"/>
  <c r="AO59" i="4"/>
  <c r="AE57" i="29"/>
  <c r="AF57" i="29"/>
  <c r="AE61" i="4"/>
  <c r="AJ61" i="4" s="1"/>
  <c r="AC61" i="4"/>
  <c r="BG61" i="4" s="1"/>
  <c r="Z61" i="4"/>
  <c r="AH61" i="4" s="1"/>
  <c r="Y61" i="4"/>
  <c r="AG61" i="4" s="1"/>
  <c r="AF61" i="4"/>
  <c r="AD61" i="4"/>
  <c r="AI61" i="4" s="1"/>
  <c r="BO62" i="4"/>
  <c r="BN62" i="4"/>
  <c r="R57" i="29"/>
  <c r="S57" i="29"/>
  <c r="G57" i="29"/>
  <c r="T57" i="29"/>
  <c r="E57" i="29"/>
  <c r="U57" i="29"/>
  <c r="Q57" i="29"/>
  <c r="BA62" i="4"/>
  <c r="BC62" i="4"/>
  <c r="BD62" i="4"/>
  <c r="M62" i="4"/>
  <c r="N62" i="4"/>
  <c r="AZ62" i="4"/>
  <c r="O62" i="4"/>
  <c r="R62" i="4"/>
  <c r="Q62" i="4"/>
  <c r="AM62" i="4"/>
  <c r="P62" i="4"/>
  <c r="AY62" i="4"/>
  <c r="K62" i="4"/>
  <c r="F62" i="4"/>
  <c r="BB62" i="4"/>
  <c r="BH60" i="4"/>
  <c r="BM64" i="4"/>
  <c r="BP63" i="4"/>
  <c r="B63" i="4"/>
  <c r="AK60" i="4"/>
  <c r="AN60" i="4"/>
  <c r="I56" i="29"/>
  <c r="J56" i="29"/>
  <c r="Y56" i="29" s="1"/>
  <c r="AI58" i="29"/>
  <c r="AD59" i="29"/>
  <c r="B58" i="29"/>
  <c r="AW61" i="4"/>
  <c r="V54" i="29" l="1"/>
  <c r="W54" i="29" s="1"/>
  <c r="P54" i="29"/>
  <c r="K55" i="29"/>
  <c r="N55" i="29" s="1"/>
  <c r="Z56" i="29"/>
  <c r="BE59" i="4"/>
  <c r="BF59" i="4" s="1"/>
  <c r="AX59" i="4"/>
  <c r="AO60" i="4"/>
  <c r="O57" i="29"/>
  <c r="BH61" i="4"/>
  <c r="AW62" i="4"/>
  <c r="BM65" i="4"/>
  <c r="BP64" i="4"/>
  <c r="B64" i="4"/>
  <c r="G58" i="29"/>
  <c r="T58" i="29"/>
  <c r="S58" i="29"/>
  <c r="U58" i="29"/>
  <c r="E58" i="29"/>
  <c r="R58" i="29"/>
  <c r="Q58" i="29"/>
  <c r="AV60" i="4"/>
  <c r="AI59" i="29"/>
  <c r="AD60" i="29"/>
  <c r="B59" i="29"/>
  <c r="Q63" i="4"/>
  <c r="AM63" i="4"/>
  <c r="AZ63" i="4"/>
  <c r="N63" i="4"/>
  <c r="R63" i="4"/>
  <c r="O63" i="4"/>
  <c r="P63" i="4"/>
  <c r="BB63" i="4"/>
  <c r="BA63" i="4"/>
  <c r="K63" i="4"/>
  <c r="F63" i="4"/>
  <c r="M63" i="4"/>
  <c r="AY63" i="4"/>
  <c r="BD63" i="4"/>
  <c r="BC63" i="4"/>
  <c r="AF58" i="29"/>
  <c r="AE58" i="29"/>
  <c r="BO63" i="4"/>
  <c r="BN63" i="4"/>
  <c r="AE62" i="4"/>
  <c r="AJ62" i="4" s="1"/>
  <c r="Z62" i="4"/>
  <c r="AH62" i="4" s="1"/>
  <c r="AC62" i="4"/>
  <c r="BG62" i="4" s="1"/>
  <c r="AD62" i="4"/>
  <c r="AI62" i="4" s="1"/>
  <c r="Y62" i="4"/>
  <c r="AG62" i="4" s="1"/>
  <c r="AF62" i="4"/>
  <c r="AK61" i="4"/>
  <c r="AN61" i="4"/>
  <c r="J57" i="29"/>
  <c r="Y57" i="29" s="1"/>
  <c r="I57" i="29"/>
  <c r="P55" i="29" l="1"/>
  <c r="V55" i="29"/>
  <c r="W55" i="29" s="1"/>
  <c r="K56" i="29"/>
  <c r="N56" i="29" s="1"/>
  <c r="AX60" i="4"/>
  <c r="AO61" i="4"/>
  <c r="AW63" i="4"/>
  <c r="AV61" i="4"/>
  <c r="AX61" i="4" s="1"/>
  <c r="I58" i="29"/>
  <c r="J58" i="29"/>
  <c r="Y58" i="29" s="1"/>
  <c r="AE59" i="29"/>
  <c r="AF59" i="29"/>
  <c r="BE60" i="4"/>
  <c r="BF60" i="4" s="1"/>
  <c r="N64" i="4"/>
  <c r="AZ64" i="4"/>
  <c r="P64" i="4"/>
  <c r="O64" i="4"/>
  <c r="F64" i="4"/>
  <c r="BD64" i="4"/>
  <c r="Q64" i="4"/>
  <c r="BB64" i="4"/>
  <c r="AM64" i="4"/>
  <c r="AY64" i="4"/>
  <c r="BA64" i="4"/>
  <c r="K64" i="4"/>
  <c r="M64" i="4"/>
  <c r="BC64" i="4"/>
  <c r="R64" i="4"/>
  <c r="AK62" i="4"/>
  <c r="AN62" i="4"/>
  <c r="BH62" i="4"/>
  <c r="O58" i="29"/>
  <c r="BO64" i="4"/>
  <c r="BN64" i="4"/>
  <c r="E59" i="29"/>
  <c r="U59" i="29"/>
  <c r="Q59" i="29"/>
  <c r="R59" i="29"/>
  <c r="S59" i="29"/>
  <c r="G59" i="29"/>
  <c r="T59" i="29"/>
  <c r="BP65" i="4"/>
  <c r="BM66" i="4"/>
  <c r="BM70" i="4" s="1"/>
  <c r="B65" i="4"/>
  <c r="AD63" i="4"/>
  <c r="AI63" i="4" s="1"/>
  <c r="Y63" i="4"/>
  <c r="AG63" i="4" s="1"/>
  <c r="AF63" i="4"/>
  <c r="Z63" i="4"/>
  <c r="AH63" i="4" s="1"/>
  <c r="AC63" i="4"/>
  <c r="BG63" i="4" s="1"/>
  <c r="AE63" i="4"/>
  <c r="AJ63" i="4" s="1"/>
  <c r="AI60" i="29"/>
  <c r="AD61" i="29"/>
  <c r="B60" i="29"/>
  <c r="Z57" i="29"/>
  <c r="K57" i="29" l="1"/>
  <c r="N57" i="29" s="1"/>
  <c r="V56" i="29"/>
  <c r="W56" i="29" s="1"/>
  <c r="P56" i="29"/>
  <c r="B70" i="4"/>
  <c r="BP70" i="4"/>
  <c r="BE61" i="4"/>
  <c r="BF61" i="4" s="1"/>
  <c r="AV62" i="4"/>
  <c r="AO62" i="4"/>
  <c r="AD64" i="4"/>
  <c r="AI64" i="4" s="1"/>
  <c r="AC64" i="4"/>
  <c r="BG64" i="4" s="1"/>
  <c r="Y64" i="4"/>
  <c r="AG64" i="4" s="1"/>
  <c r="AE64" i="4"/>
  <c r="AJ64" i="4" s="1"/>
  <c r="Z64" i="4"/>
  <c r="AH64" i="4" s="1"/>
  <c r="AF64" i="4"/>
  <c r="AW64" i="4"/>
  <c r="O59" i="29"/>
  <c r="AI61" i="29"/>
  <c r="B61" i="29"/>
  <c r="AD62" i="29"/>
  <c r="BO65" i="4"/>
  <c r="BN65" i="4"/>
  <c r="AF60" i="29"/>
  <c r="AE60" i="29"/>
  <c r="BH63" i="4"/>
  <c r="AZ65" i="4"/>
  <c r="BC65" i="4"/>
  <c r="M65" i="4"/>
  <c r="O65" i="4"/>
  <c r="N65" i="4"/>
  <c r="BD65" i="4"/>
  <c r="P65" i="4"/>
  <c r="Q65" i="4"/>
  <c r="R65" i="4"/>
  <c r="AM65" i="4"/>
  <c r="F65" i="4"/>
  <c r="AY65" i="4"/>
  <c r="K65" i="4"/>
  <c r="BB65" i="4"/>
  <c r="BA65" i="4"/>
  <c r="U60" i="29"/>
  <c r="E60" i="29"/>
  <c r="S60" i="29"/>
  <c r="Q60" i="29"/>
  <c r="T60" i="29"/>
  <c r="R60" i="29"/>
  <c r="G60" i="29"/>
  <c r="AK63" i="4"/>
  <c r="AN63" i="4"/>
  <c r="BM67" i="4"/>
  <c r="BM71" i="4" s="1"/>
  <c r="B66" i="4"/>
  <c r="BP66" i="4"/>
  <c r="Z58" i="29"/>
  <c r="J59" i="29"/>
  <c r="Y59" i="29" s="1"/>
  <c r="I59" i="29"/>
  <c r="M90" i="7" l="1"/>
  <c r="K58" i="29"/>
  <c r="N58" i="29" s="1"/>
  <c r="V57" i="29"/>
  <c r="W57" i="29" s="1"/>
  <c r="P57" i="29"/>
  <c r="AX62" i="4"/>
  <c r="BE62" i="4"/>
  <c r="BF62" i="4" s="1"/>
  <c r="BO70" i="4"/>
  <c r="BN70" i="4"/>
  <c r="BC70" i="4"/>
  <c r="AY70" i="4"/>
  <c r="P70" i="4"/>
  <c r="K70" i="4"/>
  <c r="AM70" i="4"/>
  <c r="BB70" i="4"/>
  <c r="O70" i="4"/>
  <c r="F70" i="4"/>
  <c r="BA70" i="4"/>
  <c r="R70" i="4"/>
  <c r="N70" i="4"/>
  <c r="BD70" i="4"/>
  <c r="AZ70" i="4"/>
  <c r="Q70" i="4"/>
  <c r="M70" i="4"/>
  <c r="B71" i="4"/>
  <c r="BP71" i="4"/>
  <c r="AV63" i="4"/>
  <c r="AX63" i="4" s="1"/>
  <c r="BH64" i="4"/>
  <c r="AO63" i="4"/>
  <c r="AI62" i="29"/>
  <c r="AD63" i="29"/>
  <c r="B62" i="29"/>
  <c r="Z59" i="29"/>
  <c r="BP67" i="4"/>
  <c r="B67" i="4"/>
  <c r="BM68" i="4"/>
  <c r="BM72" i="4" s="1"/>
  <c r="BN66" i="4"/>
  <c r="BO66" i="4"/>
  <c r="R66" i="4"/>
  <c r="N66" i="4"/>
  <c r="P66" i="4"/>
  <c r="AM66" i="4"/>
  <c r="F66" i="4"/>
  <c r="Q66" i="4"/>
  <c r="K66" i="4"/>
  <c r="AZ66" i="4"/>
  <c r="BA66" i="4"/>
  <c r="BD66" i="4"/>
  <c r="BB66" i="4"/>
  <c r="O66" i="4"/>
  <c r="BC66" i="4"/>
  <c r="M66" i="4"/>
  <c r="AY66" i="4"/>
  <c r="Q61" i="29"/>
  <c r="U61" i="29"/>
  <c r="E61" i="29"/>
  <c r="G61" i="29"/>
  <c r="R61" i="29"/>
  <c r="T61" i="29"/>
  <c r="S61" i="29"/>
  <c r="O60" i="29"/>
  <c r="AW65" i="4"/>
  <c r="J60" i="29"/>
  <c r="Y60" i="29" s="1"/>
  <c r="I60" i="29"/>
  <c r="Y65" i="4"/>
  <c r="AG65" i="4" s="1"/>
  <c r="Z65" i="4"/>
  <c r="AH65" i="4" s="1"/>
  <c r="AE65" i="4"/>
  <c r="AJ65" i="4" s="1"/>
  <c r="AD65" i="4"/>
  <c r="AI65" i="4" s="1"/>
  <c r="AC65" i="4"/>
  <c r="BG65" i="4" s="1"/>
  <c r="AF65" i="4"/>
  <c r="AE61" i="29"/>
  <c r="AF61" i="29"/>
  <c r="AK64" i="4"/>
  <c r="AN64" i="4"/>
  <c r="V58" i="29" l="1"/>
  <c r="W58" i="29" s="1"/>
  <c r="P58" i="29"/>
  <c r="K60" i="29"/>
  <c r="N60" i="29" s="1"/>
  <c r="K59" i="29"/>
  <c r="N59" i="29" s="1"/>
  <c r="AW70" i="4"/>
  <c r="AF70" i="4"/>
  <c r="AK70" i="4" s="1"/>
  <c r="Z70" i="4"/>
  <c r="AH70" i="4" s="1"/>
  <c r="AE70" i="4"/>
  <c r="AJ70" i="4" s="1"/>
  <c r="Y70" i="4"/>
  <c r="AG70" i="4" s="1"/>
  <c r="AD70" i="4"/>
  <c r="AI70" i="4" s="1"/>
  <c r="AC70" i="4"/>
  <c r="BG70" i="4" s="1"/>
  <c r="BO71" i="4"/>
  <c r="BN71" i="4"/>
  <c r="BC71" i="4"/>
  <c r="AY71" i="4"/>
  <c r="P71" i="4"/>
  <c r="K71" i="4"/>
  <c r="BB71" i="4"/>
  <c r="F71" i="4"/>
  <c r="R71" i="4"/>
  <c r="N71" i="4"/>
  <c r="BD71" i="4"/>
  <c r="AZ71" i="4"/>
  <c r="Q71" i="4"/>
  <c r="M71" i="4"/>
  <c r="O71" i="4"/>
  <c r="BA71" i="4"/>
  <c r="AM71" i="4"/>
  <c r="B72" i="4"/>
  <c r="BP72" i="4"/>
  <c r="BE63" i="4"/>
  <c r="BF63" i="4" s="1"/>
  <c r="AV64" i="4"/>
  <c r="AO64" i="4"/>
  <c r="AF66" i="4"/>
  <c r="Y66" i="4"/>
  <c r="AG66" i="4" s="1"/>
  <c r="Z66" i="4"/>
  <c r="AH66" i="4" s="1"/>
  <c r="AE66" i="4"/>
  <c r="AJ66" i="4" s="1"/>
  <c r="AC66" i="4"/>
  <c r="BG66" i="4" s="1"/>
  <c r="AD66" i="4"/>
  <c r="AI66" i="4" s="1"/>
  <c r="I61" i="29"/>
  <c r="J61" i="29"/>
  <c r="Y61" i="29" s="1"/>
  <c r="AK65" i="4"/>
  <c r="AN65" i="4"/>
  <c r="BH65" i="4"/>
  <c r="Z60" i="29"/>
  <c r="AW66" i="4"/>
  <c r="BM69" i="4"/>
  <c r="B68" i="4"/>
  <c r="BP68" i="4"/>
  <c r="Q62" i="29"/>
  <c r="G62" i="29"/>
  <c r="E62" i="29"/>
  <c r="T62" i="29"/>
  <c r="S62" i="29"/>
  <c r="R62" i="29"/>
  <c r="U62" i="29"/>
  <c r="BC67" i="4"/>
  <c r="AY67" i="4"/>
  <c r="F67" i="4"/>
  <c r="AZ67" i="4"/>
  <c r="BB67" i="4"/>
  <c r="BD67" i="4"/>
  <c r="BA67" i="4"/>
  <c r="M67" i="4"/>
  <c r="AM67" i="4"/>
  <c r="O67" i="4"/>
  <c r="N67" i="4"/>
  <c r="Q67" i="4"/>
  <c r="K67" i="4"/>
  <c r="R67" i="4"/>
  <c r="P67" i="4"/>
  <c r="AI63" i="29"/>
  <c r="B63" i="29"/>
  <c r="AD64" i="29"/>
  <c r="O61" i="29"/>
  <c r="BO67" i="4"/>
  <c r="BN67" i="4"/>
  <c r="AF62" i="29"/>
  <c r="AE62" i="29"/>
  <c r="M91" i="7" l="1"/>
  <c r="P60" i="29"/>
  <c r="V60" i="29"/>
  <c r="W60" i="29" s="1"/>
  <c r="P59" i="29"/>
  <c r="V59" i="29"/>
  <c r="W59" i="29" s="1"/>
  <c r="K61" i="29"/>
  <c r="N61" i="29" s="1"/>
  <c r="AX64" i="4"/>
  <c r="BE64" i="4"/>
  <c r="BF64" i="4" s="1"/>
  <c r="BH70" i="4"/>
  <c r="AN70" i="4"/>
  <c r="AO70" i="4" s="1"/>
  <c r="AW71" i="4"/>
  <c r="AF71" i="4"/>
  <c r="AK71" i="4" s="1"/>
  <c r="Z71" i="4"/>
  <c r="AH71" i="4" s="1"/>
  <c r="Y71" i="4"/>
  <c r="AG71" i="4" s="1"/>
  <c r="AD71" i="4"/>
  <c r="AI71" i="4" s="1"/>
  <c r="AC71" i="4"/>
  <c r="BG71" i="4" s="1"/>
  <c r="AE71" i="4"/>
  <c r="AJ71" i="4" s="1"/>
  <c r="BO72" i="4"/>
  <c r="BN72" i="4"/>
  <c r="BC72" i="4"/>
  <c r="AY72" i="4"/>
  <c r="P72" i="4"/>
  <c r="K72" i="4"/>
  <c r="BD72" i="4"/>
  <c r="Q72" i="4"/>
  <c r="BB72" i="4"/>
  <c r="O72" i="4"/>
  <c r="F72" i="4"/>
  <c r="AZ72" i="4"/>
  <c r="M72" i="4"/>
  <c r="BA72" i="4"/>
  <c r="AM72" i="4"/>
  <c r="R72" i="4"/>
  <c r="N72" i="4"/>
  <c r="O62" i="29"/>
  <c r="AO65" i="4"/>
  <c r="BH66" i="4"/>
  <c r="AW67" i="4"/>
  <c r="AV65" i="4"/>
  <c r="J62" i="29"/>
  <c r="Y62" i="29" s="1"/>
  <c r="I62" i="29"/>
  <c r="Z61" i="29"/>
  <c r="BP69" i="4"/>
  <c r="BM73" i="4"/>
  <c r="B69" i="4"/>
  <c r="AK66" i="4"/>
  <c r="AN66" i="4"/>
  <c r="Z67" i="4"/>
  <c r="AH67" i="4" s="1"/>
  <c r="AD67" i="4"/>
  <c r="AI67" i="4" s="1"/>
  <c r="AF67" i="4"/>
  <c r="Y67" i="4"/>
  <c r="AG67" i="4" s="1"/>
  <c r="AC67" i="4"/>
  <c r="BG67" i="4" s="1"/>
  <c r="AE67" i="4"/>
  <c r="AJ67" i="4" s="1"/>
  <c r="AI64" i="29"/>
  <c r="B64" i="29"/>
  <c r="AD65" i="29"/>
  <c r="T63" i="29"/>
  <c r="R63" i="29"/>
  <c r="Q63" i="29"/>
  <c r="S63" i="29"/>
  <c r="G63" i="29"/>
  <c r="U63" i="29"/>
  <c r="E63" i="29"/>
  <c r="AF63" i="29"/>
  <c r="AE63" i="29"/>
  <c r="BO68" i="4"/>
  <c r="BN68" i="4"/>
  <c r="AZ68" i="4"/>
  <c r="BA68" i="4"/>
  <c r="F68" i="4"/>
  <c r="BC68" i="4"/>
  <c r="BD68" i="4"/>
  <c r="BB68" i="4"/>
  <c r="AY68" i="4"/>
  <c r="N68" i="4"/>
  <c r="AM68" i="4"/>
  <c r="O68" i="4"/>
  <c r="M68" i="4"/>
  <c r="P68" i="4"/>
  <c r="K68" i="4"/>
  <c r="Q68" i="4"/>
  <c r="R68" i="4"/>
  <c r="V61" i="29" l="1"/>
  <c r="W61" i="29" s="1"/>
  <c r="P61" i="29"/>
  <c r="BE65" i="4"/>
  <c r="BF65" i="4" s="1"/>
  <c r="AX65" i="4"/>
  <c r="Z62" i="29"/>
  <c r="AV70" i="4"/>
  <c r="BH71" i="4"/>
  <c r="AN71" i="4"/>
  <c r="AV71" i="4" s="1"/>
  <c r="AX71" i="4" s="1"/>
  <c r="AW72" i="4"/>
  <c r="AF72" i="4"/>
  <c r="Z72" i="4"/>
  <c r="AH72" i="4" s="1"/>
  <c r="AE72" i="4"/>
  <c r="AJ72" i="4" s="1"/>
  <c r="Y72" i="4"/>
  <c r="AG72" i="4" s="1"/>
  <c r="AC72" i="4"/>
  <c r="BG72" i="4" s="1"/>
  <c r="AD72" i="4"/>
  <c r="AI72" i="4" s="1"/>
  <c r="O63" i="29"/>
  <c r="AV66" i="4"/>
  <c r="AX66" i="4" s="1"/>
  <c r="AO66" i="4"/>
  <c r="AK67" i="4"/>
  <c r="AN67" i="4"/>
  <c r="B73" i="4"/>
  <c r="BM74" i="4"/>
  <c r="BP73" i="4"/>
  <c r="AW68" i="4"/>
  <c r="AE68" i="4"/>
  <c r="AJ68" i="4" s="1"/>
  <c r="AC68" i="4"/>
  <c r="BG68" i="4" s="1"/>
  <c r="AD68" i="4"/>
  <c r="AI68" i="4" s="1"/>
  <c r="AF68" i="4"/>
  <c r="Y68" i="4"/>
  <c r="AG68" i="4" s="1"/>
  <c r="Z68" i="4"/>
  <c r="AH68" i="4" s="1"/>
  <c r="BH68" i="4" s="1"/>
  <c r="AI65" i="29"/>
  <c r="B65" i="29"/>
  <c r="AD66" i="29"/>
  <c r="BN69" i="4"/>
  <c r="BO69" i="4"/>
  <c r="J63" i="29"/>
  <c r="Y63" i="29" s="1"/>
  <c r="I63" i="29"/>
  <c r="Q64" i="29"/>
  <c r="T64" i="29"/>
  <c r="R64" i="29"/>
  <c r="G64" i="29"/>
  <c r="S64" i="29"/>
  <c r="E64" i="29"/>
  <c r="U64" i="29"/>
  <c r="BH67" i="4"/>
  <c r="AF64" i="29"/>
  <c r="AE64" i="29"/>
  <c r="BC69" i="4"/>
  <c r="O69" i="4"/>
  <c r="M69" i="4"/>
  <c r="BA69" i="4"/>
  <c r="BB69" i="4"/>
  <c r="R69" i="4"/>
  <c r="P69" i="4"/>
  <c r="AM69" i="4"/>
  <c r="N69" i="4"/>
  <c r="F69" i="4"/>
  <c r="Q69" i="4"/>
  <c r="K69" i="4"/>
  <c r="BD69" i="4"/>
  <c r="AZ69" i="4"/>
  <c r="AY69" i="4"/>
  <c r="K62" i="29" l="1"/>
  <c r="N62" i="29" s="1"/>
  <c r="AX70" i="4"/>
  <c r="Z63" i="29"/>
  <c r="BE70" i="4"/>
  <c r="BE71" i="4"/>
  <c r="BF71" i="4" s="1"/>
  <c r="BH72" i="4"/>
  <c r="AO71" i="4"/>
  <c r="AN72" i="4"/>
  <c r="AK72" i="4"/>
  <c r="BE66" i="4"/>
  <c r="BF66" i="4" s="1"/>
  <c r="O64" i="29"/>
  <c r="AO67" i="4"/>
  <c r="AF65" i="29"/>
  <c r="AE65" i="29"/>
  <c r="M73" i="4"/>
  <c r="BB73" i="4"/>
  <c r="AY73" i="4"/>
  <c r="BD73" i="4"/>
  <c r="R73" i="4"/>
  <c r="N73" i="4"/>
  <c r="AZ73" i="4"/>
  <c r="O73" i="4"/>
  <c r="Q73" i="4"/>
  <c r="AM73" i="4"/>
  <c r="P73" i="4"/>
  <c r="BC73" i="4"/>
  <c r="BA73" i="4"/>
  <c r="K73" i="4"/>
  <c r="F73" i="4"/>
  <c r="AV67" i="4"/>
  <c r="AX67" i="4" s="1"/>
  <c r="J64" i="29"/>
  <c r="Y64" i="29" s="1"/>
  <c r="I64" i="29"/>
  <c r="AE69" i="4"/>
  <c r="AJ69" i="4" s="1"/>
  <c r="Y69" i="4"/>
  <c r="AG69" i="4" s="1"/>
  <c r="AC69" i="4"/>
  <c r="BG69" i="4" s="1"/>
  <c r="AF69" i="4"/>
  <c r="AD69" i="4"/>
  <c r="AI69" i="4" s="1"/>
  <c r="Z69" i="4"/>
  <c r="AH69" i="4" s="1"/>
  <c r="AW69" i="4"/>
  <c r="AI66" i="29"/>
  <c r="B66" i="29"/>
  <c r="AD67" i="29"/>
  <c r="AK68" i="4"/>
  <c r="AN68" i="4"/>
  <c r="BN73" i="4"/>
  <c r="BO73" i="4"/>
  <c r="S65" i="29"/>
  <c r="Q65" i="29"/>
  <c r="T65" i="29"/>
  <c r="G65" i="29"/>
  <c r="E65" i="29"/>
  <c r="U65" i="29"/>
  <c r="R65" i="29"/>
  <c r="BP74" i="4"/>
  <c r="BM75" i="4"/>
  <c r="B74" i="4"/>
  <c r="P62" i="29" l="1"/>
  <c r="V62" i="29"/>
  <c r="W62" i="29" s="1"/>
  <c r="K63" i="29"/>
  <c r="N63" i="29" s="1"/>
  <c r="BF70" i="4"/>
  <c r="AO72" i="4"/>
  <c r="AV72" i="4"/>
  <c r="Z64" i="29"/>
  <c r="O65" i="29"/>
  <c r="AO68" i="4"/>
  <c r="BH69" i="4"/>
  <c r="AV68" i="4"/>
  <c r="AI67" i="29"/>
  <c r="AD68" i="29"/>
  <c r="B67" i="29"/>
  <c r="AK69" i="4"/>
  <c r="AN69" i="4"/>
  <c r="AW73" i="4"/>
  <c r="AE73" i="4"/>
  <c r="AJ73" i="4" s="1"/>
  <c r="AD73" i="4"/>
  <c r="AI73" i="4" s="1"/>
  <c r="AF73" i="4"/>
  <c r="Z73" i="4"/>
  <c r="AH73" i="4" s="1"/>
  <c r="AC73" i="4"/>
  <c r="BG73" i="4" s="1"/>
  <c r="Y73" i="4"/>
  <c r="AG73" i="4" s="1"/>
  <c r="E66" i="29"/>
  <c r="Q66" i="29"/>
  <c r="G66" i="29"/>
  <c r="S66" i="29"/>
  <c r="R66" i="29"/>
  <c r="U66" i="29"/>
  <c r="T66" i="29"/>
  <c r="AM74" i="4"/>
  <c r="P74" i="4"/>
  <c r="O74" i="4"/>
  <c r="R74" i="4"/>
  <c r="K74" i="4"/>
  <c r="F74" i="4"/>
  <c r="Q74" i="4"/>
  <c r="BC74" i="4"/>
  <c r="BD74" i="4"/>
  <c r="AY74" i="4"/>
  <c r="BB74" i="4"/>
  <c r="BA74" i="4"/>
  <c r="N74" i="4"/>
  <c r="AZ74" i="4"/>
  <c r="M74" i="4"/>
  <c r="BP75" i="4"/>
  <c r="BM76" i="4"/>
  <c r="B75" i="4"/>
  <c r="AE66" i="29"/>
  <c r="AF66" i="29"/>
  <c r="I65" i="29"/>
  <c r="J65" i="29"/>
  <c r="Y65" i="29" s="1"/>
  <c r="BO74" i="4"/>
  <c r="BN74" i="4"/>
  <c r="BE67" i="4"/>
  <c r="BF67" i="4" s="1"/>
  <c r="V63" i="29" l="1"/>
  <c r="W63" i="29" s="1"/>
  <c r="P63" i="29"/>
  <c r="K64" i="29"/>
  <c r="N64" i="29" s="1"/>
  <c r="AX72" i="4"/>
  <c r="BE68" i="4"/>
  <c r="BF68" i="4" s="1"/>
  <c r="AX68" i="4"/>
  <c r="Z65" i="29"/>
  <c r="AV69" i="4"/>
  <c r="BE72" i="4"/>
  <c r="BF72" i="4" s="1"/>
  <c r="O66" i="29"/>
  <c r="BH73" i="4"/>
  <c r="AO69" i="4"/>
  <c r="AF67" i="29"/>
  <c r="AE67" i="29"/>
  <c r="Z74" i="4"/>
  <c r="AH74" i="4" s="1"/>
  <c r="Y74" i="4"/>
  <c r="AG74" i="4" s="1"/>
  <c r="AD74" i="4"/>
  <c r="AI74" i="4" s="1"/>
  <c r="AF74" i="4"/>
  <c r="AC74" i="4"/>
  <c r="BG74" i="4" s="1"/>
  <c r="AE74" i="4"/>
  <c r="AJ74" i="4" s="1"/>
  <c r="I66" i="29"/>
  <c r="J66" i="29"/>
  <c r="Y66" i="29" s="1"/>
  <c r="BP76" i="4"/>
  <c r="BM77" i="4"/>
  <c r="B76" i="4"/>
  <c r="BO75" i="4"/>
  <c r="BN75" i="4"/>
  <c r="AK73" i="4"/>
  <c r="AN73" i="4"/>
  <c r="T67" i="29"/>
  <c r="U67" i="29"/>
  <c r="G67" i="29"/>
  <c r="R67" i="29"/>
  <c r="E67" i="29"/>
  <c r="Q67" i="29"/>
  <c r="S67" i="29"/>
  <c r="M75" i="4"/>
  <c r="N75" i="4"/>
  <c r="O75" i="4"/>
  <c r="AY75" i="4"/>
  <c r="R75" i="4"/>
  <c r="Q75" i="4"/>
  <c r="P75" i="4"/>
  <c r="AM75" i="4"/>
  <c r="BC75" i="4"/>
  <c r="BB75" i="4"/>
  <c r="AZ75" i="4"/>
  <c r="BD75" i="4"/>
  <c r="K75" i="4"/>
  <c r="F75" i="4"/>
  <c r="BA75" i="4"/>
  <c r="AW74" i="4"/>
  <c r="AI68" i="29"/>
  <c r="B68" i="29"/>
  <c r="AD69" i="29"/>
  <c r="K66" i="29" l="1"/>
  <c r="N66" i="29" s="1"/>
  <c r="P64" i="29"/>
  <c r="V64" i="29"/>
  <c r="W64" i="29" s="1"/>
  <c r="K65" i="29"/>
  <c r="N65" i="29" s="1"/>
  <c r="AX69" i="4"/>
  <c r="BE69" i="4"/>
  <c r="BF69" i="4" s="1"/>
  <c r="Z66" i="29"/>
  <c r="AV73" i="4"/>
  <c r="AW75" i="4"/>
  <c r="O67" i="29"/>
  <c r="AO73" i="4"/>
  <c r="Y75" i="4"/>
  <c r="AG75" i="4" s="1"/>
  <c r="Z75" i="4"/>
  <c r="AH75" i="4" s="1"/>
  <c r="AE75" i="4"/>
  <c r="AJ75" i="4" s="1"/>
  <c r="AD75" i="4"/>
  <c r="AI75" i="4" s="1"/>
  <c r="AF75" i="4"/>
  <c r="AC75" i="4"/>
  <c r="BG75" i="4" s="1"/>
  <c r="B77" i="4"/>
  <c r="BP77" i="4"/>
  <c r="BM78" i="4"/>
  <c r="Q68" i="29"/>
  <c r="R68" i="29"/>
  <c r="T68" i="29"/>
  <c r="S68" i="29"/>
  <c r="G68" i="29"/>
  <c r="E68" i="29"/>
  <c r="U68" i="29"/>
  <c r="AF68" i="29"/>
  <c r="AE68" i="29"/>
  <c r="BN76" i="4"/>
  <c r="BO76" i="4"/>
  <c r="BH74" i="4"/>
  <c r="J67" i="29"/>
  <c r="Y67" i="29" s="1"/>
  <c r="I67" i="29"/>
  <c r="AI69" i="29"/>
  <c r="AD70" i="29"/>
  <c r="B69" i="29"/>
  <c r="F76" i="4"/>
  <c r="BA76" i="4"/>
  <c r="AY76" i="4"/>
  <c r="K76" i="4"/>
  <c r="BB76" i="4"/>
  <c r="N76" i="4"/>
  <c r="BD76" i="4"/>
  <c r="BC76" i="4"/>
  <c r="M76" i="4"/>
  <c r="R76" i="4"/>
  <c r="O76" i="4"/>
  <c r="AZ76" i="4"/>
  <c r="P76" i="4"/>
  <c r="Q76" i="4"/>
  <c r="AM76" i="4"/>
  <c r="AK74" i="4"/>
  <c r="AN74" i="4"/>
  <c r="P66" i="29" l="1"/>
  <c r="V66" i="29"/>
  <c r="W66" i="29" s="1"/>
  <c r="P65" i="29"/>
  <c r="V65" i="29"/>
  <c r="W65" i="29" s="1"/>
  <c r="BE73" i="4"/>
  <c r="BF73" i="4" s="1"/>
  <c r="AX73" i="4"/>
  <c r="O68" i="29"/>
  <c r="AV74" i="4"/>
  <c r="AO74" i="4"/>
  <c r="G69" i="29"/>
  <c r="Q69" i="29"/>
  <c r="R69" i="29"/>
  <c r="S69" i="29"/>
  <c r="T69" i="29"/>
  <c r="U69" i="29"/>
  <c r="E69" i="29"/>
  <c r="Z67" i="29"/>
  <c r="AI70" i="29"/>
  <c r="AD71" i="29"/>
  <c r="B70" i="29"/>
  <c r="I68" i="29"/>
  <c r="J68" i="29"/>
  <c r="Y68" i="29" s="1"/>
  <c r="BP78" i="4"/>
  <c r="BM79" i="4"/>
  <c r="B78" i="4"/>
  <c r="BH75" i="4"/>
  <c r="AF69" i="29"/>
  <c r="AE69" i="29"/>
  <c r="BN77" i="4"/>
  <c r="BO77" i="4"/>
  <c r="AK75" i="4"/>
  <c r="AN75" i="4"/>
  <c r="AW76" i="4"/>
  <c r="AC76" i="4"/>
  <c r="BG76" i="4" s="1"/>
  <c r="AF76" i="4"/>
  <c r="AD76" i="4"/>
  <c r="AI76" i="4" s="1"/>
  <c r="Z76" i="4"/>
  <c r="AH76" i="4" s="1"/>
  <c r="Y76" i="4"/>
  <c r="AG76" i="4" s="1"/>
  <c r="AE76" i="4"/>
  <c r="AJ76" i="4" s="1"/>
  <c r="BC77" i="4"/>
  <c r="O77" i="4"/>
  <c r="BD77" i="4"/>
  <c r="M77" i="4"/>
  <c r="N77" i="4"/>
  <c r="R77" i="4"/>
  <c r="AM77" i="4"/>
  <c r="P77" i="4"/>
  <c r="Q77" i="4"/>
  <c r="K77" i="4"/>
  <c r="F77" i="4"/>
  <c r="BA77" i="4"/>
  <c r="AY77" i="4"/>
  <c r="BB77" i="4"/>
  <c r="AZ77" i="4"/>
  <c r="Z68" i="29" l="1"/>
  <c r="K68" i="29"/>
  <c r="N68" i="29" s="1"/>
  <c r="K67" i="29"/>
  <c r="N67" i="29" s="1"/>
  <c r="BE74" i="4"/>
  <c r="BF74" i="4" s="1"/>
  <c r="AX74" i="4"/>
  <c r="AV75" i="4"/>
  <c r="O69" i="29"/>
  <c r="AK76" i="4"/>
  <c r="AN76" i="4"/>
  <c r="AC77" i="4"/>
  <c r="BG77" i="4" s="1"/>
  <c r="AF77" i="4"/>
  <c r="Z77" i="4"/>
  <c r="AH77" i="4" s="1"/>
  <c r="Y77" i="4"/>
  <c r="AG77" i="4" s="1"/>
  <c r="AD77" i="4"/>
  <c r="AI77" i="4" s="1"/>
  <c r="AE77" i="4"/>
  <c r="AJ77" i="4" s="1"/>
  <c r="B79" i="4"/>
  <c r="BM80" i="4"/>
  <c r="BP79" i="4"/>
  <c r="AF70" i="29"/>
  <c r="AE70" i="29"/>
  <c r="AW77" i="4"/>
  <c r="J69" i="29"/>
  <c r="Y69" i="29" s="1"/>
  <c r="I69" i="29"/>
  <c r="BN78" i="4"/>
  <c r="BO78" i="4"/>
  <c r="BH76" i="4"/>
  <c r="AO75" i="4"/>
  <c r="Q70" i="29"/>
  <c r="E70" i="29"/>
  <c r="T70" i="29"/>
  <c r="G70" i="29"/>
  <c r="R70" i="29"/>
  <c r="S70" i="29"/>
  <c r="U70" i="29"/>
  <c r="M78" i="4"/>
  <c r="K78" i="4"/>
  <c r="F78" i="4"/>
  <c r="AY78" i="4"/>
  <c r="Q78" i="4"/>
  <c r="BC78" i="4"/>
  <c r="BA78" i="4"/>
  <c r="BB78" i="4"/>
  <c r="BD78" i="4"/>
  <c r="O78" i="4"/>
  <c r="N78" i="4"/>
  <c r="AZ78" i="4"/>
  <c r="R78" i="4"/>
  <c r="AM78" i="4"/>
  <c r="P78" i="4"/>
  <c r="AI71" i="29"/>
  <c r="B71" i="29"/>
  <c r="AD72" i="29"/>
  <c r="V68" i="29" l="1"/>
  <c r="W68" i="29" s="1"/>
  <c r="P68" i="29"/>
  <c r="P67" i="29"/>
  <c r="V67" i="29"/>
  <c r="W67" i="29" s="1"/>
  <c r="AX75" i="4"/>
  <c r="BE75" i="4"/>
  <c r="AO76" i="4"/>
  <c r="Z69" i="29"/>
  <c r="O70" i="29"/>
  <c r="AV76" i="4"/>
  <c r="AX76" i="4" s="1"/>
  <c r="R71" i="29"/>
  <c r="T71" i="29"/>
  <c r="E71" i="29"/>
  <c r="Q71" i="29"/>
  <c r="G71" i="29"/>
  <c r="U71" i="29"/>
  <c r="S71" i="29"/>
  <c r="AW78" i="4"/>
  <c r="AI72" i="29"/>
  <c r="AD73" i="29"/>
  <c r="B72" i="29"/>
  <c r="AE78" i="4"/>
  <c r="AJ78" i="4" s="1"/>
  <c r="AD78" i="4"/>
  <c r="AI78" i="4" s="1"/>
  <c r="AF78" i="4"/>
  <c r="AC78" i="4"/>
  <c r="BG78" i="4" s="1"/>
  <c r="Z78" i="4"/>
  <c r="AH78" i="4" s="1"/>
  <c r="Y78" i="4"/>
  <c r="AG78" i="4" s="1"/>
  <c r="AK77" i="4"/>
  <c r="AN77" i="4"/>
  <c r="BO79" i="4"/>
  <c r="BN79" i="4"/>
  <c r="AE71" i="29"/>
  <c r="AF71" i="29"/>
  <c r="BP80" i="4"/>
  <c r="B80" i="4"/>
  <c r="BM81" i="4"/>
  <c r="J70" i="29"/>
  <c r="Y70" i="29" s="1"/>
  <c r="I70" i="29"/>
  <c r="BD79" i="4"/>
  <c r="R79" i="4"/>
  <c r="O79" i="4"/>
  <c r="N79" i="4"/>
  <c r="BB79" i="4"/>
  <c r="F79" i="4"/>
  <c r="P79" i="4"/>
  <c r="H79" i="4"/>
  <c r="BC79" i="4"/>
  <c r="AY79" i="4"/>
  <c r="M79" i="4"/>
  <c r="BA79" i="4"/>
  <c r="K79" i="4"/>
  <c r="I79" i="4"/>
  <c r="AM79" i="4"/>
  <c r="J79" i="4"/>
  <c r="AZ79" i="4"/>
  <c r="Q79" i="4"/>
  <c r="BH77" i="4"/>
  <c r="Z70" i="29" l="1"/>
  <c r="K69" i="29"/>
  <c r="N69" i="29" s="1"/>
  <c r="K70" i="29"/>
  <c r="N70" i="29" s="1"/>
  <c r="BF75" i="4"/>
  <c r="O71" i="29"/>
  <c r="BE76" i="4"/>
  <c r="BF76" i="4" s="1"/>
  <c r="BH78" i="4"/>
  <c r="AO77" i="4"/>
  <c r="AV77" i="4"/>
  <c r="AB79" i="4"/>
  <c r="Y79" i="4"/>
  <c r="AG79" i="4" s="1"/>
  <c r="AF79" i="4"/>
  <c r="AD79" i="4"/>
  <c r="AI79" i="4" s="1"/>
  <c r="Z79" i="4"/>
  <c r="AE79" i="4"/>
  <c r="AJ79" i="4" s="1"/>
  <c r="AA79" i="4"/>
  <c r="AC79" i="4"/>
  <c r="BG79" i="4" s="1"/>
  <c r="AE72" i="29"/>
  <c r="AF72" i="29"/>
  <c r="AW79" i="4"/>
  <c r="BP81" i="4"/>
  <c r="BM82" i="4"/>
  <c r="B81" i="4"/>
  <c r="J71" i="29"/>
  <c r="Y71" i="29" s="1"/>
  <c r="I71" i="29"/>
  <c r="O80" i="4"/>
  <c r="BA80" i="4"/>
  <c r="M80" i="4"/>
  <c r="Q80" i="4"/>
  <c r="P80" i="4"/>
  <c r="AM80" i="4"/>
  <c r="R80" i="4"/>
  <c r="AY80" i="4"/>
  <c r="K80" i="4"/>
  <c r="F80" i="4"/>
  <c r="BD80" i="4"/>
  <c r="BB80" i="4"/>
  <c r="BC80" i="4"/>
  <c r="AZ80" i="4"/>
  <c r="N80" i="4"/>
  <c r="AK78" i="4"/>
  <c r="AN78" i="4"/>
  <c r="Q72" i="29"/>
  <c r="R72" i="29"/>
  <c r="S72" i="29"/>
  <c r="U72" i="29"/>
  <c r="T72" i="29"/>
  <c r="E72" i="29"/>
  <c r="G72" i="29"/>
  <c r="BN80" i="4"/>
  <c r="BO80" i="4"/>
  <c r="AI73" i="29"/>
  <c r="AD74" i="29"/>
  <c r="B73" i="29"/>
  <c r="V70" i="29" l="1"/>
  <c r="W70" i="29" s="1"/>
  <c r="P70" i="29"/>
  <c r="P69" i="29"/>
  <c r="V69" i="29"/>
  <c r="W69" i="29" s="1"/>
  <c r="BE77" i="4"/>
  <c r="BF77" i="4" s="1"/>
  <c r="AX77" i="4"/>
  <c r="Z71" i="29"/>
  <c r="AV78" i="4"/>
  <c r="AH79" i="4"/>
  <c r="BH79" i="4" s="1"/>
  <c r="AO78" i="4"/>
  <c r="G73" i="29"/>
  <c r="T73" i="29"/>
  <c r="E73" i="29"/>
  <c r="U73" i="29"/>
  <c r="S73" i="29"/>
  <c r="R73" i="29"/>
  <c r="Q73" i="29"/>
  <c r="AI74" i="29"/>
  <c r="AD75" i="29"/>
  <c r="B74" i="29"/>
  <c r="AD80" i="4"/>
  <c r="AI80" i="4" s="1"/>
  <c r="AC80" i="4"/>
  <c r="BG80" i="4" s="1"/>
  <c r="AF80" i="4"/>
  <c r="Z80" i="4"/>
  <c r="AH80" i="4" s="1"/>
  <c r="AE80" i="4"/>
  <c r="AJ80" i="4" s="1"/>
  <c r="Y80" i="4"/>
  <c r="AG80" i="4" s="1"/>
  <c r="BO81" i="4"/>
  <c r="BN81" i="4"/>
  <c r="O72" i="29"/>
  <c r="O81" i="4"/>
  <c r="M81" i="4"/>
  <c r="AZ81" i="4"/>
  <c r="AY81" i="4"/>
  <c r="R81" i="4"/>
  <c r="P81" i="4"/>
  <c r="N81" i="4"/>
  <c r="BB81" i="4"/>
  <c r="BC81" i="4"/>
  <c r="BD81" i="4"/>
  <c r="BA81" i="4"/>
  <c r="K81" i="4"/>
  <c r="F81" i="4"/>
  <c r="Q81" i="4"/>
  <c r="AM81" i="4"/>
  <c r="I72" i="29"/>
  <c r="J72" i="29"/>
  <c r="Y72" i="29" s="1"/>
  <c r="AF73" i="29"/>
  <c r="AE73" i="29"/>
  <c r="AW80" i="4"/>
  <c r="BP82" i="4"/>
  <c r="B82" i="4"/>
  <c r="BM83" i="4"/>
  <c r="AK79" i="4"/>
  <c r="AN79" i="4"/>
  <c r="K71" i="29" l="1"/>
  <c r="N71" i="29" s="1"/>
  <c r="BE78" i="4"/>
  <c r="BF78" i="4" s="1"/>
  <c r="AX78" i="4"/>
  <c r="AO79" i="4"/>
  <c r="BH80" i="4"/>
  <c r="AV79" i="4"/>
  <c r="AW81" i="4"/>
  <c r="Z72" i="29"/>
  <c r="AI75" i="29"/>
  <c r="B75" i="29"/>
  <c r="AD76" i="29"/>
  <c r="BO82" i="4"/>
  <c r="BN82" i="4"/>
  <c r="AK80" i="4"/>
  <c r="AN80" i="4"/>
  <c r="AF74" i="29"/>
  <c r="AE74" i="29"/>
  <c r="O82" i="4"/>
  <c r="Q82" i="4"/>
  <c r="N82" i="4"/>
  <c r="AZ82" i="4"/>
  <c r="P82" i="4"/>
  <c r="R82" i="4"/>
  <c r="AM82" i="4"/>
  <c r="F82" i="4"/>
  <c r="BB82" i="4"/>
  <c r="AY82" i="4"/>
  <c r="K82" i="4"/>
  <c r="BD82" i="4"/>
  <c r="M82" i="4"/>
  <c r="BA82" i="4"/>
  <c r="BC82" i="4"/>
  <c r="B83" i="4"/>
  <c r="BM84" i="4"/>
  <c r="BP83" i="4"/>
  <c r="J73" i="29"/>
  <c r="Y73" i="29" s="1"/>
  <c r="I73" i="29"/>
  <c r="AF81" i="4"/>
  <c r="AE81" i="4"/>
  <c r="AJ81" i="4" s="1"/>
  <c r="AC81" i="4"/>
  <c r="BG81" i="4" s="1"/>
  <c r="Y81" i="4"/>
  <c r="AG81" i="4" s="1"/>
  <c r="AD81" i="4"/>
  <c r="AI81" i="4" s="1"/>
  <c r="Z81" i="4"/>
  <c r="AH81" i="4" s="1"/>
  <c r="O73" i="29"/>
  <c r="T74" i="29"/>
  <c r="E74" i="29"/>
  <c r="S74" i="29"/>
  <c r="Q74" i="29"/>
  <c r="R74" i="29"/>
  <c r="G74" i="29"/>
  <c r="U74" i="29"/>
  <c r="V71" i="29" l="1"/>
  <c r="W71" i="29" s="1"/>
  <c r="P71" i="29"/>
  <c r="K72" i="29"/>
  <c r="N72" i="29" s="1"/>
  <c r="AX79" i="4"/>
  <c r="AO80" i="4"/>
  <c r="BE79" i="4"/>
  <c r="BF79" i="4" s="1"/>
  <c r="BM85" i="4"/>
  <c r="B84" i="4"/>
  <c r="BP84" i="4"/>
  <c r="J74" i="29"/>
  <c r="Y74" i="29" s="1"/>
  <c r="I74" i="29"/>
  <c r="AI76" i="29"/>
  <c r="B76" i="29"/>
  <c r="AD77" i="29"/>
  <c r="O74" i="29"/>
  <c r="BH81" i="4"/>
  <c r="F83" i="4"/>
  <c r="BB83" i="4"/>
  <c r="AY83" i="4"/>
  <c r="AZ83" i="4"/>
  <c r="R83" i="4"/>
  <c r="BA83" i="4"/>
  <c r="BD83" i="4"/>
  <c r="O83" i="4"/>
  <c r="BC83" i="4"/>
  <c r="M83" i="4"/>
  <c r="Q83" i="4"/>
  <c r="AM83" i="4"/>
  <c r="N83" i="4"/>
  <c r="P83" i="4"/>
  <c r="K83" i="4"/>
  <c r="AW82" i="4"/>
  <c r="T75" i="29"/>
  <c r="E75" i="29"/>
  <c r="S75" i="29"/>
  <c r="G75" i="29"/>
  <c r="R75" i="29"/>
  <c r="Q75" i="29"/>
  <c r="U75" i="29"/>
  <c r="Z73" i="29"/>
  <c r="AK81" i="4"/>
  <c r="AN81" i="4"/>
  <c r="AV80" i="4"/>
  <c r="AX80" i="4" s="1"/>
  <c r="AC82" i="4"/>
  <c r="BG82" i="4" s="1"/>
  <c r="AF82" i="4"/>
  <c r="AE82" i="4"/>
  <c r="AJ82" i="4" s="1"/>
  <c r="AD82" i="4"/>
  <c r="AI82" i="4" s="1"/>
  <c r="Y82" i="4"/>
  <c r="AG82" i="4" s="1"/>
  <c r="Z82" i="4"/>
  <c r="AH82" i="4" s="1"/>
  <c r="AF75" i="29"/>
  <c r="AE75" i="29"/>
  <c r="BN83" i="4"/>
  <c r="BO83" i="4"/>
  <c r="K73" i="29" l="1"/>
  <c r="N73" i="29" s="1"/>
  <c r="P72" i="29"/>
  <c r="V72" i="29"/>
  <c r="W72" i="29" s="1"/>
  <c r="AV81" i="4"/>
  <c r="AX81" i="4" s="1"/>
  <c r="AW83" i="4"/>
  <c r="Z74" i="29"/>
  <c r="E76" i="29"/>
  <c r="Q76" i="29"/>
  <c r="S76" i="29"/>
  <c r="T76" i="29"/>
  <c r="U76" i="29"/>
  <c r="R76" i="29"/>
  <c r="G76" i="29"/>
  <c r="BB84" i="4"/>
  <c r="N84" i="4"/>
  <c r="AZ84" i="4"/>
  <c r="BC84" i="4"/>
  <c r="F84" i="4"/>
  <c r="BA84" i="4"/>
  <c r="AY84" i="4"/>
  <c r="K84" i="4"/>
  <c r="M84" i="4"/>
  <c r="Q84" i="4"/>
  <c r="O84" i="4"/>
  <c r="BD84" i="4"/>
  <c r="P84" i="4"/>
  <c r="R84" i="4"/>
  <c r="AM84" i="4"/>
  <c r="AE83" i="4"/>
  <c r="AJ83" i="4" s="1"/>
  <c r="AC83" i="4"/>
  <c r="BG83" i="4" s="1"/>
  <c r="Z83" i="4"/>
  <c r="AH83" i="4" s="1"/>
  <c r="AD83" i="4"/>
  <c r="AI83" i="4" s="1"/>
  <c r="AF83" i="4"/>
  <c r="Y83" i="4"/>
  <c r="AG83" i="4" s="1"/>
  <c r="BE80" i="4"/>
  <c r="BF80" i="4" s="1"/>
  <c r="I75" i="29"/>
  <c r="J75" i="29"/>
  <c r="Y75" i="29" s="1"/>
  <c r="BH82" i="4"/>
  <c r="AK82" i="4"/>
  <c r="AN82" i="4"/>
  <c r="AF76" i="29"/>
  <c r="AE76" i="29"/>
  <c r="BM86" i="4"/>
  <c r="B85" i="4"/>
  <c r="BP85" i="4"/>
  <c r="O75" i="29"/>
  <c r="AO81" i="4"/>
  <c r="AI77" i="29"/>
  <c r="B77" i="29"/>
  <c r="AD78" i="29"/>
  <c r="BN84" i="4"/>
  <c r="BO84" i="4"/>
  <c r="K74" i="29" l="1"/>
  <c r="N74" i="29" s="1"/>
  <c r="P73" i="29"/>
  <c r="V73" i="29"/>
  <c r="W73" i="29" s="1"/>
  <c r="BE81" i="4"/>
  <c r="BF81" i="4" s="1"/>
  <c r="AW84" i="4"/>
  <c r="AO82" i="4"/>
  <c r="AE77" i="29"/>
  <c r="AF77" i="29"/>
  <c r="Z75" i="29"/>
  <c r="I76" i="29"/>
  <c r="J76" i="29"/>
  <c r="Y76" i="29" s="1"/>
  <c r="BH83" i="4"/>
  <c r="AC84" i="4"/>
  <c r="BG84" i="4" s="1"/>
  <c r="AF84" i="4"/>
  <c r="Z84" i="4"/>
  <c r="AH84" i="4" s="1"/>
  <c r="AE84" i="4"/>
  <c r="AJ84" i="4" s="1"/>
  <c r="Y84" i="4"/>
  <c r="AG84" i="4" s="1"/>
  <c r="AD84" i="4"/>
  <c r="AI84" i="4" s="1"/>
  <c r="BN85" i="4"/>
  <c r="BO85" i="4"/>
  <c r="AI78" i="29"/>
  <c r="AD79" i="29"/>
  <c r="B78" i="29"/>
  <c r="O85" i="4"/>
  <c r="N85" i="4"/>
  <c r="AY85" i="4"/>
  <c r="M85" i="4"/>
  <c r="P85" i="4"/>
  <c r="Q85" i="4"/>
  <c r="AM85" i="4"/>
  <c r="R85" i="4"/>
  <c r="F85" i="4"/>
  <c r="BA85" i="4"/>
  <c r="K85" i="4"/>
  <c r="BD85" i="4"/>
  <c r="BC85" i="4"/>
  <c r="BB85" i="4"/>
  <c r="AZ85" i="4"/>
  <c r="AK83" i="4"/>
  <c r="AN83" i="4"/>
  <c r="U77" i="29"/>
  <c r="E77" i="29"/>
  <c r="Q77" i="29"/>
  <c r="T77" i="29"/>
  <c r="G77" i="29"/>
  <c r="R77" i="29"/>
  <c r="S77" i="29"/>
  <c r="BP86" i="4"/>
  <c r="BM87" i="4"/>
  <c r="B86" i="4"/>
  <c r="AV82" i="4"/>
  <c r="O76" i="29"/>
  <c r="V74" i="29" l="1"/>
  <c r="W74" i="29" s="1"/>
  <c r="P74" i="29"/>
  <c r="K75" i="29"/>
  <c r="N75" i="29" s="1"/>
  <c r="AX82" i="4"/>
  <c r="AO83" i="4"/>
  <c r="AV83" i="4"/>
  <c r="O77" i="29"/>
  <c r="BH84" i="4"/>
  <c r="AW85" i="4"/>
  <c r="AF78" i="29"/>
  <c r="AE78" i="29"/>
  <c r="AK84" i="4"/>
  <c r="AN84" i="4"/>
  <c r="BE82" i="4"/>
  <c r="B87" i="4"/>
  <c r="BM88" i="4"/>
  <c r="BP87" i="4"/>
  <c r="Z76" i="29"/>
  <c r="BN86" i="4"/>
  <c r="BO86" i="4"/>
  <c r="J77" i="29"/>
  <c r="Y77" i="29" s="1"/>
  <c r="I77" i="29"/>
  <c r="U78" i="29"/>
  <c r="S78" i="29"/>
  <c r="R78" i="29"/>
  <c r="G78" i="29"/>
  <c r="E78" i="29"/>
  <c r="Q78" i="29"/>
  <c r="T78" i="29"/>
  <c r="AM86" i="4"/>
  <c r="P86" i="4"/>
  <c r="R86" i="4"/>
  <c r="K86" i="4"/>
  <c r="F86" i="4"/>
  <c r="AZ86" i="4"/>
  <c r="AY86" i="4"/>
  <c r="BC86" i="4"/>
  <c r="BA86" i="4"/>
  <c r="M86" i="4"/>
  <c r="BD86" i="4"/>
  <c r="BB86" i="4"/>
  <c r="O86" i="4"/>
  <c r="Q86" i="4"/>
  <c r="N86" i="4"/>
  <c r="AI79" i="29"/>
  <c r="B79" i="29"/>
  <c r="AD80" i="29"/>
  <c r="Z85" i="4"/>
  <c r="AH85" i="4" s="1"/>
  <c r="AE85" i="4"/>
  <c r="AJ85" i="4" s="1"/>
  <c r="AF85" i="4"/>
  <c r="AC85" i="4"/>
  <c r="BG85" i="4" s="1"/>
  <c r="Y85" i="4"/>
  <c r="AG85" i="4" s="1"/>
  <c r="AD85" i="4"/>
  <c r="AI85" i="4" s="1"/>
  <c r="Z77" i="29" l="1"/>
  <c r="V75" i="29"/>
  <c r="W75" i="29" s="1"/>
  <c r="P75" i="29"/>
  <c r="K76" i="29"/>
  <c r="N76" i="29" s="1"/>
  <c r="BF82" i="4"/>
  <c r="AX83" i="4"/>
  <c r="BE83" i="4"/>
  <c r="BH85" i="4"/>
  <c r="AO84" i="4"/>
  <c r="AV84" i="4"/>
  <c r="AF79" i="29"/>
  <c r="AE79" i="29"/>
  <c r="AW86" i="4"/>
  <c r="AD86" i="4"/>
  <c r="AI86" i="4" s="1"/>
  <c r="Z86" i="4"/>
  <c r="AH86" i="4" s="1"/>
  <c r="AC86" i="4"/>
  <c r="BG86" i="4" s="1"/>
  <c r="AF86" i="4"/>
  <c r="Y86" i="4"/>
  <c r="AG86" i="4" s="1"/>
  <c r="AE86" i="4"/>
  <c r="AJ86" i="4" s="1"/>
  <c r="BO87" i="4"/>
  <c r="BN87" i="4"/>
  <c r="AI80" i="29"/>
  <c r="B80" i="29"/>
  <c r="AD81" i="29"/>
  <c r="AK85" i="4"/>
  <c r="AN85" i="4"/>
  <c r="R79" i="29"/>
  <c r="G79" i="29"/>
  <c r="E79" i="29"/>
  <c r="U79" i="29"/>
  <c r="S79" i="29"/>
  <c r="Q79" i="29"/>
  <c r="T79" i="29"/>
  <c r="BP88" i="4"/>
  <c r="BM89" i="4"/>
  <c r="B88" i="4"/>
  <c r="AZ87" i="4"/>
  <c r="AY87" i="4"/>
  <c r="M87" i="4"/>
  <c r="BB87" i="4"/>
  <c r="BD87" i="4"/>
  <c r="N87" i="4"/>
  <c r="P87" i="4"/>
  <c r="O87" i="4"/>
  <c r="AM87" i="4"/>
  <c r="R87" i="4"/>
  <c r="Q87" i="4"/>
  <c r="K87" i="4"/>
  <c r="F87" i="4"/>
  <c r="BC87" i="4"/>
  <c r="BA87" i="4"/>
  <c r="O78" i="29"/>
  <c r="J78" i="29"/>
  <c r="Y78" i="29" s="1"/>
  <c r="I78" i="29"/>
  <c r="P76" i="29" l="1"/>
  <c r="V76" i="29"/>
  <c r="W76" i="29" s="1"/>
  <c r="K77" i="29"/>
  <c r="N77" i="29" s="1"/>
  <c r="AX84" i="4"/>
  <c r="BF83" i="4"/>
  <c r="BE84" i="4"/>
  <c r="AO85" i="4"/>
  <c r="AW87" i="4"/>
  <c r="BH86" i="4"/>
  <c r="E80" i="29"/>
  <c r="U80" i="29"/>
  <c r="R80" i="29"/>
  <c r="G80" i="29"/>
  <c r="T80" i="29"/>
  <c r="S80" i="29"/>
  <c r="Q80" i="29"/>
  <c r="BC88" i="4"/>
  <c r="AZ88" i="4"/>
  <c r="BD88" i="4"/>
  <c r="BA88" i="4"/>
  <c r="O88" i="4"/>
  <c r="P88" i="4"/>
  <c r="R88" i="4"/>
  <c r="Q88" i="4"/>
  <c r="K88" i="4"/>
  <c r="F88" i="4"/>
  <c r="AY88" i="4"/>
  <c r="BB88" i="4"/>
  <c r="M88" i="4"/>
  <c r="N88" i="4"/>
  <c r="AM88" i="4"/>
  <c r="AF80" i="29"/>
  <c r="AE80" i="29"/>
  <c r="AF87" i="4"/>
  <c r="Y87" i="4"/>
  <c r="AG87" i="4" s="1"/>
  <c r="AE87" i="4"/>
  <c r="AJ87" i="4" s="1"/>
  <c r="Z87" i="4"/>
  <c r="AH87" i="4" s="1"/>
  <c r="AD87" i="4"/>
  <c r="AI87" i="4" s="1"/>
  <c r="AC87" i="4"/>
  <c r="BG87" i="4" s="1"/>
  <c r="AK86" i="4"/>
  <c r="AN86" i="4"/>
  <c r="BP89" i="4"/>
  <c r="B89" i="4"/>
  <c r="BM90" i="4"/>
  <c r="Z78" i="29"/>
  <c r="BN88" i="4"/>
  <c r="BO88" i="4"/>
  <c r="O79" i="29"/>
  <c r="AV85" i="4"/>
  <c r="AI81" i="29"/>
  <c r="B81" i="29"/>
  <c r="AD82" i="29"/>
  <c r="I79" i="29"/>
  <c r="J79" i="29"/>
  <c r="Y79" i="29" s="1"/>
  <c r="P77" i="29" l="1"/>
  <c r="V77" i="29"/>
  <c r="W77" i="29" s="1"/>
  <c r="K78" i="29"/>
  <c r="N78" i="29" s="1"/>
  <c r="AX85" i="4"/>
  <c r="BF84" i="4"/>
  <c r="AO86" i="4"/>
  <c r="AF81" i="29"/>
  <c r="AE81" i="29"/>
  <c r="AD88" i="4"/>
  <c r="AI88" i="4" s="1"/>
  <c r="AF88" i="4"/>
  <c r="Y88" i="4"/>
  <c r="AG88" i="4" s="1"/>
  <c r="AC88" i="4"/>
  <c r="BG88" i="4" s="1"/>
  <c r="Z88" i="4"/>
  <c r="AH88" i="4" s="1"/>
  <c r="AE88" i="4"/>
  <c r="AJ88" i="4" s="1"/>
  <c r="BM91" i="4"/>
  <c r="B90" i="4"/>
  <c r="BP90" i="4"/>
  <c r="J80" i="29"/>
  <c r="Y80" i="29" s="1"/>
  <c r="I80" i="29"/>
  <c r="O80" i="29"/>
  <c r="BN89" i="4"/>
  <c r="BO89" i="4"/>
  <c r="AK87" i="4"/>
  <c r="AN87" i="4"/>
  <c r="BE85" i="4"/>
  <c r="F89" i="4"/>
  <c r="AM89" i="4"/>
  <c r="N89" i="4"/>
  <c r="AZ89" i="4"/>
  <c r="BD89" i="4"/>
  <c r="Q89" i="4"/>
  <c r="P89" i="4"/>
  <c r="M89" i="4"/>
  <c r="BA89" i="4"/>
  <c r="K89" i="4"/>
  <c r="BC89" i="4"/>
  <c r="R89" i="4"/>
  <c r="BB89" i="4"/>
  <c r="AY89" i="4"/>
  <c r="O89" i="4"/>
  <c r="AI82" i="29"/>
  <c r="AD83" i="29"/>
  <c r="B82" i="29"/>
  <c r="Z79" i="29"/>
  <c r="S81" i="29"/>
  <c r="T81" i="29"/>
  <c r="E81" i="29"/>
  <c r="Q81" i="29"/>
  <c r="U81" i="29"/>
  <c r="R81" i="29"/>
  <c r="G81" i="29"/>
  <c r="AV86" i="4"/>
  <c r="BH87" i="4"/>
  <c r="AW88" i="4"/>
  <c r="V78" i="29" l="1"/>
  <c r="W78" i="29" s="1"/>
  <c r="P78" i="29"/>
  <c r="K79" i="29"/>
  <c r="N79" i="29" s="1"/>
  <c r="AX86" i="4"/>
  <c r="BF85" i="4"/>
  <c r="AV87" i="4"/>
  <c r="BH88" i="4"/>
  <c r="BM92" i="4"/>
  <c r="B91" i="4"/>
  <c r="BP91" i="4"/>
  <c r="Q82" i="29"/>
  <c r="R82" i="29"/>
  <c r="S82" i="29"/>
  <c r="T82" i="29"/>
  <c r="G82" i="29"/>
  <c r="U82" i="29"/>
  <c r="E82" i="29"/>
  <c r="AW89" i="4"/>
  <c r="Z89" i="4"/>
  <c r="AH89" i="4" s="1"/>
  <c r="Y89" i="4"/>
  <c r="AG89" i="4" s="1"/>
  <c r="AF89" i="4"/>
  <c r="AD89" i="4"/>
  <c r="AI89" i="4" s="1"/>
  <c r="AE89" i="4"/>
  <c r="AJ89" i="4" s="1"/>
  <c r="AC89" i="4"/>
  <c r="BG89" i="4" s="1"/>
  <c r="AK88" i="4"/>
  <c r="AN88" i="4"/>
  <c r="AI83" i="29"/>
  <c r="B83" i="29"/>
  <c r="AD84" i="29"/>
  <c r="AO87" i="4"/>
  <c r="Z80" i="29"/>
  <c r="BO90" i="4"/>
  <c r="BN90" i="4"/>
  <c r="O81" i="29"/>
  <c r="BE86" i="4"/>
  <c r="AE82" i="29"/>
  <c r="AF82" i="29"/>
  <c r="BC90" i="4"/>
  <c r="M90" i="4"/>
  <c r="O90" i="4"/>
  <c r="AZ90" i="4"/>
  <c r="BA90" i="4"/>
  <c r="R90" i="4"/>
  <c r="P90" i="4"/>
  <c r="N90" i="4"/>
  <c r="AM90" i="4"/>
  <c r="F90" i="4"/>
  <c r="Q90" i="4"/>
  <c r="K90" i="4"/>
  <c r="BB90" i="4"/>
  <c r="BD90" i="4"/>
  <c r="AY90" i="4"/>
  <c r="I81" i="29"/>
  <c r="J81" i="29"/>
  <c r="Y81" i="29" s="1"/>
  <c r="K80" i="29" l="1"/>
  <c r="N80" i="29" s="1"/>
  <c r="V79" i="29"/>
  <c r="W79" i="29" s="1"/>
  <c r="P79" i="29"/>
  <c r="AX87" i="4"/>
  <c r="BF86" i="4"/>
  <c r="O82" i="29"/>
  <c r="BE87" i="4"/>
  <c r="AV88" i="4"/>
  <c r="BH89" i="4"/>
  <c r="AW90" i="4"/>
  <c r="Z81" i="29"/>
  <c r="AK89" i="4"/>
  <c r="AN89" i="4"/>
  <c r="BN91" i="4"/>
  <c r="BO91" i="4"/>
  <c r="AI84" i="29"/>
  <c r="AD85" i="29"/>
  <c r="B84" i="29"/>
  <c r="BA91" i="4"/>
  <c r="F91" i="4"/>
  <c r="K91" i="4"/>
  <c r="BC91" i="4"/>
  <c r="O91" i="4"/>
  <c r="M91" i="4"/>
  <c r="AY91" i="4"/>
  <c r="AM91" i="4"/>
  <c r="P91" i="4"/>
  <c r="Q91" i="4"/>
  <c r="R91" i="4"/>
  <c r="AZ91" i="4"/>
  <c r="BB91" i="4"/>
  <c r="BD91" i="4"/>
  <c r="N91" i="4"/>
  <c r="AO88" i="4"/>
  <c r="AE90" i="4"/>
  <c r="AJ90" i="4" s="1"/>
  <c r="AF90" i="4"/>
  <c r="AC90" i="4"/>
  <c r="BG90" i="4" s="1"/>
  <c r="AD90" i="4"/>
  <c r="AI90" i="4" s="1"/>
  <c r="Z90" i="4"/>
  <c r="AH90" i="4" s="1"/>
  <c r="Y90" i="4"/>
  <c r="AG90" i="4" s="1"/>
  <c r="E83" i="29"/>
  <c r="R83" i="29"/>
  <c r="S83" i="29"/>
  <c r="Q83" i="29"/>
  <c r="G83" i="29"/>
  <c r="U83" i="29"/>
  <c r="T83" i="29"/>
  <c r="BM93" i="4"/>
  <c r="BP92" i="4"/>
  <c r="B92" i="4"/>
  <c r="J82" i="29"/>
  <c r="Y82" i="29" s="1"/>
  <c r="I82" i="29"/>
  <c r="AE83" i="29"/>
  <c r="AF83" i="29"/>
  <c r="Z82" i="29" l="1"/>
  <c r="K81" i="29"/>
  <c r="N81" i="29" s="1"/>
  <c r="P80" i="29"/>
  <c r="V80" i="29"/>
  <c r="W80" i="29" s="1"/>
  <c r="AX88" i="4"/>
  <c r="BF87" i="4"/>
  <c r="O83" i="29"/>
  <c r="AV89" i="4"/>
  <c r="BE88" i="4"/>
  <c r="AO89" i="4"/>
  <c r="BH90" i="4"/>
  <c r="BN92" i="4"/>
  <c r="BO92" i="4"/>
  <c r="J83" i="29"/>
  <c r="Y83" i="29" s="1"/>
  <c r="I83" i="29"/>
  <c r="BP93" i="4"/>
  <c r="B93" i="4"/>
  <c r="BM94" i="4"/>
  <c r="AW91" i="4"/>
  <c r="R84" i="29"/>
  <c r="S84" i="29"/>
  <c r="T84" i="29"/>
  <c r="E84" i="29"/>
  <c r="U84" i="29"/>
  <c r="G84" i="29"/>
  <c r="Q84" i="29"/>
  <c r="AI85" i="29"/>
  <c r="AD86" i="29"/>
  <c r="B85" i="29"/>
  <c r="AD91" i="4"/>
  <c r="AI91" i="4" s="1"/>
  <c r="Z91" i="4"/>
  <c r="AH91" i="4" s="1"/>
  <c r="AC91" i="4"/>
  <c r="BG91" i="4" s="1"/>
  <c r="AF91" i="4"/>
  <c r="Y91" i="4"/>
  <c r="AG91" i="4" s="1"/>
  <c r="AE91" i="4"/>
  <c r="AJ91" i="4" s="1"/>
  <c r="O92" i="4"/>
  <c r="M92" i="4"/>
  <c r="AZ92" i="4"/>
  <c r="AM92" i="4"/>
  <c r="Q92" i="4"/>
  <c r="R92" i="4"/>
  <c r="P92" i="4"/>
  <c r="BD92" i="4"/>
  <c r="BB92" i="4"/>
  <c r="BC92" i="4"/>
  <c r="N92" i="4"/>
  <c r="AY92" i="4"/>
  <c r="F92" i="4"/>
  <c r="K92" i="4"/>
  <c r="BA92" i="4"/>
  <c r="AK90" i="4"/>
  <c r="AN90" i="4"/>
  <c r="AE84" i="29"/>
  <c r="AF84" i="29"/>
  <c r="K82" i="29" l="1"/>
  <c r="N82" i="29" s="1"/>
  <c r="P81" i="29"/>
  <c r="V81" i="29"/>
  <c r="W81" i="29" s="1"/>
  <c r="AX89" i="4"/>
  <c r="BF88" i="4"/>
  <c r="Z83" i="29"/>
  <c r="BE89" i="4"/>
  <c r="AO90" i="4"/>
  <c r="O84" i="29"/>
  <c r="BH91" i="4"/>
  <c r="AV90" i="4"/>
  <c r="G85" i="29"/>
  <c r="R85" i="29"/>
  <c r="Q85" i="29"/>
  <c r="S85" i="29"/>
  <c r="T85" i="29"/>
  <c r="U85" i="29"/>
  <c r="E85" i="29"/>
  <c r="BN93" i="4"/>
  <c r="BO93" i="4"/>
  <c r="AI86" i="29"/>
  <c r="AD87" i="29"/>
  <c r="B86" i="29"/>
  <c r="AC92" i="4"/>
  <c r="BG92" i="4" s="1"/>
  <c r="AE92" i="4"/>
  <c r="AJ92" i="4" s="1"/>
  <c r="Z92" i="4"/>
  <c r="AH92" i="4" s="1"/>
  <c r="Y92" i="4"/>
  <c r="AG92" i="4" s="1"/>
  <c r="AD92" i="4"/>
  <c r="AI92" i="4" s="1"/>
  <c r="AF92" i="4"/>
  <c r="I84" i="29"/>
  <c r="J84" i="29"/>
  <c r="Y84" i="29" s="1"/>
  <c r="AW92" i="4"/>
  <c r="AK91" i="4"/>
  <c r="AN91" i="4"/>
  <c r="AE85" i="29"/>
  <c r="AF85" i="29"/>
  <c r="BM95" i="4"/>
  <c r="BP94" i="4"/>
  <c r="B94" i="4"/>
  <c r="BB93" i="4"/>
  <c r="AZ93" i="4"/>
  <c r="BA93" i="4"/>
  <c r="AY93" i="4"/>
  <c r="P93" i="4"/>
  <c r="R93" i="4"/>
  <c r="N93" i="4"/>
  <c r="AM93" i="4"/>
  <c r="K93" i="4"/>
  <c r="F93" i="4"/>
  <c r="Q93" i="4"/>
  <c r="BD93" i="4"/>
  <c r="M93" i="4"/>
  <c r="BC93" i="4"/>
  <c r="O93" i="4"/>
  <c r="Z84" i="29" l="1"/>
  <c r="P82" i="29"/>
  <c r="V82" i="29"/>
  <c r="W82" i="29" s="1"/>
  <c r="K83" i="29"/>
  <c r="N83" i="29" s="1"/>
  <c r="AX90" i="4"/>
  <c r="BF89" i="4"/>
  <c r="BE90" i="4"/>
  <c r="AV91" i="4"/>
  <c r="BH92" i="4"/>
  <c r="BO94" i="4"/>
  <c r="BN94" i="4"/>
  <c r="AI87" i="29"/>
  <c r="AD88" i="29"/>
  <c r="B87" i="29"/>
  <c r="O85" i="29"/>
  <c r="BP95" i="4"/>
  <c r="B95" i="4"/>
  <c r="BM96" i="4"/>
  <c r="AK92" i="4"/>
  <c r="AN92" i="4"/>
  <c r="AF86" i="29"/>
  <c r="AE86" i="29"/>
  <c r="AW93" i="4"/>
  <c r="J85" i="29"/>
  <c r="Y85" i="29" s="1"/>
  <c r="I85" i="29"/>
  <c r="AO91" i="4"/>
  <c r="R94" i="4"/>
  <c r="F94" i="4"/>
  <c r="AZ94" i="4"/>
  <c r="AY94" i="4"/>
  <c r="K94" i="4"/>
  <c r="BA94" i="4"/>
  <c r="M94" i="4"/>
  <c r="BB94" i="4"/>
  <c r="BC94" i="4"/>
  <c r="O94" i="4"/>
  <c r="Q94" i="4"/>
  <c r="N94" i="4"/>
  <c r="BD94" i="4"/>
  <c r="P94" i="4"/>
  <c r="E86" i="29"/>
  <c r="Q86" i="29"/>
  <c r="R86" i="29"/>
  <c r="S86" i="29"/>
  <c r="T86" i="29"/>
  <c r="G86" i="29"/>
  <c r="U86" i="29"/>
  <c r="AE93" i="4"/>
  <c r="AJ93" i="4" s="1"/>
  <c r="Y93" i="4"/>
  <c r="AG93" i="4" s="1"/>
  <c r="AC93" i="4"/>
  <c r="BG93" i="4" s="1"/>
  <c r="AF93" i="4"/>
  <c r="AD93" i="4"/>
  <c r="AI93" i="4" s="1"/>
  <c r="Z93" i="4"/>
  <c r="AH93" i="4" s="1"/>
  <c r="V83" i="29" l="1"/>
  <c r="W83" i="29" s="1"/>
  <c r="P83" i="29"/>
  <c r="K84" i="29"/>
  <c r="N84" i="29" s="1"/>
  <c r="BF90" i="4"/>
  <c r="AX91" i="4"/>
  <c r="AW94" i="4"/>
  <c r="BE91" i="4"/>
  <c r="AO92" i="4"/>
  <c r="J86" i="29"/>
  <c r="Y86" i="29" s="1"/>
  <c r="I86" i="29"/>
  <c r="BO95" i="4"/>
  <c r="BN95" i="4"/>
  <c r="AI88" i="29"/>
  <c r="B88" i="29"/>
  <c r="AD89" i="29"/>
  <c r="AE87" i="29"/>
  <c r="AF87" i="29"/>
  <c r="AK93" i="4"/>
  <c r="AN93" i="4"/>
  <c r="BH93" i="4"/>
  <c r="AV92" i="4"/>
  <c r="AX92" i="4" s="1"/>
  <c r="BP96" i="4"/>
  <c r="B96" i="4"/>
  <c r="BM97" i="4"/>
  <c r="Z85" i="29"/>
  <c r="AE94" i="4"/>
  <c r="AJ94" i="4" s="1"/>
  <c r="Y94" i="4"/>
  <c r="AG94" i="4" s="1"/>
  <c r="AF94" i="4"/>
  <c r="Z94" i="4"/>
  <c r="AH94" i="4" s="1"/>
  <c r="AD94" i="4"/>
  <c r="AI94" i="4" s="1"/>
  <c r="AC94" i="4"/>
  <c r="BG94" i="4" s="1"/>
  <c r="O86" i="29"/>
  <c r="BD95" i="4"/>
  <c r="BA95" i="4"/>
  <c r="K95" i="4"/>
  <c r="AY95" i="4"/>
  <c r="M95" i="4"/>
  <c r="BB95" i="4"/>
  <c r="AZ95" i="4"/>
  <c r="N95" i="4"/>
  <c r="Q95" i="4"/>
  <c r="O95" i="4"/>
  <c r="BC95" i="4"/>
  <c r="R95" i="4"/>
  <c r="F95" i="4"/>
  <c r="P95" i="4"/>
  <c r="AM95" i="4"/>
  <c r="G87" i="29"/>
  <c r="U87" i="29"/>
  <c r="E87" i="29"/>
  <c r="R87" i="29"/>
  <c r="Q87" i="29"/>
  <c r="S87" i="29"/>
  <c r="T87" i="29"/>
  <c r="K86" i="29" l="1"/>
  <c r="N86" i="29" s="1"/>
  <c r="K85" i="29"/>
  <c r="N85" i="29" s="1"/>
  <c r="P84" i="29"/>
  <c r="V84" i="29"/>
  <c r="W84" i="29" s="1"/>
  <c r="BF91" i="4"/>
  <c r="AO93" i="4"/>
  <c r="O87" i="29"/>
  <c r="BO96" i="4"/>
  <c r="BN96" i="4"/>
  <c r="AE88" i="29"/>
  <c r="AF88" i="29"/>
  <c r="Z86" i="29"/>
  <c r="BH94" i="4"/>
  <c r="BE92" i="4"/>
  <c r="BF92" i="4" s="1"/>
  <c r="AK94" i="4"/>
  <c r="AN94" i="4"/>
  <c r="BP97" i="4"/>
  <c r="BM98" i="4"/>
  <c r="B97" i="4"/>
  <c r="AV93" i="4"/>
  <c r="J87" i="29"/>
  <c r="Y87" i="29" s="1"/>
  <c r="I87" i="29"/>
  <c r="AI89" i="29"/>
  <c r="B89" i="29"/>
  <c r="AD90" i="29"/>
  <c r="AD95" i="4"/>
  <c r="AI95" i="4" s="1"/>
  <c r="AE95" i="4"/>
  <c r="AJ95" i="4" s="1"/>
  <c r="AC95" i="4"/>
  <c r="BG95" i="4" s="1"/>
  <c r="Z95" i="4"/>
  <c r="AH95" i="4" s="1"/>
  <c r="Y95" i="4"/>
  <c r="AG95" i="4" s="1"/>
  <c r="AF95" i="4"/>
  <c r="AW95" i="4"/>
  <c r="BA96" i="4"/>
  <c r="M96" i="4"/>
  <c r="P96" i="4"/>
  <c r="O96" i="4"/>
  <c r="AZ96" i="4"/>
  <c r="BB96" i="4"/>
  <c r="R96" i="4"/>
  <c r="Q96" i="4"/>
  <c r="AM96" i="4"/>
  <c r="K96" i="4"/>
  <c r="F96" i="4"/>
  <c r="BD96" i="4"/>
  <c r="AY96" i="4"/>
  <c r="BC96" i="4"/>
  <c r="N96" i="4"/>
  <c r="R88" i="29"/>
  <c r="T88" i="29"/>
  <c r="S88" i="29"/>
  <c r="Q88" i="29"/>
  <c r="G88" i="29"/>
  <c r="U88" i="29"/>
  <c r="E88" i="29"/>
  <c r="V86" i="29" l="1"/>
  <c r="W86" i="29" s="1"/>
  <c r="P86" i="29"/>
  <c r="K87" i="29"/>
  <c r="N87" i="29" s="1"/>
  <c r="P85" i="29"/>
  <c r="V85" i="29"/>
  <c r="W85" i="29" s="1"/>
  <c r="AX93" i="4"/>
  <c r="O88" i="29"/>
  <c r="AO94" i="4"/>
  <c r="BH95" i="4"/>
  <c r="AV94" i="4"/>
  <c r="AW96" i="4"/>
  <c r="BO97" i="4"/>
  <c r="BN97" i="4"/>
  <c r="AI90" i="29"/>
  <c r="B90" i="29"/>
  <c r="AD91" i="29"/>
  <c r="J88" i="29"/>
  <c r="Y88" i="29" s="1"/>
  <c r="I88" i="29"/>
  <c r="R89" i="29"/>
  <c r="U89" i="29"/>
  <c r="S89" i="29"/>
  <c r="E89" i="29"/>
  <c r="Q89" i="29"/>
  <c r="G89" i="29"/>
  <c r="T89" i="29"/>
  <c r="O97" i="4"/>
  <c r="AZ97" i="4"/>
  <c r="AY97" i="4"/>
  <c r="BD97" i="4"/>
  <c r="R97" i="4"/>
  <c r="N97" i="4"/>
  <c r="BB97" i="4"/>
  <c r="M97" i="4"/>
  <c r="Q97" i="4"/>
  <c r="P97" i="4"/>
  <c r="AM97" i="4"/>
  <c r="BC97" i="4"/>
  <c r="BA97" i="4"/>
  <c r="K97" i="4"/>
  <c r="F97" i="4"/>
  <c r="Z87" i="29"/>
  <c r="AK95" i="4"/>
  <c r="AN95" i="4"/>
  <c r="AE89" i="29"/>
  <c r="AF89" i="29"/>
  <c r="BE93" i="4"/>
  <c r="BP98" i="4"/>
  <c r="B98" i="4"/>
  <c r="BM99" i="4"/>
  <c r="AE96" i="4"/>
  <c r="AJ96" i="4" s="1"/>
  <c r="Z96" i="4"/>
  <c r="AH96" i="4" s="1"/>
  <c r="AC96" i="4"/>
  <c r="BG96" i="4" s="1"/>
  <c r="AF96" i="4"/>
  <c r="Y96" i="4"/>
  <c r="AG96" i="4" s="1"/>
  <c r="AD96" i="4"/>
  <c r="AI96" i="4" s="1"/>
  <c r="V87" i="29" l="1"/>
  <c r="W87" i="29" s="1"/>
  <c r="P87" i="29"/>
  <c r="K88" i="29"/>
  <c r="N88" i="29" s="1"/>
  <c r="BF93" i="4"/>
  <c r="BE94" i="4"/>
  <c r="AX94" i="4"/>
  <c r="Z88" i="29"/>
  <c r="BH96" i="4"/>
  <c r="AV95" i="4"/>
  <c r="BP99" i="4"/>
  <c r="B99" i="4"/>
  <c r="BM100" i="4"/>
  <c r="AK96" i="4"/>
  <c r="AN96" i="4"/>
  <c r="K98" i="4"/>
  <c r="F98" i="4"/>
  <c r="R98" i="4"/>
  <c r="BB98" i="4"/>
  <c r="BC98" i="4"/>
  <c r="BD98" i="4"/>
  <c r="AY98" i="4"/>
  <c r="M98" i="4"/>
  <c r="AZ98" i="4"/>
  <c r="O98" i="4"/>
  <c r="BA98" i="4"/>
  <c r="Q98" i="4"/>
  <c r="AM98" i="4"/>
  <c r="P98" i="4"/>
  <c r="N98" i="4"/>
  <c r="G90" i="29"/>
  <c r="T90" i="29"/>
  <c r="E90" i="29"/>
  <c r="R90" i="29"/>
  <c r="S90" i="29"/>
  <c r="U90" i="29"/>
  <c r="Q90" i="29"/>
  <c r="J89" i="29"/>
  <c r="Y89" i="29" s="1"/>
  <c r="I89" i="29"/>
  <c r="K89" i="29" s="1"/>
  <c r="N89" i="29" s="1"/>
  <c r="BO98" i="4"/>
  <c r="BN98" i="4"/>
  <c r="AW97" i="4"/>
  <c r="AE90" i="29"/>
  <c r="AF90" i="29"/>
  <c r="AO95" i="4"/>
  <c r="O89" i="29"/>
  <c r="AI91" i="29"/>
  <c r="B91" i="29"/>
  <c r="AD92" i="29"/>
  <c r="AF97" i="4"/>
  <c r="AC97" i="4"/>
  <c r="BG97" i="4" s="1"/>
  <c r="Z97" i="4"/>
  <c r="AH97" i="4" s="1"/>
  <c r="AE97" i="4"/>
  <c r="AJ97" i="4" s="1"/>
  <c r="Y97" i="4"/>
  <c r="AG97" i="4" s="1"/>
  <c r="AD97" i="4"/>
  <c r="AI97" i="4" s="1"/>
  <c r="M3" i="7" l="1"/>
  <c r="M6" i="7" s="1"/>
  <c r="V88" i="29"/>
  <c r="W88" i="29" s="1"/>
  <c r="P88" i="29"/>
  <c r="BF94" i="4"/>
  <c r="BE95" i="4"/>
  <c r="BF95" i="4" s="1"/>
  <c r="AX95" i="4"/>
  <c r="AO96" i="4"/>
  <c r="Z89" i="29"/>
  <c r="BH97" i="4"/>
  <c r="P89" i="29"/>
  <c r="V89" i="29"/>
  <c r="W89" i="29" s="1"/>
  <c r="AK97" i="4"/>
  <c r="AN97" i="4"/>
  <c r="AI92" i="29"/>
  <c r="AD93" i="29"/>
  <c r="B92" i="29"/>
  <c r="AE91" i="29"/>
  <c r="AF91" i="29"/>
  <c r="I90" i="29"/>
  <c r="J90" i="29"/>
  <c r="Y90" i="29" s="1"/>
  <c r="O90" i="29"/>
  <c r="AW98" i="4"/>
  <c r="BM101" i="4"/>
  <c r="BP100" i="4"/>
  <c r="B100" i="4"/>
  <c r="T91" i="29"/>
  <c r="E91" i="29"/>
  <c r="Q91" i="29"/>
  <c r="R91" i="29"/>
  <c r="S91" i="29"/>
  <c r="G91" i="29"/>
  <c r="U91" i="29"/>
  <c r="AC98" i="4"/>
  <c r="BG98" i="4" s="1"/>
  <c r="AF98" i="4"/>
  <c r="Y98" i="4"/>
  <c r="AG98" i="4" s="1"/>
  <c r="AD98" i="4"/>
  <c r="AI98" i="4" s="1"/>
  <c r="AE98" i="4"/>
  <c r="AJ98" i="4" s="1"/>
  <c r="Z98" i="4"/>
  <c r="AH98" i="4" s="1"/>
  <c r="N99" i="4"/>
  <c r="P99" i="4"/>
  <c r="O99" i="4"/>
  <c r="BD99" i="4"/>
  <c r="F99" i="4"/>
  <c r="BB99" i="4"/>
  <c r="BA99" i="4"/>
  <c r="K99" i="4"/>
  <c r="BC99" i="4"/>
  <c r="M99" i="4"/>
  <c r="AY99" i="4"/>
  <c r="AZ99" i="4"/>
  <c r="R99" i="4"/>
  <c r="Q99" i="4"/>
  <c r="AM99" i="4"/>
  <c r="K90" i="29"/>
  <c r="N90" i="29" s="1"/>
  <c r="AV96" i="4"/>
  <c r="BN99" i="4"/>
  <c r="BO99" i="4"/>
  <c r="AX96" i="4" l="1"/>
  <c r="Z90" i="29"/>
  <c r="AO97" i="4"/>
  <c r="AV97" i="4"/>
  <c r="AX97" i="4" s="1"/>
  <c r="BO100" i="4"/>
  <c r="BN100" i="4"/>
  <c r="AI93" i="29"/>
  <c r="AD94" i="29"/>
  <c r="B93" i="29"/>
  <c r="BE96" i="4"/>
  <c r="P90" i="29"/>
  <c r="V90" i="29"/>
  <c r="W90" i="29" s="1"/>
  <c r="BM102" i="4"/>
  <c r="B101" i="4"/>
  <c r="BP101" i="4"/>
  <c r="AE92" i="29"/>
  <c r="AF92" i="29"/>
  <c r="AE99" i="4"/>
  <c r="AJ99" i="4" s="1"/>
  <c r="AF99" i="4"/>
  <c r="AD99" i="4"/>
  <c r="AI99" i="4" s="1"/>
  <c r="Y99" i="4"/>
  <c r="AG99" i="4" s="1"/>
  <c r="Z99" i="4"/>
  <c r="AH99" i="4" s="1"/>
  <c r="AC99" i="4"/>
  <c r="BG99" i="4" s="1"/>
  <c r="O91" i="29"/>
  <c r="J91" i="29"/>
  <c r="Y91" i="29" s="1"/>
  <c r="I91" i="29"/>
  <c r="K91" i="29" s="1"/>
  <c r="N91" i="29" s="1"/>
  <c r="AW99" i="4"/>
  <c r="BH98" i="4"/>
  <c r="AK98" i="4"/>
  <c r="AN98" i="4"/>
  <c r="M100" i="4"/>
  <c r="Q100" i="4"/>
  <c r="O100" i="4"/>
  <c r="BD100" i="4"/>
  <c r="BB100" i="4"/>
  <c r="N100" i="4"/>
  <c r="AZ100" i="4"/>
  <c r="BC100" i="4"/>
  <c r="P100" i="4"/>
  <c r="R100" i="4"/>
  <c r="AM100" i="4"/>
  <c r="F100" i="4"/>
  <c r="BA100" i="4"/>
  <c r="AY100" i="4"/>
  <c r="K100" i="4"/>
  <c r="G92" i="29"/>
  <c r="R92" i="29"/>
  <c r="U92" i="29"/>
  <c r="T92" i="29"/>
  <c r="E92" i="29"/>
  <c r="S92" i="29"/>
  <c r="Q92" i="29"/>
  <c r="BF96" i="4" l="1"/>
  <c r="BE97" i="4"/>
  <c r="BF97" i="4" s="1"/>
  <c r="AO98" i="4"/>
  <c r="P91" i="29"/>
  <c r="V91" i="29"/>
  <c r="W91" i="29" s="1"/>
  <c r="BB101" i="4"/>
  <c r="AZ101" i="4"/>
  <c r="BA101" i="4"/>
  <c r="BD101" i="4"/>
  <c r="R101" i="4"/>
  <c r="AM101" i="4"/>
  <c r="N101" i="4"/>
  <c r="P101" i="4"/>
  <c r="K101" i="4"/>
  <c r="F101" i="4"/>
  <c r="Q101" i="4"/>
  <c r="AY101" i="4"/>
  <c r="M101" i="4"/>
  <c r="BC101" i="4"/>
  <c r="O101" i="4"/>
  <c r="AE93" i="29"/>
  <c r="AF93" i="29"/>
  <c r="Z100" i="4"/>
  <c r="AH100" i="4" s="1"/>
  <c r="Y100" i="4"/>
  <c r="AG100" i="4" s="1"/>
  <c r="AE100" i="4"/>
  <c r="AJ100" i="4" s="1"/>
  <c r="AC100" i="4"/>
  <c r="BG100" i="4" s="1"/>
  <c r="AF100" i="4"/>
  <c r="AD100" i="4"/>
  <c r="AI100" i="4" s="1"/>
  <c r="Z91" i="29"/>
  <c r="BM103" i="4"/>
  <c r="BP102" i="4"/>
  <c r="B102" i="4"/>
  <c r="AV98" i="4"/>
  <c r="AX98" i="4" s="1"/>
  <c r="AK99" i="4"/>
  <c r="AN99" i="4"/>
  <c r="Q93" i="29"/>
  <c r="S93" i="29"/>
  <c r="U93" i="29"/>
  <c r="T93" i="29"/>
  <c r="G93" i="29"/>
  <c r="R93" i="29"/>
  <c r="E93" i="29"/>
  <c r="O92" i="29"/>
  <c r="AW100" i="4"/>
  <c r="BH99" i="4"/>
  <c r="J92" i="29"/>
  <c r="Y92" i="29" s="1"/>
  <c r="I92" i="29"/>
  <c r="K92" i="29" s="1"/>
  <c r="N92" i="29" s="1"/>
  <c r="BN101" i="4"/>
  <c r="BO101" i="4"/>
  <c r="AI94" i="29"/>
  <c r="AD95" i="29"/>
  <c r="B94" i="29"/>
  <c r="BH100" i="4" l="1"/>
  <c r="AO99" i="4"/>
  <c r="AV99" i="4"/>
  <c r="P92" i="29"/>
  <c r="V92" i="29"/>
  <c r="W92" i="29" s="1"/>
  <c r="O93" i="29"/>
  <c r="B103" i="4"/>
  <c r="BP103" i="4"/>
  <c r="BM104" i="4"/>
  <c r="R94" i="29"/>
  <c r="E94" i="29"/>
  <c r="S94" i="29"/>
  <c r="T94" i="29"/>
  <c r="G94" i="29"/>
  <c r="U94" i="29"/>
  <c r="Q94" i="29"/>
  <c r="AI95" i="29"/>
  <c r="B95" i="29"/>
  <c r="AD96" i="29"/>
  <c r="AK100" i="4"/>
  <c r="AN100" i="4"/>
  <c r="F102" i="4"/>
  <c r="AZ102" i="4"/>
  <c r="BC102" i="4"/>
  <c r="AY102" i="4"/>
  <c r="O102" i="4"/>
  <c r="R102" i="4"/>
  <c r="P102" i="4"/>
  <c r="N102" i="4"/>
  <c r="BA102" i="4"/>
  <c r="M102" i="4"/>
  <c r="BB102" i="4"/>
  <c r="BD102" i="4"/>
  <c r="Q102" i="4"/>
  <c r="K102" i="4"/>
  <c r="AM102" i="4"/>
  <c r="AW101" i="4"/>
  <c r="AF94" i="29"/>
  <c r="AE94" i="29"/>
  <c r="AF101" i="4"/>
  <c r="AE101" i="4"/>
  <c r="AJ101" i="4" s="1"/>
  <c r="AD101" i="4"/>
  <c r="AI101" i="4" s="1"/>
  <c r="Z101" i="4"/>
  <c r="AH101" i="4" s="1"/>
  <c r="AC101" i="4"/>
  <c r="BG101" i="4" s="1"/>
  <c r="Y101" i="4"/>
  <c r="AG101" i="4" s="1"/>
  <c r="Z92" i="29"/>
  <c r="BE98" i="4"/>
  <c r="BO102" i="4"/>
  <c r="BN102" i="4"/>
  <c r="I93" i="29"/>
  <c r="K93" i="29" s="1"/>
  <c r="N93" i="29" s="1"/>
  <c r="J93" i="29"/>
  <c r="Y93" i="29" s="1"/>
  <c r="BF98" i="4" l="1"/>
  <c r="BE99" i="4"/>
  <c r="AX99" i="4"/>
  <c r="AO100" i="4"/>
  <c r="AW102" i="4"/>
  <c r="P93" i="29"/>
  <c r="V93" i="29"/>
  <c r="W93" i="29" s="1"/>
  <c r="AK101" i="4"/>
  <c r="AN101" i="4"/>
  <c r="Z93" i="29"/>
  <c r="AI96" i="29"/>
  <c r="AD97" i="29"/>
  <c r="B96" i="29"/>
  <c r="O94" i="29"/>
  <c r="BP104" i="4"/>
  <c r="BM105" i="4"/>
  <c r="BM109" i="4" s="1"/>
  <c r="B104" i="4"/>
  <c r="E95" i="29"/>
  <c r="U95" i="29"/>
  <c r="S95" i="29"/>
  <c r="Q95" i="29"/>
  <c r="T95" i="29"/>
  <c r="R95" i="29"/>
  <c r="G95" i="29"/>
  <c r="BN103" i="4"/>
  <c r="BO103" i="4"/>
  <c r="BH101" i="4"/>
  <c r="J94" i="29"/>
  <c r="Y94" i="29" s="1"/>
  <c r="I94" i="29"/>
  <c r="K94" i="29" s="1"/>
  <c r="N94" i="29" s="1"/>
  <c r="AD102" i="4"/>
  <c r="AI102" i="4" s="1"/>
  <c r="AF102" i="4"/>
  <c r="Y102" i="4"/>
  <c r="AG102" i="4" s="1"/>
  <c r="AE102" i="4"/>
  <c r="AJ102" i="4" s="1"/>
  <c r="AC102" i="4"/>
  <c r="BG102" i="4" s="1"/>
  <c r="Z102" i="4"/>
  <c r="AH102" i="4" s="1"/>
  <c r="AV100" i="4"/>
  <c r="AX100" i="4" s="1"/>
  <c r="AF95" i="29"/>
  <c r="AE95" i="29"/>
  <c r="Q103" i="4"/>
  <c r="R103" i="4"/>
  <c r="P103" i="4"/>
  <c r="BA103" i="4"/>
  <c r="K103" i="4"/>
  <c r="F103" i="4"/>
  <c r="BC103" i="4"/>
  <c r="BB103" i="4"/>
  <c r="AZ103" i="4"/>
  <c r="AY103" i="4"/>
  <c r="M103" i="4"/>
  <c r="O103" i="4"/>
  <c r="BD103" i="4"/>
  <c r="N103" i="4"/>
  <c r="AM103" i="4"/>
  <c r="BF99" i="4" l="1"/>
  <c r="BP109" i="4"/>
  <c r="B109" i="4"/>
  <c r="AV101" i="4"/>
  <c r="AX101" i="4" s="1"/>
  <c r="AW103" i="4"/>
  <c r="AO101" i="4"/>
  <c r="P94" i="29"/>
  <c r="V94" i="29"/>
  <c r="W94" i="29" s="1"/>
  <c r="O95" i="29"/>
  <c r="Z94" i="29"/>
  <c r="G96" i="29"/>
  <c r="S96" i="29"/>
  <c r="Q96" i="29"/>
  <c r="T96" i="29"/>
  <c r="E96" i="29"/>
  <c r="U96" i="29"/>
  <c r="R96" i="29"/>
  <c r="AZ104" i="4"/>
  <c r="N104" i="4"/>
  <c r="BA104" i="4"/>
  <c r="BC104" i="4"/>
  <c r="M104" i="4"/>
  <c r="R104" i="4"/>
  <c r="O104" i="4"/>
  <c r="BB104" i="4"/>
  <c r="AM104" i="4"/>
  <c r="Q104" i="4"/>
  <c r="P104" i="4"/>
  <c r="F104" i="4"/>
  <c r="BD104" i="4"/>
  <c r="AY104" i="4"/>
  <c r="K104" i="4"/>
  <c r="AI97" i="29"/>
  <c r="B97" i="29"/>
  <c r="AD98" i="29"/>
  <c r="BE100" i="4"/>
  <c r="AC103" i="4"/>
  <c r="BG103" i="4" s="1"/>
  <c r="AE103" i="4"/>
  <c r="AJ103" i="4" s="1"/>
  <c r="Y103" i="4"/>
  <c r="AG103" i="4" s="1"/>
  <c r="Z103" i="4"/>
  <c r="AH103" i="4" s="1"/>
  <c r="AF103" i="4"/>
  <c r="AD103" i="4"/>
  <c r="AI103" i="4" s="1"/>
  <c r="B105" i="4"/>
  <c r="BP105" i="4"/>
  <c r="BM106" i="4"/>
  <c r="BM110" i="4" s="1"/>
  <c r="AE96" i="29"/>
  <c r="AF96" i="29"/>
  <c r="J95" i="29"/>
  <c r="Y95" i="29" s="1"/>
  <c r="I95" i="29"/>
  <c r="K95" i="29" s="1"/>
  <c r="N95" i="29" s="1"/>
  <c r="BH102" i="4"/>
  <c r="AK102" i="4"/>
  <c r="AN102" i="4"/>
  <c r="BN104" i="4"/>
  <c r="BO104" i="4"/>
  <c r="BF100" i="4" l="1"/>
  <c r="BB109" i="4"/>
  <c r="O109" i="4"/>
  <c r="F109" i="4"/>
  <c r="BA109" i="4"/>
  <c r="AM109" i="4"/>
  <c r="R109" i="4"/>
  <c r="N109" i="4"/>
  <c r="BD109" i="4"/>
  <c r="AZ109" i="4"/>
  <c r="Q109" i="4"/>
  <c r="M109" i="4"/>
  <c r="BC109" i="4"/>
  <c r="AY109" i="4"/>
  <c r="P109" i="4"/>
  <c r="K109" i="4"/>
  <c r="BN109" i="4"/>
  <c r="BO109" i="4"/>
  <c r="B110" i="4"/>
  <c r="BP110" i="4"/>
  <c r="BE101" i="4"/>
  <c r="BF101" i="4" s="1"/>
  <c r="AO102" i="4"/>
  <c r="BH103" i="4"/>
  <c r="P95" i="29"/>
  <c r="V95" i="29"/>
  <c r="W95" i="29" s="1"/>
  <c r="K105" i="4"/>
  <c r="F105" i="4"/>
  <c r="BC105" i="4"/>
  <c r="BB105" i="4"/>
  <c r="AY105" i="4"/>
  <c r="BD105" i="4"/>
  <c r="O105" i="4"/>
  <c r="Q105" i="4"/>
  <c r="AZ105" i="4"/>
  <c r="M105" i="4"/>
  <c r="R105" i="4"/>
  <c r="P105" i="4"/>
  <c r="AM105" i="4"/>
  <c r="BA105" i="4"/>
  <c r="N105" i="4"/>
  <c r="S97" i="29"/>
  <c r="R97" i="29"/>
  <c r="G97" i="29"/>
  <c r="T97" i="29"/>
  <c r="E97" i="29"/>
  <c r="U97" i="29"/>
  <c r="Q97" i="29"/>
  <c r="AV102" i="4"/>
  <c r="AX102" i="4" s="1"/>
  <c r="Z95" i="29"/>
  <c r="AE97" i="29"/>
  <c r="AF97" i="29"/>
  <c r="BM107" i="4"/>
  <c r="BM111" i="4" s="1"/>
  <c r="B106" i="4"/>
  <c r="BP106" i="4"/>
  <c r="AK103" i="4"/>
  <c r="AN103" i="4"/>
  <c r="AW104" i="4"/>
  <c r="O96" i="29"/>
  <c r="AF104" i="4"/>
  <c r="AD104" i="4"/>
  <c r="AI104" i="4" s="1"/>
  <c r="Y104" i="4"/>
  <c r="AG104" i="4" s="1"/>
  <c r="AE104" i="4"/>
  <c r="AJ104" i="4" s="1"/>
  <c r="AC104" i="4"/>
  <c r="BG104" i="4" s="1"/>
  <c r="Z104" i="4"/>
  <c r="AH104" i="4" s="1"/>
  <c r="I96" i="29"/>
  <c r="K96" i="29" s="1"/>
  <c r="N96" i="29" s="1"/>
  <c r="J96" i="29"/>
  <c r="Y96" i="29" s="1"/>
  <c r="BN105" i="4"/>
  <c r="BO105" i="4"/>
  <c r="AI98" i="29"/>
  <c r="AD99" i="29"/>
  <c r="B98" i="29"/>
  <c r="AE109" i="4" l="1"/>
  <c r="AJ109" i="4" s="1"/>
  <c r="Y109" i="4"/>
  <c r="AG109" i="4" s="1"/>
  <c r="AD109" i="4"/>
  <c r="AI109" i="4" s="1"/>
  <c r="AC109" i="4"/>
  <c r="BG109" i="4" s="1"/>
  <c r="AF109" i="4"/>
  <c r="Z109" i="4"/>
  <c r="AH109" i="4" s="1"/>
  <c r="AW109" i="4"/>
  <c r="BO110" i="4"/>
  <c r="BN110" i="4"/>
  <c r="BC110" i="4"/>
  <c r="AY110" i="4"/>
  <c r="P110" i="4"/>
  <c r="K110" i="4"/>
  <c r="BB110" i="4"/>
  <c r="O110" i="4"/>
  <c r="F110" i="4"/>
  <c r="BD110" i="4"/>
  <c r="AZ110" i="4"/>
  <c r="Q110" i="4"/>
  <c r="M110" i="4"/>
  <c r="BA110" i="4"/>
  <c r="AM110" i="4"/>
  <c r="R110" i="4"/>
  <c r="N110" i="4"/>
  <c r="B111" i="4"/>
  <c r="BP111" i="4"/>
  <c r="O97" i="29"/>
  <c r="BH104" i="4"/>
  <c r="AV103" i="4"/>
  <c r="V96" i="29"/>
  <c r="W96" i="29" s="1"/>
  <c r="P96" i="29"/>
  <c r="AW105" i="4"/>
  <c r="AK104" i="4"/>
  <c r="AN104" i="4"/>
  <c r="P106" i="4"/>
  <c r="R106" i="4"/>
  <c r="N106" i="4"/>
  <c r="Q106" i="4"/>
  <c r="K106" i="4"/>
  <c r="F106" i="4"/>
  <c r="AM106" i="4"/>
  <c r="BC106" i="4"/>
  <c r="BD106" i="4"/>
  <c r="AY106" i="4"/>
  <c r="BB106" i="4"/>
  <c r="BA106" i="4"/>
  <c r="O106" i="4"/>
  <c r="AZ106" i="4"/>
  <c r="M106" i="4"/>
  <c r="G98" i="29"/>
  <c r="S98" i="29"/>
  <c r="T98" i="29"/>
  <c r="Q98" i="29"/>
  <c r="E98" i="29"/>
  <c r="U98" i="29"/>
  <c r="R98" i="29"/>
  <c r="Y105" i="4"/>
  <c r="AG105" i="4" s="1"/>
  <c r="Z105" i="4"/>
  <c r="AH105" i="4" s="1"/>
  <c r="AE105" i="4"/>
  <c r="AJ105" i="4" s="1"/>
  <c r="AD105" i="4"/>
  <c r="AI105" i="4" s="1"/>
  <c r="AF105" i="4"/>
  <c r="AC105" i="4"/>
  <c r="BG105" i="4" s="1"/>
  <c r="BM108" i="4"/>
  <c r="B107" i="4"/>
  <c r="BP107" i="4"/>
  <c r="I97" i="29"/>
  <c r="K97" i="29" s="1"/>
  <c r="N97" i="29" s="1"/>
  <c r="J97" i="29"/>
  <c r="Y97" i="29" s="1"/>
  <c r="AE98" i="29"/>
  <c r="AF98" i="29"/>
  <c r="BN106" i="4"/>
  <c r="BO106" i="4"/>
  <c r="AO103" i="4"/>
  <c r="BE102" i="4"/>
  <c r="BF102" i="4" s="1"/>
  <c r="AI99" i="29"/>
  <c r="B99" i="29"/>
  <c r="AD100" i="29"/>
  <c r="Z96" i="29"/>
  <c r="AX103" i="4" l="1"/>
  <c r="Z97" i="29"/>
  <c r="BH109" i="4"/>
  <c r="AN109" i="4"/>
  <c r="AK109" i="4"/>
  <c r="AW110" i="4"/>
  <c r="AF110" i="4"/>
  <c r="AK110" i="4" s="1"/>
  <c r="Z110" i="4"/>
  <c r="AH110" i="4" s="1"/>
  <c r="AE110" i="4"/>
  <c r="AJ110" i="4" s="1"/>
  <c r="Y110" i="4"/>
  <c r="AG110" i="4" s="1"/>
  <c r="AC110" i="4"/>
  <c r="BG110" i="4" s="1"/>
  <c r="AD110" i="4"/>
  <c r="AI110" i="4" s="1"/>
  <c r="BO111" i="4"/>
  <c r="BN111" i="4"/>
  <c r="BC111" i="4"/>
  <c r="AY111" i="4"/>
  <c r="P111" i="4"/>
  <c r="K111" i="4"/>
  <c r="M111" i="4"/>
  <c r="BB111" i="4"/>
  <c r="O111" i="4"/>
  <c r="F111" i="4"/>
  <c r="BD111" i="4"/>
  <c r="Q111" i="4"/>
  <c r="BA111" i="4"/>
  <c r="AM111" i="4"/>
  <c r="R111" i="4"/>
  <c r="N111" i="4"/>
  <c r="AZ111" i="4"/>
  <c r="AV104" i="4"/>
  <c r="BE103" i="4"/>
  <c r="BF103" i="4" s="1"/>
  <c r="V97" i="29"/>
  <c r="W97" i="29" s="1"/>
  <c r="P97" i="29"/>
  <c r="AE99" i="29"/>
  <c r="AF99" i="29"/>
  <c r="I98" i="29"/>
  <c r="K98" i="29" s="1"/>
  <c r="N98" i="29" s="1"/>
  <c r="J98" i="29"/>
  <c r="Y98" i="29" s="1"/>
  <c r="BA107" i="4"/>
  <c r="K107" i="4"/>
  <c r="F107" i="4"/>
  <c r="BC107" i="4"/>
  <c r="P107" i="4"/>
  <c r="R107" i="4"/>
  <c r="Q107" i="4"/>
  <c r="AZ107" i="4"/>
  <c r="BD107" i="4"/>
  <c r="BB107" i="4"/>
  <c r="N107" i="4"/>
  <c r="O107" i="4"/>
  <c r="AY107" i="4"/>
  <c r="M107" i="4"/>
  <c r="AM107" i="4"/>
  <c r="BH105" i="4"/>
  <c r="AI100" i="29"/>
  <c r="AD101" i="29"/>
  <c r="B100" i="29"/>
  <c r="Y106" i="4"/>
  <c r="AG106" i="4" s="1"/>
  <c r="AC106" i="4"/>
  <c r="BG106" i="4" s="1"/>
  <c r="Z106" i="4"/>
  <c r="AH106" i="4" s="1"/>
  <c r="AD106" i="4"/>
  <c r="AI106" i="4" s="1"/>
  <c r="AF106" i="4"/>
  <c r="AE106" i="4"/>
  <c r="AJ106" i="4" s="1"/>
  <c r="G99" i="29"/>
  <c r="T99" i="29"/>
  <c r="U99" i="29"/>
  <c r="E99" i="29"/>
  <c r="S99" i="29"/>
  <c r="Q99" i="29"/>
  <c r="R99" i="29"/>
  <c r="BN107" i="4"/>
  <c r="BO107" i="4"/>
  <c r="BP108" i="4"/>
  <c r="B108" i="4"/>
  <c r="BM112" i="4"/>
  <c r="AK105" i="4"/>
  <c r="AN105" i="4"/>
  <c r="O98" i="29"/>
  <c r="AW106" i="4"/>
  <c r="AO104" i="4"/>
  <c r="BE104" i="4" l="1"/>
  <c r="BF104" i="4" s="1"/>
  <c r="AX104" i="4"/>
  <c r="AO109" i="4"/>
  <c r="BH110" i="4"/>
  <c r="AN110" i="4"/>
  <c r="AO110" i="4" s="1"/>
  <c r="AV109" i="4"/>
  <c r="AW111" i="4"/>
  <c r="AF111" i="4"/>
  <c r="Z111" i="4"/>
  <c r="AH111" i="4" s="1"/>
  <c r="AC111" i="4"/>
  <c r="BG111" i="4" s="1"/>
  <c r="AE111" i="4"/>
  <c r="AJ111" i="4" s="1"/>
  <c r="Y111" i="4"/>
  <c r="AG111" i="4" s="1"/>
  <c r="AD111" i="4"/>
  <c r="AI111" i="4" s="1"/>
  <c r="BH106" i="4"/>
  <c r="AO105" i="4"/>
  <c r="BN108" i="4"/>
  <c r="BO108" i="4"/>
  <c r="AV105" i="4"/>
  <c r="AX105" i="4" s="1"/>
  <c r="R108" i="4"/>
  <c r="AY108" i="4"/>
  <c r="BC108" i="4"/>
  <c r="O108" i="4"/>
  <c r="BB108" i="4"/>
  <c r="N108" i="4"/>
  <c r="Q108" i="4"/>
  <c r="P108" i="4"/>
  <c r="M108" i="4"/>
  <c r="AM108" i="4"/>
  <c r="K108" i="4"/>
  <c r="F108" i="4"/>
  <c r="BA108" i="4"/>
  <c r="BD108" i="4"/>
  <c r="AZ108" i="4"/>
  <c r="AI101" i="29"/>
  <c r="AD102" i="29"/>
  <c r="B101" i="29"/>
  <c r="O99" i="29"/>
  <c r="AE100" i="29"/>
  <c r="AF100" i="29"/>
  <c r="Y107" i="4"/>
  <c r="AG107" i="4" s="1"/>
  <c r="AC107" i="4"/>
  <c r="BG107" i="4" s="1"/>
  <c r="AD107" i="4"/>
  <c r="AI107" i="4" s="1"/>
  <c r="AF107" i="4"/>
  <c r="Z107" i="4"/>
  <c r="AH107" i="4" s="1"/>
  <c r="AE107" i="4"/>
  <c r="AJ107" i="4" s="1"/>
  <c r="AK106" i="4"/>
  <c r="AN106" i="4"/>
  <c r="AW107" i="4"/>
  <c r="Z98" i="29"/>
  <c r="BM113" i="4"/>
  <c r="BP112" i="4"/>
  <c r="B112" i="4"/>
  <c r="P98" i="29"/>
  <c r="V98" i="29"/>
  <c r="W98" i="29" s="1"/>
  <c r="R100" i="29"/>
  <c r="Q100" i="29"/>
  <c r="T100" i="29"/>
  <c r="U100" i="29"/>
  <c r="G100" i="29"/>
  <c r="E100" i="29"/>
  <c r="S100" i="29"/>
  <c r="I99" i="29"/>
  <c r="K99" i="29" s="1"/>
  <c r="N99" i="29" s="1"/>
  <c r="J99" i="29"/>
  <c r="Y99" i="29" s="1"/>
  <c r="AX109" i="4" l="1"/>
  <c r="BH111" i="4"/>
  <c r="AN111" i="4"/>
  <c r="BE109" i="4"/>
  <c r="AK111" i="4"/>
  <c r="AV110" i="4"/>
  <c r="AX110" i="4" s="1"/>
  <c r="BH107" i="4"/>
  <c r="AV106" i="4"/>
  <c r="V99" i="29"/>
  <c r="W99" i="29" s="1"/>
  <c r="P99" i="29"/>
  <c r="BD112" i="4"/>
  <c r="M112" i="4"/>
  <c r="AM112" i="4"/>
  <c r="N112" i="4"/>
  <c r="P112" i="4"/>
  <c r="R112" i="4"/>
  <c r="Q112" i="4"/>
  <c r="K112" i="4"/>
  <c r="F112" i="4"/>
  <c r="AY112" i="4"/>
  <c r="BA112" i="4"/>
  <c r="BB112" i="4"/>
  <c r="AZ112" i="4"/>
  <c r="O112" i="4"/>
  <c r="BC112" i="4"/>
  <c r="J100" i="29"/>
  <c r="Y100" i="29" s="1"/>
  <c r="I100" i="29"/>
  <c r="K100" i="29" s="1"/>
  <c r="N100" i="29" s="1"/>
  <c r="E101" i="29"/>
  <c r="R101" i="29"/>
  <c r="Q101" i="29"/>
  <c r="G101" i="29"/>
  <c r="T101" i="29"/>
  <c r="S101" i="29"/>
  <c r="U101" i="29"/>
  <c r="O100" i="29"/>
  <c r="AO106" i="4"/>
  <c r="BN112" i="4"/>
  <c r="BO112" i="4"/>
  <c r="Z99" i="29"/>
  <c r="AI102" i="29"/>
  <c r="AD103" i="29"/>
  <c r="B102" i="29"/>
  <c r="BE105" i="4"/>
  <c r="BF105" i="4" s="1"/>
  <c r="Y108" i="4"/>
  <c r="AG108" i="4" s="1"/>
  <c r="AC108" i="4"/>
  <c r="BG108" i="4" s="1"/>
  <c r="AF108" i="4"/>
  <c r="Z108" i="4"/>
  <c r="AH108" i="4" s="1"/>
  <c r="AE108" i="4"/>
  <c r="AJ108" i="4" s="1"/>
  <c r="AD108" i="4"/>
  <c r="AI108" i="4" s="1"/>
  <c r="B113" i="4"/>
  <c r="BM114" i="4"/>
  <c r="BP113" i="4"/>
  <c r="AE101" i="29"/>
  <c r="AF101" i="29"/>
  <c r="AW108" i="4"/>
  <c r="AK107" i="4"/>
  <c r="AN107" i="4"/>
  <c r="BF109" i="4" l="1"/>
  <c r="BE106" i="4"/>
  <c r="BF106" i="4" s="1"/>
  <c r="AX106" i="4"/>
  <c r="AV111" i="4"/>
  <c r="BE110" i="4"/>
  <c r="BF110" i="4" s="1"/>
  <c r="AO111" i="4"/>
  <c r="O101" i="29"/>
  <c r="P100" i="29"/>
  <c r="V100" i="29"/>
  <c r="W100" i="29" s="1"/>
  <c r="AO107" i="4"/>
  <c r="AV107" i="4"/>
  <c r="AW112" i="4"/>
  <c r="AF102" i="29"/>
  <c r="AE102" i="29"/>
  <c r="Y112" i="4"/>
  <c r="AG112" i="4" s="1"/>
  <c r="Z112" i="4"/>
  <c r="AH112" i="4" s="1"/>
  <c r="AC112" i="4"/>
  <c r="BG112" i="4" s="1"/>
  <c r="AF112" i="4"/>
  <c r="AD112" i="4"/>
  <c r="AI112" i="4" s="1"/>
  <c r="AE112" i="4"/>
  <c r="AJ112" i="4" s="1"/>
  <c r="BO113" i="4"/>
  <c r="BN113" i="4"/>
  <c r="BH108" i="4"/>
  <c r="Q102" i="29"/>
  <c r="G102" i="29"/>
  <c r="U102" i="29"/>
  <c r="E102" i="29"/>
  <c r="R102" i="29"/>
  <c r="S102" i="29"/>
  <c r="T102" i="29"/>
  <c r="Z100" i="29"/>
  <c r="AZ113" i="4"/>
  <c r="BC113" i="4"/>
  <c r="BA113" i="4"/>
  <c r="BB113" i="4"/>
  <c r="M113" i="4"/>
  <c r="BD113" i="4"/>
  <c r="Q113" i="4"/>
  <c r="N113" i="4"/>
  <c r="K113" i="4"/>
  <c r="F113" i="4"/>
  <c r="AY113" i="4"/>
  <c r="O113" i="4"/>
  <c r="R113" i="4"/>
  <c r="P113" i="4"/>
  <c r="AM113" i="4"/>
  <c r="I101" i="29"/>
  <c r="K101" i="29" s="1"/>
  <c r="N101" i="29" s="1"/>
  <c r="J101" i="29"/>
  <c r="Y101" i="29" s="1"/>
  <c r="BM115" i="4"/>
  <c r="BP114" i="4"/>
  <c r="B114" i="4"/>
  <c r="AK108" i="4"/>
  <c r="AN108" i="4"/>
  <c r="AI103" i="29"/>
  <c r="AD104" i="29"/>
  <c r="B103" i="29"/>
  <c r="Z101" i="29" l="1"/>
  <c r="AX107" i="4"/>
  <c r="AX111" i="4"/>
  <c r="BE111" i="4"/>
  <c r="BE107" i="4"/>
  <c r="AV108" i="4"/>
  <c r="BH112" i="4"/>
  <c r="AW113" i="4"/>
  <c r="AO108" i="4"/>
  <c r="AE103" i="29"/>
  <c r="AF103" i="29"/>
  <c r="V101" i="29"/>
  <c r="W101" i="29" s="1"/>
  <c r="P101" i="29"/>
  <c r="R114" i="4"/>
  <c r="P114" i="4"/>
  <c r="AM114" i="4"/>
  <c r="Q114" i="4"/>
  <c r="AY114" i="4"/>
  <c r="BB114" i="4"/>
  <c r="AZ114" i="4"/>
  <c r="BD114" i="4"/>
  <c r="M114" i="4"/>
  <c r="N114" i="4"/>
  <c r="BC114" i="4"/>
  <c r="O114" i="4"/>
  <c r="K114" i="4"/>
  <c r="BA114" i="4"/>
  <c r="F114" i="4"/>
  <c r="T103" i="29"/>
  <c r="S103" i="29"/>
  <c r="G103" i="29"/>
  <c r="Q103" i="29"/>
  <c r="U103" i="29"/>
  <c r="R103" i="29"/>
  <c r="E103" i="29"/>
  <c r="BN114" i="4"/>
  <c r="BO114" i="4"/>
  <c r="AK112" i="4"/>
  <c r="AN112" i="4"/>
  <c r="O102" i="29"/>
  <c r="Y113" i="4"/>
  <c r="AG113" i="4" s="1"/>
  <c r="AF113" i="4"/>
  <c r="AE113" i="4"/>
  <c r="AJ113" i="4" s="1"/>
  <c r="AD113" i="4"/>
  <c r="AI113" i="4" s="1"/>
  <c r="Z113" i="4"/>
  <c r="AH113" i="4" s="1"/>
  <c r="AC113" i="4"/>
  <c r="BG113" i="4" s="1"/>
  <c r="I102" i="29"/>
  <c r="K102" i="29" s="1"/>
  <c r="N102" i="29" s="1"/>
  <c r="J102" i="29"/>
  <c r="Y102" i="29" s="1"/>
  <c r="AI104" i="29"/>
  <c r="AD105" i="29"/>
  <c r="B104" i="29"/>
  <c r="BM116" i="4"/>
  <c r="BP115" i="4"/>
  <c r="B115" i="4"/>
  <c r="AX108" i="4" l="1"/>
  <c r="BF111" i="4"/>
  <c r="BF107" i="4"/>
  <c r="BE108" i="4"/>
  <c r="AO112" i="4"/>
  <c r="AV112" i="4"/>
  <c r="V102" i="29"/>
  <c r="W102" i="29" s="1"/>
  <c r="P102" i="29"/>
  <c r="Z102" i="29"/>
  <c r="AE104" i="29"/>
  <c r="AF104" i="29"/>
  <c r="B116" i="4"/>
  <c r="BP116" i="4"/>
  <c r="BM117" i="4"/>
  <c r="AI105" i="29"/>
  <c r="B105" i="29"/>
  <c r="AD106" i="29"/>
  <c r="O103" i="29"/>
  <c r="BA115" i="4"/>
  <c r="Q115" i="4"/>
  <c r="AM115" i="4"/>
  <c r="O115" i="4"/>
  <c r="AY115" i="4"/>
  <c r="R115" i="4"/>
  <c r="F115" i="4"/>
  <c r="P115" i="4"/>
  <c r="K115" i="4"/>
  <c r="BD115" i="4"/>
  <c r="AZ115" i="4"/>
  <c r="BC115" i="4"/>
  <c r="M115" i="4"/>
  <c r="N115" i="4"/>
  <c r="BB115" i="4"/>
  <c r="AK113" i="4"/>
  <c r="AN113" i="4"/>
  <c r="BN115" i="4"/>
  <c r="BO115" i="4"/>
  <c r="G104" i="29"/>
  <c r="R104" i="29"/>
  <c r="E104" i="29"/>
  <c r="Q104" i="29"/>
  <c r="S104" i="29"/>
  <c r="U104" i="29"/>
  <c r="T104" i="29"/>
  <c r="BH113" i="4"/>
  <c r="Y114" i="4"/>
  <c r="AG114" i="4" s="1"/>
  <c r="Z114" i="4"/>
  <c r="AH114" i="4" s="1"/>
  <c r="AD114" i="4"/>
  <c r="AI114" i="4" s="1"/>
  <c r="AC114" i="4"/>
  <c r="BG114" i="4" s="1"/>
  <c r="AF114" i="4"/>
  <c r="AE114" i="4"/>
  <c r="AJ114" i="4" s="1"/>
  <c r="AW114" i="4"/>
  <c r="J103" i="29"/>
  <c r="Y103" i="29" s="1"/>
  <c r="I103" i="29"/>
  <c r="K103" i="29" s="1"/>
  <c r="N103" i="29" s="1"/>
  <c r="BF108" i="4" l="1"/>
  <c r="Z103" i="29"/>
  <c r="BE112" i="4"/>
  <c r="AX112" i="4"/>
  <c r="AV113" i="4"/>
  <c r="AX113" i="4" s="1"/>
  <c r="O104" i="29"/>
  <c r="AO113" i="4"/>
  <c r="V103" i="29"/>
  <c r="W103" i="29" s="1"/>
  <c r="P103" i="29"/>
  <c r="AE105" i="29"/>
  <c r="AF105" i="29"/>
  <c r="BP117" i="4"/>
  <c r="B117" i="4"/>
  <c r="BM118" i="4"/>
  <c r="AW115" i="4"/>
  <c r="AI106" i="29"/>
  <c r="AD107" i="29"/>
  <c r="B106" i="29"/>
  <c r="BO116" i="4"/>
  <c r="BN116" i="4"/>
  <c r="AK114" i="4"/>
  <c r="AN114" i="4"/>
  <c r="BH114" i="4"/>
  <c r="Z115" i="4"/>
  <c r="AH115" i="4" s="1"/>
  <c r="AD115" i="4"/>
  <c r="AI115" i="4" s="1"/>
  <c r="AF115" i="4"/>
  <c r="AC115" i="4"/>
  <c r="BG115" i="4" s="1"/>
  <c r="Y115" i="4"/>
  <c r="AG115" i="4" s="1"/>
  <c r="AE115" i="4"/>
  <c r="AJ115" i="4" s="1"/>
  <c r="S105" i="29"/>
  <c r="G105" i="29"/>
  <c r="E105" i="29"/>
  <c r="R105" i="29"/>
  <c r="T105" i="29"/>
  <c r="Q105" i="29"/>
  <c r="U105" i="29"/>
  <c r="BB116" i="4"/>
  <c r="M116" i="4"/>
  <c r="AM116" i="4"/>
  <c r="O116" i="4"/>
  <c r="P116" i="4"/>
  <c r="R116" i="4"/>
  <c r="Q116" i="4"/>
  <c r="K116" i="4"/>
  <c r="F116" i="4"/>
  <c r="BC116" i="4"/>
  <c r="BA116" i="4"/>
  <c r="AY116" i="4"/>
  <c r="BD116" i="4"/>
  <c r="N116" i="4"/>
  <c r="AZ116" i="4"/>
  <c r="J104" i="29"/>
  <c r="Y104" i="29" s="1"/>
  <c r="I104" i="29"/>
  <c r="K104" i="29" s="1"/>
  <c r="N104" i="29" s="1"/>
  <c r="Z104" i="29" l="1"/>
  <c r="BF112" i="4"/>
  <c r="BE113" i="4"/>
  <c r="BF113" i="4" s="1"/>
  <c r="BH115" i="4"/>
  <c r="AO114" i="4"/>
  <c r="V104" i="29"/>
  <c r="W104" i="29" s="1"/>
  <c r="P104" i="29"/>
  <c r="O105" i="29"/>
  <c r="BN117" i="4"/>
  <c r="BO117" i="4"/>
  <c r="AK115" i="4"/>
  <c r="AN115" i="4"/>
  <c r="AV114" i="4"/>
  <c r="Q106" i="29"/>
  <c r="U106" i="29"/>
  <c r="T106" i="29"/>
  <c r="G106" i="29"/>
  <c r="S106" i="29"/>
  <c r="R106" i="29"/>
  <c r="E106" i="29"/>
  <c r="AW116" i="4"/>
  <c r="AI107" i="29"/>
  <c r="B107" i="29"/>
  <c r="AD108" i="29"/>
  <c r="B118" i="4"/>
  <c r="BP118" i="4"/>
  <c r="BM119" i="4"/>
  <c r="AD116" i="4"/>
  <c r="AI116" i="4" s="1"/>
  <c r="Y116" i="4"/>
  <c r="AG116" i="4" s="1"/>
  <c r="Z116" i="4"/>
  <c r="AH116" i="4" s="1"/>
  <c r="AC116" i="4"/>
  <c r="BG116" i="4" s="1"/>
  <c r="AE116" i="4"/>
  <c r="AJ116" i="4" s="1"/>
  <c r="AF116" i="4"/>
  <c r="AF106" i="29"/>
  <c r="AE106" i="29"/>
  <c r="K117" i="4"/>
  <c r="F117" i="4"/>
  <c r="BB117" i="4"/>
  <c r="AY117" i="4"/>
  <c r="BC117" i="4"/>
  <c r="BD117" i="4"/>
  <c r="O117" i="4"/>
  <c r="BA117" i="4"/>
  <c r="P117" i="4"/>
  <c r="Q117" i="4"/>
  <c r="AM117" i="4"/>
  <c r="AZ117" i="4"/>
  <c r="M117" i="4"/>
  <c r="R117" i="4"/>
  <c r="N117" i="4"/>
  <c r="I105" i="29"/>
  <c r="K105" i="29" s="1"/>
  <c r="N105" i="29" s="1"/>
  <c r="J105" i="29"/>
  <c r="Y105" i="29" s="1"/>
  <c r="AX114" i="4" l="1"/>
  <c r="AV115" i="4"/>
  <c r="AO115" i="4"/>
  <c r="BH116" i="4"/>
  <c r="V105" i="29"/>
  <c r="W105" i="29" s="1"/>
  <c r="P105" i="29"/>
  <c r="AW117" i="4"/>
  <c r="AK116" i="4"/>
  <c r="AN116" i="4"/>
  <c r="BO118" i="4"/>
  <c r="BN118" i="4"/>
  <c r="BE114" i="4"/>
  <c r="Y117" i="4"/>
  <c r="AG117" i="4" s="1"/>
  <c r="Z117" i="4"/>
  <c r="AH117" i="4" s="1"/>
  <c r="AF117" i="4"/>
  <c r="AC117" i="4"/>
  <c r="BG117" i="4" s="1"/>
  <c r="AD117" i="4"/>
  <c r="AI117" i="4" s="1"/>
  <c r="AE117" i="4"/>
  <c r="AJ117" i="4" s="1"/>
  <c r="F118" i="4"/>
  <c r="Q118" i="4"/>
  <c r="N118" i="4"/>
  <c r="J118" i="4"/>
  <c r="AZ118" i="4"/>
  <c r="O118" i="4"/>
  <c r="BA118" i="4"/>
  <c r="BB118" i="4"/>
  <c r="BD118" i="4"/>
  <c r="P118" i="4"/>
  <c r="R118" i="4"/>
  <c r="AY118" i="4"/>
  <c r="M118" i="4"/>
  <c r="H118" i="4"/>
  <c r="K118" i="4"/>
  <c r="BC118" i="4"/>
  <c r="I118" i="4"/>
  <c r="AM118" i="4"/>
  <c r="AI108" i="29"/>
  <c r="AD109" i="29"/>
  <c r="B108" i="29"/>
  <c r="Z105" i="29"/>
  <c r="J106" i="29"/>
  <c r="Y106" i="29" s="1"/>
  <c r="I106" i="29"/>
  <c r="K106" i="29" s="1"/>
  <c r="N106" i="29" s="1"/>
  <c r="R107" i="29"/>
  <c r="S107" i="29"/>
  <c r="G107" i="29"/>
  <c r="T107" i="29"/>
  <c r="E107" i="29"/>
  <c r="Q107" i="29"/>
  <c r="U107" i="29"/>
  <c r="O106" i="29"/>
  <c r="B119" i="4"/>
  <c r="BM120" i="4"/>
  <c r="BP119" i="4"/>
  <c r="AF107" i="29"/>
  <c r="AE107" i="29"/>
  <c r="BF114" i="4" l="1"/>
  <c r="BE115" i="4"/>
  <c r="AX115" i="4"/>
  <c r="AV116" i="4"/>
  <c r="AX116" i="4" s="1"/>
  <c r="BH117" i="4"/>
  <c r="O107" i="29"/>
  <c r="AO116" i="4"/>
  <c r="P106" i="29"/>
  <c r="V106" i="29"/>
  <c r="W106" i="29" s="1"/>
  <c r="BN119" i="4"/>
  <c r="BO119" i="4"/>
  <c r="BM121" i="4"/>
  <c r="B120" i="4"/>
  <c r="BP120" i="4"/>
  <c r="Z106" i="29"/>
  <c r="T108" i="29"/>
  <c r="U108" i="29"/>
  <c r="G108" i="29"/>
  <c r="R108" i="29"/>
  <c r="E108" i="29"/>
  <c r="S108" i="29"/>
  <c r="Q108" i="29"/>
  <c r="AB118" i="4"/>
  <c r="Z118" i="4"/>
  <c r="AC118" i="4"/>
  <c r="BG118" i="4" s="1"/>
  <c r="AD118" i="4"/>
  <c r="AI118" i="4" s="1"/>
  <c r="AF118" i="4"/>
  <c r="AA118" i="4"/>
  <c r="Y118" i="4"/>
  <c r="AG118" i="4" s="1"/>
  <c r="AE118" i="4"/>
  <c r="AJ118" i="4" s="1"/>
  <c r="AI109" i="29"/>
  <c r="B109" i="29"/>
  <c r="AD110" i="29"/>
  <c r="AW118" i="4"/>
  <c r="AE108" i="29"/>
  <c r="AF108" i="29"/>
  <c r="AK117" i="4"/>
  <c r="AN117" i="4"/>
  <c r="I107" i="29"/>
  <c r="K107" i="29" s="1"/>
  <c r="N107" i="29" s="1"/>
  <c r="J107" i="29"/>
  <c r="Y107" i="29" s="1"/>
  <c r="R119" i="4"/>
  <c r="AM119" i="4"/>
  <c r="P119" i="4"/>
  <c r="AZ119" i="4"/>
  <c r="AY119" i="4"/>
  <c r="K119" i="4"/>
  <c r="F119" i="4"/>
  <c r="M119" i="4"/>
  <c r="BC119" i="4"/>
  <c r="BB119" i="4"/>
  <c r="BA119" i="4"/>
  <c r="Q119" i="4"/>
  <c r="O119" i="4"/>
  <c r="BD119" i="4"/>
  <c r="N119" i="4"/>
  <c r="L473" i="4"/>
  <c r="BF115" i="4" l="1"/>
  <c r="Z107" i="29"/>
  <c r="BE116" i="4"/>
  <c r="BF116" i="4" s="1"/>
  <c r="AV117" i="4"/>
  <c r="AX117" i="4" s="1"/>
  <c r="AH118" i="4"/>
  <c r="J108" i="29"/>
  <c r="Y108" i="29" s="1"/>
  <c r="I108" i="29"/>
  <c r="K108" i="29" s="1"/>
  <c r="N108" i="29" s="1"/>
  <c r="BP121" i="4"/>
  <c r="BM122" i="4"/>
  <c r="B121" i="4"/>
  <c r="P107" i="29"/>
  <c r="V107" i="29"/>
  <c r="W107" i="29" s="1"/>
  <c r="AW119" i="4"/>
  <c r="AO117" i="4"/>
  <c r="AI110" i="29"/>
  <c r="B110" i="29"/>
  <c r="AD111" i="29"/>
  <c r="AK118" i="4"/>
  <c r="AN118" i="4"/>
  <c r="S109" i="29"/>
  <c r="T109" i="29"/>
  <c r="E109" i="29"/>
  <c r="G109" i="29"/>
  <c r="Q109" i="29"/>
  <c r="R109" i="29"/>
  <c r="U109" i="29"/>
  <c r="BO120" i="4"/>
  <c r="BN120" i="4"/>
  <c r="AE109" i="29"/>
  <c r="AF109" i="29"/>
  <c r="O108" i="29"/>
  <c r="BB120" i="4"/>
  <c r="AY120" i="4"/>
  <c r="BC120" i="4"/>
  <c r="AZ120" i="4"/>
  <c r="N120" i="4"/>
  <c r="BD120" i="4"/>
  <c r="M120" i="4"/>
  <c r="BA120" i="4"/>
  <c r="P120" i="4"/>
  <c r="AM120" i="4"/>
  <c r="R120" i="4"/>
  <c r="O120" i="4"/>
  <c r="K120" i="4"/>
  <c r="F120" i="4"/>
  <c r="Q120" i="4"/>
  <c r="AF119" i="4"/>
  <c r="AC119" i="4"/>
  <c r="BG119" i="4" s="1"/>
  <c r="Y119" i="4"/>
  <c r="AG119" i="4" s="1"/>
  <c r="AD119" i="4"/>
  <c r="AI119" i="4" s="1"/>
  <c r="AE119" i="4"/>
  <c r="AJ119" i="4" s="1"/>
  <c r="Z119" i="4"/>
  <c r="AH119" i="4" s="1"/>
  <c r="L476" i="4"/>
  <c r="W259" i="17"/>
  <c r="BH118" i="4" l="1"/>
  <c r="BH119" i="4"/>
  <c r="AV118" i="4"/>
  <c r="AO118" i="4"/>
  <c r="BE117" i="4"/>
  <c r="BF117" i="4" s="1"/>
  <c r="AW120" i="4"/>
  <c r="P108" i="29"/>
  <c r="V108" i="29"/>
  <c r="W108" i="29" s="1"/>
  <c r="I109" i="29"/>
  <c r="K109" i="29" s="1"/>
  <c r="N109" i="29" s="1"/>
  <c r="J109" i="29"/>
  <c r="Y109" i="29" s="1"/>
  <c r="AC120" i="4"/>
  <c r="BG120" i="4" s="1"/>
  <c r="AD120" i="4"/>
  <c r="AI120" i="4" s="1"/>
  <c r="Z120" i="4"/>
  <c r="AH120" i="4" s="1"/>
  <c r="AE120" i="4"/>
  <c r="AJ120" i="4" s="1"/>
  <c r="Y120" i="4"/>
  <c r="AG120" i="4" s="1"/>
  <c r="AF120" i="4"/>
  <c r="AE110" i="29"/>
  <c r="AF110" i="29"/>
  <c r="AK119" i="4"/>
  <c r="AN119" i="4"/>
  <c r="P121" i="4"/>
  <c r="M121" i="4"/>
  <c r="AZ121" i="4"/>
  <c r="O121" i="4"/>
  <c r="AM121" i="4"/>
  <c r="R121" i="4"/>
  <c r="N121" i="4"/>
  <c r="Q121" i="4"/>
  <c r="BD121" i="4"/>
  <c r="K121" i="4"/>
  <c r="F121" i="4"/>
  <c r="BC121" i="4"/>
  <c r="BA121" i="4"/>
  <c r="BB121" i="4"/>
  <c r="AY121" i="4"/>
  <c r="Z108" i="29"/>
  <c r="AI111" i="29"/>
  <c r="AD112" i="29"/>
  <c r="B111" i="29"/>
  <c r="BM123" i="4"/>
  <c r="BP122" i="4"/>
  <c r="B122" i="4"/>
  <c r="O109" i="29"/>
  <c r="R110" i="29"/>
  <c r="G110" i="29"/>
  <c r="E110" i="29"/>
  <c r="U110" i="29"/>
  <c r="Q110" i="29"/>
  <c r="T110" i="29"/>
  <c r="S110" i="29"/>
  <c r="BN121" i="4"/>
  <c r="BO121" i="4"/>
  <c r="AX118" i="4" l="1"/>
  <c r="BE118" i="4"/>
  <c r="BF118" i="4" s="1"/>
  <c r="AV119" i="4"/>
  <c r="AX119" i="4" s="1"/>
  <c r="BH120" i="4"/>
  <c r="V109" i="29"/>
  <c r="W109" i="29" s="1"/>
  <c r="P109" i="29"/>
  <c r="BN122" i="4"/>
  <c r="BO122" i="4"/>
  <c r="AI112" i="29"/>
  <c r="AD113" i="29"/>
  <c r="B112" i="29"/>
  <c r="BM124" i="4"/>
  <c r="B123" i="4"/>
  <c r="BP123" i="4"/>
  <c r="AF111" i="29"/>
  <c r="AE111" i="29"/>
  <c r="AO119" i="4"/>
  <c r="J110" i="29"/>
  <c r="Y110" i="29" s="1"/>
  <c r="I110" i="29"/>
  <c r="K110" i="29" s="1"/>
  <c r="N110" i="29" s="1"/>
  <c r="O110" i="29"/>
  <c r="Z109" i="29"/>
  <c r="AW121" i="4"/>
  <c r="AK120" i="4"/>
  <c r="AN120" i="4"/>
  <c r="AD121" i="4"/>
  <c r="AI121" i="4" s="1"/>
  <c r="AF121" i="4"/>
  <c r="Y121" i="4"/>
  <c r="AG121" i="4" s="1"/>
  <c r="Z121" i="4"/>
  <c r="AH121" i="4" s="1"/>
  <c r="AE121" i="4"/>
  <c r="AJ121" i="4" s="1"/>
  <c r="AC121" i="4"/>
  <c r="BG121" i="4" s="1"/>
  <c r="N122" i="4"/>
  <c r="BB122" i="4"/>
  <c r="O122" i="4"/>
  <c r="M122" i="4"/>
  <c r="AZ122" i="4"/>
  <c r="K122" i="4"/>
  <c r="F122" i="4"/>
  <c r="BA122" i="4"/>
  <c r="AY122" i="4"/>
  <c r="BC122" i="4"/>
  <c r="BD122" i="4"/>
  <c r="R122" i="4"/>
  <c r="AM122" i="4"/>
  <c r="Q122" i="4"/>
  <c r="P122" i="4"/>
  <c r="E111" i="29"/>
  <c r="R111" i="29"/>
  <c r="U111" i="29"/>
  <c r="G111" i="29"/>
  <c r="T111" i="29"/>
  <c r="Q111" i="29"/>
  <c r="S111" i="29"/>
  <c r="BE119" i="4" l="1"/>
  <c r="BF119" i="4" s="1"/>
  <c r="AV120" i="4"/>
  <c r="AO120" i="4"/>
  <c r="AQ121" i="4"/>
  <c r="AQ478" i="4" s="1"/>
  <c r="AQ480" i="4" s="1"/>
  <c r="AK121" i="4"/>
  <c r="AN121" i="4"/>
  <c r="BN123" i="4"/>
  <c r="BO123" i="4"/>
  <c r="AW122" i="4"/>
  <c r="V110" i="29"/>
  <c r="W110" i="29" s="1"/>
  <c r="P110" i="29"/>
  <c r="K123" i="4"/>
  <c r="F123" i="4"/>
  <c r="BD123" i="4"/>
  <c r="N123" i="4"/>
  <c r="AY123" i="4"/>
  <c r="M123" i="4"/>
  <c r="R123" i="4"/>
  <c r="P123" i="4"/>
  <c r="O123" i="4"/>
  <c r="AM123" i="4"/>
  <c r="Q123" i="4"/>
  <c r="BA123" i="4"/>
  <c r="BB123" i="4"/>
  <c r="AZ123" i="4"/>
  <c r="BC123" i="4"/>
  <c r="T112" i="29"/>
  <c r="U112" i="29"/>
  <c r="G112" i="29"/>
  <c r="R112" i="29"/>
  <c r="Q112" i="29"/>
  <c r="E112" i="29"/>
  <c r="S112" i="29"/>
  <c r="AE122" i="4"/>
  <c r="AJ122" i="4" s="1"/>
  <c r="AC122" i="4"/>
  <c r="BG122" i="4" s="1"/>
  <c r="Z122" i="4"/>
  <c r="AH122" i="4" s="1"/>
  <c r="AF122" i="4"/>
  <c r="Y122" i="4"/>
  <c r="AG122" i="4" s="1"/>
  <c r="AD122" i="4"/>
  <c r="AI122" i="4" s="1"/>
  <c r="O111" i="29"/>
  <c r="I111" i="29"/>
  <c r="K111" i="29" s="1"/>
  <c r="N111" i="29" s="1"/>
  <c r="J111" i="29"/>
  <c r="Y111" i="29" s="1"/>
  <c r="BP124" i="4"/>
  <c r="BM125" i="4"/>
  <c r="B124" i="4"/>
  <c r="AI113" i="29"/>
  <c r="B113" i="29"/>
  <c r="AD114" i="29"/>
  <c r="AP121" i="4"/>
  <c r="Z110" i="29"/>
  <c r="AE112" i="29"/>
  <c r="AF112" i="29"/>
  <c r="BE120" i="4" l="1"/>
  <c r="BF120" i="4" s="1"/>
  <c r="AX120" i="4"/>
  <c r="BH121" i="4"/>
  <c r="H258" i="19"/>
  <c r="V111" i="29"/>
  <c r="W111" i="29" s="1"/>
  <c r="P111" i="29"/>
  <c r="BN124" i="4"/>
  <c r="BO124" i="4"/>
  <c r="AW123" i="4"/>
  <c r="AI114" i="29"/>
  <c r="AD115" i="29"/>
  <c r="B114" i="29"/>
  <c r="AK122" i="4"/>
  <c r="AN122" i="4"/>
  <c r="AF113" i="29"/>
  <c r="AE113" i="29"/>
  <c r="BM126" i="4"/>
  <c r="B125" i="4"/>
  <c r="BP125" i="4"/>
  <c r="J112" i="29"/>
  <c r="Y112" i="29" s="1"/>
  <c r="I112" i="29"/>
  <c r="E113" i="29"/>
  <c r="S113" i="29"/>
  <c r="Q113" i="29"/>
  <c r="T113" i="29"/>
  <c r="U113" i="29"/>
  <c r="G113" i="29"/>
  <c r="R113" i="29"/>
  <c r="BB124" i="4"/>
  <c r="BA124" i="4"/>
  <c r="BC124" i="4"/>
  <c r="AY124" i="4"/>
  <c r="N124" i="4"/>
  <c r="O124" i="4"/>
  <c r="M124" i="4"/>
  <c r="BD124" i="4"/>
  <c r="Q124" i="4"/>
  <c r="R124" i="4"/>
  <c r="P124" i="4"/>
  <c r="AM124" i="4"/>
  <c r="F124" i="4"/>
  <c r="AZ124" i="4"/>
  <c r="K124" i="4"/>
  <c r="Z111" i="29"/>
  <c r="BH122" i="4"/>
  <c r="K112" i="29"/>
  <c r="N112" i="29" s="1"/>
  <c r="O112" i="29"/>
  <c r="AO121" i="4"/>
  <c r="AD123" i="4"/>
  <c r="AI123" i="4" s="1"/>
  <c r="Z123" i="4"/>
  <c r="AH123" i="4" s="1"/>
  <c r="AF123" i="4"/>
  <c r="Y123" i="4"/>
  <c r="AG123" i="4" s="1"/>
  <c r="AE123" i="4"/>
  <c r="AJ123" i="4" s="1"/>
  <c r="AC123" i="4"/>
  <c r="BG123" i="4" s="1"/>
  <c r="AR121" i="4" l="1"/>
  <c r="AR478" i="4" s="1"/>
  <c r="AR480" i="4" s="1"/>
  <c r="AW124" i="4"/>
  <c r="AV122" i="4"/>
  <c r="I113" i="29"/>
  <c r="K113" i="29" s="1"/>
  <c r="N113" i="29" s="1"/>
  <c r="J113" i="29"/>
  <c r="Y113" i="29" s="1"/>
  <c r="Z112" i="29"/>
  <c r="O113" i="29"/>
  <c r="BO125" i="4"/>
  <c r="BN125" i="4"/>
  <c r="T114" i="29"/>
  <c r="Q114" i="29"/>
  <c r="G114" i="29"/>
  <c r="R114" i="29"/>
  <c r="U114" i="29"/>
  <c r="S114" i="29"/>
  <c r="E114" i="29"/>
  <c r="AE124" i="4"/>
  <c r="AJ124" i="4" s="1"/>
  <c r="AC124" i="4"/>
  <c r="BG124" i="4" s="1"/>
  <c r="Y124" i="4"/>
  <c r="AG124" i="4" s="1"/>
  <c r="Z124" i="4"/>
  <c r="AH124" i="4" s="1"/>
  <c r="AD124" i="4"/>
  <c r="AI124" i="4" s="1"/>
  <c r="AF124" i="4"/>
  <c r="B126" i="4"/>
  <c r="BM127" i="4"/>
  <c r="BP126" i="4"/>
  <c r="AF114" i="29"/>
  <c r="AE114" i="29"/>
  <c r="AK123" i="4"/>
  <c r="AN123" i="4"/>
  <c r="P112" i="29"/>
  <c r="V112" i="29"/>
  <c r="W112" i="29" s="1"/>
  <c r="BH123" i="4"/>
  <c r="M125" i="4"/>
  <c r="O125" i="4"/>
  <c r="R125" i="4"/>
  <c r="AZ125" i="4"/>
  <c r="AM125" i="4"/>
  <c r="P125" i="4"/>
  <c r="Q125" i="4"/>
  <c r="N125" i="4"/>
  <c r="K125" i="4"/>
  <c r="F125" i="4"/>
  <c r="BD125" i="4"/>
  <c r="BA125" i="4"/>
  <c r="AY125" i="4"/>
  <c r="BC125" i="4"/>
  <c r="BB125" i="4"/>
  <c r="AO122" i="4"/>
  <c r="AI115" i="29"/>
  <c r="B115" i="29"/>
  <c r="AD116" i="29"/>
  <c r="AV121" i="4" l="1"/>
  <c r="H266" i="19"/>
  <c r="AR473" i="4"/>
  <c r="BE122" i="4"/>
  <c r="AX122" i="4"/>
  <c r="P113" i="29"/>
  <c r="V113" i="29"/>
  <c r="W113" i="29" s="1"/>
  <c r="AV123" i="4"/>
  <c r="AX123" i="4" s="1"/>
  <c r="AO123" i="4"/>
  <c r="AE115" i="29"/>
  <c r="AF115" i="29"/>
  <c r="AD125" i="4"/>
  <c r="AI125" i="4" s="1"/>
  <c r="AF125" i="4"/>
  <c r="AE125" i="4"/>
  <c r="AJ125" i="4" s="1"/>
  <c r="Z125" i="4"/>
  <c r="AH125" i="4" s="1"/>
  <c r="AC125" i="4"/>
  <c r="BG125" i="4" s="1"/>
  <c r="Y125" i="4"/>
  <c r="AG125" i="4" s="1"/>
  <c r="AW125" i="4"/>
  <c r="BO126" i="4"/>
  <c r="BN126" i="4"/>
  <c r="BH124" i="4"/>
  <c r="AI116" i="29"/>
  <c r="AD117" i="29"/>
  <c r="B116" i="29"/>
  <c r="R115" i="29"/>
  <c r="U115" i="29"/>
  <c r="S115" i="29"/>
  <c r="T115" i="29"/>
  <c r="G115" i="29"/>
  <c r="Q115" i="29"/>
  <c r="E115" i="29"/>
  <c r="BM128" i="4"/>
  <c r="B127" i="4"/>
  <c r="BP127" i="4"/>
  <c r="Z113" i="29"/>
  <c r="J114" i="29"/>
  <c r="Y114" i="29" s="1"/>
  <c r="I114" i="29"/>
  <c r="K114" i="29" s="1"/>
  <c r="N114" i="29" s="1"/>
  <c r="BD126" i="4"/>
  <c r="BA126" i="4"/>
  <c r="AY126" i="4"/>
  <c r="BC126" i="4"/>
  <c r="M126" i="4"/>
  <c r="N126" i="4"/>
  <c r="BB126" i="4"/>
  <c r="O126" i="4"/>
  <c r="F126" i="4"/>
  <c r="AZ126" i="4"/>
  <c r="K126" i="4"/>
  <c r="P126" i="4"/>
  <c r="Q126" i="4"/>
  <c r="R126" i="4"/>
  <c r="AM126" i="4"/>
  <c r="AK124" i="4"/>
  <c r="AN124" i="4"/>
  <c r="O114" i="29"/>
  <c r="AX121" i="4" l="1"/>
  <c r="BE121" i="4"/>
  <c r="BF121" i="4" s="1"/>
  <c r="BF122" i="4"/>
  <c r="BE123" i="4"/>
  <c r="BF123" i="4" s="1"/>
  <c r="BH125" i="4"/>
  <c r="AO124" i="4"/>
  <c r="P114" i="29"/>
  <c r="V114" i="29"/>
  <c r="W114" i="29" s="1"/>
  <c r="Q127" i="4"/>
  <c r="O127" i="4"/>
  <c r="R127" i="4"/>
  <c r="P127" i="4"/>
  <c r="BD127" i="4"/>
  <c r="K127" i="4"/>
  <c r="F127" i="4"/>
  <c r="BC127" i="4"/>
  <c r="BB127" i="4"/>
  <c r="BA127" i="4"/>
  <c r="AZ127" i="4"/>
  <c r="AM127" i="4"/>
  <c r="AY127" i="4"/>
  <c r="N127" i="4"/>
  <c r="M127" i="4"/>
  <c r="O115" i="29"/>
  <c r="Q116" i="29"/>
  <c r="S116" i="29"/>
  <c r="U116" i="29"/>
  <c r="G116" i="29"/>
  <c r="R116" i="29"/>
  <c r="E116" i="29"/>
  <c r="T116" i="29"/>
  <c r="J115" i="29"/>
  <c r="Y115" i="29" s="1"/>
  <c r="I115" i="29"/>
  <c r="K115" i="29" s="1"/>
  <c r="N115" i="29" s="1"/>
  <c r="AV124" i="4"/>
  <c r="B128" i="4"/>
  <c r="BP128" i="4"/>
  <c r="BM129" i="4"/>
  <c r="AI117" i="29"/>
  <c r="B117" i="29"/>
  <c r="AD118" i="29"/>
  <c r="AF126" i="4"/>
  <c r="Z126" i="4"/>
  <c r="AH126" i="4" s="1"/>
  <c r="Y126" i="4"/>
  <c r="AG126" i="4" s="1"/>
  <c r="AC126" i="4"/>
  <c r="BG126" i="4" s="1"/>
  <c r="AD126" i="4"/>
  <c r="AI126" i="4" s="1"/>
  <c r="AE126" i="4"/>
  <c r="AJ126" i="4" s="1"/>
  <c r="AK125" i="4"/>
  <c r="AN125" i="4"/>
  <c r="Z114" i="29"/>
  <c r="AF116" i="29"/>
  <c r="AE116" i="29"/>
  <c r="AW126" i="4"/>
  <c r="BN127" i="4"/>
  <c r="BO127" i="4"/>
  <c r="AX124" i="4" l="1"/>
  <c r="AV125" i="4"/>
  <c r="AX125" i="4" s="1"/>
  <c r="BH126" i="4"/>
  <c r="P115" i="29"/>
  <c r="V115" i="29"/>
  <c r="W115" i="29" s="1"/>
  <c r="G117" i="29"/>
  <c r="R117" i="29"/>
  <c r="Q117" i="29"/>
  <c r="S117" i="29"/>
  <c r="T117" i="29"/>
  <c r="E117" i="29"/>
  <c r="U117" i="29"/>
  <c r="BM130" i="4"/>
  <c r="B129" i="4"/>
  <c r="BP129" i="4"/>
  <c r="J116" i="29"/>
  <c r="Y116" i="29" s="1"/>
  <c r="I116" i="29"/>
  <c r="K116" i="29" s="1"/>
  <c r="N116" i="29" s="1"/>
  <c r="BD128" i="4"/>
  <c r="M128" i="4"/>
  <c r="N128" i="4"/>
  <c r="O128" i="4"/>
  <c r="AM128" i="4"/>
  <c r="Q128" i="4"/>
  <c r="P128" i="4"/>
  <c r="R128" i="4"/>
  <c r="K128" i="4"/>
  <c r="F128" i="4"/>
  <c r="AZ128" i="4"/>
  <c r="AY128" i="4"/>
  <c r="BC128" i="4"/>
  <c r="BB128" i="4"/>
  <c r="BA128" i="4"/>
  <c r="AF127" i="4"/>
  <c r="AD127" i="4"/>
  <c r="AI127" i="4" s="1"/>
  <c r="Z127" i="4"/>
  <c r="AH127" i="4" s="1"/>
  <c r="AC127" i="4"/>
  <c r="BG127" i="4" s="1"/>
  <c r="AE127" i="4"/>
  <c r="AJ127" i="4" s="1"/>
  <c r="Y127" i="4"/>
  <c r="AG127" i="4" s="1"/>
  <c r="AO125" i="4"/>
  <c r="AI118" i="29"/>
  <c r="B118" i="29"/>
  <c r="AD119" i="29"/>
  <c r="BE124" i="4"/>
  <c r="Z115" i="29"/>
  <c r="AW127" i="4"/>
  <c r="O116" i="29"/>
  <c r="AK126" i="4"/>
  <c r="AN126" i="4"/>
  <c r="AF117" i="29"/>
  <c r="AE117" i="29"/>
  <c r="BN128" i="4"/>
  <c r="BO128" i="4"/>
  <c r="BF124" i="4" l="1"/>
  <c r="BE125" i="4"/>
  <c r="BF125" i="4" s="1"/>
  <c r="AV126" i="4"/>
  <c r="AX126" i="4" s="1"/>
  <c r="O117" i="29"/>
  <c r="Z128" i="4"/>
  <c r="AH128" i="4" s="1"/>
  <c r="AC128" i="4"/>
  <c r="BG128" i="4" s="1"/>
  <c r="AD128" i="4"/>
  <c r="AI128" i="4" s="1"/>
  <c r="AF128" i="4"/>
  <c r="Y128" i="4"/>
  <c r="AG128" i="4" s="1"/>
  <c r="AE128" i="4"/>
  <c r="AJ128" i="4" s="1"/>
  <c r="AI119" i="29"/>
  <c r="AD120" i="29"/>
  <c r="B119" i="29"/>
  <c r="I117" i="29"/>
  <c r="K117" i="29" s="1"/>
  <c r="N117" i="29" s="1"/>
  <c r="J117" i="29"/>
  <c r="Y117" i="29" s="1"/>
  <c r="T118" i="29"/>
  <c r="S118" i="29"/>
  <c r="G118" i="29"/>
  <c r="E118" i="29"/>
  <c r="U118" i="29"/>
  <c r="R118" i="29"/>
  <c r="Q118" i="29"/>
  <c r="AK127" i="4"/>
  <c r="AN127" i="4"/>
  <c r="BO129" i="4"/>
  <c r="BN129" i="4"/>
  <c r="P129" i="4"/>
  <c r="BD129" i="4"/>
  <c r="AM129" i="4"/>
  <c r="Q129" i="4"/>
  <c r="AY129" i="4"/>
  <c r="BB129" i="4"/>
  <c r="N129" i="4"/>
  <c r="BA129" i="4"/>
  <c r="O129" i="4"/>
  <c r="AZ129" i="4"/>
  <c r="R129" i="4"/>
  <c r="M129" i="4"/>
  <c r="F129" i="4"/>
  <c r="BC129" i="4"/>
  <c r="K129" i="4"/>
  <c r="AE118" i="29"/>
  <c r="AF118" i="29"/>
  <c r="P116" i="29"/>
  <c r="V116" i="29"/>
  <c r="W116" i="29" s="1"/>
  <c r="AO126" i="4"/>
  <c r="Z116" i="29"/>
  <c r="BH127" i="4"/>
  <c r="AW128" i="4"/>
  <c r="B130" i="4"/>
  <c r="BM131" i="4"/>
  <c r="BP130" i="4"/>
  <c r="AV127" i="4" l="1"/>
  <c r="O118" i="29"/>
  <c r="BE126" i="4"/>
  <c r="BF126" i="4" s="1"/>
  <c r="AO127" i="4"/>
  <c r="AW129" i="4"/>
  <c r="AD129" i="4"/>
  <c r="AI129" i="4" s="1"/>
  <c r="Y129" i="4"/>
  <c r="AG129" i="4" s="1"/>
  <c r="Z129" i="4"/>
  <c r="AH129" i="4" s="1"/>
  <c r="AE129" i="4"/>
  <c r="AJ129" i="4" s="1"/>
  <c r="AC129" i="4"/>
  <c r="BG129" i="4" s="1"/>
  <c r="AF129" i="4"/>
  <c r="AI120" i="29"/>
  <c r="B120" i="29"/>
  <c r="AD121" i="29"/>
  <c r="BH128" i="4"/>
  <c r="AY130" i="4"/>
  <c r="R130" i="4"/>
  <c r="BB130" i="4"/>
  <c r="O130" i="4"/>
  <c r="F130" i="4"/>
  <c r="BA130" i="4"/>
  <c r="AM130" i="4"/>
  <c r="P130" i="4"/>
  <c r="BD130" i="4"/>
  <c r="Q130" i="4"/>
  <c r="K130" i="4"/>
  <c r="AZ130" i="4"/>
  <c r="M130" i="4"/>
  <c r="BC130" i="4"/>
  <c r="N130" i="4"/>
  <c r="AE119" i="29"/>
  <c r="AF119" i="29"/>
  <c r="AK128" i="4"/>
  <c r="AN128" i="4"/>
  <c r="V117" i="29"/>
  <c r="W117" i="29" s="1"/>
  <c r="P117" i="29"/>
  <c r="BO130" i="4"/>
  <c r="BN130" i="4"/>
  <c r="J118" i="29"/>
  <c r="Y118" i="29" s="1"/>
  <c r="I118" i="29"/>
  <c r="K118" i="29" s="1"/>
  <c r="N118" i="29" s="1"/>
  <c r="BM132" i="4"/>
  <c r="BP131" i="4"/>
  <c r="B131" i="4"/>
  <c r="E119" i="29"/>
  <c r="S119" i="29"/>
  <c r="U119" i="29"/>
  <c r="G119" i="29"/>
  <c r="R119" i="29"/>
  <c r="Q119" i="29"/>
  <c r="T119" i="29"/>
  <c r="Z117" i="29"/>
  <c r="BE127" i="4" l="1"/>
  <c r="BF127" i="4" s="1"/>
  <c r="AX127" i="4"/>
  <c r="Z118" i="29"/>
  <c r="AV128" i="4"/>
  <c r="BH129" i="4"/>
  <c r="AO128" i="4"/>
  <c r="P118" i="29"/>
  <c r="V118" i="29"/>
  <c r="W118" i="29" s="1"/>
  <c r="AI121" i="29"/>
  <c r="B121" i="29"/>
  <c r="AD122" i="29"/>
  <c r="BM133" i="4"/>
  <c r="BP132" i="4"/>
  <c r="B132" i="4"/>
  <c r="Z130" i="4"/>
  <c r="AH130" i="4" s="1"/>
  <c r="Y130" i="4"/>
  <c r="AG130" i="4" s="1"/>
  <c r="AC130" i="4"/>
  <c r="BG130" i="4" s="1"/>
  <c r="AD130" i="4"/>
  <c r="AI130" i="4" s="1"/>
  <c r="AF130" i="4"/>
  <c r="AE130" i="4"/>
  <c r="AJ130" i="4" s="1"/>
  <c r="G120" i="29"/>
  <c r="S120" i="29"/>
  <c r="E120" i="29"/>
  <c r="U120" i="29"/>
  <c r="R120" i="29"/>
  <c r="Q120" i="29"/>
  <c r="T120" i="29"/>
  <c r="AK129" i="4"/>
  <c r="AN129" i="4"/>
  <c r="AW130" i="4"/>
  <c r="AF120" i="29"/>
  <c r="AE120" i="29"/>
  <c r="O119" i="29"/>
  <c r="AM131" i="4"/>
  <c r="P131" i="4"/>
  <c r="R131" i="4"/>
  <c r="Q131" i="4"/>
  <c r="F131" i="4"/>
  <c r="K131" i="4"/>
  <c r="BD131" i="4"/>
  <c r="BB131" i="4"/>
  <c r="AZ131" i="4"/>
  <c r="BA131" i="4"/>
  <c r="BC131" i="4"/>
  <c r="AY131" i="4"/>
  <c r="M131" i="4"/>
  <c r="N131" i="4"/>
  <c r="O131" i="4"/>
  <c r="BN131" i="4"/>
  <c r="BO131" i="4"/>
  <c r="J119" i="29"/>
  <c r="Y119" i="29" s="1"/>
  <c r="I119" i="29"/>
  <c r="K119" i="29" s="1"/>
  <c r="N119" i="29" s="1"/>
  <c r="AX128" i="4" l="1"/>
  <c r="BE128" i="4"/>
  <c r="AO129" i="4"/>
  <c r="P119" i="29"/>
  <c r="V119" i="29"/>
  <c r="W119" i="29" s="1"/>
  <c r="AI122" i="29"/>
  <c r="B122" i="29"/>
  <c r="AD123" i="29"/>
  <c r="N132" i="4"/>
  <c r="M132" i="4"/>
  <c r="O132" i="4"/>
  <c r="BD132" i="4"/>
  <c r="Q132" i="4"/>
  <c r="P132" i="4"/>
  <c r="R132" i="4"/>
  <c r="AM132" i="4"/>
  <c r="F132" i="4"/>
  <c r="K132" i="4"/>
  <c r="AZ132" i="4"/>
  <c r="BB132" i="4"/>
  <c r="BC132" i="4"/>
  <c r="BA132" i="4"/>
  <c r="AY132" i="4"/>
  <c r="G121" i="29"/>
  <c r="Q121" i="29"/>
  <c r="U121" i="29"/>
  <c r="S121" i="29"/>
  <c r="T121" i="29"/>
  <c r="E121" i="29"/>
  <c r="R121" i="29"/>
  <c r="AW131" i="4"/>
  <c r="Z119" i="29"/>
  <c r="O120" i="29"/>
  <c r="AK130" i="4"/>
  <c r="AN130" i="4"/>
  <c r="BH130" i="4"/>
  <c r="BO132" i="4"/>
  <c r="BN132" i="4"/>
  <c r="AE121" i="29"/>
  <c r="AF121" i="29"/>
  <c r="AC131" i="4"/>
  <c r="BG131" i="4" s="1"/>
  <c r="AE131" i="4"/>
  <c r="AJ131" i="4" s="1"/>
  <c r="AD131" i="4"/>
  <c r="AI131" i="4" s="1"/>
  <c r="AF131" i="4"/>
  <c r="Y131" i="4"/>
  <c r="AG131" i="4" s="1"/>
  <c r="Z131" i="4"/>
  <c r="AH131" i="4" s="1"/>
  <c r="I120" i="29"/>
  <c r="K120" i="29" s="1"/>
  <c r="N120" i="29" s="1"/>
  <c r="J120" i="29"/>
  <c r="Y120" i="29" s="1"/>
  <c r="AV129" i="4"/>
  <c r="AX129" i="4" s="1"/>
  <c r="BP133" i="4"/>
  <c r="BM134" i="4"/>
  <c r="B133" i="4"/>
  <c r="BF128" i="4" l="1"/>
  <c r="AV130" i="4"/>
  <c r="AX130" i="4" s="1"/>
  <c r="AO130" i="4"/>
  <c r="V120" i="29"/>
  <c r="W120" i="29" s="1"/>
  <c r="P120" i="29"/>
  <c r="O121" i="29"/>
  <c r="AF122" i="29"/>
  <c r="AE122" i="29"/>
  <c r="J121" i="29"/>
  <c r="Y121" i="29" s="1"/>
  <c r="I121" i="29"/>
  <c r="K121" i="29" s="1"/>
  <c r="N121" i="29" s="1"/>
  <c r="B134" i="4"/>
  <c r="BM135" i="4"/>
  <c r="BP134" i="4"/>
  <c r="BH131" i="4"/>
  <c r="Y132" i="4"/>
  <c r="AG132" i="4" s="1"/>
  <c r="AC132" i="4"/>
  <c r="BG132" i="4" s="1"/>
  <c r="AE132" i="4"/>
  <c r="AJ132" i="4" s="1"/>
  <c r="AD132" i="4"/>
  <c r="AI132" i="4" s="1"/>
  <c r="AF132" i="4"/>
  <c r="Z132" i="4"/>
  <c r="AH132" i="4" s="1"/>
  <c r="BH132" i="4" s="1"/>
  <c r="AW132" i="4"/>
  <c r="AI123" i="29"/>
  <c r="AD124" i="29"/>
  <c r="B123" i="29"/>
  <c r="P133" i="4"/>
  <c r="Q133" i="4"/>
  <c r="AM133" i="4"/>
  <c r="R133" i="4"/>
  <c r="BA133" i="4"/>
  <c r="AY133" i="4"/>
  <c r="BB133" i="4"/>
  <c r="BC133" i="4"/>
  <c r="M133" i="4"/>
  <c r="O133" i="4"/>
  <c r="AZ133" i="4"/>
  <c r="N133" i="4"/>
  <c r="K133" i="4"/>
  <c r="F133" i="4"/>
  <c r="BD133" i="4"/>
  <c r="BE129" i="4"/>
  <c r="BF129" i="4" s="1"/>
  <c r="BN133" i="4"/>
  <c r="BO133" i="4"/>
  <c r="AK131" i="4"/>
  <c r="AN131" i="4"/>
  <c r="Z120" i="29"/>
  <c r="R122" i="29"/>
  <c r="S122" i="29"/>
  <c r="Q122" i="29"/>
  <c r="T122" i="29"/>
  <c r="E122" i="29"/>
  <c r="G122" i="29"/>
  <c r="U122" i="29"/>
  <c r="BE130" i="4" l="1"/>
  <c r="BF130" i="4" s="1"/>
  <c r="AW133" i="4"/>
  <c r="AO131" i="4"/>
  <c r="BO134" i="4"/>
  <c r="BN134" i="4"/>
  <c r="Z121" i="29"/>
  <c r="AV131" i="4"/>
  <c r="AX131" i="4" s="1"/>
  <c r="AF133" i="4"/>
  <c r="AD133" i="4"/>
  <c r="AI133" i="4" s="1"/>
  <c r="Y133" i="4"/>
  <c r="AG133" i="4" s="1"/>
  <c r="AE133" i="4"/>
  <c r="AJ133" i="4" s="1"/>
  <c r="AC133" i="4"/>
  <c r="BG133" i="4" s="1"/>
  <c r="Z133" i="4"/>
  <c r="AH133" i="4" s="1"/>
  <c r="G123" i="29"/>
  <c r="T123" i="29"/>
  <c r="E123" i="29"/>
  <c r="U123" i="29"/>
  <c r="Q123" i="29"/>
  <c r="R123" i="29"/>
  <c r="S123" i="29"/>
  <c r="V121" i="29"/>
  <c r="W121" i="29" s="1"/>
  <c r="P121" i="29"/>
  <c r="BM136" i="4"/>
  <c r="B135" i="4"/>
  <c r="BP135" i="4"/>
  <c r="O122" i="29"/>
  <c r="AI124" i="29"/>
  <c r="B124" i="29"/>
  <c r="AD125" i="29"/>
  <c r="AY134" i="4"/>
  <c r="BA134" i="4"/>
  <c r="BC134" i="4"/>
  <c r="BD134" i="4"/>
  <c r="BB134" i="4"/>
  <c r="N134" i="4"/>
  <c r="O134" i="4"/>
  <c r="M134" i="4"/>
  <c r="AM134" i="4"/>
  <c r="R134" i="4"/>
  <c r="P134" i="4"/>
  <c r="Q134" i="4"/>
  <c r="AZ134" i="4"/>
  <c r="K134" i="4"/>
  <c r="F134" i="4"/>
  <c r="J122" i="29"/>
  <c r="Y122" i="29" s="1"/>
  <c r="I122" i="29"/>
  <c r="K122" i="29" s="1"/>
  <c r="N122" i="29" s="1"/>
  <c r="AE123" i="29"/>
  <c r="AF123" i="29"/>
  <c r="AK132" i="4"/>
  <c r="AN132" i="4"/>
  <c r="AO132" i="4" l="1"/>
  <c r="BH133" i="4"/>
  <c r="V122" i="29"/>
  <c r="W122" i="29" s="1"/>
  <c r="P122" i="29"/>
  <c r="AV132" i="4"/>
  <c r="AX132" i="4" s="1"/>
  <c r="AW134" i="4"/>
  <c r="U124" i="29"/>
  <c r="S124" i="29"/>
  <c r="G124" i="29"/>
  <c r="R124" i="29"/>
  <c r="Q124" i="29"/>
  <c r="T124" i="29"/>
  <c r="E124" i="29"/>
  <c r="BN135" i="4"/>
  <c r="BO135" i="4"/>
  <c r="O123" i="29"/>
  <c r="AK133" i="4"/>
  <c r="AN133" i="4"/>
  <c r="BE131" i="4"/>
  <c r="BF131" i="4" s="1"/>
  <c r="J123" i="29"/>
  <c r="Y123" i="29" s="1"/>
  <c r="I123" i="29"/>
  <c r="K123" i="29" s="1"/>
  <c r="N123" i="29" s="1"/>
  <c r="AF124" i="29"/>
  <c r="AE124" i="29"/>
  <c r="BB135" i="4"/>
  <c r="BA135" i="4"/>
  <c r="AZ135" i="4"/>
  <c r="BC135" i="4"/>
  <c r="AY135" i="4"/>
  <c r="N135" i="4"/>
  <c r="M135" i="4"/>
  <c r="O135" i="4"/>
  <c r="K135" i="4"/>
  <c r="F135" i="4"/>
  <c r="BD135" i="4"/>
  <c r="AM135" i="4"/>
  <c r="R135" i="4"/>
  <c r="P135" i="4"/>
  <c r="Q135" i="4"/>
  <c r="Z122" i="29"/>
  <c r="B136" i="4"/>
  <c r="BM137" i="4"/>
  <c r="BP136" i="4"/>
  <c r="AI125" i="29"/>
  <c r="AD126" i="29"/>
  <c r="B125" i="29"/>
  <c r="AE134" i="4"/>
  <c r="AJ134" i="4" s="1"/>
  <c r="Y134" i="4"/>
  <c r="AG134" i="4" s="1"/>
  <c r="AF134" i="4"/>
  <c r="Z134" i="4"/>
  <c r="AH134" i="4" s="1"/>
  <c r="AC134" i="4"/>
  <c r="BG134" i="4" s="1"/>
  <c r="AD134" i="4"/>
  <c r="AI134" i="4" s="1"/>
  <c r="AV133" i="4" l="1"/>
  <c r="AX133" i="4" s="1"/>
  <c r="AW135" i="4"/>
  <c r="J124" i="29"/>
  <c r="I124" i="29"/>
  <c r="K124" i="29" s="1"/>
  <c r="N124" i="29" s="1"/>
  <c r="AO133" i="4"/>
  <c r="AK134" i="4"/>
  <c r="AN134" i="4"/>
  <c r="AF125" i="29"/>
  <c r="AE125" i="29"/>
  <c r="V123" i="29"/>
  <c r="W123" i="29" s="1"/>
  <c r="P123" i="29"/>
  <c r="G125" i="29"/>
  <c r="S125" i="29"/>
  <c r="T125" i="29"/>
  <c r="E125" i="29"/>
  <c r="R125" i="29"/>
  <c r="Q125" i="29"/>
  <c r="U125" i="29"/>
  <c r="B137" i="4"/>
  <c r="BM138" i="4"/>
  <c r="BP137" i="4"/>
  <c r="Y135" i="4"/>
  <c r="AG135" i="4" s="1"/>
  <c r="AE135" i="4"/>
  <c r="AJ135" i="4" s="1"/>
  <c r="AC135" i="4"/>
  <c r="BG135" i="4" s="1"/>
  <c r="AD135" i="4"/>
  <c r="AI135" i="4" s="1"/>
  <c r="Z135" i="4"/>
  <c r="AH135" i="4" s="1"/>
  <c r="AF135" i="4"/>
  <c r="O124" i="29"/>
  <c r="BO136" i="4"/>
  <c r="BN136" i="4"/>
  <c r="BH134" i="4"/>
  <c r="AI126" i="29"/>
  <c r="AD127" i="29"/>
  <c r="B126" i="29"/>
  <c r="F136" i="4"/>
  <c r="AZ136" i="4"/>
  <c r="K136" i="4"/>
  <c r="N136" i="4"/>
  <c r="O136" i="4"/>
  <c r="BD136" i="4"/>
  <c r="M136" i="4"/>
  <c r="Q136" i="4"/>
  <c r="P136" i="4"/>
  <c r="AM136" i="4"/>
  <c r="R136" i="4"/>
  <c r="BB136" i="4"/>
  <c r="BA136" i="4"/>
  <c r="AY136" i="4"/>
  <c r="BC136" i="4"/>
  <c r="Z123" i="29"/>
  <c r="Y124" i="29"/>
  <c r="BE132" i="4"/>
  <c r="BF132" i="4" l="1"/>
  <c r="BE133" i="4"/>
  <c r="BF133" i="4" s="1"/>
  <c r="AV134" i="4"/>
  <c r="AO134" i="4"/>
  <c r="AW136" i="4"/>
  <c r="AI127" i="29"/>
  <c r="B127" i="29"/>
  <c r="AD128" i="29"/>
  <c r="Y136" i="4"/>
  <c r="AG136" i="4" s="1"/>
  <c r="AC136" i="4"/>
  <c r="BG136" i="4" s="1"/>
  <c r="AE136" i="4"/>
  <c r="AJ136" i="4" s="1"/>
  <c r="Z136" i="4"/>
  <c r="AH136" i="4" s="1"/>
  <c r="AD136" i="4"/>
  <c r="AI136" i="4" s="1"/>
  <c r="AF136" i="4"/>
  <c r="AK135" i="4"/>
  <c r="AN135" i="4"/>
  <c r="BO137" i="4"/>
  <c r="BN137" i="4"/>
  <c r="V124" i="29"/>
  <c r="W124" i="29" s="1"/>
  <c r="P124" i="29"/>
  <c r="AE126" i="29"/>
  <c r="AF126" i="29"/>
  <c r="BH135" i="4"/>
  <c r="BP138" i="4"/>
  <c r="BM139" i="4"/>
  <c r="B138" i="4"/>
  <c r="I125" i="29"/>
  <c r="K125" i="29" s="1"/>
  <c r="N125" i="29" s="1"/>
  <c r="J125" i="29"/>
  <c r="Y125" i="29" s="1"/>
  <c r="F137" i="4"/>
  <c r="BD137" i="4"/>
  <c r="K137" i="4"/>
  <c r="O137" i="4"/>
  <c r="N137" i="4"/>
  <c r="M137" i="4"/>
  <c r="AZ137" i="4"/>
  <c r="R137" i="4"/>
  <c r="Q137" i="4"/>
  <c r="P137" i="4"/>
  <c r="AM137" i="4"/>
  <c r="AY137" i="4"/>
  <c r="BC137" i="4"/>
  <c r="BA137" i="4"/>
  <c r="BB137" i="4"/>
  <c r="O125" i="29"/>
  <c r="Q126" i="29"/>
  <c r="E126" i="29"/>
  <c r="R126" i="29"/>
  <c r="G126" i="29"/>
  <c r="T126" i="29"/>
  <c r="S126" i="29"/>
  <c r="U126" i="29"/>
  <c r="Z124" i="29"/>
  <c r="BE134" i="4" l="1"/>
  <c r="BF134" i="4" s="1"/>
  <c r="AX134" i="4"/>
  <c r="AO135" i="4"/>
  <c r="O126" i="29"/>
  <c r="AV135" i="4"/>
  <c r="P125" i="29"/>
  <c r="V125" i="29"/>
  <c r="W125" i="29" s="1"/>
  <c r="AF127" i="29"/>
  <c r="AE127" i="29"/>
  <c r="Q138" i="4"/>
  <c r="AM138" i="4"/>
  <c r="P138" i="4"/>
  <c r="R138" i="4"/>
  <c r="BA138" i="4"/>
  <c r="AY138" i="4"/>
  <c r="BC138" i="4"/>
  <c r="BD138" i="4"/>
  <c r="AZ138" i="4"/>
  <c r="K138" i="4"/>
  <c r="F138" i="4"/>
  <c r="N138" i="4"/>
  <c r="BB138" i="4"/>
  <c r="O138" i="4"/>
  <c r="M138" i="4"/>
  <c r="I126" i="29"/>
  <c r="K126" i="29" s="1"/>
  <c r="N126" i="29" s="1"/>
  <c r="J126" i="29"/>
  <c r="Y126" i="29" s="1"/>
  <c r="BH136" i="4"/>
  <c r="AW137" i="4"/>
  <c r="BM140" i="4"/>
  <c r="BP139" i="4"/>
  <c r="B139" i="4"/>
  <c r="AI128" i="29"/>
  <c r="B128" i="29"/>
  <c r="AD129" i="29"/>
  <c r="Z125" i="29"/>
  <c r="BN138" i="4"/>
  <c r="BO138" i="4"/>
  <c r="Y137" i="4"/>
  <c r="AG137" i="4" s="1"/>
  <c r="AD137" i="4"/>
  <c r="AI137" i="4" s="1"/>
  <c r="AF137" i="4"/>
  <c r="AC137" i="4"/>
  <c r="BG137" i="4" s="1"/>
  <c r="AE137" i="4"/>
  <c r="AJ137" i="4" s="1"/>
  <c r="Z137" i="4"/>
  <c r="AH137" i="4" s="1"/>
  <c r="AK136" i="4"/>
  <c r="AN136" i="4"/>
  <c r="G127" i="29"/>
  <c r="S127" i="29"/>
  <c r="Q127" i="29"/>
  <c r="T127" i="29"/>
  <c r="E127" i="29"/>
  <c r="U127" i="29"/>
  <c r="R127" i="29"/>
  <c r="BE135" i="4" l="1"/>
  <c r="BF135" i="4" s="1"/>
  <c r="AX135" i="4"/>
  <c r="Z126" i="29"/>
  <c r="O127" i="29"/>
  <c r="AO136" i="4"/>
  <c r="BH137" i="4"/>
  <c r="AF128" i="29"/>
  <c r="AE128" i="29"/>
  <c r="O139" i="4"/>
  <c r="AY139" i="4"/>
  <c r="N139" i="4"/>
  <c r="M139" i="4"/>
  <c r="Q139" i="4"/>
  <c r="R139" i="4"/>
  <c r="AM139" i="4"/>
  <c r="P139" i="4"/>
  <c r="BD139" i="4"/>
  <c r="K139" i="4"/>
  <c r="F139" i="4"/>
  <c r="BC139" i="4"/>
  <c r="BB139" i="4"/>
  <c r="BA139" i="4"/>
  <c r="AZ139" i="4"/>
  <c r="P126" i="29"/>
  <c r="V126" i="29"/>
  <c r="W126" i="29" s="1"/>
  <c r="BO139" i="4"/>
  <c r="BN139" i="4"/>
  <c r="AW138" i="4"/>
  <c r="AV136" i="4"/>
  <c r="AX136" i="4" s="1"/>
  <c r="AI129" i="29"/>
  <c r="B129" i="29"/>
  <c r="AD130" i="29"/>
  <c r="BM141" i="4"/>
  <c r="B140" i="4"/>
  <c r="BP140" i="4"/>
  <c r="I127" i="29"/>
  <c r="K127" i="29" s="1"/>
  <c r="N127" i="29" s="1"/>
  <c r="J127" i="29"/>
  <c r="Y127" i="29" s="1"/>
  <c r="AK137" i="4"/>
  <c r="AN137" i="4"/>
  <c r="AE138" i="4"/>
  <c r="AJ138" i="4" s="1"/>
  <c r="AC138" i="4"/>
  <c r="BG138" i="4" s="1"/>
  <c r="AF138" i="4"/>
  <c r="AD138" i="4"/>
  <c r="AI138" i="4" s="1"/>
  <c r="Z138" i="4"/>
  <c r="AH138" i="4" s="1"/>
  <c r="Y138" i="4"/>
  <c r="AG138" i="4" s="1"/>
  <c r="Q128" i="29"/>
  <c r="T128" i="29"/>
  <c r="R128" i="29"/>
  <c r="G128" i="29"/>
  <c r="S128" i="29"/>
  <c r="E128" i="29"/>
  <c r="U128" i="29"/>
  <c r="Z127" i="29" l="1"/>
  <c r="BH138" i="4"/>
  <c r="O128" i="29"/>
  <c r="AV137" i="4"/>
  <c r="AX137" i="4" s="1"/>
  <c r="V127" i="29"/>
  <c r="W127" i="29" s="1"/>
  <c r="P127" i="29"/>
  <c r="BP141" i="4"/>
  <c r="B141" i="4"/>
  <c r="BM142" i="4"/>
  <c r="U129" i="29"/>
  <c r="Q129" i="29"/>
  <c r="G129" i="29"/>
  <c r="R129" i="29"/>
  <c r="S129" i="29"/>
  <c r="E129" i="29"/>
  <c r="T129" i="29"/>
  <c r="Z139" i="4"/>
  <c r="AH139" i="4" s="1"/>
  <c r="AD139" i="4"/>
  <c r="AI139" i="4" s="1"/>
  <c r="Y139" i="4"/>
  <c r="AG139" i="4" s="1"/>
  <c r="AE139" i="4"/>
  <c r="AJ139" i="4" s="1"/>
  <c r="AC139" i="4"/>
  <c r="BG139" i="4" s="1"/>
  <c r="AF139" i="4"/>
  <c r="AO137" i="4"/>
  <c r="AE129" i="29"/>
  <c r="AF129" i="29"/>
  <c r="BN140" i="4"/>
  <c r="BO140" i="4"/>
  <c r="BE136" i="4"/>
  <c r="BF136" i="4" s="1"/>
  <c r="AW139" i="4"/>
  <c r="AK138" i="4"/>
  <c r="AN138" i="4"/>
  <c r="K140" i="4"/>
  <c r="F140" i="4"/>
  <c r="AZ140" i="4"/>
  <c r="BC140" i="4"/>
  <c r="BB140" i="4"/>
  <c r="BA140" i="4"/>
  <c r="AY140" i="4"/>
  <c r="Q140" i="4"/>
  <c r="P140" i="4"/>
  <c r="R140" i="4"/>
  <c r="AM140" i="4"/>
  <c r="M140" i="4"/>
  <c r="N140" i="4"/>
  <c r="O140" i="4"/>
  <c r="BD140" i="4"/>
  <c r="AI130" i="29"/>
  <c r="B130" i="29"/>
  <c r="AD131" i="29"/>
  <c r="J128" i="29"/>
  <c r="Y128" i="29" s="1"/>
  <c r="I128" i="29"/>
  <c r="K128" i="29" s="1"/>
  <c r="N128" i="29" s="1"/>
  <c r="Z128" i="29" l="1"/>
  <c r="BE137" i="4"/>
  <c r="BF137" i="4" s="1"/>
  <c r="AV138" i="4"/>
  <c r="AX138" i="4" s="1"/>
  <c r="V128" i="29"/>
  <c r="W128" i="29" s="1"/>
  <c r="P128" i="29"/>
  <c r="AO138" i="4"/>
  <c r="BN141" i="4"/>
  <c r="BO141" i="4"/>
  <c r="T130" i="29"/>
  <c r="G130" i="29"/>
  <c r="R130" i="29"/>
  <c r="Q130" i="29"/>
  <c r="S130" i="29"/>
  <c r="U130" i="29"/>
  <c r="E130" i="29"/>
  <c r="AE140" i="4"/>
  <c r="AJ140" i="4" s="1"/>
  <c r="Y140" i="4"/>
  <c r="AG140" i="4" s="1"/>
  <c r="Z140" i="4"/>
  <c r="AH140" i="4" s="1"/>
  <c r="AC140" i="4"/>
  <c r="BG140" i="4" s="1"/>
  <c r="AD140" i="4"/>
  <c r="AI140" i="4" s="1"/>
  <c r="AF140" i="4"/>
  <c r="O129" i="29"/>
  <c r="AI131" i="29"/>
  <c r="B131" i="29"/>
  <c r="AD132" i="29"/>
  <c r="AE130" i="29"/>
  <c r="AF130" i="29"/>
  <c r="I129" i="29"/>
  <c r="K129" i="29" s="1"/>
  <c r="N129" i="29" s="1"/>
  <c r="J129" i="29"/>
  <c r="Y129" i="29" s="1"/>
  <c r="AK139" i="4"/>
  <c r="AN139" i="4"/>
  <c r="B142" i="4"/>
  <c r="BM143" i="4"/>
  <c r="BP142" i="4"/>
  <c r="AW140" i="4"/>
  <c r="BH139" i="4"/>
  <c r="K141" i="4"/>
  <c r="F141" i="4"/>
  <c r="BD141" i="4"/>
  <c r="BA141" i="4"/>
  <c r="AY141" i="4"/>
  <c r="BC141" i="4"/>
  <c r="BB141" i="4"/>
  <c r="M141" i="4"/>
  <c r="O141" i="4"/>
  <c r="N141" i="4"/>
  <c r="AZ141" i="4"/>
  <c r="R141" i="4"/>
  <c r="Q141" i="4"/>
  <c r="P141" i="4"/>
  <c r="AM141" i="4"/>
  <c r="O130" i="29" l="1"/>
  <c r="BE138" i="4"/>
  <c r="BF138" i="4" s="1"/>
  <c r="AV139" i="4"/>
  <c r="P129" i="29"/>
  <c r="V129" i="29"/>
  <c r="W129" i="29" s="1"/>
  <c r="BD142" i="4"/>
  <c r="BA142" i="4"/>
  <c r="AY142" i="4"/>
  <c r="BC142" i="4"/>
  <c r="M142" i="4"/>
  <c r="N142" i="4"/>
  <c r="BB142" i="4"/>
  <c r="O142" i="4"/>
  <c r="R142" i="4"/>
  <c r="Q142" i="4"/>
  <c r="AM142" i="4"/>
  <c r="P142" i="4"/>
  <c r="F142" i="4"/>
  <c r="AZ142" i="4"/>
  <c r="K142" i="4"/>
  <c r="S131" i="29"/>
  <c r="T131" i="29"/>
  <c r="G131" i="29"/>
  <c r="Q131" i="29"/>
  <c r="E131" i="29"/>
  <c r="U131" i="29"/>
  <c r="R131" i="29"/>
  <c r="AK140" i="4"/>
  <c r="AN140" i="4"/>
  <c r="AO139" i="4"/>
  <c r="J130" i="29"/>
  <c r="Y130" i="29" s="1"/>
  <c r="I130" i="29"/>
  <c r="K130" i="29" s="1"/>
  <c r="N130" i="29" s="1"/>
  <c r="AF131" i="29"/>
  <c r="AE131" i="29"/>
  <c r="Z129" i="29"/>
  <c r="BO142" i="4"/>
  <c r="BN142" i="4"/>
  <c r="Y141" i="4"/>
  <c r="AG141" i="4" s="1"/>
  <c r="Z141" i="4"/>
  <c r="AH141" i="4" s="1"/>
  <c r="AD141" i="4"/>
  <c r="AI141" i="4" s="1"/>
  <c r="AF141" i="4"/>
  <c r="AE141" i="4"/>
  <c r="AJ141" i="4" s="1"/>
  <c r="AC141" i="4"/>
  <c r="BG141" i="4" s="1"/>
  <c r="AW141" i="4"/>
  <c r="BP143" i="4"/>
  <c r="B143" i="4"/>
  <c r="BM144" i="4"/>
  <c r="BM148" i="4" s="1"/>
  <c r="AI132" i="29"/>
  <c r="B132" i="29"/>
  <c r="AD133" i="29"/>
  <c r="BH140" i="4"/>
  <c r="BE139" i="4" l="1"/>
  <c r="BF139" i="4" s="1"/>
  <c r="AX139" i="4"/>
  <c r="B148" i="4"/>
  <c r="BP148" i="4"/>
  <c r="Z130" i="29"/>
  <c r="AV140" i="4"/>
  <c r="AO140" i="4"/>
  <c r="V130" i="29"/>
  <c r="W130" i="29" s="1"/>
  <c r="P130" i="29"/>
  <c r="Q143" i="4"/>
  <c r="O143" i="4"/>
  <c r="P143" i="4"/>
  <c r="R143" i="4"/>
  <c r="BC143" i="4"/>
  <c r="BB143" i="4"/>
  <c r="AZ143" i="4"/>
  <c r="BA143" i="4"/>
  <c r="AM143" i="4"/>
  <c r="AY143" i="4"/>
  <c r="M143" i="4"/>
  <c r="N143" i="4"/>
  <c r="BD143" i="4"/>
  <c r="F143" i="4"/>
  <c r="K143" i="4"/>
  <c r="AI133" i="29"/>
  <c r="B133" i="29"/>
  <c r="AD134" i="29"/>
  <c r="BO143" i="4"/>
  <c r="BN143" i="4"/>
  <c r="BH141" i="4"/>
  <c r="G132" i="29"/>
  <c r="R132" i="29"/>
  <c r="S132" i="29"/>
  <c r="Q132" i="29"/>
  <c r="E132" i="29"/>
  <c r="T132" i="29"/>
  <c r="U132" i="29"/>
  <c r="O131" i="29"/>
  <c r="AE132" i="29"/>
  <c r="AF132" i="29"/>
  <c r="BP144" i="4"/>
  <c r="BM145" i="4"/>
  <c r="BM149" i="4" s="1"/>
  <c r="B144" i="4"/>
  <c r="AK141" i="4"/>
  <c r="AN141" i="4"/>
  <c r="AC142" i="4"/>
  <c r="BG142" i="4" s="1"/>
  <c r="Z142" i="4"/>
  <c r="AH142" i="4" s="1"/>
  <c r="AE142" i="4"/>
  <c r="AJ142" i="4" s="1"/>
  <c r="AD142" i="4"/>
  <c r="AI142" i="4" s="1"/>
  <c r="AF142" i="4"/>
  <c r="Y142" i="4"/>
  <c r="AG142" i="4" s="1"/>
  <c r="I131" i="29"/>
  <c r="K131" i="29" s="1"/>
  <c r="N131" i="29" s="1"/>
  <c r="J131" i="29"/>
  <c r="Y131" i="29" s="1"/>
  <c r="AW142" i="4"/>
  <c r="BE140" i="4" l="1"/>
  <c r="BF140" i="4" s="1"/>
  <c r="AX140" i="4"/>
  <c r="BO148" i="4"/>
  <c r="BN148" i="4"/>
  <c r="BC148" i="4"/>
  <c r="AY148" i="4"/>
  <c r="P148" i="4"/>
  <c r="K148" i="4"/>
  <c r="AZ148" i="4"/>
  <c r="Q148" i="4"/>
  <c r="BB148" i="4"/>
  <c r="O148" i="4"/>
  <c r="F148" i="4"/>
  <c r="BA148" i="4"/>
  <c r="AM148" i="4"/>
  <c r="R148" i="4"/>
  <c r="N148" i="4"/>
  <c r="BD148" i="4"/>
  <c r="M148" i="4"/>
  <c r="B149" i="4"/>
  <c r="BP149" i="4"/>
  <c r="AV141" i="4"/>
  <c r="AX141" i="4" s="1"/>
  <c r="AK142" i="4"/>
  <c r="AN142" i="4"/>
  <c r="Z131" i="29"/>
  <c r="AE143" i="4"/>
  <c r="AJ143" i="4" s="1"/>
  <c r="Z143" i="4"/>
  <c r="AH143" i="4" s="1"/>
  <c r="AC143" i="4"/>
  <c r="BG143" i="4" s="1"/>
  <c r="AD143" i="4"/>
  <c r="AI143" i="4" s="1"/>
  <c r="Y143" i="4"/>
  <c r="AG143" i="4" s="1"/>
  <c r="AF143" i="4"/>
  <c r="U133" i="29"/>
  <c r="T133" i="29"/>
  <c r="S133" i="29"/>
  <c r="G133" i="29"/>
  <c r="R133" i="29"/>
  <c r="E133" i="29"/>
  <c r="Q133" i="29"/>
  <c r="AE133" i="29"/>
  <c r="AF133" i="29"/>
  <c r="AW143" i="4"/>
  <c r="V131" i="29"/>
  <c r="W131" i="29" s="1"/>
  <c r="P131" i="29"/>
  <c r="AI134" i="29"/>
  <c r="B134" i="29"/>
  <c r="AD135" i="29"/>
  <c r="Q144" i="4"/>
  <c r="P144" i="4"/>
  <c r="R144" i="4"/>
  <c r="AM144" i="4"/>
  <c r="K144" i="4"/>
  <c r="F144" i="4"/>
  <c r="AZ144" i="4"/>
  <c r="BC144" i="4"/>
  <c r="BB144" i="4"/>
  <c r="BA144" i="4"/>
  <c r="AY144" i="4"/>
  <c r="M144" i="4"/>
  <c r="N144" i="4"/>
  <c r="O144" i="4"/>
  <c r="BD144" i="4"/>
  <c r="I132" i="29"/>
  <c r="K132" i="29" s="1"/>
  <c r="N132" i="29" s="1"/>
  <c r="J132" i="29"/>
  <c r="Y132" i="29" s="1"/>
  <c r="BM146" i="4"/>
  <c r="BM150" i="4" s="1"/>
  <c r="B145" i="4"/>
  <c r="BP145" i="4"/>
  <c r="BH142" i="4"/>
  <c r="AO141" i="4"/>
  <c r="BN144" i="4"/>
  <c r="BO144" i="4"/>
  <c r="O132" i="29"/>
  <c r="AW148" i="4" l="1"/>
  <c r="AF148" i="4"/>
  <c r="Z148" i="4"/>
  <c r="AH148" i="4" s="1"/>
  <c r="AE148" i="4"/>
  <c r="AJ148" i="4" s="1"/>
  <c r="Y148" i="4"/>
  <c r="AG148" i="4" s="1"/>
  <c r="AD148" i="4"/>
  <c r="AI148" i="4" s="1"/>
  <c r="AC148" i="4"/>
  <c r="BG148" i="4" s="1"/>
  <c r="BO149" i="4"/>
  <c r="BN149" i="4"/>
  <c r="BC149" i="4"/>
  <c r="AY149" i="4"/>
  <c r="P149" i="4"/>
  <c r="K149" i="4"/>
  <c r="BB149" i="4"/>
  <c r="O149" i="4"/>
  <c r="F149" i="4"/>
  <c r="R149" i="4"/>
  <c r="N149" i="4"/>
  <c r="BD149" i="4"/>
  <c r="AZ149" i="4"/>
  <c r="Q149" i="4"/>
  <c r="M149" i="4"/>
  <c r="BA149" i="4"/>
  <c r="AM149" i="4"/>
  <c r="B150" i="4"/>
  <c r="BP150" i="4"/>
  <c r="BH143" i="4"/>
  <c r="AO142" i="4"/>
  <c r="BE141" i="4"/>
  <c r="BF141" i="4" s="1"/>
  <c r="AW144" i="4"/>
  <c r="P132" i="29"/>
  <c r="V132" i="29"/>
  <c r="W132" i="29" s="1"/>
  <c r="Q134" i="29"/>
  <c r="E134" i="29"/>
  <c r="T134" i="29"/>
  <c r="U134" i="29"/>
  <c r="S134" i="29"/>
  <c r="R134" i="29"/>
  <c r="G134" i="29"/>
  <c r="Z132" i="29"/>
  <c r="O145" i="4"/>
  <c r="M145" i="4"/>
  <c r="Q145" i="4"/>
  <c r="F145" i="4"/>
  <c r="BD145" i="4"/>
  <c r="K145" i="4"/>
  <c r="AY145" i="4"/>
  <c r="BC145" i="4"/>
  <c r="BA145" i="4"/>
  <c r="BB145" i="4"/>
  <c r="N145" i="4"/>
  <c r="AZ145" i="4"/>
  <c r="P145" i="4"/>
  <c r="R145" i="4"/>
  <c r="AM145" i="4"/>
  <c r="AE144" i="4"/>
  <c r="AJ144" i="4" s="1"/>
  <c r="AD144" i="4"/>
  <c r="AI144" i="4" s="1"/>
  <c r="Y144" i="4"/>
  <c r="AG144" i="4" s="1"/>
  <c r="Z144" i="4"/>
  <c r="AH144" i="4" s="1"/>
  <c r="AF144" i="4"/>
  <c r="AC144" i="4"/>
  <c r="BG144" i="4" s="1"/>
  <c r="BM147" i="4"/>
  <c r="B146" i="4"/>
  <c r="BP146" i="4"/>
  <c r="AF134" i="29"/>
  <c r="AE134" i="29"/>
  <c r="I133" i="29"/>
  <c r="K133" i="29" s="1"/>
  <c r="N133" i="29" s="1"/>
  <c r="J133" i="29"/>
  <c r="Y133" i="29" s="1"/>
  <c r="O133" i="29"/>
  <c r="BO145" i="4"/>
  <c r="BN145" i="4"/>
  <c r="AI135" i="29"/>
  <c r="AD136" i="29"/>
  <c r="B135" i="29"/>
  <c r="AK143" i="4"/>
  <c r="AN143" i="4"/>
  <c r="AV142" i="4"/>
  <c r="AX142" i="4" l="1"/>
  <c r="BH148" i="4"/>
  <c r="AN148" i="4"/>
  <c r="AK148" i="4"/>
  <c r="AW149" i="4"/>
  <c r="AF149" i="4"/>
  <c r="Z149" i="4"/>
  <c r="AH149" i="4" s="1"/>
  <c r="AE149" i="4"/>
  <c r="AJ149" i="4" s="1"/>
  <c r="AD149" i="4"/>
  <c r="AI149" i="4" s="1"/>
  <c r="AC149" i="4"/>
  <c r="BG149" i="4" s="1"/>
  <c r="Y149" i="4"/>
  <c r="AG149" i="4" s="1"/>
  <c r="BO150" i="4"/>
  <c r="BN150" i="4"/>
  <c r="BC150" i="4"/>
  <c r="AY150" i="4"/>
  <c r="P150" i="4"/>
  <c r="K150" i="4"/>
  <c r="BB150" i="4"/>
  <c r="O150" i="4"/>
  <c r="F150" i="4"/>
  <c r="BA150" i="4"/>
  <c r="AM150" i="4"/>
  <c r="R150" i="4"/>
  <c r="N150" i="4"/>
  <c r="BD150" i="4"/>
  <c r="AZ150" i="4"/>
  <c r="Q150" i="4"/>
  <c r="M150" i="4"/>
  <c r="AO143" i="4"/>
  <c r="AV143" i="4"/>
  <c r="V133" i="29"/>
  <c r="W133" i="29" s="1"/>
  <c r="P133" i="29"/>
  <c r="AW145" i="4"/>
  <c r="E135" i="29"/>
  <c r="S135" i="29"/>
  <c r="Q135" i="29"/>
  <c r="R135" i="29"/>
  <c r="T135" i="29"/>
  <c r="G135" i="29"/>
  <c r="U135" i="29"/>
  <c r="AE145" i="4"/>
  <c r="AJ145" i="4" s="1"/>
  <c r="Z145" i="4"/>
  <c r="AH145" i="4" s="1"/>
  <c r="AF145" i="4"/>
  <c r="AD145" i="4"/>
  <c r="AI145" i="4" s="1"/>
  <c r="AC145" i="4"/>
  <c r="BG145" i="4" s="1"/>
  <c r="Y145" i="4"/>
  <c r="AG145" i="4" s="1"/>
  <c r="BE142" i="4"/>
  <c r="BF142" i="4" s="1"/>
  <c r="AF135" i="29"/>
  <c r="AE135" i="29"/>
  <c r="Z133" i="29"/>
  <c r="F146" i="4"/>
  <c r="AZ146" i="4"/>
  <c r="K146" i="4"/>
  <c r="AY146" i="4"/>
  <c r="BD146" i="4"/>
  <c r="BA146" i="4"/>
  <c r="BC146" i="4"/>
  <c r="BB146" i="4"/>
  <c r="M146" i="4"/>
  <c r="N146" i="4"/>
  <c r="O146" i="4"/>
  <c r="AM146" i="4"/>
  <c r="R146" i="4"/>
  <c r="Q146" i="4"/>
  <c r="P146" i="4"/>
  <c r="BH144" i="4"/>
  <c r="O134" i="29"/>
  <c r="AI136" i="29"/>
  <c r="B136" i="29"/>
  <c r="AD137" i="29"/>
  <c r="I134" i="29"/>
  <c r="K134" i="29" s="1"/>
  <c r="N134" i="29" s="1"/>
  <c r="J134" i="29"/>
  <c r="Y134" i="29" s="1"/>
  <c r="BN146" i="4"/>
  <c r="BO146" i="4"/>
  <c r="AK144" i="4"/>
  <c r="AN144" i="4"/>
  <c r="BP147" i="4"/>
  <c r="B147" i="4"/>
  <c r="BM151" i="4"/>
  <c r="BE143" i="4" l="1"/>
  <c r="BF143" i="4" s="1"/>
  <c r="AX143" i="4"/>
  <c r="AO148" i="4"/>
  <c r="AN149" i="4"/>
  <c r="BH149" i="4"/>
  <c r="AK149" i="4"/>
  <c r="AV148" i="4"/>
  <c r="AW150" i="4"/>
  <c r="AF150" i="4"/>
  <c r="Z150" i="4"/>
  <c r="AH150" i="4" s="1"/>
  <c r="AE150" i="4"/>
  <c r="AJ150" i="4" s="1"/>
  <c r="Y150" i="4"/>
  <c r="AG150" i="4" s="1"/>
  <c r="AD150" i="4"/>
  <c r="AI150" i="4" s="1"/>
  <c r="AC150" i="4"/>
  <c r="BG150" i="4" s="1"/>
  <c r="O135" i="29"/>
  <c r="AO144" i="4"/>
  <c r="BH145" i="4"/>
  <c r="V134" i="29"/>
  <c r="W134" i="29" s="1"/>
  <c r="P134" i="29"/>
  <c r="B151" i="4"/>
  <c r="BP151" i="4"/>
  <c r="BM152" i="4"/>
  <c r="AV144" i="4"/>
  <c r="AX144" i="4" s="1"/>
  <c r="AF136" i="29"/>
  <c r="AE136" i="29"/>
  <c r="I135" i="29"/>
  <c r="K135" i="29" s="1"/>
  <c r="N135" i="29" s="1"/>
  <c r="J135" i="29"/>
  <c r="Y135" i="29" s="1"/>
  <c r="AW146" i="4"/>
  <c r="AK145" i="4"/>
  <c r="AN145" i="4"/>
  <c r="F147" i="4"/>
  <c r="BD147" i="4"/>
  <c r="K147" i="4"/>
  <c r="AZ147" i="4"/>
  <c r="BC147" i="4"/>
  <c r="BB147" i="4"/>
  <c r="BA147" i="4"/>
  <c r="M147" i="4"/>
  <c r="O147" i="4"/>
  <c r="AY147" i="4"/>
  <c r="N147" i="4"/>
  <c r="P147" i="4"/>
  <c r="Q147" i="4"/>
  <c r="AM147" i="4"/>
  <c r="R147" i="4"/>
  <c r="AI137" i="29"/>
  <c r="AD138" i="29"/>
  <c r="B137" i="29"/>
  <c r="Z134" i="29"/>
  <c r="BN147" i="4"/>
  <c r="BO147" i="4"/>
  <c r="AF146" i="4"/>
  <c r="Z146" i="4"/>
  <c r="AH146" i="4" s="1"/>
  <c r="AE146" i="4"/>
  <c r="AJ146" i="4" s="1"/>
  <c r="AC146" i="4"/>
  <c r="BG146" i="4" s="1"/>
  <c r="AD146" i="4"/>
  <c r="AI146" i="4" s="1"/>
  <c r="Y146" i="4"/>
  <c r="AG146" i="4" s="1"/>
  <c r="U136" i="29"/>
  <c r="T136" i="29"/>
  <c r="G136" i="29"/>
  <c r="E136" i="29"/>
  <c r="S136" i="29"/>
  <c r="R136" i="29"/>
  <c r="Q136" i="29"/>
  <c r="Z135" i="29" l="1"/>
  <c r="AX148" i="4"/>
  <c r="AV149" i="4"/>
  <c r="AX149" i="4" s="1"/>
  <c r="BH150" i="4"/>
  <c r="AN150" i="4"/>
  <c r="BE148" i="4"/>
  <c r="AO149" i="4"/>
  <c r="AK150" i="4"/>
  <c r="BH146" i="4"/>
  <c r="AO145" i="4"/>
  <c r="AV145" i="4"/>
  <c r="BB151" i="4"/>
  <c r="BA151" i="4"/>
  <c r="AY151" i="4"/>
  <c r="BC151" i="4"/>
  <c r="Q151" i="4"/>
  <c r="R151" i="4"/>
  <c r="AM151" i="4"/>
  <c r="P151" i="4"/>
  <c r="N151" i="4"/>
  <c r="O151" i="4"/>
  <c r="BD151" i="4"/>
  <c r="M151" i="4"/>
  <c r="F151" i="4"/>
  <c r="AZ151" i="4"/>
  <c r="K151" i="4"/>
  <c r="AD147" i="4"/>
  <c r="AI147" i="4" s="1"/>
  <c r="AF147" i="4"/>
  <c r="Z147" i="4"/>
  <c r="AH147" i="4" s="1"/>
  <c r="Y147" i="4"/>
  <c r="AG147" i="4" s="1"/>
  <c r="AC147" i="4"/>
  <c r="BG147" i="4" s="1"/>
  <c r="AE147" i="4"/>
  <c r="AJ147" i="4" s="1"/>
  <c r="S137" i="29"/>
  <c r="G137" i="29"/>
  <c r="Q137" i="29"/>
  <c r="U137" i="29"/>
  <c r="T137" i="29"/>
  <c r="E137" i="29"/>
  <c r="R137" i="29"/>
  <c r="I136" i="29"/>
  <c r="K136" i="29" s="1"/>
  <c r="N136" i="29" s="1"/>
  <c r="J136" i="29"/>
  <c r="Y136" i="29" s="1"/>
  <c r="AI138" i="29"/>
  <c r="B138" i="29"/>
  <c r="AD139" i="29"/>
  <c r="AW147" i="4"/>
  <c r="BP152" i="4"/>
  <c r="BM153" i="4"/>
  <c r="B152" i="4"/>
  <c r="V135" i="29"/>
  <c r="W135" i="29" s="1"/>
  <c r="P135" i="29"/>
  <c r="O136" i="29"/>
  <c r="AK146" i="4"/>
  <c r="AN146" i="4"/>
  <c r="AE137" i="29"/>
  <c r="AF137" i="29"/>
  <c r="BE144" i="4"/>
  <c r="BF144" i="4" s="1"/>
  <c r="BO151" i="4"/>
  <c r="BN151" i="4"/>
  <c r="BF148" i="4" l="1"/>
  <c r="AV150" i="4"/>
  <c r="AX150" i="4" s="1"/>
  <c r="BE145" i="4"/>
  <c r="BF145" i="4" s="1"/>
  <c r="AX145" i="4"/>
  <c r="BE149" i="4"/>
  <c r="BF149" i="4" s="1"/>
  <c r="AO150" i="4"/>
  <c r="AV146" i="4"/>
  <c r="BH147" i="4"/>
  <c r="V136" i="29"/>
  <c r="W136" i="29" s="1"/>
  <c r="P136" i="29"/>
  <c r="AK147" i="4"/>
  <c r="AN147" i="4"/>
  <c r="AW151" i="4"/>
  <c r="I137" i="29"/>
  <c r="K137" i="29" s="1"/>
  <c r="N137" i="29" s="1"/>
  <c r="J137" i="29"/>
  <c r="Y137" i="29" s="1"/>
  <c r="Z136" i="29"/>
  <c r="BN152" i="4"/>
  <c r="BO152" i="4"/>
  <c r="AE138" i="29"/>
  <c r="AF138" i="29"/>
  <c r="AO146" i="4"/>
  <c r="BB152" i="4"/>
  <c r="BA152" i="4"/>
  <c r="AY152" i="4"/>
  <c r="BC152" i="4"/>
  <c r="AZ152" i="4"/>
  <c r="M152" i="4"/>
  <c r="O152" i="4"/>
  <c r="N152" i="4"/>
  <c r="P152" i="4"/>
  <c r="R152" i="4"/>
  <c r="K152" i="4"/>
  <c r="F152" i="4"/>
  <c r="BD152" i="4"/>
  <c r="AM152" i="4"/>
  <c r="Q152" i="4"/>
  <c r="AI139" i="29"/>
  <c r="AD140" i="29"/>
  <c r="B139" i="29"/>
  <c r="AF151" i="4"/>
  <c r="AC151" i="4"/>
  <c r="BG151" i="4" s="1"/>
  <c r="AE151" i="4"/>
  <c r="AJ151" i="4" s="1"/>
  <c r="Z151" i="4"/>
  <c r="AH151" i="4" s="1"/>
  <c r="Y151" i="4"/>
  <c r="AG151" i="4" s="1"/>
  <c r="AD151" i="4"/>
  <c r="AI151" i="4" s="1"/>
  <c r="BP153" i="4"/>
  <c r="BM154" i="4"/>
  <c r="B153" i="4"/>
  <c r="E138" i="29"/>
  <c r="U138" i="29"/>
  <c r="R138" i="29"/>
  <c r="Q138" i="29"/>
  <c r="S138" i="29"/>
  <c r="G138" i="29"/>
  <c r="T138" i="29"/>
  <c r="O137" i="29"/>
  <c r="BE150" i="4" l="1"/>
  <c r="BF150" i="4" s="1"/>
  <c r="BE146" i="4"/>
  <c r="BF146" i="4" s="1"/>
  <c r="AX146" i="4"/>
  <c r="AV147" i="4"/>
  <c r="AX147" i="4" s="1"/>
  <c r="AO147" i="4"/>
  <c r="Z137" i="29"/>
  <c r="P137" i="29"/>
  <c r="V137" i="29"/>
  <c r="W137" i="29" s="1"/>
  <c r="F153" i="4"/>
  <c r="AZ153" i="4"/>
  <c r="K153" i="4"/>
  <c r="BD153" i="4"/>
  <c r="BA153" i="4"/>
  <c r="AY153" i="4"/>
  <c r="BC153" i="4"/>
  <c r="M153" i="4"/>
  <c r="N153" i="4"/>
  <c r="BB153" i="4"/>
  <c r="O153" i="4"/>
  <c r="Q153" i="4"/>
  <c r="R153" i="4"/>
  <c r="P153" i="4"/>
  <c r="AM153" i="4"/>
  <c r="G139" i="29"/>
  <c r="T139" i="29"/>
  <c r="E139" i="29"/>
  <c r="R139" i="29"/>
  <c r="Q139" i="29"/>
  <c r="U139" i="29"/>
  <c r="S139" i="29"/>
  <c r="AW152" i="4"/>
  <c r="Y152" i="4"/>
  <c r="AG152" i="4" s="1"/>
  <c r="AD152" i="4"/>
  <c r="AI152" i="4" s="1"/>
  <c r="AC152" i="4"/>
  <c r="BG152" i="4" s="1"/>
  <c r="AE152" i="4"/>
  <c r="AJ152" i="4" s="1"/>
  <c r="AF152" i="4"/>
  <c r="Z152" i="4"/>
  <c r="AH152" i="4" s="1"/>
  <c r="O138" i="29"/>
  <c r="BP154" i="4"/>
  <c r="B154" i="4"/>
  <c r="BM155" i="4"/>
  <c r="AI140" i="29"/>
  <c r="AD141" i="29"/>
  <c r="B140" i="29"/>
  <c r="BN153" i="4"/>
  <c r="BO153" i="4"/>
  <c r="AK151" i="4"/>
  <c r="AN151" i="4"/>
  <c r="AF139" i="29"/>
  <c r="AE139" i="29"/>
  <c r="J138" i="29"/>
  <c r="Y138" i="29" s="1"/>
  <c r="I138" i="29"/>
  <c r="K138" i="29" s="1"/>
  <c r="N138" i="29" s="1"/>
  <c r="BH151" i="4"/>
  <c r="BE147" i="4" l="1"/>
  <c r="BF147" i="4" s="1"/>
  <c r="AV151" i="4"/>
  <c r="AO151" i="4"/>
  <c r="P138" i="29"/>
  <c r="V138" i="29"/>
  <c r="W138" i="29" s="1"/>
  <c r="R140" i="29"/>
  <c r="T140" i="29"/>
  <c r="E140" i="29"/>
  <c r="S140" i="29"/>
  <c r="U140" i="29"/>
  <c r="G140" i="29"/>
  <c r="Q140" i="29"/>
  <c r="BM156" i="4"/>
  <c r="B155" i="4"/>
  <c r="BP155" i="4"/>
  <c r="AW153" i="4"/>
  <c r="O139" i="29"/>
  <c r="AE140" i="29"/>
  <c r="AF140" i="29"/>
  <c r="BO154" i="4"/>
  <c r="BN154" i="4"/>
  <c r="BH152" i="4"/>
  <c r="I139" i="29"/>
  <c r="K139" i="29" s="1"/>
  <c r="N139" i="29" s="1"/>
  <c r="J139" i="29"/>
  <c r="Y139" i="29" s="1"/>
  <c r="AC153" i="4"/>
  <c r="BG153" i="4" s="1"/>
  <c r="AD153" i="4"/>
  <c r="AI153" i="4" s="1"/>
  <c r="AF153" i="4"/>
  <c r="AK153" i="4" s="1"/>
  <c r="AE153" i="4"/>
  <c r="AJ153" i="4" s="1"/>
  <c r="Z153" i="4"/>
  <c r="AH153" i="4" s="1"/>
  <c r="Y153" i="4"/>
  <c r="AG153" i="4" s="1"/>
  <c r="Z138" i="29"/>
  <c r="AK152" i="4"/>
  <c r="AN152" i="4"/>
  <c r="AI141" i="29"/>
  <c r="AD142" i="29"/>
  <c r="B141" i="29"/>
  <c r="K154" i="4"/>
  <c r="F154" i="4"/>
  <c r="BD154" i="4"/>
  <c r="BB154" i="4"/>
  <c r="BA154" i="4"/>
  <c r="AZ154" i="4"/>
  <c r="BC154" i="4"/>
  <c r="AY154" i="4"/>
  <c r="N154" i="4"/>
  <c r="M154" i="4"/>
  <c r="O154" i="4"/>
  <c r="AM154" i="4"/>
  <c r="R154" i="4"/>
  <c r="P154" i="4"/>
  <c r="Q154" i="4"/>
  <c r="BH153" i="4" l="1"/>
  <c r="BE151" i="4"/>
  <c r="BF151" i="4" s="1"/>
  <c r="AX151" i="4"/>
  <c r="AO152" i="4"/>
  <c r="AV152" i="4"/>
  <c r="AX152" i="4" s="1"/>
  <c r="BC155" i="4"/>
  <c r="BB155" i="4"/>
  <c r="BA155" i="4"/>
  <c r="O155" i="4"/>
  <c r="R155" i="4"/>
  <c r="Q155" i="4"/>
  <c r="BD155" i="4"/>
  <c r="M155" i="4"/>
  <c r="N155" i="4"/>
  <c r="P155" i="4"/>
  <c r="AY155" i="4"/>
  <c r="K155" i="4"/>
  <c r="F155" i="4"/>
  <c r="AZ155" i="4"/>
  <c r="AM155" i="4"/>
  <c r="O140" i="29"/>
  <c r="AW154" i="4"/>
  <c r="U141" i="29"/>
  <c r="Q141" i="29"/>
  <c r="T141" i="29"/>
  <c r="G141" i="29"/>
  <c r="R141" i="29"/>
  <c r="E141" i="29"/>
  <c r="S141" i="29"/>
  <c r="I140" i="29"/>
  <c r="K140" i="29" s="1"/>
  <c r="N140" i="29" s="1"/>
  <c r="J140" i="29"/>
  <c r="Y140" i="29" s="1"/>
  <c r="B156" i="4"/>
  <c r="BM157" i="4"/>
  <c r="BP156" i="4"/>
  <c r="AI142" i="29"/>
  <c r="B142" i="29"/>
  <c r="AD143" i="29"/>
  <c r="AF154" i="4"/>
  <c r="Y154" i="4"/>
  <c r="AG154" i="4" s="1"/>
  <c r="AC154" i="4"/>
  <c r="BG154" i="4" s="1"/>
  <c r="AE154" i="4"/>
  <c r="AJ154" i="4" s="1"/>
  <c r="AD154" i="4"/>
  <c r="AI154" i="4" s="1"/>
  <c r="Z154" i="4"/>
  <c r="AH154" i="4" s="1"/>
  <c r="Z139" i="29"/>
  <c r="AF141" i="29"/>
  <c r="AE141" i="29"/>
  <c r="V139" i="29"/>
  <c r="W139" i="29" s="1"/>
  <c r="P139" i="29"/>
  <c r="AN153" i="4"/>
  <c r="BO155" i="4"/>
  <c r="BN155" i="4"/>
  <c r="AO153" i="4" l="1"/>
  <c r="BE152" i="4"/>
  <c r="BF152" i="4" s="1"/>
  <c r="V140" i="29"/>
  <c r="W140" i="29" s="1"/>
  <c r="P140" i="29"/>
  <c r="AZ156" i="4"/>
  <c r="M156" i="4"/>
  <c r="O156" i="4"/>
  <c r="N156" i="4"/>
  <c r="K156" i="4"/>
  <c r="F156" i="4"/>
  <c r="BD156" i="4"/>
  <c r="BB156" i="4"/>
  <c r="BA156" i="4"/>
  <c r="AY156" i="4"/>
  <c r="BC156" i="4"/>
  <c r="AM156" i="4"/>
  <c r="P156" i="4"/>
  <c r="R156" i="4"/>
  <c r="Q156" i="4"/>
  <c r="AE142" i="29"/>
  <c r="AF142" i="29"/>
  <c r="B157" i="4"/>
  <c r="BM158" i="4"/>
  <c r="BP157" i="4"/>
  <c r="Z140" i="29"/>
  <c r="AW155" i="4"/>
  <c r="AV153" i="4"/>
  <c r="Z155" i="4"/>
  <c r="AH155" i="4" s="1"/>
  <c r="AC155" i="4"/>
  <c r="BG155" i="4" s="1"/>
  <c r="AE155" i="4"/>
  <c r="AJ155" i="4" s="1"/>
  <c r="Y155" i="4"/>
  <c r="AG155" i="4" s="1"/>
  <c r="AD155" i="4"/>
  <c r="AI155" i="4" s="1"/>
  <c r="AF155" i="4"/>
  <c r="J141" i="29"/>
  <c r="Y141" i="29" s="1"/>
  <c r="I141" i="29"/>
  <c r="K141" i="29" s="1"/>
  <c r="N141" i="29" s="1"/>
  <c r="BH154" i="4"/>
  <c r="AI143" i="29"/>
  <c r="B143" i="29"/>
  <c r="AD144" i="29"/>
  <c r="O141" i="29"/>
  <c r="AK154" i="4"/>
  <c r="AN154" i="4"/>
  <c r="Q142" i="29"/>
  <c r="T142" i="29"/>
  <c r="S142" i="29"/>
  <c r="E142" i="29"/>
  <c r="U142" i="29"/>
  <c r="R142" i="29"/>
  <c r="G142" i="29"/>
  <c r="BN156" i="4"/>
  <c r="BO156" i="4"/>
  <c r="AX153" i="4" l="1"/>
  <c r="BH155" i="4"/>
  <c r="AV154" i="4"/>
  <c r="V141" i="29"/>
  <c r="W141" i="29" s="1"/>
  <c r="P141" i="29"/>
  <c r="O142" i="29"/>
  <c r="AF156" i="4"/>
  <c r="Z156" i="4"/>
  <c r="AH156" i="4" s="1"/>
  <c r="AE156" i="4"/>
  <c r="AJ156" i="4" s="1"/>
  <c r="AC156" i="4"/>
  <c r="BG156" i="4" s="1"/>
  <c r="Y156" i="4"/>
  <c r="AG156" i="4" s="1"/>
  <c r="AD156" i="4"/>
  <c r="AI156" i="4" s="1"/>
  <c r="AO154" i="4"/>
  <c r="BP158" i="4"/>
  <c r="BM159" i="4"/>
  <c r="B158" i="4"/>
  <c r="J142" i="29"/>
  <c r="Y142" i="29" s="1"/>
  <c r="I142" i="29"/>
  <c r="K142" i="29" s="1"/>
  <c r="N142" i="29" s="1"/>
  <c r="AI144" i="29"/>
  <c r="B144" i="29"/>
  <c r="AD145" i="29"/>
  <c r="P157" i="4"/>
  <c r="H157" i="4"/>
  <c r="N157" i="4"/>
  <c r="AY157" i="4"/>
  <c r="O157" i="4"/>
  <c r="M157" i="4"/>
  <c r="BA157" i="4"/>
  <c r="J157" i="4"/>
  <c r="K157" i="4"/>
  <c r="F157" i="4"/>
  <c r="R157" i="4"/>
  <c r="AM157" i="4"/>
  <c r="BB157" i="4"/>
  <c r="BC157" i="4"/>
  <c r="BD157" i="4"/>
  <c r="AZ157" i="4"/>
  <c r="Q157" i="4"/>
  <c r="I157" i="4"/>
  <c r="U143" i="29"/>
  <c r="E143" i="29"/>
  <c r="S143" i="29"/>
  <c r="Q143" i="29"/>
  <c r="G143" i="29"/>
  <c r="R143" i="29"/>
  <c r="T143" i="29"/>
  <c r="AK155" i="4"/>
  <c r="AN155" i="4"/>
  <c r="Z141" i="29"/>
  <c r="AF143" i="29"/>
  <c r="AE143" i="29"/>
  <c r="BE153" i="4"/>
  <c r="BO157" i="4"/>
  <c r="BN157" i="4"/>
  <c r="AW156" i="4"/>
  <c r="BF153" i="4" l="1"/>
  <c r="BE154" i="4"/>
  <c r="BF154" i="4" s="1"/>
  <c r="AX154" i="4"/>
  <c r="AO155" i="4"/>
  <c r="BH156" i="4"/>
  <c r="AV155" i="4"/>
  <c r="AW157" i="4"/>
  <c r="BN158" i="4"/>
  <c r="BO158" i="4"/>
  <c r="AK156" i="4"/>
  <c r="AN156" i="4"/>
  <c r="Z142" i="29"/>
  <c r="AA157" i="4"/>
  <c r="AF157" i="4"/>
  <c r="AE157" i="4"/>
  <c r="AJ157" i="4" s="1"/>
  <c r="AB157" i="4"/>
  <c r="Y157" i="4"/>
  <c r="AG157" i="4" s="1"/>
  <c r="AD157" i="4"/>
  <c r="AI157" i="4" s="1"/>
  <c r="AC157" i="4"/>
  <c r="BG157" i="4" s="1"/>
  <c r="Z157" i="4"/>
  <c r="O143" i="29"/>
  <c r="AI145" i="29"/>
  <c r="B145" i="29"/>
  <c r="AD146" i="29"/>
  <c r="V142" i="29"/>
  <c r="W142" i="29" s="1"/>
  <c r="P142" i="29"/>
  <c r="J143" i="29"/>
  <c r="Y143" i="29" s="1"/>
  <c r="I143" i="29"/>
  <c r="K143" i="29" s="1"/>
  <c r="N143" i="29" s="1"/>
  <c r="E144" i="29"/>
  <c r="U144" i="29"/>
  <c r="T144" i="29"/>
  <c r="R144" i="29"/>
  <c r="S144" i="29"/>
  <c r="G144" i="29"/>
  <c r="Q144" i="29"/>
  <c r="Q158" i="4"/>
  <c r="AM158" i="4"/>
  <c r="P158" i="4"/>
  <c r="R158" i="4"/>
  <c r="F158" i="4"/>
  <c r="BC158" i="4"/>
  <c r="AZ158" i="4"/>
  <c r="BA158" i="4"/>
  <c r="O158" i="4"/>
  <c r="AY158" i="4"/>
  <c r="M158" i="4"/>
  <c r="N158" i="4"/>
  <c r="BD158" i="4"/>
  <c r="K158" i="4"/>
  <c r="BB158" i="4"/>
  <c r="AF144" i="29"/>
  <c r="AE144" i="29"/>
  <c r="BM160" i="4"/>
  <c r="B159" i="4"/>
  <c r="BP159" i="4"/>
  <c r="BE155" i="4" l="1"/>
  <c r="BF155" i="4" s="1"/>
  <c r="AX155" i="4"/>
  <c r="AO156" i="4"/>
  <c r="AH157" i="4"/>
  <c r="BH157" i="4" s="1"/>
  <c r="AV156" i="4"/>
  <c r="P143" i="29"/>
  <c r="V143" i="29"/>
  <c r="W143" i="29" s="1"/>
  <c r="AI146" i="29"/>
  <c r="B146" i="29"/>
  <c r="AD147" i="29"/>
  <c r="I144" i="29"/>
  <c r="K144" i="29" s="1"/>
  <c r="N144" i="29" s="1"/>
  <c r="J144" i="29"/>
  <c r="Y144" i="29" s="1"/>
  <c r="BB159" i="4"/>
  <c r="BA159" i="4"/>
  <c r="AY159" i="4"/>
  <c r="BC159" i="4"/>
  <c r="N159" i="4"/>
  <c r="Q159" i="4"/>
  <c r="BD159" i="4"/>
  <c r="M159" i="4"/>
  <c r="P159" i="4"/>
  <c r="R159" i="4"/>
  <c r="AM159" i="4"/>
  <c r="O159" i="4"/>
  <c r="F159" i="4"/>
  <c r="AZ159" i="4"/>
  <c r="K159" i="4"/>
  <c r="AW158" i="4"/>
  <c r="E145" i="29"/>
  <c r="S145" i="29"/>
  <c r="Q145" i="29"/>
  <c r="T145" i="29"/>
  <c r="U145" i="29"/>
  <c r="G145" i="29"/>
  <c r="R145" i="29"/>
  <c r="AK157" i="4"/>
  <c r="AN157" i="4"/>
  <c r="BO159" i="4"/>
  <c r="BN159" i="4"/>
  <c r="BM161" i="4"/>
  <c r="B160" i="4"/>
  <c r="BP160" i="4"/>
  <c r="AE145" i="29"/>
  <c r="AF145" i="29"/>
  <c r="Z143" i="29"/>
  <c r="AF158" i="4"/>
  <c r="Y158" i="4"/>
  <c r="AG158" i="4" s="1"/>
  <c r="AD158" i="4"/>
  <c r="AI158" i="4" s="1"/>
  <c r="AC158" i="4"/>
  <c r="BG158" i="4" s="1"/>
  <c r="AE158" i="4"/>
  <c r="AJ158" i="4" s="1"/>
  <c r="Z158" i="4"/>
  <c r="AH158" i="4" s="1"/>
  <c r="O144" i="29"/>
  <c r="BE156" i="4" l="1"/>
  <c r="BF156" i="4" s="1"/>
  <c r="AX156" i="4"/>
  <c r="AV157" i="4"/>
  <c r="AO157" i="4"/>
  <c r="P144" i="29"/>
  <c r="V144" i="29"/>
  <c r="W144" i="29" s="1"/>
  <c r="BP161" i="4"/>
  <c r="B161" i="4"/>
  <c r="BM162" i="4"/>
  <c r="Z144" i="29"/>
  <c r="J145" i="29"/>
  <c r="Y145" i="29" s="1"/>
  <c r="I145" i="29"/>
  <c r="K145" i="29" s="1"/>
  <c r="N145" i="29" s="1"/>
  <c r="Y159" i="4"/>
  <c r="AG159" i="4" s="1"/>
  <c r="AF159" i="4"/>
  <c r="AC159" i="4"/>
  <c r="BG159" i="4" s="1"/>
  <c r="AE159" i="4"/>
  <c r="AD159" i="4"/>
  <c r="Z159" i="4"/>
  <c r="AH159" i="4" s="1"/>
  <c r="O145" i="29"/>
  <c r="V159" i="4"/>
  <c r="S159" i="4"/>
  <c r="AI147" i="29"/>
  <c r="B147" i="29"/>
  <c r="AD148" i="29"/>
  <c r="AK158" i="4"/>
  <c r="AN158" i="4"/>
  <c r="BO160" i="4"/>
  <c r="BN160" i="4"/>
  <c r="BH158" i="4"/>
  <c r="BD160" i="4"/>
  <c r="K160" i="4"/>
  <c r="F160" i="4"/>
  <c r="BB160" i="4"/>
  <c r="BA160" i="4"/>
  <c r="BC160" i="4"/>
  <c r="AY160" i="4"/>
  <c r="AM160" i="4"/>
  <c r="AZ160" i="4"/>
  <c r="M160" i="4"/>
  <c r="O160" i="4"/>
  <c r="R160" i="4"/>
  <c r="N160" i="4"/>
  <c r="Q160" i="4"/>
  <c r="P160" i="4"/>
  <c r="U146" i="29"/>
  <c r="S146" i="29"/>
  <c r="Q146" i="29"/>
  <c r="G146" i="29"/>
  <c r="R146" i="29"/>
  <c r="E146" i="29"/>
  <c r="T146" i="29"/>
  <c r="AW159" i="4"/>
  <c r="AF146" i="29"/>
  <c r="AE146" i="29"/>
  <c r="X159" i="4"/>
  <c r="U159" i="4"/>
  <c r="W159" i="4"/>
  <c r="T159" i="4"/>
  <c r="AQ473" i="4"/>
  <c r="AX157" i="4" l="1"/>
  <c r="AI159" i="4"/>
  <c r="BE157" i="4"/>
  <c r="BF157" i="4" s="1"/>
  <c r="AO158" i="4"/>
  <c r="BH159" i="4"/>
  <c r="O146" i="29"/>
  <c r="AW160" i="4"/>
  <c r="AF160" i="4"/>
  <c r="Y160" i="4"/>
  <c r="AG160" i="4" s="1"/>
  <c r="Z160" i="4"/>
  <c r="AH160" i="4" s="1"/>
  <c r="AC160" i="4"/>
  <c r="BG160" i="4" s="1"/>
  <c r="AE160" i="4"/>
  <c r="AJ160" i="4" s="1"/>
  <c r="AD160" i="4"/>
  <c r="AI160" i="4" s="1"/>
  <c r="AF147" i="29"/>
  <c r="AE147" i="29"/>
  <c r="J146" i="29"/>
  <c r="Y146" i="29" s="1"/>
  <c r="I146" i="29"/>
  <c r="K146" i="29" s="1"/>
  <c r="N146" i="29" s="1"/>
  <c r="AN159" i="4"/>
  <c r="X473" i="4"/>
  <c r="AJ159" i="4"/>
  <c r="W473" i="4"/>
  <c r="BM163" i="4"/>
  <c r="BP162" i="4"/>
  <c r="B162" i="4"/>
  <c r="AV158" i="4"/>
  <c r="AX158" i="4" s="1"/>
  <c r="AI148" i="29"/>
  <c r="AD149" i="29"/>
  <c r="B148" i="29"/>
  <c r="V145" i="29"/>
  <c r="W145" i="29" s="1"/>
  <c r="P145" i="29"/>
  <c r="Z145" i="29"/>
  <c r="K161" i="4"/>
  <c r="F161" i="4"/>
  <c r="AY161" i="4"/>
  <c r="BB161" i="4"/>
  <c r="BD161" i="4"/>
  <c r="BA161" i="4"/>
  <c r="BC161" i="4"/>
  <c r="O161" i="4"/>
  <c r="M161" i="4"/>
  <c r="N161" i="4"/>
  <c r="AZ161" i="4"/>
  <c r="R161" i="4"/>
  <c r="Q161" i="4"/>
  <c r="P161" i="4"/>
  <c r="AM161" i="4"/>
  <c r="AK159" i="4"/>
  <c r="G147" i="29"/>
  <c r="S147" i="29"/>
  <c r="U147" i="29"/>
  <c r="Q147" i="29"/>
  <c r="E147" i="29"/>
  <c r="T147" i="29"/>
  <c r="R147" i="29"/>
  <c r="V473" i="4"/>
  <c r="BN161" i="4"/>
  <c r="BO161" i="4"/>
  <c r="Z146" i="29" l="1"/>
  <c r="AO159" i="4"/>
  <c r="BH160" i="4"/>
  <c r="P146" i="29"/>
  <c r="V146" i="29"/>
  <c r="W146" i="29" s="1"/>
  <c r="O147" i="29"/>
  <c r="AV159" i="4"/>
  <c r="AW161" i="4"/>
  <c r="AI149" i="29"/>
  <c r="B149" i="29"/>
  <c r="AD150" i="29"/>
  <c r="BE158" i="4"/>
  <c r="BF158" i="4" s="1"/>
  <c r="BO162" i="4"/>
  <c r="BN162" i="4"/>
  <c r="J147" i="29"/>
  <c r="Y147" i="29" s="1"/>
  <c r="I147" i="29"/>
  <c r="K147" i="29" s="1"/>
  <c r="N147" i="29" s="1"/>
  <c r="AF148" i="29"/>
  <c r="AE148" i="29"/>
  <c r="BP163" i="4"/>
  <c r="B163" i="4"/>
  <c r="BM164" i="4"/>
  <c r="AE161" i="4"/>
  <c r="AJ161" i="4" s="1"/>
  <c r="AD161" i="4"/>
  <c r="AI161" i="4" s="1"/>
  <c r="AF161" i="4"/>
  <c r="Z161" i="4"/>
  <c r="AH161" i="4" s="1"/>
  <c r="Y161" i="4"/>
  <c r="AG161" i="4" s="1"/>
  <c r="AC161" i="4"/>
  <c r="BG161" i="4" s="1"/>
  <c r="AP160" i="4"/>
  <c r="AP478" i="4" s="1"/>
  <c r="AP480" i="4" s="1"/>
  <c r="E148" i="29"/>
  <c r="G148" i="29"/>
  <c r="S148" i="29"/>
  <c r="Q148" i="29"/>
  <c r="R148" i="29"/>
  <c r="U148" i="29"/>
  <c r="T148" i="29"/>
  <c r="F162" i="4"/>
  <c r="BA162" i="4"/>
  <c r="K162" i="4"/>
  <c r="O162" i="4"/>
  <c r="R162" i="4"/>
  <c r="Q162" i="4"/>
  <c r="P162" i="4"/>
  <c r="BB162" i="4"/>
  <c r="BC162" i="4"/>
  <c r="AZ162" i="4"/>
  <c r="BD162" i="4"/>
  <c r="AY162" i="4"/>
  <c r="M162" i="4"/>
  <c r="AM162" i="4"/>
  <c r="N162" i="4"/>
  <c r="AK160" i="4"/>
  <c r="AN160" i="4"/>
  <c r="BE159" i="4" l="1"/>
  <c r="BF159" i="4" s="1"/>
  <c r="AX159" i="4"/>
  <c r="H256" i="19"/>
  <c r="Z147" i="29"/>
  <c r="AO160" i="4"/>
  <c r="AV160" i="4"/>
  <c r="BH161" i="4"/>
  <c r="P147" i="29"/>
  <c r="V147" i="29"/>
  <c r="W147" i="29" s="1"/>
  <c r="O148" i="29"/>
  <c r="AY163" i="4"/>
  <c r="F163" i="4"/>
  <c r="K163" i="4"/>
  <c r="AZ163" i="4"/>
  <c r="BB163" i="4"/>
  <c r="BC163" i="4"/>
  <c r="BA163" i="4"/>
  <c r="O163" i="4"/>
  <c r="N163" i="4"/>
  <c r="BD163" i="4"/>
  <c r="M163" i="4"/>
  <c r="Q163" i="4"/>
  <c r="P163" i="4"/>
  <c r="AM163" i="4"/>
  <c r="R163" i="4"/>
  <c r="AD162" i="4"/>
  <c r="AI162" i="4" s="1"/>
  <c r="AF162" i="4"/>
  <c r="AC162" i="4"/>
  <c r="BG162" i="4" s="1"/>
  <c r="Z162" i="4"/>
  <c r="AH162" i="4" s="1"/>
  <c r="Y162" i="4"/>
  <c r="AG162" i="4" s="1"/>
  <c r="AE162" i="4"/>
  <c r="AJ162" i="4" s="1"/>
  <c r="AI150" i="29"/>
  <c r="AD151" i="29"/>
  <c r="B150" i="29"/>
  <c r="AW162" i="4"/>
  <c r="AP473" i="4"/>
  <c r="BO163" i="4"/>
  <c r="BN163" i="4"/>
  <c r="Q149" i="29"/>
  <c r="T149" i="29"/>
  <c r="S149" i="29"/>
  <c r="G149" i="29"/>
  <c r="E149" i="29"/>
  <c r="U149" i="29"/>
  <c r="R149" i="29"/>
  <c r="AK161" i="4"/>
  <c r="AN161" i="4"/>
  <c r="I148" i="29"/>
  <c r="K148" i="29" s="1"/>
  <c r="N148" i="29" s="1"/>
  <c r="J148" i="29"/>
  <c r="Y148" i="29" s="1"/>
  <c r="AF149" i="29"/>
  <c r="AE149" i="29"/>
  <c r="B164" i="4"/>
  <c r="BP164" i="4"/>
  <c r="BM165" i="4"/>
  <c r="AX160" i="4" l="1"/>
  <c r="BE160" i="4"/>
  <c r="AO161" i="4"/>
  <c r="BH162" i="4"/>
  <c r="O149" i="29"/>
  <c r="AV161" i="4"/>
  <c r="AX161" i="4" s="1"/>
  <c r="P148" i="29"/>
  <c r="V148" i="29"/>
  <c r="W148" i="29" s="1"/>
  <c r="AE163" i="4"/>
  <c r="AJ163" i="4" s="1"/>
  <c r="AF163" i="4"/>
  <c r="AD163" i="4"/>
  <c r="AI163" i="4" s="1"/>
  <c r="Z163" i="4"/>
  <c r="AH163" i="4" s="1"/>
  <c r="Y163" i="4"/>
  <c r="AG163" i="4" s="1"/>
  <c r="AC163" i="4"/>
  <c r="BG163" i="4" s="1"/>
  <c r="AI151" i="29"/>
  <c r="B151" i="29"/>
  <c r="AD152" i="29"/>
  <c r="AW163" i="4"/>
  <c r="BO164" i="4"/>
  <c r="BN164" i="4"/>
  <c r="K164" i="4"/>
  <c r="F164" i="4"/>
  <c r="BA164" i="4"/>
  <c r="AZ164" i="4"/>
  <c r="BB164" i="4"/>
  <c r="AY164" i="4"/>
  <c r="BC164" i="4"/>
  <c r="BD164" i="4"/>
  <c r="M164" i="4"/>
  <c r="O164" i="4"/>
  <c r="N164" i="4"/>
  <c r="AM164" i="4"/>
  <c r="Q164" i="4"/>
  <c r="P164" i="4"/>
  <c r="R164" i="4"/>
  <c r="BP165" i="4"/>
  <c r="B165" i="4"/>
  <c r="BM166" i="4"/>
  <c r="I149" i="29"/>
  <c r="K149" i="29" s="1"/>
  <c r="N149" i="29" s="1"/>
  <c r="J149" i="29"/>
  <c r="Y149" i="29" s="1"/>
  <c r="AF150" i="29"/>
  <c r="AE150" i="29"/>
  <c r="Z148" i="29"/>
  <c r="AK162" i="4"/>
  <c r="AN162" i="4"/>
  <c r="S150" i="29"/>
  <c r="Q150" i="29"/>
  <c r="E150" i="29"/>
  <c r="U150" i="29"/>
  <c r="T150" i="29"/>
  <c r="R150" i="29"/>
  <c r="G150" i="29"/>
  <c r="BF160" i="4" l="1"/>
  <c r="Z149" i="29"/>
  <c r="AO162" i="4"/>
  <c r="BE161" i="4"/>
  <c r="BF161" i="4" s="1"/>
  <c r="AV162" i="4"/>
  <c r="BH163" i="4"/>
  <c r="AW164" i="4"/>
  <c r="P149" i="29"/>
  <c r="V149" i="29"/>
  <c r="W149" i="29" s="1"/>
  <c r="E151" i="29"/>
  <c r="R151" i="29"/>
  <c r="T151" i="29"/>
  <c r="G151" i="29"/>
  <c r="U151" i="29"/>
  <c r="Q151" i="29"/>
  <c r="S151" i="29"/>
  <c r="O150" i="29"/>
  <c r="I150" i="29"/>
  <c r="K150" i="29" s="1"/>
  <c r="N150" i="29" s="1"/>
  <c r="J150" i="29"/>
  <c r="Y150" i="29" s="1"/>
  <c r="BM167" i="4"/>
  <c r="BP166" i="4"/>
  <c r="B166" i="4"/>
  <c r="AE164" i="4"/>
  <c r="AJ164" i="4" s="1"/>
  <c r="AC164" i="4"/>
  <c r="BG164" i="4" s="1"/>
  <c r="AD164" i="4"/>
  <c r="AI164" i="4" s="1"/>
  <c r="AF164" i="4"/>
  <c r="Z164" i="4"/>
  <c r="AH164" i="4" s="1"/>
  <c r="Y164" i="4"/>
  <c r="AG164" i="4" s="1"/>
  <c r="AF151" i="29"/>
  <c r="AE151" i="29"/>
  <c r="AZ165" i="4"/>
  <c r="BA165" i="4"/>
  <c r="BC165" i="4"/>
  <c r="BD165" i="4"/>
  <c r="Q165" i="4"/>
  <c r="P165" i="4"/>
  <c r="AM165" i="4"/>
  <c r="R165" i="4"/>
  <c r="K165" i="4"/>
  <c r="F165" i="4"/>
  <c r="AY165" i="4"/>
  <c r="O165" i="4"/>
  <c r="M165" i="4"/>
  <c r="BB165" i="4"/>
  <c r="N165" i="4"/>
  <c r="AK163" i="4"/>
  <c r="AN163" i="4"/>
  <c r="BN165" i="4"/>
  <c r="BO165" i="4"/>
  <c r="AI152" i="29"/>
  <c r="B152" i="29"/>
  <c r="AD153" i="29"/>
  <c r="BE162" i="4" l="1"/>
  <c r="BF162" i="4" s="1"/>
  <c r="AX162" i="4"/>
  <c r="AV163" i="4"/>
  <c r="AX163" i="4" s="1"/>
  <c r="BH164" i="4"/>
  <c r="AO163" i="4"/>
  <c r="G152" i="29"/>
  <c r="E152" i="29"/>
  <c r="Q152" i="29"/>
  <c r="T152" i="29"/>
  <c r="R152" i="29"/>
  <c r="U152" i="29"/>
  <c r="S152" i="29"/>
  <c r="AW165" i="4"/>
  <c r="BP167" i="4"/>
  <c r="B167" i="4"/>
  <c r="BM168" i="4"/>
  <c r="J151" i="29"/>
  <c r="Y151" i="29" s="1"/>
  <c r="I151" i="29"/>
  <c r="K151" i="29" s="1"/>
  <c r="N151" i="29" s="1"/>
  <c r="AI153" i="29"/>
  <c r="AD154" i="29"/>
  <c r="B153" i="29"/>
  <c r="AF152" i="29"/>
  <c r="AE152" i="29"/>
  <c r="AD165" i="4"/>
  <c r="AI165" i="4" s="1"/>
  <c r="Y165" i="4"/>
  <c r="AG165" i="4" s="1"/>
  <c r="Z165" i="4"/>
  <c r="AH165" i="4" s="1"/>
  <c r="AF165" i="4"/>
  <c r="AE165" i="4"/>
  <c r="AJ165" i="4" s="1"/>
  <c r="AC165" i="4"/>
  <c r="BG165" i="4" s="1"/>
  <c r="P150" i="29"/>
  <c r="V150" i="29"/>
  <c r="W150" i="29" s="1"/>
  <c r="BA166" i="4"/>
  <c r="K166" i="4"/>
  <c r="F166" i="4"/>
  <c r="BC166" i="4"/>
  <c r="AY166" i="4"/>
  <c r="AZ166" i="4"/>
  <c r="BD166" i="4"/>
  <c r="O166" i="4"/>
  <c r="BB166" i="4"/>
  <c r="N166" i="4"/>
  <c r="M166" i="4"/>
  <c r="Q166" i="4"/>
  <c r="AM166" i="4"/>
  <c r="P166" i="4"/>
  <c r="R166" i="4"/>
  <c r="Z150" i="29"/>
  <c r="AK164" i="4"/>
  <c r="AN164" i="4"/>
  <c r="BN166" i="4"/>
  <c r="BO166" i="4"/>
  <c r="O151" i="29"/>
  <c r="BE163" i="4" l="1"/>
  <c r="BF163" i="4" s="1"/>
  <c r="AV164" i="4"/>
  <c r="AW166" i="4"/>
  <c r="J152" i="29"/>
  <c r="Y152" i="29" s="1"/>
  <c r="I152" i="29"/>
  <c r="K152" i="29" s="1"/>
  <c r="N152" i="29" s="1"/>
  <c r="BM169" i="4"/>
  <c r="B168" i="4"/>
  <c r="BP168" i="4"/>
  <c r="P151" i="29"/>
  <c r="V151" i="29"/>
  <c r="W151" i="29" s="1"/>
  <c r="Y166" i="4"/>
  <c r="AG166" i="4" s="1"/>
  <c r="AD166" i="4"/>
  <c r="AI166" i="4" s="1"/>
  <c r="Z166" i="4"/>
  <c r="AH166" i="4" s="1"/>
  <c r="AF166" i="4"/>
  <c r="AE166" i="4"/>
  <c r="AJ166" i="4" s="1"/>
  <c r="AC166" i="4"/>
  <c r="BG166" i="4" s="1"/>
  <c r="Z151" i="29"/>
  <c r="AO164" i="4"/>
  <c r="S153" i="29"/>
  <c r="Q153" i="29"/>
  <c r="U153" i="29"/>
  <c r="G153" i="29"/>
  <c r="E153" i="29"/>
  <c r="T153" i="29"/>
  <c r="R153" i="29"/>
  <c r="N167" i="4"/>
  <c r="O167" i="4"/>
  <c r="M167" i="4"/>
  <c r="BA167" i="4"/>
  <c r="P167" i="4"/>
  <c r="Q167" i="4"/>
  <c r="R167" i="4"/>
  <c r="AM167" i="4"/>
  <c r="F167" i="4"/>
  <c r="AY167" i="4"/>
  <c r="K167" i="4"/>
  <c r="AZ167" i="4"/>
  <c r="BB167" i="4"/>
  <c r="BD167" i="4"/>
  <c r="BC167" i="4"/>
  <c r="AK165" i="4"/>
  <c r="AN165" i="4"/>
  <c r="AI154" i="29"/>
  <c r="AD155" i="29"/>
  <c r="B154" i="29"/>
  <c r="BN167" i="4"/>
  <c r="BO167" i="4"/>
  <c r="BH165" i="4"/>
  <c r="AE153" i="29"/>
  <c r="AF153" i="29"/>
  <c r="O152" i="29"/>
  <c r="BE164" i="4" l="1"/>
  <c r="BF164" i="4" s="1"/>
  <c r="AX164" i="4"/>
  <c r="AV165" i="4"/>
  <c r="AX165" i="4" s="1"/>
  <c r="AO165" i="4"/>
  <c r="AW167" i="4"/>
  <c r="AI155" i="29"/>
  <c r="AD156" i="29"/>
  <c r="B155" i="29"/>
  <c r="BH166" i="4"/>
  <c r="BO168" i="4"/>
  <c r="BN168" i="4"/>
  <c r="Z152" i="29"/>
  <c r="J153" i="29"/>
  <c r="Y153" i="29" s="1"/>
  <c r="I153" i="29"/>
  <c r="K153" i="29" s="1"/>
  <c r="N153" i="29" s="1"/>
  <c r="AE154" i="29"/>
  <c r="AF154" i="29"/>
  <c r="F168" i="4"/>
  <c r="BA168" i="4"/>
  <c r="K168" i="4"/>
  <c r="AY168" i="4"/>
  <c r="BB168" i="4"/>
  <c r="BC168" i="4"/>
  <c r="BD168" i="4"/>
  <c r="Q168" i="4"/>
  <c r="R168" i="4"/>
  <c r="P168" i="4"/>
  <c r="N168" i="4"/>
  <c r="O168" i="4"/>
  <c r="AM168" i="4"/>
  <c r="M168" i="4"/>
  <c r="AZ168" i="4"/>
  <c r="O153" i="29"/>
  <c r="BP169" i="4"/>
  <c r="B169" i="4"/>
  <c r="BM170" i="4"/>
  <c r="P152" i="29"/>
  <c r="V152" i="29"/>
  <c r="W152" i="29" s="1"/>
  <c r="AE167" i="4"/>
  <c r="AJ167" i="4" s="1"/>
  <c r="AD167" i="4"/>
  <c r="AI167" i="4" s="1"/>
  <c r="AF167" i="4"/>
  <c r="AC167" i="4"/>
  <c r="BG167" i="4" s="1"/>
  <c r="Y167" i="4"/>
  <c r="AG167" i="4" s="1"/>
  <c r="Z167" i="4"/>
  <c r="AH167" i="4" s="1"/>
  <c r="Q154" i="29"/>
  <c r="U154" i="29"/>
  <c r="T154" i="29"/>
  <c r="E154" i="29"/>
  <c r="R154" i="29"/>
  <c r="G154" i="29"/>
  <c r="S154" i="29"/>
  <c r="AK166" i="4"/>
  <c r="AN166" i="4"/>
  <c r="BE165" i="4" l="1"/>
  <c r="BF165" i="4" s="1"/>
  <c r="AO166" i="4"/>
  <c r="AV166" i="4"/>
  <c r="AX166" i="4" s="1"/>
  <c r="P153" i="29"/>
  <c r="V153" i="29"/>
  <c r="W153" i="29" s="1"/>
  <c r="O154" i="29"/>
  <c r="O169" i="4"/>
  <c r="M169" i="4"/>
  <c r="AZ169" i="4"/>
  <c r="N169" i="4"/>
  <c r="P169" i="4"/>
  <c r="R169" i="4"/>
  <c r="Q169" i="4"/>
  <c r="AM169" i="4"/>
  <c r="K169" i="4"/>
  <c r="AY169" i="4"/>
  <c r="F169" i="4"/>
  <c r="BB169" i="4"/>
  <c r="BA169" i="4"/>
  <c r="BD169" i="4"/>
  <c r="BC169" i="4"/>
  <c r="Z153" i="29"/>
  <c r="AI156" i="29"/>
  <c r="B156" i="29"/>
  <c r="AD157" i="29"/>
  <c r="AW168" i="4"/>
  <c r="I154" i="29"/>
  <c r="K154" i="29" s="1"/>
  <c r="N154" i="29" s="1"/>
  <c r="J154" i="29"/>
  <c r="Y154" i="29" s="1"/>
  <c r="AF168" i="4"/>
  <c r="AE168" i="4"/>
  <c r="AJ168" i="4" s="1"/>
  <c r="Y168" i="4"/>
  <c r="AG168" i="4" s="1"/>
  <c r="Z168" i="4"/>
  <c r="AH168" i="4" s="1"/>
  <c r="AC168" i="4"/>
  <c r="BG168" i="4" s="1"/>
  <c r="AD168" i="4"/>
  <c r="AI168" i="4" s="1"/>
  <c r="AF155" i="29"/>
  <c r="AE155" i="29"/>
  <c r="AK167" i="4"/>
  <c r="AN167" i="4"/>
  <c r="BO169" i="4"/>
  <c r="BN169" i="4"/>
  <c r="BH167" i="4"/>
  <c r="BM171" i="4"/>
  <c r="B170" i="4"/>
  <c r="BP170" i="4"/>
  <c r="T155" i="29"/>
  <c r="R155" i="29"/>
  <c r="U155" i="29"/>
  <c r="G155" i="29"/>
  <c r="Q155" i="29"/>
  <c r="E155" i="29"/>
  <c r="S155" i="29"/>
  <c r="AW169" i="4" l="1"/>
  <c r="BE166" i="4"/>
  <c r="BF166" i="4" s="1"/>
  <c r="AV167" i="4"/>
  <c r="O155" i="29"/>
  <c r="BA170" i="4"/>
  <c r="BB170" i="4"/>
  <c r="N170" i="4"/>
  <c r="M170" i="4"/>
  <c r="AZ170" i="4"/>
  <c r="O170" i="4"/>
  <c r="P170" i="4"/>
  <c r="Q170" i="4"/>
  <c r="AM170" i="4"/>
  <c r="K170" i="4"/>
  <c r="F170" i="4"/>
  <c r="AY170" i="4"/>
  <c r="R170" i="4"/>
  <c r="BD170" i="4"/>
  <c r="BC170" i="4"/>
  <c r="P154" i="29"/>
  <c r="V154" i="29"/>
  <c r="W154" i="29" s="1"/>
  <c r="AK168" i="4"/>
  <c r="AN168" i="4"/>
  <c r="BM172" i="4"/>
  <c r="B171" i="4"/>
  <c r="BP171" i="4"/>
  <c r="Y169" i="4"/>
  <c r="AG169" i="4" s="1"/>
  <c r="AC169" i="4"/>
  <c r="BG169" i="4" s="1"/>
  <c r="AD169" i="4"/>
  <c r="AI169" i="4" s="1"/>
  <c r="AE169" i="4"/>
  <c r="AJ169" i="4" s="1"/>
  <c r="Z169" i="4"/>
  <c r="AH169" i="4" s="1"/>
  <c r="AF169" i="4"/>
  <c r="I155" i="29"/>
  <c r="K155" i="29" s="1"/>
  <c r="N155" i="29" s="1"/>
  <c r="J155" i="29"/>
  <c r="Y155" i="29" s="1"/>
  <c r="BH168" i="4"/>
  <c r="AI157" i="29"/>
  <c r="B157" i="29"/>
  <c r="AD158" i="29"/>
  <c r="E156" i="29"/>
  <c r="Q156" i="29"/>
  <c r="R156" i="29"/>
  <c r="G156" i="29"/>
  <c r="S156" i="29"/>
  <c r="U156" i="29"/>
  <c r="T156" i="29"/>
  <c r="Z154" i="29"/>
  <c r="BN170" i="4"/>
  <c r="BO170" i="4"/>
  <c r="AO167" i="4"/>
  <c r="AE156" i="29"/>
  <c r="AF156" i="29"/>
  <c r="BE167" i="4" l="1"/>
  <c r="AX167" i="4"/>
  <c r="Z155" i="29"/>
  <c r="O156" i="29"/>
  <c r="AO168" i="4"/>
  <c r="P155" i="29"/>
  <c r="V155" i="29"/>
  <c r="W155" i="29" s="1"/>
  <c r="I156" i="29"/>
  <c r="K156" i="29" s="1"/>
  <c r="N156" i="29" s="1"/>
  <c r="J156" i="29"/>
  <c r="Y156" i="29" s="1"/>
  <c r="AI158" i="29"/>
  <c r="AD159" i="29"/>
  <c r="B158" i="29"/>
  <c r="AK169" i="4"/>
  <c r="AN169" i="4"/>
  <c r="BP172" i="4"/>
  <c r="BM173" i="4"/>
  <c r="B172" i="4"/>
  <c r="AW170" i="4"/>
  <c r="AF170" i="4"/>
  <c r="Z170" i="4"/>
  <c r="AH170" i="4" s="1"/>
  <c r="Y170" i="4"/>
  <c r="AG170" i="4" s="1"/>
  <c r="AD170" i="4"/>
  <c r="AI170" i="4" s="1"/>
  <c r="AE170" i="4"/>
  <c r="AJ170" i="4" s="1"/>
  <c r="AC170" i="4"/>
  <c r="BG170" i="4" s="1"/>
  <c r="G157" i="29"/>
  <c r="S157" i="29"/>
  <c r="E157" i="29"/>
  <c r="U157" i="29"/>
  <c r="Q157" i="29"/>
  <c r="T157" i="29"/>
  <c r="R157" i="29"/>
  <c r="BH169" i="4"/>
  <c r="AE157" i="29"/>
  <c r="AF157" i="29"/>
  <c r="BO171" i="4"/>
  <c r="BN171" i="4"/>
  <c r="AV168" i="4"/>
  <c r="AX168" i="4" s="1"/>
  <c r="AM171" i="4"/>
  <c r="R171" i="4"/>
  <c r="P171" i="4"/>
  <c r="Q171" i="4"/>
  <c r="K171" i="4"/>
  <c r="F171" i="4"/>
  <c r="AY171" i="4"/>
  <c r="BC171" i="4"/>
  <c r="BA171" i="4"/>
  <c r="BB171" i="4"/>
  <c r="AZ171" i="4"/>
  <c r="BD171" i="4"/>
  <c r="M171" i="4"/>
  <c r="N171" i="4"/>
  <c r="O171" i="4"/>
  <c r="BF167" i="4" l="1"/>
  <c r="Z156" i="29"/>
  <c r="AV169" i="4"/>
  <c r="AX169" i="4" s="1"/>
  <c r="AW171" i="4"/>
  <c r="AK170" i="4"/>
  <c r="AN170" i="4"/>
  <c r="B173" i="4"/>
  <c r="BM174" i="4"/>
  <c r="BP173" i="4"/>
  <c r="Q158" i="29"/>
  <c r="T158" i="29"/>
  <c r="S158" i="29"/>
  <c r="R158" i="29"/>
  <c r="G158" i="29"/>
  <c r="E158" i="29"/>
  <c r="U158" i="29"/>
  <c r="BE168" i="4"/>
  <c r="BF168" i="4" s="1"/>
  <c r="V156" i="29"/>
  <c r="W156" i="29" s="1"/>
  <c r="P156" i="29"/>
  <c r="BO172" i="4"/>
  <c r="BN172" i="4"/>
  <c r="AI159" i="29"/>
  <c r="B159" i="29"/>
  <c r="AD160" i="29"/>
  <c r="I157" i="29"/>
  <c r="K157" i="29" s="1"/>
  <c r="N157" i="29" s="1"/>
  <c r="J157" i="29"/>
  <c r="Y157" i="29" s="1"/>
  <c r="AO169" i="4"/>
  <c r="AE158" i="29"/>
  <c r="AF158" i="29"/>
  <c r="AD171" i="4"/>
  <c r="AI171" i="4" s="1"/>
  <c r="AE171" i="4"/>
  <c r="AJ171" i="4" s="1"/>
  <c r="Y171" i="4"/>
  <c r="AG171" i="4" s="1"/>
  <c r="AF171" i="4"/>
  <c r="Z171" i="4"/>
  <c r="AH171" i="4" s="1"/>
  <c r="AC171" i="4"/>
  <c r="BG171" i="4" s="1"/>
  <c r="O157" i="29"/>
  <c r="BH170" i="4"/>
  <c r="M172" i="4"/>
  <c r="O172" i="4"/>
  <c r="AM172" i="4"/>
  <c r="BC172" i="4"/>
  <c r="K172" i="4"/>
  <c r="F172" i="4"/>
  <c r="BA172" i="4"/>
  <c r="R172" i="4"/>
  <c r="Q172" i="4"/>
  <c r="P172" i="4"/>
  <c r="N172" i="4"/>
  <c r="BB172" i="4"/>
  <c r="AY172" i="4"/>
  <c r="BD172" i="4"/>
  <c r="AZ172" i="4"/>
  <c r="BE169" i="4" l="1"/>
  <c r="BF169" i="4" s="1"/>
  <c r="O158" i="29"/>
  <c r="AO170" i="4"/>
  <c r="AV170" i="4"/>
  <c r="BH171" i="4"/>
  <c r="P157" i="29"/>
  <c r="V157" i="29"/>
  <c r="W157" i="29" s="1"/>
  <c r="AI160" i="29"/>
  <c r="AD161" i="29"/>
  <c r="B160" i="29"/>
  <c r="O173" i="4"/>
  <c r="M173" i="4"/>
  <c r="N173" i="4"/>
  <c r="BB173" i="4"/>
  <c r="AZ173" i="4"/>
  <c r="BA173" i="4"/>
  <c r="BD173" i="4"/>
  <c r="BC173" i="4"/>
  <c r="P173" i="4"/>
  <c r="R173" i="4"/>
  <c r="Q173" i="4"/>
  <c r="AM173" i="4"/>
  <c r="K173" i="4"/>
  <c r="F173" i="4"/>
  <c r="AY173" i="4"/>
  <c r="Z157" i="29"/>
  <c r="U159" i="29"/>
  <c r="Q159" i="29"/>
  <c r="E159" i="29"/>
  <c r="T159" i="29"/>
  <c r="R159" i="29"/>
  <c r="G159" i="29"/>
  <c r="S159" i="29"/>
  <c r="AW172" i="4"/>
  <c r="AK171" i="4"/>
  <c r="AN171" i="4"/>
  <c r="J158" i="29"/>
  <c r="Y158" i="29" s="1"/>
  <c r="I158" i="29"/>
  <c r="K158" i="29" s="1"/>
  <c r="N158" i="29" s="1"/>
  <c r="AF159" i="29"/>
  <c r="AE159" i="29"/>
  <c r="BO173" i="4"/>
  <c r="BN173" i="4"/>
  <c r="Y172" i="4"/>
  <c r="AG172" i="4" s="1"/>
  <c r="AC172" i="4"/>
  <c r="BG172" i="4" s="1"/>
  <c r="AD172" i="4"/>
  <c r="AI172" i="4" s="1"/>
  <c r="AF172" i="4"/>
  <c r="AE172" i="4"/>
  <c r="AJ172" i="4" s="1"/>
  <c r="Z172" i="4"/>
  <c r="AH172" i="4" s="1"/>
  <c r="BH172" i="4" s="1"/>
  <c r="BM175" i="4"/>
  <c r="B174" i="4"/>
  <c r="BP174" i="4"/>
  <c r="Z158" i="29" l="1"/>
  <c r="BE170" i="4"/>
  <c r="BF170" i="4" s="1"/>
  <c r="AX170" i="4"/>
  <c r="AV171" i="4"/>
  <c r="AX171" i="4" s="1"/>
  <c r="P158" i="29"/>
  <c r="V158" i="29"/>
  <c r="W158" i="29" s="1"/>
  <c r="AI161" i="29"/>
  <c r="B161" i="29"/>
  <c r="AD162" i="29"/>
  <c r="AW173" i="4"/>
  <c r="AE160" i="29"/>
  <c r="AF160" i="29"/>
  <c r="Y173" i="4"/>
  <c r="AG173" i="4" s="1"/>
  <c r="Z173" i="4"/>
  <c r="AH173" i="4" s="1"/>
  <c r="AF173" i="4"/>
  <c r="AE173" i="4"/>
  <c r="AJ173" i="4" s="1"/>
  <c r="AC173" i="4"/>
  <c r="BG173" i="4" s="1"/>
  <c r="AD173" i="4"/>
  <c r="AI173" i="4" s="1"/>
  <c r="AK172" i="4"/>
  <c r="AN172" i="4"/>
  <c r="BO174" i="4"/>
  <c r="BN174" i="4"/>
  <c r="J159" i="29"/>
  <c r="Y159" i="29" s="1"/>
  <c r="I159" i="29"/>
  <c r="K159" i="29" s="1"/>
  <c r="N159" i="29" s="1"/>
  <c r="BP175" i="4"/>
  <c r="BM176" i="4"/>
  <c r="B175" i="4"/>
  <c r="BD174" i="4"/>
  <c r="BC174" i="4"/>
  <c r="AY174" i="4"/>
  <c r="AZ174" i="4"/>
  <c r="M174" i="4"/>
  <c r="O174" i="4"/>
  <c r="BB174" i="4"/>
  <c r="N174" i="4"/>
  <c r="R174" i="4"/>
  <c r="Q174" i="4"/>
  <c r="AM174" i="4"/>
  <c r="P174" i="4"/>
  <c r="F174" i="4"/>
  <c r="BA174" i="4"/>
  <c r="K174" i="4"/>
  <c r="AO171" i="4"/>
  <c r="O159" i="29"/>
  <c r="G160" i="29"/>
  <c r="R160" i="29"/>
  <c r="Q160" i="29"/>
  <c r="T160" i="29"/>
  <c r="U160" i="29"/>
  <c r="E160" i="29"/>
  <c r="S160" i="29"/>
  <c r="BE171" i="4" l="1"/>
  <c r="BF171" i="4" s="1"/>
  <c r="AO172" i="4"/>
  <c r="AV172" i="4"/>
  <c r="BH173" i="4"/>
  <c r="P159" i="29"/>
  <c r="V159" i="29"/>
  <c r="W159" i="29" s="1"/>
  <c r="Z159" i="29"/>
  <c r="AW174" i="4"/>
  <c r="BM177" i="4"/>
  <c r="B176" i="4"/>
  <c r="BP176" i="4"/>
  <c r="AK173" i="4"/>
  <c r="AN173" i="4"/>
  <c r="S161" i="29"/>
  <c r="U161" i="29"/>
  <c r="G161" i="29"/>
  <c r="R161" i="29"/>
  <c r="E161" i="29"/>
  <c r="T161" i="29"/>
  <c r="Q161" i="29"/>
  <c r="O160" i="29"/>
  <c r="BN175" i="4"/>
  <c r="BO175" i="4"/>
  <c r="AF174" i="4"/>
  <c r="AE174" i="4"/>
  <c r="AJ174" i="4" s="1"/>
  <c r="AC174" i="4"/>
  <c r="BG174" i="4" s="1"/>
  <c r="AD174" i="4"/>
  <c r="AI174" i="4" s="1"/>
  <c r="Y174" i="4"/>
  <c r="AG174" i="4" s="1"/>
  <c r="Z174" i="4"/>
  <c r="AH174" i="4" s="1"/>
  <c r="J160" i="29"/>
  <c r="Y160" i="29" s="1"/>
  <c r="I160" i="29"/>
  <c r="K160" i="29" s="1"/>
  <c r="N160" i="29" s="1"/>
  <c r="AF161" i="29"/>
  <c r="AE161" i="29"/>
  <c r="R175" i="4"/>
  <c r="Q175" i="4"/>
  <c r="O175" i="4"/>
  <c r="P175" i="4"/>
  <c r="K175" i="4"/>
  <c r="AY175" i="4"/>
  <c r="F175" i="4"/>
  <c r="BD175" i="4"/>
  <c r="BB175" i="4"/>
  <c r="BC175" i="4"/>
  <c r="AZ175" i="4"/>
  <c r="M175" i="4"/>
  <c r="AM175" i="4"/>
  <c r="BA175" i="4"/>
  <c r="N175" i="4"/>
  <c r="AI162" i="29"/>
  <c r="B162" i="29"/>
  <c r="AD163" i="29"/>
  <c r="BE172" i="4" l="1"/>
  <c r="BF172" i="4" s="1"/>
  <c r="AX172" i="4"/>
  <c r="AV173" i="4"/>
  <c r="AX173" i="4" s="1"/>
  <c r="AO173" i="4"/>
  <c r="BH174" i="4"/>
  <c r="V160" i="29"/>
  <c r="W160" i="29" s="1"/>
  <c r="P160" i="29"/>
  <c r="AK174" i="4"/>
  <c r="AN174" i="4"/>
  <c r="O161" i="29"/>
  <c r="B177" i="4"/>
  <c r="BP177" i="4"/>
  <c r="BM178" i="4"/>
  <c r="AI163" i="29"/>
  <c r="AD164" i="29"/>
  <c r="B163" i="29"/>
  <c r="AC175" i="4"/>
  <c r="BG175" i="4" s="1"/>
  <c r="AF175" i="4"/>
  <c r="Z175" i="4"/>
  <c r="AH175" i="4" s="1"/>
  <c r="Y175" i="4"/>
  <c r="AG175" i="4" s="1"/>
  <c r="AD175" i="4"/>
  <c r="AI175" i="4" s="1"/>
  <c r="AE175" i="4"/>
  <c r="AJ175" i="4" s="1"/>
  <c r="Z160" i="29"/>
  <c r="BN176" i="4"/>
  <c r="BO176" i="4"/>
  <c r="AE162" i="29"/>
  <c r="AF162" i="29"/>
  <c r="Q162" i="29"/>
  <c r="G162" i="29"/>
  <c r="E162" i="29"/>
  <c r="S162" i="29"/>
  <c r="T162" i="29"/>
  <c r="R162" i="29"/>
  <c r="U162" i="29"/>
  <c r="AW175" i="4"/>
  <c r="I161" i="29"/>
  <c r="K161" i="29" s="1"/>
  <c r="N161" i="29" s="1"/>
  <c r="J161" i="29"/>
  <c r="Y161" i="29" s="1"/>
  <c r="AY176" i="4"/>
  <c r="BB176" i="4"/>
  <c r="BD176" i="4"/>
  <c r="BC176" i="4"/>
  <c r="P176" i="4"/>
  <c r="N176" i="4"/>
  <c r="F176" i="4"/>
  <c r="K176" i="4"/>
  <c r="O176" i="4"/>
  <c r="AM176" i="4"/>
  <c r="AZ176" i="4"/>
  <c r="M176" i="4"/>
  <c r="R176" i="4"/>
  <c r="Q176" i="4"/>
  <c r="BA176" i="4"/>
  <c r="BE173" i="4" l="1"/>
  <c r="BF173" i="4" s="1"/>
  <c r="AO174" i="4"/>
  <c r="V161" i="29"/>
  <c r="W161" i="29" s="1"/>
  <c r="P161" i="29"/>
  <c r="AW176" i="4"/>
  <c r="O162" i="29"/>
  <c r="I162" i="29"/>
  <c r="K162" i="29" s="1"/>
  <c r="N162" i="29" s="1"/>
  <c r="J162" i="29"/>
  <c r="Y162" i="29" s="1"/>
  <c r="AD176" i="4"/>
  <c r="AI176" i="4" s="1"/>
  <c r="Z176" i="4"/>
  <c r="AH176" i="4" s="1"/>
  <c r="Y176" i="4"/>
  <c r="AG176" i="4" s="1"/>
  <c r="AC176" i="4"/>
  <c r="BG176" i="4" s="1"/>
  <c r="AE176" i="4"/>
  <c r="AJ176" i="4" s="1"/>
  <c r="AF176" i="4"/>
  <c r="BH175" i="4"/>
  <c r="R163" i="29"/>
  <c r="E163" i="29"/>
  <c r="T163" i="29"/>
  <c r="Q163" i="29"/>
  <c r="S163" i="29"/>
  <c r="U163" i="29"/>
  <c r="G163" i="29"/>
  <c r="BD177" i="4"/>
  <c r="BA177" i="4"/>
  <c r="BC177" i="4"/>
  <c r="BB177" i="4"/>
  <c r="M177" i="4"/>
  <c r="N177" i="4"/>
  <c r="AZ177" i="4"/>
  <c r="O177" i="4"/>
  <c r="Q177" i="4"/>
  <c r="P177" i="4"/>
  <c r="AM177" i="4"/>
  <c r="R177" i="4"/>
  <c r="F177" i="4"/>
  <c r="AY177" i="4"/>
  <c r="K177" i="4"/>
  <c r="AK175" i="4"/>
  <c r="AN175" i="4"/>
  <c r="AI164" i="29"/>
  <c r="AD165" i="29"/>
  <c r="B164" i="29"/>
  <c r="Z161" i="29"/>
  <c r="AV174" i="4"/>
  <c r="AX174" i="4" s="1"/>
  <c r="AF163" i="29"/>
  <c r="AE163" i="29"/>
  <c r="BM179" i="4"/>
  <c r="B178" i="4"/>
  <c r="BP178" i="4"/>
  <c r="BO177" i="4"/>
  <c r="BN177" i="4"/>
  <c r="AV175" i="4" l="1"/>
  <c r="P162" i="29"/>
  <c r="V162" i="29"/>
  <c r="W162" i="29" s="1"/>
  <c r="O163" i="29"/>
  <c r="AE164" i="29"/>
  <c r="AF164" i="29"/>
  <c r="BN178" i="4"/>
  <c r="BO178" i="4"/>
  <c r="AO175" i="4"/>
  <c r="AW177" i="4"/>
  <c r="BM180" i="4"/>
  <c r="B179" i="4"/>
  <c r="BP179" i="4"/>
  <c r="I163" i="29"/>
  <c r="K163" i="29" s="1"/>
  <c r="N163" i="29" s="1"/>
  <c r="J163" i="29"/>
  <c r="Y163" i="29" s="1"/>
  <c r="AI165" i="29"/>
  <c r="B165" i="29"/>
  <c r="AD166" i="29"/>
  <c r="BE174" i="4"/>
  <c r="BF174" i="4" s="1"/>
  <c r="AF177" i="4"/>
  <c r="AE177" i="4"/>
  <c r="AJ177" i="4" s="1"/>
  <c r="AC177" i="4"/>
  <c r="BG177" i="4" s="1"/>
  <c r="Z177" i="4"/>
  <c r="AH177" i="4" s="1"/>
  <c r="AD177" i="4"/>
  <c r="AI177" i="4" s="1"/>
  <c r="Y177" i="4"/>
  <c r="AG177" i="4" s="1"/>
  <c r="BD178" i="4"/>
  <c r="BC178" i="4"/>
  <c r="AZ178" i="4"/>
  <c r="BB178" i="4"/>
  <c r="K178" i="4"/>
  <c r="F178" i="4"/>
  <c r="BA178" i="4"/>
  <c r="N178" i="4"/>
  <c r="M178" i="4"/>
  <c r="O178" i="4"/>
  <c r="AY178" i="4"/>
  <c r="P178" i="4"/>
  <c r="R178" i="4"/>
  <c r="Q178" i="4"/>
  <c r="AM178" i="4"/>
  <c r="T164" i="29"/>
  <c r="Q164" i="29"/>
  <c r="S164" i="29"/>
  <c r="R164" i="29"/>
  <c r="G164" i="29"/>
  <c r="U164" i="29"/>
  <c r="E164" i="29"/>
  <c r="AK176" i="4"/>
  <c r="AN176" i="4"/>
  <c r="BH176" i="4"/>
  <c r="Z162" i="29"/>
  <c r="BE175" i="4" l="1"/>
  <c r="BF175" i="4" s="1"/>
  <c r="AX175" i="4"/>
  <c r="BH177" i="4"/>
  <c r="O164" i="29"/>
  <c r="AO176" i="4"/>
  <c r="AV176" i="4"/>
  <c r="V163" i="29"/>
  <c r="W163" i="29" s="1"/>
  <c r="P163" i="29"/>
  <c r="AF165" i="29"/>
  <c r="AE165" i="29"/>
  <c r="I164" i="29"/>
  <c r="K164" i="29" s="1"/>
  <c r="N164" i="29" s="1"/>
  <c r="J164" i="29"/>
  <c r="Y164" i="29" s="1"/>
  <c r="Z163" i="29"/>
  <c r="BO179" i="4"/>
  <c r="BN179" i="4"/>
  <c r="AD178" i="4"/>
  <c r="AI178" i="4" s="1"/>
  <c r="Y178" i="4"/>
  <c r="AG178" i="4" s="1"/>
  <c r="AF178" i="4"/>
  <c r="Z178" i="4"/>
  <c r="AH178" i="4" s="1"/>
  <c r="AC178" i="4"/>
  <c r="BG178" i="4" s="1"/>
  <c r="AE178" i="4"/>
  <c r="AJ178" i="4" s="1"/>
  <c r="AW178" i="4"/>
  <c r="AK177" i="4"/>
  <c r="AN177" i="4"/>
  <c r="AI166" i="29"/>
  <c r="B166" i="29"/>
  <c r="AD167" i="29"/>
  <c r="O179" i="4"/>
  <c r="BD179" i="4"/>
  <c r="N179" i="4"/>
  <c r="M179" i="4"/>
  <c r="Q179" i="4"/>
  <c r="AM179" i="4"/>
  <c r="P179" i="4"/>
  <c r="R179" i="4"/>
  <c r="AY179" i="4"/>
  <c r="F179" i="4"/>
  <c r="K179" i="4"/>
  <c r="AZ179" i="4"/>
  <c r="BC179" i="4"/>
  <c r="BB179" i="4"/>
  <c r="BA179" i="4"/>
  <c r="G165" i="29"/>
  <c r="T165" i="29"/>
  <c r="R165" i="29"/>
  <c r="E165" i="29"/>
  <c r="Q165" i="29"/>
  <c r="U165" i="29"/>
  <c r="S165" i="29"/>
  <c r="BP180" i="4"/>
  <c r="BM181" i="4"/>
  <c r="B180" i="4"/>
  <c r="BE176" i="4" l="1"/>
  <c r="BF176" i="4" s="1"/>
  <c r="AX176" i="4"/>
  <c r="Z164" i="29"/>
  <c r="O165" i="29"/>
  <c r="AO177" i="4"/>
  <c r="AV177" i="4"/>
  <c r="AX177" i="4" s="1"/>
  <c r="BH178" i="4"/>
  <c r="AM180" i="4"/>
  <c r="BD180" i="4"/>
  <c r="Q180" i="4"/>
  <c r="P180" i="4"/>
  <c r="AZ180" i="4"/>
  <c r="M180" i="4"/>
  <c r="R180" i="4"/>
  <c r="AY180" i="4"/>
  <c r="BC180" i="4"/>
  <c r="BA180" i="4"/>
  <c r="BB180" i="4"/>
  <c r="O180" i="4"/>
  <c r="K180" i="4"/>
  <c r="N180" i="4"/>
  <c r="F180" i="4"/>
  <c r="BN180" i="4"/>
  <c r="BO180" i="4"/>
  <c r="Q166" i="29"/>
  <c r="T166" i="29"/>
  <c r="R166" i="29"/>
  <c r="E166" i="29"/>
  <c r="G166" i="29"/>
  <c r="S166" i="29"/>
  <c r="U166" i="29"/>
  <c r="AE179" i="4"/>
  <c r="AJ179" i="4" s="1"/>
  <c r="AF179" i="4"/>
  <c r="AD179" i="4"/>
  <c r="AI179" i="4" s="1"/>
  <c r="Y179" i="4"/>
  <c r="AG179" i="4" s="1"/>
  <c r="AC179" i="4"/>
  <c r="BG179" i="4" s="1"/>
  <c r="Z179" i="4"/>
  <c r="AH179" i="4" s="1"/>
  <c r="AW179" i="4"/>
  <c r="AE166" i="29"/>
  <c r="AF166" i="29"/>
  <c r="P164" i="29"/>
  <c r="V164" i="29"/>
  <c r="W164" i="29" s="1"/>
  <c r="J165" i="29"/>
  <c r="Y165" i="29" s="1"/>
  <c r="I165" i="29"/>
  <c r="K165" i="29" s="1"/>
  <c r="N165" i="29" s="1"/>
  <c r="BM182" i="4"/>
  <c r="B181" i="4"/>
  <c r="BP181" i="4"/>
  <c r="AI167" i="29"/>
  <c r="AD168" i="29"/>
  <c r="B167" i="29"/>
  <c r="AK178" i="4"/>
  <c r="AN178" i="4"/>
  <c r="Z165" i="29" l="1"/>
  <c r="BE177" i="4"/>
  <c r="BF177" i="4" s="1"/>
  <c r="BH179" i="4"/>
  <c r="AO178" i="4"/>
  <c r="O166" i="29"/>
  <c r="AV178" i="4"/>
  <c r="AC180" i="4"/>
  <c r="BG180" i="4" s="1"/>
  <c r="AE180" i="4"/>
  <c r="AJ180" i="4" s="1"/>
  <c r="AD180" i="4"/>
  <c r="AI180" i="4" s="1"/>
  <c r="Y180" i="4"/>
  <c r="AG180" i="4" s="1"/>
  <c r="AF180" i="4"/>
  <c r="Z180" i="4"/>
  <c r="AH180" i="4" s="1"/>
  <c r="AI168" i="29"/>
  <c r="AD169" i="29"/>
  <c r="B168" i="29"/>
  <c r="AF167" i="29"/>
  <c r="AE167" i="29"/>
  <c r="BO181" i="4"/>
  <c r="BN181" i="4"/>
  <c r="AK179" i="4"/>
  <c r="AN179" i="4"/>
  <c r="V165" i="29"/>
  <c r="W165" i="29" s="1"/>
  <c r="P165" i="29"/>
  <c r="R181" i="4"/>
  <c r="P181" i="4"/>
  <c r="AM181" i="4"/>
  <c r="Q181" i="4"/>
  <c r="AY181" i="4"/>
  <c r="F181" i="4"/>
  <c r="K181" i="4"/>
  <c r="BD181" i="4"/>
  <c r="BA181" i="4"/>
  <c r="BC181" i="4"/>
  <c r="AZ181" i="4"/>
  <c r="N181" i="4"/>
  <c r="M181" i="4"/>
  <c r="BB181" i="4"/>
  <c r="O181" i="4"/>
  <c r="J166" i="29"/>
  <c r="Y166" i="29" s="1"/>
  <c r="I166" i="29"/>
  <c r="K166" i="29" s="1"/>
  <c r="N166" i="29" s="1"/>
  <c r="E167" i="29"/>
  <c r="R167" i="29"/>
  <c r="G167" i="29"/>
  <c r="U167" i="29"/>
  <c r="Q167" i="29"/>
  <c r="S167" i="29"/>
  <c r="T167" i="29"/>
  <c r="BP182" i="4"/>
  <c r="BM183" i="4"/>
  <c r="B182" i="4"/>
  <c r="AW180" i="4"/>
  <c r="BE178" i="4" l="1"/>
  <c r="BF178" i="4" s="1"/>
  <c r="AX178" i="4"/>
  <c r="Z166" i="29"/>
  <c r="AW181" i="4"/>
  <c r="AV179" i="4"/>
  <c r="AX179" i="4" s="1"/>
  <c r="AD181" i="4"/>
  <c r="AI181" i="4" s="1"/>
  <c r="AF181" i="4"/>
  <c r="AE181" i="4"/>
  <c r="AJ181" i="4" s="1"/>
  <c r="AC181" i="4"/>
  <c r="BG181" i="4" s="1"/>
  <c r="Z181" i="4"/>
  <c r="AH181" i="4" s="1"/>
  <c r="Y181" i="4"/>
  <c r="AG181" i="4" s="1"/>
  <c r="J167" i="29"/>
  <c r="Y167" i="29" s="1"/>
  <c r="I167" i="29"/>
  <c r="K167" i="29" s="1"/>
  <c r="N167" i="29" s="1"/>
  <c r="S168" i="29"/>
  <c r="U168" i="29"/>
  <c r="G168" i="29"/>
  <c r="Q168" i="29"/>
  <c r="T168" i="29"/>
  <c r="R168" i="29"/>
  <c r="E168" i="29"/>
  <c r="AI169" i="29"/>
  <c r="B169" i="29"/>
  <c r="AD170" i="29"/>
  <c r="BH180" i="4"/>
  <c r="AM182" i="4"/>
  <c r="M182" i="4"/>
  <c r="BB182" i="4"/>
  <c r="N182" i="4"/>
  <c r="BC182" i="4"/>
  <c r="BD182" i="4"/>
  <c r="AY182" i="4"/>
  <c r="AZ182" i="4"/>
  <c r="Q182" i="4"/>
  <c r="R182" i="4"/>
  <c r="O182" i="4"/>
  <c r="P182" i="4"/>
  <c r="BA182" i="4"/>
  <c r="F182" i="4"/>
  <c r="K182" i="4"/>
  <c r="BM184" i="4"/>
  <c r="BM188" i="4" s="1"/>
  <c r="B183" i="4"/>
  <c r="BP183" i="4"/>
  <c r="BO182" i="4"/>
  <c r="BN182" i="4"/>
  <c r="V166" i="29"/>
  <c r="W166" i="29" s="1"/>
  <c r="P166" i="29"/>
  <c r="O167" i="29"/>
  <c r="AF168" i="29"/>
  <c r="AE168" i="29"/>
  <c r="AK180" i="4"/>
  <c r="AN180" i="4"/>
  <c r="AO179" i="4"/>
  <c r="B188" i="4" l="1"/>
  <c r="BP188" i="4"/>
  <c r="BE179" i="4"/>
  <c r="BF179" i="4" s="1"/>
  <c r="BH181" i="4"/>
  <c r="AO180" i="4"/>
  <c r="AV180" i="4"/>
  <c r="BN183" i="4"/>
  <c r="BO183" i="4"/>
  <c r="AI170" i="29"/>
  <c r="AD171" i="29"/>
  <c r="B170" i="29"/>
  <c r="Z167" i="29"/>
  <c r="Y182" i="4"/>
  <c r="AG182" i="4" s="1"/>
  <c r="AE182" i="4"/>
  <c r="AJ182" i="4" s="1"/>
  <c r="AC182" i="4"/>
  <c r="BG182" i="4" s="1"/>
  <c r="AD182" i="4"/>
  <c r="AI182" i="4" s="1"/>
  <c r="AF182" i="4"/>
  <c r="Z182" i="4"/>
  <c r="AH182" i="4" s="1"/>
  <c r="F183" i="4"/>
  <c r="AY183" i="4"/>
  <c r="K183" i="4"/>
  <c r="AZ183" i="4"/>
  <c r="BC183" i="4"/>
  <c r="BB183" i="4"/>
  <c r="BD183" i="4"/>
  <c r="N183" i="4"/>
  <c r="BA183" i="4"/>
  <c r="O183" i="4"/>
  <c r="M183" i="4"/>
  <c r="R183" i="4"/>
  <c r="P183" i="4"/>
  <c r="AM183" i="4"/>
  <c r="Q183" i="4"/>
  <c r="T169" i="29"/>
  <c r="Q169" i="29"/>
  <c r="U169" i="29"/>
  <c r="R169" i="29"/>
  <c r="G169" i="29"/>
  <c r="S169" i="29"/>
  <c r="E169" i="29"/>
  <c r="AE169" i="29"/>
  <c r="AF169" i="29"/>
  <c r="I168" i="29"/>
  <c r="K168" i="29" s="1"/>
  <c r="N168" i="29" s="1"/>
  <c r="J168" i="29"/>
  <c r="Y168" i="29" s="1"/>
  <c r="BM185" i="4"/>
  <c r="BM189" i="4" s="1"/>
  <c r="B184" i="4"/>
  <c r="BP184" i="4"/>
  <c r="P167" i="29"/>
  <c r="V167" i="29"/>
  <c r="W167" i="29" s="1"/>
  <c r="AW182" i="4"/>
  <c r="O168" i="29"/>
  <c r="AK181" i="4"/>
  <c r="AN181" i="4"/>
  <c r="BE180" i="4" l="1"/>
  <c r="BF180" i="4" s="1"/>
  <c r="AX180" i="4"/>
  <c r="BO188" i="4"/>
  <c r="BN188" i="4"/>
  <c r="BC188" i="4"/>
  <c r="AY188" i="4"/>
  <c r="P188" i="4"/>
  <c r="K188" i="4"/>
  <c r="AZ188" i="4"/>
  <c r="Q188" i="4"/>
  <c r="BB188" i="4"/>
  <c r="O188" i="4"/>
  <c r="F188" i="4"/>
  <c r="BA188" i="4"/>
  <c r="AM188" i="4"/>
  <c r="R188" i="4"/>
  <c r="N188" i="4"/>
  <c r="BD188" i="4"/>
  <c r="M188" i="4"/>
  <c r="B189" i="4"/>
  <c r="BP189" i="4"/>
  <c r="BH182" i="4"/>
  <c r="AV181" i="4"/>
  <c r="BN184" i="4"/>
  <c r="BO184" i="4"/>
  <c r="V168" i="29"/>
  <c r="W168" i="29" s="1"/>
  <c r="P168" i="29"/>
  <c r="I169" i="29"/>
  <c r="K169" i="29" s="1"/>
  <c r="N169" i="29" s="1"/>
  <c r="J169" i="29"/>
  <c r="Y169" i="29" s="1"/>
  <c r="O169" i="29"/>
  <c r="AI171" i="29"/>
  <c r="AD172" i="29"/>
  <c r="B171" i="29"/>
  <c r="AD183" i="4"/>
  <c r="AI183" i="4" s="1"/>
  <c r="AF183" i="4"/>
  <c r="Z183" i="4"/>
  <c r="AH183" i="4" s="1"/>
  <c r="AE183" i="4"/>
  <c r="AJ183" i="4" s="1"/>
  <c r="Y183" i="4"/>
  <c r="AG183" i="4" s="1"/>
  <c r="AC183" i="4"/>
  <c r="BG183" i="4" s="1"/>
  <c r="AW183" i="4"/>
  <c r="AF170" i="29"/>
  <c r="AE170" i="29"/>
  <c r="BC184" i="4"/>
  <c r="AY184" i="4"/>
  <c r="BB184" i="4"/>
  <c r="BD184" i="4"/>
  <c r="M184" i="4"/>
  <c r="O184" i="4"/>
  <c r="AM184" i="4"/>
  <c r="AZ184" i="4"/>
  <c r="P184" i="4"/>
  <c r="Q184" i="4"/>
  <c r="R184" i="4"/>
  <c r="N184" i="4"/>
  <c r="K184" i="4"/>
  <c r="F184" i="4"/>
  <c r="BA184" i="4"/>
  <c r="AK182" i="4"/>
  <c r="AN182" i="4"/>
  <c r="AO181" i="4"/>
  <c r="Z168" i="29"/>
  <c r="B185" i="4"/>
  <c r="BM186" i="4"/>
  <c r="BM190" i="4" s="1"/>
  <c r="BP185" i="4"/>
  <c r="Q170" i="29"/>
  <c r="E170" i="29"/>
  <c r="R170" i="29"/>
  <c r="U170" i="29"/>
  <c r="S170" i="29"/>
  <c r="G170" i="29"/>
  <c r="T170" i="29"/>
  <c r="AX181" i="4" l="1"/>
  <c r="AW188" i="4"/>
  <c r="AF188" i="4"/>
  <c r="Z188" i="4"/>
  <c r="AH188" i="4" s="1"/>
  <c r="AC188" i="4"/>
  <c r="BG188" i="4" s="1"/>
  <c r="AE188" i="4"/>
  <c r="AJ188" i="4" s="1"/>
  <c r="Y188" i="4"/>
  <c r="AG188" i="4" s="1"/>
  <c r="AD188" i="4"/>
  <c r="AI188" i="4" s="1"/>
  <c r="BO189" i="4"/>
  <c r="BN189" i="4"/>
  <c r="BC189" i="4"/>
  <c r="AY189" i="4"/>
  <c r="P189" i="4"/>
  <c r="K189" i="4"/>
  <c r="BB189" i="4"/>
  <c r="O189" i="4"/>
  <c r="F189" i="4"/>
  <c r="BA189" i="4"/>
  <c r="AM189" i="4"/>
  <c r="R189" i="4"/>
  <c r="N189" i="4"/>
  <c r="BD189" i="4"/>
  <c r="AZ189" i="4"/>
  <c r="Q189" i="4"/>
  <c r="M189" i="4"/>
  <c r="B190" i="4"/>
  <c r="BP190" i="4"/>
  <c r="AO182" i="4"/>
  <c r="BE181" i="4"/>
  <c r="BF181" i="4" s="1"/>
  <c r="V169" i="29"/>
  <c r="W169" i="29" s="1"/>
  <c r="P169" i="29"/>
  <c r="B186" i="4"/>
  <c r="BM187" i="4"/>
  <c r="BP186" i="4"/>
  <c r="R185" i="4"/>
  <c r="AM185" i="4"/>
  <c r="Q185" i="4"/>
  <c r="P185" i="4"/>
  <c r="AY185" i="4"/>
  <c r="F185" i="4"/>
  <c r="K185" i="4"/>
  <c r="N185" i="4"/>
  <c r="AZ185" i="4"/>
  <c r="M185" i="4"/>
  <c r="O185" i="4"/>
  <c r="BA185" i="4"/>
  <c r="BC185" i="4"/>
  <c r="BD185" i="4"/>
  <c r="BB185" i="4"/>
  <c r="Q171" i="29"/>
  <c r="U171" i="29"/>
  <c r="R171" i="29"/>
  <c r="G171" i="29"/>
  <c r="T171" i="29"/>
  <c r="S171" i="29"/>
  <c r="E171" i="29"/>
  <c r="O170" i="29"/>
  <c r="AV182" i="4"/>
  <c r="AX182" i="4" s="1"/>
  <c r="I170" i="29"/>
  <c r="K170" i="29" s="1"/>
  <c r="N170" i="29" s="1"/>
  <c r="J170" i="29"/>
  <c r="Y170" i="29" s="1"/>
  <c r="BH183" i="4"/>
  <c r="AI172" i="29"/>
  <c r="AD173" i="29"/>
  <c r="B172" i="29"/>
  <c r="Z184" i="4"/>
  <c r="AH184" i="4" s="1"/>
  <c r="AC184" i="4"/>
  <c r="BG184" i="4" s="1"/>
  <c r="AD184" i="4"/>
  <c r="AI184" i="4" s="1"/>
  <c r="AF184" i="4"/>
  <c r="AE184" i="4"/>
  <c r="AJ184" i="4" s="1"/>
  <c r="Y184" i="4"/>
  <c r="AG184" i="4" s="1"/>
  <c r="BO185" i="4"/>
  <c r="BN185" i="4"/>
  <c r="AW184" i="4"/>
  <c r="AK183" i="4"/>
  <c r="AN183" i="4"/>
  <c r="AF171" i="29"/>
  <c r="AE171" i="29"/>
  <c r="Z169" i="29"/>
  <c r="BH188" i="4" l="1"/>
  <c r="AN188" i="4"/>
  <c r="AK188" i="4"/>
  <c r="AW189" i="4"/>
  <c r="AF189" i="4"/>
  <c r="Z189" i="4"/>
  <c r="AH189" i="4" s="1"/>
  <c r="AE189" i="4"/>
  <c r="AJ189" i="4" s="1"/>
  <c r="Y189" i="4"/>
  <c r="AG189" i="4" s="1"/>
  <c r="AD189" i="4"/>
  <c r="AI189" i="4" s="1"/>
  <c r="AC189" i="4"/>
  <c r="BG189" i="4" s="1"/>
  <c r="BO190" i="4"/>
  <c r="BN190" i="4"/>
  <c r="BC190" i="4"/>
  <c r="AY190" i="4"/>
  <c r="P190" i="4"/>
  <c r="K190" i="4"/>
  <c r="BB190" i="4"/>
  <c r="O190" i="4"/>
  <c r="F190" i="4"/>
  <c r="BA190" i="4"/>
  <c r="AM190" i="4"/>
  <c r="R190" i="4"/>
  <c r="N190" i="4"/>
  <c r="BD190" i="4"/>
  <c r="AZ190" i="4"/>
  <c r="Q190" i="4"/>
  <c r="M190" i="4"/>
  <c r="Z170" i="29"/>
  <c r="AO183" i="4"/>
  <c r="AV183" i="4"/>
  <c r="P170" i="29"/>
  <c r="V170" i="29"/>
  <c r="W170" i="29" s="1"/>
  <c r="O171" i="29"/>
  <c r="AC185" i="4"/>
  <c r="BG185" i="4" s="1"/>
  <c r="AE185" i="4"/>
  <c r="AJ185" i="4" s="1"/>
  <c r="Z185" i="4"/>
  <c r="AH185" i="4" s="1"/>
  <c r="Y185" i="4"/>
  <c r="AG185" i="4" s="1"/>
  <c r="AF185" i="4"/>
  <c r="AD185" i="4"/>
  <c r="AI185" i="4" s="1"/>
  <c r="U172" i="29"/>
  <c r="E172" i="29"/>
  <c r="Q172" i="29"/>
  <c r="R172" i="29"/>
  <c r="G172" i="29"/>
  <c r="S172" i="29"/>
  <c r="T172" i="29"/>
  <c r="BE182" i="4"/>
  <c r="BF182" i="4" s="1"/>
  <c r="BH184" i="4"/>
  <c r="AI173" i="29"/>
  <c r="AD174" i="29"/>
  <c r="B173" i="29"/>
  <c r="J171" i="29"/>
  <c r="Y171" i="29" s="1"/>
  <c r="I171" i="29"/>
  <c r="K171" i="29" s="1"/>
  <c r="N171" i="29" s="1"/>
  <c r="V171" i="29" s="1"/>
  <c r="W171" i="29" s="1"/>
  <c r="AK184" i="4"/>
  <c r="AN184" i="4"/>
  <c r="AE172" i="29"/>
  <c r="AF172" i="29"/>
  <c r="AW185" i="4"/>
  <c r="BN186" i="4"/>
  <c r="BO186" i="4"/>
  <c r="BP187" i="4"/>
  <c r="BM191" i="4"/>
  <c r="B187" i="4"/>
  <c r="P186" i="4"/>
  <c r="Q186" i="4"/>
  <c r="R186" i="4"/>
  <c r="AM186" i="4"/>
  <c r="N186" i="4"/>
  <c r="M186" i="4"/>
  <c r="O186" i="4"/>
  <c r="AY186" i="4"/>
  <c r="K186" i="4"/>
  <c r="F186" i="4"/>
  <c r="BA186" i="4"/>
  <c r="BD186" i="4"/>
  <c r="BC186" i="4"/>
  <c r="AZ186" i="4"/>
  <c r="BB186" i="4"/>
  <c r="BE183" i="4" l="1"/>
  <c r="BF183" i="4" s="1"/>
  <c r="AX183" i="4"/>
  <c r="AO188" i="4"/>
  <c r="BH189" i="4"/>
  <c r="AN189" i="4"/>
  <c r="AK189" i="4"/>
  <c r="AV188" i="4"/>
  <c r="AX188" i="4" s="1"/>
  <c r="AW190" i="4"/>
  <c r="AF190" i="4"/>
  <c r="AK190" i="4" s="1"/>
  <c r="Z190" i="4"/>
  <c r="AH190" i="4" s="1"/>
  <c r="AE190" i="4"/>
  <c r="AJ190" i="4" s="1"/>
  <c r="Y190" i="4"/>
  <c r="AG190" i="4" s="1"/>
  <c r="AD190" i="4"/>
  <c r="AI190" i="4" s="1"/>
  <c r="AC190" i="4"/>
  <c r="BG190" i="4" s="1"/>
  <c r="BH185" i="4"/>
  <c r="P171" i="29"/>
  <c r="AO184" i="4"/>
  <c r="B191" i="4"/>
  <c r="BM192" i="4"/>
  <c r="BP191" i="4"/>
  <c r="J172" i="29"/>
  <c r="Y172" i="29" s="1"/>
  <c r="I172" i="29"/>
  <c r="K172" i="29" s="1"/>
  <c r="N172" i="29" s="1"/>
  <c r="AE173" i="29"/>
  <c r="AF173" i="29"/>
  <c r="Z171" i="29"/>
  <c r="AV184" i="4"/>
  <c r="AX184" i="4" s="1"/>
  <c r="AW186" i="4"/>
  <c r="BN187" i="4"/>
  <c r="BO187" i="4"/>
  <c r="O172" i="29"/>
  <c r="AF186" i="4"/>
  <c r="AE186" i="4"/>
  <c r="AJ186" i="4" s="1"/>
  <c r="AC186" i="4"/>
  <c r="BG186" i="4" s="1"/>
  <c r="Z186" i="4"/>
  <c r="AH186" i="4" s="1"/>
  <c r="AD186" i="4"/>
  <c r="AI186" i="4" s="1"/>
  <c r="Y186" i="4"/>
  <c r="AG186" i="4" s="1"/>
  <c r="T173" i="29"/>
  <c r="S173" i="29"/>
  <c r="G173" i="29"/>
  <c r="U173" i="29"/>
  <c r="R173" i="29"/>
  <c r="Q173" i="29"/>
  <c r="E173" i="29"/>
  <c r="P187" i="4"/>
  <c r="Q187" i="4"/>
  <c r="AM187" i="4"/>
  <c r="R187" i="4"/>
  <c r="F187" i="4"/>
  <c r="AY187" i="4"/>
  <c r="K187" i="4"/>
  <c r="BB187" i="4"/>
  <c r="AZ187" i="4"/>
  <c r="BC187" i="4"/>
  <c r="BA187" i="4"/>
  <c r="N187" i="4"/>
  <c r="O187" i="4"/>
  <c r="BD187" i="4"/>
  <c r="M187" i="4"/>
  <c r="AI174" i="29"/>
  <c r="AD175" i="29"/>
  <c r="B174" i="29"/>
  <c r="AK185" i="4"/>
  <c r="AN185" i="4"/>
  <c r="AO189" i="4" l="1"/>
  <c r="BH190" i="4"/>
  <c r="BE188" i="4"/>
  <c r="BF188" i="4" s="1"/>
  <c r="AV189" i="4"/>
  <c r="AX189" i="4" s="1"/>
  <c r="AN190" i="4"/>
  <c r="AO190" i="4" s="1"/>
  <c r="BH186" i="4"/>
  <c r="AW187" i="4"/>
  <c r="AO185" i="4"/>
  <c r="U174" i="29"/>
  <c r="S174" i="29"/>
  <c r="Q174" i="29"/>
  <c r="T174" i="29"/>
  <c r="G174" i="29"/>
  <c r="E174" i="29"/>
  <c r="R174" i="29"/>
  <c r="AI175" i="29"/>
  <c r="AD176" i="29"/>
  <c r="B175" i="29"/>
  <c r="Z187" i="4"/>
  <c r="AH187" i="4" s="1"/>
  <c r="AD187" i="4"/>
  <c r="AI187" i="4" s="1"/>
  <c r="AE187" i="4"/>
  <c r="AJ187" i="4" s="1"/>
  <c r="AF187" i="4"/>
  <c r="Y187" i="4"/>
  <c r="AG187" i="4" s="1"/>
  <c r="AC187" i="4"/>
  <c r="BG187" i="4" s="1"/>
  <c r="BE184" i="4"/>
  <c r="BF184" i="4" s="1"/>
  <c r="BP192" i="4"/>
  <c r="BM193" i="4"/>
  <c r="B192" i="4"/>
  <c r="AK186" i="4"/>
  <c r="AN186" i="4"/>
  <c r="V172" i="29"/>
  <c r="W172" i="29" s="1"/>
  <c r="P172" i="29"/>
  <c r="R191" i="4"/>
  <c r="BA191" i="4"/>
  <c r="K191" i="4"/>
  <c r="F191" i="4"/>
  <c r="BD191" i="4"/>
  <c r="AZ191" i="4"/>
  <c r="BB191" i="4"/>
  <c r="AY191" i="4"/>
  <c r="P191" i="4"/>
  <c r="N191" i="4"/>
  <c r="BC191" i="4"/>
  <c r="M191" i="4"/>
  <c r="O191" i="4"/>
  <c r="AM191" i="4"/>
  <c r="Q191" i="4"/>
  <c r="J173" i="29"/>
  <c r="Y173" i="29" s="1"/>
  <c r="I173" i="29"/>
  <c r="K173" i="29" s="1"/>
  <c r="N173" i="29" s="1"/>
  <c r="AV185" i="4"/>
  <c r="AX185" i="4" s="1"/>
  <c r="AF174" i="29"/>
  <c r="AE174" i="29"/>
  <c r="O173" i="29"/>
  <c r="Z172" i="29"/>
  <c r="BN191" i="4"/>
  <c r="BO191" i="4"/>
  <c r="AV190" i="4" l="1"/>
  <c r="AX190" i="4" s="1"/>
  <c r="BE189" i="4"/>
  <c r="BF189" i="4" s="1"/>
  <c r="AO186" i="4"/>
  <c r="AV186" i="4"/>
  <c r="AX186" i="4" s="1"/>
  <c r="V173" i="29"/>
  <c r="W173" i="29" s="1"/>
  <c r="P173" i="29"/>
  <c r="Z173" i="29"/>
  <c r="Y191" i="4"/>
  <c r="AG191" i="4" s="1"/>
  <c r="AD191" i="4"/>
  <c r="AI191" i="4" s="1"/>
  <c r="Z191" i="4"/>
  <c r="AH191" i="4" s="1"/>
  <c r="AF191" i="4"/>
  <c r="AE191" i="4"/>
  <c r="AJ191" i="4" s="1"/>
  <c r="AC191" i="4"/>
  <c r="BG191" i="4" s="1"/>
  <c r="I174" i="29"/>
  <c r="K174" i="29" s="1"/>
  <c r="N174" i="29" s="1"/>
  <c r="V174" i="29" s="1"/>
  <c r="W174" i="29" s="1"/>
  <c r="J174" i="29"/>
  <c r="Y174" i="29" s="1"/>
  <c r="N192" i="4"/>
  <c r="BB192" i="4"/>
  <c r="O192" i="4"/>
  <c r="M192" i="4"/>
  <c r="Q192" i="4"/>
  <c r="AM192" i="4"/>
  <c r="P192" i="4"/>
  <c r="R192" i="4"/>
  <c r="AY192" i="4"/>
  <c r="K192" i="4"/>
  <c r="F192" i="4"/>
  <c r="BD192" i="4"/>
  <c r="BC192" i="4"/>
  <c r="AZ192" i="4"/>
  <c r="BA192" i="4"/>
  <c r="U175" i="29"/>
  <c r="G175" i="29"/>
  <c r="Q175" i="29"/>
  <c r="T175" i="29"/>
  <c r="R175" i="29"/>
  <c r="E175" i="29"/>
  <c r="S175" i="29"/>
  <c r="AW191" i="4"/>
  <c r="BM194" i="4"/>
  <c r="B193" i="4"/>
  <c r="BP193" i="4"/>
  <c r="BH187" i="4"/>
  <c r="AI176" i="29"/>
  <c r="B176" i="29"/>
  <c r="AD177" i="29"/>
  <c r="BE185" i="4"/>
  <c r="BF185" i="4" s="1"/>
  <c r="BO192" i="4"/>
  <c r="BN192" i="4"/>
  <c r="AK187" i="4"/>
  <c r="AN187" i="4"/>
  <c r="AF175" i="29"/>
  <c r="AE175" i="29"/>
  <c r="O174" i="29"/>
  <c r="BE190" i="4" l="1"/>
  <c r="BF190" i="4" s="1"/>
  <c r="AW192" i="4"/>
  <c r="AV187" i="4"/>
  <c r="AX187" i="4" s="1"/>
  <c r="BE186" i="4"/>
  <c r="BF186" i="4" s="1"/>
  <c r="AO187" i="4"/>
  <c r="BH191" i="4"/>
  <c r="Q176" i="29"/>
  <c r="E176" i="29"/>
  <c r="S176" i="29"/>
  <c r="U176" i="29"/>
  <c r="R176" i="29"/>
  <c r="G176" i="29"/>
  <c r="T176" i="29"/>
  <c r="BD193" i="4"/>
  <c r="BC193" i="4"/>
  <c r="AY193" i="4"/>
  <c r="AZ193" i="4"/>
  <c r="F193" i="4"/>
  <c r="BA193" i="4"/>
  <c r="K193" i="4"/>
  <c r="M193" i="4"/>
  <c r="O193" i="4"/>
  <c r="BB193" i="4"/>
  <c r="N193" i="4"/>
  <c r="R193" i="4"/>
  <c r="Q193" i="4"/>
  <c r="AM193" i="4"/>
  <c r="P193" i="4"/>
  <c r="O175" i="29"/>
  <c r="Z174" i="29"/>
  <c r="AF192" i="4"/>
  <c r="AD192" i="4"/>
  <c r="AI192" i="4" s="1"/>
  <c r="AE192" i="4"/>
  <c r="AJ192" i="4" s="1"/>
  <c r="Y192" i="4"/>
  <c r="AG192" i="4" s="1"/>
  <c r="AC192" i="4"/>
  <c r="BG192" i="4" s="1"/>
  <c r="Z192" i="4"/>
  <c r="AH192" i="4" s="1"/>
  <c r="AI177" i="29"/>
  <c r="B177" i="29"/>
  <c r="AD178" i="29"/>
  <c r="BO193" i="4"/>
  <c r="BN193" i="4"/>
  <c r="P174" i="29"/>
  <c r="AF176" i="29"/>
  <c r="AE176" i="29"/>
  <c r="BP194" i="4"/>
  <c r="BM195" i="4"/>
  <c r="B194" i="4"/>
  <c r="J175" i="29"/>
  <c r="Y175" i="29" s="1"/>
  <c r="I175" i="29"/>
  <c r="K175" i="29" s="1"/>
  <c r="N175" i="29" s="1"/>
  <c r="AK191" i="4"/>
  <c r="AN191" i="4"/>
  <c r="BE187" i="4" l="1"/>
  <c r="BF187" i="4" s="1"/>
  <c r="BH192" i="4"/>
  <c r="AV191" i="4"/>
  <c r="V175" i="29"/>
  <c r="W175" i="29" s="1"/>
  <c r="P175" i="29"/>
  <c r="BN194" i="4"/>
  <c r="BO194" i="4"/>
  <c r="T177" i="29"/>
  <c r="Q177" i="29"/>
  <c r="S177" i="29"/>
  <c r="R177" i="29"/>
  <c r="G177" i="29"/>
  <c r="E177" i="29"/>
  <c r="U177" i="29"/>
  <c r="R194" i="4"/>
  <c r="O194" i="4"/>
  <c r="P194" i="4"/>
  <c r="Q194" i="4"/>
  <c r="BD194" i="4"/>
  <c r="BC194" i="4"/>
  <c r="AZ194" i="4"/>
  <c r="BB194" i="4"/>
  <c r="M194" i="4"/>
  <c r="BA194" i="4"/>
  <c r="N194" i="4"/>
  <c r="AM194" i="4"/>
  <c r="K194" i="4"/>
  <c r="F194" i="4"/>
  <c r="AY194" i="4"/>
  <c r="AD193" i="4"/>
  <c r="AI193" i="4" s="1"/>
  <c r="AE193" i="4"/>
  <c r="AJ193" i="4" s="1"/>
  <c r="Z193" i="4"/>
  <c r="AH193" i="4" s="1"/>
  <c r="AF193" i="4"/>
  <c r="Y193" i="4"/>
  <c r="AG193" i="4" s="1"/>
  <c r="AC193" i="4"/>
  <c r="BG193" i="4" s="1"/>
  <c r="AE177" i="29"/>
  <c r="AF177" i="29"/>
  <c r="AO191" i="4"/>
  <c r="BP195" i="4"/>
  <c r="B195" i="4"/>
  <c r="BM196" i="4"/>
  <c r="I176" i="29"/>
  <c r="K176" i="29" s="1"/>
  <c r="J176" i="29"/>
  <c r="Y176" i="29" s="1"/>
  <c r="Z175" i="29"/>
  <c r="O176" i="29"/>
  <c r="AI178" i="29"/>
  <c r="AD179" i="29"/>
  <c r="B178" i="29"/>
  <c r="AK192" i="4"/>
  <c r="AN192" i="4"/>
  <c r="AW193" i="4"/>
  <c r="BE191" i="4" l="1"/>
  <c r="BF191" i="4" s="1"/>
  <c r="AX191" i="4"/>
  <c r="N176" i="29"/>
  <c r="P176" i="29" s="1"/>
  <c r="O177" i="29"/>
  <c r="AV192" i="4"/>
  <c r="BH193" i="4"/>
  <c r="AO192" i="4"/>
  <c r="AF194" i="4"/>
  <c r="Z194" i="4"/>
  <c r="AH194" i="4" s="1"/>
  <c r="AE194" i="4"/>
  <c r="AJ194" i="4" s="1"/>
  <c r="AC194" i="4"/>
  <c r="BG194" i="4" s="1"/>
  <c r="AD194" i="4"/>
  <c r="AI194" i="4" s="1"/>
  <c r="Y194" i="4"/>
  <c r="AG194" i="4" s="1"/>
  <c r="Z176" i="29"/>
  <c r="AI179" i="29"/>
  <c r="AD180" i="29"/>
  <c r="B179" i="29"/>
  <c r="BB195" i="4"/>
  <c r="BC195" i="4"/>
  <c r="AY195" i="4"/>
  <c r="BD195" i="4"/>
  <c r="AM195" i="4"/>
  <c r="M195" i="4"/>
  <c r="O195" i="4"/>
  <c r="AZ195" i="4"/>
  <c r="R195" i="4"/>
  <c r="Q195" i="4"/>
  <c r="P195" i="4"/>
  <c r="N195" i="4"/>
  <c r="BA195" i="4"/>
  <c r="K195" i="4"/>
  <c r="F195" i="4"/>
  <c r="I177" i="29"/>
  <c r="K177" i="29" s="1"/>
  <c r="J177" i="29"/>
  <c r="Y177" i="29" s="1"/>
  <c r="S178" i="29"/>
  <c r="E178" i="29"/>
  <c r="G178" i="29"/>
  <c r="Q178" i="29"/>
  <c r="U178" i="29"/>
  <c r="T178" i="29"/>
  <c r="R178" i="29"/>
  <c r="BM197" i="4"/>
  <c r="BP196" i="4"/>
  <c r="B196" i="4"/>
  <c r="AF178" i="29"/>
  <c r="AE178" i="29"/>
  <c r="BO195" i="4"/>
  <c r="BN195" i="4"/>
  <c r="AK193" i="4"/>
  <c r="AN193" i="4"/>
  <c r="AW194" i="4"/>
  <c r="M89" i="7" l="1"/>
  <c r="M92" i="7" s="1"/>
  <c r="M94" i="7" s="1"/>
  <c r="J171" i="7" s="1"/>
  <c r="K171" i="7" s="1"/>
  <c r="J93" i="7"/>
  <c r="J91" i="7"/>
  <c r="J92" i="7"/>
  <c r="K92" i="7" s="1"/>
  <c r="J160" i="7"/>
  <c r="K160" i="7" s="1"/>
  <c r="J128" i="7"/>
  <c r="K128" i="7" s="1"/>
  <c r="J97" i="7"/>
  <c r="K97" i="7" s="1"/>
  <c r="J141" i="7"/>
  <c r="K141" i="7" s="1"/>
  <c r="J115" i="7"/>
  <c r="K115" i="7" s="1"/>
  <c r="J163" i="7"/>
  <c r="K163" i="7" s="1"/>
  <c r="J129" i="7"/>
  <c r="K129" i="7" s="1"/>
  <c r="J98" i="7"/>
  <c r="K98" i="7" s="1"/>
  <c r="J119" i="7"/>
  <c r="K119" i="7" s="1"/>
  <c r="J170" i="7"/>
  <c r="K170" i="7" s="1"/>
  <c r="J156" i="7"/>
  <c r="K156" i="7" s="1"/>
  <c r="J124" i="7"/>
  <c r="K124" i="7" s="1"/>
  <c r="J109" i="7"/>
  <c r="K109" i="7" s="1"/>
  <c r="J165" i="7"/>
  <c r="K165" i="7" s="1"/>
  <c r="J102" i="7"/>
  <c r="K102" i="7" s="1"/>
  <c r="J139" i="7"/>
  <c r="K139" i="7" s="1"/>
  <c r="J108" i="7"/>
  <c r="K108" i="7" s="1"/>
  <c r="J121" i="7"/>
  <c r="K121" i="7" s="1"/>
  <c r="V176" i="29"/>
  <c r="W176" i="29" s="1"/>
  <c r="AX192" i="4"/>
  <c r="Z177" i="29"/>
  <c r="N177" i="29"/>
  <c r="BE192" i="4"/>
  <c r="AV193" i="4"/>
  <c r="O178" i="29"/>
  <c r="BH194" i="4"/>
  <c r="AO193" i="4"/>
  <c r="AF179" i="29"/>
  <c r="AE179" i="29"/>
  <c r="AF195" i="4"/>
  <c r="Z195" i="4"/>
  <c r="AH195" i="4" s="1"/>
  <c r="AE195" i="4"/>
  <c r="AJ195" i="4" s="1"/>
  <c r="AC195" i="4"/>
  <c r="BG195" i="4" s="1"/>
  <c r="AD195" i="4"/>
  <c r="AI195" i="4" s="1"/>
  <c r="Y195" i="4"/>
  <c r="AG195" i="4" s="1"/>
  <c r="J178" i="29"/>
  <c r="Y178" i="29" s="1"/>
  <c r="I178" i="29"/>
  <c r="K178" i="29" s="1"/>
  <c r="BM198" i="4"/>
  <c r="B197" i="4"/>
  <c r="BP197" i="4"/>
  <c r="I196" i="4"/>
  <c r="BC196" i="4"/>
  <c r="F196" i="4"/>
  <c r="K196" i="4"/>
  <c r="Q196" i="4"/>
  <c r="J196" i="4"/>
  <c r="AZ196" i="4"/>
  <c r="BD196" i="4"/>
  <c r="BB196" i="4"/>
  <c r="AY196" i="4"/>
  <c r="P196" i="4"/>
  <c r="AM196" i="4"/>
  <c r="M196" i="4"/>
  <c r="BA196" i="4"/>
  <c r="R196" i="4"/>
  <c r="O196" i="4"/>
  <c r="H196" i="4"/>
  <c r="N196" i="4"/>
  <c r="Q179" i="29"/>
  <c r="U179" i="29"/>
  <c r="T179" i="29"/>
  <c r="R179" i="29"/>
  <c r="S179" i="29"/>
  <c r="E179" i="29"/>
  <c r="G179" i="29"/>
  <c r="AK194" i="4"/>
  <c r="AN194" i="4"/>
  <c r="BN196" i="4"/>
  <c r="BO196" i="4"/>
  <c r="AW195" i="4"/>
  <c r="AI180" i="29"/>
  <c r="B180" i="29"/>
  <c r="AD181" i="29"/>
  <c r="J168" i="7" l="1"/>
  <c r="K168" i="7" s="1"/>
  <c r="J123" i="7"/>
  <c r="K123" i="7" s="1"/>
  <c r="J149" i="7"/>
  <c r="K149" i="7" s="1"/>
  <c r="J132" i="7"/>
  <c r="K132" i="7" s="1"/>
  <c r="J104" i="7"/>
  <c r="K104" i="7" s="1"/>
  <c r="J164" i="7"/>
  <c r="K164" i="7" s="1"/>
  <c r="J144" i="7"/>
  <c r="K144" i="7" s="1"/>
  <c r="J106" i="7"/>
  <c r="K106" i="7" s="1"/>
  <c r="J117" i="7"/>
  <c r="K117" i="7" s="1"/>
  <c r="J148" i="7"/>
  <c r="K148" i="7" s="1"/>
  <c r="J113" i="7"/>
  <c r="K113" i="7" s="1"/>
  <c r="J95" i="7"/>
  <c r="K95" i="7" s="1"/>
  <c r="J101" i="7"/>
  <c r="K101" i="7" s="1"/>
  <c r="J135" i="7"/>
  <c r="K135" i="7" s="1"/>
  <c r="J100" i="7"/>
  <c r="K100" i="7" s="1"/>
  <c r="J131" i="7"/>
  <c r="K131" i="7" s="1"/>
  <c r="J125" i="7"/>
  <c r="K125" i="7" s="1"/>
  <c r="J157" i="7"/>
  <c r="K157" i="7" s="1"/>
  <c r="J105" i="7"/>
  <c r="K105" i="7" s="1"/>
  <c r="J136" i="7"/>
  <c r="K136" i="7" s="1"/>
  <c r="J152" i="7"/>
  <c r="K152" i="7" s="1"/>
  <c r="J167" i="7"/>
  <c r="K167" i="7" s="1"/>
  <c r="J143" i="7"/>
  <c r="K143" i="7" s="1"/>
  <c r="J159" i="7"/>
  <c r="K159" i="7" s="1"/>
  <c r="J153" i="7"/>
  <c r="K153" i="7" s="1"/>
  <c r="J158" i="7"/>
  <c r="K158" i="7" s="1"/>
  <c r="J169" i="7"/>
  <c r="K169" i="7" s="1"/>
  <c r="J150" i="7"/>
  <c r="K150" i="7" s="1"/>
  <c r="J134" i="7"/>
  <c r="K134" i="7" s="1"/>
  <c r="J126" i="7"/>
  <c r="K126" i="7" s="1"/>
  <c r="J118" i="7"/>
  <c r="K118" i="7" s="1"/>
  <c r="J166" i="7"/>
  <c r="K166" i="7" s="1"/>
  <c r="J162" i="7"/>
  <c r="K162" i="7" s="1"/>
  <c r="J154" i="7"/>
  <c r="K154" i="7" s="1"/>
  <c r="J138" i="7"/>
  <c r="K138" i="7" s="1"/>
  <c r="J130" i="7"/>
  <c r="K130" i="7" s="1"/>
  <c r="J122" i="7"/>
  <c r="K122" i="7" s="1"/>
  <c r="J110" i="7"/>
  <c r="K110" i="7" s="1"/>
  <c r="J103" i="7"/>
  <c r="K103" i="7" s="1"/>
  <c r="L96" i="7"/>
  <c r="L100" i="7"/>
  <c r="L104" i="7"/>
  <c r="L108" i="7"/>
  <c r="L111" i="7"/>
  <c r="L102" i="7"/>
  <c r="L113" i="7"/>
  <c r="L117" i="7"/>
  <c r="L121" i="7"/>
  <c r="L119" i="7"/>
  <c r="L127" i="7"/>
  <c r="L129" i="7"/>
  <c r="L133" i="7"/>
  <c r="L125" i="7"/>
  <c r="L135" i="7"/>
  <c r="L137" i="7"/>
  <c r="L141" i="7"/>
  <c r="L145" i="7"/>
  <c r="L143" i="7"/>
  <c r="L149" i="7"/>
  <c r="L151" i="7"/>
  <c r="L153" i="7"/>
  <c r="L159" i="7"/>
  <c r="L157" i="7"/>
  <c r="L161" i="7"/>
  <c r="L165" i="7"/>
  <c r="L167" i="7"/>
  <c r="L169" i="7"/>
  <c r="L95" i="7"/>
  <c r="L93" i="7"/>
  <c r="L99" i="7"/>
  <c r="L107" i="7"/>
  <c r="L110" i="7"/>
  <c r="L114" i="7"/>
  <c r="L122" i="7"/>
  <c r="L130" i="7"/>
  <c r="L138" i="7"/>
  <c r="L142" i="7"/>
  <c r="L126" i="7"/>
  <c r="L146" i="7"/>
  <c r="L158" i="7"/>
  <c r="L162" i="7"/>
  <c r="L170" i="7"/>
  <c r="J99" i="7"/>
  <c r="K99" i="7" s="1"/>
  <c r="J133" i="7"/>
  <c r="K133" i="7" s="1"/>
  <c r="J140" i="7"/>
  <c r="K140" i="7" s="1"/>
  <c r="J151" i="7"/>
  <c r="K151" i="7" s="1"/>
  <c r="J94" i="7"/>
  <c r="K94" i="7" s="1"/>
  <c r="J112" i="7"/>
  <c r="K112" i="7" s="1"/>
  <c r="J127" i="7"/>
  <c r="K127" i="7" s="1"/>
  <c r="J137" i="7"/>
  <c r="K137" i="7" s="1"/>
  <c r="J155" i="7"/>
  <c r="K155" i="7" s="1"/>
  <c r="J116" i="7"/>
  <c r="K116" i="7" s="1"/>
  <c r="J96" i="7"/>
  <c r="K96" i="7" s="1"/>
  <c r="J145" i="7"/>
  <c r="K145" i="7" s="1"/>
  <c r="J161" i="7"/>
  <c r="K161" i="7" s="1"/>
  <c r="J120" i="7"/>
  <c r="K120" i="7" s="1"/>
  <c r="J111" i="7"/>
  <c r="K111" i="7" s="1"/>
  <c r="J147" i="7"/>
  <c r="K147" i="7" s="1"/>
  <c r="J142" i="7"/>
  <c r="K142" i="7" s="1"/>
  <c r="J107" i="7"/>
  <c r="K107" i="7" s="1"/>
  <c r="J146" i="7"/>
  <c r="K146" i="7" s="1"/>
  <c r="J114" i="7"/>
  <c r="K114" i="7" s="1"/>
  <c r="L98" i="7"/>
  <c r="L106" i="7"/>
  <c r="L115" i="7"/>
  <c r="L123" i="7"/>
  <c r="L131" i="7"/>
  <c r="L139" i="7"/>
  <c r="L147" i="7"/>
  <c r="L155" i="7"/>
  <c r="L163" i="7"/>
  <c r="L91" i="7"/>
  <c r="L103" i="7"/>
  <c r="L118" i="7"/>
  <c r="L134" i="7"/>
  <c r="L154" i="7"/>
  <c r="L92" i="7"/>
  <c r="L94" i="7"/>
  <c r="L150" i="7"/>
  <c r="L166" i="7"/>
  <c r="L101" i="7"/>
  <c r="L105" i="7"/>
  <c r="L109" i="7"/>
  <c r="L116" i="7"/>
  <c r="L120" i="7"/>
  <c r="L124" i="7"/>
  <c r="L97" i="7"/>
  <c r="L112" i="7"/>
  <c r="L128" i="7"/>
  <c r="L132" i="7"/>
  <c r="L136" i="7"/>
  <c r="L140" i="7"/>
  <c r="L144" i="7"/>
  <c r="L156" i="7"/>
  <c r="L160" i="7"/>
  <c r="L164" i="7"/>
  <c r="L148" i="7"/>
  <c r="L152" i="7"/>
  <c r="L168" i="7"/>
  <c r="K93" i="7"/>
  <c r="K91" i="7"/>
  <c r="V177" i="29"/>
  <c r="W177" i="29" s="1"/>
  <c r="P177" i="29"/>
  <c r="BF192" i="4"/>
  <c r="BE193" i="4"/>
  <c r="BF193" i="4" s="1"/>
  <c r="AX193" i="4"/>
  <c r="N178" i="29"/>
  <c r="V178" i="29" s="1"/>
  <c r="W178" i="29" s="1"/>
  <c r="Z178" i="29"/>
  <c r="BH195" i="4"/>
  <c r="O179" i="29"/>
  <c r="AV194" i="4"/>
  <c r="AO194" i="4"/>
  <c r="AI181" i="29"/>
  <c r="AD182" i="29"/>
  <c r="B181" i="29"/>
  <c r="R180" i="29"/>
  <c r="Q180" i="29"/>
  <c r="S180" i="29"/>
  <c r="U180" i="29"/>
  <c r="T180" i="29"/>
  <c r="G180" i="29"/>
  <c r="E180" i="29"/>
  <c r="AF196" i="4"/>
  <c r="AC196" i="4"/>
  <c r="BG196" i="4" s="1"/>
  <c r="AB196" i="4"/>
  <c r="AA196" i="4"/>
  <c r="Y196" i="4"/>
  <c r="AG196" i="4" s="1"/>
  <c r="AD196" i="4"/>
  <c r="AI196" i="4" s="1"/>
  <c r="Z196" i="4"/>
  <c r="AE196" i="4"/>
  <c r="AJ196" i="4" s="1"/>
  <c r="AW196" i="4"/>
  <c r="BP198" i="4"/>
  <c r="B198" i="4"/>
  <c r="BM199" i="4"/>
  <c r="AK195" i="4"/>
  <c r="AN195" i="4"/>
  <c r="BO197" i="4"/>
  <c r="BN197" i="4"/>
  <c r="AF180" i="29"/>
  <c r="AE180" i="29"/>
  <c r="P178" i="29"/>
  <c r="BD197" i="4"/>
  <c r="BC197" i="4"/>
  <c r="BB197" i="4"/>
  <c r="AZ197" i="4"/>
  <c r="N197" i="4"/>
  <c r="AY197" i="4"/>
  <c r="P197" i="4"/>
  <c r="O197" i="4"/>
  <c r="Q197" i="4"/>
  <c r="M197" i="4"/>
  <c r="AM197" i="4"/>
  <c r="R197" i="4"/>
  <c r="K197" i="4"/>
  <c r="F197" i="4"/>
  <c r="BA197" i="4"/>
  <c r="I179" i="29"/>
  <c r="K179" i="29" s="1"/>
  <c r="J179" i="29"/>
  <c r="Y179" i="29" s="1"/>
  <c r="J172" i="7" l="1"/>
  <c r="K172" i="7"/>
  <c r="BE194" i="4"/>
  <c r="BF194" i="4" s="1"/>
  <c r="AX194" i="4"/>
  <c r="Z179" i="29"/>
  <c r="N179" i="29"/>
  <c r="P179" i="29" s="1"/>
  <c r="AH196" i="4"/>
  <c r="BH196" i="4" s="1"/>
  <c r="AO195" i="4"/>
  <c r="I180" i="29"/>
  <c r="K180" i="29" s="1"/>
  <c r="J180" i="29"/>
  <c r="Y180" i="29" s="1"/>
  <c r="BO198" i="4"/>
  <c r="BN198" i="4"/>
  <c r="AK196" i="4"/>
  <c r="AN196" i="4"/>
  <c r="AI182" i="29"/>
  <c r="AD183" i="29"/>
  <c r="B182" i="29"/>
  <c r="AV195" i="4"/>
  <c r="AX195" i="4" s="1"/>
  <c r="O180" i="29"/>
  <c r="AF181" i="29"/>
  <c r="AE181" i="29"/>
  <c r="BP199" i="4"/>
  <c r="B199" i="4"/>
  <c r="BM200" i="4"/>
  <c r="AW197" i="4"/>
  <c r="AC197" i="4"/>
  <c r="BG197" i="4" s="1"/>
  <c r="AF197" i="4"/>
  <c r="Z197" i="4"/>
  <c r="AH197" i="4" s="1"/>
  <c r="AD197" i="4"/>
  <c r="AI197" i="4" s="1"/>
  <c r="AE197" i="4"/>
  <c r="AJ197" i="4" s="1"/>
  <c r="Y197" i="4"/>
  <c r="AG197" i="4" s="1"/>
  <c r="M198" i="4"/>
  <c r="N198" i="4"/>
  <c r="AY198" i="4"/>
  <c r="BC198" i="4"/>
  <c r="R198" i="4"/>
  <c r="P198" i="4"/>
  <c r="AZ198" i="4"/>
  <c r="BD198" i="4"/>
  <c r="K198" i="4"/>
  <c r="F198" i="4"/>
  <c r="O198" i="4"/>
  <c r="BA198" i="4"/>
  <c r="BB198" i="4"/>
  <c r="AM198" i="4"/>
  <c r="Q198" i="4"/>
  <c r="E181" i="29"/>
  <c r="U181" i="29"/>
  <c r="Q181" i="29"/>
  <c r="R181" i="29"/>
  <c r="S181" i="29"/>
  <c r="G181" i="29"/>
  <c r="T181" i="29"/>
  <c r="V179" i="29" l="1"/>
  <c r="W179" i="29" s="1"/>
  <c r="N180" i="29"/>
  <c r="P180" i="29" s="1"/>
  <c r="AO196" i="4"/>
  <c r="O181" i="29"/>
  <c r="AW198" i="4"/>
  <c r="BH197" i="4"/>
  <c r="J181" i="29"/>
  <c r="Y181" i="29" s="1"/>
  <c r="I181" i="29"/>
  <c r="K181" i="29" s="1"/>
  <c r="AI183" i="29"/>
  <c r="B183" i="29"/>
  <c r="AD184" i="29"/>
  <c r="AV196" i="4"/>
  <c r="AK197" i="4"/>
  <c r="AN197" i="4"/>
  <c r="BM201" i="4"/>
  <c r="BP200" i="4"/>
  <c r="B200" i="4"/>
  <c r="AE182" i="29"/>
  <c r="AF182" i="29"/>
  <c r="R199" i="4"/>
  <c r="AM199" i="4"/>
  <c r="Q199" i="4"/>
  <c r="P199" i="4"/>
  <c r="BA199" i="4"/>
  <c r="K199" i="4"/>
  <c r="F199" i="4"/>
  <c r="BC199" i="4"/>
  <c r="AZ199" i="4"/>
  <c r="BB199" i="4"/>
  <c r="AY199" i="4"/>
  <c r="N199" i="4"/>
  <c r="BD199" i="4"/>
  <c r="M199" i="4"/>
  <c r="O199" i="4"/>
  <c r="Z180" i="29"/>
  <c r="BE195" i="4"/>
  <c r="BF195" i="4" s="1"/>
  <c r="BN199" i="4"/>
  <c r="BO199" i="4"/>
  <c r="Q182" i="29"/>
  <c r="S182" i="29"/>
  <c r="U182" i="29"/>
  <c r="G182" i="29"/>
  <c r="E182" i="29"/>
  <c r="R182" i="29"/>
  <c r="T182" i="29"/>
  <c r="AF198" i="4"/>
  <c r="Y198" i="4"/>
  <c r="AG198" i="4" s="1"/>
  <c r="Z198" i="4"/>
  <c r="AH198" i="4" s="1"/>
  <c r="AD198" i="4"/>
  <c r="AI198" i="4" s="1"/>
  <c r="AE198" i="4"/>
  <c r="AJ198" i="4" s="1"/>
  <c r="AC198" i="4"/>
  <c r="BG198" i="4" s="1"/>
  <c r="V180" i="29" l="1"/>
  <c r="W180" i="29" s="1"/>
  <c r="AX196" i="4"/>
  <c r="N181" i="29"/>
  <c r="P181" i="29" s="1"/>
  <c r="BH198" i="4"/>
  <c r="AV197" i="4"/>
  <c r="AC199" i="4"/>
  <c r="BG199" i="4" s="1"/>
  <c r="AD199" i="4"/>
  <c r="AI199" i="4" s="1"/>
  <c r="Y199" i="4"/>
  <c r="AG199" i="4" s="1"/>
  <c r="AF199" i="4"/>
  <c r="Z199" i="4"/>
  <c r="AH199" i="4" s="1"/>
  <c r="BH199" i="4" s="1"/>
  <c r="AE199" i="4"/>
  <c r="AJ199" i="4" s="1"/>
  <c r="R200" i="4"/>
  <c r="AM200" i="4"/>
  <c r="Q200" i="4"/>
  <c r="P200" i="4"/>
  <c r="BD200" i="4"/>
  <c r="BC200" i="4"/>
  <c r="AZ200" i="4"/>
  <c r="BA200" i="4"/>
  <c r="N200" i="4"/>
  <c r="BB200" i="4"/>
  <c r="O200" i="4"/>
  <c r="M200" i="4"/>
  <c r="AY200" i="4"/>
  <c r="K200" i="4"/>
  <c r="F200" i="4"/>
  <c r="AI184" i="29"/>
  <c r="AD185" i="29"/>
  <c r="B184" i="29"/>
  <c r="BN200" i="4"/>
  <c r="BO200" i="4"/>
  <c r="E183" i="29"/>
  <c r="Q183" i="29"/>
  <c r="G183" i="29"/>
  <c r="R183" i="29"/>
  <c r="U183" i="29"/>
  <c r="T183" i="29"/>
  <c r="S183" i="29"/>
  <c r="AK198" i="4"/>
  <c r="AN198" i="4"/>
  <c r="AW199" i="4"/>
  <c r="B201" i="4"/>
  <c r="BM202" i="4"/>
  <c r="BP201" i="4"/>
  <c r="AE183" i="29"/>
  <c r="AF183" i="29"/>
  <c r="O182" i="29"/>
  <c r="I182" i="29"/>
  <c r="K182" i="29" s="1"/>
  <c r="J182" i="29"/>
  <c r="Y182" i="29" s="1"/>
  <c r="AO197" i="4"/>
  <c r="BE196" i="4"/>
  <c r="BF196" i="4" s="1"/>
  <c r="Z181" i="29"/>
  <c r="V181" i="29" l="1"/>
  <c r="W181" i="29" s="1"/>
  <c r="BE197" i="4"/>
  <c r="BF197" i="4" s="1"/>
  <c r="AX197" i="4"/>
  <c r="N182" i="29"/>
  <c r="V182" i="29" s="1"/>
  <c r="W182" i="29" s="1"/>
  <c r="AO198" i="4"/>
  <c r="I183" i="29"/>
  <c r="K183" i="29" s="1"/>
  <c r="J183" i="29"/>
  <c r="Y183" i="29" s="1"/>
  <c r="BM203" i="4"/>
  <c r="BP202" i="4"/>
  <c r="B202" i="4"/>
  <c r="AM201" i="4"/>
  <c r="Q201" i="4"/>
  <c r="P201" i="4"/>
  <c r="R201" i="4"/>
  <c r="BA201" i="4"/>
  <c r="K201" i="4"/>
  <c r="F201" i="4"/>
  <c r="AY201" i="4"/>
  <c r="BC201" i="4"/>
  <c r="AZ201" i="4"/>
  <c r="BD201" i="4"/>
  <c r="BB201" i="4"/>
  <c r="O201" i="4"/>
  <c r="N201" i="4"/>
  <c r="M201" i="4"/>
  <c r="AE184" i="29"/>
  <c r="AF184" i="29"/>
  <c r="AW200" i="4"/>
  <c r="O183" i="29"/>
  <c r="Z182" i="29"/>
  <c r="AK199" i="4"/>
  <c r="AN199" i="4"/>
  <c r="BO201" i="4"/>
  <c r="BN201" i="4"/>
  <c r="U184" i="29"/>
  <c r="T184" i="29"/>
  <c r="R184" i="29"/>
  <c r="G184" i="29"/>
  <c r="Q184" i="29"/>
  <c r="E184" i="29"/>
  <c r="S184" i="29"/>
  <c r="AV198" i="4"/>
  <c r="AX198" i="4" s="1"/>
  <c r="AE200" i="4"/>
  <c r="AJ200" i="4" s="1"/>
  <c r="Y200" i="4"/>
  <c r="AG200" i="4" s="1"/>
  <c r="AC200" i="4"/>
  <c r="BG200" i="4" s="1"/>
  <c r="Z200" i="4"/>
  <c r="AH200" i="4" s="1"/>
  <c r="AD200" i="4"/>
  <c r="AI200" i="4" s="1"/>
  <c r="AF200" i="4"/>
  <c r="AI185" i="29"/>
  <c r="B185" i="29"/>
  <c r="AD186" i="29"/>
  <c r="P182" i="29" l="1"/>
  <c r="N183" i="29"/>
  <c r="P183" i="29" s="1"/>
  <c r="AV199" i="4"/>
  <c r="AX199" i="4" s="1"/>
  <c r="AO199" i="4"/>
  <c r="BH200" i="4"/>
  <c r="AE185" i="29"/>
  <c r="AF185" i="29"/>
  <c r="BE198" i="4"/>
  <c r="BF198" i="4" s="1"/>
  <c r="AI186" i="29"/>
  <c r="AD187" i="29"/>
  <c r="B186" i="29"/>
  <c r="G185" i="29"/>
  <c r="S185" i="29"/>
  <c r="E185" i="29"/>
  <c r="T185" i="29"/>
  <c r="Q185" i="29"/>
  <c r="U185" i="29"/>
  <c r="R185" i="29"/>
  <c r="AK200" i="4"/>
  <c r="AN200" i="4"/>
  <c r="AE201" i="4"/>
  <c r="AJ201" i="4" s="1"/>
  <c r="AF201" i="4"/>
  <c r="AD201" i="4"/>
  <c r="AI201" i="4" s="1"/>
  <c r="Y201" i="4"/>
  <c r="AG201" i="4" s="1"/>
  <c r="AC201" i="4"/>
  <c r="BG201" i="4" s="1"/>
  <c r="Z201" i="4"/>
  <c r="AH201" i="4" s="1"/>
  <c r="AW201" i="4"/>
  <c r="BN202" i="4"/>
  <c r="BO202" i="4"/>
  <c r="Z183" i="29"/>
  <c r="BM204" i="4"/>
  <c r="BP203" i="4"/>
  <c r="B203" i="4"/>
  <c r="O184" i="29"/>
  <c r="J184" i="29"/>
  <c r="Y184" i="29" s="1"/>
  <c r="I184" i="29"/>
  <c r="K184" i="29" s="1"/>
  <c r="R202" i="4"/>
  <c r="O202" i="4"/>
  <c r="P202" i="4"/>
  <c r="Q202" i="4"/>
  <c r="K202" i="4"/>
  <c r="F202" i="4"/>
  <c r="AY202" i="4"/>
  <c r="BD202" i="4"/>
  <c r="BC202" i="4"/>
  <c r="AZ202" i="4"/>
  <c r="BB202" i="4"/>
  <c r="M202" i="4"/>
  <c r="BA202" i="4"/>
  <c r="N202" i="4"/>
  <c r="AM202" i="4"/>
  <c r="V183" i="29" l="1"/>
  <c r="W183" i="29" s="1"/>
  <c r="N184" i="29"/>
  <c r="V184" i="29" s="1"/>
  <c r="W184" i="29" s="1"/>
  <c r="BE199" i="4"/>
  <c r="BF199" i="4" s="1"/>
  <c r="O185" i="29"/>
  <c r="AO200" i="4"/>
  <c r="BN203" i="4"/>
  <c r="BO203" i="4"/>
  <c r="T186" i="29"/>
  <c r="G186" i="29"/>
  <c r="U186" i="29"/>
  <c r="R186" i="29"/>
  <c r="E186" i="29"/>
  <c r="S186" i="29"/>
  <c r="Q186" i="29"/>
  <c r="B204" i="4"/>
  <c r="BM205" i="4"/>
  <c r="BP204" i="4"/>
  <c r="Z202" i="4"/>
  <c r="AH202" i="4" s="1"/>
  <c r="Y202" i="4"/>
  <c r="AG202" i="4" s="1"/>
  <c r="AC202" i="4"/>
  <c r="BG202" i="4" s="1"/>
  <c r="AE202" i="4"/>
  <c r="AJ202" i="4" s="1"/>
  <c r="AF202" i="4"/>
  <c r="AD202" i="4"/>
  <c r="AI202" i="4" s="1"/>
  <c r="AI187" i="29"/>
  <c r="B187" i="29"/>
  <c r="AD188" i="29"/>
  <c r="AW202" i="4"/>
  <c r="BH201" i="4"/>
  <c r="AK201" i="4"/>
  <c r="AN201" i="4"/>
  <c r="AV200" i="4"/>
  <c r="AX200" i="4" s="1"/>
  <c r="AE186" i="29"/>
  <c r="AF186" i="29"/>
  <c r="I185" i="29"/>
  <c r="K185" i="29" s="1"/>
  <c r="J185" i="29"/>
  <c r="Y185" i="29" s="1"/>
  <c r="Z184" i="29"/>
  <c r="K203" i="4"/>
  <c r="F203" i="4"/>
  <c r="BA203" i="4"/>
  <c r="BD203" i="4"/>
  <c r="BC203" i="4"/>
  <c r="AY203" i="4"/>
  <c r="BB203" i="4"/>
  <c r="AZ203" i="4"/>
  <c r="M203" i="4"/>
  <c r="O203" i="4"/>
  <c r="N203" i="4"/>
  <c r="AM203" i="4"/>
  <c r="P203" i="4"/>
  <c r="Q203" i="4"/>
  <c r="R203" i="4"/>
  <c r="P184" i="29" l="1"/>
  <c r="N185" i="29"/>
  <c r="P185" i="29" s="1"/>
  <c r="Z185" i="29"/>
  <c r="V185" i="29"/>
  <c r="W185" i="29" s="1"/>
  <c r="AV201" i="4"/>
  <c r="AO201" i="4"/>
  <c r="J186" i="29"/>
  <c r="Y186" i="29" s="1"/>
  <c r="I186" i="29"/>
  <c r="K186" i="29" s="1"/>
  <c r="AE187" i="29"/>
  <c r="AF187" i="29"/>
  <c r="Q204" i="4"/>
  <c r="AM204" i="4"/>
  <c r="P204" i="4"/>
  <c r="R204" i="4"/>
  <c r="F204" i="4"/>
  <c r="K204" i="4"/>
  <c r="AY204" i="4"/>
  <c r="BD204" i="4"/>
  <c r="BC204" i="4"/>
  <c r="BB204" i="4"/>
  <c r="BA204" i="4"/>
  <c r="M204" i="4"/>
  <c r="AZ204" i="4"/>
  <c r="O204" i="4"/>
  <c r="N204" i="4"/>
  <c r="AD203" i="4"/>
  <c r="AI203" i="4" s="1"/>
  <c r="AF203" i="4"/>
  <c r="AE203" i="4"/>
  <c r="AJ203" i="4" s="1"/>
  <c r="Z203" i="4"/>
  <c r="AH203" i="4" s="1"/>
  <c r="Y203" i="4"/>
  <c r="AG203" i="4" s="1"/>
  <c r="AC203" i="4"/>
  <c r="BG203" i="4" s="1"/>
  <c r="BE200" i="4"/>
  <c r="BF200" i="4" s="1"/>
  <c r="O186" i="29"/>
  <c r="AI188" i="29"/>
  <c r="B188" i="29"/>
  <c r="AD189" i="29"/>
  <c r="BO204" i="4"/>
  <c r="BN204" i="4"/>
  <c r="AW203" i="4"/>
  <c r="U187" i="29"/>
  <c r="R187" i="29"/>
  <c r="G187" i="29"/>
  <c r="S187" i="29"/>
  <c r="E187" i="29"/>
  <c r="T187" i="29"/>
  <c r="Q187" i="29"/>
  <c r="AK202" i="4"/>
  <c r="AN202" i="4"/>
  <c r="BH202" i="4"/>
  <c r="B205" i="4"/>
  <c r="BM206" i="4"/>
  <c r="BP205" i="4"/>
  <c r="BE201" i="4" l="1"/>
  <c r="BF201" i="4" s="1"/>
  <c r="AX201" i="4"/>
  <c r="N186" i="29"/>
  <c r="V186" i="29" s="1"/>
  <c r="W186" i="29" s="1"/>
  <c r="AV202" i="4"/>
  <c r="AX202" i="4" s="1"/>
  <c r="BN205" i="4"/>
  <c r="BO205" i="4"/>
  <c r="O187" i="29"/>
  <c r="AO202" i="4"/>
  <c r="BM207" i="4"/>
  <c r="B206" i="4"/>
  <c r="BP206" i="4"/>
  <c r="AE204" i="4"/>
  <c r="AJ204" i="4" s="1"/>
  <c r="Z204" i="4"/>
  <c r="AH204" i="4" s="1"/>
  <c r="AD204" i="4"/>
  <c r="AI204" i="4" s="1"/>
  <c r="AF204" i="4"/>
  <c r="AK204" i="4" s="1"/>
  <c r="Y204" i="4"/>
  <c r="AG204" i="4" s="1"/>
  <c r="AC204" i="4"/>
  <c r="BG204" i="4" s="1"/>
  <c r="AI189" i="29"/>
  <c r="AD190" i="29"/>
  <c r="B189" i="29"/>
  <c r="BH203" i="4"/>
  <c r="I187" i="29"/>
  <c r="K187" i="29" s="1"/>
  <c r="J187" i="29"/>
  <c r="Y187" i="29" s="1"/>
  <c r="E188" i="29"/>
  <c r="T188" i="29"/>
  <c r="Q188" i="29"/>
  <c r="U188" i="29"/>
  <c r="S188" i="29"/>
  <c r="R188" i="29"/>
  <c r="G188" i="29"/>
  <c r="K205" i="4"/>
  <c r="F205" i="4"/>
  <c r="BA205" i="4"/>
  <c r="BB205" i="4"/>
  <c r="BD205" i="4"/>
  <c r="BC205" i="4"/>
  <c r="AZ205" i="4"/>
  <c r="O205" i="4"/>
  <c r="P205" i="4"/>
  <c r="Q205" i="4"/>
  <c r="R205" i="4"/>
  <c r="AY205" i="4"/>
  <c r="N205" i="4"/>
  <c r="M205" i="4"/>
  <c r="AM205" i="4"/>
  <c r="P186" i="29"/>
  <c r="AF188" i="29"/>
  <c r="AE188" i="29"/>
  <c r="Z186" i="29"/>
  <c r="AK203" i="4"/>
  <c r="AN203" i="4"/>
  <c r="AW204" i="4"/>
  <c r="N187" i="29" l="1"/>
  <c r="P187" i="29" s="1"/>
  <c r="BE202" i="4"/>
  <c r="BF202" i="4" s="1"/>
  <c r="AO203" i="4"/>
  <c r="AV203" i="4"/>
  <c r="AX203" i="4" s="1"/>
  <c r="I188" i="29"/>
  <c r="K188" i="29" s="1"/>
  <c r="J188" i="29"/>
  <c r="Y188" i="29" s="1"/>
  <c r="AW205" i="4"/>
  <c r="BH204" i="4"/>
  <c r="BP207" i="4"/>
  <c r="B207" i="4"/>
  <c r="BM208" i="4"/>
  <c r="Z187" i="29"/>
  <c r="Z205" i="4"/>
  <c r="AH205" i="4" s="1"/>
  <c r="Y205" i="4"/>
  <c r="AG205" i="4" s="1"/>
  <c r="AF205" i="4"/>
  <c r="AC205" i="4"/>
  <c r="BG205" i="4" s="1"/>
  <c r="AE205" i="4"/>
  <c r="AJ205" i="4" s="1"/>
  <c r="AD205" i="4"/>
  <c r="AI205" i="4" s="1"/>
  <c r="O188" i="29"/>
  <c r="U189" i="29"/>
  <c r="Q189" i="29"/>
  <c r="R189" i="29"/>
  <c r="T189" i="29"/>
  <c r="S189" i="29"/>
  <c r="G189" i="29"/>
  <c r="E189" i="29"/>
  <c r="AI190" i="29"/>
  <c r="B190" i="29"/>
  <c r="AD191" i="29"/>
  <c r="AN204" i="4"/>
  <c r="AV204" i="4" s="1"/>
  <c r="AX204" i="4" s="1"/>
  <c r="BN206" i="4"/>
  <c r="BO206" i="4"/>
  <c r="AE189" i="29"/>
  <c r="AF189" i="29"/>
  <c r="BC206" i="4"/>
  <c r="AZ206" i="4"/>
  <c r="BD206" i="4"/>
  <c r="M206" i="4"/>
  <c r="N206" i="4"/>
  <c r="O206" i="4"/>
  <c r="AM206" i="4"/>
  <c r="R206" i="4"/>
  <c r="P206" i="4"/>
  <c r="Q206" i="4"/>
  <c r="K206" i="4"/>
  <c r="F206" i="4"/>
  <c r="AY206" i="4"/>
  <c r="BA206" i="4"/>
  <c r="BB206" i="4"/>
  <c r="V187" i="29" l="1"/>
  <c r="W187" i="29" s="1"/>
  <c r="N188" i="29"/>
  <c r="P188" i="29" s="1"/>
  <c r="AO204" i="4"/>
  <c r="BE204" i="4"/>
  <c r="BF204" i="4" s="1"/>
  <c r="AI191" i="29"/>
  <c r="B191" i="29"/>
  <c r="AD192" i="29"/>
  <c r="O189" i="29"/>
  <c r="BH205" i="4"/>
  <c r="B208" i="4"/>
  <c r="BM209" i="4"/>
  <c r="BP208" i="4"/>
  <c r="BE203" i="4"/>
  <c r="BF203" i="4" s="1"/>
  <c r="J189" i="29"/>
  <c r="Y189" i="29" s="1"/>
  <c r="I189" i="29"/>
  <c r="K189" i="29" s="1"/>
  <c r="G190" i="29"/>
  <c r="R190" i="29"/>
  <c r="S190" i="29"/>
  <c r="Q190" i="29"/>
  <c r="E190" i="29"/>
  <c r="T190" i="29"/>
  <c r="U190" i="29"/>
  <c r="Z188" i="29"/>
  <c r="O207" i="4"/>
  <c r="N207" i="4"/>
  <c r="M207" i="4"/>
  <c r="BC207" i="4"/>
  <c r="Q207" i="4"/>
  <c r="P207" i="4"/>
  <c r="R207" i="4"/>
  <c r="AM207" i="4"/>
  <c r="F207" i="4"/>
  <c r="BA207" i="4"/>
  <c r="K207" i="4"/>
  <c r="AY207" i="4"/>
  <c r="BD207" i="4"/>
  <c r="BB207" i="4"/>
  <c r="AZ207" i="4"/>
  <c r="AW206" i="4"/>
  <c r="AD206" i="4"/>
  <c r="AI206" i="4" s="1"/>
  <c r="AE206" i="4"/>
  <c r="AJ206" i="4" s="1"/>
  <c r="AF206" i="4"/>
  <c r="AC206" i="4"/>
  <c r="BG206" i="4" s="1"/>
  <c r="Z206" i="4"/>
  <c r="AH206" i="4" s="1"/>
  <c r="Y206" i="4"/>
  <c r="AG206" i="4" s="1"/>
  <c r="AE190" i="29"/>
  <c r="AF190" i="29"/>
  <c r="AK205" i="4"/>
  <c r="AN205" i="4"/>
  <c r="BN207" i="4"/>
  <c r="BO207" i="4"/>
  <c r="V188" i="29" l="1"/>
  <c r="W188" i="29" s="1"/>
  <c r="N189" i="29"/>
  <c r="P189" i="29" s="1"/>
  <c r="BH206" i="4"/>
  <c r="O190" i="29"/>
  <c r="AO205" i="4"/>
  <c r="K208" i="4"/>
  <c r="F208" i="4"/>
  <c r="AY208" i="4"/>
  <c r="BC208" i="4"/>
  <c r="AZ208" i="4"/>
  <c r="BA208" i="4"/>
  <c r="BD208" i="4"/>
  <c r="BB208" i="4"/>
  <c r="O208" i="4"/>
  <c r="M208" i="4"/>
  <c r="N208" i="4"/>
  <c r="AM208" i="4"/>
  <c r="P208" i="4"/>
  <c r="R208" i="4"/>
  <c r="Q208" i="4"/>
  <c r="AI192" i="29"/>
  <c r="AD193" i="29"/>
  <c r="B192" i="29"/>
  <c r="Z207" i="4"/>
  <c r="AH207" i="4" s="1"/>
  <c r="Y207" i="4"/>
  <c r="AG207" i="4" s="1"/>
  <c r="AD207" i="4"/>
  <c r="AI207" i="4" s="1"/>
  <c r="AE207" i="4"/>
  <c r="AJ207" i="4" s="1"/>
  <c r="AC207" i="4"/>
  <c r="BG207" i="4" s="1"/>
  <c r="AF207" i="4"/>
  <c r="S191" i="29"/>
  <c r="T191" i="29"/>
  <c r="Q191" i="29"/>
  <c r="R191" i="29"/>
  <c r="U191" i="29"/>
  <c r="E191" i="29"/>
  <c r="G191" i="29"/>
  <c r="AW207" i="4"/>
  <c r="AV205" i="4"/>
  <c r="AX205" i="4" s="1"/>
  <c r="I190" i="29"/>
  <c r="K190" i="29" s="1"/>
  <c r="J190" i="29"/>
  <c r="Y190" i="29" s="1"/>
  <c r="AK206" i="4"/>
  <c r="AN206" i="4"/>
  <c r="BN208" i="4"/>
  <c r="BO208" i="4"/>
  <c r="Z189" i="29"/>
  <c r="AE191" i="29"/>
  <c r="AF191" i="29"/>
  <c r="BP209" i="4"/>
  <c r="BM210" i="4"/>
  <c r="B209" i="4"/>
  <c r="V189" i="29" l="1"/>
  <c r="W189" i="29" s="1"/>
  <c r="Z190" i="29"/>
  <c r="N190" i="29"/>
  <c r="P190" i="29" s="1"/>
  <c r="O191" i="29"/>
  <c r="AW208" i="4"/>
  <c r="AO206" i="4"/>
  <c r="AD208" i="4"/>
  <c r="AI208" i="4" s="1"/>
  <c r="AF208" i="4"/>
  <c r="AK208" i="4" s="1"/>
  <c r="AC208" i="4"/>
  <c r="BG208" i="4" s="1"/>
  <c r="Y208" i="4"/>
  <c r="AG208" i="4" s="1"/>
  <c r="AE208" i="4"/>
  <c r="AJ208" i="4" s="1"/>
  <c r="Z208" i="4"/>
  <c r="AH208" i="4" s="1"/>
  <c r="P209" i="4"/>
  <c r="AM209" i="4"/>
  <c r="F209" i="4"/>
  <c r="K209" i="4"/>
  <c r="BA209" i="4"/>
  <c r="BD209" i="4"/>
  <c r="AZ209" i="4"/>
  <c r="BC209" i="4"/>
  <c r="AY209" i="4"/>
  <c r="R209" i="4"/>
  <c r="Q209" i="4"/>
  <c r="M209" i="4"/>
  <c r="N209" i="4"/>
  <c r="O209" i="4"/>
  <c r="BB209" i="4"/>
  <c r="J191" i="29"/>
  <c r="Y191" i="29" s="1"/>
  <c r="Z191" i="29" s="1"/>
  <c r="I191" i="29"/>
  <c r="K191" i="29" s="1"/>
  <c r="AV206" i="4"/>
  <c r="AX206" i="4" s="1"/>
  <c r="BE205" i="4"/>
  <c r="BF205" i="4" s="1"/>
  <c r="AK207" i="4"/>
  <c r="AN207" i="4"/>
  <c r="AF192" i="29"/>
  <c r="AE192" i="29"/>
  <c r="BH207" i="4"/>
  <c r="B210" i="4"/>
  <c r="BM211" i="4"/>
  <c r="BP210" i="4"/>
  <c r="BO209" i="4"/>
  <c r="BN209" i="4"/>
  <c r="S192" i="29"/>
  <c r="T192" i="29"/>
  <c r="G192" i="29"/>
  <c r="Q192" i="29"/>
  <c r="R192" i="29"/>
  <c r="E192" i="29"/>
  <c r="U192" i="29"/>
  <c r="AI193" i="29"/>
  <c r="AD194" i="29"/>
  <c r="B193" i="29"/>
  <c r="V190" i="29" l="1"/>
  <c r="W190" i="29" s="1"/>
  <c r="N191" i="29"/>
  <c r="P191" i="29" s="1"/>
  <c r="AO207" i="4"/>
  <c r="AV207" i="4"/>
  <c r="AX207" i="4" s="1"/>
  <c r="O192" i="29"/>
  <c r="BH208" i="4"/>
  <c r="AN208" i="4"/>
  <c r="AO208" i="4" s="1"/>
  <c r="AF209" i="4"/>
  <c r="AK209" i="4" s="1"/>
  <c r="AC209" i="4"/>
  <c r="BG209" i="4" s="1"/>
  <c r="AD209" i="4"/>
  <c r="AI209" i="4" s="1"/>
  <c r="Z209" i="4"/>
  <c r="AH209" i="4" s="1"/>
  <c r="Y209" i="4"/>
  <c r="AG209" i="4" s="1"/>
  <c r="AE209" i="4"/>
  <c r="AJ209" i="4" s="1"/>
  <c r="I192" i="29"/>
  <c r="K192" i="29" s="1"/>
  <c r="J192" i="29"/>
  <c r="Y192" i="29" s="1"/>
  <c r="BE206" i="4"/>
  <c r="BF206" i="4" s="1"/>
  <c r="S193" i="29"/>
  <c r="T193" i="29"/>
  <c r="Q193" i="29"/>
  <c r="U193" i="29"/>
  <c r="G193" i="29"/>
  <c r="R193" i="29"/>
  <c r="E193" i="29"/>
  <c r="AI194" i="29"/>
  <c r="B194" i="29"/>
  <c r="AD195" i="29"/>
  <c r="AE193" i="29"/>
  <c r="AF193" i="29"/>
  <c r="BN210" i="4"/>
  <c r="BO210" i="4"/>
  <c r="BM212" i="4"/>
  <c r="BP211" i="4"/>
  <c r="B211" i="4"/>
  <c r="AZ210" i="4"/>
  <c r="BD210" i="4"/>
  <c r="BB210" i="4"/>
  <c r="BC210" i="4"/>
  <c r="N210" i="4"/>
  <c r="M210" i="4"/>
  <c r="AM210" i="4"/>
  <c r="BA210" i="4"/>
  <c r="P210" i="4"/>
  <c r="R210" i="4"/>
  <c r="Q210" i="4"/>
  <c r="O210" i="4"/>
  <c r="F210" i="4"/>
  <c r="K210" i="4"/>
  <c r="AY210" i="4"/>
  <c r="AW209" i="4"/>
  <c r="V191" i="29" l="1"/>
  <c r="W191" i="29" s="1"/>
  <c r="N192" i="29"/>
  <c r="V192" i="29" s="1"/>
  <c r="W192" i="29" s="1"/>
  <c r="Z192" i="29"/>
  <c r="BE207" i="4"/>
  <c r="BF207" i="4" s="1"/>
  <c r="AV208" i="4"/>
  <c r="AX208" i="4" s="1"/>
  <c r="AW210" i="4"/>
  <c r="BA211" i="4"/>
  <c r="AY211" i="4"/>
  <c r="BB211" i="4"/>
  <c r="BC211" i="4"/>
  <c r="BD211" i="4"/>
  <c r="O211" i="4"/>
  <c r="AM211" i="4"/>
  <c r="M211" i="4"/>
  <c r="AZ211" i="4"/>
  <c r="P211" i="4"/>
  <c r="R211" i="4"/>
  <c r="Q211" i="4"/>
  <c r="N211" i="4"/>
  <c r="F211" i="4"/>
  <c r="K211" i="4"/>
  <c r="AI195" i="29"/>
  <c r="AD196" i="29"/>
  <c r="B195" i="29"/>
  <c r="BO211" i="4"/>
  <c r="BN211" i="4"/>
  <c r="U194" i="29"/>
  <c r="E194" i="29"/>
  <c r="R194" i="29"/>
  <c r="Q194" i="29"/>
  <c r="S194" i="29"/>
  <c r="T194" i="29"/>
  <c r="G194" i="29"/>
  <c r="AN209" i="4"/>
  <c r="AV209" i="4" s="1"/>
  <c r="AX209" i="4" s="1"/>
  <c r="B212" i="4"/>
  <c r="BM213" i="4"/>
  <c r="BP212" i="4"/>
  <c r="AE210" i="4"/>
  <c r="AJ210" i="4" s="1"/>
  <c r="AC210" i="4"/>
  <c r="BG210" i="4" s="1"/>
  <c r="Z210" i="4"/>
  <c r="AH210" i="4" s="1"/>
  <c r="AF210" i="4"/>
  <c r="AD210" i="4"/>
  <c r="AI210" i="4" s="1"/>
  <c r="Y210" i="4"/>
  <c r="AG210" i="4" s="1"/>
  <c r="J193" i="29"/>
  <c r="Y193" i="29" s="1"/>
  <c r="I193" i="29"/>
  <c r="K193" i="29" s="1"/>
  <c r="AF194" i="29"/>
  <c r="AE194" i="29"/>
  <c r="O193" i="29"/>
  <c r="BH209" i="4"/>
  <c r="BE208" i="4" l="1"/>
  <c r="BF208" i="4" s="1"/>
  <c r="P192" i="29"/>
  <c r="N193" i="29"/>
  <c r="P193" i="29" s="1"/>
  <c r="BH210" i="4"/>
  <c r="BE209" i="4"/>
  <c r="BF209" i="4" s="1"/>
  <c r="R195" i="29"/>
  <c r="E195" i="29"/>
  <c r="T195" i="29"/>
  <c r="S195" i="29"/>
  <c r="U195" i="29"/>
  <c r="Q195" i="29"/>
  <c r="G195" i="29"/>
  <c r="AW211" i="4"/>
  <c r="AO209" i="4"/>
  <c r="O194" i="29"/>
  <c r="AI196" i="29"/>
  <c r="B196" i="29"/>
  <c r="AD197" i="29"/>
  <c r="BO212" i="4"/>
  <c r="BN212" i="4"/>
  <c r="AK210" i="4"/>
  <c r="AN210" i="4"/>
  <c r="B213" i="4"/>
  <c r="BP213" i="4"/>
  <c r="BM214" i="4"/>
  <c r="Z193" i="29"/>
  <c r="AY212" i="4"/>
  <c r="K212" i="4"/>
  <c r="F212" i="4"/>
  <c r="BA212" i="4"/>
  <c r="BC212" i="4"/>
  <c r="BB212" i="4"/>
  <c r="BD212" i="4"/>
  <c r="N212" i="4"/>
  <c r="AZ212" i="4"/>
  <c r="O212" i="4"/>
  <c r="M212" i="4"/>
  <c r="P212" i="4"/>
  <c r="AM212" i="4"/>
  <c r="R212" i="4"/>
  <c r="Q212" i="4"/>
  <c r="J194" i="29"/>
  <c r="Y194" i="29" s="1"/>
  <c r="I194" i="29"/>
  <c r="K194" i="29" s="1"/>
  <c r="AF195" i="29"/>
  <c r="AE195" i="29"/>
  <c r="AE211" i="4"/>
  <c r="AJ211" i="4" s="1"/>
  <c r="AD211" i="4"/>
  <c r="AI211" i="4" s="1"/>
  <c r="AF211" i="4"/>
  <c r="AK211" i="4" s="1"/>
  <c r="Z211" i="4"/>
  <c r="AH211" i="4" s="1"/>
  <c r="Y211" i="4"/>
  <c r="AG211" i="4" s="1"/>
  <c r="AC211" i="4"/>
  <c r="BG211" i="4" s="1"/>
  <c r="V193" i="29" l="1"/>
  <c r="W193" i="29" s="1"/>
  <c r="N194" i="29"/>
  <c r="V194" i="29" s="1"/>
  <c r="W194" i="29" s="1"/>
  <c r="O195" i="29"/>
  <c r="AO210" i="4"/>
  <c r="BO213" i="4"/>
  <c r="BN213" i="4"/>
  <c r="R196" i="29"/>
  <c r="U196" i="29"/>
  <c r="E196" i="29"/>
  <c r="G196" i="29"/>
  <c r="T196" i="29"/>
  <c r="S196" i="29"/>
  <c r="Q196" i="29"/>
  <c r="AM213" i="4"/>
  <c r="N213" i="4"/>
  <c r="AY213" i="4"/>
  <c r="M213" i="4"/>
  <c r="AZ213" i="4"/>
  <c r="BD213" i="4"/>
  <c r="BB213" i="4"/>
  <c r="BC213" i="4"/>
  <c r="Q213" i="4"/>
  <c r="P213" i="4"/>
  <c r="O213" i="4"/>
  <c r="R213" i="4"/>
  <c r="BA213" i="4"/>
  <c r="K213" i="4"/>
  <c r="F213" i="4"/>
  <c r="AV210" i="4"/>
  <c r="AX210" i="4" s="1"/>
  <c r="AF196" i="29"/>
  <c r="AE196" i="29"/>
  <c r="AW212" i="4"/>
  <c r="AD212" i="4"/>
  <c r="AI212" i="4" s="1"/>
  <c r="AF212" i="4"/>
  <c r="AC212" i="4"/>
  <c r="BG212" i="4" s="1"/>
  <c r="Z212" i="4"/>
  <c r="AH212" i="4" s="1"/>
  <c r="Y212" i="4"/>
  <c r="AG212" i="4" s="1"/>
  <c r="AE212" i="4"/>
  <c r="AJ212" i="4" s="1"/>
  <c r="BH211" i="4"/>
  <c r="AN211" i="4"/>
  <c r="AV211" i="4" s="1"/>
  <c r="AX211" i="4" s="1"/>
  <c r="J195" i="29"/>
  <c r="Y195" i="29" s="1"/>
  <c r="I195" i="29"/>
  <c r="K195" i="29" s="1"/>
  <c r="B214" i="4"/>
  <c r="BM215" i="4"/>
  <c r="BP214" i="4"/>
  <c r="AI197" i="29"/>
  <c r="B197" i="29"/>
  <c r="AD198" i="29"/>
  <c r="Z194" i="29"/>
  <c r="P194" i="29" l="1"/>
  <c r="N195" i="29"/>
  <c r="P195" i="29" s="1"/>
  <c r="Z195" i="29"/>
  <c r="BH212" i="4"/>
  <c r="BE211" i="4"/>
  <c r="BF211" i="4" s="1"/>
  <c r="AI198" i="29"/>
  <c r="AD199" i="29"/>
  <c r="B198" i="29"/>
  <c r="AW213" i="4"/>
  <c r="O196" i="29"/>
  <c r="AC213" i="4"/>
  <c r="BG213" i="4" s="1"/>
  <c r="AF213" i="4"/>
  <c r="AE213" i="4"/>
  <c r="AJ213" i="4" s="1"/>
  <c r="Z213" i="4"/>
  <c r="AH213" i="4" s="1"/>
  <c r="AD213" i="4"/>
  <c r="AI213" i="4" s="1"/>
  <c r="Y213" i="4"/>
  <c r="AG213" i="4" s="1"/>
  <c r="R197" i="29"/>
  <c r="S197" i="29"/>
  <c r="G197" i="29"/>
  <c r="T197" i="29"/>
  <c r="E197" i="29"/>
  <c r="U197" i="29"/>
  <c r="Q197" i="29"/>
  <c r="BN214" i="4"/>
  <c r="BO214" i="4"/>
  <c r="AE197" i="29"/>
  <c r="AF197" i="29"/>
  <c r="BP215" i="4"/>
  <c r="B215" i="4"/>
  <c r="BM216" i="4"/>
  <c r="AO211" i="4"/>
  <c r="AK212" i="4"/>
  <c r="AN212" i="4"/>
  <c r="BE210" i="4"/>
  <c r="BF210" i="4" s="1"/>
  <c r="K214" i="4"/>
  <c r="AY214" i="4"/>
  <c r="F214" i="4"/>
  <c r="BC214" i="4"/>
  <c r="BA214" i="4"/>
  <c r="AZ214" i="4"/>
  <c r="BB214" i="4"/>
  <c r="BD214" i="4"/>
  <c r="M214" i="4"/>
  <c r="O214" i="4"/>
  <c r="N214" i="4"/>
  <c r="AM214" i="4"/>
  <c r="R214" i="4"/>
  <c r="Q214" i="4"/>
  <c r="P214" i="4"/>
  <c r="J196" i="29"/>
  <c r="Y196" i="29" s="1"/>
  <c r="I196" i="29"/>
  <c r="K196" i="29" s="1"/>
  <c r="V195" i="29" l="1"/>
  <c r="W195" i="29" s="1"/>
  <c r="N196" i="29"/>
  <c r="P196" i="29" s="1"/>
  <c r="AO212" i="4"/>
  <c r="AV212" i="4"/>
  <c r="AX212" i="4" s="1"/>
  <c r="BN215" i="4"/>
  <c r="BO215" i="4"/>
  <c r="J197" i="29"/>
  <c r="Y197" i="29" s="1"/>
  <c r="I197" i="29"/>
  <c r="K197" i="29" s="1"/>
  <c r="AF214" i="4"/>
  <c r="AK214" i="4" s="1"/>
  <c r="Y214" i="4"/>
  <c r="AG214" i="4" s="1"/>
  <c r="AD214" i="4"/>
  <c r="AI214" i="4" s="1"/>
  <c r="Z214" i="4"/>
  <c r="AH214" i="4" s="1"/>
  <c r="AE214" i="4"/>
  <c r="AJ214" i="4" s="1"/>
  <c r="AC214" i="4"/>
  <c r="BG214" i="4" s="1"/>
  <c r="U198" i="29"/>
  <c r="S198" i="29"/>
  <c r="G198" i="29"/>
  <c r="T198" i="29"/>
  <c r="R198" i="29"/>
  <c r="E198" i="29"/>
  <c r="Q198" i="29"/>
  <c r="BH213" i="4"/>
  <c r="Z196" i="29"/>
  <c r="AI199" i="29"/>
  <c r="B199" i="29"/>
  <c r="AD200" i="29"/>
  <c r="BP216" i="4"/>
  <c r="BM217" i="4"/>
  <c r="B216" i="4"/>
  <c r="O197" i="29"/>
  <c r="AE198" i="29"/>
  <c r="AF198" i="29"/>
  <c r="AW214" i="4"/>
  <c r="AM215" i="4"/>
  <c r="Q215" i="4"/>
  <c r="P215" i="4"/>
  <c r="R215" i="4"/>
  <c r="F215" i="4"/>
  <c r="K215" i="4"/>
  <c r="BA215" i="4"/>
  <c r="BC215" i="4"/>
  <c r="M215" i="4"/>
  <c r="O215" i="4"/>
  <c r="N215" i="4"/>
  <c r="AZ215" i="4"/>
  <c r="BB215" i="4"/>
  <c r="AY215" i="4"/>
  <c r="BD215" i="4"/>
  <c r="AK213" i="4"/>
  <c r="AN213" i="4"/>
  <c r="V196" i="29" l="1"/>
  <c r="W196" i="29" s="1"/>
  <c r="N197" i="29"/>
  <c r="V197" i="29" s="1"/>
  <c r="W197" i="29" s="1"/>
  <c r="BE212" i="4"/>
  <c r="BF212" i="4" s="1"/>
  <c r="P197" i="29"/>
  <c r="AW215" i="4"/>
  <c r="AV213" i="4"/>
  <c r="AO213" i="4"/>
  <c r="BH214" i="4"/>
  <c r="I198" i="29"/>
  <c r="K198" i="29" s="1"/>
  <c r="J198" i="29"/>
  <c r="Y198" i="29" s="1"/>
  <c r="AN214" i="4"/>
  <c r="AV214" i="4" s="1"/>
  <c r="AX214" i="4" s="1"/>
  <c r="AD215" i="4"/>
  <c r="AI215" i="4" s="1"/>
  <c r="AE215" i="4"/>
  <c r="AJ215" i="4" s="1"/>
  <c r="AC215" i="4"/>
  <c r="BG215" i="4" s="1"/>
  <c r="AF215" i="4"/>
  <c r="Y215" i="4"/>
  <c r="AG215" i="4" s="1"/>
  <c r="Z215" i="4"/>
  <c r="AH215" i="4" s="1"/>
  <c r="AZ216" i="4"/>
  <c r="BA216" i="4"/>
  <c r="BD216" i="4"/>
  <c r="BC216" i="4"/>
  <c r="O216" i="4"/>
  <c r="M216" i="4"/>
  <c r="N216" i="4"/>
  <c r="BB216" i="4"/>
  <c r="Q216" i="4"/>
  <c r="P216" i="4"/>
  <c r="R216" i="4"/>
  <c r="AM216" i="4"/>
  <c r="K216" i="4"/>
  <c r="F216" i="4"/>
  <c r="AY216" i="4"/>
  <c r="AI200" i="29"/>
  <c r="AD201" i="29"/>
  <c r="B200" i="29"/>
  <c r="O198" i="29"/>
  <c r="BM218" i="4"/>
  <c r="B217" i="4"/>
  <c r="BP217" i="4"/>
  <c r="R199" i="29"/>
  <c r="G199" i="29"/>
  <c r="Q199" i="29"/>
  <c r="E199" i="29"/>
  <c r="S199" i="29"/>
  <c r="U199" i="29"/>
  <c r="T199" i="29"/>
  <c r="Z197" i="29"/>
  <c r="BO216" i="4"/>
  <c r="BN216" i="4"/>
  <c r="AF199" i="29"/>
  <c r="AE199" i="29"/>
  <c r="BE213" i="4" l="1"/>
  <c r="BF213" i="4" s="1"/>
  <c r="AX213" i="4"/>
  <c r="N198" i="29"/>
  <c r="V198" i="29" s="1"/>
  <c r="W198" i="29" s="1"/>
  <c r="AO214" i="4"/>
  <c r="BH215" i="4"/>
  <c r="AC216" i="4"/>
  <c r="BG216" i="4" s="1"/>
  <c r="AF216" i="4"/>
  <c r="AE216" i="4"/>
  <c r="AJ216" i="4" s="1"/>
  <c r="Z216" i="4"/>
  <c r="AH216" i="4" s="1"/>
  <c r="AD216" i="4"/>
  <c r="AI216" i="4" s="1"/>
  <c r="Y216" i="4"/>
  <c r="AG216" i="4" s="1"/>
  <c r="Z198" i="29"/>
  <c r="AW216" i="4"/>
  <c r="AK215" i="4"/>
  <c r="AN215" i="4"/>
  <c r="BE214" i="4"/>
  <c r="BF214" i="4" s="1"/>
  <c r="I199" i="29"/>
  <c r="K199" i="29" s="1"/>
  <c r="J199" i="29"/>
  <c r="Y199" i="29" s="1"/>
  <c r="BN217" i="4"/>
  <c r="BO217" i="4"/>
  <c r="G200" i="29"/>
  <c r="Q200" i="29"/>
  <c r="E200" i="29"/>
  <c r="U200" i="29"/>
  <c r="S200" i="29"/>
  <c r="R200" i="29"/>
  <c r="T200" i="29"/>
  <c r="O199" i="29"/>
  <c r="N217" i="4"/>
  <c r="M217" i="4"/>
  <c r="BB217" i="4"/>
  <c r="AM217" i="4"/>
  <c r="P217" i="4"/>
  <c r="O217" i="4"/>
  <c r="R217" i="4"/>
  <c r="Q217" i="4"/>
  <c r="K217" i="4"/>
  <c r="F217" i="4"/>
  <c r="BA217" i="4"/>
  <c r="AZ217" i="4"/>
  <c r="AY217" i="4"/>
  <c r="BD217" i="4"/>
  <c r="BC217" i="4"/>
  <c r="AI201" i="29"/>
  <c r="AD202" i="29"/>
  <c r="B201" i="29"/>
  <c r="BM219" i="4"/>
  <c r="B218" i="4"/>
  <c r="BP218" i="4"/>
  <c r="AF200" i="29"/>
  <c r="AE200" i="29"/>
  <c r="P198" i="29" l="1"/>
  <c r="N199" i="29"/>
  <c r="P199" i="29" s="1"/>
  <c r="AV215" i="4"/>
  <c r="AX215" i="4" s="1"/>
  <c r="AO215" i="4"/>
  <c r="N218" i="4"/>
  <c r="BA218" i="4"/>
  <c r="M218" i="4"/>
  <c r="O218" i="4"/>
  <c r="P218" i="4"/>
  <c r="AM218" i="4"/>
  <c r="R218" i="4"/>
  <c r="Q218" i="4"/>
  <c r="F218" i="4"/>
  <c r="K218" i="4"/>
  <c r="AY218" i="4"/>
  <c r="AZ218" i="4"/>
  <c r="BC218" i="4"/>
  <c r="BD218" i="4"/>
  <c r="BB218" i="4"/>
  <c r="E201" i="29"/>
  <c r="S201" i="29"/>
  <c r="T201" i="29"/>
  <c r="G201" i="29"/>
  <c r="U201" i="29"/>
  <c r="Q201" i="29"/>
  <c r="R201" i="29"/>
  <c r="J200" i="29"/>
  <c r="Y200" i="29" s="1"/>
  <c r="I200" i="29"/>
  <c r="K200" i="29" s="1"/>
  <c r="BP219" i="4"/>
  <c r="B219" i="4"/>
  <c r="BM220" i="4"/>
  <c r="AI202" i="29"/>
  <c r="B202" i="29"/>
  <c r="AD203" i="29"/>
  <c r="AW217" i="4"/>
  <c r="BH216" i="4"/>
  <c r="AE201" i="29"/>
  <c r="AF201" i="29"/>
  <c r="BN218" i="4"/>
  <c r="BO218" i="4"/>
  <c r="Z199" i="29"/>
  <c r="O200" i="29"/>
  <c r="Y217" i="4"/>
  <c r="AG217" i="4" s="1"/>
  <c r="Z217" i="4"/>
  <c r="AH217" i="4" s="1"/>
  <c r="AC217" i="4"/>
  <c r="BG217" i="4" s="1"/>
  <c r="AD217" i="4"/>
  <c r="AI217" i="4" s="1"/>
  <c r="AF217" i="4"/>
  <c r="AE217" i="4"/>
  <c r="AJ217" i="4" s="1"/>
  <c r="AK216" i="4"/>
  <c r="AN216" i="4"/>
  <c r="V199" i="29" l="1"/>
  <c r="W199" i="29" s="1"/>
  <c r="N200" i="29"/>
  <c r="P200" i="29" s="1"/>
  <c r="BE215" i="4"/>
  <c r="BF215" i="4" s="1"/>
  <c r="AO216" i="4"/>
  <c r="AV216" i="4"/>
  <c r="J201" i="29"/>
  <c r="Y201" i="29" s="1"/>
  <c r="I201" i="29"/>
  <c r="K201" i="29" s="1"/>
  <c r="BH217" i="4"/>
  <c r="AI203" i="29"/>
  <c r="B203" i="29"/>
  <c r="AD204" i="29"/>
  <c r="BN219" i="4"/>
  <c r="BO219" i="4"/>
  <c r="AW218" i="4"/>
  <c r="U202" i="29"/>
  <c r="G202" i="29"/>
  <c r="S202" i="29"/>
  <c r="T202" i="29"/>
  <c r="E202" i="29"/>
  <c r="Q202" i="29"/>
  <c r="R202" i="29"/>
  <c r="Z200" i="29"/>
  <c r="Y218" i="4"/>
  <c r="AG218" i="4" s="1"/>
  <c r="Z218" i="4"/>
  <c r="AH218" i="4" s="1"/>
  <c r="AD218" i="4"/>
  <c r="AI218" i="4" s="1"/>
  <c r="AF218" i="4"/>
  <c r="AE218" i="4"/>
  <c r="AJ218" i="4" s="1"/>
  <c r="AC218" i="4"/>
  <c r="BG218" i="4" s="1"/>
  <c r="AF202" i="29"/>
  <c r="AE202" i="29"/>
  <c r="B220" i="4"/>
  <c r="BP220" i="4"/>
  <c r="BM221" i="4"/>
  <c r="AK217" i="4"/>
  <c r="AN217" i="4"/>
  <c r="BA219" i="4"/>
  <c r="F219" i="4"/>
  <c r="K219" i="4"/>
  <c r="BB219" i="4"/>
  <c r="AY219" i="4"/>
  <c r="BD219" i="4"/>
  <c r="BC219" i="4"/>
  <c r="N219" i="4"/>
  <c r="O219" i="4"/>
  <c r="AZ219" i="4"/>
  <c r="M219" i="4"/>
  <c r="R219" i="4"/>
  <c r="Q219" i="4"/>
  <c r="AM219" i="4"/>
  <c r="P219" i="4"/>
  <c r="O201" i="29"/>
  <c r="BE216" i="4" l="1"/>
  <c r="BF216" i="4" s="1"/>
  <c r="AX216" i="4"/>
  <c r="V200" i="29"/>
  <c r="W200" i="29" s="1"/>
  <c r="N201" i="29"/>
  <c r="P201" i="29" s="1"/>
  <c r="AV217" i="4"/>
  <c r="AO217" i="4"/>
  <c r="BM222" i="4"/>
  <c r="BM226" i="4" s="1"/>
  <c r="B221" i="4"/>
  <c r="BP221" i="4"/>
  <c r="O202" i="29"/>
  <c r="AE219" i="4"/>
  <c r="AJ219" i="4" s="1"/>
  <c r="Z219" i="4"/>
  <c r="AH219" i="4" s="1"/>
  <c r="AD219" i="4"/>
  <c r="AI219" i="4" s="1"/>
  <c r="Y219" i="4"/>
  <c r="AG219" i="4" s="1"/>
  <c r="AC219" i="4"/>
  <c r="BG219" i="4" s="1"/>
  <c r="AF219" i="4"/>
  <c r="Z201" i="29"/>
  <c r="BO220" i="4"/>
  <c r="BN220" i="4"/>
  <c r="AK218" i="4"/>
  <c r="AN218" i="4"/>
  <c r="AI204" i="29"/>
  <c r="B204" i="29"/>
  <c r="AD205" i="29"/>
  <c r="AW219" i="4"/>
  <c r="P220" i="4"/>
  <c r="Q220" i="4"/>
  <c r="R220" i="4"/>
  <c r="AM220" i="4"/>
  <c r="K220" i="4"/>
  <c r="F220" i="4"/>
  <c r="AY220" i="4"/>
  <c r="BB220" i="4"/>
  <c r="BD220" i="4"/>
  <c r="BA220" i="4"/>
  <c r="BC220" i="4"/>
  <c r="O220" i="4"/>
  <c r="M220" i="4"/>
  <c r="N220" i="4"/>
  <c r="AZ220" i="4"/>
  <c r="G203" i="29"/>
  <c r="U203" i="29"/>
  <c r="Q203" i="29"/>
  <c r="T203" i="29"/>
  <c r="R203" i="29"/>
  <c r="E203" i="29"/>
  <c r="S203" i="29"/>
  <c r="J202" i="29"/>
  <c r="Y202" i="29" s="1"/>
  <c r="I202" i="29"/>
  <c r="K202" i="29" s="1"/>
  <c r="BH218" i="4"/>
  <c r="AE203" i="29"/>
  <c r="AF203" i="29"/>
  <c r="V201" i="29" l="1"/>
  <c r="W201" i="29" s="1"/>
  <c r="BE217" i="4"/>
  <c r="BF217" i="4" s="1"/>
  <c r="AX217" i="4"/>
  <c r="N202" i="29"/>
  <c r="V202" i="29" s="1"/>
  <c r="W202" i="29" s="1"/>
  <c r="B226" i="4"/>
  <c r="BP226" i="4"/>
  <c r="AO218" i="4"/>
  <c r="O203" i="29"/>
  <c r="AI205" i="29"/>
  <c r="B205" i="29"/>
  <c r="AD206" i="29"/>
  <c r="AK219" i="4"/>
  <c r="AN219" i="4"/>
  <c r="BH219" i="4"/>
  <c r="Z202" i="29"/>
  <c r="BP222" i="4"/>
  <c r="B222" i="4"/>
  <c r="BM223" i="4"/>
  <c r="BM227" i="4" s="1"/>
  <c r="AW220" i="4"/>
  <c r="G204" i="29"/>
  <c r="Q204" i="29"/>
  <c r="S204" i="29"/>
  <c r="E204" i="29"/>
  <c r="T204" i="29"/>
  <c r="R204" i="29"/>
  <c r="U204" i="29"/>
  <c r="AV218" i="4"/>
  <c r="AX218" i="4" s="1"/>
  <c r="I203" i="29"/>
  <c r="K203" i="29" s="1"/>
  <c r="J203" i="29"/>
  <c r="Y203" i="29" s="1"/>
  <c r="AE204" i="29"/>
  <c r="AF204" i="29"/>
  <c r="BO221" i="4"/>
  <c r="BN221" i="4"/>
  <c r="AF220" i="4"/>
  <c r="AD220" i="4"/>
  <c r="AI220" i="4" s="1"/>
  <c r="Y220" i="4"/>
  <c r="AG220" i="4" s="1"/>
  <c r="Z220" i="4"/>
  <c r="AH220" i="4" s="1"/>
  <c r="AE220" i="4"/>
  <c r="AJ220" i="4" s="1"/>
  <c r="AC220" i="4"/>
  <c r="BG220" i="4" s="1"/>
  <c r="K221" i="4"/>
  <c r="F221" i="4"/>
  <c r="AZ221" i="4"/>
  <c r="BB221" i="4"/>
  <c r="AM221" i="4"/>
  <c r="R221" i="4"/>
  <c r="Q221" i="4"/>
  <c r="P221" i="4"/>
  <c r="BA221" i="4"/>
  <c r="BD221" i="4"/>
  <c r="BC221" i="4"/>
  <c r="N221" i="4"/>
  <c r="O221" i="4"/>
  <c r="M221" i="4"/>
  <c r="AY221" i="4"/>
  <c r="P202" i="29" l="1"/>
  <c r="N203" i="29"/>
  <c r="P203" i="29" s="1"/>
  <c r="BO226" i="4"/>
  <c r="BN226" i="4"/>
  <c r="BC226" i="4"/>
  <c r="AY226" i="4"/>
  <c r="P226" i="4"/>
  <c r="K226" i="4"/>
  <c r="BB226" i="4"/>
  <c r="O226" i="4"/>
  <c r="F226" i="4"/>
  <c r="BD226" i="4"/>
  <c r="AZ226" i="4"/>
  <c r="Q226" i="4"/>
  <c r="M226" i="4"/>
  <c r="BA226" i="4"/>
  <c r="AM226" i="4"/>
  <c r="R226" i="4"/>
  <c r="N226" i="4"/>
  <c r="B227" i="4"/>
  <c r="BP227" i="4"/>
  <c r="AO219" i="4"/>
  <c r="BH220" i="4"/>
  <c r="AD221" i="4"/>
  <c r="AI221" i="4" s="1"/>
  <c r="AC221" i="4"/>
  <c r="BG221" i="4" s="1"/>
  <c r="AE221" i="4"/>
  <c r="AJ221" i="4" s="1"/>
  <c r="Z221" i="4"/>
  <c r="AH221" i="4" s="1"/>
  <c r="AF221" i="4"/>
  <c r="Y221" i="4"/>
  <c r="AG221" i="4" s="1"/>
  <c r="I204" i="29"/>
  <c r="K204" i="29" s="1"/>
  <c r="J204" i="29"/>
  <c r="Y204" i="29" s="1"/>
  <c r="O204" i="29"/>
  <c r="BM224" i="4"/>
  <c r="BM228" i="4" s="1"/>
  <c r="BP223" i="4"/>
  <c r="B223" i="4"/>
  <c r="Z203" i="29"/>
  <c r="AK220" i="4"/>
  <c r="AN220" i="4"/>
  <c r="BE218" i="4"/>
  <c r="BF218" i="4" s="1"/>
  <c r="BB222" i="4"/>
  <c r="BC222" i="4"/>
  <c r="AZ222" i="4"/>
  <c r="BA222" i="4"/>
  <c r="P222" i="4"/>
  <c r="AM222" i="4"/>
  <c r="Q222" i="4"/>
  <c r="R222" i="4"/>
  <c r="F222" i="4"/>
  <c r="AY222" i="4"/>
  <c r="K222" i="4"/>
  <c r="N222" i="4"/>
  <c r="BD222" i="4"/>
  <c r="O222" i="4"/>
  <c r="M222" i="4"/>
  <c r="AI206" i="29"/>
  <c r="B206" i="29"/>
  <c r="AD207" i="29"/>
  <c r="BO222" i="4"/>
  <c r="BN222" i="4"/>
  <c r="T205" i="29"/>
  <c r="U205" i="29"/>
  <c r="E205" i="29"/>
  <c r="S205" i="29"/>
  <c r="Q205" i="29"/>
  <c r="G205" i="29"/>
  <c r="R205" i="29"/>
  <c r="AW221" i="4"/>
  <c r="AV219" i="4"/>
  <c r="AX219" i="4" s="1"/>
  <c r="AF205" i="29"/>
  <c r="AE205" i="29"/>
  <c r="V203" i="29" l="1"/>
  <c r="W203" i="29" s="1"/>
  <c r="N204" i="29"/>
  <c r="P204" i="29" s="1"/>
  <c r="AW226" i="4"/>
  <c r="AF226" i="4"/>
  <c r="Z226" i="4"/>
  <c r="AH226" i="4" s="1"/>
  <c r="AE226" i="4"/>
  <c r="AJ226" i="4" s="1"/>
  <c r="Y226" i="4"/>
  <c r="AG226" i="4" s="1"/>
  <c r="AC226" i="4"/>
  <c r="BG226" i="4" s="1"/>
  <c r="AD226" i="4"/>
  <c r="AI226" i="4" s="1"/>
  <c r="BO227" i="4"/>
  <c r="BN227" i="4"/>
  <c r="BC227" i="4"/>
  <c r="AY227" i="4"/>
  <c r="P227" i="4"/>
  <c r="K227" i="4"/>
  <c r="Q227" i="4"/>
  <c r="BB227" i="4"/>
  <c r="O227" i="4"/>
  <c r="F227" i="4"/>
  <c r="BA227" i="4"/>
  <c r="AM227" i="4"/>
  <c r="R227" i="4"/>
  <c r="N227" i="4"/>
  <c r="BD227" i="4"/>
  <c r="AZ227" i="4"/>
  <c r="M227" i="4"/>
  <c r="B228" i="4"/>
  <c r="BP228" i="4"/>
  <c r="BH221" i="4"/>
  <c r="AO220" i="4"/>
  <c r="AE222" i="4"/>
  <c r="AJ222" i="4" s="1"/>
  <c r="AC222" i="4"/>
  <c r="BG222" i="4" s="1"/>
  <c r="AF222" i="4"/>
  <c r="Z222" i="4"/>
  <c r="AH222" i="4" s="1"/>
  <c r="Y222" i="4"/>
  <c r="AG222" i="4" s="1"/>
  <c r="AD222" i="4"/>
  <c r="AI222" i="4" s="1"/>
  <c r="U206" i="29"/>
  <c r="G206" i="29"/>
  <c r="R206" i="29"/>
  <c r="E206" i="29"/>
  <c r="S206" i="29"/>
  <c r="Q206" i="29"/>
  <c r="T206" i="29"/>
  <c r="AW222" i="4"/>
  <c r="AV220" i="4"/>
  <c r="BO223" i="4"/>
  <c r="BN223" i="4"/>
  <c r="AK221" i="4"/>
  <c r="AN221" i="4"/>
  <c r="BE219" i="4"/>
  <c r="BF219" i="4" s="1"/>
  <c r="J205" i="29"/>
  <c r="Y205" i="29" s="1"/>
  <c r="I205" i="29"/>
  <c r="K205" i="29" s="1"/>
  <c r="AF206" i="29"/>
  <c r="AE206" i="29"/>
  <c r="BP224" i="4"/>
  <c r="B224" i="4"/>
  <c r="BM225" i="4"/>
  <c r="O205" i="29"/>
  <c r="Z204" i="29"/>
  <c r="AI207" i="29"/>
  <c r="AD208" i="29"/>
  <c r="B207" i="29"/>
  <c r="O223" i="4"/>
  <c r="N223" i="4"/>
  <c r="BC223" i="4"/>
  <c r="M223" i="4"/>
  <c r="Q223" i="4"/>
  <c r="P223" i="4"/>
  <c r="AM223" i="4"/>
  <c r="R223" i="4"/>
  <c r="F223" i="4"/>
  <c r="BA223" i="4"/>
  <c r="K223" i="4"/>
  <c r="AY223" i="4"/>
  <c r="BD223" i="4"/>
  <c r="AZ223" i="4"/>
  <c r="BB223" i="4"/>
  <c r="V204" i="29" l="1"/>
  <c r="W204" i="29" s="1"/>
  <c r="AX220" i="4"/>
  <c r="N205" i="29"/>
  <c r="V205" i="29" s="1"/>
  <c r="W205" i="29" s="1"/>
  <c r="BH226" i="4"/>
  <c r="AN226" i="4"/>
  <c r="AK226" i="4"/>
  <c r="AW227" i="4"/>
  <c r="AF227" i="4"/>
  <c r="Z227" i="4"/>
  <c r="AH227" i="4" s="1"/>
  <c r="AC227" i="4"/>
  <c r="BG227" i="4" s="1"/>
  <c r="AE227" i="4"/>
  <c r="AJ227" i="4" s="1"/>
  <c r="Y227" i="4"/>
  <c r="AG227" i="4" s="1"/>
  <c r="AD227" i="4"/>
  <c r="AI227" i="4" s="1"/>
  <c r="BO228" i="4"/>
  <c r="BN228" i="4"/>
  <c r="BC228" i="4"/>
  <c r="AY228" i="4"/>
  <c r="P228" i="4"/>
  <c r="K228" i="4"/>
  <c r="BB228" i="4"/>
  <c r="O228" i="4"/>
  <c r="F228" i="4"/>
  <c r="BA228" i="4"/>
  <c r="AM228" i="4"/>
  <c r="R228" i="4"/>
  <c r="N228" i="4"/>
  <c r="BD228" i="4"/>
  <c r="AZ228" i="4"/>
  <c r="Q228" i="4"/>
  <c r="M228" i="4"/>
  <c r="AO221" i="4"/>
  <c r="BH222" i="4"/>
  <c r="AC223" i="4"/>
  <c r="BG223" i="4" s="1"/>
  <c r="Z223" i="4"/>
  <c r="AH223" i="4" s="1"/>
  <c r="AD223" i="4"/>
  <c r="AI223" i="4" s="1"/>
  <c r="AE223" i="4"/>
  <c r="AJ223" i="4" s="1"/>
  <c r="AF223" i="4"/>
  <c r="Y223" i="4"/>
  <c r="AG223" i="4" s="1"/>
  <c r="AK222" i="4"/>
  <c r="AN222" i="4"/>
  <c r="E207" i="29"/>
  <c r="S207" i="29"/>
  <c r="R207" i="29"/>
  <c r="Q207" i="29"/>
  <c r="T207" i="29"/>
  <c r="U207" i="29"/>
  <c r="G207" i="29"/>
  <c r="B225" i="4"/>
  <c r="BP225" i="4"/>
  <c r="BM229" i="4"/>
  <c r="O206" i="29"/>
  <c r="AW223" i="4"/>
  <c r="AI208" i="29"/>
  <c r="B208" i="29"/>
  <c r="AD209" i="29"/>
  <c r="Z205" i="29"/>
  <c r="O224" i="4"/>
  <c r="M224" i="4"/>
  <c r="N224" i="4"/>
  <c r="BB224" i="4"/>
  <c r="P224" i="4"/>
  <c r="R224" i="4"/>
  <c r="Q224" i="4"/>
  <c r="AM224" i="4"/>
  <c r="K224" i="4"/>
  <c r="F224" i="4"/>
  <c r="AY224" i="4"/>
  <c r="AZ224" i="4"/>
  <c r="BA224" i="4"/>
  <c r="BD224" i="4"/>
  <c r="BC224" i="4"/>
  <c r="P205" i="29"/>
  <c r="AE207" i="29"/>
  <c r="AF207" i="29"/>
  <c r="BN224" i="4"/>
  <c r="BO224" i="4"/>
  <c r="J206" i="29"/>
  <c r="Y206" i="29" s="1"/>
  <c r="I206" i="29"/>
  <c r="K206" i="29" s="1"/>
  <c r="AV221" i="4"/>
  <c r="AX221" i="4" s="1"/>
  <c r="BE220" i="4"/>
  <c r="BF220" i="4" s="1"/>
  <c r="N206" i="29" l="1"/>
  <c r="V206" i="29" s="1"/>
  <c r="W206" i="29" s="1"/>
  <c r="AO226" i="4"/>
  <c r="BH227" i="4"/>
  <c r="AN227" i="4"/>
  <c r="AK227" i="4"/>
  <c r="AV226" i="4"/>
  <c r="AX226" i="4" s="1"/>
  <c r="AW228" i="4"/>
  <c r="AF228" i="4"/>
  <c r="Z228" i="4"/>
  <c r="AH228" i="4" s="1"/>
  <c r="AE228" i="4"/>
  <c r="AJ228" i="4" s="1"/>
  <c r="Y228" i="4"/>
  <c r="AG228" i="4" s="1"/>
  <c r="AD228" i="4"/>
  <c r="AI228" i="4" s="1"/>
  <c r="AC228" i="4"/>
  <c r="BG228" i="4" s="1"/>
  <c r="O207" i="29"/>
  <c r="AV222" i="4"/>
  <c r="AO222" i="4"/>
  <c r="S208" i="29"/>
  <c r="E208" i="29"/>
  <c r="U208" i="29"/>
  <c r="Q208" i="29"/>
  <c r="R208" i="29"/>
  <c r="G208" i="29"/>
  <c r="T208" i="29"/>
  <c r="BO225" i="4"/>
  <c r="BN225" i="4"/>
  <c r="AK223" i="4"/>
  <c r="AN223" i="4"/>
  <c r="AE208" i="29"/>
  <c r="AF208" i="29"/>
  <c r="K225" i="4"/>
  <c r="F225" i="4"/>
  <c r="BA225" i="4"/>
  <c r="N225" i="4"/>
  <c r="M225" i="4"/>
  <c r="O225" i="4"/>
  <c r="BB225" i="4"/>
  <c r="P225" i="4"/>
  <c r="R225" i="4"/>
  <c r="Q225" i="4"/>
  <c r="AM225" i="4"/>
  <c r="AZ225" i="4"/>
  <c r="BD225" i="4"/>
  <c r="BC225" i="4"/>
  <c r="AY225" i="4"/>
  <c r="Z206" i="29"/>
  <c r="BE221" i="4"/>
  <c r="BF221" i="4" s="1"/>
  <c r="AF224" i="4"/>
  <c r="Z224" i="4"/>
  <c r="AH224" i="4" s="1"/>
  <c r="AD224" i="4"/>
  <c r="AI224" i="4" s="1"/>
  <c r="AE224" i="4"/>
  <c r="AJ224" i="4" s="1"/>
  <c r="AC224" i="4"/>
  <c r="BG224" i="4" s="1"/>
  <c r="Y224" i="4"/>
  <c r="AG224" i="4" s="1"/>
  <c r="AW224" i="4"/>
  <c r="J207" i="29"/>
  <c r="Y207" i="29" s="1"/>
  <c r="I207" i="29"/>
  <c r="K207" i="29" s="1"/>
  <c r="AI209" i="29"/>
  <c r="B209" i="29"/>
  <c r="AD210" i="29"/>
  <c r="BP229" i="4"/>
  <c r="BM230" i="4"/>
  <c r="B229" i="4"/>
  <c r="BH223" i="4"/>
  <c r="Z207" i="29" l="1"/>
  <c r="BE222" i="4"/>
  <c r="BF222" i="4" s="1"/>
  <c r="AX222" i="4"/>
  <c r="P206" i="29"/>
  <c r="AV227" i="4"/>
  <c r="N207" i="29"/>
  <c r="V207" i="29" s="1"/>
  <c r="W207" i="29" s="1"/>
  <c r="BH228" i="4"/>
  <c r="AN228" i="4"/>
  <c r="AK228" i="4"/>
  <c r="BE226" i="4"/>
  <c r="BF226" i="4" s="1"/>
  <c r="AO227" i="4"/>
  <c r="AV223" i="4"/>
  <c r="AX223" i="4" s="1"/>
  <c r="BH224" i="4"/>
  <c r="Q229" i="4"/>
  <c r="P229" i="4"/>
  <c r="O229" i="4"/>
  <c r="R229" i="4"/>
  <c r="AY229" i="4"/>
  <c r="F229" i="4"/>
  <c r="K229" i="4"/>
  <c r="BB229" i="4"/>
  <c r="AZ229" i="4"/>
  <c r="BC229" i="4"/>
  <c r="BD229" i="4"/>
  <c r="AM229" i="4"/>
  <c r="N229" i="4"/>
  <c r="BA229" i="4"/>
  <c r="M229" i="4"/>
  <c r="AF209" i="29"/>
  <c r="AE209" i="29"/>
  <c r="AK224" i="4"/>
  <c r="AN224" i="4"/>
  <c r="B230" i="4"/>
  <c r="BP230" i="4"/>
  <c r="BM231" i="4"/>
  <c r="BO229" i="4"/>
  <c r="BN229" i="4"/>
  <c r="AI210" i="29"/>
  <c r="B210" i="29"/>
  <c r="AD211" i="29"/>
  <c r="AO223" i="4"/>
  <c r="AE225" i="4"/>
  <c r="AJ225" i="4" s="1"/>
  <c r="Y225" i="4"/>
  <c r="AG225" i="4" s="1"/>
  <c r="AD225" i="4"/>
  <c r="AI225" i="4" s="1"/>
  <c r="AC225" i="4"/>
  <c r="BG225" i="4" s="1"/>
  <c r="Z225" i="4"/>
  <c r="AH225" i="4" s="1"/>
  <c r="AF225" i="4"/>
  <c r="O208" i="29"/>
  <c r="R209" i="29"/>
  <c r="U209" i="29"/>
  <c r="Q209" i="29"/>
  <c r="S209" i="29"/>
  <c r="T209" i="29"/>
  <c r="G209" i="29"/>
  <c r="E209" i="29"/>
  <c r="AW225" i="4"/>
  <c r="I208" i="29"/>
  <c r="K208" i="29" s="1"/>
  <c r="J208" i="29"/>
  <c r="Y208" i="29" s="1"/>
  <c r="BE227" i="4" l="1"/>
  <c r="BF227" i="4" s="1"/>
  <c r="AX227" i="4"/>
  <c r="P207" i="29"/>
  <c r="BE223" i="4"/>
  <c r="BF223" i="4" s="1"/>
  <c r="N208" i="29"/>
  <c r="P208" i="29" s="1"/>
  <c r="AV228" i="4"/>
  <c r="AX228" i="4" s="1"/>
  <c r="AO228" i="4"/>
  <c r="BH225" i="4"/>
  <c r="AO224" i="4"/>
  <c r="Z229" i="4"/>
  <c r="AH229" i="4" s="1"/>
  <c r="AE229" i="4"/>
  <c r="AJ229" i="4" s="1"/>
  <c r="AF229" i="4"/>
  <c r="AC229" i="4"/>
  <c r="BG229" i="4" s="1"/>
  <c r="Y229" i="4"/>
  <c r="AG229" i="4" s="1"/>
  <c r="AD229" i="4"/>
  <c r="AI229" i="4" s="1"/>
  <c r="BO230" i="4"/>
  <c r="BN230" i="4"/>
  <c r="Z208" i="29"/>
  <c r="AK225" i="4"/>
  <c r="AN225" i="4"/>
  <c r="AI211" i="29"/>
  <c r="B211" i="29"/>
  <c r="AD212" i="29"/>
  <c r="P230" i="4"/>
  <c r="R230" i="4"/>
  <c r="AM230" i="4"/>
  <c r="Q230" i="4"/>
  <c r="F230" i="4"/>
  <c r="BA230" i="4"/>
  <c r="K230" i="4"/>
  <c r="AY230" i="4"/>
  <c r="BB230" i="4"/>
  <c r="BD230" i="4"/>
  <c r="BC230" i="4"/>
  <c r="O230" i="4"/>
  <c r="N230" i="4"/>
  <c r="AZ230" i="4"/>
  <c r="M230" i="4"/>
  <c r="AV224" i="4"/>
  <c r="AX224" i="4" s="1"/>
  <c r="AW229" i="4"/>
  <c r="R210" i="29"/>
  <c r="S210" i="29"/>
  <c r="G210" i="29"/>
  <c r="Q210" i="29"/>
  <c r="T210" i="29"/>
  <c r="E210" i="29"/>
  <c r="U210" i="29"/>
  <c r="O209" i="29"/>
  <c r="AF210" i="29"/>
  <c r="AE210" i="29"/>
  <c r="BM232" i="4"/>
  <c r="BP231" i="4"/>
  <c r="B231" i="4"/>
  <c r="J209" i="29"/>
  <c r="Y209" i="29" s="1"/>
  <c r="I209" i="29"/>
  <c r="K209" i="29" s="1"/>
  <c r="V208" i="29" l="1"/>
  <c r="W208" i="29" s="1"/>
  <c r="N209" i="29"/>
  <c r="V209" i="29" s="1"/>
  <c r="W209" i="29" s="1"/>
  <c r="BE228" i="4"/>
  <c r="BF228" i="4" s="1"/>
  <c r="O210" i="29"/>
  <c r="AO225" i="4"/>
  <c r="AV225" i="4"/>
  <c r="AX225" i="4" s="1"/>
  <c r="BN231" i="4"/>
  <c r="BO231" i="4"/>
  <c r="AE211" i="29"/>
  <c r="AF211" i="29"/>
  <c r="BH229" i="4"/>
  <c r="Z209" i="29"/>
  <c r="BE224" i="4"/>
  <c r="BF224" i="4" s="1"/>
  <c r="AF230" i="4"/>
  <c r="AE230" i="4"/>
  <c r="AJ230" i="4" s="1"/>
  <c r="AC230" i="4"/>
  <c r="BG230" i="4" s="1"/>
  <c r="AD230" i="4"/>
  <c r="AI230" i="4" s="1"/>
  <c r="Y230" i="4"/>
  <c r="AG230" i="4" s="1"/>
  <c r="Z230" i="4"/>
  <c r="AH230" i="4" s="1"/>
  <c r="AI212" i="29"/>
  <c r="B212" i="29"/>
  <c r="AD213" i="29"/>
  <c r="AK229" i="4"/>
  <c r="AN229" i="4"/>
  <c r="BP232" i="4"/>
  <c r="B232" i="4"/>
  <c r="BM233" i="4"/>
  <c r="I210" i="29"/>
  <c r="K210" i="29" s="1"/>
  <c r="J210" i="29"/>
  <c r="Y210" i="29" s="1"/>
  <c r="K231" i="4"/>
  <c r="AY231" i="4"/>
  <c r="F231" i="4"/>
  <c r="BB231" i="4"/>
  <c r="BA231" i="4"/>
  <c r="BC231" i="4"/>
  <c r="BD231" i="4"/>
  <c r="O231" i="4"/>
  <c r="N231" i="4"/>
  <c r="AZ231" i="4"/>
  <c r="M231" i="4"/>
  <c r="R231" i="4"/>
  <c r="P231" i="4"/>
  <c r="AM231" i="4"/>
  <c r="Q231" i="4"/>
  <c r="AW230" i="4"/>
  <c r="S211" i="29"/>
  <c r="R211" i="29"/>
  <c r="T211" i="29"/>
  <c r="U211" i="29"/>
  <c r="Q211" i="29"/>
  <c r="E211" i="29"/>
  <c r="G211" i="29"/>
  <c r="P209" i="29" l="1"/>
  <c r="N210" i="29"/>
  <c r="V210" i="29" s="1"/>
  <c r="W210" i="29" s="1"/>
  <c r="Z210" i="29"/>
  <c r="BE225" i="4"/>
  <c r="BF225" i="4" s="1"/>
  <c r="BH230" i="4"/>
  <c r="AV229" i="4"/>
  <c r="AX229" i="4" s="1"/>
  <c r="AW231" i="4"/>
  <c r="BO232" i="4"/>
  <c r="BN232" i="4"/>
  <c r="AO229" i="4"/>
  <c r="AI213" i="29"/>
  <c r="B213" i="29"/>
  <c r="AD214" i="29"/>
  <c r="AC231" i="4"/>
  <c r="BG231" i="4" s="1"/>
  <c r="AD231" i="4"/>
  <c r="AI231" i="4" s="1"/>
  <c r="Z231" i="4"/>
  <c r="AH231" i="4" s="1"/>
  <c r="AF231" i="4"/>
  <c r="AE231" i="4"/>
  <c r="AJ231" i="4" s="1"/>
  <c r="Y231" i="4"/>
  <c r="AG231" i="4" s="1"/>
  <c r="O211" i="29"/>
  <c r="R212" i="29"/>
  <c r="T212" i="29"/>
  <c r="Q212" i="29"/>
  <c r="E212" i="29"/>
  <c r="G212" i="29"/>
  <c r="U212" i="29"/>
  <c r="S212" i="29"/>
  <c r="BP233" i="4"/>
  <c r="B233" i="4"/>
  <c r="BM234" i="4"/>
  <c r="AF212" i="29"/>
  <c r="AE212" i="29"/>
  <c r="Q232" i="4"/>
  <c r="AM232" i="4"/>
  <c r="R232" i="4"/>
  <c r="P232" i="4"/>
  <c r="BA232" i="4"/>
  <c r="F232" i="4"/>
  <c r="K232" i="4"/>
  <c r="AZ232" i="4"/>
  <c r="BB232" i="4"/>
  <c r="BC232" i="4"/>
  <c r="BD232" i="4"/>
  <c r="O232" i="4"/>
  <c r="AY232" i="4"/>
  <c r="M232" i="4"/>
  <c r="N232" i="4"/>
  <c r="AK230" i="4"/>
  <c r="AN230" i="4"/>
  <c r="J211" i="29"/>
  <c r="Y211" i="29" s="1"/>
  <c r="I211" i="29"/>
  <c r="K211" i="29" s="1"/>
  <c r="P210" i="29" l="1"/>
  <c r="N211" i="29"/>
  <c r="P211" i="29" s="1"/>
  <c r="O212" i="29"/>
  <c r="BE229" i="4"/>
  <c r="BF229" i="4" s="1"/>
  <c r="BH231" i="4"/>
  <c r="AO230" i="4"/>
  <c r="BP234" i="4"/>
  <c r="BM235" i="4"/>
  <c r="B234" i="4"/>
  <c r="AI214" i="29"/>
  <c r="AD215" i="29"/>
  <c r="B214" i="29"/>
  <c r="AV230" i="4"/>
  <c r="AX230" i="4" s="1"/>
  <c r="AW232" i="4"/>
  <c r="R233" i="4"/>
  <c r="P233" i="4"/>
  <c r="BD233" i="4"/>
  <c r="Q233" i="4"/>
  <c r="K233" i="4"/>
  <c r="F233" i="4"/>
  <c r="O233" i="4"/>
  <c r="AM233" i="4"/>
  <c r="BA233" i="4"/>
  <c r="BB233" i="4"/>
  <c r="AY233" i="4"/>
  <c r="M233" i="4"/>
  <c r="N233" i="4"/>
  <c r="BC233" i="4"/>
  <c r="AZ233" i="4"/>
  <c r="G213" i="29"/>
  <c r="R213" i="29"/>
  <c r="U213" i="29"/>
  <c r="S213" i="29"/>
  <c r="Q213" i="29"/>
  <c r="E213" i="29"/>
  <c r="T213" i="29"/>
  <c r="J212" i="29"/>
  <c r="Y212" i="29" s="1"/>
  <c r="I212" i="29"/>
  <c r="K212" i="29" s="1"/>
  <c r="BO233" i="4"/>
  <c r="BN233" i="4"/>
  <c r="AE213" i="29"/>
  <c r="AF213" i="29"/>
  <c r="Z232" i="4"/>
  <c r="AH232" i="4" s="1"/>
  <c r="AC232" i="4"/>
  <c r="BG232" i="4" s="1"/>
  <c r="AD232" i="4"/>
  <c r="AI232" i="4" s="1"/>
  <c r="Y232" i="4"/>
  <c r="AG232" i="4" s="1"/>
  <c r="AE232" i="4"/>
  <c r="AJ232" i="4" s="1"/>
  <c r="AF232" i="4"/>
  <c r="Z211" i="29"/>
  <c r="AK231" i="4"/>
  <c r="AN231" i="4"/>
  <c r="V211" i="29" l="1"/>
  <c r="W211" i="29" s="1"/>
  <c r="N212" i="29"/>
  <c r="P212" i="29" s="1"/>
  <c r="Z212" i="29"/>
  <c r="AV231" i="4"/>
  <c r="AO231" i="4"/>
  <c r="T214" i="29"/>
  <c r="U214" i="29"/>
  <c r="R214" i="29"/>
  <c r="Q214" i="29"/>
  <c r="S214" i="29"/>
  <c r="G214" i="29"/>
  <c r="E214" i="29"/>
  <c r="BN234" i="4"/>
  <c r="BO234" i="4"/>
  <c r="AC233" i="4"/>
  <c r="BG233" i="4" s="1"/>
  <c r="AD233" i="4"/>
  <c r="AI233" i="4" s="1"/>
  <c r="AF233" i="4"/>
  <c r="Z233" i="4"/>
  <c r="AH233" i="4" s="1"/>
  <c r="Y233" i="4"/>
  <c r="AG233" i="4" s="1"/>
  <c r="AE233" i="4"/>
  <c r="AJ233" i="4" s="1"/>
  <c r="AW233" i="4"/>
  <c r="AI215" i="29"/>
  <c r="B215" i="29"/>
  <c r="AD216" i="29"/>
  <c r="O213" i="29"/>
  <c r="BE230" i="4"/>
  <c r="BF230" i="4" s="1"/>
  <c r="AE214" i="29"/>
  <c r="AF214" i="29"/>
  <c r="P234" i="4"/>
  <c r="R234" i="4"/>
  <c r="Q234" i="4"/>
  <c r="AM234" i="4"/>
  <c r="F234" i="4"/>
  <c r="BA234" i="4"/>
  <c r="K234" i="4"/>
  <c r="AY234" i="4"/>
  <c r="BC234" i="4"/>
  <c r="BB234" i="4"/>
  <c r="AZ234" i="4"/>
  <c r="O234" i="4"/>
  <c r="N234" i="4"/>
  <c r="M234" i="4"/>
  <c r="BD234" i="4"/>
  <c r="J213" i="29"/>
  <c r="Y213" i="29" s="1"/>
  <c r="I213" i="29"/>
  <c r="K213" i="29" s="1"/>
  <c r="AK232" i="4"/>
  <c r="AN232" i="4"/>
  <c r="BH232" i="4"/>
  <c r="BP235" i="4"/>
  <c r="BM236" i="4"/>
  <c r="B235" i="4"/>
  <c r="AX231" i="4" l="1"/>
  <c r="V212" i="29"/>
  <c r="W212" i="29" s="1"/>
  <c r="N213" i="29"/>
  <c r="V213" i="29" s="1"/>
  <c r="W213" i="29" s="1"/>
  <c r="BE231" i="4"/>
  <c r="AV232" i="4"/>
  <c r="AW234" i="4"/>
  <c r="AO232" i="4"/>
  <c r="P213" i="29"/>
  <c r="Z213" i="29"/>
  <c r="S215" i="29"/>
  <c r="Q215" i="29"/>
  <c r="R215" i="29"/>
  <c r="U215" i="29"/>
  <c r="G215" i="29"/>
  <c r="E215" i="29"/>
  <c r="T215" i="29"/>
  <c r="Y234" i="4"/>
  <c r="AG234" i="4" s="1"/>
  <c r="AD234" i="4"/>
  <c r="AI234" i="4" s="1"/>
  <c r="AF234" i="4"/>
  <c r="AE234" i="4"/>
  <c r="AJ234" i="4" s="1"/>
  <c r="Z234" i="4"/>
  <c r="AH234" i="4" s="1"/>
  <c r="AC234" i="4"/>
  <c r="BG234" i="4" s="1"/>
  <c r="O214" i="29"/>
  <c r="H235" i="4"/>
  <c r="O235" i="4"/>
  <c r="BA235" i="4"/>
  <c r="AY235" i="4"/>
  <c r="BC235" i="4"/>
  <c r="K235" i="4"/>
  <c r="P235" i="4"/>
  <c r="J235" i="4"/>
  <c r="N235" i="4"/>
  <c r="BB235" i="4"/>
  <c r="AZ235" i="4"/>
  <c r="F235" i="4"/>
  <c r="R235" i="4"/>
  <c r="I235" i="4"/>
  <c r="Q235" i="4"/>
  <c r="AM235" i="4"/>
  <c r="M235" i="4"/>
  <c r="BD235" i="4"/>
  <c r="AF215" i="29"/>
  <c r="AE215" i="29"/>
  <c r="BO235" i="4"/>
  <c r="BN235" i="4"/>
  <c r="BP236" i="4"/>
  <c r="BM237" i="4"/>
  <c r="B236" i="4"/>
  <c r="BH233" i="4"/>
  <c r="J214" i="29"/>
  <c r="Y214" i="29" s="1"/>
  <c r="I214" i="29"/>
  <c r="K214" i="29" s="1"/>
  <c r="AI216" i="29"/>
  <c r="B216" i="29"/>
  <c r="AD217" i="29"/>
  <c r="AK233" i="4"/>
  <c r="AN233" i="4"/>
  <c r="BF231" i="4" l="1"/>
  <c r="BE232" i="4"/>
  <c r="BF232" i="4" s="1"/>
  <c r="AX232" i="4"/>
  <c r="N214" i="29"/>
  <c r="P214" i="29" s="1"/>
  <c r="Z214" i="29"/>
  <c r="AW235" i="4"/>
  <c r="AO233" i="4"/>
  <c r="AV233" i="4"/>
  <c r="AX233" i="4" s="1"/>
  <c r="N236" i="4"/>
  <c r="O236" i="4"/>
  <c r="M236" i="4"/>
  <c r="BB236" i="4"/>
  <c r="P236" i="4"/>
  <c r="Q236" i="4"/>
  <c r="R236" i="4"/>
  <c r="AM236" i="4"/>
  <c r="K236" i="4"/>
  <c r="BA236" i="4"/>
  <c r="F236" i="4"/>
  <c r="AZ236" i="4"/>
  <c r="BC236" i="4"/>
  <c r="BD236" i="4"/>
  <c r="AY236" i="4"/>
  <c r="AA235" i="4"/>
  <c r="AD235" i="4"/>
  <c r="AI235" i="4" s="1"/>
  <c r="Z235" i="4"/>
  <c r="Y235" i="4"/>
  <c r="AG235" i="4" s="1"/>
  <c r="AF235" i="4"/>
  <c r="AC235" i="4"/>
  <c r="BG235" i="4" s="1"/>
  <c r="AB235" i="4"/>
  <c r="AE235" i="4"/>
  <c r="AJ235" i="4" s="1"/>
  <c r="I215" i="29"/>
  <c r="K215" i="29" s="1"/>
  <c r="J215" i="29"/>
  <c r="Y215" i="29" s="1"/>
  <c r="AE216" i="29"/>
  <c r="AF216" i="29"/>
  <c r="BN236" i="4"/>
  <c r="BO236" i="4"/>
  <c r="AI217" i="29"/>
  <c r="AD218" i="29"/>
  <c r="B217" i="29"/>
  <c r="R216" i="29"/>
  <c r="S216" i="29"/>
  <c r="G216" i="29"/>
  <c r="T216" i="29"/>
  <c r="E216" i="29"/>
  <c r="U216" i="29"/>
  <c r="Q216" i="29"/>
  <c r="BM238" i="4"/>
  <c r="B237" i="4"/>
  <c r="BP237" i="4"/>
  <c r="AK234" i="4"/>
  <c r="AN234" i="4"/>
  <c r="BH234" i="4"/>
  <c r="O215" i="29"/>
  <c r="V214" i="29" l="1"/>
  <c r="W214" i="29" s="1"/>
  <c r="N215" i="29"/>
  <c r="V215" i="29" s="1"/>
  <c r="W215" i="29" s="1"/>
  <c r="BE233" i="4"/>
  <c r="BF233" i="4" s="1"/>
  <c r="AO234" i="4"/>
  <c r="AH235" i="4"/>
  <c r="BH235" i="4" s="1"/>
  <c r="AV234" i="4"/>
  <c r="AX234" i="4" s="1"/>
  <c r="O216" i="29"/>
  <c r="AI218" i="29"/>
  <c r="B218" i="29"/>
  <c r="AD219" i="29"/>
  <c r="Z215" i="29"/>
  <c r="P237" i="4"/>
  <c r="Q237" i="4"/>
  <c r="AM237" i="4"/>
  <c r="R237" i="4"/>
  <c r="N237" i="4"/>
  <c r="O237" i="4"/>
  <c r="BA237" i="4"/>
  <c r="M237" i="4"/>
  <c r="F237" i="4"/>
  <c r="AY237" i="4"/>
  <c r="K237" i="4"/>
  <c r="AZ237" i="4"/>
  <c r="BB237" i="4"/>
  <c r="BC237" i="4"/>
  <c r="BD237" i="4"/>
  <c r="BP238" i="4"/>
  <c r="BM239" i="4"/>
  <c r="B238" i="4"/>
  <c r="BN237" i="4"/>
  <c r="BO237" i="4"/>
  <c r="AE217" i="29"/>
  <c r="AF217" i="29"/>
  <c r="AW236" i="4"/>
  <c r="I216" i="29"/>
  <c r="K216" i="29" s="1"/>
  <c r="J216" i="29"/>
  <c r="Y216" i="29" s="1"/>
  <c r="Q217" i="29"/>
  <c r="U217" i="29"/>
  <c r="E217" i="29"/>
  <c r="G217" i="29"/>
  <c r="R217" i="29"/>
  <c r="S217" i="29"/>
  <c r="T217" i="29"/>
  <c r="AF236" i="4"/>
  <c r="AD236" i="4"/>
  <c r="AI236" i="4" s="1"/>
  <c r="AE236" i="4"/>
  <c r="AJ236" i="4" s="1"/>
  <c r="AC236" i="4"/>
  <c r="BG236" i="4" s="1"/>
  <c r="Y236" i="4"/>
  <c r="AG236" i="4" s="1"/>
  <c r="Z236" i="4"/>
  <c r="AH236" i="4" s="1"/>
  <c r="AK235" i="4"/>
  <c r="AN235" i="4"/>
  <c r="P215" i="29" l="1"/>
  <c r="N216" i="29"/>
  <c r="P216" i="29" s="1"/>
  <c r="BE234" i="4"/>
  <c r="BF234" i="4" s="1"/>
  <c r="AO235" i="4"/>
  <c r="AV235" i="4"/>
  <c r="AX235" i="4" s="1"/>
  <c r="AC237" i="4"/>
  <c r="BG237" i="4" s="1"/>
  <c r="AE237" i="4"/>
  <c r="AJ237" i="4" s="1"/>
  <c r="Z237" i="4"/>
  <c r="AH237" i="4" s="1"/>
  <c r="Y237" i="4"/>
  <c r="AG237" i="4" s="1"/>
  <c r="AD237" i="4"/>
  <c r="AI237" i="4" s="1"/>
  <c r="AF237" i="4"/>
  <c r="BN238" i="4"/>
  <c r="BO238" i="4"/>
  <c r="Z216" i="29"/>
  <c r="BH236" i="4"/>
  <c r="AW237" i="4"/>
  <c r="AI219" i="29"/>
  <c r="AD220" i="29"/>
  <c r="B219" i="29"/>
  <c r="J217" i="29"/>
  <c r="Y217" i="29" s="1"/>
  <c r="I217" i="29"/>
  <c r="K217" i="29" s="1"/>
  <c r="BB238" i="4"/>
  <c r="BD238" i="4"/>
  <c r="BC238" i="4"/>
  <c r="AY238" i="4"/>
  <c r="R238" i="4"/>
  <c r="AM238" i="4"/>
  <c r="P238" i="4"/>
  <c r="Q238" i="4"/>
  <c r="BA238" i="4"/>
  <c r="K238" i="4"/>
  <c r="F238" i="4"/>
  <c r="N238" i="4"/>
  <c r="AZ238" i="4"/>
  <c r="M238" i="4"/>
  <c r="O238" i="4"/>
  <c r="G218" i="29"/>
  <c r="T218" i="29"/>
  <c r="R218" i="29"/>
  <c r="Q218" i="29"/>
  <c r="S218" i="29"/>
  <c r="E218" i="29"/>
  <c r="U218" i="29"/>
  <c r="AK236" i="4"/>
  <c r="AN236" i="4"/>
  <c r="O217" i="29"/>
  <c r="BP239" i="4"/>
  <c r="B239" i="4"/>
  <c r="BM240" i="4"/>
  <c r="AE218" i="29"/>
  <c r="AF218" i="29"/>
  <c r="V216" i="29" l="1"/>
  <c r="W216" i="29" s="1"/>
  <c r="N217" i="29"/>
  <c r="V217" i="29" s="1"/>
  <c r="W217" i="29" s="1"/>
  <c r="AV236" i="4"/>
  <c r="AX236" i="4" s="1"/>
  <c r="BE235" i="4"/>
  <c r="BF235" i="4" s="1"/>
  <c r="AO236" i="4"/>
  <c r="AI220" i="29"/>
  <c r="AD221" i="29"/>
  <c r="B220" i="29"/>
  <c r="AK237" i="4"/>
  <c r="AN237" i="4"/>
  <c r="BN239" i="4"/>
  <c r="BO239" i="4"/>
  <c r="B240" i="4"/>
  <c r="BM241" i="4"/>
  <c r="BP240" i="4"/>
  <c r="Z217" i="29"/>
  <c r="I218" i="29"/>
  <c r="K218" i="29" s="1"/>
  <c r="J218" i="29"/>
  <c r="Y218" i="29" s="1"/>
  <c r="AY239" i="4"/>
  <c r="K239" i="4"/>
  <c r="F239" i="4"/>
  <c r="BA239" i="4"/>
  <c r="BB239" i="4"/>
  <c r="BD239" i="4"/>
  <c r="BC239" i="4"/>
  <c r="N239" i="4"/>
  <c r="O239" i="4"/>
  <c r="M239" i="4"/>
  <c r="AZ239" i="4"/>
  <c r="R239" i="4"/>
  <c r="P239" i="4"/>
  <c r="Q239" i="4"/>
  <c r="AM239" i="4"/>
  <c r="AE219" i="29"/>
  <c r="AF219" i="29"/>
  <c r="O218" i="29"/>
  <c r="AW238" i="4"/>
  <c r="S219" i="29"/>
  <c r="T219" i="29"/>
  <c r="U219" i="29"/>
  <c r="Q219" i="29"/>
  <c r="R219" i="29"/>
  <c r="G219" i="29"/>
  <c r="E219" i="29"/>
  <c r="AD238" i="4"/>
  <c r="AI238" i="4" s="1"/>
  <c r="AE238" i="4"/>
  <c r="AJ238" i="4" s="1"/>
  <c r="Y238" i="4"/>
  <c r="AG238" i="4" s="1"/>
  <c r="AF238" i="4"/>
  <c r="Z238" i="4"/>
  <c r="AH238" i="4" s="1"/>
  <c r="AC238" i="4"/>
  <c r="BG238" i="4" s="1"/>
  <c r="BH237" i="4"/>
  <c r="P217" i="29" l="1"/>
  <c r="N218" i="29"/>
  <c r="V218" i="29" s="1"/>
  <c r="W218" i="29" s="1"/>
  <c r="BE236" i="4"/>
  <c r="BF236" i="4" s="1"/>
  <c r="Z218" i="29"/>
  <c r="AO237" i="4"/>
  <c r="BH238" i="4"/>
  <c r="AW239" i="4"/>
  <c r="AK238" i="4"/>
  <c r="AN238" i="4"/>
  <c r="O219" i="29"/>
  <c r="J219" i="29"/>
  <c r="Y219" i="29" s="1"/>
  <c r="I219" i="29"/>
  <c r="K219" i="29" s="1"/>
  <c r="AZ240" i="4"/>
  <c r="BB240" i="4"/>
  <c r="BD240" i="4"/>
  <c r="BC240" i="4"/>
  <c r="R240" i="4"/>
  <c r="O240" i="4"/>
  <c r="P240" i="4"/>
  <c r="Q240" i="4"/>
  <c r="AM240" i="4"/>
  <c r="AY240" i="4"/>
  <c r="N240" i="4"/>
  <c r="M240" i="4"/>
  <c r="BA240" i="4"/>
  <c r="K240" i="4"/>
  <c r="F240" i="4"/>
  <c r="AF220" i="29"/>
  <c r="AE220" i="29"/>
  <c r="BO240" i="4"/>
  <c r="BN240" i="4"/>
  <c r="AD239" i="4"/>
  <c r="AI239" i="4" s="1"/>
  <c r="Y239" i="4"/>
  <c r="AG239" i="4" s="1"/>
  <c r="AC239" i="4"/>
  <c r="BG239" i="4" s="1"/>
  <c r="Z239" i="4"/>
  <c r="AH239" i="4" s="1"/>
  <c r="AF239" i="4"/>
  <c r="AE239" i="4"/>
  <c r="AJ239" i="4" s="1"/>
  <c r="E220" i="29"/>
  <c r="G220" i="29"/>
  <c r="R220" i="29"/>
  <c r="T220" i="29"/>
  <c r="Q220" i="29"/>
  <c r="S220" i="29"/>
  <c r="U220" i="29"/>
  <c r="BM242" i="4"/>
  <c r="BP241" i="4"/>
  <c r="B241" i="4"/>
  <c r="AV237" i="4"/>
  <c r="AX237" i="4" s="1"/>
  <c r="AI221" i="29"/>
  <c r="B221" i="29"/>
  <c r="AD222" i="29"/>
  <c r="P218" i="29" l="1"/>
  <c r="N219" i="29"/>
  <c r="P219" i="29" s="1"/>
  <c r="AV238" i="4"/>
  <c r="BH239" i="4"/>
  <c r="AO238" i="4"/>
  <c r="AK239" i="4"/>
  <c r="AN239" i="4"/>
  <c r="AW240" i="4"/>
  <c r="AI222" i="29"/>
  <c r="B222" i="29"/>
  <c r="AD223" i="29"/>
  <c r="BN241" i="4"/>
  <c r="BO241" i="4"/>
  <c r="E221" i="29"/>
  <c r="G221" i="29"/>
  <c r="Q221" i="29"/>
  <c r="U221" i="29"/>
  <c r="S221" i="29"/>
  <c r="R221" i="29"/>
  <c r="T221" i="29"/>
  <c r="B242" i="4"/>
  <c r="BM243" i="4"/>
  <c r="BP242" i="4"/>
  <c r="J220" i="29"/>
  <c r="Y220" i="29" s="1"/>
  <c r="I220" i="29"/>
  <c r="K220" i="29" s="1"/>
  <c r="AE221" i="29"/>
  <c r="AF221" i="29"/>
  <c r="BE237" i="4"/>
  <c r="BF237" i="4" s="1"/>
  <c r="Z219" i="29"/>
  <c r="BC241" i="4"/>
  <c r="BA241" i="4"/>
  <c r="AZ241" i="4"/>
  <c r="BB241" i="4"/>
  <c r="BD241" i="4"/>
  <c r="M241" i="4"/>
  <c r="O241" i="4"/>
  <c r="N241" i="4"/>
  <c r="AM241" i="4"/>
  <c r="R241" i="4"/>
  <c r="Q241" i="4"/>
  <c r="P241" i="4"/>
  <c r="K241" i="4"/>
  <c r="AY241" i="4"/>
  <c r="F241" i="4"/>
  <c r="O220" i="29"/>
  <c r="Y240" i="4"/>
  <c r="AG240" i="4" s="1"/>
  <c r="AC240" i="4"/>
  <c r="BG240" i="4" s="1"/>
  <c r="AE240" i="4"/>
  <c r="AJ240" i="4" s="1"/>
  <c r="AF240" i="4"/>
  <c r="Z240" i="4"/>
  <c r="AH240" i="4" s="1"/>
  <c r="AD240" i="4"/>
  <c r="AI240" i="4" s="1"/>
  <c r="BE238" i="4" l="1"/>
  <c r="BF238" i="4" s="1"/>
  <c r="AX238" i="4"/>
  <c r="V219" i="29"/>
  <c r="W219" i="29" s="1"/>
  <c r="N220" i="29"/>
  <c r="V220" i="29" s="1"/>
  <c r="W220" i="29" s="1"/>
  <c r="AV239" i="4"/>
  <c r="AX239" i="4" s="1"/>
  <c r="AO239" i="4"/>
  <c r="BH240" i="4"/>
  <c r="Z220" i="29"/>
  <c r="AK240" i="4"/>
  <c r="AN240" i="4"/>
  <c r="BO242" i="4"/>
  <c r="BN242" i="4"/>
  <c r="AI223" i="29"/>
  <c r="AD224" i="29"/>
  <c r="B223" i="29"/>
  <c r="AW241" i="4"/>
  <c r="BM244" i="4"/>
  <c r="BP243" i="4"/>
  <c r="B243" i="4"/>
  <c r="O221" i="29"/>
  <c r="T222" i="29"/>
  <c r="U222" i="29"/>
  <c r="G222" i="29"/>
  <c r="S222" i="29"/>
  <c r="Q222" i="29"/>
  <c r="R222" i="29"/>
  <c r="E222" i="29"/>
  <c r="P242" i="4"/>
  <c r="BC242" i="4"/>
  <c r="Q242" i="4"/>
  <c r="R242" i="4"/>
  <c r="AY242" i="4"/>
  <c r="BD242" i="4"/>
  <c r="F242" i="4"/>
  <c r="BB242" i="4"/>
  <c r="AM242" i="4"/>
  <c r="AZ242" i="4"/>
  <c r="O242" i="4"/>
  <c r="M242" i="4"/>
  <c r="BA242" i="4"/>
  <c r="N242" i="4"/>
  <c r="K242" i="4"/>
  <c r="AF222" i="29"/>
  <c r="AE222" i="29"/>
  <c r="J221" i="29"/>
  <c r="Y221" i="29" s="1"/>
  <c r="I221" i="29"/>
  <c r="K221" i="29" s="1"/>
  <c r="AF241" i="4"/>
  <c r="Y241" i="4"/>
  <c r="AG241" i="4" s="1"/>
  <c r="Z241" i="4"/>
  <c r="AH241" i="4" s="1"/>
  <c r="AD241" i="4"/>
  <c r="AI241" i="4" s="1"/>
  <c r="AE241" i="4"/>
  <c r="AJ241" i="4" s="1"/>
  <c r="AC241" i="4"/>
  <c r="BG241" i="4" s="1"/>
  <c r="P220" i="29" l="1"/>
  <c r="N221" i="29"/>
  <c r="P221" i="29" s="1"/>
  <c r="BE239" i="4"/>
  <c r="BF239" i="4" s="1"/>
  <c r="AV240" i="4"/>
  <c r="AX240" i="4" s="1"/>
  <c r="I222" i="29"/>
  <c r="K222" i="29" s="1"/>
  <c r="J222" i="29"/>
  <c r="Y222" i="29" s="1"/>
  <c r="AW242" i="4"/>
  <c r="K243" i="4"/>
  <c r="AY243" i="4"/>
  <c r="BC243" i="4"/>
  <c r="AZ243" i="4"/>
  <c r="BA243" i="4"/>
  <c r="BD243" i="4"/>
  <c r="BB243" i="4"/>
  <c r="O243" i="4"/>
  <c r="M243" i="4"/>
  <c r="N243" i="4"/>
  <c r="AM243" i="4"/>
  <c r="P243" i="4"/>
  <c r="R243" i="4"/>
  <c r="Q243" i="4"/>
  <c r="F243" i="4"/>
  <c r="AI224" i="29"/>
  <c r="AD225" i="29"/>
  <c r="B224" i="29"/>
  <c r="AK241" i="4"/>
  <c r="AN241" i="4"/>
  <c r="O222" i="29"/>
  <c r="Z221" i="29"/>
  <c r="BN243" i="4"/>
  <c r="BO243" i="4"/>
  <c r="AF223" i="29"/>
  <c r="AE223" i="29"/>
  <c r="AO240" i="4"/>
  <c r="B244" i="4"/>
  <c r="BP244" i="4"/>
  <c r="BM245" i="4"/>
  <c r="Z242" i="4"/>
  <c r="AH242" i="4" s="1"/>
  <c r="Y242" i="4"/>
  <c r="AG242" i="4" s="1"/>
  <c r="AD242" i="4"/>
  <c r="AI242" i="4" s="1"/>
  <c r="AE242" i="4"/>
  <c r="AJ242" i="4" s="1"/>
  <c r="AF242" i="4"/>
  <c r="AC242" i="4"/>
  <c r="BG242" i="4" s="1"/>
  <c r="BH241" i="4"/>
  <c r="S223" i="29"/>
  <c r="Q223" i="29"/>
  <c r="T223" i="29"/>
  <c r="U223" i="29"/>
  <c r="G223" i="29"/>
  <c r="R223" i="29"/>
  <c r="E223" i="29"/>
  <c r="V221" i="29" l="1"/>
  <c r="W221" i="29" s="1"/>
  <c r="N222" i="29"/>
  <c r="V222" i="29" s="1"/>
  <c r="W222" i="29" s="1"/>
  <c r="AO241" i="4"/>
  <c r="BE240" i="4"/>
  <c r="BF240" i="4" s="1"/>
  <c r="AN242" i="4"/>
  <c r="BH242" i="4"/>
  <c r="AV241" i="4"/>
  <c r="AX241" i="4" s="1"/>
  <c r="BO244" i="4"/>
  <c r="BN244" i="4"/>
  <c r="AI225" i="29"/>
  <c r="B225" i="29"/>
  <c r="AD226" i="29"/>
  <c r="BD244" i="4"/>
  <c r="BC244" i="4"/>
  <c r="AZ244" i="4"/>
  <c r="M244" i="4"/>
  <c r="O244" i="4"/>
  <c r="BB244" i="4"/>
  <c r="N244" i="4"/>
  <c r="BA244" i="4"/>
  <c r="R244" i="4"/>
  <c r="Q244" i="4"/>
  <c r="AM244" i="4"/>
  <c r="P244" i="4"/>
  <c r="F244" i="4"/>
  <c r="K244" i="4"/>
  <c r="AY244" i="4"/>
  <c r="AK242" i="4"/>
  <c r="Z243" i="4"/>
  <c r="AH243" i="4" s="1"/>
  <c r="AE243" i="4"/>
  <c r="AJ243" i="4" s="1"/>
  <c r="AF243" i="4"/>
  <c r="AC243" i="4"/>
  <c r="BG243" i="4" s="1"/>
  <c r="AD243" i="4"/>
  <c r="AI243" i="4" s="1"/>
  <c r="Y243" i="4"/>
  <c r="AG243" i="4" s="1"/>
  <c r="Z222" i="29"/>
  <c r="AF224" i="29"/>
  <c r="AE224" i="29"/>
  <c r="AW243" i="4"/>
  <c r="O223" i="29"/>
  <c r="BM246" i="4"/>
  <c r="B245" i="4"/>
  <c r="BP245" i="4"/>
  <c r="I223" i="29"/>
  <c r="K223" i="29" s="1"/>
  <c r="J223" i="29"/>
  <c r="Y223" i="29" s="1"/>
  <c r="U224" i="29"/>
  <c r="G224" i="29"/>
  <c r="R224" i="29"/>
  <c r="E224" i="29"/>
  <c r="S224" i="29"/>
  <c r="Q224" i="29"/>
  <c r="T224" i="29"/>
  <c r="S473" i="4"/>
  <c r="U473" i="4"/>
  <c r="T473" i="4"/>
  <c r="P222" i="29" l="1"/>
  <c r="N223" i="29"/>
  <c r="P223" i="29" s="1"/>
  <c r="BE241" i="4"/>
  <c r="BF241" i="4" s="1"/>
  <c r="AO242" i="4"/>
  <c r="BH243" i="4"/>
  <c r="AV242" i="4"/>
  <c r="AX242" i="4" s="1"/>
  <c r="O224" i="29"/>
  <c r="Q245" i="4"/>
  <c r="AM245" i="4"/>
  <c r="R245" i="4"/>
  <c r="P245" i="4"/>
  <c r="BD245" i="4"/>
  <c r="K245" i="4"/>
  <c r="F245" i="4"/>
  <c r="BA245" i="4"/>
  <c r="BB245" i="4"/>
  <c r="AY245" i="4"/>
  <c r="BC245" i="4"/>
  <c r="O245" i="4"/>
  <c r="AZ245" i="4"/>
  <c r="M245" i="4"/>
  <c r="N245" i="4"/>
  <c r="BM247" i="4"/>
  <c r="BP246" i="4"/>
  <c r="B246" i="4"/>
  <c r="AW244" i="4"/>
  <c r="AF225" i="29"/>
  <c r="AE225" i="29"/>
  <c r="AF244" i="4"/>
  <c r="Z244" i="4"/>
  <c r="AH244" i="4" s="1"/>
  <c r="Y244" i="4"/>
  <c r="AG244" i="4" s="1"/>
  <c r="AC244" i="4"/>
  <c r="BG244" i="4" s="1"/>
  <c r="AE244" i="4"/>
  <c r="AJ244" i="4" s="1"/>
  <c r="AD244" i="4"/>
  <c r="AI244" i="4" s="1"/>
  <c r="Z223" i="29"/>
  <c r="AK243" i="4"/>
  <c r="AN243" i="4"/>
  <c r="BO245" i="4"/>
  <c r="BN245" i="4"/>
  <c r="I224" i="29"/>
  <c r="K224" i="29" s="1"/>
  <c r="J224" i="29"/>
  <c r="Y224" i="29" s="1"/>
  <c r="AI226" i="29"/>
  <c r="B226" i="29"/>
  <c r="AD227" i="29"/>
  <c r="U225" i="29"/>
  <c r="S225" i="29"/>
  <c r="E225" i="29"/>
  <c r="T225" i="29"/>
  <c r="G225" i="29"/>
  <c r="R225" i="29"/>
  <c r="Q225" i="29"/>
  <c r="V223" i="29" l="1"/>
  <c r="W223" i="29" s="1"/>
  <c r="N224" i="29"/>
  <c r="V224" i="29" s="1"/>
  <c r="W224" i="29" s="1"/>
  <c r="BE242" i="4"/>
  <c r="BF242" i="4" s="1"/>
  <c r="AO243" i="4"/>
  <c r="BH244" i="4"/>
  <c r="AE226" i="29"/>
  <c r="AF226" i="29"/>
  <c r="BN246" i="4"/>
  <c r="BO246" i="4"/>
  <c r="O225" i="29"/>
  <c r="AV243" i="4"/>
  <c r="AX243" i="4" s="1"/>
  <c r="Y245" i="4"/>
  <c r="AG245" i="4" s="1"/>
  <c r="AE245" i="4"/>
  <c r="AJ245" i="4" s="1"/>
  <c r="AF245" i="4"/>
  <c r="Z245" i="4"/>
  <c r="AH245" i="4" s="1"/>
  <c r="AD245" i="4"/>
  <c r="AI245" i="4" s="1"/>
  <c r="AC245" i="4"/>
  <c r="BG245" i="4" s="1"/>
  <c r="BP247" i="4"/>
  <c r="B247" i="4"/>
  <c r="BM248" i="4"/>
  <c r="AI227" i="29"/>
  <c r="B227" i="29"/>
  <c r="AD228" i="29"/>
  <c r="AK244" i="4"/>
  <c r="AN244" i="4"/>
  <c r="AW245" i="4"/>
  <c r="G226" i="29"/>
  <c r="U226" i="29"/>
  <c r="R226" i="29"/>
  <c r="S226" i="29"/>
  <c r="T226" i="29"/>
  <c r="Q226" i="29"/>
  <c r="E226" i="29"/>
  <c r="I225" i="29"/>
  <c r="K225" i="29" s="1"/>
  <c r="J225" i="29"/>
  <c r="Y225" i="29" s="1"/>
  <c r="AZ246" i="4"/>
  <c r="K246" i="4"/>
  <c r="F246" i="4"/>
  <c r="BB246" i="4"/>
  <c r="N246" i="4"/>
  <c r="M246" i="4"/>
  <c r="O246" i="4"/>
  <c r="BA246" i="4"/>
  <c r="BD246" i="4"/>
  <c r="AY246" i="4"/>
  <c r="BC246" i="4"/>
  <c r="AM246" i="4"/>
  <c r="R246" i="4"/>
  <c r="Q246" i="4"/>
  <c r="P246" i="4"/>
  <c r="Z224" i="29"/>
  <c r="P224" i="29" l="1"/>
  <c r="N225" i="29"/>
  <c r="P225" i="29" s="1"/>
  <c r="AV244" i="4"/>
  <c r="AX244" i="4" s="1"/>
  <c r="AW246" i="4"/>
  <c r="AI228" i="29"/>
  <c r="AD229" i="29"/>
  <c r="B228" i="29"/>
  <c r="M247" i="4"/>
  <c r="O247" i="4"/>
  <c r="N247" i="4"/>
  <c r="AZ247" i="4"/>
  <c r="Q247" i="4"/>
  <c r="R247" i="4"/>
  <c r="P247" i="4"/>
  <c r="AM247" i="4"/>
  <c r="F247" i="4"/>
  <c r="K247" i="4"/>
  <c r="BD247" i="4"/>
  <c r="BC247" i="4"/>
  <c r="AY247" i="4"/>
  <c r="BA247" i="4"/>
  <c r="BB247" i="4"/>
  <c r="AO244" i="4"/>
  <c r="AK245" i="4"/>
  <c r="AN245" i="4"/>
  <c r="BE243" i="4"/>
  <c r="BF243" i="4" s="1"/>
  <c r="G227" i="29"/>
  <c r="U227" i="29"/>
  <c r="E227" i="29"/>
  <c r="R227" i="29"/>
  <c r="Q227" i="29"/>
  <c r="S227" i="29"/>
  <c r="T227" i="29"/>
  <c r="BN247" i="4"/>
  <c r="BO247" i="4"/>
  <c r="AF246" i="4"/>
  <c r="AC246" i="4"/>
  <c r="BG246" i="4" s="1"/>
  <c r="AD246" i="4"/>
  <c r="AI246" i="4" s="1"/>
  <c r="AE246" i="4"/>
  <c r="AJ246" i="4" s="1"/>
  <c r="Z246" i="4"/>
  <c r="AH246" i="4" s="1"/>
  <c r="Y246" i="4"/>
  <c r="AG246" i="4" s="1"/>
  <c r="I226" i="29"/>
  <c r="K226" i="29" s="1"/>
  <c r="J226" i="29"/>
  <c r="Y226" i="29" s="1"/>
  <c r="O226" i="29"/>
  <c r="AF227" i="29"/>
  <c r="AE227" i="29"/>
  <c r="Z225" i="29"/>
  <c r="BP248" i="4"/>
  <c r="B248" i="4"/>
  <c r="BM249" i="4"/>
  <c r="BH245" i="4"/>
  <c r="V225" i="29" l="1"/>
  <c r="W225" i="29" s="1"/>
  <c r="N226" i="29"/>
  <c r="P226" i="29" s="1"/>
  <c r="BE244" i="4"/>
  <c r="BF244" i="4" s="1"/>
  <c r="AV245" i="4"/>
  <c r="AX245" i="4" s="1"/>
  <c r="AO245" i="4"/>
  <c r="BH246" i="4"/>
  <c r="BO248" i="4"/>
  <c r="BN248" i="4"/>
  <c r="J227" i="29"/>
  <c r="Y227" i="29" s="1"/>
  <c r="I227" i="29"/>
  <c r="K227" i="29" s="1"/>
  <c r="O248" i="4"/>
  <c r="P248" i="4"/>
  <c r="M248" i="4"/>
  <c r="Q248" i="4"/>
  <c r="K248" i="4"/>
  <c r="F248" i="4"/>
  <c r="AZ248" i="4"/>
  <c r="BA248" i="4"/>
  <c r="AY248" i="4"/>
  <c r="BC248" i="4"/>
  <c r="BD248" i="4"/>
  <c r="BB248" i="4"/>
  <c r="N248" i="4"/>
  <c r="R248" i="4"/>
  <c r="AM248" i="4"/>
  <c r="Z226" i="29"/>
  <c r="AK246" i="4"/>
  <c r="AN246" i="4"/>
  <c r="AF228" i="29"/>
  <c r="AE228" i="29"/>
  <c r="O227" i="29"/>
  <c r="G228" i="29"/>
  <c r="S228" i="29"/>
  <c r="T228" i="29"/>
  <c r="E228" i="29"/>
  <c r="U228" i="29"/>
  <c r="Q228" i="29"/>
  <c r="R228" i="29"/>
  <c r="B249" i="4"/>
  <c r="BP249" i="4"/>
  <c r="BM250" i="4"/>
  <c r="AC247" i="4"/>
  <c r="BG247" i="4" s="1"/>
  <c r="AE247" i="4"/>
  <c r="AJ247" i="4" s="1"/>
  <c r="AF247" i="4"/>
  <c r="Z247" i="4"/>
  <c r="AH247" i="4" s="1"/>
  <c r="Y247" i="4"/>
  <c r="AG247" i="4" s="1"/>
  <c r="AD247" i="4"/>
  <c r="AI247" i="4" s="1"/>
  <c r="AW247" i="4"/>
  <c r="AI229" i="29"/>
  <c r="AD230" i="29"/>
  <c r="B229" i="29"/>
  <c r="V226" i="29" l="1"/>
  <c r="W226" i="29" s="1"/>
  <c r="N227" i="29"/>
  <c r="V227" i="29" s="1"/>
  <c r="W227" i="29" s="1"/>
  <c r="BE245" i="4"/>
  <c r="BF245" i="4" s="1"/>
  <c r="AV246" i="4"/>
  <c r="AO246" i="4"/>
  <c r="AW248" i="4"/>
  <c r="O228" i="29"/>
  <c r="E229" i="29"/>
  <c r="U229" i="29"/>
  <c r="S229" i="29"/>
  <c r="G229" i="29"/>
  <c r="T229" i="29"/>
  <c r="Q229" i="29"/>
  <c r="R229" i="29"/>
  <c r="BH247" i="4"/>
  <c r="M249" i="4"/>
  <c r="AZ249" i="4"/>
  <c r="N249" i="4"/>
  <c r="O249" i="4"/>
  <c r="K249" i="4"/>
  <c r="F249" i="4"/>
  <c r="BD249" i="4"/>
  <c r="AY249" i="4"/>
  <c r="BB249" i="4"/>
  <c r="BC249" i="4"/>
  <c r="BA249" i="4"/>
  <c r="AM249" i="4"/>
  <c r="R249" i="4"/>
  <c r="P249" i="4"/>
  <c r="Q249" i="4"/>
  <c r="AI230" i="29"/>
  <c r="AD231" i="29"/>
  <c r="B230" i="29"/>
  <c r="AK247" i="4"/>
  <c r="AN247" i="4"/>
  <c r="I228" i="29"/>
  <c r="K228" i="29" s="1"/>
  <c r="J228" i="29"/>
  <c r="Y228" i="29" s="1"/>
  <c r="Z227" i="29"/>
  <c r="AF229" i="29"/>
  <c r="AE229" i="29"/>
  <c r="BM251" i="4"/>
  <c r="BP250" i="4"/>
  <c r="B250" i="4"/>
  <c r="BN249" i="4"/>
  <c r="BO249" i="4"/>
  <c r="Z248" i="4"/>
  <c r="AH248" i="4" s="1"/>
  <c r="AD248" i="4"/>
  <c r="AI248" i="4" s="1"/>
  <c r="AE248" i="4"/>
  <c r="AJ248" i="4" s="1"/>
  <c r="Y248" i="4"/>
  <c r="AG248" i="4" s="1"/>
  <c r="AC248" i="4"/>
  <c r="BG248" i="4" s="1"/>
  <c r="AF248" i="4"/>
  <c r="P227" i="29" l="1"/>
  <c r="BE246" i="4"/>
  <c r="BF246" i="4" s="1"/>
  <c r="AX246" i="4"/>
  <c r="N228" i="29"/>
  <c r="P228" i="29" s="1"/>
  <c r="AV247" i="4"/>
  <c r="AX247" i="4" s="1"/>
  <c r="AW249" i="4"/>
  <c r="O229" i="29"/>
  <c r="BO250" i="4"/>
  <c r="BN250" i="4"/>
  <c r="AI231" i="29"/>
  <c r="B231" i="29"/>
  <c r="AD232" i="29"/>
  <c r="Z228" i="29"/>
  <c r="BH248" i="4"/>
  <c r="AD249" i="4"/>
  <c r="AI249" i="4" s="1"/>
  <c r="AF249" i="4"/>
  <c r="Z249" i="4"/>
  <c r="AH249" i="4" s="1"/>
  <c r="AE249" i="4"/>
  <c r="AJ249" i="4" s="1"/>
  <c r="AC249" i="4"/>
  <c r="BG249" i="4" s="1"/>
  <c r="Y249" i="4"/>
  <c r="AG249" i="4" s="1"/>
  <c r="M250" i="4"/>
  <c r="O250" i="4"/>
  <c r="N250" i="4"/>
  <c r="BD250" i="4"/>
  <c r="AY250" i="4"/>
  <c r="BC250" i="4"/>
  <c r="BB250" i="4"/>
  <c r="BA250" i="4"/>
  <c r="Q250" i="4"/>
  <c r="P250" i="4"/>
  <c r="R250" i="4"/>
  <c r="AM250" i="4"/>
  <c r="K250" i="4"/>
  <c r="F250" i="4"/>
  <c r="AZ250" i="4"/>
  <c r="G230" i="29"/>
  <c r="E230" i="29"/>
  <c r="T230" i="29"/>
  <c r="Q230" i="29"/>
  <c r="R230" i="29"/>
  <c r="S230" i="29"/>
  <c r="U230" i="29"/>
  <c r="BP251" i="4"/>
  <c r="BM252" i="4"/>
  <c r="B251" i="4"/>
  <c r="I229" i="29"/>
  <c r="K229" i="29" s="1"/>
  <c r="J229" i="29"/>
  <c r="Y229" i="29" s="1"/>
  <c r="AE230" i="29"/>
  <c r="AF230" i="29"/>
  <c r="AK248" i="4"/>
  <c r="AN248" i="4"/>
  <c r="AO247" i="4"/>
  <c r="V228" i="29" l="1"/>
  <c r="W228" i="29" s="1"/>
  <c r="N229" i="29"/>
  <c r="V229" i="29" s="1"/>
  <c r="W229" i="29" s="1"/>
  <c r="BE247" i="4"/>
  <c r="BF247" i="4" s="1"/>
  <c r="AV248" i="4"/>
  <c r="AX248" i="4" s="1"/>
  <c r="BH249" i="4"/>
  <c r="AI232" i="29"/>
  <c r="AD233" i="29"/>
  <c r="B232" i="29"/>
  <c r="AK249" i="4"/>
  <c r="AN249" i="4"/>
  <c r="R231" i="29"/>
  <c r="S231" i="29"/>
  <c r="G231" i="29"/>
  <c r="T231" i="29"/>
  <c r="E231" i="29"/>
  <c r="U231" i="29"/>
  <c r="Q231" i="29"/>
  <c r="BM253" i="4"/>
  <c r="B252" i="4"/>
  <c r="BP252" i="4"/>
  <c r="BN251" i="4"/>
  <c r="BO251" i="4"/>
  <c r="AO248" i="4"/>
  <c r="J230" i="29"/>
  <c r="Y230" i="29" s="1"/>
  <c r="I230" i="29"/>
  <c r="K230" i="29" s="1"/>
  <c r="Q251" i="4"/>
  <c r="R251" i="4"/>
  <c r="P251" i="4"/>
  <c r="AM251" i="4"/>
  <c r="K251" i="4"/>
  <c r="BD251" i="4"/>
  <c r="F251" i="4"/>
  <c r="AY251" i="4"/>
  <c r="BA251" i="4"/>
  <c r="BC251" i="4"/>
  <c r="BB251" i="4"/>
  <c r="O251" i="4"/>
  <c r="N251" i="4"/>
  <c r="M251" i="4"/>
  <c r="AZ251" i="4"/>
  <c r="AF231" i="29"/>
  <c r="AE231" i="29"/>
  <c r="AD250" i="4"/>
  <c r="AI250" i="4" s="1"/>
  <c r="AC250" i="4"/>
  <c r="BG250" i="4" s="1"/>
  <c r="AE250" i="4"/>
  <c r="AJ250" i="4" s="1"/>
  <c r="Z250" i="4"/>
  <c r="AH250" i="4" s="1"/>
  <c r="AF250" i="4"/>
  <c r="Y250" i="4"/>
  <c r="AG250" i="4" s="1"/>
  <c r="O230" i="29"/>
  <c r="AW250" i="4"/>
  <c r="Z229" i="29"/>
  <c r="P229" i="29" l="1"/>
  <c r="N230" i="29"/>
  <c r="P230" i="29" s="1"/>
  <c r="AO249" i="4"/>
  <c r="AV249" i="4"/>
  <c r="AX249" i="4" s="1"/>
  <c r="BH250" i="4"/>
  <c r="Z230" i="29"/>
  <c r="BE248" i="4"/>
  <c r="BF248" i="4" s="1"/>
  <c r="BB252" i="4"/>
  <c r="N252" i="4"/>
  <c r="M252" i="4"/>
  <c r="O252" i="4"/>
  <c r="AM252" i="4"/>
  <c r="P252" i="4"/>
  <c r="R252" i="4"/>
  <c r="Q252" i="4"/>
  <c r="BA252" i="4"/>
  <c r="AY252" i="4"/>
  <c r="BC252" i="4"/>
  <c r="BD252" i="4"/>
  <c r="K252" i="4"/>
  <c r="F252" i="4"/>
  <c r="AZ252" i="4"/>
  <c r="BP253" i="4"/>
  <c r="B253" i="4"/>
  <c r="BM254" i="4"/>
  <c r="O231" i="29"/>
  <c r="S232" i="29"/>
  <c r="G232" i="29"/>
  <c r="E232" i="29"/>
  <c r="U232" i="29"/>
  <c r="R232" i="29"/>
  <c r="T232" i="29"/>
  <c r="Q232" i="29"/>
  <c r="I231" i="29"/>
  <c r="K231" i="29" s="1"/>
  <c r="J231" i="29"/>
  <c r="Y231" i="29" s="1"/>
  <c r="Z251" i="4"/>
  <c r="AH251" i="4" s="1"/>
  <c r="AC251" i="4"/>
  <c r="BG251" i="4" s="1"/>
  <c r="AD251" i="4"/>
  <c r="AI251" i="4" s="1"/>
  <c r="Y251" i="4"/>
  <c r="AG251" i="4" s="1"/>
  <c r="AF251" i="4"/>
  <c r="AE251" i="4"/>
  <c r="AJ251" i="4" s="1"/>
  <c r="AI233" i="29"/>
  <c r="AD234" i="29"/>
  <c r="B233" i="29"/>
  <c r="AK250" i="4"/>
  <c r="AN250" i="4"/>
  <c r="AW251" i="4"/>
  <c r="BN252" i="4"/>
  <c r="BO252" i="4"/>
  <c r="AF232" i="29"/>
  <c r="AE232" i="29"/>
  <c r="V230" i="29" l="1"/>
  <c r="W230" i="29" s="1"/>
  <c r="N231" i="29"/>
  <c r="V231" i="29" s="1"/>
  <c r="W231" i="29" s="1"/>
  <c r="BE249" i="4"/>
  <c r="BF249" i="4" s="1"/>
  <c r="AO250" i="4"/>
  <c r="BH251" i="4"/>
  <c r="P231" i="29"/>
  <c r="B254" i="4"/>
  <c r="BM255" i="4"/>
  <c r="BP254" i="4"/>
  <c r="AK251" i="4"/>
  <c r="AN251" i="4"/>
  <c r="J232" i="29"/>
  <c r="I232" i="29"/>
  <c r="K232" i="29" s="1"/>
  <c r="R233" i="29"/>
  <c r="G233" i="29"/>
  <c r="U233" i="29"/>
  <c r="E233" i="29"/>
  <c r="S233" i="29"/>
  <c r="Q233" i="29"/>
  <c r="T233" i="29"/>
  <c r="K253" i="4"/>
  <c r="F253" i="4"/>
  <c r="BD253" i="4"/>
  <c r="BB253" i="4"/>
  <c r="AY253" i="4"/>
  <c r="BC253" i="4"/>
  <c r="BA253" i="4"/>
  <c r="AZ253" i="4"/>
  <c r="M253" i="4"/>
  <c r="N253" i="4"/>
  <c r="O253" i="4"/>
  <c r="AM253" i="4"/>
  <c r="R253" i="4"/>
  <c r="P253" i="4"/>
  <c r="Q253" i="4"/>
  <c r="AW252" i="4"/>
  <c r="AI234" i="29"/>
  <c r="B234" i="29"/>
  <c r="AD235" i="29"/>
  <c r="O232" i="29"/>
  <c r="BO253" i="4"/>
  <c r="BN253" i="4"/>
  <c r="AD252" i="4"/>
  <c r="AI252" i="4" s="1"/>
  <c r="Z252" i="4"/>
  <c r="AH252" i="4" s="1"/>
  <c r="AC252" i="4"/>
  <c r="BG252" i="4" s="1"/>
  <c r="AE252" i="4"/>
  <c r="AJ252" i="4" s="1"/>
  <c r="AF252" i="4"/>
  <c r="Y252" i="4"/>
  <c r="AG252" i="4" s="1"/>
  <c r="AV250" i="4"/>
  <c r="AX250" i="4" s="1"/>
  <c r="AF233" i="29"/>
  <c r="AE233" i="29"/>
  <c r="Y232" i="29"/>
  <c r="Z231" i="29"/>
  <c r="N232" i="29" l="1"/>
  <c r="V232" i="29" s="1"/>
  <c r="W232" i="29" s="1"/>
  <c r="AO251" i="4"/>
  <c r="BH252" i="4"/>
  <c r="AV251" i="4"/>
  <c r="O233" i="29"/>
  <c r="BE250" i="4"/>
  <c r="BF250" i="4" s="1"/>
  <c r="AK252" i="4"/>
  <c r="AN252" i="4"/>
  <c r="AD253" i="4"/>
  <c r="AI253" i="4" s="1"/>
  <c r="Z253" i="4"/>
  <c r="AH253" i="4" s="1"/>
  <c r="AE253" i="4"/>
  <c r="AJ253" i="4" s="1"/>
  <c r="Y253" i="4"/>
  <c r="AG253" i="4" s="1"/>
  <c r="AF253" i="4"/>
  <c r="AC253" i="4"/>
  <c r="BG253" i="4" s="1"/>
  <c r="AI235" i="29"/>
  <c r="AD236" i="29"/>
  <c r="B235" i="29"/>
  <c r="BN254" i="4"/>
  <c r="BO254" i="4"/>
  <c r="AW253" i="4"/>
  <c r="BP255" i="4"/>
  <c r="BM256" i="4"/>
  <c r="B255" i="4"/>
  <c r="E234" i="29"/>
  <c r="T234" i="29"/>
  <c r="Q234" i="29"/>
  <c r="U234" i="29"/>
  <c r="R234" i="29"/>
  <c r="G234" i="29"/>
  <c r="S234" i="29"/>
  <c r="I233" i="29"/>
  <c r="K233" i="29" s="1"/>
  <c r="J233" i="29"/>
  <c r="Y233" i="29" s="1"/>
  <c r="Z232" i="29"/>
  <c r="AF234" i="29"/>
  <c r="AE234" i="29"/>
  <c r="AM254" i="4"/>
  <c r="P254" i="4"/>
  <c r="R254" i="4"/>
  <c r="Q254" i="4"/>
  <c r="K254" i="4"/>
  <c r="AZ254" i="4"/>
  <c r="F254" i="4"/>
  <c r="BA254" i="4"/>
  <c r="AY254" i="4"/>
  <c r="BD254" i="4"/>
  <c r="BC254" i="4"/>
  <c r="BB254" i="4"/>
  <c r="M254" i="4"/>
  <c r="N254" i="4"/>
  <c r="O254" i="4"/>
  <c r="Z233" i="29" l="1"/>
  <c r="P232" i="29"/>
  <c r="BE251" i="4"/>
  <c r="BF251" i="4" s="1"/>
  <c r="AX251" i="4"/>
  <c r="N233" i="29"/>
  <c r="P233" i="29" s="1"/>
  <c r="AO252" i="4"/>
  <c r="AV252" i="4"/>
  <c r="V233" i="29"/>
  <c r="W233" i="29" s="1"/>
  <c r="AW254" i="4"/>
  <c r="O234" i="29"/>
  <c r="BN255" i="4"/>
  <c r="BO255" i="4"/>
  <c r="BH253" i="4"/>
  <c r="AF254" i="4"/>
  <c r="Y254" i="4"/>
  <c r="AG254" i="4" s="1"/>
  <c r="AC254" i="4"/>
  <c r="BG254" i="4" s="1"/>
  <c r="Z254" i="4"/>
  <c r="AH254" i="4" s="1"/>
  <c r="AE254" i="4"/>
  <c r="AJ254" i="4" s="1"/>
  <c r="AD254" i="4"/>
  <c r="AI254" i="4" s="1"/>
  <c r="T235" i="29"/>
  <c r="U235" i="29"/>
  <c r="G235" i="29"/>
  <c r="Q235" i="29"/>
  <c r="E235" i="29"/>
  <c r="S235" i="29"/>
  <c r="R235" i="29"/>
  <c r="AK253" i="4"/>
  <c r="AN253" i="4"/>
  <c r="I234" i="29"/>
  <c r="K234" i="29" s="1"/>
  <c r="J234" i="29"/>
  <c r="Y234" i="29" s="1"/>
  <c r="K255" i="4"/>
  <c r="F255" i="4"/>
  <c r="BD255" i="4"/>
  <c r="P255" i="4"/>
  <c r="Q255" i="4"/>
  <c r="R255" i="4"/>
  <c r="AM255" i="4"/>
  <c r="AY255" i="4"/>
  <c r="BC255" i="4"/>
  <c r="BA255" i="4"/>
  <c r="BB255" i="4"/>
  <c r="O255" i="4"/>
  <c r="M255" i="4"/>
  <c r="N255" i="4"/>
  <c r="AZ255" i="4"/>
  <c r="AI236" i="29"/>
  <c r="B236" i="29"/>
  <c r="AD237" i="29"/>
  <c r="BP256" i="4"/>
  <c r="BM257" i="4"/>
  <c r="B256" i="4"/>
  <c r="AE235" i="29"/>
  <c r="AF235" i="29"/>
  <c r="BE252" i="4" l="1"/>
  <c r="BF252" i="4" s="1"/>
  <c r="AX252" i="4"/>
  <c r="N234" i="29"/>
  <c r="V234" i="29" s="1"/>
  <c r="W234" i="29" s="1"/>
  <c r="AV253" i="4"/>
  <c r="AO253" i="4"/>
  <c r="BO256" i="4"/>
  <c r="BN256" i="4"/>
  <c r="Z234" i="29"/>
  <c r="AI237" i="29"/>
  <c r="AD238" i="29"/>
  <c r="B237" i="29"/>
  <c r="AK254" i="4"/>
  <c r="AN254" i="4"/>
  <c r="O235" i="29"/>
  <c r="BH254" i="4"/>
  <c r="J235" i="29"/>
  <c r="Y235" i="29" s="1"/>
  <c r="I235" i="29"/>
  <c r="K235" i="29" s="1"/>
  <c r="AZ256" i="4"/>
  <c r="F256" i="4"/>
  <c r="K256" i="4"/>
  <c r="BD256" i="4"/>
  <c r="BC256" i="4"/>
  <c r="BA256" i="4"/>
  <c r="AY256" i="4"/>
  <c r="AM256" i="4"/>
  <c r="M256" i="4"/>
  <c r="BB256" i="4"/>
  <c r="N256" i="4"/>
  <c r="R256" i="4"/>
  <c r="Q256" i="4"/>
  <c r="O256" i="4"/>
  <c r="P256" i="4"/>
  <c r="S236" i="29"/>
  <c r="E236" i="29"/>
  <c r="G236" i="29"/>
  <c r="Q236" i="29"/>
  <c r="U236" i="29"/>
  <c r="T236" i="29"/>
  <c r="R236" i="29"/>
  <c r="BP257" i="4"/>
  <c r="BM258" i="4"/>
  <c r="B257" i="4"/>
  <c r="AF236" i="29"/>
  <c r="AE236" i="29"/>
  <c r="AW255" i="4"/>
  <c r="AD255" i="4"/>
  <c r="AI255" i="4" s="1"/>
  <c r="AF255" i="4"/>
  <c r="AC255" i="4"/>
  <c r="BG255" i="4" s="1"/>
  <c r="Y255" i="4"/>
  <c r="AG255" i="4" s="1"/>
  <c r="Z255" i="4"/>
  <c r="AH255" i="4" s="1"/>
  <c r="AE255" i="4"/>
  <c r="AJ255" i="4" s="1"/>
  <c r="P234" i="29" l="1"/>
  <c r="BE253" i="4"/>
  <c r="BF253" i="4" s="1"/>
  <c r="AX253" i="4"/>
  <c r="N235" i="29"/>
  <c r="V235" i="29" s="1"/>
  <c r="W235" i="29" s="1"/>
  <c r="BH255" i="4"/>
  <c r="AV254" i="4"/>
  <c r="AX254" i="4" s="1"/>
  <c r="AW256" i="4"/>
  <c r="O236" i="29"/>
  <c r="J236" i="29"/>
  <c r="Y236" i="29" s="1"/>
  <c r="I236" i="29"/>
  <c r="K236" i="29" s="1"/>
  <c r="BO257" i="4"/>
  <c r="BN257" i="4"/>
  <c r="AI238" i="29"/>
  <c r="B238" i="29"/>
  <c r="AD239" i="29"/>
  <c r="AO254" i="4"/>
  <c r="AF256" i="4"/>
  <c r="AE256" i="4"/>
  <c r="AJ256" i="4" s="1"/>
  <c r="Z256" i="4"/>
  <c r="AH256" i="4" s="1"/>
  <c r="AC256" i="4"/>
  <c r="BG256" i="4" s="1"/>
  <c r="AD256" i="4"/>
  <c r="AI256" i="4" s="1"/>
  <c r="Y256" i="4"/>
  <c r="AG256" i="4" s="1"/>
  <c r="Z235" i="29"/>
  <c r="AE237" i="29"/>
  <c r="AF237" i="29"/>
  <c r="BP258" i="4"/>
  <c r="B258" i="4"/>
  <c r="BM259" i="4"/>
  <c r="AN255" i="4"/>
  <c r="BD257" i="4"/>
  <c r="AM257" i="4"/>
  <c r="F257" i="4"/>
  <c r="BA257" i="4"/>
  <c r="M257" i="4"/>
  <c r="K257" i="4"/>
  <c r="BC257" i="4"/>
  <c r="O257" i="4"/>
  <c r="BB257" i="4"/>
  <c r="AY257" i="4"/>
  <c r="N257" i="4"/>
  <c r="Q257" i="4"/>
  <c r="AZ257" i="4"/>
  <c r="R257" i="4"/>
  <c r="P257" i="4"/>
  <c r="AK255" i="4"/>
  <c r="E237" i="29"/>
  <c r="G237" i="29"/>
  <c r="Q237" i="29"/>
  <c r="U237" i="29"/>
  <c r="S237" i="29"/>
  <c r="R237" i="29"/>
  <c r="T237" i="29"/>
  <c r="P235" i="29" l="1"/>
  <c r="N236" i="29"/>
  <c r="P236" i="29" s="1"/>
  <c r="AV255" i="4"/>
  <c r="AX255" i="4" s="1"/>
  <c r="BE254" i="4"/>
  <c r="BF254" i="4" s="1"/>
  <c r="AW257" i="4"/>
  <c r="BM260" i="4"/>
  <c r="BP259" i="4"/>
  <c r="B259" i="4"/>
  <c r="AK256" i="4"/>
  <c r="AN256" i="4"/>
  <c r="G238" i="29"/>
  <c r="R238" i="29"/>
  <c r="E238" i="29"/>
  <c r="S238" i="29"/>
  <c r="Q238" i="29"/>
  <c r="T238" i="29"/>
  <c r="U238" i="29"/>
  <c r="Z236" i="29"/>
  <c r="O237" i="29"/>
  <c r="AO255" i="4"/>
  <c r="M258" i="4"/>
  <c r="AM258" i="4"/>
  <c r="BD258" i="4"/>
  <c r="O258" i="4"/>
  <c r="R258" i="4"/>
  <c r="P258" i="4"/>
  <c r="N258" i="4"/>
  <c r="Q258" i="4"/>
  <c r="K258" i="4"/>
  <c r="AZ258" i="4"/>
  <c r="F258" i="4"/>
  <c r="AY258" i="4"/>
  <c r="BB258" i="4"/>
  <c r="BA258" i="4"/>
  <c r="BC258" i="4"/>
  <c r="J237" i="29"/>
  <c r="Y237" i="29" s="1"/>
  <c r="I237" i="29"/>
  <c r="K237" i="29" s="1"/>
  <c r="AE238" i="29"/>
  <c r="AF238" i="29"/>
  <c r="BN258" i="4"/>
  <c r="BO258" i="4"/>
  <c r="BH256" i="4"/>
  <c r="Z257" i="4"/>
  <c r="AH257" i="4" s="1"/>
  <c r="AC257" i="4"/>
  <c r="BG257" i="4" s="1"/>
  <c r="AF257" i="4"/>
  <c r="AD257" i="4"/>
  <c r="AI257" i="4" s="1"/>
  <c r="Y257" i="4"/>
  <c r="AG257" i="4" s="1"/>
  <c r="AE257" i="4"/>
  <c r="AJ257" i="4" s="1"/>
  <c r="V236" i="29"/>
  <c r="W236" i="29" s="1"/>
  <c r="AI239" i="29"/>
  <c r="AD240" i="29"/>
  <c r="B239" i="29"/>
  <c r="N237" i="29" l="1"/>
  <c r="V237" i="29" s="1"/>
  <c r="W237" i="29" s="1"/>
  <c r="BE255" i="4"/>
  <c r="BF255" i="4" s="1"/>
  <c r="AO256" i="4"/>
  <c r="AE239" i="29"/>
  <c r="AF239" i="29"/>
  <c r="BH257" i="4"/>
  <c r="AE258" i="4"/>
  <c r="AJ258" i="4" s="1"/>
  <c r="AF258" i="4"/>
  <c r="AC258" i="4"/>
  <c r="BG258" i="4" s="1"/>
  <c r="AD258" i="4"/>
  <c r="AI258" i="4" s="1"/>
  <c r="Z258" i="4"/>
  <c r="AH258" i="4" s="1"/>
  <c r="Y258" i="4"/>
  <c r="AG258" i="4" s="1"/>
  <c r="I238" i="29"/>
  <c r="K238" i="29" s="1"/>
  <c r="J238" i="29"/>
  <c r="Y238" i="29" s="1"/>
  <c r="BN259" i="4"/>
  <c r="BO259" i="4"/>
  <c r="T239" i="29"/>
  <c r="R239" i="29"/>
  <c r="G239" i="29"/>
  <c r="S239" i="29"/>
  <c r="E239" i="29"/>
  <c r="U239" i="29"/>
  <c r="Q239" i="29"/>
  <c r="AV256" i="4"/>
  <c r="AX256" i="4" s="1"/>
  <c r="B260" i="4"/>
  <c r="BM261" i="4"/>
  <c r="BP260" i="4"/>
  <c r="AI240" i="29"/>
  <c r="B240" i="29"/>
  <c r="AD241" i="29"/>
  <c r="AK257" i="4"/>
  <c r="AN257" i="4"/>
  <c r="Z237" i="29"/>
  <c r="O238" i="29"/>
  <c r="AW258" i="4"/>
  <c r="BA259" i="4"/>
  <c r="BB259" i="4"/>
  <c r="AY259" i="4"/>
  <c r="BC259" i="4"/>
  <c r="N259" i="4"/>
  <c r="AZ259" i="4"/>
  <c r="O259" i="4"/>
  <c r="M259" i="4"/>
  <c r="BD259" i="4"/>
  <c r="K259" i="4"/>
  <c r="F259" i="4"/>
  <c r="Q259" i="4"/>
  <c r="AM259" i="4"/>
  <c r="P259" i="4"/>
  <c r="R259" i="4"/>
  <c r="P237" i="29" l="1"/>
  <c r="N238" i="29"/>
  <c r="P238" i="29" s="1"/>
  <c r="O239" i="29"/>
  <c r="BH258" i="4"/>
  <c r="AW259" i="4"/>
  <c r="AV257" i="4"/>
  <c r="AX257" i="4" s="1"/>
  <c r="BN260" i="4"/>
  <c r="BO260" i="4"/>
  <c r="AO257" i="4"/>
  <c r="Z238" i="29"/>
  <c r="AI241" i="29"/>
  <c r="AD242" i="29"/>
  <c r="B241" i="29"/>
  <c r="BM262" i="4"/>
  <c r="BM266" i="4" s="1"/>
  <c r="BP261" i="4"/>
  <c r="B261" i="4"/>
  <c r="G240" i="29"/>
  <c r="R240" i="29"/>
  <c r="E240" i="29"/>
  <c r="S240" i="29"/>
  <c r="Q240" i="29"/>
  <c r="T240" i="29"/>
  <c r="U240" i="29"/>
  <c r="AY260" i="4"/>
  <c r="BA260" i="4"/>
  <c r="BC260" i="4"/>
  <c r="BD260" i="4"/>
  <c r="N260" i="4"/>
  <c r="BB260" i="4"/>
  <c r="M260" i="4"/>
  <c r="AM260" i="4"/>
  <c r="P260" i="4"/>
  <c r="O260" i="4"/>
  <c r="R260" i="4"/>
  <c r="Q260" i="4"/>
  <c r="K260" i="4"/>
  <c r="F260" i="4"/>
  <c r="AZ260" i="4"/>
  <c r="BE256" i="4"/>
  <c r="BF256" i="4" s="1"/>
  <c r="AE259" i="4"/>
  <c r="AJ259" i="4" s="1"/>
  <c r="Z259" i="4"/>
  <c r="AH259" i="4" s="1"/>
  <c r="AC259" i="4"/>
  <c r="BG259" i="4" s="1"/>
  <c r="Y259" i="4"/>
  <c r="AG259" i="4" s="1"/>
  <c r="AD259" i="4"/>
  <c r="AI259" i="4" s="1"/>
  <c r="AF259" i="4"/>
  <c r="AK258" i="4"/>
  <c r="AN258" i="4"/>
  <c r="J239" i="29"/>
  <c r="Y239" i="29" s="1"/>
  <c r="I239" i="29"/>
  <c r="K239" i="29" s="1"/>
  <c r="AF240" i="29"/>
  <c r="AE240" i="29"/>
  <c r="Z239" i="29" l="1"/>
  <c r="V238" i="29"/>
  <c r="W238" i="29" s="1"/>
  <c r="N239" i="29"/>
  <c r="V239" i="29" s="1"/>
  <c r="W239" i="29" s="1"/>
  <c r="B266" i="4"/>
  <c r="BP266" i="4"/>
  <c r="O240" i="29"/>
  <c r="AN259" i="4"/>
  <c r="BE257" i="4"/>
  <c r="BF257" i="4" s="1"/>
  <c r="AO258" i="4"/>
  <c r="BH259" i="4"/>
  <c r="E241" i="29"/>
  <c r="T241" i="29"/>
  <c r="Q241" i="29"/>
  <c r="U241" i="29"/>
  <c r="R241" i="29"/>
  <c r="G241" i="29"/>
  <c r="S241" i="29"/>
  <c r="AK259" i="4"/>
  <c r="J240" i="29"/>
  <c r="Y240" i="29" s="1"/>
  <c r="I240" i="29"/>
  <c r="K240" i="29" s="1"/>
  <c r="AV258" i="4"/>
  <c r="AX258" i="4" s="1"/>
  <c r="AY261" i="4"/>
  <c r="BC261" i="4"/>
  <c r="BA261" i="4"/>
  <c r="BB261" i="4"/>
  <c r="M261" i="4"/>
  <c r="N261" i="4"/>
  <c r="O261" i="4"/>
  <c r="AZ261" i="4"/>
  <c r="R261" i="4"/>
  <c r="P261" i="4"/>
  <c r="Q261" i="4"/>
  <c r="AM261" i="4"/>
  <c r="K261" i="4"/>
  <c r="F261" i="4"/>
  <c r="BD261" i="4"/>
  <c r="AI242" i="29"/>
  <c r="B242" i="29"/>
  <c r="AD243" i="29"/>
  <c r="AC260" i="4"/>
  <c r="BG260" i="4" s="1"/>
  <c r="AD260" i="4"/>
  <c r="AI260" i="4" s="1"/>
  <c r="Y260" i="4"/>
  <c r="AG260" i="4" s="1"/>
  <c r="AF260" i="4"/>
  <c r="AE260" i="4"/>
  <c r="AJ260" i="4" s="1"/>
  <c r="Z260" i="4"/>
  <c r="AH260" i="4" s="1"/>
  <c r="AW260" i="4"/>
  <c r="BO261" i="4"/>
  <c r="BN261" i="4"/>
  <c r="AF241" i="29"/>
  <c r="AE241" i="29"/>
  <c r="BP262" i="4"/>
  <c r="B262" i="4"/>
  <c r="BM263" i="4"/>
  <c r="BM267" i="4" s="1"/>
  <c r="P239" i="29" l="1"/>
  <c r="N240" i="29"/>
  <c r="P240" i="29" s="1"/>
  <c r="Z240" i="29"/>
  <c r="BO266" i="4"/>
  <c r="BN266" i="4"/>
  <c r="BC266" i="4"/>
  <c r="AY266" i="4"/>
  <c r="P266" i="4"/>
  <c r="K266" i="4"/>
  <c r="AZ266" i="4"/>
  <c r="BB266" i="4"/>
  <c r="O266" i="4"/>
  <c r="F266" i="4"/>
  <c r="BA266" i="4"/>
  <c r="AM266" i="4"/>
  <c r="R266" i="4"/>
  <c r="N266" i="4"/>
  <c r="BD266" i="4"/>
  <c r="Q266" i="4"/>
  <c r="M266" i="4"/>
  <c r="B267" i="4"/>
  <c r="BP267" i="4"/>
  <c r="AO259" i="4"/>
  <c r="BH260" i="4"/>
  <c r="AW261" i="4"/>
  <c r="AV259" i="4"/>
  <c r="G242" i="29"/>
  <c r="S242" i="29"/>
  <c r="Q242" i="29"/>
  <c r="R242" i="29"/>
  <c r="E242" i="29"/>
  <c r="U242" i="29"/>
  <c r="T242" i="29"/>
  <c r="BM264" i="4"/>
  <c r="BM268" i="4" s="1"/>
  <c r="BP263" i="4"/>
  <c r="B263" i="4"/>
  <c r="AC261" i="4"/>
  <c r="BG261" i="4" s="1"/>
  <c r="AD261" i="4"/>
  <c r="AI261" i="4" s="1"/>
  <c r="AF261" i="4"/>
  <c r="Z261" i="4"/>
  <c r="AH261" i="4" s="1"/>
  <c r="AE261" i="4"/>
  <c r="AJ261" i="4" s="1"/>
  <c r="Y261" i="4"/>
  <c r="AG261" i="4" s="1"/>
  <c r="AK260" i="4"/>
  <c r="AN260" i="4"/>
  <c r="AF242" i="29"/>
  <c r="AE242" i="29"/>
  <c r="P262" i="4"/>
  <c r="R262" i="4"/>
  <c r="Q262" i="4"/>
  <c r="AM262" i="4"/>
  <c r="F262" i="4"/>
  <c r="AZ262" i="4"/>
  <c r="K262" i="4"/>
  <c r="BC262" i="4"/>
  <c r="BD262" i="4"/>
  <c r="AY262" i="4"/>
  <c r="BA262" i="4"/>
  <c r="O262" i="4"/>
  <c r="N262" i="4"/>
  <c r="M262" i="4"/>
  <c r="BB262" i="4"/>
  <c r="BE258" i="4"/>
  <c r="BF258" i="4" s="1"/>
  <c r="O241" i="29"/>
  <c r="BN262" i="4"/>
  <c r="BO262" i="4"/>
  <c r="I241" i="29"/>
  <c r="K241" i="29" s="1"/>
  <c r="J241" i="29"/>
  <c r="Y241" i="29" s="1"/>
  <c r="AI243" i="29"/>
  <c r="AD244" i="29"/>
  <c r="B243" i="29"/>
  <c r="V240" i="29" l="1"/>
  <c r="W240" i="29" s="1"/>
  <c r="AX259" i="4"/>
  <c r="N241" i="29"/>
  <c r="P241" i="29" s="1"/>
  <c r="AW266" i="4"/>
  <c r="AF266" i="4"/>
  <c r="AK266" i="4" s="1"/>
  <c r="Z266" i="4"/>
  <c r="AH266" i="4" s="1"/>
  <c r="AE266" i="4"/>
  <c r="AJ266" i="4" s="1"/>
  <c r="Y266" i="4"/>
  <c r="AG266" i="4" s="1"/>
  <c r="AD266" i="4"/>
  <c r="AI266" i="4" s="1"/>
  <c r="AC266" i="4"/>
  <c r="BG266" i="4" s="1"/>
  <c r="BO267" i="4"/>
  <c r="BN267" i="4"/>
  <c r="BC267" i="4"/>
  <c r="AY267" i="4"/>
  <c r="P267" i="4"/>
  <c r="K267" i="4"/>
  <c r="BB267" i="4"/>
  <c r="O267" i="4"/>
  <c r="F267" i="4"/>
  <c r="BD267" i="4"/>
  <c r="BA267" i="4"/>
  <c r="AM267" i="4"/>
  <c r="R267" i="4"/>
  <c r="N267" i="4"/>
  <c r="AZ267" i="4"/>
  <c r="Q267" i="4"/>
  <c r="M267" i="4"/>
  <c r="B268" i="4"/>
  <c r="BP268" i="4"/>
  <c r="AV260" i="4"/>
  <c r="AX260" i="4" s="1"/>
  <c r="AK261" i="4"/>
  <c r="AN261" i="4"/>
  <c r="I242" i="29"/>
  <c r="K242" i="29" s="1"/>
  <c r="J242" i="29"/>
  <c r="Y242" i="29" s="1"/>
  <c r="AZ263" i="4"/>
  <c r="M263" i="4"/>
  <c r="N263" i="4"/>
  <c r="O263" i="4"/>
  <c r="AM263" i="4"/>
  <c r="Q263" i="4"/>
  <c r="P263" i="4"/>
  <c r="R263" i="4"/>
  <c r="F263" i="4"/>
  <c r="BD263" i="4"/>
  <c r="K263" i="4"/>
  <c r="BB263" i="4"/>
  <c r="BC263" i="4"/>
  <c r="BA263" i="4"/>
  <c r="AY263" i="4"/>
  <c r="O242" i="29"/>
  <c r="Q243" i="29"/>
  <c r="S243" i="29"/>
  <c r="T243" i="29"/>
  <c r="G243" i="29"/>
  <c r="U243" i="29"/>
  <c r="E243" i="29"/>
  <c r="R243" i="29"/>
  <c r="AE262" i="4"/>
  <c r="AJ262" i="4" s="1"/>
  <c r="Z262" i="4"/>
  <c r="AH262" i="4" s="1"/>
  <c r="AF262" i="4"/>
  <c r="AD262" i="4"/>
  <c r="AI262" i="4" s="1"/>
  <c r="AC262" i="4"/>
  <c r="BG262" i="4" s="1"/>
  <c r="Y262" i="4"/>
  <c r="AG262" i="4" s="1"/>
  <c r="Z241" i="29"/>
  <c r="AI244" i="29"/>
  <c r="AD245" i="29"/>
  <c r="B244" i="29"/>
  <c r="AF243" i="29"/>
  <c r="AE243" i="29"/>
  <c r="BO263" i="4"/>
  <c r="BN263" i="4"/>
  <c r="BE259" i="4"/>
  <c r="BF259" i="4" s="1"/>
  <c r="AW262" i="4"/>
  <c r="AO260" i="4"/>
  <c r="BH261" i="4"/>
  <c r="BP264" i="4"/>
  <c r="BM265" i="4"/>
  <c r="B264" i="4"/>
  <c r="V241" i="29" l="1"/>
  <c r="W241" i="29" s="1"/>
  <c r="N242" i="29"/>
  <c r="V242" i="29" s="1"/>
  <c r="W242" i="29" s="1"/>
  <c r="BH266" i="4"/>
  <c r="AN266" i="4"/>
  <c r="AO266" i="4" s="1"/>
  <c r="AW267" i="4"/>
  <c r="AF267" i="4"/>
  <c r="AK267" i="4" s="1"/>
  <c r="Z267" i="4"/>
  <c r="AH267" i="4" s="1"/>
  <c r="AE267" i="4"/>
  <c r="AJ267" i="4" s="1"/>
  <c r="Y267" i="4"/>
  <c r="AG267" i="4" s="1"/>
  <c r="AD267" i="4"/>
  <c r="AI267" i="4" s="1"/>
  <c r="AC267" i="4"/>
  <c r="BG267" i="4" s="1"/>
  <c r="BO268" i="4"/>
  <c r="BN268" i="4"/>
  <c r="BC268" i="4"/>
  <c r="AY268" i="4"/>
  <c r="P268" i="4"/>
  <c r="K268" i="4"/>
  <c r="BD268" i="4"/>
  <c r="BB268" i="4"/>
  <c r="O268" i="4"/>
  <c r="F268" i="4"/>
  <c r="BA268" i="4"/>
  <c r="AM268" i="4"/>
  <c r="R268" i="4"/>
  <c r="N268" i="4"/>
  <c r="AZ268" i="4"/>
  <c r="Q268" i="4"/>
  <c r="M268" i="4"/>
  <c r="BE260" i="4"/>
  <c r="BF260" i="4" s="1"/>
  <c r="BH262" i="4"/>
  <c r="AO261" i="4"/>
  <c r="AV261" i="4"/>
  <c r="O243" i="29"/>
  <c r="Z242" i="29"/>
  <c r="BO264" i="4"/>
  <c r="BN264" i="4"/>
  <c r="Z263" i="4"/>
  <c r="AH263" i="4" s="1"/>
  <c r="AE263" i="4"/>
  <c r="AJ263" i="4" s="1"/>
  <c r="AD263" i="4"/>
  <c r="AI263" i="4" s="1"/>
  <c r="AF263" i="4"/>
  <c r="AC263" i="4"/>
  <c r="BG263" i="4" s="1"/>
  <c r="Y263" i="4"/>
  <c r="AG263" i="4" s="1"/>
  <c r="I243" i="29"/>
  <c r="K243" i="29" s="1"/>
  <c r="J243" i="29"/>
  <c r="Y243" i="29" s="1"/>
  <c r="S244" i="29"/>
  <c r="T244" i="29"/>
  <c r="G244" i="29"/>
  <c r="U244" i="29"/>
  <c r="E244" i="29"/>
  <c r="R244" i="29"/>
  <c r="Q244" i="29"/>
  <c r="AI245" i="29"/>
  <c r="AD246" i="29"/>
  <c r="B245" i="29"/>
  <c r="BM269" i="4"/>
  <c r="B265" i="4"/>
  <c r="BP265" i="4"/>
  <c r="K264" i="4"/>
  <c r="F264" i="4"/>
  <c r="AZ264" i="4"/>
  <c r="AY264" i="4"/>
  <c r="BC264" i="4"/>
  <c r="BD264" i="4"/>
  <c r="BA264" i="4"/>
  <c r="N264" i="4"/>
  <c r="M264" i="4"/>
  <c r="AM264" i="4"/>
  <c r="BB264" i="4"/>
  <c r="P264" i="4"/>
  <c r="R264" i="4"/>
  <c r="Q264" i="4"/>
  <c r="O264" i="4"/>
  <c r="AF244" i="29"/>
  <c r="AE244" i="29"/>
  <c r="AK262" i="4"/>
  <c r="AN262" i="4"/>
  <c r="AW263" i="4"/>
  <c r="BE261" i="4" l="1"/>
  <c r="BF261" i="4" s="1"/>
  <c r="AX261" i="4"/>
  <c r="P242" i="29"/>
  <c r="N243" i="29"/>
  <c r="V243" i="29" s="1"/>
  <c r="W243" i="29" s="1"/>
  <c r="BH267" i="4"/>
  <c r="AN267" i="4"/>
  <c r="AO267" i="4" s="1"/>
  <c r="AV266" i="4"/>
  <c r="AX266" i="4" s="1"/>
  <c r="AW268" i="4"/>
  <c r="AF268" i="4"/>
  <c r="AK268" i="4" s="1"/>
  <c r="Z268" i="4"/>
  <c r="AH268" i="4" s="1"/>
  <c r="AE268" i="4"/>
  <c r="AJ268" i="4" s="1"/>
  <c r="Y268" i="4"/>
  <c r="AG268" i="4" s="1"/>
  <c r="AD268" i="4"/>
  <c r="AI268" i="4" s="1"/>
  <c r="AC268" i="4"/>
  <c r="BG268" i="4" s="1"/>
  <c r="AV262" i="4"/>
  <c r="AX262" i="4" s="1"/>
  <c r="AW264" i="4"/>
  <c r="AY265" i="4"/>
  <c r="BC265" i="4"/>
  <c r="BA265" i="4"/>
  <c r="BB265" i="4"/>
  <c r="M265" i="4"/>
  <c r="N265" i="4"/>
  <c r="O265" i="4"/>
  <c r="AZ265" i="4"/>
  <c r="R265" i="4"/>
  <c r="P265" i="4"/>
  <c r="Q265" i="4"/>
  <c r="AM265" i="4"/>
  <c r="K265" i="4"/>
  <c r="F265" i="4"/>
  <c r="BD265" i="4"/>
  <c r="AF245" i="29"/>
  <c r="AE245" i="29"/>
  <c r="O244" i="29"/>
  <c r="AK263" i="4"/>
  <c r="AN263" i="4"/>
  <c r="AE264" i="4"/>
  <c r="AJ264" i="4" s="1"/>
  <c r="AD264" i="4"/>
  <c r="AI264" i="4" s="1"/>
  <c r="Z264" i="4"/>
  <c r="AH264" i="4" s="1"/>
  <c r="AC264" i="4"/>
  <c r="BG264" i="4" s="1"/>
  <c r="AF264" i="4"/>
  <c r="Y264" i="4"/>
  <c r="AG264" i="4" s="1"/>
  <c r="BP269" i="4"/>
  <c r="B269" i="4"/>
  <c r="BM270" i="4"/>
  <c r="T245" i="29"/>
  <c r="E245" i="29"/>
  <c r="U245" i="29"/>
  <c r="S245" i="29"/>
  <c r="G245" i="29"/>
  <c r="Q245" i="29"/>
  <c r="R245" i="29"/>
  <c r="AO262" i="4"/>
  <c r="J244" i="29"/>
  <c r="Y244" i="29" s="1"/>
  <c r="I244" i="29"/>
  <c r="K244" i="29" s="1"/>
  <c r="BO265" i="4"/>
  <c r="BN265" i="4"/>
  <c r="AI246" i="29"/>
  <c r="B246" i="29"/>
  <c r="AD247" i="29"/>
  <c r="BH263" i="4"/>
  <c r="Z243" i="29"/>
  <c r="P243" i="29" l="1"/>
  <c r="N244" i="29"/>
  <c r="V244" i="29" s="1"/>
  <c r="W244" i="29" s="1"/>
  <c r="BH268" i="4"/>
  <c r="AN268" i="4"/>
  <c r="AV268" i="4" s="1"/>
  <c r="AX268" i="4" s="1"/>
  <c r="BE266" i="4"/>
  <c r="BF266" i="4" s="1"/>
  <c r="AV267" i="4"/>
  <c r="AX267" i="4" s="1"/>
  <c r="BE262" i="4"/>
  <c r="BF262" i="4" s="1"/>
  <c r="AW265" i="4"/>
  <c r="BH264" i="4"/>
  <c r="AO263" i="4"/>
  <c r="AV263" i="4"/>
  <c r="AX263" i="4" s="1"/>
  <c r="AI247" i="29"/>
  <c r="B247" i="29"/>
  <c r="AD248" i="29"/>
  <c r="AC265" i="4"/>
  <c r="BG265" i="4" s="1"/>
  <c r="AE265" i="4"/>
  <c r="AJ265" i="4" s="1"/>
  <c r="Z265" i="4"/>
  <c r="AH265" i="4" s="1"/>
  <c r="Y265" i="4"/>
  <c r="AG265" i="4" s="1"/>
  <c r="AD265" i="4"/>
  <c r="AI265" i="4" s="1"/>
  <c r="AF265" i="4"/>
  <c r="T246" i="29"/>
  <c r="S246" i="29"/>
  <c r="Q246" i="29"/>
  <c r="G246" i="29"/>
  <c r="E246" i="29"/>
  <c r="R246" i="29"/>
  <c r="U246" i="29"/>
  <c r="AF246" i="29"/>
  <c r="AE246" i="29"/>
  <c r="AK264" i="4"/>
  <c r="AN264" i="4"/>
  <c r="J245" i="29"/>
  <c r="Y245" i="29" s="1"/>
  <c r="I245" i="29"/>
  <c r="K245" i="29" s="1"/>
  <c r="O245" i="29"/>
  <c r="BP270" i="4"/>
  <c r="BM271" i="4"/>
  <c r="B270" i="4"/>
  <c r="AM269" i="4"/>
  <c r="Q269" i="4"/>
  <c r="P269" i="4"/>
  <c r="R269" i="4"/>
  <c r="BD269" i="4"/>
  <c r="M269" i="4"/>
  <c r="O269" i="4"/>
  <c r="N269" i="4"/>
  <c r="K269" i="4"/>
  <c r="F269" i="4"/>
  <c r="AZ269" i="4"/>
  <c r="BA269" i="4"/>
  <c r="AY269" i="4"/>
  <c r="BC269" i="4"/>
  <c r="BB269" i="4"/>
  <c r="BN269" i="4"/>
  <c r="BO269" i="4"/>
  <c r="Z244" i="29"/>
  <c r="P244" i="29" l="1"/>
  <c r="N245" i="29"/>
  <c r="V245" i="29" s="1"/>
  <c r="W245" i="29" s="1"/>
  <c r="BE268" i="4"/>
  <c r="BF268" i="4" s="1"/>
  <c r="BE267" i="4"/>
  <c r="BF267" i="4" s="1"/>
  <c r="AO268" i="4"/>
  <c r="BE263" i="4"/>
  <c r="BF263" i="4" s="1"/>
  <c r="AV264" i="4"/>
  <c r="AX264" i="4" s="1"/>
  <c r="I246" i="29"/>
  <c r="K246" i="29" s="1"/>
  <c r="J246" i="29"/>
  <c r="Y246" i="29" s="1"/>
  <c r="AW269" i="4"/>
  <c r="AZ270" i="4"/>
  <c r="O270" i="4"/>
  <c r="M270" i="4"/>
  <c r="N270" i="4"/>
  <c r="AM270" i="4"/>
  <c r="Q270" i="4"/>
  <c r="P270" i="4"/>
  <c r="R270" i="4"/>
  <c r="K270" i="4"/>
  <c r="F270" i="4"/>
  <c r="BD270" i="4"/>
  <c r="BB270" i="4"/>
  <c r="AY270" i="4"/>
  <c r="BC270" i="4"/>
  <c r="BA270" i="4"/>
  <c r="AI248" i="29"/>
  <c r="AD249" i="29"/>
  <c r="B248" i="29"/>
  <c r="AE269" i="4"/>
  <c r="AJ269" i="4" s="1"/>
  <c r="AF269" i="4"/>
  <c r="AD269" i="4"/>
  <c r="AI269" i="4" s="1"/>
  <c r="Z269" i="4"/>
  <c r="AH269" i="4" s="1"/>
  <c r="Y269" i="4"/>
  <c r="AG269" i="4" s="1"/>
  <c r="AC269" i="4"/>
  <c r="BG269" i="4" s="1"/>
  <c r="BM272" i="4"/>
  <c r="BP271" i="4"/>
  <c r="B271" i="4"/>
  <c r="BH265" i="4"/>
  <c r="S247" i="29"/>
  <c r="E247" i="29"/>
  <c r="T247" i="29"/>
  <c r="Q247" i="29"/>
  <c r="U247" i="29"/>
  <c r="G247" i="29"/>
  <c r="R247" i="29"/>
  <c r="BN270" i="4"/>
  <c r="BO270" i="4"/>
  <c r="Z245" i="29"/>
  <c r="AO264" i="4"/>
  <c r="O246" i="29"/>
  <c r="AK265" i="4"/>
  <c r="AN265" i="4"/>
  <c r="AF247" i="29"/>
  <c r="AE247" i="29"/>
  <c r="P245" i="29" l="1"/>
  <c r="N246" i="29"/>
  <c r="P246" i="29" s="1"/>
  <c r="BE264" i="4"/>
  <c r="BF264" i="4" s="1"/>
  <c r="AO265" i="4"/>
  <c r="O247" i="29"/>
  <c r="AV265" i="4"/>
  <c r="AX265" i="4" s="1"/>
  <c r="J247" i="29"/>
  <c r="I247" i="29"/>
  <c r="K247" i="29" s="1"/>
  <c r="AD270" i="4"/>
  <c r="AI270" i="4" s="1"/>
  <c r="AE270" i="4"/>
  <c r="AJ270" i="4" s="1"/>
  <c r="AC270" i="4"/>
  <c r="BG270" i="4" s="1"/>
  <c r="Y270" i="4"/>
  <c r="AG270" i="4" s="1"/>
  <c r="AF270" i="4"/>
  <c r="Z270" i="4"/>
  <c r="AH270" i="4" s="1"/>
  <c r="AK269" i="4"/>
  <c r="AN269" i="4"/>
  <c r="E248" i="29"/>
  <c r="R248" i="29"/>
  <c r="T248" i="29"/>
  <c r="G248" i="29"/>
  <c r="U248" i="29"/>
  <c r="S248" i="29"/>
  <c r="Q248" i="29"/>
  <c r="Z246" i="29"/>
  <c r="K271" i="4"/>
  <c r="F271" i="4"/>
  <c r="AZ271" i="4"/>
  <c r="AY271" i="4"/>
  <c r="BC271" i="4"/>
  <c r="BA271" i="4"/>
  <c r="BD271" i="4"/>
  <c r="N271" i="4"/>
  <c r="M271" i="4"/>
  <c r="BB271" i="4"/>
  <c r="O271" i="4"/>
  <c r="P271" i="4"/>
  <c r="R271" i="4"/>
  <c r="AM271" i="4"/>
  <c r="Q271" i="4"/>
  <c r="AI249" i="29"/>
  <c r="AD250" i="29"/>
  <c r="B249" i="29"/>
  <c r="Y247" i="29"/>
  <c r="BN271" i="4"/>
  <c r="BO271" i="4"/>
  <c r="BH269" i="4"/>
  <c r="AE248" i="29"/>
  <c r="AF248" i="29"/>
  <c r="B272" i="4"/>
  <c r="BM273" i="4"/>
  <c r="BP272" i="4"/>
  <c r="AW270" i="4"/>
  <c r="Z247" i="29" l="1"/>
  <c r="V246" i="29"/>
  <c r="W246" i="29" s="1"/>
  <c r="AO269" i="4"/>
  <c r="N247" i="29"/>
  <c r="P247" i="29" s="1"/>
  <c r="AV269" i="4"/>
  <c r="BE265" i="4"/>
  <c r="BF265" i="4" s="1"/>
  <c r="BH270" i="4"/>
  <c r="AW271" i="4"/>
  <c r="S249" i="29"/>
  <c r="E249" i="29"/>
  <c r="T249" i="29"/>
  <c r="R249" i="29"/>
  <c r="G249" i="29"/>
  <c r="Q249" i="29"/>
  <c r="U249" i="29"/>
  <c r="BN272" i="4"/>
  <c r="BO272" i="4"/>
  <c r="Z271" i="4"/>
  <c r="AH271" i="4" s="1"/>
  <c r="AE271" i="4"/>
  <c r="AJ271" i="4" s="1"/>
  <c r="AD271" i="4"/>
  <c r="AI271" i="4" s="1"/>
  <c r="AF271" i="4"/>
  <c r="Y271" i="4"/>
  <c r="AG271" i="4" s="1"/>
  <c r="AC271" i="4"/>
  <c r="BG271" i="4" s="1"/>
  <c r="AI250" i="29"/>
  <c r="B250" i="29"/>
  <c r="AD251" i="29"/>
  <c r="BP273" i="4"/>
  <c r="B273" i="4"/>
  <c r="BM274" i="4"/>
  <c r="I248" i="29"/>
  <c r="K248" i="29" s="1"/>
  <c r="J248" i="29"/>
  <c r="Y248" i="29" s="1"/>
  <c r="AF249" i="29"/>
  <c r="AE249" i="29"/>
  <c r="F272" i="4"/>
  <c r="O272" i="4"/>
  <c r="BB272" i="4"/>
  <c r="BC272" i="4"/>
  <c r="AM272" i="4"/>
  <c r="Q272" i="4"/>
  <c r="AZ272" i="4"/>
  <c r="N272" i="4"/>
  <c r="BD272" i="4"/>
  <c r="K272" i="4"/>
  <c r="R272" i="4"/>
  <c r="P272" i="4"/>
  <c r="BA272" i="4"/>
  <c r="M272" i="4"/>
  <c r="AY272" i="4"/>
  <c r="O248" i="29"/>
  <c r="AK270" i="4"/>
  <c r="AN270" i="4"/>
  <c r="BE269" i="4" l="1"/>
  <c r="BF269" i="4" s="1"/>
  <c r="AX269" i="4"/>
  <c r="V247" i="29"/>
  <c r="W247" i="29" s="1"/>
  <c r="N248" i="29"/>
  <c r="V248" i="29" s="1"/>
  <c r="W248" i="29" s="1"/>
  <c r="O249" i="29"/>
  <c r="BH271" i="4"/>
  <c r="AV270" i="4"/>
  <c r="Z248" i="29"/>
  <c r="Q273" i="4"/>
  <c r="R273" i="4"/>
  <c r="N273" i="4"/>
  <c r="P273" i="4"/>
  <c r="F273" i="4"/>
  <c r="AZ273" i="4"/>
  <c r="K273" i="4"/>
  <c r="BC273" i="4"/>
  <c r="BD273" i="4"/>
  <c r="BA273" i="4"/>
  <c r="AY273" i="4"/>
  <c r="O273" i="4"/>
  <c r="AM273" i="4"/>
  <c r="BB273" i="4"/>
  <c r="M273" i="4"/>
  <c r="E250" i="29"/>
  <c r="Q250" i="29"/>
  <c r="T250" i="29"/>
  <c r="U250" i="29"/>
  <c r="R250" i="29"/>
  <c r="S250" i="29"/>
  <c r="G250" i="29"/>
  <c r="AK271" i="4"/>
  <c r="AN271" i="4"/>
  <c r="AW272" i="4"/>
  <c r="BN273" i="4"/>
  <c r="BO273" i="4"/>
  <c r="AF250" i="29"/>
  <c r="AE250" i="29"/>
  <c r="AE272" i="4"/>
  <c r="AJ272" i="4" s="1"/>
  <c r="Z272" i="4"/>
  <c r="AH272" i="4" s="1"/>
  <c r="Y272" i="4"/>
  <c r="AG272" i="4" s="1"/>
  <c r="AD272" i="4"/>
  <c r="AI272" i="4" s="1"/>
  <c r="AC272" i="4"/>
  <c r="BG272" i="4" s="1"/>
  <c r="AF272" i="4"/>
  <c r="AO270" i="4"/>
  <c r="J249" i="29"/>
  <c r="Y249" i="29" s="1"/>
  <c r="I249" i="29"/>
  <c r="K249" i="29" s="1"/>
  <c r="BP274" i="4"/>
  <c r="BM275" i="4"/>
  <c r="B274" i="4"/>
  <c r="AI251" i="29"/>
  <c r="AD252" i="29"/>
  <c r="B251" i="29"/>
  <c r="Z249" i="29" l="1"/>
  <c r="BE270" i="4"/>
  <c r="AX270" i="4"/>
  <c r="P248" i="29"/>
  <c r="N249" i="29"/>
  <c r="V249" i="29" s="1"/>
  <c r="W249" i="29" s="1"/>
  <c r="P249" i="29"/>
  <c r="AW273" i="4"/>
  <c r="BH272" i="4"/>
  <c r="AV271" i="4"/>
  <c r="AO271" i="4"/>
  <c r="R251" i="29"/>
  <c r="G251" i="29"/>
  <c r="S251" i="29"/>
  <c r="E251" i="29"/>
  <c r="Q251" i="29"/>
  <c r="U251" i="29"/>
  <c r="T251" i="29"/>
  <c r="P274" i="4"/>
  <c r="J274" i="4"/>
  <c r="M274" i="4"/>
  <c r="BA274" i="4"/>
  <c r="BB274" i="4"/>
  <c r="Q274" i="4"/>
  <c r="AM274" i="4"/>
  <c r="O274" i="4"/>
  <c r="BD274" i="4"/>
  <c r="K274" i="4"/>
  <c r="N274" i="4"/>
  <c r="H274" i="4"/>
  <c r="BC274" i="4"/>
  <c r="AZ274" i="4"/>
  <c r="AY274" i="4"/>
  <c r="F274" i="4"/>
  <c r="R274" i="4"/>
  <c r="I274" i="4"/>
  <c r="AF273" i="4"/>
  <c r="AC273" i="4"/>
  <c r="BG273" i="4" s="1"/>
  <c r="Z273" i="4"/>
  <c r="AH273" i="4" s="1"/>
  <c r="Y273" i="4"/>
  <c r="AG273" i="4" s="1"/>
  <c r="AE273" i="4"/>
  <c r="AJ273" i="4" s="1"/>
  <c r="AD273" i="4"/>
  <c r="AI273" i="4" s="1"/>
  <c r="O250" i="29"/>
  <c r="AF251" i="29"/>
  <c r="AE251" i="29"/>
  <c r="BN274" i="4"/>
  <c r="BO274" i="4"/>
  <c r="AI252" i="29"/>
  <c r="AD253" i="29"/>
  <c r="B252" i="29"/>
  <c r="B275" i="4"/>
  <c r="BM276" i="4"/>
  <c r="BP275" i="4"/>
  <c r="I250" i="29"/>
  <c r="K250" i="29" s="1"/>
  <c r="J250" i="29"/>
  <c r="Y250" i="29" s="1"/>
  <c r="AK272" i="4"/>
  <c r="AN272" i="4"/>
  <c r="BF270" i="4" l="1"/>
  <c r="BE271" i="4"/>
  <c r="BF271" i="4" s="1"/>
  <c r="AX271" i="4"/>
  <c r="N250" i="29"/>
  <c r="V250" i="29" s="1"/>
  <c r="W250" i="29" s="1"/>
  <c r="AO272" i="4"/>
  <c r="AM275" i="4"/>
  <c r="P275" i="4"/>
  <c r="Q275" i="4"/>
  <c r="R275" i="4"/>
  <c r="K275" i="4"/>
  <c r="F275" i="4"/>
  <c r="AZ275" i="4"/>
  <c r="BA275" i="4"/>
  <c r="AY275" i="4"/>
  <c r="BC275" i="4"/>
  <c r="BD275" i="4"/>
  <c r="BB275" i="4"/>
  <c r="N275" i="4"/>
  <c r="M275" i="4"/>
  <c r="O275" i="4"/>
  <c r="Z250" i="29"/>
  <c r="BH273" i="4"/>
  <c r="O251" i="29"/>
  <c r="AV272" i="4"/>
  <c r="AX272" i="4" s="1"/>
  <c r="G252" i="29"/>
  <c r="S252" i="29"/>
  <c r="R252" i="29"/>
  <c r="T252" i="29"/>
  <c r="Q252" i="29"/>
  <c r="E252" i="29"/>
  <c r="U252" i="29"/>
  <c r="AC274" i="4"/>
  <c r="BG274" i="4" s="1"/>
  <c r="AD274" i="4"/>
  <c r="AI274" i="4" s="1"/>
  <c r="AF274" i="4"/>
  <c r="AE274" i="4"/>
  <c r="AJ274" i="4" s="1"/>
  <c r="AB274" i="4"/>
  <c r="Y274" i="4"/>
  <c r="AG274" i="4" s="1"/>
  <c r="AA274" i="4"/>
  <c r="Z274" i="4"/>
  <c r="BO275" i="4"/>
  <c r="BN275" i="4"/>
  <c r="AI253" i="29"/>
  <c r="B253" i="29"/>
  <c r="AD254" i="29"/>
  <c r="J251" i="29"/>
  <c r="Y251" i="29" s="1"/>
  <c r="I251" i="29"/>
  <c r="K251" i="29" s="1"/>
  <c r="AK273" i="4"/>
  <c r="AN273" i="4"/>
  <c r="AW274" i="4"/>
  <c r="B276" i="4"/>
  <c r="BM277" i="4"/>
  <c r="BP276" i="4"/>
  <c r="AF252" i="29"/>
  <c r="AE252" i="29"/>
  <c r="P250" i="29" l="1"/>
  <c r="N251" i="29"/>
  <c r="P251" i="29" s="1"/>
  <c r="Z251" i="29"/>
  <c r="AV273" i="4"/>
  <c r="AW275" i="4"/>
  <c r="AO273" i="4"/>
  <c r="AH274" i="4"/>
  <c r="O252" i="29"/>
  <c r="BE272" i="4"/>
  <c r="BF272" i="4" s="1"/>
  <c r="BN276" i="4"/>
  <c r="BO276" i="4"/>
  <c r="AI254" i="29"/>
  <c r="AD255" i="29"/>
  <c r="B254" i="29"/>
  <c r="V251" i="29"/>
  <c r="W251" i="29" s="1"/>
  <c r="BP277" i="4"/>
  <c r="BM278" i="4"/>
  <c r="B277" i="4"/>
  <c r="G253" i="29"/>
  <c r="Q253" i="29"/>
  <c r="R253" i="29"/>
  <c r="E253" i="29"/>
  <c r="U253" i="29"/>
  <c r="T253" i="29"/>
  <c r="S253" i="29"/>
  <c r="AK274" i="4"/>
  <c r="AN274" i="4"/>
  <c r="J252" i="29"/>
  <c r="Y252" i="29" s="1"/>
  <c r="I252" i="29"/>
  <c r="K252" i="29" s="1"/>
  <c r="AM276" i="4"/>
  <c r="R276" i="4"/>
  <c r="P276" i="4"/>
  <c r="Q276" i="4"/>
  <c r="BB276" i="4"/>
  <c r="AY276" i="4"/>
  <c r="BC276" i="4"/>
  <c r="BA276" i="4"/>
  <c r="K276" i="4"/>
  <c r="F276" i="4"/>
  <c r="BD276" i="4"/>
  <c r="AZ276" i="4"/>
  <c r="M276" i="4"/>
  <c r="N276" i="4"/>
  <c r="O276" i="4"/>
  <c r="AF253" i="29"/>
  <c r="AE253" i="29"/>
  <c r="Y275" i="4"/>
  <c r="AG275" i="4" s="1"/>
  <c r="AD275" i="4"/>
  <c r="AI275" i="4" s="1"/>
  <c r="AE275" i="4"/>
  <c r="AJ275" i="4" s="1"/>
  <c r="Z275" i="4"/>
  <c r="AH275" i="4" s="1"/>
  <c r="AC275" i="4"/>
  <c r="BG275" i="4" s="1"/>
  <c r="AF275" i="4"/>
  <c r="BE273" i="4" l="1"/>
  <c r="BF273" i="4" s="1"/>
  <c r="AX273" i="4"/>
  <c r="N252" i="29"/>
  <c r="V252" i="29" s="1"/>
  <c r="W252" i="29" s="1"/>
  <c r="BH274" i="4"/>
  <c r="AV274" i="4"/>
  <c r="AX274" i="4" s="1"/>
  <c r="AO274" i="4"/>
  <c r="AW276" i="4"/>
  <c r="BO277" i="4"/>
  <c r="BN277" i="4"/>
  <c r="AE254" i="29"/>
  <c r="AF254" i="29"/>
  <c r="J253" i="29"/>
  <c r="Y253" i="29" s="1"/>
  <c r="I253" i="29"/>
  <c r="K253" i="29" s="1"/>
  <c r="BH275" i="4"/>
  <c r="O253" i="29"/>
  <c r="AK275" i="4"/>
  <c r="AN275" i="4"/>
  <c r="BD277" i="4"/>
  <c r="M277" i="4"/>
  <c r="N277" i="4"/>
  <c r="O277" i="4"/>
  <c r="AM277" i="4"/>
  <c r="R277" i="4"/>
  <c r="P277" i="4"/>
  <c r="Q277" i="4"/>
  <c r="K277" i="4"/>
  <c r="AZ277" i="4"/>
  <c r="F277" i="4"/>
  <c r="AY277" i="4"/>
  <c r="BC277" i="4"/>
  <c r="BA277" i="4"/>
  <c r="BB277" i="4"/>
  <c r="E254" i="29"/>
  <c r="S254" i="29"/>
  <c r="T254" i="29"/>
  <c r="R254" i="29"/>
  <c r="Q254" i="29"/>
  <c r="G254" i="29"/>
  <c r="U254" i="29"/>
  <c r="Z252" i="29"/>
  <c r="BP278" i="4"/>
  <c r="B278" i="4"/>
  <c r="BM279" i="4"/>
  <c r="AI255" i="29"/>
  <c r="AD256" i="29"/>
  <c r="B255" i="29"/>
  <c r="AF276" i="4"/>
  <c r="AE276" i="4"/>
  <c r="AJ276" i="4" s="1"/>
  <c r="Z276" i="4"/>
  <c r="AH276" i="4" s="1"/>
  <c r="AD276" i="4"/>
  <c r="AI276" i="4" s="1"/>
  <c r="Y276" i="4"/>
  <c r="AG276" i="4" s="1"/>
  <c r="AC276" i="4"/>
  <c r="BG276" i="4" s="1"/>
  <c r="P252" i="29" l="1"/>
  <c r="N253" i="29"/>
  <c r="V253" i="29" s="1"/>
  <c r="W253" i="29" s="1"/>
  <c r="BE274" i="4"/>
  <c r="BF274" i="4" s="1"/>
  <c r="BH276" i="4"/>
  <c r="O254" i="29"/>
  <c r="AV275" i="4"/>
  <c r="AX275" i="4" s="1"/>
  <c r="AI256" i="29"/>
  <c r="B256" i="29"/>
  <c r="AD257" i="29"/>
  <c r="BO278" i="4"/>
  <c r="BN278" i="4"/>
  <c r="AO275" i="4"/>
  <c r="AA277" i="4"/>
  <c r="AF277" i="4"/>
  <c r="Z277" i="4"/>
  <c r="AH277" i="4" s="1"/>
  <c r="AB277" i="4"/>
  <c r="AC277" i="4"/>
  <c r="BG277" i="4" s="1"/>
  <c r="AD277" i="4"/>
  <c r="AI277" i="4" s="1"/>
  <c r="Y277" i="4"/>
  <c r="AG277" i="4" s="1"/>
  <c r="AE277" i="4"/>
  <c r="AJ277" i="4" s="1"/>
  <c r="AE255" i="29"/>
  <c r="AF255" i="29"/>
  <c r="Z253" i="29"/>
  <c r="AK276" i="4"/>
  <c r="AN276" i="4"/>
  <c r="BP279" i="4"/>
  <c r="B279" i="4"/>
  <c r="BM280" i="4"/>
  <c r="AW277" i="4"/>
  <c r="U255" i="29"/>
  <c r="E255" i="29"/>
  <c r="T255" i="29"/>
  <c r="R255" i="29"/>
  <c r="G255" i="29"/>
  <c r="Q255" i="29"/>
  <c r="S255" i="29"/>
  <c r="R278" i="4"/>
  <c r="Q278" i="4"/>
  <c r="AM278" i="4"/>
  <c r="P278" i="4"/>
  <c r="F278" i="4"/>
  <c r="BD278" i="4"/>
  <c r="K278" i="4"/>
  <c r="BC278" i="4"/>
  <c r="BA278" i="4"/>
  <c r="BB278" i="4"/>
  <c r="AY278" i="4"/>
  <c r="M278" i="4"/>
  <c r="N278" i="4"/>
  <c r="AZ278" i="4"/>
  <c r="O278" i="4"/>
  <c r="J254" i="29"/>
  <c r="Y254" i="29" s="1"/>
  <c r="I254" i="29"/>
  <c r="K254" i="29" s="1"/>
  <c r="Z254" i="29" l="1"/>
  <c r="P253" i="29"/>
  <c r="N254" i="29"/>
  <c r="V254" i="29" s="1"/>
  <c r="W254" i="29" s="1"/>
  <c r="AV276" i="4"/>
  <c r="AX276" i="4" s="1"/>
  <c r="AO276" i="4"/>
  <c r="BE275" i="4"/>
  <c r="BF275" i="4" s="1"/>
  <c r="AI257" i="29"/>
  <c r="AD258" i="29"/>
  <c r="B257" i="29"/>
  <c r="AW278" i="4"/>
  <c r="O255" i="29"/>
  <c r="B280" i="4"/>
  <c r="BM281" i="4"/>
  <c r="BP280" i="4"/>
  <c r="J255" i="29"/>
  <c r="Y255" i="29" s="1"/>
  <c r="I255" i="29"/>
  <c r="K255" i="29" s="1"/>
  <c r="BH277" i="4"/>
  <c r="T256" i="29"/>
  <c r="Q256" i="29"/>
  <c r="G256" i="29"/>
  <c r="U256" i="29"/>
  <c r="S256" i="29"/>
  <c r="R256" i="29"/>
  <c r="E256" i="29"/>
  <c r="P279" i="4"/>
  <c r="Q279" i="4"/>
  <c r="O279" i="4"/>
  <c r="R279" i="4"/>
  <c r="K279" i="4"/>
  <c r="AZ279" i="4"/>
  <c r="F279" i="4"/>
  <c r="AY279" i="4"/>
  <c r="BD279" i="4"/>
  <c r="BA279" i="4"/>
  <c r="BC279" i="4"/>
  <c r="N279" i="4"/>
  <c r="AM279" i="4"/>
  <c r="BB279" i="4"/>
  <c r="M279" i="4"/>
  <c r="AK277" i="4"/>
  <c r="AN277" i="4"/>
  <c r="AF278" i="4"/>
  <c r="Z278" i="4"/>
  <c r="AH278" i="4" s="1"/>
  <c r="AD278" i="4"/>
  <c r="AI278" i="4" s="1"/>
  <c r="Y278" i="4"/>
  <c r="AG278" i="4" s="1"/>
  <c r="AE278" i="4"/>
  <c r="AJ278" i="4" s="1"/>
  <c r="AC278" i="4"/>
  <c r="BG278" i="4" s="1"/>
  <c r="AE256" i="29"/>
  <c r="AF256" i="29"/>
  <c r="BO279" i="4"/>
  <c r="BN279" i="4"/>
  <c r="P254" i="29" l="1"/>
  <c r="N255" i="29"/>
  <c r="P255" i="29" s="1"/>
  <c r="BE276" i="4"/>
  <c r="BF276" i="4" s="1"/>
  <c r="AO277" i="4"/>
  <c r="AW279" i="4"/>
  <c r="N280" i="4"/>
  <c r="M280" i="4"/>
  <c r="O280" i="4"/>
  <c r="AZ280" i="4"/>
  <c r="P280" i="4"/>
  <c r="R280" i="4"/>
  <c r="Q280" i="4"/>
  <c r="AM280" i="4"/>
  <c r="F280" i="4"/>
  <c r="K280" i="4"/>
  <c r="BD280" i="4"/>
  <c r="BC280" i="4"/>
  <c r="AY280" i="4"/>
  <c r="BA280" i="4"/>
  <c r="BB280" i="4"/>
  <c r="T257" i="29"/>
  <c r="S257" i="29"/>
  <c r="E257" i="29"/>
  <c r="G257" i="29"/>
  <c r="Q257" i="29"/>
  <c r="R257" i="29"/>
  <c r="U257" i="29"/>
  <c r="AK278" i="4"/>
  <c r="AN278" i="4"/>
  <c r="AI258" i="29"/>
  <c r="B258" i="29"/>
  <c r="AD259" i="29"/>
  <c r="J256" i="29"/>
  <c r="Y256" i="29" s="1"/>
  <c r="I256" i="29"/>
  <c r="K256" i="29" s="1"/>
  <c r="Y279" i="4"/>
  <c r="AG279" i="4" s="1"/>
  <c r="Z279" i="4"/>
  <c r="AH279" i="4" s="1"/>
  <c r="AC279" i="4"/>
  <c r="BG279" i="4" s="1"/>
  <c r="AF279" i="4"/>
  <c r="AD279" i="4"/>
  <c r="AI279" i="4" s="1"/>
  <c r="AE279" i="4"/>
  <c r="AJ279" i="4" s="1"/>
  <c r="AV277" i="4"/>
  <c r="AX277" i="4" s="1"/>
  <c r="BH278" i="4"/>
  <c r="O256" i="29"/>
  <c r="BO280" i="4"/>
  <c r="BN280" i="4"/>
  <c r="AF257" i="29"/>
  <c r="AE257" i="29"/>
  <c r="BP281" i="4"/>
  <c r="B281" i="4"/>
  <c r="BM282" i="4"/>
  <c r="Z255" i="29"/>
  <c r="V255" i="29" l="1"/>
  <c r="W255" i="29" s="1"/>
  <c r="N256" i="29"/>
  <c r="P256" i="29" s="1"/>
  <c r="O257" i="29"/>
  <c r="AV278" i="4"/>
  <c r="BH279" i="4"/>
  <c r="M281" i="4"/>
  <c r="BB281" i="4"/>
  <c r="O281" i="4"/>
  <c r="N281" i="4"/>
  <c r="AY281" i="4"/>
  <c r="BA281" i="4"/>
  <c r="BC281" i="4"/>
  <c r="BD281" i="4"/>
  <c r="Q281" i="4"/>
  <c r="AM281" i="4"/>
  <c r="P281" i="4"/>
  <c r="R281" i="4"/>
  <c r="K281" i="4"/>
  <c r="F281" i="4"/>
  <c r="AZ281" i="4"/>
  <c r="AF280" i="4"/>
  <c r="Z280" i="4"/>
  <c r="AH280" i="4" s="1"/>
  <c r="Y280" i="4"/>
  <c r="AG280" i="4" s="1"/>
  <c r="AE280" i="4"/>
  <c r="AJ280" i="4" s="1"/>
  <c r="AC280" i="4"/>
  <c r="BG280" i="4" s="1"/>
  <c r="AD280" i="4"/>
  <c r="AI280" i="4" s="1"/>
  <c r="BO281" i="4"/>
  <c r="BN281" i="4"/>
  <c r="E258" i="29"/>
  <c r="G258" i="29"/>
  <c r="S258" i="29"/>
  <c r="U258" i="29"/>
  <c r="Q258" i="29"/>
  <c r="R258" i="29"/>
  <c r="T258" i="29"/>
  <c r="Z256" i="29"/>
  <c r="AK279" i="4"/>
  <c r="AN279" i="4"/>
  <c r="AF258" i="29"/>
  <c r="AE258" i="29"/>
  <c r="BM283" i="4"/>
  <c r="B282" i="4"/>
  <c r="BP282" i="4"/>
  <c r="BE277" i="4"/>
  <c r="BF277" i="4" s="1"/>
  <c r="AO278" i="4"/>
  <c r="AW280" i="4"/>
  <c r="AI259" i="29"/>
  <c r="B259" i="29"/>
  <c r="AD260" i="29"/>
  <c r="J257" i="29"/>
  <c r="Y257" i="29" s="1"/>
  <c r="I257" i="29"/>
  <c r="K257" i="29" s="1"/>
  <c r="V256" i="29" l="1"/>
  <c r="W256" i="29" s="1"/>
  <c r="Z257" i="29"/>
  <c r="BE278" i="4"/>
  <c r="BF278" i="4" s="1"/>
  <c r="AX278" i="4"/>
  <c r="N257" i="29"/>
  <c r="P257" i="29" s="1"/>
  <c r="BH280" i="4"/>
  <c r="AV279" i="4"/>
  <c r="S259" i="29"/>
  <c r="Q259" i="29"/>
  <c r="G259" i="29"/>
  <c r="T259" i="29"/>
  <c r="R259" i="29"/>
  <c r="U259" i="29"/>
  <c r="E259" i="29"/>
  <c r="AE259" i="29"/>
  <c r="AF259" i="29"/>
  <c r="AO279" i="4"/>
  <c r="AI260" i="29"/>
  <c r="B260" i="29"/>
  <c r="AD261" i="29"/>
  <c r="BM284" i="4"/>
  <c r="BP283" i="4"/>
  <c r="B283" i="4"/>
  <c r="O258" i="29"/>
  <c r="AF281" i="4"/>
  <c r="Z281" i="4"/>
  <c r="AH281" i="4" s="1"/>
  <c r="AC281" i="4"/>
  <c r="BG281" i="4" s="1"/>
  <c r="AD281" i="4"/>
  <c r="AI281" i="4" s="1"/>
  <c r="AE281" i="4"/>
  <c r="AJ281" i="4" s="1"/>
  <c r="Y281" i="4"/>
  <c r="AG281" i="4" s="1"/>
  <c r="AW281" i="4"/>
  <c r="BN282" i="4"/>
  <c r="BO282" i="4"/>
  <c r="AZ282" i="4"/>
  <c r="M282" i="4"/>
  <c r="N282" i="4"/>
  <c r="O282" i="4"/>
  <c r="AM282" i="4"/>
  <c r="Q282" i="4"/>
  <c r="P282" i="4"/>
  <c r="R282" i="4"/>
  <c r="F282" i="4"/>
  <c r="BD282" i="4"/>
  <c r="K282" i="4"/>
  <c r="BB282" i="4"/>
  <c r="BC282" i="4"/>
  <c r="BA282" i="4"/>
  <c r="AY282" i="4"/>
  <c r="J258" i="29"/>
  <c r="Y258" i="29" s="1"/>
  <c r="I258" i="29"/>
  <c r="K258" i="29" s="1"/>
  <c r="AK280" i="4"/>
  <c r="AN280" i="4"/>
  <c r="BE279" i="4" l="1"/>
  <c r="BF279" i="4" s="1"/>
  <c r="AX279" i="4"/>
  <c r="V257" i="29"/>
  <c r="W257" i="29" s="1"/>
  <c r="N258" i="29"/>
  <c r="V258" i="29" s="1"/>
  <c r="W258" i="29" s="1"/>
  <c r="O259" i="29"/>
  <c r="AO280" i="4"/>
  <c r="AK281" i="4"/>
  <c r="AN281" i="4"/>
  <c r="BN283" i="4"/>
  <c r="BO283" i="4"/>
  <c r="AF260" i="29"/>
  <c r="AE260" i="29"/>
  <c r="AV280" i="4"/>
  <c r="AX280" i="4" s="1"/>
  <c r="Z258" i="29"/>
  <c r="BM285" i="4"/>
  <c r="BP284" i="4"/>
  <c r="B284" i="4"/>
  <c r="AW282" i="4"/>
  <c r="AF282" i="4"/>
  <c r="AE282" i="4"/>
  <c r="AJ282" i="4" s="1"/>
  <c r="AD282" i="4"/>
  <c r="AI282" i="4" s="1"/>
  <c r="Y282" i="4"/>
  <c r="AG282" i="4" s="1"/>
  <c r="Z282" i="4"/>
  <c r="AH282" i="4" s="1"/>
  <c r="AC282" i="4"/>
  <c r="BG282" i="4" s="1"/>
  <c r="AI261" i="29"/>
  <c r="AD262" i="29"/>
  <c r="B261" i="29"/>
  <c r="BH281" i="4"/>
  <c r="R283" i="4"/>
  <c r="O283" i="4"/>
  <c r="P283" i="4"/>
  <c r="F283" i="4"/>
  <c r="AZ283" i="4"/>
  <c r="K283" i="4"/>
  <c r="BC283" i="4"/>
  <c r="BA283" i="4"/>
  <c r="BD283" i="4"/>
  <c r="AY283" i="4"/>
  <c r="M283" i="4"/>
  <c r="BB283" i="4"/>
  <c r="AM283" i="4"/>
  <c r="N283" i="4"/>
  <c r="Q283" i="4"/>
  <c r="R260" i="29"/>
  <c r="U260" i="29"/>
  <c r="T260" i="29"/>
  <c r="G260" i="29"/>
  <c r="E260" i="29"/>
  <c r="S260" i="29"/>
  <c r="Q260" i="29"/>
  <c r="J259" i="29"/>
  <c r="Y259" i="29" s="1"/>
  <c r="Z259" i="29" s="1"/>
  <c r="I259" i="29"/>
  <c r="K259" i="29" s="1"/>
  <c r="P258" i="29" l="1"/>
  <c r="N259" i="29"/>
  <c r="V259" i="29" s="1"/>
  <c r="W259" i="29" s="1"/>
  <c r="AV281" i="4"/>
  <c r="AX281" i="4" s="1"/>
  <c r="AO281" i="4"/>
  <c r="U261" i="29"/>
  <c r="R261" i="29"/>
  <c r="G261" i="29"/>
  <c r="S261" i="29"/>
  <c r="T261" i="29"/>
  <c r="E261" i="29"/>
  <c r="Q261" i="29"/>
  <c r="BC284" i="4"/>
  <c r="O284" i="4"/>
  <c r="BB284" i="4"/>
  <c r="AY284" i="4"/>
  <c r="N284" i="4"/>
  <c r="Q284" i="4"/>
  <c r="AZ284" i="4"/>
  <c r="M284" i="4"/>
  <c r="F284" i="4"/>
  <c r="BA284" i="4"/>
  <c r="K284" i="4"/>
  <c r="BD284" i="4"/>
  <c r="P284" i="4"/>
  <c r="AM284" i="4"/>
  <c r="R284" i="4"/>
  <c r="I260" i="29"/>
  <c r="K260" i="29" s="1"/>
  <c r="J260" i="29"/>
  <c r="Y260" i="29" s="1"/>
  <c r="AI262" i="29"/>
  <c r="B262" i="29"/>
  <c r="AD263" i="29"/>
  <c r="BN284" i="4"/>
  <c r="BO284" i="4"/>
  <c r="O260" i="29"/>
  <c r="AW283" i="4"/>
  <c r="AE261" i="29"/>
  <c r="AF261" i="29"/>
  <c r="BH282" i="4"/>
  <c r="AK282" i="4"/>
  <c r="AN282" i="4"/>
  <c r="BM286" i="4"/>
  <c r="BP285" i="4"/>
  <c r="B285" i="4"/>
  <c r="BE280" i="4"/>
  <c r="BF280" i="4" s="1"/>
  <c r="AE283" i="4"/>
  <c r="AJ283" i="4" s="1"/>
  <c r="AF283" i="4"/>
  <c r="Y283" i="4"/>
  <c r="AG283" i="4" s="1"/>
  <c r="AC283" i="4"/>
  <c r="BG283" i="4" s="1"/>
  <c r="AD283" i="4"/>
  <c r="AI283" i="4" s="1"/>
  <c r="Z283" i="4"/>
  <c r="AH283" i="4" s="1"/>
  <c r="P259" i="29" l="1"/>
  <c r="N260" i="29"/>
  <c r="V260" i="29" s="1"/>
  <c r="W260" i="29" s="1"/>
  <c r="BE281" i="4"/>
  <c r="BF281" i="4" s="1"/>
  <c r="BH283" i="4"/>
  <c r="AO282" i="4"/>
  <c r="AW284" i="4"/>
  <c r="AV282" i="4"/>
  <c r="AX282" i="4" s="1"/>
  <c r="BN285" i="4"/>
  <c r="BO285" i="4"/>
  <c r="J261" i="29"/>
  <c r="Y261" i="29" s="1"/>
  <c r="I261" i="29"/>
  <c r="K261" i="29" s="1"/>
  <c r="AF284" i="4"/>
  <c r="AE284" i="4"/>
  <c r="AJ284" i="4" s="1"/>
  <c r="Z284" i="4"/>
  <c r="AH284" i="4" s="1"/>
  <c r="AC284" i="4"/>
  <c r="BG284" i="4" s="1"/>
  <c r="AD284" i="4"/>
  <c r="AI284" i="4" s="1"/>
  <c r="Y284" i="4"/>
  <c r="AG284" i="4" s="1"/>
  <c r="O261" i="29"/>
  <c r="BA285" i="4"/>
  <c r="P285" i="4"/>
  <c r="AM285" i="4"/>
  <c r="K285" i="4"/>
  <c r="F285" i="4"/>
  <c r="N285" i="4"/>
  <c r="AZ285" i="4"/>
  <c r="AY285" i="4"/>
  <c r="BC285" i="4"/>
  <c r="BB285" i="4"/>
  <c r="M285" i="4"/>
  <c r="O285" i="4"/>
  <c r="BD285" i="4"/>
  <c r="R285" i="4"/>
  <c r="Q285" i="4"/>
  <c r="AF262" i="29"/>
  <c r="AE262" i="29"/>
  <c r="B286" i="4"/>
  <c r="BP286" i="4"/>
  <c r="BM287" i="4"/>
  <c r="AI263" i="29"/>
  <c r="B263" i="29"/>
  <c r="AD264" i="29"/>
  <c r="AK283" i="4"/>
  <c r="AN283" i="4"/>
  <c r="Z260" i="29"/>
  <c r="T262" i="29"/>
  <c r="E262" i="29"/>
  <c r="U262" i="29"/>
  <c r="Q262" i="29"/>
  <c r="R262" i="29"/>
  <c r="S262" i="29"/>
  <c r="G262" i="29"/>
  <c r="P260" i="29" l="1"/>
  <c r="N261" i="29"/>
  <c r="P261" i="29" s="1"/>
  <c r="BE282" i="4"/>
  <c r="BF282" i="4" s="1"/>
  <c r="O262" i="29"/>
  <c r="AO283" i="4"/>
  <c r="AI264" i="29"/>
  <c r="B264" i="29"/>
  <c r="AD265" i="29"/>
  <c r="BO286" i="4"/>
  <c r="BN286" i="4"/>
  <c r="AW285" i="4"/>
  <c r="S263" i="29"/>
  <c r="T263" i="29"/>
  <c r="U263" i="29"/>
  <c r="R263" i="29"/>
  <c r="G263" i="29"/>
  <c r="E263" i="29"/>
  <c r="Q263" i="29"/>
  <c r="BC286" i="4"/>
  <c r="BA286" i="4"/>
  <c r="BB286" i="4"/>
  <c r="AY286" i="4"/>
  <c r="M286" i="4"/>
  <c r="N286" i="4"/>
  <c r="AZ286" i="4"/>
  <c r="O286" i="4"/>
  <c r="P286" i="4"/>
  <c r="R286" i="4"/>
  <c r="AM286" i="4"/>
  <c r="Q286" i="4"/>
  <c r="F286" i="4"/>
  <c r="BD286" i="4"/>
  <c r="K286" i="4"/>
  <c r="BH284" i="4"/>
  <c r="AV283" i="4"/>
  <c r="AX283" i="4" s="1"/>
  <c r="AF263" i="29"/>
  <c r="AE263" i="29"/>
  <c r="J262" i="29"/>
  <c r="Y262" i="29" s="1"/>
  <c r="I262" i="29"/>
  <c r="K262" i="29" s="1"/>
  <c r="BP287" i="4"/>
  <c r="B287" i="4"/>
  <c r="BM288" i="4"/>
  <c r="Z261" i="29"/>
  <c r="AK284" i="4"/>
  <c r="AN284" i="4"/>
  <c r="AC285" i="4"/>
  <c r="BG285" i="4" s="1"/>
  <c r="AF285" i="4"/>
  <c r="AD285" i="4"/>
  <c r="AI285" i="4" s="1"/>
  <c r="Y285" i="4"/>
  <c r="AG285" i="4" s="1"/>
  <c r="Z285" i="4"/>
  <c r="AH285" i="4" s="1"/>
  <c r="AE285" i="4"/>
  <c r="AJ285" i="4" s="1"/>
  <c r="V261" i="29" l="1"/>
  <c r="W261" i="29" s="1"/>
  <c r="N262" i="29"/>
  <c r="V262" i="29" s="1"/>
  <c r="W262" i="29" s="1"/>
  <c r="Z262" i="29"/>
  <c r="BH285" i="4"/>
  <c r="AO284" i="4"/>
  <c r="AW286" i="4"/>
  <c r="AV284" i="4"/>
  <c r="AX284" i="4" s="1"/>
  <c r="BA287" i="4"/>
  <c r="BD287" i="4"/>
  <c r="AY287" i="4"/>
  <c r="BC287" i="4"/>
  <c r="BB287" i="4"/>
  <c r="AM287" i="4"/>
  <c r="N287" i="4"/>
  <c r="M287" i="4"/>
  <c r="AZ287" i="4"/>
  <c r="K287" i="4"/>
  <c r="F287" i="4"/>
  <c r="O287" i="4"/>
  <c r="Q287" i="4"/>
  <c r="P287" i="4"/>
  <c r="R287" i="4"/>
  <c r="I263" i="29"/>
  <c r="K263" i="29" s="1"/>
  <c r="N263" i="29" s="1"/>
  <c r="V263" i="29" s="1"/>
  <c r="W263" i="29" s="1"/>
  <c r="J263" i="29"/>
  <c r="Y263" i="29" s="1"/>
  <c r="BN287" i="4"/>
  <c r="BO287" i="4"/>
  <c r="Z286" i="4"/>
  <c r="AH286" i="4" s="1"/>
  <c r="AD286" i="4"/>
  <c r="AI286" i="4" s="1"/>
  <c r="AE286" i="4"/>
  <c r="AJ286" i="4" s="1"/>
  <c r="Y286" i="4"/>
  <c r="AG286" i="4" s="1"/>
  <c r="AC286" i="4"/>
  <c r="BG286" i="4" s="1"/>
  <c r="AF286" i="4"/>
  <c r="AI265" i="29"/>
  <c r="AD266" i="29"/>
  <c r="B265" i="29"/>
  <c r="BM289" i="4"/>
  <c r="BP288" i="4"/>
  <c r="B288" i="4"/>
  <c r="AK285" i="4"/>
  <c r="AN285" i="4"/>
  <c r="BE283" i="4"/>
  <c r="BF283" i="4" s="1"/>
  <c r="O263" i="29"/>
  <c r="U264" i="29"/>
  <c r="Q264" i="29"/>
  <c r="R264" i="29"/>
  <c r="T264" i="29"/>
  <c r="E264" i="29"/>
  <c r="S264" i="29"/>
  <c r="G264" i="29"/>
  <c r="AF264" i="29"/>
  <c r="AE264" i="29"/>
  <c r="P262" i="29" l="1"/>
  <c r="P263" i="29"/>
  <c r="Z263" i="29"/>
  <c r="BE284" i="4"/>
  <c r="BF284" i="4" s="1"/>
  <c r="AV285" i="4"/>
  <c r="BM290" i="4"/>
  <c r="B289" i="4"/>
  <c r="BP289" i="4"/>
  <c r="AI266" i="29"/>
  <c r="AD267" i="29"/>
  <c r="B266" i="29"/>
  <c r="AO285" i="4"/>
  <c r="AF265" i="29"/>
  <c r="AE265" i="29"/>
  <c r="AW287" i="4"/>
  <c r="O264" i="29"/>
  <c r="AY288" i="4"/>
  <c r="BC288" i="4"/>
  <c r="BA288" i="4"/>
  <c r="BB288" i="4"/>
  <c r="M288" i="4"/>
  <c r="N288" i="4"/>
  <c r="O288" i="4"/>
  <c r="AZ288" i="4"/>
  <c r="K288" i="4"/>
  <c r="F288" i="4"/>
  <c r="BD288" i="4"/>
  <c r="R288" i="4"/>
  <c r="P288" i="4"/>
  <c r="Q288" i="4"/>
  <c r="AM288" i="4"/>
  <c r="AK286" i="4"/>
  <c r="AN286" i="4"/>
  <c r="I264" i="29"/>
  <c r="K264" i="29" s="1"/>
  <c r="N264" i="29" s="1"/>
  <c r="J264" i="29"/>
  <c r="Y264" i="29" s="1"/>
  <c r="BO288" i="4"/>
  <c r="BN288" i="4"/>
  <c r="G265" i="29"/>
  <c r="S265" i="29"/>
  <c r="Q265" i="29"/>
  <c r="T265" i="29"/>
  <c r="R265" i="29"/>
  <c r="U265" i="29"/>
  <c r="E265" i="29"/>
  <c r="BH286" i="4"/>
  <c r="AC287" i="4"/>
  <c r="BG287" i="4" s="1"/>
  <c r="Z287" i="4"/>
  <c r="AH287" i="4" s="1"/>
  <c r="AE287" i="4"/>
  <c r="AJ287" i="4" s="1"/>
  <c r="Y287" i="4"/>
  <c r="AG287" i="4" s="1"/>
  <c r="AD287" i="4"/>
  <c r="AI287" i="4" s="1"/>
  <c r="AF287" i="4"/>
  <c r="BE285" i="4" l="1"/>
  <c r="BF285" i="4" s="1"/>
  <c r="AX285" i="4"/>
  <c r="AW288" i="4"/>
  <c r="AO286" i="4"/>
  <c r="BH287" i="4"/>
  <c r="P264" i="29"/>
  <c r="V264" i="29"/>
  <c r="W264" i="29" s="1"/>
  <c r="AV286" i="4"/>
  <c r="Z264" i="29"/>
  <c r="AE266" i="29"/>
  <c r="AF266" i="29"/>
  <c r="AK287" i="4"/>
  <c r="AN287" i="4"/>
  <c r="AD288" i="4"/>
  <c r="AI288" i="4" s="1"/>
  <c r="AE288" i="4"/>
  <c r="AJ288" i="4" s="1"/>
  <c r="AF288" i="4"/>
  <c r="AC288" i="4"/>
  <c r="BG288" i="4" s="1"/>
  <c r="Y288" i="4"/>
  <c r="AG288" i="4" s="1"/>
  <c r="Z288" i="4"/>
  <c r="AH288" i="4" s="1"/>
  <c r="BN289" i="4"/>
  <c r="BO289" i="4"/>
  <c r="R266" i="29"/>
  <c r="G266" i="29"/>
  <c r="T266" i="29"/>
  <c r="S266" i="29"/>
  <c r="Q266" i="29"/>
  <c r="U266" i="29"/>
  <c r="E266" i="29"/>
  <c r="Q289" i="4"/>
  <c r="K289" i="4"/>
  <c r="F289" i="4"/>
  <c r="AZ289" i="4"/>
  <c r="P289" i="4"/>
  <c r="R289" i="4"/>
  <c r="AM289" i="4"/>
  <c r="AY289" i="4"/>
  <c r="BC289" i="4"/>
  <c r="BD289" i="4"/>
  <c r="BA289" i="4"/>
  <c r="M289" i="4"/>
  <c r="O289" i="4"/>
  <c r="N289" i="4"/>
  <c r="BB289" i="4"/>
  <c r="O265" i="29"/>
  <c r="I265" i="29"/>
  <c r="K265" i="29" s="1"/>
  <c r="N265" i="29" s="1"/>
  <c r="J265" i="29"/>
  <c r="Y265" i="29" s="1"/>
  <c r="AI267" i="29"/>
  <c r="B267" i="29"/>
  <c r="AD268" i="29"/>
  <c r="BP290" i="4"/>
  <c r="B290" i="4"/>
  <c r="BM291" i="4"/>
  <c r="BE286" i="4" l="1"/>
  <c r="BF286" i="4" s="1"/>
  <c r="AX286" i="4"/>
  <c r="O266" i="29"/>
  <c r="AV287" i="4"/>
  <c r="AX287" i="4" s="1"/>
  <c r="P265" i="29"/>
  <c r="V265" i="29"/>
  <c r="W265" i="29" s="1"/>
  <c r="AW289" i="4"/>
  <c r="BH288" i="4"/>
  <c r="K290" i="4"/>
  <c r="F290" i="4"/>
  <c r="BD290" i="4"/>
  <c r="BB290" i="4"/>
  <c r="AY290" i="4"/>
  <c r="BC290" i="4"/>
  <c r="BA290" i="4"/>
  <c r="AZ290" i="4"/>
  <c r="O290" i="4"/>
  <c r="M290" i="4"/>
  <c r="N290" i="4"/>
  <c r="AM290" i="4"/>
  <c r="P290" i="4"/>
  <c r="Q290" i="4"/>
  <c r="R290" i="4"/>
  <c r="AE267" i="29"/>
  <c r="AF267" i="29"/>
  <c r="AO287" i="4"/>
  <c r="BO290" i="4"/>
  <c r="BN290" i="4"/>
  <c r="AI268" i="29"/>
  <c r="B268" i="29"/>
  <c r="AD269" i="29"/>
  <c r="BP291" i="4"/>
  <c r="B291" i="4"/>
  <c r="BM292" i="4"/>
  <c r="U267" i="29"/>
  <c r="G267" i="29"/>
  <c r="Q267" i="29"/>
  <c r="E267" i="29"/>
  <c r="R267" i="29"/>
  <c r="T267" i="29"/>
  <c r="S267" i="29"/>
  <c r="Z265" i="29"/>
  <c r="AF289" i="4"/>
  <c r="AE289" i="4"/>
  <c r="AJ289" i="4" s="1"/>
  <c r="Y289" i="4"/>
  <c r="AG289" i="4" s="1"/>
  <c r="AC289" i="4"/>
  <c r="BG289" i="4" s="1"/>
  <c r="Z289" i="4"/>
  <c r="AH289" i="4" s="1"/>
  <c r="AD289" i="4"/>
  <c r="AI289" i="4" s="1"/>
  <c r="J266" i="29"/>
  <c r="Y266" i="29" s="1"/>
  <c r="I266" i="29"/>
  <c r="K266" i="29" s="1"/>
  <c r="N266" i="29" s="1"/>
  <c r="AK288" i="4"/>
  <c r="AN288" i="4"/>
  <c r="Z266" i="29" l="1"/>
  <c r="BE287" i="4"/>
  <c r="BF287" i="4" s="1"/>
  <c r="BH289" i="4"/>
  <c r="AV288" i="4"/>
  <c r="AX288" i="4" s="1"/>
  <c r="V266" i="29"/>
  <c r="W266" i="29" s="1"/>
  <c r="P266" i="29"/>
  <c r="AM291" i="4"/>
  <c r="M291" i="4"/>
  <c r="BB291" i="4"/>
  <c r="N291" i="4"/>
  <c r="R291" i="4"/>
  <c r="Q291" i="4"/>
  <c r="O291" i="4"/>
  <c r="P291" i="4"/>
  <c r="AZ291" i="4"/>
  <c r="F291" i="4"/>
  <c r="K291" i="4"/>
  <c r="BD291" i="4"/>
  <c r="BC291" i="4"/>
  <c r="BA291" i="4"/>
  <c r="AY291" i="4"/>
  <c r="Y290" i="4"/>
  <c r="AG290" i="4" s="1"/>
  <c r="AD290" i="4"/>
  <c r="AI290" i="4" s="1"/>
  <c r="Z290" i="4"/>
  <c r="AH290" i="4" s="1"/>
  <c r="AE290" i="4"/>
  <c r="AJ290" i="4" s="1"/>
  <c r="AC290" i="4"/>
  <c r="BG290" i="4" s="1"/>
  <c r="AF290" i="4"/>
  <c r="BN291" i="4"/>
  <c r="BO291" i="4"/>
  <c r="AI269" i="29"/>
  <c r="B269" i="29"/>
  <c r="AD270" i="29"/>
  <c r="J267" i="29"/>
  <c r="Y267" i="29" s="1"/>
  <c r="I267" i="29"/>
  <c r="K267" i="29" s="1"/>
  <c r="N267" i="29" s="1"/>
  <c r="AK289" i="4"/>
  <c r="AN289" i="4"/>
  <c r="O267" i="29"/>
  <c r="R268" i="29"/>
  <c r="E268" i="29"/>
  <c r="T268" i="29"/>
  <c r="Q268" i="29"/>
  <c r="U268" i="29"/>
  <c r="G268" i="29"/>
  <c r="S268" i="29"/>
  <c r="AO288" i="4"/>
  <c r="AW290" i="4"/>
  <c r="BM293" i="4"/>
  <c r="B292" i="4"/>
  <c r="BP292" i="4"/>
  <c r="AE268" i="29"/>
  <c r="AF268" i="29"/>
  <c r="Z267" i="29" l="1"/>
  <c r="AW291" i="4"/>
  <c r="AV289" i="4"/>
  <c r="AX289" i="4" s="1"/>
  <c r="BE288" i="4"/>
  <c r="BF288" i="4" s="1"/>
  <c r="O268" i="29"/>
  <c r="Q292" i="4"/>
  <c r="AM292" i="4"/>
  <c r="R292" i="4"/>
  <c r="P292" i="4"/>
  <c r="BD292" i="4"/>
  <c r="K292" i="4"/>
  <c r="F292" i="4"/>
  <c r="BA292" i="4"/>
  <c r="BB292" i="4"/>
  <c r="AY292" i="4"/>
  <c r="BC292" i="4"/>
  <c r="O292" i="4"/>
  <c r="AZ292" i="4"/>
  <c r="M292" i="4"/>
  <c r="N292" i="4"/>
  <c r="AF269" i="29"/>
  <c r="AE269" i="29"/>
  <c r="AD291" i="4"/>
  <c r="AI291" i="4" s="1"/>
  <c r="Y291" i="4"/>
  <c r="AG291" i="4" s="1"/>
  <c r="Z291" i="4"/>
  <c r="AH291" i="4" s="1"/>
  <c r="AF291" i="4"/>
  <c r="AC291" i="4"/>
  <c r="BG291" i="4" s="1"/>
  <c r="AE291" i="4"/>
  <c r="AJ291" i="4" s="1"/>
  <c r="BN292" i="4"/>
  <c r="BO292" i="4"/>
  <c r="J268" i="29"/>
  <c r="Y268" i="29" s="1"/>
  <c r="I268" i="29"/>
  <c r="K268" i="29" s="1"/>
  <c r="N268" i="29" s="1"/>
  <c r="BM294" i="4"/>
  <c r="B293" i="4"/>
  <c r="BP293" i="4"/>
  <c r="V267" i="29"/>
  <c r="W267" i="29" s="1"/>
  <c r="P267" i="29"/>
  <c r="AO289" i="4"/>
  <c r="AI270" i="29"/>
  <c r="B270" i="29"/>
  <c r="AD271" i="29"/>
  <c r="BH290" i="4"/>
  <c r="T269" i="29"/>
  <c r="E269" i="29"/>
  <c r="G269" i="29"/>
  <c r="Q269" i="29"/>
  <c r="R269" i="29"/>
  <c r="U269" i="29"/>
  <c r="S269" i="29"/>
  <c r="AK290" i="4"/>
  <c r="AN290" i="4"/>
  <c r="BE289" i="4" l="1"/>
  <c r="BF289" i="4" s="1"/>
  <c r="O269" i="29"/>
  <c r="AV290" i="4"/>
  <c r="AX290" i="4" s="1"/>
  <c r="BH291" i="4"/>
  <c r="AO290" i="4"/>
  <c r="AE270" i="29"/>
  <c r="AF270" i="29"/>
  <c r="P268" i="29"/>
  <c r="V268" i="29"/>
  <c r="W268" i="29" s="1"/>
  <c r="BM295" i="4"/>
  <c r="B294" i="4"/>
  <c r="BP294" i="4"/>
  <c r="I269" i="29"/>
  <c r="K269" i="29" s="1"/>
  <c r="N269" i="29" s="1"/>
  <c r="J269" i="29"/>
  <c r="Y269" i="29" s="1"/>
  <c r="AW292" i="4"/>
  <c r="AD292" i="4"/>
  <c r="AI292" i="4" s="1"/>
  <c r="AE292" i="4"/>
  <c r="AJ292" i="4" s="1"/>
  <c r="AF292" i="4"/>
  <c r="Z292" i="4"/>
  <c r="AH292" i="4" s="1"/>
  <c r="Y292" i="4"/>
  <c r="AG292" i="4" s="1"/>
  <c r="AC292" i="4"/>
  <c r="BG292" i="4" s="1"/>
  <c r="AI271" i="29"/>
  <c r="AD272" i="29"/>
  <c r="B271" i="29"/>
  <c r="BO293" i="4"/>
  <c r="BN293" i="4"/>
  <c r="AK291" i="4"/>
  <c r="AN291" i="4"/>
  <c r="Z268" i="29"/>
  <c r="E270" i="29"/>
  <c r="G270" i="29"/>
  <c r="S270" i="29"/>
  <c r="U270" i="29"/>
  <c r="Q270" i="29"/>
  <c r="T270" i="29"/>
  <c r="R270" i="29"/>
  <c r="N293" i="4"/>
  <c r="BD293" i="4"/>
  <c r="F293" i="4"/>
  <c r="M293" i="4"/>
  <c r="AZ293" i="4"/>
  <c r="BC293" i="4"/>
  <c r="K293" i="4"/>
  <c r="P293" i="4"/>
  <c r="AM293" i="4"/>
  <c r="O293" i="4"/>
  <c r="R293" i="4"/>
  <c r="BB293" i="4"/>
  <c r="BA293" i="4"/>
  <c r="Q293" i="4"/>
  <c r="AY293" i="4"/>
  <c r="BE290" i="4" l="1"/>
  <c r="BF290" i="4" s="1"/>
  <c r="Z269" i="29"/>
  <c r="AV291" i="4"/>
  <c r="AX291" i="4" s="1"/>
  <c r="V269" i="29"/>
  <c r="W269" i="29" s="1"/>
  <c r="P269" i="29"/>
  <c r="AE271" i="29"/>
  <c r="AF271" i="29"/>
  <c r="AW293" i="4"/>
  <c r="AO291" i="4"/>
  <c r="AC293" i="4"/>
  <c r="BG293" i="4" s="1"/>
  <c r="AF293" i="4"/>
  <c r="Y293" i="4"/>
  <c r="AG293" i="4" s="1"/>
  <c r="AD293" i="4"/>
  <c r="AI293" i="4" s="1"/>
  <c r="Z293" i="4"/>
  <c r="AH293" i="4" s="1"/>
  <c r="AE293" i="4"/>
  <c r="AJ293" i="4" s="1"/>
  <c r="BN294" i="4"/>
  <c r="BO294" i="4"/>
  <c r="U271" i="29"/>
  <c r="G271" i="29"/>
  <c r="R271" i="29"/>
  <c r="E271" i="29"/>
  <c r="T271" i="29"/>
  <c r="S271" i="29"/>
  <c r="Q271" i="29"/>
  <c r="BH292" i="4"/>
  <c r="R294" i="4"/>
  <c r="Q294" i="4"/>
  <c r="AM294" i="4"/>
  <c r="P294" i="4"/>
  <c r="F294" i="4"/>
  <c r="BD294" i="4"/>
  <c r="K294" i="4"/>
  <c r="M294" i="4"/>
  <c r="N294" i="4"/>
  <c r="AZ294" i="4"/>
  <c r="O294" i="4"/>
  <c r="BC294" i="4"/>
  <c r="BA294" i="4"/>
  <c r="BB294" i="4"/>
  <c r="AY294" i="4"/>
  <c r="I270" i="29"/>
  <c r="K270" i="29" s="1"/>
  <c r="N270" i="29" s="1"/>
  <c r="J270" i="29"/>
  <c r="Y270" i="29" s="1"/>
  <c r="O270" i="29"/>
  <c r="AI272" i="29"/>
  <c r="AD273" i="29"/>
  <c r="B272" i="29"/>
  <c r="AK292" i="4"/>
  <c r="AN292" i="4"/>
  <c r="B295" i="4"/>
  <c r="BP295" i="4"/>
  <c r="BM296" i="4"/>
  <c r="BH293" i="4" l="1"/>
  <c r="BE291" i="4"/>
  <c r="BF291" i="4" s="1"/>
  <c r="AV292" i="4"/>
  <c r="AX292" i="4" s="1"/>
  <c r="AO292" i="4"/>
  <c r="P270" i="29"/>
  <c r="V270" i="29"/>
  <c r="W270" i="29" s="1"/>
  <c r="BO295" i="4"/>
  <c r="BN295" i="4"/>
  <c r="AE272" i="29"/>
  <c r="AF272" i="29"/>
  <c r="Z270" i="29"/>
  <c r="AK293" i="4"/>
  <c r="AN293" i="4"/>
  <c r="AM295" i="4"/>
  <c r="P295" i="4"/>
  <c r="R295" i="4"/>
  <c r="Q295" i="4"/>
  <c r="K295" i="4"/>
  <c r="F295" i="4"/>
  <c r="AZ295" i="4"/>
  <c r="BA295" i="4"/>
  <c r="AY295" i="4"/>
  <c r="BC295" i="4"/>
  <c r="BD295" i="4"/>
  <c r="BB295" i="4"/>
  <c r="N295" i="4"/>
  <c r="M295" i="4"/>
  <c r="O295" i="4"/>
  <c r="I271" i="29"/>
  <c r="K271" i="29" s="1"/>
  <c r="N271" i="29" s="1"/>
  <c r="J271" i="29"/>
  <c r="Y271" i="29" s="1"/>
  <c r="E272" i="29"/>
  <c r="S272" i="29"/>
  <c r="Q272" i="29"/>
  <c r="T272" i="29"/>
  <c r="U272" i="29"/>
  <c r="G272" i="29"/>
  <c r="R272" i="29"/>
  <c r="BM297" i="4"/>
  <c r="BP296" i="4"/>
  <c r="B296" i="4"/>
  <c r="AI273" i="29"/>
  <c r="AD274" i="29"/>
  <c r="B273" i="29"/>
  <c r="AW294" i="4"/>
  <c r="O271" i="29"/>
  <c r="AE294" i="4"/>
  <c r="AJ294" i="4" s="1"/>
  <c r="AF294" i="4"/>
  <c r="AD294" i="4"/>
  <c r="AI294" i="4" s="1"/>
  <c r="Y294" i="4"/>
  <c r="AG294" i="4" s="1"/>
  <c r="AC294" i="4"/>
  <c r="BG294" i="4" s="1"/>
  <c r="Z294" i="4"/>
  <c r="AH294" i="4" s="1"/>
  <c r="BE292" i="4" l="1"/>
  <c r="BF292" i="4" s="1"/>
  <c r="AV293" i="4"/>
  <c r="AO293" i="4"/>
  <c r="Z271" i="29"/>
  <c r="BH294" i="4"/>
  <c r="P271" i="29"/>
  <c r="V271" i="29"/>
  <c r="W271" i="29" s="1"/>
  <c r="J272" i="29"/>
  <c r="Y272" i="29" s="1"/>
  <c r="I272" i="29"/>
  <c r="K272" i="29" s="1"/>
  <c r="N272" i="29" s="1"/>
  <c r="AE273" i="29"/>
  <c r="AF273" i="29"/>
  <c r="BN296" i="4"/>
  <c r="BO296" i="4"/>
  <c r="AW295" i="4"/>
  <c r="Y295" i="4"/>
  <c r="AG295" i="4" s="1"/>
  <c r="Z295" i="4"/>
  <c r="AH295" i="4" s="1"/>
  <c r="AD295" i="4"/>
  <c r="AI295" i="4" s="1"/>
  <c r="AC295" i="4"/>
  <c r="BG295" i="4" s="1"/>
  <c r="AE295" i="4"/>
  <c r="AJ295" i="4" s="1"/>
  <c r="AF295" i="4"/>
  <c r="AK294" i="4"/>
  <c r="AN294" i="4"/>
  <c r="T273" i="29"/>
  <c r="G273" i="29"/>
  <c r="U273" i="29"/>
  <c r="E273" i="29"/>
  <c r="R273" i="29"/>
  <c r="Q273" i="29"/>
  <c r="S273" i="29"/>
  <c r="AI274" i="29"/>
  <c r="AD275" i="29"/>
  <c r="B274" i="29"/>
  <c r="BD296" i="4"/>
  <c r="K296" i="4"/>
  <c r="F296" i="4"/>
  <c r="BA296" i="4"/>
  <c r="BB296" i="4"/>
  <c r="AY296" i="4"/>
  <c r="BC296" i="4"/>
  <c r="O296" i="4"/>
  <c r="AZ296" i="4"/>
  <c r="M296" i="4"/>
  <c r="N296" i="4"/>
  <c r="Q296" i="4"/>
  <c r="R296" i="4"/>
  <c r="AM296" i="4"/>
  <c r="P296" i="4"/>
  <c r="O272" i="29"/>
  <c r="BM298" i="4"/>
  <c r="B297" i="4"/>
  <c r="BP297" i="4"/>
  <c r="BE293" i="4" l="1"/>
  <c r="BF293" i="4" s="1"/>
  <c r="AX293" i="4"/>
  <c r="AO294" i="4"/>
  <c r="V272" i="29"/>
  <c r="W272" i="29" s="1"/>
  <c r="P272" i="29"/>
  <c r="AE274" i="29"/>
  <c r="AF274" i="29"/>
  <c r="O273" i="29"/>
  <c r="BP298" i="4"/>
  <c r="BM299" i="4"/>
  <c r="B298" i="4"/>
  <c r="Z272" i="29"/>
  <c r="AW296" i="4"/>
  <c r="AE296" i="4"/>
  <c r="AJ296" i="4" s="1"/>
  <c r="AC296" i="4"/>
  <c r="BG296" i="4" s="1"/>
  <c r="Y296" i="4"/>
  <c r="AG296" i="4" s="1"/>
  <c r="Z296" i="4"/>
  <c r="AH296" i="4" s="1"/>
  <c r="AD296" i="4"/>
  <c r="AI296" i="4" s="1"/>
  <c r="AF296" i="4"/>
  <c r="O297" i="4"/>
  <c r="N297" i="4"/>
  <c r="BB297" i="4"/>
  <c r="M297" i="4"/>
  <c r="P297" i="4"/>
  <c r="R297" i="4"/>
  <c r="AM297" i="4"/>
  <c r="Q297" i="4"/>
  <c r="F297" i="4"/>
  <c r="AZ297" i="4"/>
  <c r="K297" i="4"/>
  <c r="BC297" i="4"/>
  <c r="BD297" i="4"/>
  <c r="BA297" i="4"/>
  <c r="AY297" i="4"/>
  <c r="R274" i="29"/>
  <c r="Q274" i="29"/>
  <c r="S274" i="29"/>
  <c r="T274" i="29"/>
  <c r="G274" i="29"/>
  <c r="U274" i="29"/>
  <c r="E274" i="29"/>
  <c r="AK295" i="4"/>
  <c r="AN295" i="4"/>
  <c r="BH295" i="4"/>
  <c r="BO297" i="4"/>
  <c r="BN297" i="4"/>
  <c r="AI275" i="29"/>
  <c r="B275" i="29"/>
  <c r="AD276" i="29"/>
  <c r="AV294" i="4"/>
  <c r="AX294" i="4" s="1"/>
  <c r="I273" i="29"/>
  <c r="K273" i="29" s="1"/>
  <c r="N273" i="29" s="1"/>
  <c r="J273" i="29"/>
  <c r="Y273" i="29" s="1"/>
  <c r="O274" i="29" l="1"/>
  <c r="AO295" i="4"/>
  <c r="BH296" i="4"/>
  <c r="AW297" i="4"/>
  <c r="AV295" i="4"/>
  <c r="AX295" i="4" s="1"/>
  <c r="P273" i="29"/>
  <c r="V273" i="29"/>
  <c r="W273" i="29" s="1"/>
  <c r="S275" i="29"/>
  <c r="T275" i="29"/>
  <c r="G275" i="29"/>
  <c r="U275" i="29"/>
  <c r="E275" i="29"/>
  <c r="R275" i="29"/>
  <c r="Q275" i="29"/>
  <c r="BP299" i="4"/>
  <c r="B299" i="4"/>
  <c r="BM300" i="4"/>
  <c r="I274" i="29"/>
  <c r="K274" i="29" s="1"/>
  <c r="N274" i="29" s="1"/>
  <c r="J274" i="29"/>
  <c r="Y274" i="29" s="1"/>
  <c r="BN298" i="4"/>
  <c r="BO298" i="4"/>
  <c r="Z273" i="29"/>
  <c r="BE294" i="4"/>
  <c r="BF294" i="4" s="1"/>
  <c r="AD297" i="4"/>
  <c r="AI297" i="4" s="1"/>
  <c r="AE297" i="4"/>
  <c r="AJ297" i="4" s="1"/>
  <c r="AF297" i="4"/>
  <c r="Y297" i="4"/>
  <c r="AG297" i="4" s="1"/>
  <c r="Z297" i="4"/>
  <c r="AH297" i="4" s="1"/>
  <c r="AC297" i="4"/>
  <c r="BG297" i="4" s="1"/>
  <c r="AK296" i="4"/>
  <c r="AN296" i="4"/>
  <c r="AF275" i="29"/>
  <c r="AE275" i="29"/>
  <c r="AI276" i="29"/>
  <c r="B276" i="29"/>
  <c r="AD277" i="29"/>
  <c r="Q298" i="4"/>
  <c r="P298" i="4"/>
  <c r="AM298" i="4"/>
  <c r="R298" i="4"/>
  <c r="F298" i="4"/>
  <c r="BD298" i="4"/>
  <c r="K298" i="4"/>
  <c r="BC298" i="4"/>
  <c r="BA298" i="4"/>
  <c r="BB298" i="4"/>
  <c r="AY298" i="4"/>
  <c r="M298" i="4"/>
  <c r="N298" i="4"/>
  <c r="AZ298" i="4"/>
  <c r="O298" i="4"/>
  <c r="Z274" i="29" l="1"/>
  <c r="BE295" i="4"/>
  <c r="BF295" i="4" s="1"/>
  <c r="AO296" i="4"/>
  <c r="AV296" i="4"/>
  <c r="AX296" i="4" s="1"/>
  <c r="V274" i="29"/>
  <c r="W274" i="29" s="1"/>
  <c r="P274" i="29"/>
  <c r="BH297" i="4"/>
  <c r="AI277" i="29"/>
  <c r="AD278" i="29"/>
  <c r="B277" i="29"/>
  <c r="J275" i="29"/>
  <c r="Y275" i="29" s="1"/>
  <c r="I275" i="29"/>
  <c r="K275" i="29" s="1"/>
  <c r="N275" i="29" s="1"/>
  <c r="BM301" i="4"/>
  <c r="BM305" i="4" s="1"/>
  <c r="BP300" i="4"/>
  <c r="B300" i="4"/>
  <c r="O275" i="29"/>
  <c r="S276" i="29"/>
  <c r="E276" i="29"/>
  <c r="G276" i="29"/>
  <c r="T276" i="29"/>
  <c r="R276" i="29"/>
  <c r="Q276" i="29"/>
  <c r="U276" i="29"/>
  <c r="AK297" i="4"/>
  <c r="AN297" i="4"/>
  <c r="AF298" i="4"/>
  <c r="AE298" i="4"/>
  <c r="AJ298" i="4" s="1"/>
  <c r="Z298" i="4"/>
  <c r="AH298" i="4" s="1"/>
  <c r="AC298" i="4"/>
  <c r="BG298" i="4" s="1"/>
  <c r="Y298" i="4"/>
  <c r="AG298" i="4" s="1"/>
  <c r="AD298" i="4"/>
  <c r="AI298" i="4" s="1"/>
  <c r="BA299" i="4"/>
  <c r="AY299" i="4"/>
  <c r="BC299" i="4"/>
  <c r="BD299" i="4"/>
  <c r="BB299" i="4"/>
  <c r="N299" i="4"/>
  <c r="M299" i="4"/>
  <c r="AM299" i="4"/>
  <c r="K299" i="4"/>
  <c r="F299" i="4"/>
  <c r="AZ299" i="4"/>
  <c r="O299" i="4"/>
  <c r="P299" i="4"/>
  <c r="R299" i="4"/>
  <c r="Q299" i="4"/>
  <c r="AW298" i="4"/>
  <c r="AF276" i="29"/>
  <c r="AE276" i="29"/>
  <c r="BN299" i="4"/>
  <c r="BO299" i="4"/>
  <c r="B305" i="4" l="1"/>
  <c r="BP305" i="4"/>
  <c r="AV297" i="4"/>
  <c r="BE296" i="4"/>
  <c r="BF296" i="4" s="1"/>
  <c r="AO297" i="4"/>
  <c r="V275" i="29"/>
  <c r="W275" i="29" s="1"/>
  <c r="P275" i="29"/>
  <c r="AK298" i="4"/>
  <c r="AN298" i="4"/>
  <c r="Z275" i="29"/>
  <c r="B301" i="4"/>
  <c r="BP301" i="4"/>
  <c r="BM302" i="4"/>
  <c r="BM306" i="4" s="1"/>
  <c r="G277" i="29"/>
  <c r="T277" i="29"/>
  <c r="U277" i="29"/>
  <c r="Q277" i="29"/>
  <c r="R277" i="29"/>
  <c r="S277" i="29"/>
  <c r="E277" i="29"/>
  <c r="J276" i="29"/>
  <c r="Y276" i="29" s="1"/>
  <c r="I276" i="29"/>
  <c r="K276" i="29" s="1"/>
  <c r="N276" i="29" s="1"/>
  <c r="AE299" i="4"/>
  <c r="AJ299" i="4" s="1"/>
  <c r="Y299" i="4"/>
  <c r="AG299" i="4" s="1"/>
  <c r="Z299" i="4"/>
  <c r="AH299" i="4" s="1"/>
  <c r="AC299" i="4"/>
  <c r="BG299" i="4" s="1"/>
  <c r="AF299" i="4"/>
  <c r="AD299" i="4"/>
  <c r="AI299" i="4" s="1"/>
  <c r="BH298" i="4"/>
  <c r="R300" i="4"/>
  <c r="P300" i="4"/>
  <c r="AM300" i="4"/>
  <c r="Q300" i="4"/>
  <c r="K300" i="4"/>
  <c r="BD300" i="4"/>
  <c r="AY300" i="4"/>
  <c r="BC300" i="4"/>
  <c r="BB300" i="4"/>
  <c r="BA300" i="4"/>
  <c r="M300" i="4"/>
  <c r="N300" i="4"/>
  <c r="AZ300" i="4"/>
  <c r="O300" i="4"/>
  <c r="F300" i="4"/>
  <c r="AI278" i="29"/>
  <c r="B278" i="29"/>
  <c r="AD279" i="29"/>
  <c r="AW299" i="4"/>
  <c r="O276" i="29"/>
  <c r="BN300" i="4"/>
  <c r="BO300" i="4"/>
  <c r="AE277" i="29"/>
  <c r="AF277" i="29"/>
  <c r="BE297" i="4" l="1"/>
  <c r="BF297" i="4" s="1"/>
  <c r="AX297" i="4"/>
  <c r="BO305" i="4"/>
  <c r="BN305" i="4"/>
  <c r="BC305" i="4"/>
  <c r="AY305" i="4"/>
  <c r="P305" i="4"/>
  <c r="K305" i="4"/>
  <c r="AZ305" i="4"/>
  <c r="Q305" i="4"/>
  <c r="BB305" i="4"/>
  <c r="O305" i="4"/>
  <c r="F305" i="4"/>
  <c r="BA305" i="4"/>
  <c r="AM305" i="4"/>
  <c r="R305" i="4"/>
  <c r="N305" i="4"/>
  <c r="BD305" i="4"/>
  <c r="M305" i="4"/>
  <c r="B306" i="4"/>
  <c r="BP306" i="4"/>
  <c r="AO298" i="4"/>
  <c r="P276" i="29"/>
  <c r="V276" i="29"/>
  <c r="W276" i="29" s="1"/>
  <c r="AK299" i="4"/>
  <c r="AN299" i="4"/>
  <c r="O277" i="29"/>
  <c r="K301" i="4"/>
  <c r="F301" i="4"/>
  <c r="AZ301" i="4"/>
  <c r="BA301" i="4"/>
  <c r="AY301" i="4"/>
  <c r="BC301" i="4"/>
  <c r="BB301" i="4"/>
  <c r="BD301" i="4"/>
  <c r="M301" i="4"/>
  <c r="O301" i="4"/>
  <c r="N301" i="4"/>
  <c r="AM301" i="4"/>
  <c r="Q301" i="4"/>
  <c r="P301" i="4"/>
  <c r="R301" i="4"/>
  <c r="Z276" i="29"/>
  <c r="R278" i="29"/>
  <c r="S278" i="29"/>
  <c r="G278" i="29"/>
  <c r="T278" i="29"/>
  <c r="E278" i="29"/>
  <c r="U278" i="29"/>
  <c r="Q278" i="29"/>
  <c r="AW300" i="4"/>
  <c r="BH299" i="4"/>
  <c r="BM303" i="4"/>
  <c r="BM307" i="4" s="1"/>
  <c r="B302" i="4"/>
  <c r="BP302" i="4"/>
  <c r="AD300" i="4"/>
  <c r="AI300" i="4" s="1"/>
  <c r="Z300" i="4"/>
  <c r="AH300" i="4" s="1"/>
  <c r="Y300" i="4"/>
  <c r="AG300" i="4" s="1"/>
  <c r="AC300" i="4"/>
  <c r="BG300" i="4" s="1"/>
  <c r="AF300" i="4"/>
  <c r="AK300" i="4" s="1"/>
  <c r="AE300" i="4"/>
  <c r="AJ300" i="4" s="1"/>
  <c r="AE278" i="29"/>
  <c r="AF278" i="29"/>
  <c r="I277" i="29"/>
  <c r="K277" i="29" s="1"/>
  <c r="N277" i="29" s="1"/>
  <c r="J277" i="29"/>
  <c r="Y277" i="29" s="1"/>
  <c r="AI279" i="29"/>
  <c r="AD280" i="29"/>
  <c r="B279" i="29"/>
  <c r="BO301" i="4"/>
  <c r="BN301" i="4"/>
  <c r="AV298" i="4"/>
  <c r="AX298" i="4" l="1"/>
  <c r="AW305" i="4"/>
  <c r="AF305" i="4"/>
  <c r="Z305" i="4"/>
  <c r="AH305" i="4" s="1"/>
  <c r="AC305" i="4"/>
  <c r="BG305" i="4" s="1"/>
  <c r="AE305" i="4"/>
  <c r="AJ305" i="4" s="1"/>
  <c r="Y305" i="4"/>
  <c r="AG305" i="4" s="1"/>
  <c r="AD305" i="4"/>
  <c r="AI305" i="4" s="1"/>
  <c r="BO306" i="4"/>
  <c r="BN306" i="4"/>
  <c r="BC306" i="4"/>
  <c r="AY306" i="4"/>
  <c r="P306" i="4"/>
  <c r="K306" i="4"/>
  <c r="M306" i="4"/>
  <c r="BB306" i="4"/>
  <c r="O306" i="4"/>
  <c r="F306" i="4"/>
  <c r="BA306" i="4"/>
  <c r="AM306" i="4"/>
  <c r="R306" i="4"/>
  <c r="N306" i="4"/>
  <c r="BD306" i="4"/>
  <c r="AZ306" i="4"/>
  <c r="Q306" i="4"/>
  <c r="B307" i="4"/>
  <c r="BP307" i="4"/>
  <c r="O278" i="29"/>
  <c r="AO299" i="4"/>
  <c r="AV299" i="4"/>
  <c r="P277" i="29"/>
  <c r="V277" i="29"/>
  <c r="W277" i="29" s="1"/>
  <c r="AW301" i="4"/>
  <c r="AI280" i="29"/>
  <c r="B280" i="29"/>
  <c r="AD281" i="29"/>
  <c r="BH300" i="4"/>
  <c r="K302" i="4"/>
  <c r="F302" i="4"/>
  <c r="BD302" i="4"/>
  <c r="AY302" i="4"/>
  <c r="BC302" i="4"/>
  <c r="BA302" i="4"/>
  <c r="BB302" i="4"/>
  <c r="Q302" i="4"/>
  <c r="R302" i="4"/>
  <c r="O302" i="4"/>
  <c r="M302" i="4"/>
  <c r="N302" i="4"/>
  <c r="AZ302" i="4"/>
  <c r="P302" i="4"/>
  <c r="AM302" i="4"/>
  <c r="BE298" i="4"/>
  <c r="BF298" i="4" s="1"/>
  <c r="G279" i="29"/>
  <c r="T279" i="29"/>
  <c r="E279" i="29"/>
  <c r="U279" i="29"/>
  <c r="S279" i="29"/>
  <c r="Q279" i="29"/>
  <c r="R279" i="29"/>
  <c r="I278" i="29"/>
  <c r="K278" i="29" s="1"/>
  <c r="N278" i="29" s="1"/>
  <c r="J278" i="29"/>
  <c r="Y278" i="29" s="1"/>
  <c r="Z278" i="29" s="1"/>
  <c r="B303" i="4"/>
  <c r="BM304" i="4"/>
  <c r="BP303" i="4"/>
  <c r="AD301" i="4"/>
  <c r="AI301" i="4" s="1"/>
  <c r="Z301" i="4"/>
  <c r="AH301" i="4" s="1"/>
  <c r="Y301" i="4"/>
  <c r="AG301" i="4" s="1"/>
  <c r="AC301" i="4"/>
  <c r="BG301" i="4" s="1"/>
  <c r="AE301" i="4"/>
  <c r="AJ301" i="4" s="1"/>
  <c r="AF301" i="4"/>
  <c r="AE279" i="29"/>
  <c r="AF279" i="29"/>
  <c r="AN300" i="4"/>
  <c r="AV300" i="4" s="1"/>
  <c r="AX300" i="4" s="1"/>
  <c r="BN302" i="4"/>
  <c r="BO302" i="4"/>
  <c r="Z277" i="29"/>
  <c r="BE299" i="4" l="1"/>
  <c r="BF299" i="4" s="1"/>
  <c r="AX299" i="4"/>
  <c r="BH305" i="4"/>
  <c r="AN305" i="4"/>
  <c r="AK305" i="4"/>
  <c r="AW306" i="4"/>
  <c r="AF306" i="4"/>
  <c r="Z306" i="4"/>
  <c r="AH306" i="4" s="1"/>
  <c r="AC306" i="4"/>
  <c r="BG306" i="4" s="1"/>
  <c r="AE306" i="4"/>
  <c r="AJ306" i="4" s="1"/>
  <c r="Y306" i="4"/>
  <c r="AG306" i="4" s="1"/>
  <c r="AD306" i="4"/>
  <c r="AI306" i="4" s="1"/>
  <c r="BO307" i="4"/>
  <c r="BN307" i="4"/>
  <c r="BC307" i="4"/>
  <c r="AY307" i="4"/>
  <c r="P307" i="4"/>
  <c r="K307" i="4"/>
  <c r="F307" i="4"/>
  <c r="R307" i="4"/>
  <c r="N307" i="4"/>
  <c r="BD307" i="4"/>
  <c r="AZ307" i="4"/>
  <c r="Q307" i="4"/>
  <c r="M307" i="4"/>
  <c r="BB307" i="4"/>
  <c r="O307" i="4"/>
  <c r="BA307" i="4"/>
  <c r="AM307" i="4"/>
  <c r="AO300" i="4"/>
  <c r="BE300" i="4"/>
  <c r="BF300" i="4" s="1"/>
  <c r="V278" i="29"/>
  <c r="W278" i="29" s="1"/>
  <c r="P278" i="29"/>
  <c r="F303" i="4"/>
  <c r="AZ303" i="4"/>
  <c r="K303" i="4"/>
  <c r="BC303" i="4"/>
  <c r="BD303" i="4"/>
  <c r="BA303" i="4"/>
  <c r="AY303" i="4"/>
  <c r="M303" i="4"/>
  <c r="O303" i="4"/>
  <c r="BB303" i="4"/>
  <c r="N303" i="4"/>
  <c r="R303" i="4"/>
  <c r="Q303" i="4"/>
  <c r="AM303" i="4"/>
  <c r="P303" i="4"/>
  <c r="O279" i="29"/>
  <c r="U280" i="29"/>
  <c r="T280" i="29"/>
  <c r="Q280" i="29"/>
  <c r="E280" i="29"/>
  <c r="S280" i="29"/>
  <c r="R280" i="29"/>
  <c r="G280" i="29"/>
  <c r="AE280" i="29"/>
  <c r="AF280" i="29"/>
  <c r="B304" i="4"/>
  <c r="BM308" i="4"/>
  <c r="BP304" i="4"/>
  <c r="AF302" i="4"/>
  <c r="Z302" i="4"/>
  <c r="AH302" i="4" s="1"/>
  <c r="AD302" i="4"/>
  <c r="AI302" i="4" s="1"/>
  <c r="Y302" i="4"/>
  <c r="AG302" i="4" s="1"/>
  <c r="AE302" i="4"/>
  <c r="AJ302" i="4" s="1"/>
  <c r="AC302" i="4"/>
  <c r="BG302" i="4" s="1"/>
  <c r="I279" i="29"/>
  <c r="K279" i="29" s="1"/>
  <c r="N279" i="29" s="1"/>
  <c r="J279" i="29"/>
  <c r="Y279" i="29" s="1"/>
  <c r="AK301" i="4"/>
  <c r="AN301" i="4"/>
  <c r="BH301" i="4"/>
  <c r="BO303" i="4"/>
  <c r="BN303" i="4"/>
  <c r="AW302" i="4"/>
  <c r="AI281" i="29"/>
  <c r="AD282" i="29"/>
  <c r="B281" i="29"/>
  <c r="AO305" i="4" l="1"/>
  <c r="BH306" i="4"/>
  <c r="AN306" i="4"/>
  <c r="AV305" i="4"/>
  <c r="AX305" i="4" s="1"/>
  <c r="AK306" i="4"/>
  <c r="AW307" i="4"/>
  <c r="AF307" i="4"/>
  <c r="AK307" i="4" s="1"/>
  <c r="Z307" i="4"/>
  <c r="AH307" i="4" s="1"/>
  <c r="Y307" i="4"/>
  <c r="AG307" i="4" s="1"/>
  <c r="AD307" i="4"/>
  <c r="AI307" i="4" s="1"/>
  <c r="AC307" i="4"/>
  <c r="BG307" i="4" s="1"/>
  <c r="AE307" i="4"/>
  <c r="AJ307" i="4" s="1"/>
  <c r="AV301" i="4"/>
  <c r="AX301" i="4" s="1"/>
  <c r="AW303" i="4"/>
  <c r="AO301" i="4"/>
  <c r="V279" i="29"/>
  <c r="W279" i="29" s="1"/>
  <c r="P279" i="29"/>
  <c r="AK302" i="4"/>
  <c r="AN302" i="4"/>
  <c r="AI282" i="29"/>
  <c r="B282" i="29"/>
  <c r="AD283" i="29"/>
  <c r="AE281" i="29"/>
  <c r="AF281" i="29"/>
  <c r="Z303" i="4"/>
  <c r="AH303" i="4" s="1"/>
  <c r="AE303" i="4"/>
  <c r="AJ303" i="4" s="1"/>
  <c r="AC303" i="4"/>
  <c r="BG303" i="4" s="1"/>
  <c r="AD303" i="4"/>
  <c r="AI303" i="4" s="1"/>
  <c r="AF303" i="4"/>
  <c r="Y303" i="4"/>
  <c r="AG303" i="4" s="1"/>
  <c r="BO304" i="4"/>
  <c r="BN304" i="4"/>
  <c r="Z279" i="29"/>
  <c r="G281" i="29"/>
  <c r="S281" i="29"/>
  <c r="E281" i="29"/>
  <c r="T281" i="29"/>
  <c r="Q281" i="29"/>
  <c r="U281" i="29"/>
  <c r="R281" i="29"/>
  <c r="BH302" i="4"/>
  <c r="F304" i="4"/>
  <c r="AY304" i="4"/>
  <c r="O304" i="4"/>
  <c r="AZ304" i="4"/>
  <c r="BC304" i="4"/>
  <c r="M304" i="4"/>
  <c r="Q304" i="4"/>
  <c r="AM304" i="4"/>
  <c r="N304" i="4"/>
  <c r="BD304" i="4"/>
  <c r="K304" i="4"/>
  <c r="P304" i="4"/>
  <c r="BA304" i="4"/>
  <c r="BB304" i="4"/>
  <c r="R304" i="4"/>
  <c r="B308" i="4"/>
  <c r="BM309" i="4"/>
  <c r="BP308" i="4"/>
  <c r="I280" i="29"/>
  <c r="K280" i="29" s="1"/>
  <c r="N280" i="29" s="1"/>
  <c r="J280" i="29"/>
  <c r="Y280" i="29" s="1"/>
  <c r="O280" i="29"/>
  <c r="AO306" i="4" l="1"/>
  <c r="BH307" i="4"/>
  <c r="AV306" i="4"/>
  <c r="AN307" i="4"/>
  <c r="AV307" i="4" s="1"/>
  <c r="AX307" i="4" s="1"/>
  <c r="BE305" i="4"/>
  <c r="BF305" i="4" s="1"/>
  <c r="BE301" i="4"/>
  <c r="BF301" i="4" s="1"/>
  <c r="BH303" i="4"/>
  <c r="AO302" i="4"/>
  <c r="AV302" i="4"/>
  <c r="V280" i="29"/>
  <c r="W280" i="29" s="1"/>
  <c r="P280" i="29"/>
  <c r="Q308" i="4"/>
  <c r="R308" i="4"/>
  <c r="AM308" i="4"/>
  <c r="P308" i="4"/>
  <c r="F308" i="4"/>
  <c r="K308" i="4"/>
  <c r="BD308" i="4"/>
  <c r="AY308" i="4"/>
  <c r="N308" i="4"/>
  <c r="AZ308" i="4"/>
  <c r="BC308" i="4"/>
  <c r="BA308" i="4"/>
  <c r="O308" i="4"/>
  <c r="BB308" i="4"/>
  <c r="M308" i="4"/>
  <c r="AK303" i="4"/>
  <c r="AN303" i="4"/>
  <c r="E282" i="29"/>
  <c r="S282" i="29"/>
  <c r="U282" i="29"/>
  <c r="Q282" i="29"/>
  <c r="T282" i="29"/>
  <c r="G282" i="29"/>
  <c r="R282" i="29"/>
  <c r="AW304" i="4"/>
  <c r="AF282" i="29"/>
  <c r="AE282" i="29"/>
  <c r="BN308" i="4"/>
  <c r="BO308" i="4"/>
  <c r="O281" i="29"/>
  <c r="I281" i="29"/>
  <c r="K281" i="29" s="1"/>
  <c r="N281" i="29" s="1"/>
  <c r="J281" i="29"/>
  <c r="Y281" i="29" s="1"/>
  <c r="Z280" i="29"/>
  <c r="B309" i="4"/>
  <c r="BP309" i="4"/>
  <c r="BM310" i="4"/>
  <c r="Y304" i="4"/>
  <c r="AG304" i="4" s="1"/>
  <c r="AD304" i="4"/>
  <c r="AI304" i="4" s="1"/>
  <c r="AE304" i="4"/>
  <c r="AJ304" i="4" s="1"/>
  <c r="AC304" i="4"/>
  <c r="BG304" i="4" s="1"/>
  <c r="AF304" i="4"/>
  <c r="Z304" i="4"/>
  <c r="AH304" i="4" s="1"/>
  <c r="AI283" i="29"/>
  <c r="AD284" i="29"/>
  <c r="B283" i="29"/>
  <c r="BE306" i="4" l="1"/>
  <c r="BF306" i="4" s="1"/>
  <c r="AX306" i="4"/>
  <c r="BE302" i="4"/>
  <c r="BF302" i="4" s="1"/>
  <c r="AX302" i="4"/>
  <c r="BE307" i="4"/>
  <c r="BF307" i="4" s="1"/>
  <c r="AO307" i="4"/>
  <c r="AV303" i="4"/>
  <c r="AO303" i="4"/>
  <c r="P281" i="29"/>
  <c r="V281" i="29"/>
  <c r="W281" i="29" s="1"/>
  <c r="AW308" i="4"/>
  <c r="R283" i="29"/>
  <c r="G283" i="29"/>
  <c r="S283" i="29"/>
  <c r="E283" i="29"/>
  <c r="T283" i="29"/>
  <c r="Q283" i="29"/>
  <c r="U283" i="29"/>
  <c r="BN309" i="4"/>
  <c r="BO309" i="4"/>
  <c r="BM311" i="4"/>
  <c r="BP310" i="4"/>
  <c r="B310" i="4"/>
  <c r="I282" i="29"/>
  <c r="K282" i="29" s="1"/>
  <c r="N282" i="29" s="1"/>
  <c r="J282" i="29"/>
  <c r="Y282" i="29" s="1"/>
  <c r="AI284" i="29"/>
  <c r="AD285" i="29"/>
  <c r="B284" i="29"/>
  <c r="BH304" i="4"/>
  <c r="BC309" i="4"/>
  <c r="BA309" i="4"/>
  <c r="AY309" i="4"/>
  <c r="BB309" i="4"/>
  <c r="BD309" i="4"/>
  <c r="M309" i="4"/>
  <c r="N309" i="4"/>
  <c r="O309" i="4"/>
  <c r="AZ309" i="4"/>
  <c r="Q309" i="4"/>
  <c r="R309" i="4"/>
  <c r="P309" i="4"/>
  <c r="AM309" i="4"/>
  <c r="F309" i="4"/>
  <c r="K309" i="4"/>
  <c r="Z281" i="29"/>
  <c r="Y308" i="4"/>
  <c r="AG308" i="4" s="1"/>
  <c r="AC308" i="4"/>
  <c r="BG308" i="4" s="1"/>
  <c r="AD308" i="4"/>
  <c r="AI308" i="4" s="1"/>
  <c r="Z308" i="4"/>
  <c r="AH308" i="4" s="1"/>
  <c r="AE308" i="4"/>
  <c r="AJ308" i="4" s="1"/>
  <c r="AF308" i="4"/>
  <c r="AF283" i="29"/>
  <c r="AE283" i="29"/>
  <c r="AK304" i="4"/>
  <c r="AN304" i="4"/>
  <c r="O282" i="29"/>
  <c r="K498" i="4" l="1"/>
  <c r="BE303" i="4"/>
  <c r="BF303" i="4" s="1"/>
  <c r="AX303" i="4"/>
  <c r="BH308" i="4"/>
  <c r="AO304" i="4"/>
  <c r="AV304" i="4"/>
  <c r="AX304" i="4" s="1"/>
  <c r="Z282" i="29"/>
  <c r="AW309" i="4"/>
  <c r="AI285" i="29"/>
  <c r="AD286" i="29"/>
  <c r="B285" i="29"/>
  <c r="N310" i="4"/>
  <c r="M310" i="4"/>
  <c r="O310" i="4"/>
  <c r="BB310" i="4"/>
  <c r="P310" i="4"/>
  <c r="Q310" i="4"/>
  <c r="R310" i="4"/>
  <c r="AM310" i="4"/>
  <c r="K310" i="4"/>
  <c r="F310" i="4"/>
  <c r="AZ310" i="4"/>
  <c r="AY310" i="4"/>
  <c r="BC310" i="4"/>
  <c r="BD310" i="4"/>
  <c r="BA310" i="4"/>
  <c r="J283" i="29"/>
  <c r="Y283" i="29" s="1"/>
  <c r="I283" i="29"/>
  <c r="K283" i="29" s="1"/>
  <c r="N283" i="29" s="1"/>
  <c r="AK308" i="4"/>
  <c r="AN308" i="4"/>
  <c r="AF284" i="29"/>
  <c r="AE284" i="29"/>
  <c r="V282" i="29"/>
  <c r="W282" i="29" s="1"/>
  <c r="P282" i="29"/>
  <c r="BO310" i="4"/>
  <c r="BN310" i="4"/>
  <c r="O283" i="29"/>
  <c r="B311" i="4"/>
  <c r="BM312" i="4"/>
  <c r="BP311" i="4"/>
  <c r="S284" i="29"/>
  <c r="Q284" i="29"/>
  <c r="T284" i="29"/>
  <c r="R284" i="29"/>
  <c r="U284" i="29"/>
  <c r="E284" i="29"/>
  <c r="G284" i="29"/>
  <c r="Y309" i="4"/>
  <c r="AG309" i="4" s="1"/>
  <c r="AF309" i="4"/>
  <c r="Z309" i="4"/>
  <c r="AH309" i="4" s="1"/>
  <c r="AC309" i="4"/>
  <c r="BG309" i="4" s="1"/>
  <c r="AD309" i="4"/>
  <c r="AI309" i="4" s="1"/>
  <c r="AE309" i="4"/>
  <c r="AJ309" i="4" s="1"/>
  <c r="O284" i="29" l="1"/>
  <c r="Z283" i="29"/>
  <c r="AW310" i="4"/>
  <c r="BE304" i="4"/>
  <c r="BF304" i="4" s="1"/>
  <c r="AO308" i="4"/>
  <c r="BH309" i="4"/>
  <c r="P283" i="29"/>
  <c r="V283" i="29"/>
  <c r="W283" i="29" s="1"/>
  <c r="AV308" i="4"/>
  <c r="AX308" i="4" s="1"/>
  <c r="AE285" i="29"/>
  <c r="AF285" i="29"/>
  <c r="BN311" i="4"/>
  <c r="BO311" i="4"/>
  <c r="J284" i="29"/>
  <c r="Y284" i="29" s="1"/>
  <c r="I284" i="29"/>
  <c r="K284" i="29" s="1"/>
  <c r="N284" i="29" s="1"/>
  <c r="BM313" i="4"/>
  <c r="BP312" i="4"/>
  <c r="B312" i="4"/>
  <c r="S285" i="29"/>
  <c r="G285" i="29"/>
  <c r="R285" i="29"/>
  <c r="Q285" i="29"/>
  <c r="T285" i="29"/>
  <c r="U285" i="29"/>
  <c r="E285" i="29"/>
  <c r="AK309" i="4"/>
  <c r="AN309" i="4"/>
  <c r="M311" i="4"/>
  <c r="O311" i="4"/>
  <c r="AZ311" i="4"/>
  <c r="N311" i="4"/>
  <c r="R311" i="4"/>
  <c r="Q311" i="4"/>
  <c r="AM311" i="4"/>
  <c r="P311" i="4"/>
  <c r="AY311" i="4"/>
  <c r="BA311" i="4"/>
  <c r="BB311" i="4"/>
  <c r="BC311" i="4"/>
  <c r="K311" i="4"/>
  <c r="BD311" i="4"/>
  <c r="F311" i="4"/>
  <c r="Z310" i="4"/>
  <c r="AH310" i="4" s="1"/>
  <c r="AC310" i="4"/>
  <c r="BG310" i="4" s="1"/>
  <c r="AD310" i="4"/>
  <c r="AI310" i="4" s="1"/>
  <c r="AE310" i="4"/>
  <c r="AJ310" i="4" s="1"/>
  <c r="AF310" i="4"/>
  <c r="Y310" i="4"/>
  <c r="AG310" i="4" s="1"/>
  <c r="AI286" i="29"/>
  <c r="AD287" i="29"/>
  <c r="B286" i="29"/>
  <c r="Z284" i="29" l="1"/>
  <c r="O285" i="29"/>
  <c r="AV309" i="4"/>
  <c r="AW311" i="4"/>
  <c r="AI287" i="29"/>
  <c r="B287" i="29"/>
  <c r="AD288" i="29"/>
  <c r="AO309" i="4"/>
  <c r="BO312" i="4"/>
  <c r="BN312" i="4"/>
  <c r="AE311" i="4"/>
  <c r="AJ311" i="4" s="1"/>
  <c r="AF311" i="4"/>
  <c r="AD311" i="4"/>
  <c r="AI311" i="4" s="1"/>
  <c r="Z311" i="4"/>
  <c r="AH311" i="4" s="1"/>
  <c r="Y311" i="4"/>
  <c r="AG311" i="4" s="1"/>
  <c r="AC311" i="4"/>
  <c r="BG311" i="4" s="1"/>
  <c r="J285" i="29"/>
  <c r="Y285" i="29" s="1"/>
  <c r="I285" i="29"/>
  <c r="K285" i="29" s="1"/>
  <c r="N285" i="29" s="1"/>
  <c r="B313" i="4"/>
  <c r="BP313" i="4"/>
  <c r="BM314" i="4"/>
  <c r="P284" i="29"/>
  <c r="V284" i="29"/>
  <c r="W284" i="29" s="1"/>
  <c r="BE308" i="4"/>
  <c r="BF308" i="4" s="1"/>
  <c r="AF286" i="29"/>
  <c r="AE286" i="29"/>
  <c r="AK310" i="4"/>
  <c r="AN310" i="4"/>
  <c r="BH310" i="4"/>
  <c r="G286" i="29"/>
  <c r="S286" i="29"/>
  <c r="E286" i="29"/>
  <c r="T286" i="29"/>
  <c r="U286" i="29"/>
  <c r="Q286" i="29"/>
  <c r="R286" i="29"/>
  <c r="P312" i="4"/>
  <c r="AM312" i="4"/>
  <c r="R312" i="4"/>
  <c r="Q312" i="4"/>
  <c r="K312" i="4"/>
  <c r="AZ312" i="4"/>
  <c r="F312" i="4"/>
  <c r="BB312" i="4"/>
  <c r="BA312" i="4"/>
  <c r="AY312" i="4"/>
  <c r="BC312" i="4"/>
  <c r="N312" i="4"/>
  <c r="BD312" i="4"/>
  <c r="M312" i="4"/>
  <c r="O312" i="4"/>
  <c r="Z285" i="29" l="1"/>
  <c r="BE309" i="4"/>
  <c r="AX309" i="4"/>
  <c r="AW312" i="4"/>
  <c r="AV310" i="4"/>
  <c r="BH311" i="4"/>
  <c r="P285" i="29"/>
  <c r="V285" i="29"/>
  <c r="W285" i="29" s="1"/>
  <c r="AO310" i="4"/>
  <c r="BM315" i="4"/>
  <c r="B314" i="4"/>
  <c r="BP314" i="4"/>
  <c r="AK311" i="4"/>
  <c r="AN311" i="4"/>
  <c r="AF287" i="29"/>
  <c r="AE287" i="29"/>
  <c r="BO313" i="4"/>
  <c r="BN313" i="4"/>
  <c r="O286" i="29"/>
  <c r="I286" i="29"/>
  <c r="K286" i="29" s="1"/>
  <c r="N286" i="29" s="1"/>
  <c r="J286" i="29"/>
  <c r="Y286" i="29" s="1"/>
  <c r="BA313" i="4"/>
  <c r="BC313" i="4"/>
  <c r="P313" i="4"/>
  <c r="AM313" i="4"/>
  <c r="N313" i="4"/>
  <c r="M313" i="4"/>
  <c r="BB313" i="4"/>
  <c r="K313" i="4"/>
  <c r="R313" i="4"/>
  <c r="I313" i="4"/>
  <c r="J313" i="4"/>
  <c r="AZ313" i="4"/>
  <c r="AY313" i="4"/>
  <c r="BD313" i="4"/>
  <c r="F313" i="4"/>
  <c r="Q313" i="4"/>
  <c r="H313" i="4"/>
  <c r="O313" i="4"/>
  <c r="Y312" i="4"/>
  <c r="AG312" i="4" s="1"/>
  <c r="AF312" i="4"/>
  <c r="Z312" i="4"/>
  <c r="AH312" i="4" s="1"/>
  <c r="AD312" i="4"/>
  <c r="AI312" i="4" s="1"/>
  <c r="AC312" i="4"/>
  <c r="BG312" i="4" s="1"/>
  <c r="AE312" i="4"/>
  <c r="AJ312" i="4" s="1"/>
  <c r="AI288" i="29"/>
  <c r="B288" i="29"/>
  <c r="AD289" i="29"/>
  <c r="T287" i="29"/>
  <c r="Q287" i="29"/>
  <c r="R287" i="29"/>
  <c r="U287" i="29"/>
  <c r="G287" i="29"/>
  <c r="S287" i="29"/>
  <c r="E287" i="29"/>
  <c r="BF309" i="4" l="1"/>
  <c r="BE498" i="4"/>
  <c r="BE310" i="4"/>
  <c r="BF310" i="4" s="1"/>
  <c r="AX310" i="4"/>
  <c r="AO311" i="4"/>
  <c r="BH312" i="4"/>
  <c r="AV311" i="4"/>
  <c r="P286" i="29"/>
  <c r="V286" i="29"/>
  <c r="W286" i="29" s="1"/>
  <c r="I287" i="29"/>
  <c r="K287" i="29" s="1"/>
  <c r="N287" i="29" s="1"/>
  <c r="J287" i="29"/>
  <c r="Y287" i="29" s="1"/>
  <c r="BN314" i="4"/>
  <c r="BO314" i="4"/>
  <c r="AI289" i="29"/>
  <c r="B289" i="29"/>
  <c r="AD290" i="29"/>
  <c r="AK312" i="4"/>
  <c r="AN312" i="4"/>
  <c r="Z286" i="29"/>
  <c r="AB313" i="4"/>
  <c r="AE313" i="4"/>
  <c r="AJ313" i="4" s="1"/>
  <c r="AA313" i="4"/>
  <c r="Z313" i="4"/>
  <c r="AC313" i="4"/>
  <c r="BG313" i="4" s="1"/>
  <c r="AF313" i="4"/>
  <c r="AD313" i="4"/>
  <c r="AI313" i="4" s="1"/>
  <c r="Y313" i="4"/>
  <c r="AG313" i="4" s="1"/>
  <c r="N314" i="4"/>
  <c r="BB314" i="4"/>
  <c r="M314" i="4"/>
  <c r="AM314" i="4"/>
  <c r="P314" i="4"/>
  <c r="O314" i="4"/>
  <c r="R314" i="4"/>
  <c r="Q314" i="4"/>
  <c r="AY314" i="4"/>
  <c r="BA314" i="4"/>
  <c r="BC314" i="4"/>
  <c r="BD314" i="4"/>
  <c r="K314" i="4"/>
  <c r="F314" i="4"/>
  <c r="AZ314" i="4"/>
  <c r="O287" i="29"/>
  <c r="R288" i="29"/>
  <c r="G288" i="29"/>
  <c r="S288" i="29"/>
  <c r="T288" i="29"/>
  <c r="Q288" i="29"/>
  <c r="U288" i="29"/>
  <c r="E288" i="29"/>
  <c r="BM316" i="4"/>
  <c r="B315" i="4"/>
  <c r="BP315" i="4"/>
  <c r="AE288" i="29"/>
  <c r="AF288" i="29"/>
  <c r="AW313" i="4"/>
  <c r="BE311" i="4" l="1"/>
  <c r="BF311" i="4" s="1"/>
  <c r="AX311" i="4"/>
  <c r="AH313" i="4"/>
  <c r="AV312" i="4"/>
  <c r="V287" i="29"/>
  <c r="W287" i="29" s="1"/>
  <c r="P287" i="29"/>
  <c r="I288" i="29"/>
  <c r="K288" i="29" s="1"/>
  <c r="N288" i="29" s="1"/>
  <c r="J288" i="29"/>
  <c r="Y288" i="29" s="1"/>
  <c r="F315" i="4"/>
  <c r="K315" i="4"/>
  <c r="BD315" i="4"/>
  <c r="P315" i="4"/>
  <c r="R315" i="4"/>
  <c r="Q315" i="4"/>
  <c r="AM315" i="4"/>
  <c r="BC315" i="4"/>
  <c r="AY315" i="4"/>
  <c r="BA315" i="4"/>
  <c r="BB315" i="4"/>
  <c r="N315" i="4"/>
  <c r="M315" i="4"/>
  <c r="O315" i="4"/>
  <c r="AZ315" i="4"/>
  <c r="BM317" i="4"/>
  <c r="BP316" i="4"/>
  <c r="B316" i="4"/>
  <c r="AW314" i="4"/>
  <c r="AI290" i="29"/>
  <c r="B290" i="29"/>
  <c r="AD291" i="29"/>
  <c r="AK313" i="4"/>
  <c r="AN313" i="4"/>
  <c r="T289" i="29"/>
  <c r="E289" i="29"/>
  <c r="G289" i="29"/>
  <c r="S289" i="29"/>
  <c r="U289" i="29"/>
  <c r="Q289" i="29"/>
  <c r="R289" i="29"/>
  <c r="Y314" i="4"/>
  <c r="AG314" i="4" s="1"/>
  <c r="AD314" i="4"/>
  <c r="AI314" i="4" s="1"/>
  <c r="AC314" i="4"/>
  <c r="BG314" i="4" s="1"/>
  <c r="AF314" i="4"/>
  <c r="Z314" i="4"/>
  <c r="AH314" i="4" s="1"/>
  <c r="AE314" i="4"/>
  <c r="AJ314" i="4" s="1"/>
  <c r="O288" i="29"/>
  <c r="BN315" i="4"/>
  <c r="BO315" i="4"/>
  <c r="Z287" i="29"/>
  <c r="AO312" i="4"/>
  <c r="AE289" i="29"/>
  <c r="AF289" i="29"/>
  <c r="BE312" i="4" l="1"/>
  <c r="BF312" i="4" s="1"/>
  <c r="AX312" i="4"/>
  <c r="BH313" i="4"/>
  <c r="BH314" i="4"/>
  <c r="AO313" i="4"/>
  <c r="AV313" i="4"/>
  <c r="AX313" i="4" s="1"/>
  <c r="I289" i="29"/>
  <c r="K289" i="29" s="1"/>
  <c r="N289" i="29" s="1"/>
  <c r="J289" i="29"/>
  <c r="Z288" i="29"/>
  <c r="P288" i="29"/>
  <c r="V288" i="29"/>
  <c r="W288" i="29" s="1"/>
  <c r="AE315" i="4"/>
  <c r="AJ315" i="4" s="1"/>
  <c r="Z315" i="4"/>
  <c r="AH315" i="4" s="1"/>
  <c r="AF315" i="4"/>
  <c r="AC315" i="4"/>
  <c r="BG315" i="4" s="1"/>
  <c r="Y315" i="4"/>
  <c r="AG315" i="4" s="1"/>
  <c r="AD315" i="4"/>
  <c r="AI315" i="4" s="1"/>
  <c r="AK314" i="4"/>
  <c r="AN314" i="4"/>
  <c r="AI291" i="29"/>
  <c r="B291" i="29"/>
  <c r="AD292" i="29"/>
  <c r="BM318" i="4"/>
  <c r="B317" i="4"/>
  <c r="BP317" i="4"/>
  <c r="Y289" i="29"/>
  <c r="G290" i="29"/>
  <c r="U290" i="29"/>
  <c r="Q290" i="29"/>
  <c r="S290" i="29"/>
  <c r="E290" i="29"/>
  <c r="R290" i="29"/>
  <c r="T290" i="29"/>
  <c r="P316" i="4"/>
  <c r="N316" i="4"/>
  <c r="Q316" i="4"/>
  <c r="R316" i="4"/>
  <c r="BC316" i="4"/>
  <c r="BA316" i="4"/>
  <c r="AY316" i="4"/>
  <c r="BD316" i="4"/>
  <c r="F316" i="4"/>
  <c r="K316" i="4"/>
  <c r="AZ316" i="4"/>
  <c r="O316" i="4"/>
  <c r="BB316" i="4"/>
  <c r="M316" i="4"/>
  <c r="AM316" i="4"/>
  <c r="O289" i="29"/>
  <c r="AF290" i="29"/>
  <c r="AE290" i="29"/>
  <c r="BN316" i="4"/>
  <c r="BO316" i="4"/>
  <c r="AW315" i="4"/>
  <c r="BH315" i="4" l="1"/>
  <c r="AO314" i="4"/>
  <c r="BE313" i="4"/>
  <c r="BF313" i="4" s="1"/>
  <c r="AV314" i="4"/>
  <c r="P289" i="29"/>
  <c r="V289" i="29"/>
  <c r="W289" i="29" s="1"/>
  <c r="Z289" i="29"/>
  <c r="Q317" i="4"/>
  <c r="P317" i="4"/>
  <c r="AM317" i="4"/>
  <c r="R317" i="4"/>
  <c r="F317" i="4"/>
  <c r="BD317" i="4"/>
  <c r="K317" i="4"/>
  <c r="BC317" i="4"/>
  <c r="BA317" i="4"/>
  <c r="BB317" i="4"/>
  <c r="AY317" i="4"/>
  <c r="M317" i="4"/>
  <c r="N317" i="4"/>
  <c r="AZ317" i="4"/>
  <c r="O317" i="4"/>
  <c r="O290" i="29"/>
  <c r="BN317" i="4"/>
  <c r="BO317" i="4"/>
  <c r="AF291" i="29"/>
  <c r="AE291" i="29"/>
  <c r="AD316" i="4"/>
  <c r="AI316" i="4" s="1"/>
  <c r="AC316" i="4"/>
  <c r="BG316" i="4" s="1"/>
  <c r="Y316" i="4"/>
  <c r="AG316" i="4" s="1"/>
  <c r="Z316" i="4"/>
  <c r="AH316" i="4" s="1"/>
  <c r="AF316" i="4"/>
  <c r="AE316" i="4"/>
  <c r="AJ316" i="4" s="1"/>
  <c r="J290" i="29"/>
  <c r="Y290" i="29" s="1"/>
  <c r="I290" i="29"/>
  <c r="K290" i="29" s="1"/>
  <c r="N290" i="29" s="1"/>
  <c r="BM319" i="4"/>
  <c r="BP318" i="4"/>
  <c r="B318" i="4"/>
  <c r="AI292" i="29"/>
  <c r="AD293" i="29"/>
  <c r="B292" i="29"/>
  <c r="AK315" i="4"/>
  <c r="AN315" i="4"/>
  <c r="AW316" i="4"/>
  <c r="T291" i="29"/>
  <c r="E291" i="29"/>
  <c r="U291" i="29"/>
  <c r="Q291" i="29"/>
  <c r="R291" i="29"/>
  <c r="G291" i="29"/>
  <c r="S291" i="29"/>
  <c r="BE314" i="4" l="1"/>
  <c r="BF314" i="4" s="1"/>
  <c r="AX314" i="4"/>
  <c r="AV315" i="4"/>
  <c r="AX315" i="4" s="1"/>
  <c r="BH316" i="4"/>
  <c r="P290" i="29"/>
  <c r="V290" i="29"/>
  <c r="W290" i="29" s="1"/>
  <c r="AF292" i="29"/>
  <c r="AE292" i="29"/>
  <c r="AD317" i="4"/>
  <c r="AI317" i="4" s="1"/>
  <c r="AF317" i="4"/>
  <c r="Z317" i="4"/>
  <c r="AH317" i="4" s="1"/>
  <c r="AC317" i="4"/>
  <c r="BG317" i="4" s="1"/>
  <c r="AE317" i="4"/>
  <c r="AJ317" i="4" s="1"/>
  <c r="Y317" i="4"/>
  <c r="AG317" i="4" s="1"/>
  <c r="O291" i="29"/>
  <c r="AI293" i="29"/>
  <c r="B293" i="29"/>
  <c r="AD294" i="29"/>
  <c r="BM320" i="4"/>
  <c r="BP319" i="4"/>
  <c r="B319" i="4"/>
  <c r="AK316" i="4"/>
  <c r="AN316" i="4"/>
  <c r="N318" i="4"/>
  <c r="BB318" i="4"/>
  <c r="M318" i="4"/>
  <c r="O318" i="4"/>
  <c r="P318" i="4"/>
  <c r="AM318" i="4"/>
  <c r="R318" i="4"/>
  <c r="Q318" i="4"/>
  <c r="K318" i="4"/>
  <c r="F318" i="4"/>
  <c r="AZ318" i="4"/>
  <c r="AY318" i="4"/>
  <c r="BA318" i="4"/>
  <c r="BC318" i="4"/>
  <c r="BD318" i="4"/>
  <c r="Z290" i="29"/>
  <c r="AW317" i="4"/>
  <c r="AO315" i="4"/>
  <c r="U292" i="29"/>
  <c r="E292" i="29"/>
  <c r="R292" i="29"/>
  <c r="Q292" i="29"/>
  <c r="S292" i="29"/>
  <c r="T292" i="29"/>
  <c r="G292" i="29"/>
  <c r="BN318" i="4"/>
  <c r="BO318" i="4"/>
  <c r="J291" i="29"/>
  <c r="Y291" i="29" s="1"/>
  <c r="I291" i="29"/>
  <c r="K291" i="29" s="1"/>
  <c r="N291" i="29" s="1"/>
  <c r="BE315" i="4" l="1"/>
  <c r="BF315" i="4" s="1"/>
  <c r="AV316" i="4"/>
  <c r="BH317" i="4"/>
  <c r="AW318" i="4"/>
  <c r="V291" i="29"/>
  <c r="W291" i="29" s="1"/>
  <c r="P291" i="29"/>
  <c r="R319" i="4"/>
  <c r="AM319" i="4"/>
  <c r="P319" i="4"/>
  <c r="Q319" i="4"/>
  <c r="K319" i="4"/>
  <c r="F319" i="4"/>
  <c r="BD319" i="4"/>
  <c r="BB319" i="4"/>
  <c r="AY319" i="4"/>
  <c r="BC319" i="4"/>
  <c r="BA319" i="4"/>
  <c r="AZ319" i="4"/>
  <c r="M319" i="4"/>
  <c r="N319" i="4"/>
  <c r="O319" i="4"/>
  <c r="G293" i="29"/>
  <c r="U293" i="29"/>
  <c r="E293" i="29"/>
  <c r="R293" i="29"/>
  <c r="Q293" i="29"/>
  <c r="S293" i="29"/>
  <c r="T293" i="29"/>
  <c r="AK317" i="4"/>
  <c r="AN317" i="4"/>
  <c r="O292" i="29"/>
  <c r="BO319" i="4"/>
  <c r="BN319" i="4"/>
  <c r="AF293" i="29"/>
  <c r="AE293" i="29"/>
  <c r="Z291" i="29"/>
  <c r="J292" i="29"/>
  <c r="Y292" i="29" s="1"/>
  <c r="I292" i="29"/>
  <c r="K292" i="29" s="1"/>
  <c r="N292" i="29" s="1"/>
  <c r="Z318" i="4"/>
  <c r="AH318" i="4" s="1"/>
  <c r="Y318" i="4"/>
  <c r="AG318" i="4" s="1"/>
  <c r="AD318" i="4"/>
  <c r="AI318" i="4" s="1"/>
  <c r="AF318" i="4"/>
  <c r="AE318" i="4"/>
  <c r="AJ318" i="4" s="1"/>
  <c r="AC318" i="4"/>
  <c r="BG318" i="4" s="1"/>
  <c r="BM321" i="4"/>
  <c r="B320" i="4"/>
  <c r="BP320" i="4"/>
  <c r="AO316" i="4"/>
  <c r="AI294" i="29"/>
  <c r="B294" i="29"/>
  <c r="AD295" i="29"/>
  <c r="BE316" i="4" l="1"/>
  <c r="AX316" i="4"/>
  <c r="AV317" i="4"/>
  <c r="AX317" i="4" s="1"/>
  <c r="AO317" i="4"/>
  <c r="G294" i="29"/>
  <c r="S294" i="29"/>
  <c r="U294" i="29"/>
  <c r="R294" i="29"/>
  <c r="T294" i="29"/>
  <c r="Q294" i="29"/>
  <c r="E294" i="29"/>
  <c r="O293" i="29"/>
  <c r="BO320" i="4"/>
  <c r="BN320" i="4"/>
  <c r="AF294" i="29"/>
  <c r="AE294" i="29"/>
  <c r="BD320" i="4"/>
  <c r="M320" i="4"/>
  <c r="O320" i="4"/>
  <c r="N320" i="4"/>
  <c r="AM320" i="4"/>
  <c r="Q320" i="4"/>
  <c r="P320" i="4"/>
  <c r="R320" i="4"/>
  <c r="K320" i="4"/>
  <c r="F320" i="4"/>
  <c r="AZ320" i="4"/>
  <c r="BA320" i="4"/>
  <c r="AY320" i="4"/>
  <c r="BC320" i="4"/>
  <c r="BB320" i="4"/>
  <c r="AF319" i="4"/>
  <c r="AD319" i="4"/>
  <c r="AI319" i="4" s="1"/>
  <c r="Z319" i="4"/>
  <c r="AH319" i="4" s="1"/>
  <c r="Y319" i="4"/>
  <c r="AG319" i="4" s="1"/>
  <c r="AC319" i="4"/>
  <c r="BG319" i="4" s="1"/>
  <c r="AE319" i="4"/>
  <c r="AJ319" i="4" s="1"/>
  <c r="Z292" i="29"/>
  <c r="V292" i="29"/>
  <c r="W292" i="29" s="1"/>
  <c r="P292" i="29"/>
  <c r="BP321" i="4"/>
  <c r="BM322" i="4"/>
  <c r="B321" i="4"/>
  <c r="BH318" i="4"/>
  <c r="AI295" i="29"/>
  <c r="B295" i="29"/>
  <c r="AD296" i="29"/>
  <c r="AK318" i="4"/>
  <c r="AN318" i="4"/>
  <c r="I293" i="29"/>
  <c r="K293" i="29" s="1"/>
  <c r="N293" i="29" s="1"/>
  <c r="J293" i="29"/>
  <c r="Y293" i="29" s="1"/>
  <c r="AW319" i="4"/>
  <c r="Z293" i="29" l="1"/>
  <c r="BF316" i="4"/>
  <c r="BE317" i="4"/>
  <c r="BF317" i="4" s="1"/>
  <c r="AV318" i="4"/>
  <c r="AX318" i="4" s="1"/>
  <c r="BH319" i="4"/>
  <c r="V293" i="29"/>
  <c r="W293" i="29" s="1"/>
  <c r="P293" i="29"/>
  <c r="AF295" i="29"/>
  <c r="AE295" i="29"/>
  <c r="F321" i="4"/>
  <c r="BD321" i="4"/>
  <c r="K321" i="4"/>
  <c r="P321" i="4"/>
  <c r="R321" i="4"/>
  <c r="Q321" i="4"/>
  <c r="AM321" i="4"/>
  <c r="BC321" i="4"/>
  <c r="BA321" i="4"/>
  <c r="AY321" i="4"/>
  <c r="BB321" i="4"/>
  <c r="M321" i="4"/>
  <c r="N321" i="4"/>
  <c r="O321" i="4"/>
  <c r="AZ321" i="4"/>
  <c r="O294" i="29"/>
  <c r="AO318" i="4"/>
  <c r="AW320" i="4"/>
  <c r="I294" i="29"/>
  <c r="K294" i="29" s="1"/>
  <c r="N294" i="29" s="1"/>
  <c r="J294" i="29"/>
  <c r="Y294" i="29" s="1"/>
  <c r="AF320" i="4"/>
  <c r="AD320" i="4"/>
  <c r="AI320" i="4" s="1"/>
  <c r="AC320" i="4"/>
  <c r="BG320" i="4" s="1"/>
  <c r="Z320" i="4"/>
  <c r="AH320" i="4" s="1"/>
  <c r="AE320" i="4"/>
  <c r="AJ320" i="4" s="1"/>
  <c r="Y320" i="4"/>
  <c r="AG320" i="4" s="1"/>
  <c r="BP322" i="4"/>
  <c r="BM323" i="4"/>
  <c r="B322" i="4"/>
  <c r="AI296" i="29"/>
  <c r="AD297" i="29"/>
  <c r="B296" i="29"/>
  <c r="BN321" i="4"/>
  <c r="BO321" i="4"/>
  <c r="S295" i="29"/>
  <c r="E295" i="29"/>
  <c r="T295" i="29"/>
  <c r="U295" i="29"/>
  <c r="G295" i="29"/>
  <c r="R295" i="29"/>
  <c r="Q295" i="29"/>
  <c r="AK319" i="4"/>
  <c r="AN319" i="4"/>
  <c r="BE318" i="4" l="1"/>
  <c r="BF318" i="4" s="1"/>
  <c r="AV319" i="4"/>
  <c r="AX319" i="4" s="1"/>
  <c r="P294" i="29"/>
  <c r="V294" i="29"/>
  <c r="W294" i="29" s="1"/>
  <c r="AF296" i="29"/>
  <c r="AE296" i="29"/>
  <c r="AK320" i="4"/>
  <c r="AN320" i="4"/>
  <c r="I295" i="29"/>
  <c r="K295" i="29" s="1"/>
  <c r="N295" i="29" s="1"/>
  <c r="J295" i="29"/>
  <c r="Y295" i="29" s="1"/>
  <c r="AC321" i="4"/>
  <c r="BG321" i="4" s="1"/>
  <c r="AD321" i="4"/>
  <c r="AI321" i="4" s="1"/>
  <c r="AE321" i="4"/>
  <c r="AJ321" i="4" s="1"/>
  <c r="Z321" i="4"/>
  <c r="AH321" i="4" s="1"/>
  <c r="AF321" i="4"/>
  <c r="AK321" i="4" s="1"/>
  <c r="Y321" i="4"/>
  <c r="AG321" i="4" s="1"/>
  <c r="F322" i="4"/>
  <c r="AZ322" i="4"/>
  <c r="K322" i="4"/>
  <c r="BC322" i="4"/>
  <c r="BA322" i="4"/>
  <c r="BD322" i="4"/>
  <c r="AY322" i="4"/>
  <c r="M322" i="4"/>
  <c r="BB322" i="4"/>
  <c r="AM322" i="4"/>
  <c r="N322" i="4"/>
  <c r="R322" i="4"/>
  <c r="O322" i="4"/>
  <c r="Q322" i="4"/>
  <c r="P322" i="4"/>
  <c r="BH320" i="4"/>
  <c r="T296" i="29"/>
  <c r="G296" i="29"/>
  <c r="U296" i="29"/>
  <c r="E296" i="29"/>
  <c r="R296" i="29"/>
  <c r="Q296" i="29"/>
  <c r="S296" i="29"/>
  <c r="B323" i="4"/>
  <c r="BP323" i="4"/>
  <c r="BM324" i="4"/>
  <c r="Z294" i="29"/>
  <c r="AW321" i="4"/>
  <c r="AO319" i="4"/>
  <c r="O295" i="29"/>
  <c r="AI297" i="29"/>
  <c r="B297" i="29"/>
  <c r="AD298" i="29"/>
  <c r="BO322" i="4"/>
  <c r="BN322" i="4"/>
  <c r="AV320" i="4" l="1"/>
  <c r="AX320" i="4" s="1"/>
  <c r="BE319" i="4"/>
  <c r="BF319" i="4" s="1"/>
  <c r="AN321" i="4"/>
  <c r="AV321" i="4" s="1"/>
  <c r="AX321" i="4" s="1"/>
  <c r="BH321" i="4"/>
  <c r="BO323" i="4"/>
  <c r="BN323" i="4"/>
  <c r="AI298" i="29"/>
  <c r="AD299" i="29"/>
  <c r="B298" i="29"/>
  <c r="Z295" i="29"/>
  <c r="E297" i="29"/>
  <c r="R297" i="29"/>
  <c r="T297" i="29"/>
  <c r="S297" i="29"/>
  <c r="G297" i="29"/>
  <c r="U297" i="29"/>
  <c r="Q297" i="29"/>
  <c r="BP324" i="4"/>
  <c r="BM325" i="4"/>
  <c r="B324" i="4"/>
  <c r="Y322" i="4"/>
  <c r="AG322" i="4" s="1"/>
  <c r="AD322" i="4"/>
  <c r="AI322" i="4" s="1"/>
  <c r="AE322" i="4"/>
  <c r="AJ322" i="4" s="1"/>
  <c r="Z322" i="4"/>
  <c r="AH322" i="4" s="1"/>
  <c r="AF322" i="4"/>
  <c r="AC322" i="4"/>
  <c r="BG322" i="4" s="1"/>
  <c r="AE297" i="29"/>
  <c r="AF297" i="29"/>
  <c r="AM323" i="4"/>
  <c r="R323" i="4"/>
  <c r="P323" i="4"/>
  <c r="Q323" i="4"/>
  <c r="BB323" i="4"/>
  <c r="AY323" i="4"/>
  <c r="BC323" i="4"/>
  <c r="BA323" i="4"/>
  <c r="AZ323" i="4"/>
  <c r="M323" i="4"/>
  <c r="N323" i="4"/>
  <c r="O323" i="4"/>
  <c r="K323" i="4"/>
  <c r="F323" i="4"/>
  <c r="BD323" i="4"/>
  <c r="I296" i="29"/>
  <c r="K296" i="29" s="1"/>
  <c r="N296" i="29" s="1"/>
  <c r="J296" i="29"/>
  <c r="Y296" i="29" s="1"/>
  <c r="O296" i="29"/>
  <c r="AW322" i="4"/>
  <c r="P295" i="29"/>
  <c r="V295" i="29"/>
  <c r="W295" i="29" s="1"/>
  <c r="AO320" i="4"/>
  <c r="AO321" i="4" l="1"/>
  <c r="BE320" i="4"/>
  <c r="BF320" i="4" s="1"/>
  <c r="BH322" i="4"/>
  <c r="BP325" i="4"/>
  <c r="BM326" i="4"/>
  <c r="B325" i="4"/>
  <c r="J297" i="29"/>
  <c r="Y297" i="29" s="1"/>
  <c r="I297" i="29"/>
  <c r="K297" i="29" s="1"/>
  <c r="N297" i="29" s="1"/>
  <c r="BE321" i="4"/>
  <c r="BF321" i="4" s="1"/>
  <c r="BO324" i="4"/>
  <c r="BN324" i="4"/>
  <c r="O297" i="29"/>
  <c r="Q298" i="29"/>
  <c r="R298" i="29"/>
  <c r="S298" i="29"/>
  <c r="G298" i="29"/>
  <c r="T298" i="29"/>
  <c r="E298" i="29"/>
  <c r="U298" i="29"/>
  <c r="AD323" i="4"/>
  <c r="AI323" i="4" s="1"/>
  <c r="AF323" i="4"/>
  <c r="AE323" i="4"/>
  <c r="AJ323" i="4" s="1"/>
  <c r="Z323" i="4"/>
  <c r="AH323" i="4" s="1"/>
  <c r="AC323" i="4"/>
  <c r="BG323" i="4" s="1"/>
  <c r="Y323" i="4"/>
  <c r="AG323" i="4" s="1"/>
  <c r="Z296" i="29"/>
  <c r="P296" i="29"/>
  <c r="V296" i="29"/>
  <c r="W296" i="29" s="1"/>
  <c r="AI299" i="29"/>
  <c r="B299" i="29"/>
  <c r="AD300" i="29"/>
  <c r="AW323" i="4"/>
  <c r="AK322" i="4"/>
  <c r="AN322" i="4"/>
  <c r="R324" i="4"/>
  <c r="P324" i="4"/>
  <c r="Q324" i="4"/>
  <c r="N324" i="4"/>
  <c r="AZ324" i="4"/>
  <c r="K324" i="4"/>
  <c r="F324" i="4"/>
  <c r="BD324" i="4"/>
  <c r="AY324" i="4"/>
  <c r="BC324" i="4"/>
  <c r="BA324" i="4"/>
  <c r="AM324" i="4"/>
  <c r="M324" i="4"/>
  <c r="O324" i="4"/>
  <c r="BB324" i="4"/>
  <c r="AF298" i="29"/>
  <c r="AE298" i="29"/>
  <c r="BH323" i="4" l="1"/>
  <c r="AO322" i="4"/>
  <c r="I298" i="29"/>
  <c r="K298" i="29" s="1"/>
  <c r="N298" i="29" s="1"/>
  <c r="J298" i="29"/>
  <c r="Y298" i="29" s="1"/>
  <c r="O298" i="29"/>
  <c r="BO325" i="4"/>
  <c r="BN325" i="4"/>
  <c r="AW324" i="4"/>
  <c r="AI300" i="29"/>
  <c r="B300" i="29"/>
  <c r="AD301" i="29"/>
  <c r="Q299" i="29"/>
  <c r="T299" i="29"/>
  <c r="S299" i="29"/>
  <c r="G299" i="29"/>
  <c r="U299" i="29"/>
  <c r="E299" i="29"/>
  <c r="R299" i="29"/>
  <c r="V297" i="29"/>
  <c r="W297" i="29" s="1"/>
  <c r="P297" i="29"/>
  <c r="AK323" i="4"/>
  <c r="AN323" i="4"/>
  <c r="Z297" i="29"/>
  <c r="O325" i="4"/>
  <c r="M325" i="4"/>
  <c r="N325" i="4"/>
  <c r="AZ325" i="4"/>
  <c r="P325" i="4"/>
  <c r="Q325" i="4"/>
  <c r="R325" i="4"/>
  <c r="AM325" i="4"/>
  <c r="K325" i="4"/>
  <c r="F325" i="4"/>
  <c r="BD325" i="4"/>
  <c r="AY325" i="4"/>
  <c r="BC325" i="4"/>
  <c r="BA325" i="4"/>
  <c r="BB325" i="4"/>
  <c r="AV322" i="4"/>
  <c r="AX322" i="4" s="1"/>
  <c r="AE299" i="29"/>
  <c r="AF299" i="29"/>
  <c r="AE324" i="4"/>
  <c r="AJ324" i="4" s="1"/>
  <c r="Z324" i="4"/>
  <c r="AH324" i="4" s="1"/>
  <c r="AC324" i="4"/>
  <c r="BG324" i="4" s="1"/>
  <c r="AD324" i="4"/>
  <c r="AI324" i="4" s="1"/>
  <c r="Y324" i="4"/>
  <c r="AG324" i="4" s="1"/>
  <c r="AF324" i="4"/>
  <c r="BM327" i="4"/>
  <c r="BP326" i="4"/>
  <c r="B326" i="4"/>
  <c r="O299" i="29" l="1"/>
  <c r="AO323" i="4"/>
  <c r="V298" i="29"/>
  <c r="W298" i="29" s="1"/>
  <c r="P298" i="29"/>
  <c r="BE322" i="4"/>
  <c r="BF322" i="4" s="1"/>
  <c r="AW325" i="4"/>
  <c r="AV323" i="4"/>
  <c r="AI301" i="29"/>
  <c r="B301" i="29"/>
  <c r="AD302" i="29"/>
  <c r="R300" i="29"/>
  <c r="S300" i="29"/>
  <c r="G300" i="29"/>
  <c r="T300" i="29"/>
  <c r="E300" i="29"/>
  <c r="U300" i="29"/>
  <c r="Q300" i="29"/>
  <c r="AE325" i="4"/>
  <c r="AJ325" i="4" s="1"/>
  <c r="Z325" i="4"/>
  <c r="AH325" i="4" s="1"/>
  <c r="Y325" i="4"/>
  <c r="AG325" i="4" s="1"/>
  <c r="AF325" i="4"/>
  <c r="AD325" i="4"/>
  <c r="AI325" i="4" s="1"/>
  <c r="AC325" i="4"/>
  <c r="BG325" i="4" s="1"/>
  <c r="Z298" i="29"/>
  <c r="R326" i="4"/>
  <c r="P326" i="4"/>
  <c r="Q326" i="4"/>
  <c r="AM326" i="4"/>
  <c r="AZ326" i="4"/>
  <c r="K326" i="4"/>
  <c r="F326" i="4"/>
  <c r="BD326" i="4"/>
  <c r="AY326" i="4"/>
  <c r="BC326" i="4"/>
  <c r="BA326" i="4"/>
  <c r="O326" i="4"/>
  <c r="N326" i="4"/>
  <c r="M326" i="4"/>
  <c r="BB326" i="4"/>
  <c r="I299" i="29"/>
  <c r="K299" i="29" s="1"/>
  <c r="N299" i="29" s="1"/>
  <c r="J299" i="29"/>
  <c r="Y299" i="29" s="1"/>
  <c r="BO326" i="4"/>
  <c r="BN326" i="4"/>
  <c r="BM328" i="4"/>
  <c r="BP327" i="4"/>
  <c r="B327" i="4"/>
  <c r="AK324" i="4"/>
  <c r="AN324" i="4"/>
  <c r="BH324" i="4"/>
  <c r="AF300" i="29"/>
  <c r="AE300" i="29"/>
  <c r="AX323" i="4" l="1"/>
  <c r="Z299" i="29"/>
  <c r="AV324" i="4"/>
  <c r="AX324" i="4" s="1"/>
  <c r="AO324" i="4"/>
  <c r="P299" i="29"/>
  <c r="V299" i="29"/>
  <c r="W299" i="29" s="1"/>
  <c r="AK325" i="4"/>
  <c r="AN325" i="4"/>
  <c r="AF301" i="29"/>
  <c r="AE301" i="29"/>
  <c r="BD327" i="4"/>
  <c r="K327" i="4"/>
  <c r="F327" i="4"/>
  <c r="BA327" i="4"/>
  <c r="BB327" i="4"/>
  <c r="AY327" i="4"/>
  <c r="BC327" i="4"/>
  <c r="Q327" i="4"/>
  <c r="R327" i="4"/>
  <c r="AM327" i="4"/>
  <c r="P327" i="4"/>
  <c r="O327" i="4"/>
  <c r="AZ327" i="4"/>
  <c r="M327" i="4"/>
  <c r="N327" i="4"/>
  <c r="O300" i="29"/>
  <c r="BE323" i="4"/>
  <c r="BH325" i="4"/>
  <c r="AI302" i="29"/>
  <c r="B302" i="29"/>
  <c r="AD303" i="29"/>
  <c r="I300" i="29"/>
  <c r="K300" i="29" s="1"/>
  <c r="N300" i="29" s="1"/>
  <c r="J300" i="29"/>
  <c r="Y300" i="29" s="1"/>
  <c r="BN327" i="4"/>
  <c r="BO327" i="4"/>
  <c r="BP328" i="4"/>
  <c r="B328" i="4"/>
  <c r="BM329" i="4"/>
  <c r="Y326" i="4"/>
  <c r="AG326" i="4" s="1"/>
  <c r="AC326" i="4"/>
  <c r="BG326" i="4" s="1"/>
  <c r="AD326" i="4"/>
  <c r="AI326" i="4" s="1"/>
  <c r="AF326" i="4"/>
  <c r="Z326" i="4"/>
  <c r="AH326" i="4" s="1"/>
  <c r="AE326" i="4"/>
  <c r="AJ326" i="4" s="1"/>
  <c r="AW326" i="4"/>
  <c r="Q301" i="29"/>
  <c r="S301" i="29"/>
  <c r="R301" i="29"/>
  <c r="E301" i="29"/>
  <c r="U301" i="29"/>
  <c r="G301" i="29"/>
  <c r="T301" i="29"/>
  <c r="BF323" i="4" l="1"/>
  <c r="AV325" i="4"/>
  <c r="AX325" i="4" s="1"/>
  <c r="BE324" i="4"/>
  <c r="BF324" i="4" s="1"/>
  <c r="AO325" i="4"/>
  <c r="BH326" i="4"/>
  <c r="V300" i="29"/>
  <c r="W300" i="29" s="1"/>
  <c r="P300" i="29"/>
  <c r="M328" i="4"/>
  <c r="O328" i="4"/>
  <c r="BD328" i="4"/>
  <c r="N328" i="4"/>
  <c r="R328" i="4"/>
  <c r="Q328" i="4"/>
  <c r="AM328" i="4"/>
  <c r="P328" i="4"/>
  <c r="K328" i="4"/>
  <c r="F328" i="4"/>
  <c r="AZ328" i="4"/>
  <c r="AY328" i="4"/>
  <c r="BC328" i="4"/>
  <c r="BA328" i="4"/>
  <c r="BB328" i="4"/>
  <c r="Z327" i="4"/>
  <c r="AH327" i="4" s="1"/>
  <c r="AD327" i="4"/>
  <c r="AI327" i="4" s="1"/>
  <c r="AF327" i="4"/>
  <c r="AC327" i="4"/>
  <c r="BG327" i="4" s="1"/>
  <c r="Y327" i="4"/>
  <c r="AG327" i="4" s="1"/>
  <c r="AE327" i="4"/>
  <c r="AJ327" i="4" s="1"/>
  <c r="T302" i="29"/>
  <c r="Q302" i="29"/>
  <c r="E302" i="29"/>
  <c r="R302" i="29"/>
  <c r="U302" i="29"/>
  <c r="S302" i="29"/>
  <c r="G302" i="29"/>
  <c r="I301" i="29"/>
  <c r="K301" i="29" s="1"/>
  <c r="N301" i="29" s="1"/>
  <c r="J301" i="29"/>
  <c r="Y301" i="29" s="1"/>
  <c r="AK326" i="4"/>
  <c r="AN326" i="4"/>
  <c r="BN328" i="4"/>
  <c r="BO328" i="4"/>
  <c r="AE302" i="29"/>
  <c r="AF302" i="29"/>
  <c r="Z300" i="29"/>
  <c r="AW327" i="4"/>
  <c r="O301" i="29"/>
  <c r="B329" i="4"/>
  <c r="BP329" i="4"/>
  <c r="BM330" i="4"/>
  <c r="AI303" i="29"/>
  <c r="B303" i="29"/>
  <c r="AD304" i="29"/>
  <c r="BE325" i="4" l="1"/>
  <c r="BF325" i="4" s="1"/>
  <c r="AV326" i="4"/>
  <c r="AE303" i="29"/>
  <c r="AF303" i="29"/>
  <c r="BO329" i="4"/>
  <c r="BN329" i="4"/>
  <c r="Z301" i="29"/>
  <c r="BH327" i="4"/>
  <c r="O302" i="29"/>
  <c r="AK327" i="4"/>
  <c r="AN327" i="4"/>
  <c r="AW328" i="4"/>
  <c r="I302" i="29"/>
  <c r="K302" i="29" s="1"/>
  <c r="N302" i="29" s="1"/>
  <c r="J302" i="29"/>
  <c r="Y302" i="29" s="1"/>
  <c r="P329" i="4"/>
  <c r="R329" i="4"/>
  <c r="AM329" i="4"/>
  <c r="Q329" i="4"/>
  <c r="K329" i="4"/>
  <c r="F329" i="4"/>
  <c r="BD329" i="4"/>
  <c r="AY329" i="4"/>
  <c r="BC329" i="4"/>
  <c r="BB329" i="4"/>
  <c r="BA329" i="4"/>
  <c r="O329" i="4"/>
  <c r="M329" i="4"/>
  <c r="AZ329" i="4"/>
  <c r="N329" i="4"/>
  <c r="AI304" i="29"/>
  <c r="B304" i="29"/>
  <c r="AD305" i="29"/>
  <c r="AD328" i="4"/>
  <c r="AI328" i="4" s="1"/>
  <c r="AC328" i="4"/>
  <c r="BG328" i="4" s="1"/>
  <c r="AE328" i="4"/>
  <c r="AJ328" i="4" s="1"/>
  <c r="AF328" i="4"/>
  <c r="Z328" i="4"/>
  <c r="AH328" i="4" s="1"/>
  <c r="Y328" i="4"/>
  <c r="AG328" i="4" s="1"/>
  <c r="G303" i="29"/>
  <c r="U303" i="29"/>
  <c r="E303" i="29"/>
  <c r="S303" i="29"/>
  <c r="Q303" i="29"/>
  <c r="T303" i="29"/>
  <c r="R303" i="29"/>
  <c r="BP330" i="4"/>
  <c r="BM331" i="4"/>
  <c r="B330" i="4"/>
  <c r="V301" i="29"/>
  <c r="W301" i="29" s="1"/>
  <c r="P301" i="29"/>
  <c r="AO326" i="4"/>
  <c r="BE326" i="4" l="1"/>
  <c r="BF326" i="4" s="1"/>
  <c r="AX326" i="4"/>
  <c r="AO327" i="4"/>
  <c r="AV327" i="4"/>
  <c r="AX327" i="4" s="1"/>
  <c r="BH328" i="4"/>
  <c r="V302" i="29"/>
  <c r="W302" i="29" s="1"/>
  <c r="P302" i="29"/>
  <c r="AF304" i="29"/>
  <c r="AE304" i="29"/>
  <c r="Z302" i="29"/>
  <c r="AY330" i="4"/>
  <c r="BC330" i="4"/>
  <c r="BA330" i="4"/>
  <c r="BD330" i="4"/>
  <c r="N330" i="4"/>
  <c r="BB330" i="4"/>
  <c r="R330" i="4"/>
  <c r="O330" i="4"/>
  <c r="M330" i="4"/>
  <c r="AM330" i="4"/>
  <c r="P330" i="4"/>
  <c r="Q330" i="4"/>
  <c r="K330" i="4"/>
  <c r="F330" i="4"/>
  <c r="AZ330" i="4"/>
  <c r="BM332" i="4"/>
  <c r="BP331" i="4"/>
  <c r="B331" i="4"/>
  <c r="BO330" i="4"/>
  <c r="BN330" i="4"/>
  <c r="AW329" i="4"/>
  <c r="J303" i="29"/>
  <c r="Y303" i="29" s="1"/>
  <c r="I303" i="29"/>
  <c r="K303" i="29" s="1"/>
  <c r="N303" i="29" s="1"/>
  <c r="AI305" i="29"/>
  <c r="AD306" i="29"/>
  <c r="B305" i="29"/>
  <c r="AE329" i="4"/>
  <c r="AJ329" i="4" s="1"/>
  <c r="AF329" i="4"/>
  <c r="AD329" i="4"/>
  <c r="AI329" i="4" s="1"/>
  <c r="Y329" i="4"/>
  <c r="AG329" i="4" s="1"/>
  <c r="Z329" i="4"/>
  <c r="AH329" i="4" s="1"/>
  <c r="AC329" i="4"/>
  <c r="BG329" i="4" s="1"/>
  <c r="O303" i="29"/>
  <c r="AK328" i="4"/>
  <c r="AN328" i="4"/>
  <c r="T304" i="29"/>
  <c r="S304" i="29"/>
  <c r="G304" i="29"/>
  <c r="E304" i="29"/>
  <c r="U304" i="29"/>
  <c r="Q304" i="29"/>
  <c r="R304" i="29"/>
  <c r="BE327" i="4" l="1"/>
  <c r="BF327" i="4" s="1"/>
  <c r="AO328" i="4"/>
  <c r="O304" i="29"/>
  <c r="AV328" i="4"/>
  <c r="AX328" i="4" s="1"/>
  <c r="P303" i="29"/>
  <c r="V303" i="29"/>
  <c r="W303" i="29" s="1"/>
  <c r="Z303" i="29"/>
  <c r="AK329" i="4"/>
  <c r="AN329" i="4"/>
  <c r="BN331" i="4"/>
  <c r="BO331" i="4"/>
  <c r="AI306" i="29"/>
  <c r="AD307" i="29"/>
  <c r="B306" i="29"/>
  <c r="AW330" i="4"/>
  <c r="AE305" i="29"/>
  <c r="AF305" i="29"/>
  <c r="M331" i="4"/>
  <c r="O331" i="4"/>
  <c r="AZ331" i="4"/>
  <c r="N331" i="4"/>
  <c r="R331" i="4"/>
  <c r="Q331" i="4"/>
  <c r="AM331" i="4"/>
  <c r="P331" i="4"/>
  <c r="K331" i="4"/>
  <c r="BD331" i="4"/>
  <c r="F331" i="4"/>
  <c r="AY331" i="4"/>
  <c r="BA331" i="4"/>
  <c r="BB331" i="4"/>
  <c r="BC331" i="4"/>
  <c r="J304" i="29"/>
  <c r="Y304" i="29" s="1"/>
  <c r="I304" i="29"/>
  <c r="K304" i="29" s="1"/>
  <c r="N304" i="29" s="1"/>
  <c r="BH329" i="4"/>
  <c r="U305" i="29"/>
  <c r="T305" i="29"/>
  <c r="R305" i="29"/>
  <c r="E305" i="29"/>
  <c r="G305" i="29"/>
  <c r="Q305" i="29"/>
  <c r="S305" i="29"/>
  <c r="AE330" i="4"/>
  <c r="AJ330" i="4" s="1"/>
  <c r="Z330" i="4"/>
  <c r="AH330" i="4" s="1"/>
  <c r="AF330" i="4"/>
  <c r="AD330" i="4"/>
  <c r="AI330" i="4" s="1"/>
  <c r="AC330" i="4"/>
  <c r="BG330" i="4" s="1"/>
  <c r="Y330" i="4"/>
  <c r="AG330" i="4" s="1"/>
  <c r="B332" i="4"/>
  <c r="BM333" i="4"/>
  <c r="BP332" i="4"/>
  <c r="Z304" i="29" l="1"/>
  <c r="AO329" i="4"/>
  <c r="BE328" i="4"/>
  <c r="BF328" i="4" s="1"/>
  <c r="BH330" i="4"/>
  <c r="AE306" i="29"/>
  <c r="AF306" i="29"/>
  <c r="J305" i="29"/>
  <c r="I305" i="29"/>
  <c r="K305" i="29" s="1"/>
  <c r="N305" i="29" s="1"/>
  <c r="BM334" i="4"/>
  <c r="B333" i="4"/>
  <c r="BP333" i="4"/>
  <c r="K332" i="4"/>
  <c r="AZ332" i="4"/>
  <c r="F332" i="4"/>
  <c r="BA332" i="4"/>
  <c r="AY332" i="4"/>
  <c r="BD332" i="4"/>
  <c r="BC332" i="4"/>
  <c r="BB332" i="4"/>
  <c r="M332" i="4"/>
  <c r="N332" i="4"/>
  <c r="O332" i="4"/>
  <c r="AM332" i="4"/>
  <c r="Q332" i="4"/>
  <c r="R332" i="4"/>
  <c r="P332" i="4"/>
  <c r="AK330" i="4"/>
  <c r="AN330" i="4"/>
  <c r="O305" i="29"/>
  <c r="AW331" i="4"/>
  <c r="T306" i="29"/>
  <c r="G306" i="29"/>
  <c r="U306" i="29"/>
  <c r="R306" i="29"/>
  <c r="E306" i="29"/>
  <c r="Q306" i="29"/>
  <c r="S306" i="29"/>
  <c r="Z331" i="4"/>
  <c r="AH331" i="4" s="1"/>
  <c r="AE331" i="4"/>
  <c r="AJ331" i="4" s="1"/>
  <c r="AF331" i="4"/>
  <c r="Y331" i="4"/>
  <c r="AG331" i="4" s="1"/>
  <c r="AD331" i="4"/>
  <c r="AI331" i="4" s="1"/>
  <c r="AC331" i="4"/>
  <c r="BG331" i="4" s="1"/>
  <c r="BO332" i="4"/>
  <c r="BN332" i="4"/>
  <c r="Y305" i="29"/>
  <c r="P304" i="29"/>
  <c r="V304" i="29"/>
  <c r="W304" i="29" s="1"/>
  <c r="AI307" i="29"/>
  <c r="AD308" i="29"/>
  <c r="B307" i="29"/>
  <c r="AV329" i="4"/>
  <c r="AX329" i="4" s="1"/>
  <c r="AV330" i="4" l="1"/>
  <c r="O306" i="29"/>
  <c r="BN333" i="4"/>
  <c r="BO333" i="4"/>
  <c r="Z305" i="29"/>
  <c r="AW332" i="4"/>
  <c r="F333" i="4"/>
  <c r="BD333" i="4"/>
  <c r="K333" i="4"/>
  <c r="BC333" i="4"/>
  <c r="BA333" i="4"/>
  <c r="BB333" i="4"/>
  <c r="AY333" i="4"/>
  <c r="M333" i="4"/>
  <c r="N333" i="4"/>
  <c r="AZ333" i="4"/>
  <c r="O333" i="4"/>
  <c r="Q333" i="4"/>
  <c r="P333" i="4"/>
  <c r="AM333" i="4"/>
  <c r="R333" i="4"/>
  <c r="I306" i="29"/>
  <c r="K306" i="29" s="1"/>
  <c r="N306" i="29" s="1"/>
  <c r="J306" i="29"/>
  <c r="Y306" i="29" s="1"/>
  <c r="AE307" i="29"/>
  <c r="AF307" i="29"/>
  <c r="BE329" i="4"/>
  <c r="BF329" i="4" s="1"/>
  <c r="V305" i="29"/>
  <c r="W305" i="29" s="1"/>
  <c r="P305" i="29"/>
  <c r="BH331" i="4"/>
  <c r="T307" i="29"/>
  <c r="R307" i="29"/>
  <c r="E307" i="29"/>
  <c r="G307" i="29"/>
  <c r="Q307" i="29"/>
  <c r="S307" i="29"/>
  <c r="U307" i="29"/>
  <c r="AI308" i="29"/>
  <c r="AD309" i="29"/>
  <c r="B308" i="29"/>
  <c r="AC332" i="4"/>
  <c r="BG332" i="4" s="1"/>
  <c r="AF332" i="4"/>
  <c r="Y332" i="4"/>
  <c r="AG332" i="4" s="1"/>
  <c r="Z332" i="4"/>
  <c r="AH332" i="4" s="1"/>
  <c r="AE332" i="4"/>
  <c r="AJ332" i="4" s="1"/>
  <c r="AD332" i="4"/>
  <c r="AI332" i="4" s="1"/>
  <c r="AK331" i="4"/>
  <c r="AN331" i="4"/>
  <c r="AO330" i="4"/>
  <c r="B334" i="4"/>
  <c r="BM335" i="4"/>
  <c r="BP334" i="4"/>
  <c r="BE330" i="4" l="1"/>
  <c r="BF330" i="4" s="1"/>
  <c r="AX330" i="4"/>
  <c r="Z306" i="29"/>
  <c r="AO331" i="4"/>
  <c r="P306" i="29"/>
  <c r="V306" i="29"/>
  <c r="W306" i="29" s="1"/>
  <c r="AI309" i="29"/>
  <c r="B309" i="29"/>
  <c r="AD310" i="29"/>
  <c r="BP335" i="4"/>
  <c r="BM336" i="4"/>
  <c r="B335" i="4"/>
  <c r="AK332" i="4"/>
  <c r="AN332" i="4"/>
  <c r="AF308" i="29"/>
  <c r="AE308" i="29"/>
  <c r="AW333" i="4"/>
  <c r="BO334" i="4"/>
  <c r="BN334" i="4"/>
  <c r="Y333" i="4"/>
  <c r="AG333" i="4" s="1"/>
  <c r="AC333" i="4"/>
  <c r="BG333" i="4" s="1"/>
  <c r="AE333" i="4"/>
  <c r="AJ333" i="4" s="1"/>
  <c r="Z333" i="4"/>
  <c r="AH333" i="4" s="1"/>
  <c r="AF333" i="4"/>
  <c r="AD333" i="4"/>
  <c r="AI333" i="4" s="1"/>
  <c r="BA334" i="4"/>
  <c r="BD334" i="4"/>
  <c r="AY334" i="4"/>
  <c r="BC334" i="4"/>
  <c r="BB334" i="4"/>
  <c r="O334" i="4"/>
  <c r="N334" i="4"/>
  <c r="M334" i="4"/>
  <c r="AM334" i="4"/>
  <c r="Q334" i="4"/>
  <c r="P334" i="4"/>
  <c r="R334" i="4"/>
  <c r="AZ334" i="4"/>
  <c r="K334" i="4"/>
  <c r="F334" i="4"/>
  <c r="AV331" i="4"/>
  <c r="AX331" i="4" s="1"/>
  <c r="BH332" i="4"/>
  <c r="U308" i="29"/>
  <c r="G308" i="29"/>
  <c r="R308" i="29"/>
  <c r="E308" i="29"/>
  <c r="S308" i="29"/>
  <c r="Q308" i="29"/>
  <c r="T308" i="29"/>
  <c r="O307" i="29"/>
  <c r="I307" i="29"/>
  <c r="K307" i="29" s="1"/>
  <c r="N307" i="29" s="1"/>
  <c r="J307" i="29"/>
  <c r="Y307" i="29" s="1"/>
  <c r="AO332" i="4" l="1"/>
  <c r="BH333" i="4"/>
  <c r="AV332" i="4"/>
  <c r="AX332" i="4" s="1"/>
  <c r="P307" i="29"/>
  <c r="V307" i="29"/>
  <c r="W307" i="29" s="1"/>
  <c r="AW334" i="4"/>
  <c r="I308" i="29"/>
  <c r="J308" i="29"/>
  <c r="Y308" i="29" s="1"/>
  <c r="BN335" i="4"/>
  <c r="BO335" i="4"/>
  <c r="AI310" i="29"/>
  <c r="B310" i="29"/>
  <c r="AD311" i="29"/>
  <c r="O308" i="29"/>
  <c r="AE334" i="4"/>
  <c r="AJ334" i="4" s="1"/>
  <c r="AF334" i="4"/>
  <c r="Y334" i="4"/>
  <c r="AG334" i="4" s="1"/>
  <c r="AC334" i="4"/>
  <c r="BG334" i="4" s="1"/>
  <c r="Z334" i="4"/>
  <c r="AH334" i="4" s="1"/>
  <c r="AD334" i="4"/>
  <c r="AI334" i="4" s="1"/>
  <c r="Q309" i="29"/>
  <c r="S309" i="29"/>
  <c r="T309" i="29"/>
  <c r="E309" i="29"/>
  <c r="U309" i="29"/>
  <c r="G309" i="29"/>
  <c r="R309" i="29"/>
  <c r="Z307" i="29"/>
  <c r="K308" i="29"/>
  <c r="N308" i="29" s="1"/>
  <c r="AK333" i="4"/>
  <c r="AN333" i="4"/>
  <c r="M335" i="4"/>
  <c r="N335" i="4"/>
  <c r="O335" i="4"/>
  <c r="AZ335" i="4"/>
  <c r="R335" i="4"/>
  <c r="P335" i="4"/>
  <c r="Q335" i="4"/>
  <c r="AM335" i="4"/>
  <c r="K335" i="4"/>
  <c r="F335" i="4"/>
  <c r="BD335" i="4"/>
  <c r="AY335" i="4"/>
  <c r="BC335" i="4"/>
  <c r="BA335" i="4"/>
  <c r="BB335" i="4"/>
  <c r="AE309" i="29"/>
  <c r="AF309" i="29"/>
  <c r="BE331" i="4"/>
  <c r="BF331" i="4" s="1"/>
  <c r="BP336" i="4"/>
  <c r="BM337" i="4"/>
  <c r="B336" i="4"/>
  <c r="AO333" i="4" l="1"/>
  <c r="BE332" i="4"/>
  <c r="BF332" i="4" s="1"/>
  <c r="BA336" i="4"/>
  <c r="R336" i="4"/>
  <c r="Q336" i="4"/>
  <c r="P336" i="4"/>
  <c r="AZ336" i="4"/>
  <c r="BD336" i="4"/>
  <c r="K336" i="4"/>
  <c r="F336" i="4"/>
  <c r="BB336" i="4"/>
  <c r="M336" i="4"/>
  <c r="O336" i="4"/>
  <c r="N336" i="4"/>
  <c r="AM336" i="4"/>
  <c r="AY336" i="4"/>
  <c r="BC336" i="4"/>
  <c r="BP337" i="4"/>
  <c r="B337" i="4"/>
  <c r="BM338" i="4"/>
  <c r="J309" i="29"/>
  <c r="Y309" i="29" s="1"/>
  <c r="I309" i="29"/>
  <c r="K309" i="29" s="1"/>
  <c r="N309" i="29" s="1"/>
  <c r="AV333" i="4"/>
  <c r="AX333" i="4" s="1"/>
  <c r="BH334" i="4"/>
  <c r="R310" i="29"/>
  <c r="Q310" i="29"/>
  <c r="S310" i="29"/>
  <c r="U310" i="29"/>
  <c r="E310" i="29"/>
  <c r="T310" i="29"/>
  <c r="G310" i="29"/>
  <c r="AE310" i="29"/>
  <c r="AF310" i="29"/>
  <c r="BN336" i="4"/>
  <c r="BO336" i="4"/>
  <c r="AW335" i="4"/>
  <c r="P308" i="29"/>
  <c r="V308" i="29"/>
  <c r="W308" i="29" s="1"/>
  <c r="O309" i="29"/>
  <c r="AK334" i="4"/>
  <c r="AN334" i="4"/>
  <c r="Z308" i="29"/>
  <c r="AI311" i="29"/>
  <c r="AD312" i="29"/>
  <c r="B311" i="29"/>
  <c r="AE335" i="4"/>
  <c r="AJ335" i="4" s="1"/>
  <c r="AF335" i="4"/>
  <c r="AK335" i="4" s="1"/>
  <c r="Y335" i="4"/>
  <c r="AG335" i="4" s="1"/>
  <c r="AD335" i="4"/>
  <c r="AI335" i="4" s="1"/>
  <c r="Z335" i="4"/>
  <c r="AH335" i="4" s="1"/>
  <c r="AC335" i="4"/>
  <c r="BG335" i="4" s="1"/>
  <c r="AO334" i="4" l="1"/>
  <c r="AV334" i="4"/>
  <c r="AX334" i="4" s="1"/>
  <c r="V309" i="29"/>
  <c r="W309" i="29" s="1"/>
  <c r="P309" i="29"/>
  <c r="BO337" i="4"/>
  <c r="BN337" i="4"/>
  <c r="AW336" i="4"/>
  <c r="BE333" i="4"/>
  <c r="BF333" i="4" s="1"/>
  <c r="Z336" i="4"/>
  <c r="AH336" i="4" s="1"/>
  <c r="AE336" i="4"/>
  <c r="AJ336" i="4" s="1"/>
  <c r="AC336" i="4"/>
  <c r="BG336" i="4" s="1"/>
  <c r="Y336" i="4"/>
  <c r="AG336" i="4" s="1"/>
  <c r="AD336" i="4"/>
  <c r="AI336" i="4" s="1"/>
  <c r="AF336" i="4"/>
  <c r="B338" i="4"/>
  <c r="BP338" i="4"/>
  <c r="BM339" i="4"/>
  <c r="S311" i="29"/>
  <c r="U311" i="29"/>
  <c r="E311" i="29"/>
  <c r="R311" i="29"/>
  <c r="Q311" i="29"/>
  <c r="T311" i="29"/>
  <c r="G311" i="29"/>
  <c r="Z309" i="29"/>
  <c r="J310" i="29"/>
  <c r="Y310" i="29" s="1"/>
  <c r="I310" i="29"/>
  <c r="K310" i="29" s="1"/>
  <c r="N310" i="29" s="1"/>
  <c r="AI312" i="29"/>
  <c r="AD313" i="29"/>
  <c r="B312" i="29"/>
  <c r="AN335" i="4"/>
  <c r="AO335" i="4" s="1"/>
  <c r="AE311" i="29"/>
  <c r="AF311" i="29"/>
  <c r="BH335" i="4"/>
  <c r="O310" i="29"/>
  <c r="K337" i="4"/>
  <c r="F337" i="4"/>
  <c r="BD337" i="4"/>
  <c r="O337" i="4"/>
  <c r="M337" i="4"/>
  <c r="N337" i="4"/>
  <c r="AZ337" i="4"/>
  <c r="Q337" i="4"/>
  <c r="P337" i="4"/>
  <c r="R337" i="4"/>
  <c r="AM337" i="4"/>
  <c r="AY337" i="4"/>
  <c r="BC337" i="4"/>
  <c r="BA337" i="4"/>
  <c r="BB337" i="4"/>
  <c r="BH336" i="4" l="1"/>
  <c r="BE334" i="4"/>
  <c r="BF334" i="4" s="1"/>
  <c r="V310" i="29"/>
  <c r="W310" i="29" s="1"/>
  <c r="P310" i="29"/>
  <c r="AW337" i="4"/>
  <c r="AV335" i="4"/>
  <c r="B339" i="4"/>
  <c r="BM340" i="4"/>
  <c r="BM344" i="4" s="1"/>
  <c r="BP339" i="4"/>
  <c r="AK336" i="4"/>
  <c r="AN336" i="4"/>
  <c r="R312" i="29"/>
  <c r="U312" i="29"/>
  <c r="S312" i="29"/>
  <c r="G312" i="29"/>
  <c r="Q312" i="29"/>
  <c r="E312" i="29"/>
  <c r="T312" i="29"/>
  <c r="BN338" i="4"/>
  <c r="BO338" i="4"/>
  <c r="AI313" i="29"/>
  <c r="B313" i="29"/>
  <c r="AD314" i="29"/>
  <c r="O311" i="29"/>
  <c r="O338" i="4"/>
  <c r="BB338" i="4"/>
  <c r="N338" i="4"/>
  <c r="M338" i="4"/>
  <c r="Q338" i="4"/>
  <c r="AM338" i="4"/>
  <c r="P338" i="4"/>
  <c r="R338" i="4"/>
  <c r="AZ338" i="4"/>
  <c r="K338" i="4"/>
  <c r="F338" i="4"/>
  <c r="BD338" i="4"/>
  <c r="BA338" i="4"/>
  <c r="AY338" i="4"/>
  <c r="BC338" i="4"/>
  <c r="Z310" i="29"/>
  <c r="I311" i="29"/>
  <c r="K311" i="29" s="1"/>
  <c r="N311" i="29" s="1"/>
  <c r="J311" i="29"/>
  <c r="Y311" i="29" s="1"/>
  <c r="AF312" i="29"/>
  <c r="AE312" i="29"/>
  <c r="Z337" i="4"/>
  <c r="AH337" i="4" s="1"/>
  <c r="AC337" i="4"/>
  <c r="BG337" i="4" s="1"/>
  <c r="AE337" i="4"/>
  <c r="AJ337" i="4" s="1"/>
  <c r="Y337" i="4"/>
  <c r="AG337" i="4" s="1"/>
  <c r="AF337" i="4"/>
  <c r="AD337" i="4"/>
  <c r="AI337" i="4" s="1"/>
  <c r="AX335" i="4" l="1"/>
  <c r="M687" i="7"/>
  <c r="B344" i="4"/>
  <c r="BP344" i="4"/>
  <c r="AW338" i="4"/>
  <c r="AO336" i="4"/>
  <c r="BH337" i="4"/>
  <c r="V311" i="29"/>
  <c r="W311" i="29" s="1"/>
  <c r="P311" i="29"/>
  <c r="E313" i="29"/>
  <c r="G313" i="29"/>
  <c r="Q313" i="29"/>
  <c r="U313" i="29"/>
  <c r="S313" i="29"/>
  <c r="R313" i="29"/>
  <c r="T313" i="29"/>
  <c r="AF338" i="4"/>
  <c r="AC338" i="4"/>
  <c r="BG338" i="4" s="1"/>
  <c r="AD338" i="4"/>
  <c r="AI338" i="4" s="1"/>
  <c r="Y338" i="4"/>
  <c r="AG338" i="4" s="1"/>
  <c r="Z338" i="4"/>
  <c r="AH338" i="4" s="1"/>
  <c r="AE338" i="4"/>
  <c r="AJ338" i="4" s="1"/>
  <c r="AK337" i="4"/>
  <c r="AN337" i="4"/>
  <c r="J312" i="29"/>
  <c r="Y312" i="29" s="1"/>
  <c r="I312" i="29"/>
  <c r="K312" i="29" s="1"/>
  <c r="N312" i="29" s="1"/>
  <c r="AE313" i="29"/>
  <c r="AF313" i="29"/>
  <c r="O312" i="29"/>
  <c r="BO339" i="4"/>
  <c r="BN339" i="4"/>
  <c r="BE335" i="4"/>
  <c r="BF335" i="4" s="1"/>
  <c r="Z311" i="29"/>
  <c r="BP340" i="4"/>
  <c r="BM341" i="4"/>
  <c r="BM345" i="4" s="1"/>
  <c r="B340" i="4"/>
  <c r="AI314" i="29"/>
  <c r="B314" i="29"/>
  <c r="AD315" i="29"/>
  <c r="AV336" i="4"/>
  <c r="AX336" i="4" s="1"/>
  <c r="Q339" i="4"/>
  <c r="P339" i="4"/>
  <c r="O339" i="4"/>
  <c r="R339" i="4"/>
  <c r="BD339" i="4"/>
  <c r="F339" i="4"/>
  <c r="K339" i="4"/>
  <c r="BA339" i="4"/>
  <c r="BC339" i="4"/>
  <c r="BB339" i="4"/>
  <c r="AY339" i="4"/>
  <c r="AM339" i="4"/>
  <c r="N339" i="4"/>
  <c r="AZ339" i="4"/>
  <c r="M339" i="4"/>
  <c r="BO344" i="4" l="1"/>
  <c r="BN344" i="4"/>
  <c r="BC344" i="4"/>
  <c r="AY344" i="4"/>
  <c r="P344" i="4"/>
  <c r="K344" i="4"/>
  <c r="BB344" i="4"/>
  <c r="O344" i="4"/>
  <c r="F344" i="4"/>
  <c r="AZ344" i="4"/>
  <c r="Q344" i="4"/>
  <c r="M344" i="4"/>
  <c r="BA344" i="4"/>
  <c r="AM344" i="4"/>
  <c r="R344" i="4"/>
  <c r="N344" i="4"/>
  <c r="BD344" i="4"/>
  <c r="B345" i="4"/>
  <c r="BP345" i="4"/>
  <c r="AO337" i="4"/>
  <c r="AV337" i="4"/>
  <c r="M688" i="7" s="1"/>
  <c r="AW339" i="4"/>
  <c r="AI315" i="29"/>
  <c r="B315" i="29"/>
  <c r="AD316" i="29"/>
  <c r="BO340" i="4"/>
  <c r="BN340" i="4"/>
  <c r="Z312" i="29"/>
  <c r="P312" i="29"/>
  <c r="V312" i="29"/>
  <c r="W312" i="29" s="1"/>
  <c r="BE336" i="4"/>
  <c r="BF336" i="4" s="1"/>
  <c r="U314" i="29"/>
  <c r="Q314" i="29"/>
  <c r="R314" i="29"/>
  <c r="S314" i="29"/>
  <c r="G314" i="29"/>
  <c r="T314" i="29"/>
  <c r="E314" i="29"/>
  <c r="AF314" i="29"/>
  <c r="AE314" i="29"/>
  <c r="O340" i="4"/>
  <c r="M340" i="4"/>
  <c r="N340" i="4"/>
  <c r="BB340" i="4"/>
  <c r="Q340" i="4"/>
  <c r="P340" i="4"/>
  <c r="R340" i="4"/>
  <c r="AM340" i="4"/>
  <c r="F340" i="4"/>
  <c r="K340" i="4"/>
  <c r="AZ340" i="4"/>
  <c r="BC340" i="4"/>
  <c r="AY340" i="4"/>
  <c r="BD340" i="4"/>
  <c r="BA340" i="4"/>
  <c r="AC339" i="4"/>
  <c r="BG339" i="4" s="1"/>
  <c r="AE339" i="4"/>
  <c r="AJ339" i="4" s="1"/>
  <c r="Y339" i="4"/>
  <c r="AG339" i="4" s="1"/>
  <c r="AD339" i="4"/>
  <c r="AI339" i="4" s="1"/>
  <c r="AF339" i="4"/>
  <c r="Z339" i="4"/>
  <c r="AH339" i="4" s="1"/>
  <c r="B341" i="4"/>
  <c r="BM342" i="4"/>
  <c r="BM346" i="4" s="1"/>
  <c r="BP341" i="4"/>
  <c r="J313" i="29"/>
  <c r="Y313" i="29" s="1"/>
  <c r="I313" i="29"/>
  <c r="K313" i="29" s="1"/>
  <c r="N313" i="29" s="1"/>
  <c r="BH338" i="4"/>
  <c r="AK338" i="4"/>
  <c r="AN338" i="4"/>
  <c r="O313" i="29"/>
  <c r="BE337" i="4" l="1"/>
  <c r="BF337" i="4" s="1"/>
  <c r="AX337" i="4"/>
  <c r="AW344" i="4"/>
  <c r="AF344" i="4"/>
  <c r="Z344" i="4"/>
  <c r="AH344" i="4" s="1"/>
  <c r="AE344" i="4"/>
  <c r="AJ344" i="4" s="1"/>
  <c r="Y344" i="4"/>
  <c r="AG344" i="4" s="1"/>
  <c r="AC344" i="4"/>
  <c r="BG344" i="4" s="1"/>
  <c r="AD344" i="4"/>
  <c r="AI344" i="4" s="1"/>
  <c r="BO345" i="4"/>
  <c r="BN345" i="4"/>
  <c r="BC345" i="4"/>
  <c r="AY345" i="4"/>
  <c r="P345" i="4"/>
  <c r="K345" i="4"/>
  <c r="BB345" i="4"/>
  <c r="F345" i="4"/>
  <c r="R345" i="4"/>
  <c r="N345" i="4"/>
  <c r="BD345" i="4"/>
  <c r="AZ345" i="4"/>
  <c r="Q345" i="4"/>
  <c r="M345" i="4"/>
  <c r="O345" i="4"/>
  <c r="BA345" i="4"/>
  <c r="AM345" i="4"/>
  <c r="B346" i="4"/>
  <c r="BP346" i="4"/>
  <c r="BH339" i="4"/>
  <c r="AV338" i="4"/>
  <c r="AX338" i="4" s="1"/>
  <c r="J314" i="29"/>
  <c r="Y314" i="29" s="1"/>
  <c r="I314" i="29"/>
  <c r="K314" i="29" s="1"/>
  <c r="N314" i="29" s="1"/>
  <c r="O314" i="29"/>
  <c r="B342" i="4"/>
  <c r="BM343" i="4"/>
  <c r="BP342" i="4"/>
  <c r="R341" i="4"/>
  <c r="AM341" i="4"/>
  <c r="P341" i="4"/>
  <c r="Q341" i="4"/>
  <c r="BD341" i="4"/>
  <c r="K341" i="4"/>
  <c r="F341" i="4"/>
  <c r="BA341" i="4"/>
  <c r="BB341" i="4"/>
  <c r="AY341" i="4"/>
  <c r="BC341" i="4"/>
  <c r="N341" i="4"/>
  <c r="AZ341" i="4"/>
  <c r="O341" i="4"/>
  <c r="M341" i="4"/>
  <c r="P313" i="29"/>
  <c r="V313" i="29"/>
  <c r="W313" i="29" s="1"/>
  <c r="Z313" i="29"/>
  <c r="AO338" i="4"/>
  <c r="BO341" i="4"/>
  <c r="BN341" i="4"/>
  <c r="AK339" i="4"/>
  <c r="AN339" i="4"/>
  <c r="AW340" i="4"/>
  <c r="AE340" i="4"/>
  <c r="AJ340" i="4" s="1"/>
  <c r="AD340" i="4"/>
  <c r="AI340" i="4" s="1"/>
  <c r="Y340" i="4"/>
  <c r="AG340" i="4" s="1"/>
  <c r="AF340" i="4"/>
  <c r="Z340" i="4"/>
  <c r="AH340" i="4" s="1"/>
  <c r="AC340" i="4"/>
  <c r="BG340" i="4" s="1"/>
  <c r="AI316" i="29"/>
  <c r="B316" i="29"/>
  <c r="AD317" i="29"/>
  <c r="U315" i="29"/>
  <c r="R315" i="29"/>
  <c r="E315" i="29"/>
  <c r="G315" i="29"/>
  <c r="Q315" i="29"/>
  <c r="T315" i="29"/>
  <c r="S315" i="29"/>
  <c r="AF315" i="29"/>
  <c r="AE315" i="29"/>
  <c r="BH344" i="4" l="1"/>
  <c r="AN344" i="4"/>
  <c r="AK344" i="4"/>
  <c r="AW345" i="4"/>
  <c r="AF345" i="4"/>
  <c r="AK345" i="4" s="1"/>
  <c r="Z345" i="4"/>
  <c r="AH345" i="4" s="1"/>
  <c r="Y345" i="4"/>
  <c r="AG345" i="4" s="1"/>
  <c r="AD345" i="4"/>
  <c r="AI345" i="4" s="1"/>
  <c r="AC345" i="4"/>
  <c r="BG345" i="4" s="1"/>
  <c r="AE345" i="4"/>
  <c r="AJ345" i="4" s="1"/>
  <c r="BO346" i="4"/>
  <c r="BN346" i="4"/>
  <c r="BC346" i="4"/>
  <c r="AY346" i="4"/>
  <c r="P346" i="4"/>
  <c r="K346" i="4"/>
  <c r="BB346" i="4"/>
  <c r="O346" i="4"/>
  <c r="F346" i="4"/>
  <c r="BD346" i="4"/>
  <c r="BA346" i="4"/>
  <c r="AM346" i="4"/>
  <c r="R346" i="4"/>
  <c r="N346" i="4"/>
  <c r="AZ346" i="4"/>
  <c r="Q346" i="4"/>
  <c r="M346" i="4"/>
  <c r="BE338" i="4"/>
  <c r="BF338" i="4" s="1"/>
  <c r="AV339" i="4"/>
  <c r="AO339" i="4"/>
  <c r="O315" i="29"/>
  <c r="V314" i="29"/>
  <c r="W314" i="29" s="1"/>
  <c r="P314" i="29"/>
  <c r="AI317" i="29"/>
  <c r="B317" i="29"/>
  <c r="AD318" i="29"/>
  <c r="BH340" i="4"/>
  <c r="Y341" i="4"/>
  <c r="AG341" i="4" s="1"/>
  <c r="AF341" i="4"/>
  <c r="Z341" i="4"/>
  <c r="AH341" i="4" s="1"/>
  <c r="AE341" i="4"/>
  <c r="AJ341" i="4" s="1"/>
  <c r="AC341" i="4"/>
  <c r="BG341" i="4" s="1"/>
  <c r="AD341" i="4"/>
  <c r="AI341" i="4" s="1"/>
  <c r="BN342" i="4"/>
  <c r="BO342" i="4"/>
  <c r="Z314" i="29"/>
  <c r="E316" i="29"/>
  <c r="G316" i="29"/>
  <c r="Q316" i="29"/>
  <c r="T316" i="29"/>
  <c r="S316" i="29"/>
  <c r="U316" i="29"/>
  <c r="R316" i="29"/>
  <c r="AK340" i="4"/>
  <c r="AN340" i="4"/>
  <c r="B343" i="4"/>
  <c r="BM347" i="4"/>
  <c r="BP343" i="4"/>
  <c r="I315" i="29"/>
  <c r="K315" i="29" s="1"/>
  <c r="N315" i="29" s="1"/>
  <c r="J315" i="29"/>
  <c r="Y315" i="29" s="1"/>
  <c r="AE316" i="29"/>
  <c r="AF316" i="29"/>
  <c r="AW341" i="4"/>
  <c r="K342" i="4"/>
  <c r="AZ342" i="4"/>
  <c r="F342" i="4"/>
  <c r="AY342" i="4"/>
  <c r="BD342" i="4"/>
  <c r="BA342" i="4"/>
  <c r="BC342" i="4"/>
  <c r="N342" i="4"/>
  <c r="AM342" i="4"/>
  <c r="BB342" i="4"/>
  <c r="M342" i="4"/>
  <c r="P342" i="4"/>
  <c r="R342" i="4"/>
  <c r="O342" i="4"/>
  <c r="Q342" i="4"/>
  <c r="BE339" i="4" l="1"/>
  <c r="BF339" i="4" s="1"/>
  <c r="AX339" i="4"/>
  <c r="AO344" i="4"/>
  <c r="BH345" i="4"/>
  <c r="AN345" i="4"/>
  <c r="AO345" i="4" s="1"/>
  <c r="AV344" i="4"/>
  <c r="AX344" i="4" s="1"/>
  <c r="AW346" i="4"/>
  <c r="AF346" i="4"/>
  <c r="Z346" i="4"/>
  <c r="AH346" i="4" s="1"/>
  <c r="AE346" i="4"/>
  <c r="AJ346" i="4" s="1"/>
  <c r="Y346" i="4"/>
  <c r="AG346" i="4" s="1"/>
  <c r="AD346" i="4"/>
  <c r="AI346" i="4" s="1"/>
  <c r="AC346" i="4"/>
  <c r="BG346" i="4" s="1"/>
  <c r="O316" i="29"/>
  <c r="AO340" i="4"/>
  <c r="V315" i="29"/>
  <c r="W315" i="29" s="1"/>
  <c r="P315" i="29"/>
  <c r="J316" i="29"/>
  <c r="Y316" i="29" s="1"/>
  <c r="I316" i="29"/>
  <c r="K316" i="29" s="1"/>
  <c r="N316" i="29" s="1"/>
  <c r="O343" i="4"/>
  <c r="AZ343" i="4"/>
  <c r="N343" i="4"/>
  <c r="M343" i="4"/>
  <c r="Q343" i="4"/>
  <c r="AM343" i="4"/>
  <c r="P343" i="4"/>
  <c r="R343" i="4"/>
  <c r="BD343" i="4"/>
  <c r="F343" i="4"/>
  <c r="K343" i="4"/>
  <c r="BA343" i="4"/>
  <c r="BB343" i="4"/>
  <c r="BC343" i="4"/>
  <c r="AY343" i="4"/>
  <c r="AC342" i="4"/>
  <c r="BG342" i="4" s="1"/>
  <c r="Y342" i="4"/>
  <c r="AG342" i="4" s="1"/>
  <c r="AD342" i="4"/>
  <c r="AI342" i="4" s="1"/>
  <c r="AF342" i="4"/>
  <c r="Z342" i="4"/>
  <c r="AH342" i="4" s="1"/>
  <c r="AE342" i="4"/>
  <c r="AJ342" i="4" s="1"/>
  <c r="R317" i="29"/>
  <c r="G317" i="29"/>
  <c r="S317" i="29"/>
  <c r="E317" i="29"/>
  <c r="T317" i="29"/>
  <c r="Q317" i="29"/>
  <c r="U317" i="29"/>
  <c r="AW342" i="4"/>
  <c r="AV340" i="4"/>
  <c r="AX340" i="4" s="1"/>
  <c r="AE317" i="29"/>
  <c r="AF317" i="29"/>
  <c r="BO343" i="4"/>
  <c r="BN343" i="4"/>
  <c r="BH341" i="4"/>
  <c r="BP347" i="4"/>
  <c r="B347" i="4"/>
  <c r="BM348" i="4"/>
  <c r="AK341" i="4"/>
  <c r="AN341" i="4"/>
  <c r="AI318" i="29"/>
  <c r="AD319" i="29"/>
  <c r="B318" i="29"/>
  <c r="Z315" i="29"/>
  <c r="Z316" i="29" l="1"/>
  <c r="BH346" i="4"/>
  <c r="AN346" i="4"/>
  <c r="AK346" i="4"/>
  <c r="BE344" i="4"/>
  <c r="BF344" i="4" s="1"/>
  <c r="AV345" i="4"/>
  <c r="AX345" i="4" s="1"/>
  <c r="BH342" i="4"/>
  <c r="AV341" i="4"/>
  <c r="O317" i="29"/>
  <c r="S318" i="29"/>
  <c r="G318" i="29"/>
  <c r="E318" i="29"/>
  <c r="U318" i="29"/>
  <c r="T318" i="29"/>
  <c r="R318" i="29"/>
  <c r="Q318" i="29"/>
  <c r="AZ347" i="4"/>
  <c r="K347" i="4"/>
  <c r="F347" i="4"/>
  <c r="N347" i="4"/>
  <c r="BD347" i="4"/>
  <c r="M347" i="4"/>
  <c r="O347" i="4"/>
  <c r="BB347" i="4"/>
  <c r="BA347" i="4"/>
  <c r="AY347" i="4"/>
  <c r="BC347" i="4"/>
  <c r="P347" i="4"/>
  <c r="AM347" i="4"/>
  <c r="R347" i="4"/>
  <c r="Q347" i="4"/>
  <c r="AI319" i="29"/>
  <c r="B319" i="29"/>
  <c r="AD320" i="29"/>
  <c r="BN347" i="4"/>
  <c r="BO347" i="4"/>
  <c r="BE340" i="4"/>
  <c r="BF340" i="4" s="1"/>
  <c r="AE318" i="29"/>
  <c r="AF318" i="29"/>
  <c r="AC343" i="4"/>
  <c r="BG343" i="4" s="1"/>
  <c r="AF343" i="4"/>
  <c r="AD343" i="4"/>
  <c r="AI343" i="4" s="1"/>
  <c r="AE343" i="4"/>
  <c r="AJ343" i="4" s="1"/>
  <c r="Z343" i="4"/>
  <c r="AH343" i="4" s="1"/>
  <c r="Y343" i="4"/>
  <c r="AG343" i="4" s="1"/>
  <c r="I317" i="29"/>
  <c r="K317" i="29" s="1"/>
  <c r="N317" i="29" s="1"/>
  <c r="J317" i="29"/>
  <c r="Y317" i="29" s="1"/>
  <c r="P316" i="29"/>
  <c r="V316" i="29"/>
  <c r="W316" i="29" s="1"/>
  <c r="AW343" i="4"/>
  <c r="AO341" i="4"/>
  <c r="BM349" i="4"/>
  <c r="BP348" i="4"/>
  <c r="B348" i="4"/>
  <c r="AK342" i="4"/>
  <c r="AN342" i="4"/>
  <c r="BE341" i="4" l="1"/>
  <c r="BF341" i="4" s="1"/>
  <c r="AX341" i="4"/>
  <c r="AV346" i="4"/>
  <c r="BE345" i="4"/>
  <c r="BF345" i="4" s="1"/>
  <c r="AO346" i="4"/>
  <c r="BH343" i="4"/>
  <c r="AO342" i="4"/>
  <c r="AI320" i="29"/>
  <c r="B320" i="29"/>
  <c r="AD321" i="29"/>
  <c r="AV342" i="4"/>
  <c r="AX342" i="4" s="1"/>
  <c r="B349" i="4"/>
  <c r="BP349" i="4"/>
  <c r="BM350" i="4"/>
  <c r="AK343" i="4"/>
  <c r="AN343" i="4"/>
  <c r="AE347" i="4"/>
  <c r="AJ347" i="4" s="1"/>
  <c r="Z347" i="4"/>
  <c r="AH347" i="4" s="1"/>
  <c r="Y347" i="4"/>
  <c r="AG347" i="4" s="1"/>
  <c r="AF347" i="4"/>
  <c r="AC347" i="4"/>
  <c r="BG347" i="4" s="1"/>
  <c r="AD347" i="4"/>
  <c r="AI347" i="4" s="1"/>
  <c r="Z317" i="29"/>
  <c r="AW347" i="4"/>
  <c r="U319" i="29"/>
  <c r="T319" i="29"/>
  <c r="S319" i="29"/>
  <c r="Q319" i="29"/>
  <c r="G319" i="29"/>
  <c r="R319" i="29"/>
  <c r="E319" i="29"/>
  <c r="O318" i="29"/>
  <c r="P317" i="29"/>
  <c r="V317" i="29"/>
  <c r="W317" i="29" s="1"/>
  <c r="K348" i="4"/>
  <c r="BD348" i="4"/>
  <c r="F348" i="4"/>
  <c r="P348" i="4"/>
  <c r="Q348" i="4"/>
  <c r="AM348" i="4"/>
  <c r="R348" i="4"/>
  <c r="AY348" i="4"/>
  <c r="BA348" i="4"/>
  <c r="BB348" i="4"/>
  <c r="BC348" i="4"/>
  <c r="O348" i="4"/>
  <c r="N348" i="4"/>
  <c r="AZ348" i="4"/>
  <c r="M348" i="4"/>
  <c r="I318" i="29"/>
  <c r="K318" i="29" s="1"/>
  <c r="N318" i="29" s="1"/>
  <c r="J318" i="29"/>
  <c r="Y318" i="29" s="1"/>
  <c r="BN348" i="4"/>
  <c r="BO348" i="4"/>
  <c r="AE319" i="29"/>
  <c r="AF319" i="29"/>
  <c r="BE346" i="4" l="1"/>
  <c r="BF346" i="4" s="1"/>
  <c r="AX346" i="4"/>
  <c r="AV343" i="4"/>
  <c r="BH347" i="4"/>
  <c r="J319" i="29"/>
  <c r="Y319" i="29" s="1"/>
  <c r="I319" i="29"/>
  <c r="K319" i="29" s="1"/>
  <c r="N319" i="29" s="1"/>
  <c r="AC348" i="4"/>
  <c r="BG348" i="4" s="1"/>
  <c r="Z348" i="4"/>
  <c r="AH348" i="4" s="1"/>
  <c r="AF348" i="4"/>
  <c r="AE348" i="4"/>
  <c r="AJ348" i="4" s="1"/>
  <c r="AD348" i="4"/>
  <c r="AI348" i="4" s="1"/>
  <c r="Y348" i="4"/>
  <c r="AG348" i="4" s="1"/>
  <c r="V318" i="29"/>
  <c r="W318" i="29" s="1"/>
  <c r="P318" i="29"/>
  <c r="AO343" i="4"/>
  <c r="BP350" i="4"/>
  <c r="BM351" i="4"/>
  <c r="B350" i="4"/>
  <c r="AI321" i="29"/>
  <c r="AD322" i="29"/>
  <c r="B321" i="29"/>
  <c r="BO349" i="4"/>
  <c r="BN349" i="4"/>
  <c r="U320" i="29"/>
  <c r="R320" i="29"/>
  <c r="G320" i="29"/>
  <c r="S320" i="29"/>
  <c r="E320" i="29"/>
  <c r="T320" i="29"/>
  <c r="Q320" i="29"/>
  <c r="BC349" i="4"/>
  <c r="BA349" i="4"/>
  <c r="AY349" i="4"/>
  <c r="BD349" i="4"/>
  <c r="M349" i="4"/>
  <c r="BB349" i="4"/>
  <c r="N349" i="4"/>
  <c r="O349" i="4"/>
  <c r="R349" i="4"/>
  <c r="AM349" i="4"/>
  <c r="P349" i="4"/>
  <c r="Q349" i="4"/>
  <c r="F349" i="4"/>
  <c r="K349" i="4"/>
  <c r="AZ349" i="4"/>
  <c r="AF320" i="29"/>
  <c r="AE320" i="29"/>
  <c r="AW348" i="4"/>
  <c r="Z318" i="29"/>
  <c r="O319" i="29"/>
  <c r="AK347" i="4"/>
  <c r="AN347" i="4"/>
  <c r="BE342" i="4"/>
  <c r="BF342" i="4" s="1"/>
  <c r="BE343" i="4" l="1"/>
  <c r="BF343" i="4" s="1"/>
  <c r="AX343" i="4"/>
  <c r="BH348" i="4"/>
  <c r="AV347" i="4"/>
  <c r="AO347" i="4"/>
  <c r="I320" i="29"/>
  <c r="K320" i="29" s="1"/>
  <c r="N320" i="29" s="1"/>
  <c r="J320" i="29"/>
  <c r="Y320" i="29" s="1"/>
  <c r="AF349" i="4"/>
  <c r="Y349" i="4"/>
  <c r="AG349" i="4" s="1"/>
  <c r="AD349" i="4"/>
  <c r="AI349" i="4" s="1"/>
  <c r="AC349" i="4"/>
  <c r="BG349" i="4" s="1"/>
  <c r="AE349" i="4"/>
  <c r="AJ349" i="4" s="1"/>
  <c r="Z349" i="4"/>
  <c r="AH349" i="4" s="1"/>
  <c r="AM350" i="4"/>
  <c r="R350" i="4"/>
  <c r="P350" i="4"/>
  <c r="Q350" i="4"/>
  <c r="K350" i="4"/>
  <c r="F350" i="4"/>
  <c r="BD350" i="4"/>
  <c r="BB350" i="4"/>
  <c r="AY350" i="4"/>
  <c r="BC350" i="4"/>
  <c r="BA350" i="4"/>
  <c r="AZ350" i="4"/>
  <c r="M350" i="4"/>
  <c r="N350" i="4"/>
  <c r="O350" i="4"/>
  <c r="R321" i="29"/>
  <c r="E321" i="29"/>
  <c r="S321" i="29"/>
  <c r="Q321" i="29"/>
  <c r="T321" i="29"/>
  <c r="U321" i="29"/>
  <c r="G321" i="29"/>
  <c r="B351" i="4"/>
  <c r="BP351" i="4"/>
  <c r="BM352" i="4"/>
  <c r="AW349" i="4"/>
  <c r="V319" i="29"/>
  <c r="W319" i="29" s="1"/>
  <c r="P319" i="29"/>
  <c r="AI322" i="29"/>
  <c r="B322" i="29"/>
  <c r="AD323" i="29"/>
  <c r="BO350" i="4"/>
  <c r="BN350" i="4"/>
  <c r="AK348" i="4"/>
  <c r="AN348" i="4"/>
  <c r="Z319" i="29"/>
  <c r="O320" i="29"/>
  <c r="AF321" i="29"/>
  <c r="AE321" i="29"/>
  <c r="BE347" i="4" l="1"/>
  <c r="BF347" i="4" s="1"/>
  <c r="AX347" i="4"/>
  <c r="AV348" i="4"/>
  <c r="AO348" i="4"/>
  <c r="AW350" i="4"/>
  <c r="Z320" i="29"/>
  <c r="AI323" i="29"/>
  <c r="B323" i="29"/>
  <c r="AD324" i="29"/>
  <c r="BP352" i="4"/>
  <c r="BM353" i="4"/>
  <c r="B352" i="4"/>
  <c r="U322" i="29"/>
  <c r="G322" i="29"/>
  <c r="R322" i="29"/>
  <c r="E322" i="29"/>
  <c r="S322" i="29"/>
  <c r="Q322" i="29"/>
  <c r="T322" i="29"/>
  <c r="BO351" i="4"/>
  <c r="BN351" i="4"/>
  <c r="J321" i="29"/>
  <c r="Y321" i="29" s="1"/>
  <c r="I321" i="29"/>
  <c r="K321" i="29" s="1"/>
  <c r="N321" i="29" s="1"/>
  <c r="Z350" i="4"/>
  <c r="AH350" i="4" s="1"/>
  <c r="AE350" i="4"/>
  <c r="AJ350" i="4" s="1"/>
  <c r="AF350" i="4"/>
  <c r="AC350" i="4"/>
  <c r="BG350" i="4" s="1"/>
  <c r="Y350" i="4"/>
  <c r="AG350" i="4" s="1"/>
  <c r="AD350" i="4"/>
  <c r="AI350" i="4" s="1"/>
  <c r="AE322" i="29"/>
  <c r="AF322" i="29"/>
  <c r="BA351" i="4"/>
  <c r="AY351" i="4"/>
  <c r="BC351" i="4"/>
  <c r="BD351" i="4"/>
  <c r="BB351" i="4"/>
  <c r="M351" i="4"/>
  <c r="O351" i="4"/>
  <c r="N351" i="4"/>
  <c r="AM351" i="4"/>
  <c r="Q351" i="4"/>
  <c r="P351" i="4"/>
  <c r="R351" i="4"/>
  <c r="K351" i="4"/>
  <c r="F351" i="4"/>
  <c r="AZ351" i="4"/>
  <c r="P320" i="29"/>
  <c r="V320" i="29"/>
  <c r="W320" i="29" s="1"/>
  <c r="O321" i="29"/>
  <c r="BH349" i="4"/>
  <c r="AK349" i="4"/>
  <c r="AN349" i="4"/>
  <c r="AX348" i="4" l="1"/>
  <c r="BE348" i="4"/>
  <c r="AO349" i="4"/>
  <c r="AV349" i="4"/>
  <c r="AX349" i="4" s="1"/>
  <c r="BH350" i="4"/>
  <c r="AW351" i="4"/>
  <c r="BM354" i="4"/>
  <c r="BP353" i="4"/>
  <c r="B353" i="4"/>
  <c r="AI324" i="29"/>
  <c r="B324" i="29"/>
  <c r="AD325" i="29"/>
  <c r="Z321" i="29"/>
  <c r="O322" i="29"/>
  <c r="BN352" i="4"/>
  <c r="BO352" i="4"/>
  <c r="E323" i="29"/>
  <c r="G323" i="29"/>
  <c r="Q323" i="29"/>
  <c r="U323" i="29"/>
  <c r="S323" i="29"/>
  <c r="R323" i="29"/>
  <c r="T323" i="29"/>
  <c r="P321" i="29"/>
  <c r="V321" i="29"/>
  <c r="W321" i="29" s="1"/>
  <c r="I322" i="29"/>
  <c r="K322" i="29" s="1"/>
  <c r="N322" i="29" s="1"/>
  <c r="J322" i="29"/>
  <c r="Y322" i="29" s="1"/>
  <c r="AK350" i="4"/>
  <c r="AN350" i="4"/>
  <c r="Z351" i="4"/>
  <c r="AH351" i="4" s="1"/>
  <c r="AC351" i="4"/>
  <c r="BG351" i="4" s="1"/>
  <c r="AD351" i="4"/>
  <c r="AI351" i="4" s="1"/>
  <c r="AF351" i="4"/>
  <c r="AE351" i="4"/>
  <c r="AJ351" i="4" s="1"/>
  <c r="Y351" i="4"/>
  <c r="AG351" i="4" s="1"/>
  <c r="AE323" i="29"/>
  <c r="AF323" i="29"/>
  <c r="F352" i="4"/>
  <c r="BD352" i="4"/>
  <c r="P352" i="4"/>
  <c r="AM352" i="4"/>
  <c r="O352" i="4"/>
  <c r="BC352" i="4"/>
  <c r="R352" i="4"/>
  <c r="M352" i="4"/>
  <c r="N352" i="4"/>
  <c r="BB352" i="4"/>
  <c r="K352" i="4"/>
  <c r="Q352" i="4"/>
  <c r="BA352" i="4"/>
  <c r="I352" i="4"/>
  <c r="H352" i="4"/>
  <c r="J352" i="4"/>
  <c r="AZ352" i="4"/>
  <c r="AY352" i="4"/>
  <c r="BF348" i="4" l="1"/>
  <c r="BE349" i="4"/>
  <c r="BF349" i="4" s="1"/>
  <c r="AO350" i="4"/>
  <c r="AV350" i="4"/>
  <c r="I323" i="29"/>
  <c r="K323" i="29" s="1"/>
  <c r="N323" i="29" s="1"/>
  <c r="J323" i="29"/>
  <c r="Y323" i="29" s="1"/>
  <c r="BH351" i="4"/>
  <c r="O323" i="29"/>
  <c r="M353" i="4"/>
  <c r="N353" i="4"/>
  <c r="AM353" i="4"/>
  <c r="BB353" i="4"/>
  <c r="R353" i="4"/>
  <c r="P353" i="4"/>
  <c r="Q353" i="4"/>
  <c r="O353" i="4"/>
  <c r="F353" i="4"/>
  <c r="K353" i="4"/>
  <c r="AZ353" i="4"/>
  <c r="BC353" i="4"/>
  <c r="AY353" i="4"/>
  <c r="BD353" i="4"/>
  <c r="BA353" i="4"/>
  <c r="AK351" i="4"/>
  <c r="AN351" i="4"/>
  <c r="AA352" i="4"/>
  <c r="Y352" i="4"/>
  <c r="AG352" i="4" s="1"/>
  <c r="AF352" i="4"/>
  <c r="AB352" i="4"/>
  <c r="Z352" i="4"/>
  <c r="AE352" i="4"/>
  <c r="AJ352" i="4" s="1"/>
  <c r="AC352" i="4"/>
  <c r="BG352" i="4" s="1"/>
  <c r="AD352" i="4"/>
  <c r="AI352" i="4" s="1"/>
  <c r="AI325" i="29"/>
  <c r="AD326" i="29"/>
  <c r="B325" i="29"/>
  <c r="BO353" i="4"/>
  <c r="BN353" i="4"/>
  <c r="AW352" i="4"/>
  <c r="P322" i="29"/>
  <c r="V322" i="29"/>
  <c r="W322" i="29" s="1"/>
  <c r="Z322" i="29"/>
  <c r="R324" i="29"/>
  <c r="G324" i="29"/>
  <c r="S324" i="29"/>
  <c r="E324" i="29"/>
  <c r="U324" i="29"/>
  <c r="Q324" i="29"/>
  <c r="T324" i="29"/>
  <c r="BP354" i="4"/>
  <c r="B354" i="4"/>
  <c r="BM355" i="4"/>
  <c r="AF324" i="29"/>
  <c r="AE324" i="29"/>
  <c r="BE350" i="4" l="1"/>
  <c r="BF350" i="4" s="1"/>
  <c r="AX350" i="4"/>
  <c r="AH352" i="4"/>
  <c r="BH352" i="4" s="1"/>
  <c r="AV351" i="4"/>
  <c r="G325" i="29"/>
  <c r="Q325" i="29"/>
  <c r="E325" i="29"/>
  <c r="T325" i="29"/>
  <c r="R325" i="29"/>
  <c r="U325" i="29"/>
  <c r="S325" i="29"/>
  <c r="BP355" i="4"/>
  <c r="BM356" i="4"/>
  <c r="B355" i="4"/>
  <c r="AO351" i="4"/>
  <c r="AI326" i="29"/>
  <c r="B326" i="29"/>
  <c r="AD327" i="29"/>
  <c r="AK352" i="4"/>
  <c r="AN352" i="4"/>
  <c r="Z323" i="29"/>
  <c r="O324" i="29"/>
  <c r="AC353" i="4"/>
  <c r="BG353" i="4" s="1"/>
  <c r="AD353" i="4"/>
  <c r="AI353" i="4" s="1"/>
  <c r="Z353" i="4"/>
  <c r="AH353" i="4" s="1"/>
  <c r="AF353" i="4"/>
  <c r="AE353" i="4"/>
  <c r="AJ353" i="4" s="1"/>
  <c r="Y353" i="4"/>
  <c r="AG353" i="4" s="1"/>
  <c r="AE325" i="29"/>
  <c r="AF325" i="29"/>
  <c r="K354" i="4"/>
  <c r="F354" i="4"/>
  <c r="BD354" i="4"/>
  <c r="AY354" i="4"/>
  <c r="BB354" i="4"/>
  <c r="BC354" i="4"/>
  <c r="BA354" i="4"/>
  <c r="M354" i="4"/>
  <c r="AZ354" i="4"/>
  <c r="N354" i="4"/>
  <c r="O354" i="4"/>
  <c r="R354" i="4"/>
  <c r="AM354" i="4"/>
  <c r="P354" i="4"/>
  <c r="Q354" i="4"/>
  <c r="J324" i="29"/>
  <c r="Y324" i="29" s="1"/>
  <c r="I324" i="29"/>
  <c r="K324" i="29" s="1"/>
  <c r="N324" i="29" s="1"/>
  <c r="P323" i="29"/>
  <c r="V323" i="29"/>
  <c r="W323" i="29" s="1"/>
  <c r="BO354" i="4"/>
  <c r="BN354" i="4"/>
  <c r="AW353" i="4"/>
  <c r="BE351" i="4" l="1"/>
  <c r="BF351" i="4" s="1"/>
  <c r="AX351" i="4"/>
  <c r="BH353" i="4"/>
  <c r="O325" i="29"/>
  <c r="AO352" i="4"/>
  <c r="V324" i="29"/>
  <c r="W324" i="29" s="1"/>
  <c r="P324" i="29"/>
  <c r="Z324" i="29"/>
  <c r="AI327" i="29"/>
  <c r="AD328" i="29"/>
  <c r="B327" i="29"/>
  <c r="P355" i="4"/>
  <c r="Q355" i="4"/>
  <c r="R355" i="4"/>
  <c r="AM355" i="4"/>
  <c r="F355" i="4"/>
  <c r="K355" i="4"/>
  <c r="AZ355" i="4"/>
  <c r="BC355" i="4"/>
  <c r="AY355" i="4"/>
  <c r="BB355" i="4"/>
  <c r="BA355" i="4"/>
  <c r="O355" i="4"/>
  <c r="M355" i="4"/>
  <c r="N355" i="4"/>
  <c r="BD355" i="4"/>
  <c r="AC354" i="4"/>
  <c r="BG354" i="4" s="1"/>
  <c r="AD354" i="4"/>
  <c r="AI354" i="4" s="1"/>
  <c r="AF354" i="4"/>
  <c r="Z354" i="4"/>
  <c r="AH354" i="4" s="1"/>
  <c r="Y354" i="4"/>
  <c r="AG354" i="4" s="1"/>
  <c r="AE354" i="4"/>
  <c r="AJ354" i="4" s="1"/>
  <c r="AK353" i="4"/>
  <c r="AN353" i="4"/>
  <c r="R326" i="29"/>
  <c r="G326" i="29"/>
  <c r="T326" i="29"/>
  <c r="E326" i="29"/>
  <c r="U326" i="29"/>
  <c r="Q326" i="29"/>
  <c r="S326" i="29"/>
  <c r="BM357" i="4"/>
  <c r="BP356" i="4"/>
  <c r="B356" i="4"/>
  <c r="AW354" i="4"/>
  <c r="I325" i="29"/>
  <c r="K325" i="29" s="1"/>
  <c r="N325" i="29" s="1"/>
  <c r="J325" i="29"/>
  <c r="Y325" i="29" s="1"/>
  <c r="AF326" i="29"/>
  <c r="AE326" i="29"/>
  <c r="BO355" i="4"/>
  <c r="BN355" i="4"/>
  <c r="AV352" i="4"/>
  <c r="AX352" i="4" s="1"/>
  <c r="Z325" i="29" l="1"/>
  <c r="AO353" i="4"/>
  <c r="BH354" i="4"/>
  <c r="V325" i="29"/>
  <c r="W325" i="29" s="1"/>
  <c r="P325" i="29"/>
  <c r="AE327" i="29"/>
  <c r="AF327" i="29"/>
  <c r="AK354" i="4"/>
  <c r="AN354" i="4"/>
  <c r="O326" i="29"/>
  <c r="AW355" i="4"/>
  <c r="T327" i="29"/>
  <c r="G327" i="29"/>
  <c r="S327" i="29"/>
  <c r="E327" i="29"/>
  <c r="R327" i="29"/>
  <c r="U327" i="29"/>
  <c r="Q327" i="29"/>
  <c r="I326" i="29"/>
  <c r="K326" i="29" s="1"/>
  <c r="N326" i="29" s="1"/>
  <c r="J326" i="29"/>
  <c r="Y326" i="29" s="1"/>
  <c r="O356" i="4"/>
  <c r="AZ356" i="4"/>
  <c r="M356" i="4"/>
  <c r="N356" i="4"/>
  <c r="Q356" i="4"/>
  <c r="AM356" i="4"/>
  <c r="P356" i="4"/>
  <c r="R356" i="4"/>
  <c r="K356" i="4"/>
  <c r="F356" i="4"/>
  <c r="BD356" i="4"/>
  <c r="AY356" i="4"/>
  <c r="BB356" i="4"/>
  <c r="BC356" i="4"/>
  <c r="BA356" i="4"/>
  <c r="BE352" i="4"/>
  <c r="BF352" i="4" s="1"/>
  <c r="BO356" i="4"/>
  <c r="BN356" i="4"/>
  <c r="Z355" i="4"/>
  <c r="AH355" i="4" s="1"/>
  <c r="AD355" i="4"/>
  <c r="AI355" i="4" s="1"/>
  <c r="Y355" i="4"/>
  <c r="AG355" i="4" s="1"/>
  <c r="AE355" i="4"/>
  <c r="AJ355" i="4" s="1"/>
  <c r="AF355" i="4"/>
  <c r="AC355" i="4"/>
  <c r="BG355" i="4" s="1"/>
  <c r="BP357" i="4"/>
  <c r="B357" i="4"/>
  <c r="BM358" i="4"/>
  <c r="AV353" i="4"/>
  <c r="AX353" i="4" s="1"/>
  <c r="AI328" i="29"/>
  <c r="AD329" i="29"/>
  <c r="B328" i="29"/>
  <c r="AV354" i="4" l="1"/>
  <c r="BH355" i="4"/>
  <c r="AO354" i="4"/>
  <c r="AW356" i="4"/>
  <c r="O327" i="29"/>
  <c r="Z326" i="29"/>
  <c r="AF328" i="29"/>
  <c r="AE328" i="29"/>
  <c r="V326" i="29"/>
  <c r="W326" i="29" s="1"/>
  <c r="P326" i="29"/>
  <c r="BP358" i="4"/>
  <c r="B358" i="4"/>
  <c r="BM359" i="4"/>
  <c r="AK355" i="4"/>
  <c r="AN355" i="4"/>
  <c r="F357" i="4"/>
  <c r="AZ357" i="4"/>
  <c r="K357" i="4"/>
  <c r="BC357" i="4"/>
  <c r="BD357" i="4"/>
  <c r="BA357" i="4"/>
  <c r="AY357" i="4"/>
  <c r="M357" i="4"/>
  <c r="O357" i="4"/>
  <c r="BB357" i="4"/>
  <c r="N357" i="4"/>
  <c r="R357" i="4"/>
  <c r="Q357" i="4"/>
  <c r="AM357" i="4"/>
  <c r="P357" i="4"/>
  <c r="S328" i="29"/>
  <c r="T328" i="29"/>
  <c r="G328" i="29"/>
  <c r="U328" i="29"/>
  <c r="E328" i="29"/>
  <c r="R328" i="29"/>
  <c r="Q328" i="29"/>
  <c r="BN357" i="4"/>
  <c r="BO357" i="4"/>
  <c r="AE356" i="4"/>
  <c r="AJ356" i="4" s="1"/>
  <c r="AF356" i="4"/>
  <c r="AD356" i="4"/>
  <c r="AI356" i="4" s="1"/>
  <c r="Z356" i="4"/>
  <c r="AH356" i="4" s="1"/>
  <c r="Y356" i="4"/>
  <c r="AG356" i="4" s="1"/>
  <c r="AC356" i="4"/>
  <c r="BG356" i="4" s="1"/>
  <c r="AI329" i="29"/>
  <c r="AD330" i="29"/>
  <c r="B329" i="29"/>
  <c r="BE353" i="4"/>
  <c r="BF353" i="4" s="1"/>
  <c r="I327" i="29"/>
  <c r="K327" i="29" s="1"/>
  <c r="N327" i="29" s="1"/>
  <c r="J327" i="29"/>
  <c r="Y327" i="29" s="1"/>
  <c r="BE354" i="4" l="1"/>
  <c r="BF354" i="4" s="1"/>
  <c r="AX354" i="4"/>
  <c r="AV355" i="4"/>
  <c r="AX355" i="4" s="1"/>
  <c r="BH356" i="4"/>
  <c r="AW357" i="4"/>
  <c r="P327" i="29"/>
  <c r="V327" i="29"/>
  <c r="W327" i="29" s="1"/>
  <c r="J328" i="29"/>
  <c r="Y328" i="29" s="1"/>
  <c r="I328" i="29"/>
  <c r="K328" i="29" s="1"/>
  <c r="N328" i="29" s="1"/>
  <c r="AK356" i="4"/>
  <c r="AN356" i="4"/>
  <c r="BP359" i="4"/>
  <c r="BM360" i="4"/>
  <c r="B359" i="4"/>
  <c r="AI330" i="29"/>
  <c r="AD331" i="29"/>
  <c r="B330" i="29"/>
  <c r="AF329" i="29"/>
  <c r="AE329" i="29"/>
  <c r="U329" i="29"/>
  <c r="Q329" i="29"/>
  <c r="R329" i="29"/>
  <c r="S329" i="29"/>
  <c r="G329" i="29"/>
  <c r="T329" i="29"/>
  <c r="E329" i="29"/>
  <c r="Y357" i="4"/>
  <c r="AG357" i="4" s="1"/>
  <c r="AF357" i="4"/>
  <c r="AD357" i="4"/>
  <c r="AI357" i="4" s="1"/>
  <c r="AC357" i="4"/>
  <c r="BG357" i="4" s="1"/>
  <c r="AE357" i="4"/>
  <c r="AJ357" i="4" s="1"/>
  <c r="Z357" i="4"/>
  <c r="AH357" i="4" s="1"/>
  <c r="O328" i="29"/>
  <c r="K358" i="4"/>
  <c r="O358" i="4"/>
  <c r="AZ358" i="4"/>
  <c r="R358" i="4"/>
  <c r="P358" i="4"/>
  <c r="Q358" i="4"/>
  <c r="AM358" i="4"/>
  <c r="F358" i="4"/>
  <c r="BD358" i="4"/>
  <c r="AY358" i="4"/>
  <c r="BC358" i="4"/>
  <c r="BA358" i="4"/>
  <c r="BB358" i="4"/>
  <c r="M358" i="4"/>
  <c r="N358" i="4"/>
  <c r="AO355" i="4"/>
  <c r="BO358" i="4"/>
  <c r="BN358" i="4"/>
  <c r="Z327" i="29"/>
  <c r="BE355" i="4" l="1"/>
  <c r="AV356" i="4"/>
  <c r="AX356" i="4" s="1"/>
  <c r="AE330" i="29"/>
  <c r="AF330" i="29"/>
  <c r="R359" i="4"/>
  <c r="AM359" i="4"/>
  <c r="P359" i="4"/>
  <c r="Q359" i="4"/>
  <c r="AZ359" i="4"/>
  <c r="K359" i="4"/>
  <c r="F359" i="4"/>
  <c r="BD359" i="4"/>
  <c r="BA359" i="4"/>
  <c r="AY359" i="4"/>
  <c r="BC359" i="4"/>
  <c r="N359" i="4"/>
  <c r="BB359" i="4"/>
  <c r="M359" i="4"/>
  <c r="O359" i="4"/>
  <c r="P328" i="29"/>
  <c r="V328" i="29"/>
  <c r="W328" i="29" s="1"/>
  <c r="BM361" i="4"/>
  <c r="B360" i="4"/>
  <c r="BP360" i="4"/>
  <c r="AO356" i="4"/>
  <c r="AD358" i="4"/>
  <c r="AI358" i="4" s="1"/>
  <c r="AF358" i="4"/>
  <c r="AE358" i="4"/>
  <c r="AJ358" i="4" s="1"/>
  <c r="Z358" i="4"/>
  <c r="AH358" i="4" s="1"/>
  <c r="Y358" i="4"/>
  <c r="AG358" i="4" s="1"/>
  <c r="AC358" i="4"/>
  <c r="BG358" i="4" s="1"/>
  <c r="Z328" i="29"/>
  <c r="O329" i="29"/>
  <c r="I329" i="29"/>
  <c r="K329" i="29" s="1"/>
  <c r="N329" i="29" s="1"/>
  <c r="J329" i="29"/>
  <c r="Y329" i="29" s="1"/>
  <c r="S330" i="29"/>
  <c r="G330" i="29"/>
  <c r="T330" i="29"/>
  <c r="E330" i="29"/>
  <c r="U330" i="29"/>
  <c r="Q330" i="29"/>
  <c r="R330" i="29"/>
  <c r="BO359" i="4"/>
  <c r="BN359" i="4"/>
  <c r="AW358" i="4"/>
  <c r="BH357" i="4"/>
  <c r="AK357" i="4"/>
  <c r="AN357" i="4"/>
  <c r="AI331" i="29"/>
  <c r="AD332" i="29"/>
  <c r="B331" i="29"/>
  <c r="BF355" i="4" l="1"/>
  <c r="BE356" i="4"/>
  <c r="BF356" i="4" s="1"/>
  <c r="AV357" i="4"/>
  <c r="AX357" i="4" s="1"/>
  <c r="BH358" i="4"/>
  <c r="AO357" i="4"/>
  <c r="P329" i="29"/>
  <c r="V329" i="29"/>
  <c r="W329" i="29" s="1"/>
  <c r="Z329" i="29"/>
  <c r="M360" i="4"/>
  <c r="N360" i="4"/>
  <c r="AZ360" i="4"/>
  <c r="O360" i="4"/>
  <c r="F360" i="4"/>
  <c r="BD360" i="4"/>
  <c r="K360" i="4"/>
  <c r="BC360" i="4"/>
  <c r="BA360" i="4"/>
  <c r="BB360" i="4"/>
  <c r="AY360" i="4"/>
  <c r="Q360" i="4"/>
  <c r="R360" i="4"/>
  <c r="AM360" i="4"/>
  <c r="P360" i="4"/>
  <c r="AE331" i="29"/>
  <c r="AF331" i="29"/>
  <c r="AE359" i="4"/>
  <c r="AJ359" i="4" s="1"/>
  <c r="AC359" i="4"/>
  <c r="BG359" i="4" s="1"/>
  <c r="Z359" i="4"/>
  <c r="AH359" i="4" s="1"/>
  <c r="AF359" i="4"/>
  <c r="Y359" i="4"/>
  <c r="AG359" i="4" s="1"/>
  <c r="AD359" i="4"/>
  <c r="AI359" i="4" s="1"/>
  <c r="BP361" i="4"/>
  <c r="B361" i="4"/>
  <c r="BM362" i="4"/>
  <c r="AW359" i="4"/>
  <c r="E331" i="29"/>
  <c r="U331" i="29"/>
  <c r="R331" i="29"/>
  <c r="S331" i="29"/>
  <c r="G331" i="29"/>
  <c r="T331" i="29"/>
  <c r="Q331" i="29"/>
  <c r="AI332" i="29"/>
  <c r="B332" i="29"/>
  <c r="AD333" i="29"/>
  <c r="O330" i="29"/>
  <c r="AK358" i="4"/>
  <c r="AN358" i="4"/>
  <c r="BN360" i="4"/>
  <c r="BO360" i="4"/>
  <c r="I330" i="29"/>
  <c r="K330" i="29" s="1"/>
  <c r="N330" i="29" s="1"/>
  <c r="J330" i="29"/>
  <c r="Y330" i="29" s="1"/>
  <c r="BE357" i="4" l="1"/>
  <c r="BF357" i="4" s="1"/>
  <c r="AO358" i="4"/>
  <c r="V330" i="29"/>
  <c r="W330" i="29" s="1"/>
  <c r="P330" i="29"/>
  <c r="O331" i="29"/>
  <c r="AZ361" i="4"/>
  <c r="K361" i="4"/>
  <c r="F361" i="4"/>
  <c r="AM361" i="4"/>
  <c r="BB361" i="4"/>
  <c r="N361" i="4"/>
  <c r="M361" i="4"/>
  <c r="BD361" i="4"/>
  <c r="BA361" i="4"/>
  <c r="AY361" i="4"/>
  <c r="BC361" i="4"/>
  <c r="R361" i="4"/>
  <c r="O361" i="4"/>
  <c r="P361" i="4"/>
  <c r="Q361" i="4"/>
  <c r="Y360" i="4"/>
  <c r="AG360" i="4" s="1"/>
  <c r="AE360" i="4"/>
  <c r="AJ360" i="4" s="1"/>
  <c r="AD360" i="4"/>
  <c r="AI360" i="4" s="1"/>
  <c r="AC360" i="4"/>
  <c r="BG360" i="4" s="1"/>
  <c r="Z360" i="4"/>
  <c r="AH360" i="4" s="1"/>
  <c r="AF360" i="4"/>
  <c r="Z330" i="29"/>
  <c r="AI333" i="29"/>
  <c r="AD334" i="29"/>
  <c r="B333" i="29"/>
  <c r="BO361" i="4"/>
  <c r="BN361" i="4"/>
  <c r="AK359" i="4"/>
  <c r="AN359" i="4"/>
  <c r="I331" i="29"/>
  <c r="K331" i="29" s="1"/>
  <c r="N331" i="29" s="1"/>
  <c r="J331" i="29"/>
  <c r="Y331" i="29" s="1"/>
  <c r="G332" i="29"/>
  <c r="Q332" i="29"/>
  <c r="T332" i="29"/>
  <c r="S332" i="29"/>
  <c r="U332" i="29"/>
  <c r="R332" i="29"/>
  <c r="E332" i="29"/>
  <c r="AV358" i="4"/>
  <c r="AX358" i="4" s="1"/>
  <c r="AF332" i="29"/>
  <c r="AE332" i="29"/>
  <c r="BH359" i="4"/>
  <c r="BM363" i="4"/>
  <c r="BP362" i="4"/>
  <c r="B362" i="4"/>
  <c r="AW360" i="4"/>
  <c r="O332" i="29" l="1"/>
  <c r="BH360" i="4"/>
  <c r="AW361" i="4"/>
  <c r="AV359" i="4"/>
  <c r="AX359" i="4" s="1"/>
  <c r="AN360" i="4"/>
  <c r="I332" i="29"/>
  <c r="K332" i="29" s="1"/>
  <c r="N332" i="29" s="1"/>
  <c r="J332" i="29"/>
  <c r="Y332" i="29" s="1"/>
  <c r="K362" i="4"/>
  <c r="BD362" i="4"/>
  <c r="F362" i="4"/>
  <c r="M362" i="4"/>
  <c r="O362" i="4"/>
  <c r="N362" i="4"/>
  <c r="AZ362" i="4"/>
  <c r="R362" i="4"/>
  <c r="Q362" i="4"/>
  <c r="P362" i="4"/>
  <c r="AM362" i="4"/>
  <c r="AY362" i="4"/>
  <c r="BA362" i="4"/>
  <c r="BC362" i="4"/>
  <c r="BB362" i="4"/>
  <c r="BE358" i="4"/>
  <c r="BF358" i="4" s="1"/>
  <c r="AE361" i="4"/>
  <c r="AJ361" i="4" s="1"/>
  <c r="AD361" i="4"/>
  <c r="AI361" i="4" s="1"/>
  <c r="Z361" i="4"/>
  <c r="AH361" i="4" s="1"/>
  <c r="Y361" i="4"/>
  <c r="AG361" i="4" s="1"/>
  <c r="AC361" i="4"/>
  <c r="BG361" i="4" s="1"/>
  <c r="AF361" i="4"/>
  <c r="V331" i="29"/>
  <c r="W331" i="29" s="1"/>
  <c r="P331" i="29"/>
  <c r="R333" i="29"/>
  <c r="E333" i="29"/>
  <c r="U333" i="29"/>
  <c r="T333" i="29"/>
  <c r="Q333" i="29"/>
  <c r="G333" i="29"/>
  <c r="S333" i="29"/>
  <c r="BN362" i="4"/>
  <c r="BO362" i="4"/>
  <c r="BM364" i="4"/>
  <c r="B363" i="4"/>
  <c r="BP363" i="4"/>
  <c r="AK360" i="4"/>
  <c r="AI334" i="29"/>
  <c r="B334" i="29"/>
  <c r="AD335" i="29"/>
  <c r="AO359" i="4"/>
  <c r="AE333" i="29"/>
  <c r="AF333" i="29"/>
  <c r="Z331" i="29"/>
  <c r="Z332" i="29" l="1"/>
  <c r="AV360" i="4"/>
  <c r="AX360" i="4" s="1"/>
  <c r="BH361" i="4"/>
  <c r="BE359" i="4"/>
  <c r="BF359" i="4" s="1"/>
  <c r="AO360" i="4"/>
  <c r="AW362" i="4"/>
  <c r="N363" i="4"/>
  <c r="M363" i="4"/>
  <c r="O363" i="4"/>
  <c r="BD363" i="4"/>
  <c r="P363" i="4"/>
  <c r="R363" i="4"/>
  <c r="Q363" i="4"/>
  <c r="AM363" i="4"/>
  <c r="AZ363" i="4"/>
  <c r="K363" i="4"/>
  <c r="F363" i="4"/>
  <c r="BB363" i="4"/>
  <c r="AY363" i="4"/>
  <c r="BC363" i="4"/>
  <c r="BA363" i="4"/>
  <c r="AK361" i="4"/>
  <c r="AN361" i="4"/>
  <c r="I333" i="29"/>
  <c r="K333" i="29" s="1"/>
  <c r="N333" i="29" s="1"/>
  <c r="J333" i="29"/>
  <c r="Y333" i="29" s="1"/>
  <c r="AI335" i="29"/>
  <c r="B335" i="29"/>
  <c r="AD336" i="29"/>
  <c r="B364" i="4"/>
  <c r="BM365" i="4"/>
  <c r="BP364" i="4"/>
  <c r="Y362" i="4"/>
  <c r="AG362" i="4" s="1"/>
  <c r="AD362" i="4"/>
  <c r="AI362" i="4" s="1"/>
  <c r="Z362" i="4"/>
  <c r="AH362" i="4" s="1"/>
  <c r="AF362" i="4"/>
  <c r="AC362" i="4"/>
  <c r="BG362" i="4" s="1"/>
  <c r="AE362" i="4"/>
  <c r="AJ362" i="4" s="1"/>
  <c r="E334" i="29"/>
  <c r="G334" i="29"/>
  <c r="U334" i="29"/>
  <c r="S334" i="29"/>
  <c r="T334" i="29"/>
  <c r="R334" i="29"/>
  <c r="Q334" i="29"/>
  <c r="AF334" i="29"/>
  <c r="AE334" i="29"/>
  <c r="BN363" i="4"/>
  <c r="BO363" i="4"/>
  <c r="O333" i="29"/>
  <c r="P332" i="29"/>
  <c r="V332" i="29"/>
  <c r="W332" i="29" s="1"/>
  <c r="BE360" i="4" l="1"/>
  <c r="BF360" i="4" s="1"/>
  <c r="AO361" i="4"/>
  <c r="P333" i="29"/>
  <c r="V333" i="29"/>
  <c r="W333" i="29" s="1"/>
  <c r="O334" i="29"/>
  <c r="R364" i="4"/>
  <c r="P364" i="4"/>
  <c r="Q364" i="4"/>
  <c r="AM364" i="4"/>
  <c r="F364" i="4"/>
  <c r="K364" i="4"/>
  <c r="BD364" i="4"/>
  <c r="O364" i="4"/>
  <c r="AZ364" i="4"/>
  <c r="M364" i="4"/>
  <c r="N364" i="4"/>
  <c r="BC364" i="4"/>
  <c r="AY364" i="4"/>
  <c r="BA364" i="4"/>
  <c r="BB364" i="4"/>
  <c r="AE335" i="29"/>
  <c r="AF335" i="29"/>
  <c r="AK362" i="4"/>
  <c r="AN362" i="4"/>
  <c r="AW363" i="4"/>
  <c r="BH362" i="4"/>
  <c r="BN364" i="4"/>
  <c r="BO364" i="4"/>
  <c r="AI336" i="29"/>
  <c r="AD337" i="29"/>
  <c r="B336" i="29"/>
  <c r="AV361" i="4"/>
  <c r="AX361" i="4" s="1"/>
  <c r="Z333" i="29"/>
  <c r="AF363" i="4"/>
  <c r="AD363" i="4"/>
  <c r="AI363" i="4" s="1"/>
  <c r="AE363" i="4"/>
  <c r="AJ363" i="4" s="1"/>
  <c r="AC363" i="4"/>
  <c r="BG363" i="4" s="1"/>
  <c r="Z363" i="4"/>
  <c r="AH363" i="4" s="1"/>
  <c r="Y363" i="4"/>
  <c r="AG363" i="4" s="1"/>
  <c r="I334" i="29"/>
  <c r="K334" i="29" s="1"/>
  <c r="N334" i="29" s="1"/>
  <c r="J334" i="29"/>
  <c r="Y334" i="29" s="1"/>
  <c r="B365" i="4"/>
  <c r="BM366" i="4"/>
  <c r="BP365" i="4"/>
  <c r="T335" i="29"/>
  <c r="Q335" i="29"/>
  <c r="U335" i="29"/>
  <c r="R335" i="29"/>
  <c r="S335" i="29"/>
  <c r="E335" i="29"/>
  <c r="G335" i="29"/>
  <c r="AV362" i="4" l="1"/>
  <c r="AX362" i="4" s="1"/>
  <c r="BH363" i="4"/>
  <c r="AO362" i="4"/>
  <c r="P334" i="29"/>
  <c r="V334" i="29"/>
  <c r="W334" i="29" s="1"/>
  <c r="BO365" i="4"/>
  <c r="BN365" i="4"/>
  <c r="AK363" i="4"/>
  <c r="AN363" i="4"/>
  <c r="BE361" i="4"/>
  <c r="BF361" i="4" s="1"/>
  <c r="R336" i="29"/>
  <c r="G336" i="29"/>
  <c r="S336" i="29"/>
  <c r="E336" i="29"/>
  <c r="T336" i="29"/>
  <c r="Q336" i="29"/>
  <c r="U336" i="29"/>
  <c r="AD364" i="4"/>
  <c r="AI364" i="4" s="1"/>
  <c r="AF364" i="4"/>
  <c r="AE364" i="4"/>
  <c r="AJ364" i="4" s="1"/>
  <c r="AC364" i="4"/>
  <c r="BG364" i="4" s="1"/>
  <c r="Z364" i="4"/>
  <c r="AH364" i="4" s="1"/>
  <c r="Y364" i="4"/>
  <c r="AG364" i="4" s="1"/>
  <c r="J335" i="29"/>
  <c r="Y335" i="29" s="1"/>
  <c r="I335" i="29"/>
  <c r="K335" i="29" s="1"/>
  <c r="N335" i="29" s="1"/>
  <c r="O335" i="29"/>
  <c r="BM367" i="4"/>
  <c r="BP366" i="4"/>
  <c r="B366" i="4"/>
  <c r="AI337" i="29"/>
  <c r="B337" i="29"/>
  <c r="AD338" i="29"/>
  <c r="R365" i="4"/>
  <c r="Q365" i="4"/>
  <c r="AM365" i="4"/>
  <c r="P365" i="4"/>
  <c r="F365" i="4"/>
  <c r="AZ365" i="4"/>
  <c r="K365" i="4"/>
  <c r="BC365" i="4"/>
  <c r="BD365" i="4"/>
  <c r="BA365" i="4"/>
  <c r="AY365" i="4"/>
  <c r="M365" i="4"/>
  <c r="O365" i="4"/>
  <c r="BB365" i="4"/>
  <c r="N365" i="4"/>
  <c r="AE336" i="29"/>
  <c r="AF336" i="29"/>
  <c r="AW364" i="4"/>
  <c r="Z334" i="29"/>
  <c r="BE362" i="4" l="1"/>
  <c r="BF362" i="4" s="1"/>
  <c r="AV363" i="4"/>
  <c r="V335" i="29"/>
  <c r="W335" i="29" s="1"/>
  <c r="P335" i="29"/>
  <c r="G337" i="29"/>
  <c r="E337" i="29"/>
  <c r="U337" i="29"/>
  <c r="Q337" i="29"/>
  <c r="R337" i="29"/>
  <c r="T337" i="29"/>
  <c r="S337" i="29"/>
  <c r="Z335" i="29"/>
  <c r="O336" i="29"/>
  <c r="AE337" i="29"/>
  <c r="AF337" i="29"/>
  <c r="M366" i="4"/>
  <c r="N366" i="4"/>
  <c r="AM366" i="4"/>
  <c r="AZ366" i="4"/>
  <c r="R366" i="4"/>
  <c r="P366" i="4"/>
  <c r="Q366" i="4"/>
  <c r="O366" i="4"/>
  <c r="K366" i="4"/>
  <c r="F366" i="4"/>
  <c r="BA366" i="4"/>
  <c r="BB366" i="4"/>
  <c r="AY366" i="4"/>
  <c r="BC366" i="4"/>
  <c r="BD366" i="4"/>
  <c r="AO363" i="4"/>
  <c r="J336" i="29"/>
  <c r="Y336" i="29" s="1"/>
  <c r="I336" i="29"/>
  <c r="K336" i="29" s="1"/>
  <c r="N336" i="29" s="1"/>
  <c r="BO366" i="4"/>
  <c r="BN366" i="4"/>
  <c r="AK364" i="4"/>
  <c r="AN364" i="4"/>
  <c r="AW365" i="4"/>
  <c r="AI338" i="29"/>
  <c r="B338" i="29"/>
  <c r="AD339" i="29"/>
  <c r="BM368" i="4"/>
  <c r="B367" i="4"/>
  <c r="BP367" i="4"/>
  <c r="BH364" i="4"/>
  <c r="AD365" i="4"/>
  <c r="AI365" i="4" s="1"/>
  <c r="AE365" i="4"/>
  <c r="AJ365" i="4" s="1"/>
  <c r="Y365" i="4"/>
  <c r="AG365" i="4" s="1"/>
  <c r="AC365" i="4"/>
  <c r="BG365" i="4" s="1"/>
  <c r="Z365" i="4"/>
  <c r="AH365" i="4" s="1"/>
  <c r="AF365" i="4"/>
  <c r="BE363" i="4" l="1"/>
  <c r="BF363" i="4" s="1"/>
  <c r="AX363" i="4"/>
  <c r="Z336" i="29"/>
  <c r="BH365" i="4"/>
  <c r="AV364" i="4"/>
  <c r="P336" i="29"/>
  <c r="V336" i="29"/>
  <c r="W336" i="29" s="1"/>
  <c r="AW366" i="4"/>
  <c r="I337" i="29"/>
  <c r="K337" i="29" s="1"/>
  <c r="N337" i="29" s="1"/>
  <c r="J337" i="29"/>
  <c r="Y337" i="29" s="1"/>
  <c r="O337" i="29"/>
  <c r="BM369" i="4"/>
  <c r="B368" i="4"/>
  <c r="BP368" i="4"/>
  <c r="AK365" i="4"/>
  <c r="AN365" i="4"/>
  <c r="AI339" i="29"/>
  <c r="B339" i="29"/>
  <c r="AD340" i="29"/>
  <c r="Y366" i="4"/>
  <c r="AG366" i="4" s="1"/>
  <c r="Z366" i="4"/>
  <c r="AH366" i="4" s="1"/>
  <c r="AE366" i="4"/>
  <c r="AJ366" i="4" s="1"/>
  <c r="AD366" i="4"/>
  <c r="AI366" i="4" s="1"/>
  <c r="AF366" i="4"/>
  <c r="AC366" i="4"/>
  <c r="BG366" i="4" s="1"/>
  <c r="BO367" i="4"/>
  <c r="BN367" i="4"/>
  <c r="E338" i="29"/>
  <c r="T338" i="29"/>
  <c r="Q338" i="29"/>
  <c r="G338" i="29"/>
  <c r="S338" i="29"/>
  <c r="R338" i="29"/>
  <c r="U338" i="29"/>
  <c r="AO364" i="4"/>
  <c r="BB367" i="4"/>
  <c r="AM367" i="4"/>
  <c r="M367" i="4"/>
  <c r="O367" i="4"/>
  <c r="N367" i="4"/>
  <c r="R367" i="4"/>
  <c r="Q367" i="4"/>
  <c r="P367" i="4"/>
  <c r="BC367" i="4"/>
  <c r="BD367" i="4"/>
  <c r="AZ367" i="4"/>
  <c r="BA367" i="4"/>
  <c r="AY367" i="4"/>
  <c r="K367" i="4"/>
  <c r="F367" i="4"/>
  <c r="AF338" i="29"/>
  <c r="AE338" i="29"/>
  <c r="BE364" i="4" l="1"/>
  <c r="BF364" i="4" s="1"/>
  <c r="AX364" i="4"/>
  <c r="O338" i="29"/>
  <c r="AO365" i="4"/>
  <c r="AV365" i="4"/>
  <c r="AX365" i="4" s="1"/>
  <c r="V337" i="29"/>
  <c r="W337" i="29" s="1"/>
  <c r="P337" i="29"/>
  <c r="BH366" i="4"/>
  <c r="AI340" i="29"/>
  <c r="B340" i="29"/>
  <c r="AD341" i="29"/>
  <c r="BN368" i="4"/>
  <c r="BO368" i="4"/>
  <c r="AK366" i="4"/>
  <c r="AN366" i="4"/>
  <c r="U339" i="29"/>
  <c r="G339" i="29"/>
  <c r="R339" i="29"/>
  <c r="E339" i="29"/>
  <c r="S339" i="29"/>
  <c r="Q339" i="29"/>
  <c r="T339" i="29"/>
  <c r="AY368" i="4"/>
  <c r="BD368" i="4"/>
  <c r="BB368" i="4"/>
  <c r="BC368" i="4"/>
  <c r="M368" i="4"/>
  <c r="AZ368" i="4"/>
  <c r="O368" i="4"/>
  <c r="N368" i="4"/>
  <c r="Q368" i="4"/>
  <c r="AM368" i="4"/>
  <c r="R368" i="4"/>
  <c r="P368" i="4"/>
  <c r="F368" i="4"/>
  <c r="K368" i="4"/>
  <c r="BA368" i="4"/>
  <c r="Z337" i="29"/>
  <c r="AW367" i="4"/>
  <c r="AF339" i="29"/>
  <c r="AE339" i="29"/>
  <c r="BP369" i="4"/>
  <c r="BM370" i="4"/>
  <c r="B369" i="4"/>
  <c r="J338" i="29"/>
  <c r="Y338" i="29" s="1"/>
  <c r="I338" i="29"/>
  <c r="K338" i="29" s="1"/>
  <c r="N338" i="29" s="1"/>
  <c r="AD367" i="4"/>
  <c r="AI367" i="4" s="1"/>
  <c r="Y367" i="4"/>
  <c r="AG367" i="4" s="1"/>
  <c r="Z367" i="4"/>
  <c r="AH367" i="4" s="1"/>
  <c r="AE367" i="4"/>
  <c r="AJ367" i="4" s="1"/>
  <c r="AF367" i="4"/>
  <c r="AC367" i="4"/>
  <c r="BG367" i="4" s="1"/>
  <c r="Z338" i="29" l="1"/>
  <c r="BE365" i="4"/>
  <c r="BF365" i="4" s="1"/>
  <c r="AO366" i="4"/>
  <c r="AV366" i="4"/>
  <c r="BH367" i="4"/>
  <c r="V338" i="29"/>
  <c r="W338" i="29" s="1"/>
  <c r="P338" i="29"/>
  <c r="BN369" i="4"/>
  <c r="BO369" i="4"/>
  <c r="I339" i="29"/>
  <c r="K339" i="29" s="1"/>
  <c r="N339" i="29" s="1"/>
  <c r="J339" i="29"/>
  <c r="Y339" i="29" s="1"/>
  <c r="BP370" i="4"/>
  <c r="B370" i="4"/>
  <c r="BM371" i="4"/>
  <c r="AI341" i="29"/>
  <c r="B341" i="29"/>
  <c r="AD342" i="29"/>
  <c r="Y368" i="4"/>
  <c r="AG368" i="4" s="1"/>
  <c r="AF368" i="4"/>
  <c r="AE368" i="4"/>
  <c r="AJ368" i="4" s="1"/>
  <c r="AC368" i="4"/>
  <c r="BG368" i="4" s="1"/>
  <c r="AD368" i="4"/>
  <c r="AI368" i="4" s="1"/>
  <c r="Z368" i="4"/>
  <c r="AH368" i="4" s="1"/>
  <c r="U340" i="29"/>
  <c r="E340" i="29"/>
  <c r="S340" i="29"/>
  <c r="T340" i="29"/>
  <c r="Q340" i="29"/>
  <c r="R340" i="29"/>
  <c r="G340" i="29"/>
  <c r="AW368" i="4"/>
  <c r="AE340" i="29"/>
  <c r="AF340" i="29"/>
  <c r="AK367" i="4"/>
  <c r="AN367" i="4"/>
  <c r="BA369" i="4"/>
  <c r="BD369" i="4"/>
  <c r="BC369" i="4"/>
  <c r="AZ369" i="4"/>
  <c r="M369" i="4"/>
  <c r="AM369" i="4"/>
  <c r="BB369" i="4"/>
  <c r="N369" i="4"/>
  <c r="R369" i="4"/>
  <c r="Q369" i="4"/>
  <c r="O369" i="4"/>
  <c r="P369" i="4"/>
  <c r="F369" i="4"/>
  <c r="AY369" i="4"/>
  <c r="K369" i="4"/>
  <c r="O339" i="29"/>
  <c r="BE366" i="4" l="1"/>
  <c r="BF366" i="4" s="1"/>
  <c r="AX366" i="4"/>
  <c r="AO367" i="4"/>
  <c r="AN368" i="4"/>
  <c r="O340" i="29"/>
  <c r="M370" i="4"/>
  <c r="N370" i="4"/>
  <c r="AZ370" i="4"/>
  <c r="O370" i="4"/>
  <c r="R370" i="4"/>
  <c r="P370" i="4"/>
  <c r="AM370" i="4"/>
  <c r="Q370" i="4"/>
  <c r="K370" i="4"/>
  <c r="F370" i="4"/>
  <c r="BA370" i="4"/>
  <c r="BB370" i="4"/>
  <c r="AY370" i="4"/>
  <c r="BD370" i="4"/>
  <c r="BC370" i="4"/>
  <c r="AV367" i="4"/>
  <c r="AX367" i="4" s="1"/>
  <c r="BH368" i="4"/>
  <c r="AK368" i="4"/>
  <c r="AI342" i="29"/>
  <c r="AD343" i="29"/>
  <c r="B342" i="29"/>
  <c r="BO370" i="4"/>
  <c r="BN370" i="4"/>
  <c r="AW369" i="4"/>
  <c r="G341" i="29"/>
  <c r="U341" i="29"/>
  <c r="E341" i="29"/>
  <c r="R341" i="29"/>
  <c r="Q341" i="29"/>
  <c r="S341" i="29"/>
  <c r="T341" i="29"/>
  <c r="P339" i="29"/>
  <c r="V339" i="29"/>
  <c r="W339" i="29" s="1"/>
  <c r="AE369" i="4"/>
  <c r="AJ369" i="4" s="1"/>
  <c r="AD369" i="4"/>
  <c r="AI369" i="4" s="1"/>
  <c r="Y369" i="4"/>
  <c r="AG369" i="4" s="1"/>
  <c r="AF369" i="4"/>
  <c r="AC369" i="4"/>
  <c r="BG369" i="4" s="1"/>
  <c r="Z369" i="4"/>
  <c r="AH369" i="4" s="1"/>
  <c r="Z339" i="29"/>
  <c r="I340" i="29"/>
  <c r="K340" i="29" s="1"/>
  <c r="N340" i="29" s="1"/>
  <c r="J340" i="29"/>
  <c r="Y340" i="29" s="1"/>
  <c r="AE341" i="29"/>
  <c r="AF341" i="29"/>
  <c r="B371" i="4"/>
  <c r="BM372" i="4"/>
  <c r="BP371" i="4"/>
  <c r="AO368" i="4" l="1"/>
  <c r="AV368" i="4"/>
  <c r="AX368" i="4" s="1"/>
  <c r="BN371" i="4"/>
  <c r="BO371" i="4"/>
  <c r="I341" i="29"/>
  <c r="K341" i="29" s="1"/>
  <c r="N341" i="29" s="1"/>
  <c r="J341" i="29"/>
  <c r="Y341" i="29" s="1"/>
  <c r="P371" i="4"/>
  <c r="R371" i="4"/>
  <c r="AM371" i="4"/>
  <c r="Q371" i="4"/>
  <c r="BA371" i="4"/>
  <c r="AZ371" i="4"/>
  <c r="BD371" i="4"/>
  <c r="BC371" i="4"/>
  <c r="O371" i="4"/>
  <c r="N371" i="4"/>
  <c r="BB371" i="4"/>
  <c r="M371" i="4"/>
  <c r="F371" i="4"/>
  <c r="AY371" i="4"/>
  <c r="K371" i="4"/>
  <c r="AI343" i="29"/>
  <c r="B343" i="29"/>
  <c r="AD344" i="29"/>
  <c r="V340" i="29"/>
  <c r="W340" i="29" s="1"/>
  <c r="P340" i="29"/>
  <c r="AK369" i="4"/>
  <c r="AN369" i="4"/>
  <c r="O341" i="29"/>
  <c r="AF342" i="29"/>
  <c r="AE342" i="29"/>
  <c r="Z340" i="29"/>
  <c r="BP372" i="4"/>
  <c r="BM373" i="4"/>
  <c r="B372" i="4"/>
  <c r="BH369" i="4"/>
  <c r="AC370" i="4"/>
  <c r="BG370" i="4" s="1"/>
  <c r="Y370" i="4"/>
  <c r="AG370" i="4" s="1"/>
  <c r="AF370" i="4"/>
  <c r="AE370" i="4"/>
  <c r="AJ370" i="4" s="1"/>
  <c r="AD370" i="4"/>
  <c r="AI370" i="4" s="1"/>
  <c r="Z370" i="4"/>
  <c r="AH370" i="4" s="1"/>
  <c r="T342" i="29"/>
  <c r="U342" i="29"/>
  <c r="E342" i="29"/>
  <c r="R342" i="29"/>
  <c r="Q342" i="29"/>
  <c r="S342" i="29"/>
  <c r="G342" i="29"/>
  <c r="BE367" i="4"/>
  <c r="BF367" i="4" s="1"/>
  <c r="AW370" i="4"/>
  <c r="BE368" i="4" l="1"/>
  <c r="BF368" i="4" s="1"/>
  <c r="AV369" i="4"/>
  <c r="AX369" i="4" s="1"/>
  <c r="O342" i="29"/>
  <c r="AZ372" i="4"/>
  <c r="O372" i="4"/>
  <c r="M372" i="4"/>
  <c r="N372" i="4"/>
  <c r="AM372" i="4"/>
  <c r="Q372" i="4"/>
  <c r="P372" i="4"/>
  <c r="R372" i="4"/>
  <c r="K372" i="4"/>
  <c r="F372" i="4"/>
  <c r="BA372" i="4"/>
  <c r="BD372" i="4"/>
  <c r="BB372" i="4"/>
  <c r="AY372" i="4"/>
  <c r="BC372" i="4"/>
  <c r="J342" i="29"/>
  <c r="Y342" i="29" s="1"/>
  <c r="I342" i="29"/>
  <c r="K342" i="29" s="1"/>
  <c r="N342" i="29" s="1"/>
  <c r="AF343" i="29"/>
  <c r="AE343" i="29"/>
  <c r="P341" i="29"/>
  <c r="V341" i="29"/>
  <c r="W341" i="29" s="1"/>
  <c r="AK370" i="4"/>
  <c r="AN370" i="4"/>
  <c r="BP373" i="4"/>
  <c r="B373" i="4"/>
  <c r="BM374" i="4"/>
  <c r="AO369" i="4"/>
  <c r="AE371" i="4"/>
  <c r="AJ371" i="4" s="1"/>
  <c r="Z371" i="4"/>
  <c r="AH371" i="4" s="1"/>
  <c r="AC371" i="4"/>
  <c r="BG371" i="4" s="1"/>
  <c r="AD371" i="4"/>
  <c r="AI371" i="4" s="1"/>
  <c r="Y371" i="4"/>
  <c r="AG371" i="4" s="1"/>
  <c r="AF371" i="4"/>
  <c r="BH370" i="4"/>
  <c r="BO372" i="4"/>
  <c r="BN372" i="4"/>
  <c r="Z341" i="29"/>
  <c r="AI344" i="29"/>
  <c r="B344" i="29"/>
  <c r="AD345" i="29"/>
  <c r="AW371" i="4"/>
  <c r="T343" i="29"/>
  <c r="G343" i="29"/>
  <c r="U343" i="29"/>
  <c r="E343" i="29"/>
  <c r="R343" i="29"/>
  <c r="S343" i="29"/>
  <c r="Q343" i="29"/>
  <c r="AV370" i="4" l="1"/>
  <c r="AX370" i="4" s="1"/>
  <c r="BE369" i="4"/>
  <c r="BF369" i="4" s="1"/>
  <c r="BH371" i="4"/>
  <c r="AO370" i="4"/>
  <c r="O343" i="29"/>
  <c r="P342" i="29"/>
  <c r="V342" i="29"/>
  <c r="W342" i="29" s="1"/>
  <c r="AF344" i="29"/>
  <c r="AE344" i="29"/>
  <c r="O373" i="4"/>
  <c r="P373" i="4"/>
  <c r="R373" i="4"/>
  <c r="Q373" i="4"/>
  <c r="BB373" i="4"/>
  <c r="N373" i="4"/>
  <c r="M373" i="4"/>
  <c r="AM373" i="4"/>
  <c r="K373" i="4"/>
  <c r="F373" i="4"/>
  <c r="AY373" i="4"/>
  <c r="BC373" i="4"/>
  <c r="AZ373" i="4"/>
  <c r="BA373" i="4"/>
  <c r="BD373" i="4"/>
  <c r="I343" i="29"/>
  <c r="K343" i="29" s="1"/>
  <c r="N343" i="29" s="1"/>
  <c r="J343" i="29"/>
  <c r="Y343" i="29" s="1"/>
  <c r="Z342" i="29"/>
  <c r="BN373" i="4"/>
  <c r="BO373" i="4"/>
  <c r="AI345" i="29"/>
  <c r="AD346" i="29"/>
  <c r="B345" i="29"/>
  <c r="T344" i="29"/>
  <c r="E344" i="29"/>
  <c r="R344" i="29"/>
  <c r="G344" i="29"/>
  <c r="U344" i="29"/>
  <c r="Q344" i="29"/>
  <c r="S344" i="29"/>
  <c r="Y372" i="4"/>
  <c r="AG372" i="4" s="1"/>
  <c r="AD372" i="4"/>
  <c r="AI372" i="4" s="1"/>
  <c r="Z372" i="4"/>
  <c r="AH372" i="4" s="1"/>
  <c r="AF372" i="4"/>
  <c r="AE372" i="4"/>
  <c r="AJ372" i="4" s="1"/>
  <c r="AC372" i="4"/>
  <c r="BG372" i="4" s="1"/>
  <c r="AK371" i="4"/>
  <c r="AN371" i="4"/>
  <c r="BM375" i="4"/>
  <c r="BP374" i="4"/>
  <c r="B374" i="4"/>
  <c r="AW372" i="4"/>
  <c r="BE370" i="4" l="1"/>
  <c r="BF370" i="4" s="1"/>
  <c r="BH372" i="4"/>
  <c r="AO371" i="4"/>
  <c r="AW373" i="4"/>
  <c r="AV371" i="4"/>
  <c r="AX371" i="4" s="1"/>
  <c r="BO374" i="4"/>
  <c r="BN374" i="4"/>
  <c r="BP375" i="4"/>
  <c r="B375" i="4"/>
  <c r="BM376" i="4"/>
  <c r="E345" i="29"/>
  <c r="U345" i="29"/>
  <c r="Q345" i="29"/>
  <c r="R345" i="29"/>
  <c r="S345" i="29"/>
  <c r="G345" i="29"/>
  <c r="T345" i="29"/>
  <c r="AC373" i="4"/>
  <c r="BG373" i="4" s="1"/>
  <c r="AE373" i="4"/>
  <c r="AJ373" i="4" s="1"/>
  <c r="Y373" i="4"/>
  <c r="AG373" i="4" s="1"/>
  <c r="AD373" i="4"/>
  <c r="AI373" i="4" s="1"/>
  <c r="Z373" i="4"/>
  <c r="AH373" i="4" s="1"/>
  <c r="AF373" i="4"/>
  <c r="V343" i="29"/>
  <c r="W343" i="29" s="1"/>
  <c r="P343" i="29"/>
  <c r="AI346" i="29"/>
  <c r="AD347" i="29"/>
  <c r="B346" i="29"/>
  <c r="N374" i="4"/>
  <c r="M374" i="4"/>
  <c r="O374" i="4"/>
  <c r="AZ374" i="4"/>
  <c r="P374" i="4"/>
  <c r="R374" i="4"/>
  <c r="Q374" i="4"/>
  <c r="AM374" i="4"/>
  <c r="F374" i="4"/>
  <c r="K374" i="4"/>
  <c r="BA374" i="4"/>
  <c r="AY374" i="4"/>
  <c r="BB374" i="4"/>
  <c r="BC374" i="4"/>
  <c r="BD374" i="4"/>
  <c r="AK372" i="4"/>
  <c r="AN372" i="4"/>
  <c r="AF345" i="29"/>
  <c r="AE345" i="29"/>
  <c r="J344" i="29"/>
  <c r="Y344" i="29" s="1"/>
  <c r="I344" i="29"/>
  <c r="K344" i="29" s="1"/>
  <c r="N344" i="29" s="1"/>
  <c r="Z343" i="29"/>
  <c r="O344" i="29"/>
  <c r="BH373" i="4" l="1"/>
  <c r="AV372" i="4"/>
  <c r="BE371" i="4"/>
  <c r="BF371" i="4" s="1"/>
  <c r="AO372" i="4"/>
  <c r="AW374" i="4"/>
  <c r="V344" i="29"/>
  <c r="W344" i="29" s="1"/>
  <c r="P344" i="29"/>
  <c r="I345" i="29"/>
  <c r="K345" i="29" s="1"/>
  <c r="N345" i="29" s="1"/>
  <c r="J345" i="29"/>
  <c r="Z344" i="29"/>
  <c r="AI347" i="29"/>
  <c r="B347" i="29"/>
  <c r="AD348" i="29"/>
  <c r="K375" i="4"/>
  <c r="F375" i="4"/>
  <c r="AY375" i="4"/>
  <c r="AZ375" i="4"/>
  <c r="BA375" i="4"/>
  <c r="BD375" i="4"/>
  <c r="BC375" i="4"/>
  <c r="M375" i="4"/>
  <c r="O375" i="4"/>
  <c r="N375" i="4"/>
  <c r="BB375" i="4"/>
  <c r="P375" i="4"/>
  <c r="Q375" i="4"/>
  <c r="R375" i="4"/>
  <c r="AM375" i="4"/>
  <c r="AE346" i="29"/>
  <c r="AF346" i="29"/>
  <c r="BO375" i="4"/>
  <c r="BN375" i="4"/>
  <c r="O345" i="29"/>
  <c r="Z374" i="4"/>
  <c r="AH374" i="4" s="1"/>
  <c r="AE374" i="4"/>
  <c r="AJ374" i="4" s="1"/>
  <c r="Y374" i="4"/>
  <c r="AG374" i="4" s="1"/>
  <c r="AC374" i="4"/>
  <c r="BG374" i="4" s="1"/>
  <c r="AD374" i="4"/>
  <c r="AI374" i="4" s="1"/>
  <c r="AF374" i="4"/>
  <c r="E346" i="29"/>
  <c r="G346" i="29"/>
  <c r="R346" i="29"/>
  <c r="S346" i="29"/>
  <c r="U346" i="29"/>
  <c r="Q346" i="29"/>
  <c r="T346" i="29"/>
  <c r="AK373" i="4"/>
  <c r="AN373" i="4"/>
  <c r="Y345" i="29"/>
  <c r="B376" i="4"/>
  <c r="BP376" i="4"/>
  <c r="BM377" i="4"/>
  <c r="BE372" i="4" l="1"/>
  <c r="BF372" i="4" s="1"/>
  <c r="AX372" i="4"/>
  <c r="AV373" i="4"/>
  <c r="BP377" i="4"/>
  <c r="BM378" i="4"/>
  <c r="BM382" i="4" s="1"/>
  <c r="B377" i="4"/>
  <c r="U347" i="29"/>
  <c r="G347" i="29"/>
  <c r="R347" i="29"/>
  <c r="E347" i="29"/>
  <c r="S347" i="29"/>
  <c r="Q347" i="29"/>
  <c r="T347" i="29"/>
  <c r="BN376" i="4"/>
  <c r="BO376" i="4"/>
  <c r="P345" i="29"/>
  <c r="V345" i="29"/>
  <c r="W345" i="29" s="1"/>
  <c r="AE347" i="29"/>
  <c r="AF347" i="29"/>
  <c r="O376" i="4"/>
  <c r="AZ376" i="4"/>
  <c r="M376" i="4"/>
  <c r="R376" i="4"/>
  <c r="N376" i="4"/>
  <c r="P376" i="4"/>
  <c r="AM376" i="4"/>
  <c r="Q376" i="4"/>
  <c r="K376" i="4"/>
  <c r="F376" i="4"/>
  <c r="BA376" i="4"/>
  <c r="BB376" i="4"/>
  <c r="BD376" i="4"/>
  <c r="AY376" i="4"/>
  <c r="BC376" i="4"/>
  <c r="AK374" i="4"/>
  <c r="AN374" i="4"/>
  <c r="AW375" i="4"/>
  <c r="Z345" i="29"/>
  <c r="AF375" i="4"/>
  <c r="Z375" i="4"/>
  <c r="AH375" i="4" s="1"/>
  <c r="AE375" i="4"/>
  <c r="AJ375" i="4" s="1"/>
  <c r="AD375" i="4"/>
  <c r="AI375" i="4" s="1"/>
  <c r="Y375" i="4"/>
  <c r="AG375" i="4" s="1"/>
  <c r="AC375" i="4"/>
  <c r="BG375" i="4" s="1"/>
  <c r="AO373" i="4"/>
  <c r="O346" i="29"/>
  <c r="BH374" i="4"/>
  <c r="J346" i="29"/>
  <c r="Y346" i="29" s="1"/>
  <c r="I346" i="29"/>
  <c r="K346" i="29" s="1"/>
  <c r="N346" i="29" s="1"/>
  <c r="AI348" i="29"/>
  <c r="B348" i="29"/>
  <c r="AD349" i="29"/>
  <c r="BE373" i="4" l="1"/>
  <c r="BF373" i="4" s="1"/>
  <c r="AX373" i="4"/>
  <c r="B382" i="4"/>
  <c r="BP382" i="4"/>
  <c r="AO374" i="4"/>
  <c r="AW376" i="4"/>
  <c r="AV374" i="4"/>
  <c r="M771" i="7" s="1"/>
  <c r="I347" i="29"/>
  <c r="K347" i="29" s="1"/>
  <c r="N347" i="29" s="1"/>
  <c r="J347" i="29"/>
  <c r="Y347" i="29" s="1"/>
  <c r="AE376" i="4"/>
  <c r="AJ376" i="4" s="1"/>
  <c r="Z376" i="4"/>
  <c r="AH376" i="4" s="1"/>
  <c r="AD376" i="4"/>
  <c r="AI376" i="4" s="1"/>
  <c r="AF376" i="4"/>
  <c r="AC376" i="4"/>
  <c r="BG376" i="4" s="1"/>
  <c r="Y376" i="4"/>
  <c r="AG376" i="4" s="1"/>
  <c r="P346" i="29"/>
  <c r="V346" i="29"/>
  <c r="W346" i="29" s="1"/>
  <c r="Z346" i="29"/>
  <c r="S348" i="29"/>
  <c r="G348" i="29"/>
  <c r="Q348" i="29"/>
  <c r="R348" i="29"/>
  <c r="T348" i="29"/>
  <c r="E348" i="29"/>
  <c r="U348" i="29"/>
  <c r="BH375" i="4"/>
  <c r="R377" i="4"/>
  <c r="O377" i="4"/>
  <c r="Q377" i="4"/>
  <c r="P377" i="4"/>
  <c r="AM377" i="4"/>
  <c r="BB377" i="4"/>
  <c r="M377" i="4"/>
  <c r="N377" i="4"/>
  <c r="AY377" i="4"/>
  <c r="F377" i="4"/>
  <c r="K377" i="4"/>
  <c r="BD377" i="4"/>
  <c r="BC377" i="4"/>
  <c r="BA377" i="4"/>
  <c r="AZ377" i="4"/>
  <c r="AI349" i="29"/>
  <c r="AD350" i="29"/>
  <c r="B349" i="29"/>
  <c r="O347" i="29"/>
  <c r="BM379" i="4"/>
  <c r="BM383" i="4" s="1"/>
  <c r="B378" i="4"/>
  <c r="BP378" i="4"/>
  <c r="AE348" i="29"/>
  <c r="AF348" i="29"/>
  <c r="AK375" i="4"/>
  <c r="AN375" i="4"/>
  <c r="BO377" i="4"/>
  <c r="BN377" i="4"/>
  <c r="BE374" i="4" l="1"/>
  <c r="BF374" i="4" s="1"/>
  <c r="AX374" i="4"/>
  <c r="BO382" i="4"/>
  <c r="BN382" i="4"/>
  <c r="BC382" i="4"/>
  <c r="AY382" i="4"/>
  <c r="P382" i="4"/>
  <c r="K382" i="4"/>
  <c r="BB382" i="4"/>
  <c r="O382" i="4"/>
  <c r="F382" i="4"/>
  <c r="BA382" i="4"/>
  <c r="AM382" i="4"/>
  <c r="R382" i="4"/>
  <c r="N382" i="4"/>
  <c r="BD382" i="4"/>
  <c r="AZ382" i="4"/>
  <c r="Q382" i="4"/>
  <c r="M382" i="4"/>
  <c r="B383" i="4"/>
  <c r="BP383" i="4"/>
  <c r="AO375" i="4"/>
  <c r="AV375" i="4"/>
  <c r="AX375" i="4" s="1"/>
  <c r="O348" i="29"/>
  <c r="BH376" i="4"/>
  <c r="AW377" i="4"/>
  <c r="T349" i="29"/>
  <c r="G349" i="29"/>
  <c r="S349" i="29"/>
  <c r="R349" i="29"/>
  <c r="E349" i="29"/>
  <c r="Q349" i="29"/>
  <c r="U349" i="29"/>
  <c r="Y377" i="4"/>
  <c r="AG377" i="4" s="1"/>
  <c r="AC377" i="4"/>
  <c r="BG377" i="4" s="1"/>
  <c r="AD377" i="4"/>
  <c r="AI377" i="4" s="1"/>
  <c r="AF377" i="4"/>
  <c r="AE377" i="4"/>
  <c r="AJ377" i="4" s="1"/>
  <c r="Z377" i="4"/>
  <c r="AH377" i="4" s="1"/>
  <c r="BN378" i="4"/>
  <c r="BO378" i="4"/>
  <c r="Z347" i="29"/>
  <c r="AI350" i="29"/>
  <c r="AD351" i="29"/>
  <c r="B350" i="29"/>
  <c r="AK376" i="4"/>
  <c r="AN376" i="4"/>
  <c r="I348" i="29"/>
  <c r="K348" i="29" s="1"/>
  <c r="N348" i="29" s="1"/>
  <c r="J348" i="29"/>
  <c r="Y348" i="29" s="1"/>
  <c r="M378" i="4"/>
  <c r="N378" i="4"/>
  <c r="O378" i="4"/>
  <c r="AZ378" i="4"/>
  <c r="AM378" i="4"/>
  <c r="P378" i="4"/>
  <c r="Q378" i="4"/>
  <c r="R378" i="4"/>
  <c r="K378" i="4"/>
  <c r="F378" i="4"/>
  <c r="BA378" i="4"/>
  <c r="BB378" i="4"/>
  <c r="AY378" i="4"/>
  <c r="BC378" i="4"/>
  <c r="BD378" i="4"/>
  <c r="AE349" i="29"/>
  <c r="AF349" i="29"/>
  <c r="V347" i="29"/>
  <c r="W347" i="29" s="1"/>
  <c r="P347" i="29"/>
  <c r="BM380" i="4"/>
  <c r="BM384" i="4" s="1"/>
  <c r="B379" i="4"/>
  <c r="BP379" i="4"/>
  <c r="BE375" i="4" l="1"/>
  <c r="BF375" i="4" s="1"/>
  <c r="Z348" i="29"/>
  <c r="AW382" i="4"/>
  <c r="AF382" i="4"/>
  <c r="Z382" i="4"/>
  <c r="AH382" i="4" s="1"/>
  <c r="AE382" i="4"/>
  <c r="AJ382" i="4" s="1"/>
  <c r="Y382" i="4"/>
  <c r="AG382" i="4" s="1"/>
  <c r="AD382" i="4"/>
  <c r="AI382" i="4" s="1"/>
  <c r="AC382" i="4"/>
  <c r="BG382" i="4" s="1"/>
  <c r="BO383" i="4"/>
  <c r="BN383" i="4"/>
  <c r="BC383" i="4"/>
  <c r="AY383" i="4"/>
  <c r="P383" i="4"/>
  <c r="K383" i="4"/>
  <c r="BB383" i="4"/>
  <c r="O383" i="4"/>
  <c r="F383" i="4"/>
  <c r="BA383" i="4"/>
  <c r="AM383" i="4"/>
  <c r="R383" i="4"/>
  <c r="N383" i="4"/>
  <c r="BD383" i="4"/>
  <c r="AZ383" i="4"/>
  <c r="Q383" i="4"/>
  <c r="M383" i="4"/>
  <c r="B384" i="4"/>
  <c r="BP384" i="4"/>
  <c r="AV376" i="4"/>
  <c r="BH377" i="4"/>
  <c r="AW378" i="4"/>
  <c r="AO376" i="4"/>
  <c r="BM381" i="4"/>
  <c r="B380" i="4"/>
  <c r="BP380" i="4"/>
  <c r="R350" i="29"/>
  <c r="T350" i="29"/>
  <c r="S350" i="29"/>
  <c r="U350" i="29"/>
  <c r="Q350" i="29"/>
  <c r="E350" i="29"/>
  <c r="G350" i="29"/>
  <c r="AK377" i="4"/>
  <c r="AN377" i="4"/>
  <c r="O349" i="29"/>
  <c r="AI351" i="29"/>
  <c r="B351" i="29"/>
  <c r="AD352" i="29"/>
  <c r="BN379" i="4"/>
  <c r="BO379" i="4"/>
  <c r="J349" i="29"/>
  <c r="Y349" i="29" s="1"/>
  <c r="I349" i="29"/>
  <c r="K349" i="29" s="1"/>
  <c r="N349" i="29" s="1"/>
  <c r="AF350" i="29"/>
  <c r="AE350" i="29"/>
  <c r="AC378" i="4"/>
  <c r="BG378" i="4" s="1"/>
  <c r="Y378" i="4"/>
  <c r="AG378" i="4" s="1"/>
  <c r="AF378" i="4"/>
  <c r="Z378" i="4"/>
  <c r="AH378" i="4" s="1"/>
  <c r="AE378" i="4"/>
  <c r="AJ378" i="4" s="1"/>
  <c r="AD378" i="4"/>
  <c r="AI378" i="4" s="1"/>
  <c r="V348" i="29"/>
  <c r="W348" i="29" s="1"/>
  <c r="P348" i="29"/>
  <c r="F379" i="4"/>
  <c r="AY379" i="4"/>
  <c r="K379" i="4"/>
  <c r="BA379" i="4"/>
  <c r="BD379" i="4"/>
  <c r="BC379" i="4"/>
  <c r="AZ379" i="4"/>
  <c r="Q379" i="4"/>
  <c r="P379" i="4"/>
  <c r="AM379" i="4"/>
  <c r="R379" i="4"/>
  <c r="O379" i="4"/>
  <c r="N379" i="4"/>
  <c r="BB379" i="4"/>
  <c r="M379" i="4"/>
  <c r="AX376" i="4" l="1"/>
  <c r="M772" i="7"/>
  <c r="BH382" i="4"/>
  <c r="AN382" i="4"/>
  <c r="AK382" i="4"/>
  <c r="AW383" i="4"/>
  <c r="AF383" i="4"/>
  <c r="Z383" i="4"/>
  <c r="AH383" i="4" s="1"/>
  <c r="AE383" i="4"/>
  <c r="AJ383" i="4" s="1"/>
  <c r="Y383" i="4"/>
  <c r="AG383" i="4" s="1"/>
  <c r="AD383" i="4"/>
  <c r="AI383" i="4" s="1"/>
  <c r="AC383" i="4"/>
  <c r="BG383" i="4" s="1"/>
  <c r="BO384" i="4"/>
  <c r="BN384" i="4"/>
  <c r="BC384" i="4"/>
  <c r="AY384" i="4"/>
  <c r="P384" i="4"/>
  <c r="K384" i="4"/>
  <c r="BB384" i="4"/>
  <c r="O384" i="4"/>
  <c r="F384" i="4"/>
  <c r="BA384" i="4"/>
  <c r="AM384" i="4"/>
  <c r="R384" i="4"/>
  <c r="N384" i="4"/>
  <c r="BD384" i="4"/>
  <c r="AZ384" i="4"/>
  <c r="Q384" i="4"/>
  <c r="M384" i="4"/>
  <c r="BE376" i="4"/>
  <c r="BF376" i="4" s="1"/>
  <c r="AV377" i="4"/>
  <c r="AX377" i="4" s="1"/>
  <c r="BH378" i="4"/>
  <c r="Z349" i="29"/>
  <c r="AO377" i="4"/>
  <c r="AK378" i="4"/>
  <c r="AN378" i="4"/>
  <c r="AI352" i="29"/>
  <c r="B352" i="29"/>
  <c r="AD353" i="29"/>
  <c r="B381" i="4"/>
  <c r="BP381" i="4"/>
  <c r="BM385" i="4"/>
  <c r="V349" i="29"/>
  <c r="W349" i="29" s="1"/>
  <c r="P349" i="29"/>
  <c r="G351" i="29"/>
  <c r="S351" i="29"/>
  <c r="R351" i="29"/>
  <c r="E351" i="29"/>
  <c r="T351" i="29"/>
  <c r="Q351" i="29"/>
  <c r="U351" i="29"/>
  <c r="AW379" i="4"/>
  <c r="Y379" i="4"/>
  <c r="AG379" i="4" s="1"/>
  <c r="AE379" i="4"/>
  <c r="AJ379" i="4" s="1"/>
  <c r="AF379" i="4"/>
  <c r="AC379" i="4"/>
  <c r="BG379" i="4" s="1"/>
  <c r="AD379" i="4"/>
  <c r="AI379" i="4" s="1"/>
  <c r="Z379" i="4"/>
  <c r="AH379" i="4" s="1"/>
  <c r="AF351" i="29"/>
  <c r="AE351" i="29"/>
  <c r="O350" i="29"/>
  <c r="BN380" i="4"/>
  <c r="BO380" i="4"/>
  <c r="J350" i="29"/>
  <c r="Y350" i="29" s="1"/>
  <c r="I350" i="29"/>
  <c r="K350" i="29" s="1"/>
  <c r="N350" i="29" s="1"/>
  <c r="AM380" i="4"/>
  <c r="P380" i="4"/>
  <c r="Q380" i="4"/>
  <c r="R380" i="4"/>
  <c r="AZ380" i="4"/>
  <c r="O380" i="4"/>
  <c r="N380" i="4"/>
  <c r="M380" i="4"/>
  <c r="K380" i="4"/>
  <c r="BA380" i="4"/>
  <c r="F380" i="4"/>
  <c r="BD380" i="4"/>
  <c r="BB380" i="4"/>
  <c r="BC380" i="4"/>
  <c r="AY380" i="4"/>
  <c r="AO382" i="4" l="1"/>
  <c r="BH383" i="4"/>
  <c r="AN383" i="4"/>
  <c r="AK383" i="4"/>
  <c r="AV382" i="4"/>
  <c r="AX382" i="4" s="1"/>
  <c r="AW384" i="4"/>
  <c r="AF384" i="4"/>
  <c r="AK384" i="4" s="1"/>
  <c r="Z384" i="4"/>
  <c r="AH384" i="4" s="1"/>
  <c r="AE384" i="4"/>
  <c r="AJ384" i="4" s="1"/>
  <c r="Y384" i="4"/>
  <c r="AG384" i="4" s="1"/>
  <c r="AD384" i="4"/>
  <c r="AI384" i="4" s="1"/>
  <c r="AC384" i="4"/>
  <c r="BG384" i="4" s="1"/>
  <c r="BE377" i="4"/>
  <c r="BF377" i="4" s="1"/>
  <c r="AO378" i="4"/>
  <c r="Z350" i="29"/>
  <c r="AV378" i="4"/>
  <c r="AX378" i="4" s="1"/>
  <c r="P350" i="29"/>
  <c r="V350" i="29"/>
  <c r="W350" i="29" s="1"/>
  <c r="AW380" i="4"/>
  <c r="BH379" i="4"/>
  <c r="BP385" i="4"/>
  <c r="BM386" i="4"/>
  <c r="B385" i="4"/>
  <c r="BO381" i="4"/>
  <c r="BN381" i="4"/>
  <c r="AI353" i="29"/>
  <c r="AD354" i="29"/>
  <c r="B353" i="29"/>
  <c r="K381" i="4"/>
  <c r="F381" i="4"/>
  <c r="AY381" i="4"/>
  <c r="BC381" i="4"/>
  <c r="AZ381" i="4"/>
  <c r="BA381" i="4"/>
  <c r="BD381" i="4"/>
  <c r="P381" i="4"/>
  <c r="AM381" i="4"/>
  <c r="R381" i="4"/>
  <c r="Q381" i="4"/>
  <c r="BB381" i="4"/>
  <c r="N381" i="4"/>
  <c r="M381" i="4"/>
  <c r="O381" i="4"/>
  <c r="U352" i="29"/>
  <c r="R352" i="29"/>
  <c r="G352" i="29"/>
  <c r="T352" i="29"/>
  <c r="Q352" i="29"/>
  <c r="S352" i="29"/>
  <c r="E352" i="29"/>
  <c r="AC380" i="4"/>
  <c r="BG380" i="4" s="1"/>
  <c r="Y380" i="4"/>
  <c r="AG380" i="4" s="1"/>
  <c r="AE380" i="4"/>
  <c r="AJ380" i="4" s="1"/>
  <c r="Z380" i="4"/>
  <c r="AH380" i="4" s="1"/>
  <c r="AD380" i="4"/>
  <c r="AI380" i="4" s="1"/>
  <c r="AF380" i="4"/>
  <c r="I351" i="29"/>
  <c r="K351" i="29" s="1"/>
  <c r="N351" i="29" s="1"/>
  <c r="J351" i="29"/>
  <c r="Y351" i="29" s="1"/>
  <c r="AK379" i="4"/>
  <c r="AN379" i="4"/>
  <c r="O351" i="29"/>
  <c r="AE352" i="29"/>
  <c r="AF352" i="29"/>
  <c r="AV383" i="4" l="1"/>
  <c r="BH384" i="4"/>
  <c r="AO383" i="4"/>
  <c r="BE382" i="4"/>
  <c r="BF382" i="4" s="1"/>
  <c r="AN384" i="4"/>
  <c r="AV384" i="4" s="1"/>
  <c r="AX384" i="4" s="1"/>
  <c r="BE378" i="4"/>
  <c r="BF378" i="4" s="1"/>
  <c r="AV379" i="4"/>
  <c r="AX379" i="4" s="1"/>
  <c r="AO379" i="4"/>
  <c r="V351" i="29"/>
  <c r="W351" i="29" s="1"/>
  <c r="P351" i="29"/>
  <c r="AI354" i="29"/>
  <c r="B354" i="29"/>
  <c r="AD355" i="29"/>
  <c r="BP386" i="4"/>
  <c r="B386" i="4"/>
  <c r="BM387" i="4"/>
  <c r="O352" i="29"/>
  <c r="AF353" i="29"/>
  <c r="AE353" i="29"/>
  <c r="BO385" i="4"/>
  <c r="BN385" i="4"/>
  <c r="BH380" i="4"/>
  <c r="AW381" i="4"/>
  <c r="AD381" i="4"/>
  <c r="AI381" i="4" s="1"/>
  <c r="Z381" i="4"/>
  <c r="AH381" i="4" s="1"/>
  <c r="AE381" i="4"/>
  <c r="AJ381" i="4" s="1"/>
  <c r="AC381" i="4"/>
  <c r="BG381" i="4" s="1"/>
  <c r="Y381" i="4"/>
  <c r="AG381" i="4" s="1"/>
  <c r="AF381" i="4"/>
  <c r="J352" i="29"/>
  <c r="Y352" i="29" s="1"/>
  <c r="I352" i="29"/>
  <c r="K352" i="29" s="1"/>
  <c r="N352" i="29" s="1"/>
  <c r="Z351" i="29"/>
  <c r="AK380" i="4"/>
  <c r="AN380" i="4"/>
  <c r="U353" i="29"/>
  <c r="R353" i="29"/>
  <c r="T353" i="29"/>
  <c r="E353" i="29"/>
  <c r="Q353" i="29"/>
  <c r="G353" i="29"/>
  <c r="S353" i="29"/>
  <c r="N385" i="4"/>
  <c r="O385" i="4"/>
  <c r="K385" i="4"/>
  <c r="BD385" i="4"/>
  <c r="P385" i="4"/>
  <c r="Q385" i="4"/>
  <c r="BB385" i="4"/>
  <c r="AM385" i="4"/>
  <c r="F385" i="4"/>
  <c r="BA385" i="4"/>
  <c r="M385" i="4"/>
  <c r="AY385" i="4"/>
  <c r="BC385" i="4"/>
  <c r="AZ385" i="4"/>
  <c r="R385" i="4"/>
  <c r="BE383" i="4" l="1"/>
  <c r="BF383" i="4" s="1"/>
  <c r="AX383" i="4"/>
  <c r="BE384" i="4"/>
  <c r="BF384" i="4" s="1"/>
  <c r="AO384" i="4"/>
  <c r="BE379" i="4"/>
  <c r="BF379" i="4" s="1"/>
  <c r="AV380" i="4"/>
  <c r="AX380" i="4" s="1"/>
  <c r="BH381" i="4"/>
  <c r="AO380" i="4"/>
  <c r="V352" i="29"/>
  <c r="W352" i="29" s="1"/>
  <c r="P352" i="29"/>
  <c r="AK381" i="4"/>
  <c r="AN381" i="4"/>
  <c r="S354" i="29"/>
  <c r="E354" i="29"/>
  <c r="T354" i="29"/>
  <c r="Q354" i="29"/>
  <c r="R354" i="29"/>
  <c r="U354" i="29"/>
  <c r="G354" i="29"/>
  <c r="O353" i="29"/>
  <c r="AE385" i="4"/>
  <c r="AJ385" i="4" s="1"/>
  <c r="AF385" i="4"/>
  <c r="Z385" i="4"/>
  <c r="AH385" i="4" s="1"/>
  <c r="Y385" i="4"/>
  <c r="AG385" i="4" s="1"/>
  <c r="AD385" i="4"/>
  <c r="AI385" i="4" s="1"/>
  <c r="AC385" i="4"/>
  <c r="BG385" i="4" s="1"/>
  <c r="B387" i="4"/>
  <c r="BP387" i="4"/>
  <c r="BM388" i="4"/>
  <c r="AE354" i="29"/>
  <c r="AF354" i="29"/>
  <c r="I353" i="29"/>
  <c r="K353" i="29" s="1"/>
  <c r="N353" i="29" s="1"/>
  <c r="J353" i="29"/>
  <c r="Y353" i="29" s="1"/>
  <c r="N386" i="4"/>
  <c r="R386" i="4"/>
  <c r="Q386" i="4"/>
  <c r="P386" i="4"/>
  <c r="AY386" i="4"/>
  <c r="K386" i="4"/>
  <c r="F386" i="4"/>
  <c r="BC386" i="4"/>
  <c r="BD386" i="4"/>
  <c r="AZ386" i="4"/>
  <c r="BA386" i="4"/>
  <c r="BB386" i="4"/>
  <c r="AM386" i="4"/>
  <c r="M386" i="4"/>
  <c r="O386" i="4"/>
  <c r="AW385" i="4"/>
  <c r="Z352" i="29"/>
  <c r="BN386" i="4"/>
  <c r="BO386" i="4"/>
  <c r="AI355" i="29"/>
  <c r="B355" i="29"/>
  <c r="AD356" i="29"/>
  <c r="BE380" i="4" l="1"/>
  <c r="BF380" i="4" s="1"/>
  <c r="AO381" i="4"/>
  <c r="AW386" i="4"/>
  <c r="BH385" i="4"/>
  <c r="P387" i="4"/>
  <c r="Q387" i="4"/>
  <c r="AM387" i="4"/>
  <c r="R387" i="4"/>
  <c r="BC387" i="4"/>
  <c r="AY387" i="4"/>
  <c r="BD387" i="4"/>
  <c r="BB387" i="4"/>
  <c r="BA387" i="4"/>
  <c r="F387" i="4"/>
  <c r="K387" i="4"/>
  <c r="N387" i="4"/>
  <c r="M387" i="4"/>
  <c r="AZ387" i="4"/>
  <c r="O387" i="4"/>
  <c r="Z353" i="29"/>
  <c r="AV381" i="4"/>
  <c r="AX381" i="4" s="1"/>
  <c r="G355" i="29"/>
  <c r="S355" i="29"/>
  <c r="Q355" i="29"/>
  <c r="R355" i="29"/>
  <c r="E355" i="29"/>
  <c r="T355" i="29"/>
  <c r="U355" i="29"/>
  <c r="P353" i="29"/>
  <c r="V353" i="29"/>
  <c r="W353" i="29" s="1"/>
  <c r="BM389" i="4"/>
  <c r="B388" i="4"/>
  <c r="BP388" i="4"/>
  <c r="AE355" i="29"/>
  <c r="AF355" i="29"/>
  <c r="AI356" i="29"/>
  <c r="AD357" i="29"/>
  <c r="B356" i="29"/>
  <c r="Y386" i="4"/>
  <c r="AG386" i="4" s="1"/>
  <c r="AC386" i="4"/>
  <c r="BG386" i="4" s="1"/>
  <c r="AD386" i="4"/>
  <c r="AI386" i="4" s="1"/>
  <c r="AF386" i="4"/>
  <c r="Z386" i="4"/>
  <c r="AH386" i="4" s="1"/>
  <c r="AE386" i="4"/>
  <c r="AJ386" i="4" s="1"/>
  <c r="I354" i="29"/>
  <c r="K354" i="29" s="1"/>
  <c r="N354" i="29" s="1"/>
  <c r="J354" i="29"/>
  <c r="Y354" i="29" s="1"/>
  <c r="BN387" i="4"/>
  <c r="BO387" i="4"/>
  <c r="AK385" i="4"/>
  <c r="AN385" i="4"/>
  <c r="O354" i="29"/>
  <c r="AV385" i="4" l="1"/>
  <c r="AX385" i="4" s="1"/>
  <c r="AO385" i="4"/>
  <c r="Z354" i="29"/>
  <c r="AF387" i="4"/>
  <c r="Y387" i="4"/>
  <c r="AG387" i="4" s="1"/>
  <c r="Z387" i="4"/>
  <c r="AH387" i="4" s="1"/>
  <c r="AD387" i="4"/>
  <c r="AI387" i="4" s="1"/>
  <c r="AE387" i="4"/>
  <c r="AJ387" i="4" s="1"/>
  <c r="AC387" i="4"/>
  <c r="BG387" i="4" s="1"/>
  <c r="AF356" i="29"/>
  <c r="AE356" i="29"/>
  <c r="BP389" i="4"/>
  <c r="B389" i="4"/>
  <c r="BM390" i="4"/>
  <c r="V354" i="29"/>
  <c r="W354" i="29" s="1"/>
  <c r="P354" i="29"/>
  <c r="BH386" i="4"/>
  <c r="AK386" i="4"/>
  <c r="AN386" i="4"/>
  <c r="R356" i="29"/>
  <c r="E356" i="29"/>
  <c r="S356" i="29"/>
  <c r="Q356" i="29"/>
  <c r="T356" i="29"/>
  <c r="U356" i="29"/>
  <c r="G356" i="29"/>
  <c r="BN388" i="4"/>
  <c r="BO388" i="4"/>
  <c r="AI357" i="29"/>
  <c r="B357" i="29"/>
  <c r="AD358" i="29"/>
  <c r="I355" i="29"/>
  <c r="K355" i="29" s="1"/>
  <c r="N355" i="29" s="1"/>
  <c r="J355" i="29"/>
  <c r="Y355" i="29" s="1"/>
  <c r="Q388" i="4"/>
  <c r="AM388" i="4"/>
  <c r="P388" i="4"/>
  <c r="R388" i="4"/>
  <c r="AY388" i="4"/>
  <c r="K388" i="4"/>
  <c r="F388" i="4"/>
  <c r="BD388" i="4"/>
  <c r="BC388" i="4"/>
  <c r="AZ388" i="4"/>
  <c r="BA388" i="4"/>
  <c r="O388" i="4"/>
  <c r="BB388" i="4"/>
  <c r="N388" i="4"/>
  <c r="M388" i="4"/>
  <c r="O355" i="29"/>
  <c r="BE381" i="4"/>
  <c r="BF381" i="4" s="1"/>
  <c r="AW387" i="4"/>
  <c r="AO386" i="4" l="1"/>
  <c r="BE385" i="4"/>
  <c r="BF385" i="4" s="1"/>
  <c r="Z355" i="29"/>
  <c r="AI358" i="29"/>
  <c r="AD359" i="29"/>
  <c r="B358" i="29"/>
  <c r="AC388" i="4"/>
  <c r="BG388" i="4" s="1"/>
  <c r="AF388" i="4"/>
  <c r="Z388" i="4"/>
  <c r="AH388" i="4" s="1"/>
  <c r="Y388" i="4"/>
  <c r="AG388" i="4" s="1"/>
  <c r="AD388" i="4"/>
  <c r="AI388" i="4" s="1"/>
  <c r="AE388" i="4"/>
  <c r="AJ388" i="4" s="1"/>
  <c r="O356" i="29"/>
  <c r="BP390" i="4"/>
  <c r="BM391" i="4"/>
  <c r="B390" i="4"/>
  <c r="AK387" i="4"/>
  <c r="AN387" i="4"/>
  <c r="G357" i="29"/>
  <c r="R357" i="29"/>
  <c r="Q357" i="29"/>
  <c r="E357" i="29"/>
  <c r="T357" i="29"/>
  <c r="S357" i="29"/>
  <c r="U357" i="29"/>
  <c r="R389" i="4"/>
  <c r="AM389" i="4"/>
  <c r="P389" i="4"/>
  <c r="Q389" i="4"/>
  <c r="K389" i="4"/>
  <c r="F389" i="4"/>
  <c r="BA389" i="4"/>
  <c r="BD389" i="4"/>
  <c r="BB389" i="4"/>
  <c r="AY389" i="4"/>
  <c r="BC389" i="4"/>
  <c r="AZ389" i="4"/>
  <c r="M389" i="4"/>
  <c r="N389" i="4"/>
  <c r="O389" i="4"/>
  <c r="J356" i="29"/>
  <c r="Y356" i="29" s="1"/>
  <c r="I356" i="29"/>
  <c r="K356" i="29" s="1"/>
  <c r="N356" i="29" s="1"/>
  <c r="V355" i="29"/>
  <c r="W355" i="29" s="1"/>
  <c r="P355" i="29"/>
  <c r="AW388" i="4"/>
  <c r="AF357" i="29"/>
  <c r="AE357" i="29"/>
  <c r="AV386" i="4"/>
  <c r="AX386" i="4" s="1"/>
  <c r="BO389" i="4"/>
  <c r="BN389" i="4"/>
  <c r="BH387" i="4"/>
  <c r="AV387" i="4" l="1"/>
  <c r="O357" i="29"/>
  <c r="P356" i="29"/>
  <c r="V356" i="29"/>
  <c r="W356" i="29" s="1"/>
  <c r="BE386" i="4"/>
  <c r="BF386" i="4" s="1"/>
  <c r="AW389" i="4"/>
  <c r="BA390" i="4"/>
  <c r="AZ390" i="4"/>
  <c r="BD390" i="4"/>
  <c r="BC390" i="4"/>
  <c r="O390" i="4"/>
  <c r="M390" i="4"/>
  <c r="N390" i="4"/>
  <c r="BB390" i="4"/>
  <c r="P390" i="4"/>
  <c r="Q390" i="4"/>
  <c r="R390" i="4"/>
  <c r="AM390" i="4"/>
  <c r="F390" i="4"/>
  <c r="K390" i="4"/>
  <c r="AY390" i="4"/>
  <c r="BH388" i="4"/>
  <c r="BM392" i="4"/>
  <c r="B391" i="4"/>
  <c r="BP391" i="4"/>
  <c r="AK388" i="4"/>
  <c r="AN388" i="4"/>
  <c r="E358" i="29"/>
  <c r="T358" i="29"/>
  <c r="S358" i="29"/>
  <c r="U358" i="29"/>
  <c r="G358" i="29"/>
  <c r="R358" i="29"/>
  <c r="Q358" i="29"/>
  <c r="AO387" i="4"/>
  <c r="BN390" i="4"/>
  <c r="BO390" i="4"/>
  <c r="Z356" i="29"/>
  <c r="AI359" i="29"/>
  <c r="AD360" i="29"/>
  <c r="B359" i="29"/>
  <c r="I357" i="29"/>
  <c r="K357" i="29" s="1"/>
  <c r="N357" i="29" s="1"/>
  <c r="J357" i="29"/>
  <c r="Y357" i="29" s="1"/>
  <c r="Z389" i="4"/>
  <c r="AH389" i="4" s="1"/>
  <c r="AE389" i="4"/>
  <c r="AJ389" i="4" s="1"/>
  <c r="AF389" i="4"/>
  <c r="AD389" i="4"/>
  <c r="AI389" i="4" s="1"/>
  <c r="AC389" i="4"/>
  <c r="BG389" i="4" s="1"/>
  <c r="Y389" i="4"/>
  <c r="AG389" i="4" s="1"/>
  <c r="AF358" i="29"/>
  <c r="AE358" i="29"/>
  <c r="Z357" i="29" l="1"/>
  <c r="BE387" i="4"/>
  <c r="AX387" i="4"/>
  <c r="AO388" i="4"/>
  <c r="AV388" i="4"/>
  <c r="P357" i="29"/>
  <c r="V357" i="29"/>
  <c r="W357" i="29" s="1"/>
  <c r="J358" i="29"/>
  <c r="Y358" i="29" s="1"/>
  <c r="I358" i="29"/>
  <c r="K358" i="29" s="1"/>
  <c r="N358" i="29" s="1"/>
  <c r="AE359" i="29"/>
  <c r="AF359" i="29"/>
  <c r="BH389" i="4"/>
  <c r="T359" i="29"/>
  <c r="S359" i="29"/>
  <c r="U359" i="29"/>
  <c r="G359" i="29"/>
  <c r="Q359" i="29"/>
  <c r="E359" i="29"/>
  <c r="R359" i="29"/>
  <c r="Y390" i="4"/>
  <c r="AG390" i="4" s="1"/>
  <c r="AE390" i="4"/>
  <c r="AJ390" i="4" s="1"/>
  <c r="AC390" i="4"/>
  <c r="BG390" i="4" s="1"/>
  <c r="Z390" i="4"/>
  <c r="AH390" i="4" s="1"/>
  <c r="AF390" i="4"/>
  <c r="AD390" i="4"/>
  <c r="AI390" i="4" s="1"/>
  <c r="AK389" i="4"/>
  <c r="AN389" i="4"/>
  <c r="AI360" i="29"/>
  <c r="B360" i="29"/>
  <c r="AD361" i="29"/>
  <c r="O358" i="29"/>
  <c r="BO391" i="4"/>
  <c r="BN391" i="4"/>
  <c r="AW390" i="4"/>
  <c r="BD391" i="4"/>
  <c r="BA391" i="4"/>
  <c r="K391" i="4"/>
  <c r="P391" i="4"/>
  <c r="J391" i="4"/>
  <c r="AZ391" i="4"/>
  <c r="BC391" i="4"/>
  <c r="BB391" i="4"/>
  <c r="F391" i="4"/>
  <c r="R391" i="4"/>
  <c r="AM391" i="4"/>
  <c r="N391" i="4"/>
  <c r="O391" i="4"/>
  <c r="AY391" i="4"/>
  <c r="Q391" i="4"/>
  <c r="I391" i="4"/>
  <c r="H391" i="4"/>
  <c r="M391" i="4"/>
  <c r="BP392" i="4"/>
  <c r="B392" i="4"/>
  <c r="BM393" i="4"/>
  <c r="BF387" i="4" l="1"/>
  <c r="BE388" i="4"/>
  <c r="BF388" i="4" s="1"/>
  <c r="AX388" i="4"/>
  <c r="BH390" i="4"/>
  <c r="Z358" i="29"/>
  <c r="AV389" i="4"/>
  <c r="AO389" i="4"/>
  <c r="P358" i="29"/>
  <c r="V358" i="29"/>
  <c r="W358" i="29" s="1"/>
  <c r="R360" i="29"/>
  <c r="U360" i="29"/>
  <c r="T360" i="29"/>
  <c r="G360" i="29"/>
  <c r="E360" i="29"/>
  <c r="Q360" i="29"/>
  <c r="S360" i="29"/>
  <c r="AK390" i="4"/>
  <c r="AN390" i="4"/>
  <c r="AW391" i="4"/>
  <c r="AA391" i="4"/>
  <c r="AD391" i="4"/>
  <c r="AI391" i="4" s="1"/>
  <c r="AC391" i="4"/>
  <c r="BG391" i="4" s="1"/>
  <c r="AF391" i="4"/>
  <c r="AB391" i="4"/>
  <c r="AE391" i="4"/>
  <c r="AJ391" i="4" s="1"/>
  <c r="Z391" i="4"/>
  <c r="Y391" i="4"/>
  <c r="AG391" i="4" s="1"/>
  <c r="AE360" i="29"/>
  <c r="AF360" i="29"/>
  <c r="O359" i="29"/>
  <c r="J359" i="29"/>
  <c r="Y359" i="29" s="1"/>
  <c r="I359" i="29"/>
  <c r="K359" i="29" s="1"/>
  <c r="N359" i="29" s="1"/>
  <c r="BP393" i="4"/>
  <c r="BM394" i="4"/>
  <c r="B393" i="4"/>
  <c r="BO392" i="4"/>
  <c r="BN392" i="4"/>
  <c r="N392" i="4"/>
  <c r="M392" i="4"/>
  <c r="BB392" i="4"/>
  <c r="AM392" i="4"/>
  <c r="K392" i="4"/>
  <c r="F392" i="4"/>
  <c r="AY392" i="4"/>
  <c r="AZ392" i="4"/>
  <c r="BC392" i="4"/>
  <c r="BA392" i="4"/>
  <c r="BD392" i="4"/>
  <c r="P392" i="4"/>
  <c r="O392" i="4"/>
  <c r="R392" i="4"/>
  <c r="Q392" i="4"/>
  <c r="AI361" i="29"/>
  <c r="AD362" i="29"/>
  <c r="B361" i="29"/>
  <c r="BE389" i="4" l="1"/>
  <c r="BF389" i="4" s="1"/>
  <c r="AX389" i="4"/>
  <c r="AO390" i="4"/>
  <c r="AW392" i="4"/>
  <c r="AV390" i="4"/>
  <c r="AX390" i="4" s="1"/>
  <c r="V359" i="29"/>
  <c r="W359" i="29" s="1"/>
  <c r="P359" i="29"/>
  <c r="B394" i="4"/>
  <c r="BP394" i="4"/>
  <c r="BM395" i="4"/>
  <c r="AE361" i="29"/>
  <c r="AF361" i="29"/>
  <c r="Q361" i="29"/>
  <c r="U361" i="29"/>
  <c r="S361" i="29"/>
  <c r="R361" i="29"/>
  <c r="T361" i="29"/>
  <c r="E361" i="29"/>
  <c r="G361" i="29"/>
  <c r="AI362" i="29"/>
  <c r="B362" i="29"/>
  <c r="AD363" i="29"/>
  <c r="BN393" i="4"/>
  <c r="BO393" i="4"/>
  <c r="O360" i="29"/>
  <c r="AE392" i="4"/>
  <c r="AJ392" i="4" s="1"/>
  <c r="Z392" i="4"/>
  <c r="AH392" i="4" s="1"/>
  <c r="AC392" i="4"/>
  <c r="BG392" i="4" s="1"/>
  <c r="AD392" i="4"/>
  <c r="AI392" i="4" s="1"/>
  <c r="Y392" i="4"/>
  <c r="AG392" i="4" s="1"/>
  <c r="AF392" i="4"/>
  <c r="AK391" i="4"/>
  <c r="AN391" i="4"/>
  <c r="M393" i="4"/>
  <c r="N393" i="4"/>
  <c r="O393" i="4"/>
  <c r="AZ393" i="4"/>
  <c r="R393" i="4"/>
  <c r="P393" i="4"/>
  <c r="Q393" i="4"/>
  <c r="AM393" i="4"/>
  <c r="K393" i="4"/>
  <c r="F393" i="4"/>
  <c r="BA393" i="4"/>
  <c r="BB393" i="4"/>
  <c r="AY393" i="4"/>
  <c r="BC393" i="4"/>
  <c r="BD393" i="4"/>
  <c r="Z359" i="29"/>
  <c r="J360" i="29"/>
  <c r="Y360" i="29" s="1"/>
  <c r="I360" i="29"/>
  <c r="K360" i="29" s="1"/>
  <c r="N360" i="29" s="1"/>
  <c r="AH391" i="4"/>
  <c r="BH391" i="4" s="1"/>
  <c r="BE390" i="4" l="1"/>
  <c r="BF390" i="4" s="1"/>
  <c r="P360" i="29"/>
  <c r="V360" i="29"/>
  <c r="W360" i="29" s="1"/>
  <c r="AO391" i="4"/>
  <c r="AK392" i="4"/>
  <c r="AN392" i="4"/>
  <c r="BH392" i="4"/>
  <c r="AI363" i="29"/>
  <c r="AD364" i="29"/>
  <c r="B363" i="29"/>
  <c r="O361" i="29"/>
  <c r="Z360" i="29"/>
  <c r="R362" i="29"/>
  <c r="E362" i="29"/>
  <c r="T362" i="29"/>
  <c r="Q362" i="29"/>
  <c r="U362" i="29"/>
  <c r="S362" i="29"/>
  <c r="G362" i="29"/>
  <c r="J361" i="29"/>
  <c r="Y361" i="29" s="1"/>
  <c r="I361" i="29"/>
  <c r="K361" i="29" s="1"/>
  <c r="N361" i="29" s="1"/>
  <c r="B395" i="4"/>
  <c r="BP395" i="4"/>
  <c r="BM396" i="4"/>
  <c r="AW393" i="4"/>
  <c r="AV391" i="4"/>
  <c r="AX391" i="4" s="1"/>
  <c r="AF362" i="29"/>
  <c r="AE362" i="29"/>
  <c r="BO394" i="4"/>
  <c r="BN394" i="4"/>
  <c r="Z393" i="4"/>
  <c r="AH393" i="4" s="1"/>
  <c r="AC393" i="4"/>
  <c r="BG393" i="4" s="1"/>
  <c r="AF393" i="4"/>
  <c r="AE393" i="4"/>
  <c r="AJ393" i="4" s="1"/>
  <c r="Y393" i="4"/>
  <c r="AG393" i="4" s="1"/>
  <c r="AD393" i="4"/>
  <c r="AI393" i="4" s="1"/>
  <c r="F394" i="4"/>
  <c r="AY394" i="4"/>
  <c r="K394" i="4"/>
  <c r="N394" i="4"/>
  <c r="Q394" i="4"/>
  <c r="R394" i="4"/>
  <c r="P394" i="4"/>
  <c r="BC394" i="4"/>
  <c r="BA394" i="4"/>
  <c r="BD394" i="4"/>
  <c r="AZ394" i="4"/>
  <c r="BB394" i="4"/>
  <c r="O394" i="4"/>
  <c r="AM394" i="4"/>
  <c r="M394" i="4"/>
  <c r="BH393" i="4" l="1"/>
  <c r="AV392" i="4"/>
  <c r="AX392" i="4" s="1"/>
  <c r="P361" i="29"/>
  <c r="V361" i="29"/>
  <c r="W361" i="29" s="1"/>
  <c r="Z394" i="4"/>
  <c r="AH394" i="4" s="1"/>
  <c r="Y394" i="4"/>
  <c r="AG394" i="4" s="1"/>
  <c r="AE394" i="4"/>
  <c r="AJ394" i="4" s="1"/>
  <c r="AC394" i="4"/>
  <c r="BG394" i="4" s="1"/>
  <c r="AD394" i="4"/>
  <c r="AI394" i="4" s="1"/>
  <c r="AF394" i="4"/>
  <c r="BP396" i="4"/>
  <c r="B396" i="4"/>
  <c r="BM397" i="4"/>
  <c r="U363" i="29"/>
  <c r="T363" i="29"/>
  <c r="R363" i="29"/>
  <c r="Q363" i="29"/>
  <c r="G363" i="29"/>
  <c r="E363" i="29"/>
  <c r="S363" i="29"/>
  <c r="AK393" i="4"/>
  <c r="AN393" i="4"/>
  <c r="BN395" i="4"/>
  <c r="BO395" i="4"/>
  <c r="AI364" i="29"/>
  <c r="B364" i="29"/>
  <c r="AD365" i="29"/>
  <c r="AW394" i="4"/>
  <c r="I362" i="29"/>
  <c r="K362" i="29" s="1"/>
  <c r="N362" i="29" s="1"/>
  <c r="J362" i="29"/>
  <c r="Y362" i="29" s="1"/>
  <c r="BA395" i="4"/>
  <c r="K395" i="4"/>
  <c r="F395" i="4"/>
  <c r="N395" i="4"/>
  <c r="AZ395" i="4"/>
  <c r="O395" i="4"/>
  <c r="M395" i="4"/>
  <c r="R395" i="4"/>
  <c r="AM395" i="4"/>
  <c r="P395" i="4"/>
  <c r="Q395" i="4"/>
  <c r="BC395" i="4"/>
  <c r="BD395" i="4"/>
  <c r="BB395" i="4"/>
  <c r="AY395" i="4"/>
  <c r="AE363" i="29"/>
  <c r="AF363" i="29"/>
  <c r="BE391" i="4"/>
  <c r="BF391" i="4" s="1"/>
  <c r="O362" i="29"/>
  <c r="Z361" i="29"/>
  <c r="AO392" i="4"/>
  <c r="BE392" i="4" l="1"/>
  <c r="BF392" i="4" s="1"/>
  <c r="AW395" i="4"/>
  <c r="AO393" i="4"/>
  <c r="BH394" i="4"/>
  <c r="O363" i="29"/>
  <c r="Z362" i="29"/>
  <c r="I363" i="29"/>
  <c r="K363" i="29" s="1"/>
  <c r="N363" i="29" s="1"/>
  <c r="J363" i="29"/>
  <c r="P362" i="29"/>
  <c r="V362" i="29"/>
  <c r="W362" i="29" s="1"/>
  <c r="AI365" i="29"/>
  <c r="B365" i="29"/>
  <c r="AD366" i="29"/>
  <c r="BM398" i="4"/>
  <c r="BP397" i="4"/>
  <c r="B397" i="4"/>
  <c r="T364" i="29"/>
  <c r="R364" i="29"/>
  <c r="U364" i="29"/>
  <c r="G364" i="29"/>
  <c r="Q364" i="29"/>
  <c r="E364" i="29"/>
  <c r="S364" i="29"/>
  <c r="AE395" i="4"/>
  <c r="AJ395" i="4" s="1"/>
  <c r="Y395" i="4"/>
  <c r="AG395" i="4" s="1"/>
  <c r="AD395" i="4"/>
  <c r="AI395" i="4" s="1"/>
  <c r="Z395" i="4"/>
  <c r="AH395" i="4" s="1"/>
  <c r="AC395" i="4"/>
  <c r="BG395" i="4" s="1"/>
  <c r="AF395" i="4"/>
  <c r="AM396" i="4"/>
  <c r="BB396" i="4"/>
  <c r="N396" i="4"/>
  <c r="M396" i="4"/>
  <c r="R396" i="4"/>
  <c r="O396" i="4"/>
  <c r="P396" i="4"/>
  <c r="Q396" i="4"/>
  <c r="AY396" i="4"/>
  <c r="K396" i="4"/>
  <c r="F396" i="4"/>
  <c r="BD396" i="4"/>
  <c r="BC396" i="4"/>
  <c r="AZ396" i="4"/>
  <c r="BA396" i="4"/>
  <c r="AE364" i="29"/>
  <c r="AF364" i="29"/>
  <c r="AV393" i="4"/>
  <c r="AX393" i="4" s="1"/>
  <c r="Y363" i="29"/>
  <c r="BN396" i="4"/>
  <c r="BO396" i="4"/>
  <c r="AK394" i="4"/>
  <c r="AN394" i="4"/>
  <c r="AO394" i="4" l="1"/>
  <c r="BH395" i="4"/>
  <c r="AE396" i="4"/>
  <c r="AJ396" i="4" s="1"/>
  <c r="AC396" i="4"/>
  <c r="BG396" i="4" s="1"/>
  <c r="AF396" i="4"/>
  <c r="Y396" i="4"/>
  <c r="AG396" i="4" s="1"/>
  <c r="Z396" i="4"/>
  <c r="AH396" i="4" s="1"/>
  <c r="AD396" i="4"/>
  <c r="AI396" i="4" s="1"/>
  <c r="BE393" i="4"/>
  <c r="BF393" i="4" s="1"/>
  <c r="AK395" i="4"/>
  <c r="AN395" i="4"/>
  <c r="BM399" i="4"/>
  <c r="B398" i="4"/>
  <c r="BP398" i="4"/>
  <c r="AE365" i="29"/>
  <c r="AF365" i="29"/>
  <c r="AV394" i="4"/>
  <c r="AX394" i="4" s="1"/>
  <c r="I364" i="29"/>
  <c r="K364" i="29" s="1"/>
  <c r="N364" i="29" s="1"/>
  <c r="J364" i="29"/>
  <c r="Y364" i="29" s="1"/>
  <c r="AW396" i="4"/>
  <c r="O364" i="29"/>
  <c r="BB397" i="4"/>
  <c r="AY397" i="4"/>
  <c r="BD397" i="4"/>
  <c r="BC397" i="4"/>
  <c r="M397" i="4"/>
  <c r="N397" i="4"/>
  <c r="AZ397" i="4"/>
  <c r="O397" i="4"/>
  <c r="AM397" i="4"/>
  <c r="P397" i="4"/>
  <c r="R397" i="4"/>
  <c r="Q397" i="4"/>
  <c r="K397" i="4"/>
  <c r="F397" i="4"/>
  <c r="BA397" i="4"/>
  <c r="AI366" i="29"/>
  <c r="AD367" i="29"/>
  <c r="B366" i="29"/>
  <c r="V363" i="29"/>
  <c r="W363" i="29" s="1"/>
  <c r="P363" i="29"/>
  <c r="BO397" i="4"/>
  <c r="BN397" i="4"/>
  <c r="G365" i="29"/>
  <c r="E365" i="29"/>
  <c r="U365" i="29"/>
  <c r="T365" i="29"/>
  <c r="Q365" i="29"/>
  <c r="S365" i="29"/>
  <c r="R365" i="29"/>
  <c r="Z363" i="29"/>
  <c r="AO395" i="4" l="1"/>
  <c r="BH396" i="4"/>
  <c r="V364" i="29"/>
  <c r="W364" i="29" s="1"/>
  <c r="P364" i="29"/>
  <c r="AF366" i="29"/>
  <c r="AE366" i="29"/>
  <c r="F398" i="4"/>
  <c r="AY398" i="4"/>
  <c r="K398" i="4"/>
  <c r="BA398" i="4"/>
  <c r="N398" i="4"/>
  <c r="BC398" i="4"/>
  <c r="AZ398" i="4"/>
  <c r="O398" i="4"/>
  <c r="P398" i="4"/>
  <c r="BB398" i="4"/>
  <c r="M398" i="4"/>
  <c r="Q398" i="4"/>
  <c r="BD398" i="4"/>
  <c r="AM398" i="4"/>
  <c r="R398" i="4"/>
  <c r="AV395" i="4"/>
  <c r="AX395" i="4" s="1"/>
  <c r="AW397" i="4"/>
  <c r="Z364" i="29"/>
  <c r="BM400" i="4"/>
  <c r="B399" i="4"/>
  <c r="BP399" i="4"/>
  <c r="Y397" i="4"/>
  <c r="AG397" i="4" s="1"/>
  <c r="AD397" i="4"/>
  <c r="AI397" i="4" s="1"/>
  <c r="AE397" i="4"/>
  <c r="AJ397" i="4" s="1"/>
  <c r="AC397" i="4"/>
  <c r="BG397" i="4" s="1"/>
  <c r="AF397" i="4"/>
  <c r="Z397" i="4"/>
  <c r="AH397" i="4" s="1"/>
  <c r="Q366" i="29"/>
  <c r="U366" i="29"/>
  <c r="R366" i="29"/>
  <c r="G366" i="29"/>
  <c r="S366" i="29"/>
  <c r="E366" i="29"/>
  <c r="T366" i="29"/>
  <c r="I365" i="29"/>
  <c r="K365" i="29" s="1"/>
  <c r="N365" i="29" s="1"/>
  <c r="J365" i="29"/>
  <c r="Y365" i="29" s="1"/>
  <c r="O365" i="29"/>
  <c r="AI367" i="29"/>
  <c r="B367" i="29"/>
  <c r="AD368" i="29"/>
  <c r="BE394" i="4"/>
  <c r="BF394" i="4" s="1"/>
  <c r="BN398" i="4"/>
  <c r="BO398" i="4"/>
  <c r="AK396" i="4"/>
  <c r="AN396" i="4"/>
  <c r="AW398" i="4" l="1"/>
  <c r="AO396" i="4"/>
  <c r="AV396" i="4"/>
  <c r="V365" i="29"/>
  <c r="W365" i="29" s="1"/>
  <c r="P365" i="29"/>
  <c r="AK397" i="4"/>
  <c r="AN397" i="4"/>
  <c r="I366" i="29"/>
  <c r="K366" i="29" s="1"/>
  <c r="N366" i="29" s="1"/>
  <c r="J366" i="29"/>
  <c r="Y366" i="29" s="1"/>
  <c r="AF367" i="29"/>
  <c r="AE367" i="29"/>
  <c r="Z365" i="29"/>
  <c r="O366" i="29"/>
  <c r="BN399" i="4"/>
  <c r="BO399" i="4"/>
  <c r="BE395" i="4"/>
  <c r="BF395" i="4" s="1"/>
  <c r="N399" i="4"/>
  <c r="AZ399" i="4"/>
  <c r="O399" i="4"/>
  <c r="M399" i="4"/>
  <c r="Q399" i="4"/>
  <c r="AM399" i="4"/>
  <c r="P399" i="4"/>
  <c r="R399" i="4"/>
  <c r="BA399" i="4"/>
  <c r="K399" i="4"/>
  <c r="F399" i="4"/>
  <c r="BC399" i="4"/>
  <c r="BD399" i="4"/>
  <c r="BB399" i="4"/>
  <c r="AY399" i="4"/>
  <c r="Z398" i="4"/>
  <c r="AH398" i="4" s="1"/>
  <c r="Y398" i="4"/>
  <c r="AG398" i="4" s="1"/>
  <c r="AD398" i="4"/>
  <c r="AI398" i="4" s="1"/>
  <c r="AC398" i="4"/>
  <c r="BG398" i="4" s="1"/>
  <c r="AE398" i="4"/>
  <c r="AJ398" i="4" s="1"/>
  <c r="AF398" i="4"/>
  <c r="AI368" i="29"/>
  <c r="B368" i="29"/>
  <c r="AD369" i="29"/>
  <c r="U367" i="29"/>
  <c r="T367" i="29"/>
  <c r="G367" i="29"/>
  <c r="E367" i="29"/>
  <c r="R367" i="29"/>
  <c r="Q367" i="29"/>
  <c r="S367" i="29"/>
  <c r="BH397" i="4"/>
  <c r="BP400" i="4"/>
  <c r="B400" i="4"/>
  <c r="BM401" i="4"/>
  <c r="BE396" i="4" l="1"/>
  <c r="BF396" i="4" s="1"/>
  <c r="AX396" i="4"/>
  <c r="Z366" i="29"/>
  <c r="AO397" i="4"/>
  <c r="AF399" i="4"/>
  <c r="Y399" i="4"/>
  <c r="AG399" i="4" s="1"/>
  <c r="AE399" i="4"/>
  <c r="AJ399" i="4" s="1"/>
  <c r="AC399" i="4"/>
  <c r="BG399" i="4" s="1"/>
  <c r="AD399" i="4"/>
  <c r="AI399" i="4" s="1"/>
  <c r="Z399" i="4"/>
  <c r="AH399" i="4" s="1"/>
  <c r="AF368" i="29"/>
  <c r="AE368" i="29"/>
  <c r="BO400" i="4"/>
  <c r="BN400" i="4"/>
  <c r="O367" i="29"/>
  <c r="V366" i="29"/>
  <c r="W366" i="29" s="1"/>
  <c r="P366" i="29"/>
  <c r="BP401" i="4"/>
  <c r="BM402" i="4"/>
  <c r="B401" i="4"/>
  <c r="K400" i="4"/>
  <c r="F400" i="4"/>
  <c r="AY400" i="4"/>
  <c r="AZ400" i="4"/>
  <c r="BC400" i="4"/>
  <c r="BA400" i="4"/>
  <c r="BD400" i="4"/>
  <c r="N400" i="4"/>
  <c r="BB400" i="4"/>
  <c r="M400" i="4"/>
  <c r="O400" i="4"/>
  <c r="AM400" i="4"/>
  <c r="P400" i="4"/>
  <c r="R400" i="4"/>
  <c r="Q400" i="4"/>
  <c r="AI369" i="29"/>
  <c r="B369" i="29"/>
  <c r="AD370" i="29"/>
  <c r="AK398" i="4"/>
  <c r="AN398" i="4"/>
  <c r="I367" i="29"/>
  <c r="K367" i="29" s="1"/>
  <c r="N367" i="29" s="1"/>
  <c r="J367" i="29"/>
  <c r="Y367" i="29" s="1"/>
  <c r="G368" i="29"/>
  <c r="S368" i="29"/>
  <c r="E368" i="29"/>
  <c r="T368" i="29"/>
  <c r="Q368" i="29"/>
  <c r="U368" i="29"/>
  <c r="R368" i="29"/>
  <c r="BH398" i="4"/>
  <c r="AW399" i="4"/>
  <c r="AV397" i="4"/>
  <c r="AX397" i="4" s="1"/>
  <c r="AV398" i="4" l="1"/>
  <c r="AX398" i="4" s="1"/>
  <c r="O368" i="29"/>
  <c r="BH399" i="4"/>
  <c r="V367" i="29"/>
  <c r="W367" i="29" s="1"/>
  <c r="P367" i="29"/>
  <c r="AW400" i="4"/>
  <c r="O401" i="4"/>
  <c r="AZ401" i="4"/>
  <c r="M401" i="4"/>
  <c r="F401" i="4"/>
  <c r="Q401" i="4"/>
  <c r="AM401" i="4"/>
  <c r="R401" i="4"/>
  <c r="N401" i="4"/>
  <c r="BA401" i="4"/>
  <c r="K401" i="4"/>
  <c r="AY401" i="4"/>
  <c r="BC401" i="4"/>
  <c r="BD401" i="4"/>
  <c r="BB401" i="4"/>
  <c r="P401" i="4"/>
  <c r="J368" i="29"/>
  <c r="Y368" i="29" s="1"/>
  <c r="I368" i="29"/>
  <c r="K368" i="29" s="1"/>
  <c r="N368" i="29" s="1"/>
  <c r="AI370" i="29"/>
  <c r="AD371" i="29"/>
  <c r="B370" i="29"/>
  <c r="B402" i="4"/>
  <c r="BP402" i="4"/>
  <c r="BM403" i="4"/>
  <c r="E369" i="29"/>
  <c r="R369" i="29"/>
  <c r="G369" i="29"/>
  <c r="S369" i="29"/>
  <c r="U369" i="29"/>
  <c r="T369" i="29"/>
  <c r="Q369" i="29"/>
  <c r="BO401" i="4"/>
  <c r="BN401" i="4"/>
  <c r="Z367" i="29"/>
  <c r="Y400" i="4"/>
  <c r="AG400" i="4" s="1"/>
  <c r="AD400" i="4"/>
  <c r="AI400" i="4" s="1"/>
  <c r="AF400" i="4"/>
  <c r="AC400" i="4"/>
  <c r="BG400" i="4" s="1"/>
  <c r="AE400" i="4"/>
  <c r="AJ400" i="4" s="1"/>
  <c r="Z400" i="4"/>
  <c r="AH400" i="4" s="1"/>
  <c r="BE397" i="4"/>
  <c r="BF397" i="4" s="1"/>
  <c r="AO398" i="4"/>
  <c r="AF369" i="29"/>
  <c r="AE369" i="29"/>
  <c r="AK399" i="4"/>
  <c r="AN399" i="4"/>
  <c r="Z368" i="29" l="1"/>
  <c r="BE398" i="4"/>
  <c r="BF398" i="4" s="1"/>
  <c r="BH400" i="4"/>
  <c r="AV399" i="4"/>
  <c r="AO399" i="4"/>
  <c r="P368" i="29"/>
  <c r="V368" i="29"/>
  <c r="W368" i="29" s="1"/>
  <c r="S370" i="29"/>
  <c r="G370" i="29"/>
  <c r="U370" i="29"/>
  <c r="R370" i="29"/>
  <c r="T370" i="29"/>
  <c r="Q370" i="29"/>
  <c r="E370" i="29"/>
  <c r="I369" i="29"/>
  <c r="K369" i="29" s="1"/>
  <c r="N369" i="29" s="1"/>
  <c r="J369" i="29"/>
  <c r="Y369" i="29" s="1"/>
  <c r="O369" i="29"/>
  <c r="BM404" i="4"/>
  <c r="B403" i="4"/>
  <c r="BP403" i="4"/>
  <c r="AI371" i="29"/>
  <c r="B371" i="29"/>
  <c r="AD372" i="29"/>
  <c r="Y401" i="4"/>
  <c r="AG401" i="4" s="1"/>
  <c r="AC401" i="4"/>
  <c r="BG401" i="4" s="1"/>
  <c r="AF401" i="4"/>
  <c r="Z401" i="4"/>
  <c r="AH401" i="4" s="1"/>
  <c r="AD401" i="4"/>
  <c r="AI401" i="4" s="1"/>
  <c r="AE401" i="4"/>
  <c r="AJ401" i="4" s="1"/>
  <c r="AK400" i="4"/>
  <c r="AN400" i="4"/>
  <c r="BN402" i="4"/>
  <c r="BO402" i="4"/>
  <c r="AE370" i="29"/>
  <c r="AF370" i="29"/>
  <c r="AW401" i="4"/>
  <c r="P402" i="4"/>
  <c r="AM402" i="4"/>
  <c r="Q402" i="4"/>
  <c r="R402" i="4"/>
  <c r="BA402" i="4"/>
  <c r="BC402" i="4"/>
  <c r="AZ402" i="4"/>
  <c r="BD402" i="4"/>
  <c r="O402" i="4"/>
  <c r="BB402" i="4"/>
  <c r="M402" i="4"/>
  <c r="N402" i="4"/>
  <c r="F402" i="4"/>
  <c r="K402" i="4"/>
  <c r="AY402" i="4"/>
  <c r="BE399" i="4" l="1"/>
  <c r="BF399" i="4" s="1"/>
  <c r="AX399" i="4"/>
  <c r="AO400" i="4"/>
  <c r="P369" i="29"/>
  <c r="V369" i="29"/>
  <c r="W369" i="29" s="1"/>
  <c r="J370" i="29"/>
  <c r="Y370" i="29" s="1"/>
  <c r="I370" i="29"/>
  <c r="K370" i="29" s="1"/>
  <c r="N370" i="29" s="1"/>
  <c r="G371" i="29"/>
  <c r="R371" i="29"/>
  <c r="E371" i="29"/>
  <c r="S371" i="29"/>
  <c r="Q371" i="29"/>
  <c r="T371" i="29"/>
  <c r="U371" i="29"/>
  <c r="M403" i="4"/>
  <c r="O403" i="4"/>
  <c r="N403" i="4"/>
  <c r="AZ403" i="4"/>
  <c r="Q403" i="4"/>
  <c r="R403" i="4"/>
  <c r="P403" i="4"/>
  <c r="AM403" i="4"/>
  <c r="F403" i="4"/>
  <c r="K403" i="4"/>
  <c r="BA403" i="4"/>
  <c r="AY403" i="4"/>
  <c r="BB403" i="4"/>
  <c r="BC403" i="4"/>
  <c r="BD403" i="4"/>
  <c r="AE371" i="29"/>
  <c r="AF371" i="29"/>
  <c r="B404" i="4"/>
  <c r="BM405" i="4"/>
  <c r="BP404" i="4"/>
  <c r="AW402" i="4"/>
  <c r="AE402" i="4"/>
  <c r="AJ402" i="4" s="1"/>
  <c r="AD402" i="4"/>
  <c r="AI402" i="4" s="1"/>
  <c r="Y402" i="4"/>
  <c r="AG402" i="4" s="1"/>
  <c r="AF402" i="4"/>
  <c r="Z402" i="4"/>
  <c r="AH402" i="4" s="1"/>
  <c r="AC402" i="4"/>
  <c r="BG402" i="4" s="1"/>
  <c r="BH401" i="4"/>
  <c r="Z369" i="29"/>
  <c r="AV400" i="4"/>
  <c r="AX400" i="4" s="1"/>
  <c r="AK401" i="4"/>
  <c r="AN401" i="4"/>
  <c r="AI372" i="29"/>
  <c r="AD373" i="29"/>
  <c r="B372" i="29"/>
  <c r="BO403" i="4"/>
  <c r="BN403" i="4"/>
  <c r="O370" i="29"/>
  <c r="AO401" i="4" l="1"/>
  <c r="BH402" i="4"/>
  <c r="AV401" i="4"/>
  <c r="AX401" i="4" s="1"/>
  <c r="AW403" i="4"/>
  <c r="O371" i="29"/>
  <c r="V370" i="29"/>
  <c r="W370" i="29" s="1"/>
  <c r="P370" i="29"/>
  <c r="AK402" i="4"/>
  <c r="AN402" i="4"/>
  <c r="AI373" i="29"/>
  <c r="B373" i="29"/>
  <c r="AD374" i="29"/>
  <c r="F404" i="4"/>
  <c r="AY404" i="4"/>
  <c r="K404" i="4"/>
  <c r="BA404" i="4"/>
  <c r="BD404" i="4"/>
  <c r="BC404" i="4"/>
  <c r="AZ404" i="4"/>
  <c r="M404" i="4"/>
  <c r="O404" i="4"/>
  <c r="BB404" i="4"/>
  <c r="N404" i="4"/>
  <c r="R404" i="4"/>
  <c r="Q404" i="4"/>
  <c r="AM404" i="4"/>
  <c r="P404" i="4"/>
  <c r="R372" i="29"/>
  <c r="E372" i="29"/>
  <c r="T372" i="29"/>
  <c r="Q372" i="29"/>
  <c r="G372" i="29"/>
  <c r="U372" i="29"/>
  <c r="S372" i="29"/>
  <c r="Z370" i="29"/>
  <c r="BN404" i="4"/>
  <c r="BO404" i="4"/>
  <c r="J371" i="29"/>
  <c r="Y371" i="29" s="1"/>
  <c r="I371" i="29"/>
  <c r="K371" i="29" s="1"/>
  <c r="N371" i="29" s="1"/>
  <c r="AF403" i="4"/>
  <c r="AC403" i="4"/>
  <c r="BG403" i="4" s="1"/>
  <c r="Y403" i="4"/>
  <c r="AG403" i="4" s="1"/>
  <c r="Z403" i="4"/>
  <c r="AH403" i="4" s="1"/>
  <c r="AE403" i="4"/>
  <c r="AJ403" i="4" s="1"/>
  <c r="AD403" i="4"/>
  <c r="AI403" i="4" s="1"/>
  <c r="AF372" i="29"/>
  <c r="AE372" i="29"/>
  <c r="BE400" i="4"/>
  <c r="BF400" i="4" s="1"/>
  <c r="B405" i="4"/>
  <c r="BP405" i="4"/>
  <c r="BM406" i="4"/>
  <c r="O372" i="29" l="1"/>
  <c r="BH403" i="4"/>
  <c r="AO402" i="4"/>
  <c r="BE401" i="4"/>
  <c r="BF401" i="4" s="1"/>
  <c r="AV402" i="4"/>
  <c r="AX402" i="4" s="1"/>
  <c r="V371" i="29"/>
  <c r="W371" i="29" s="1"/>
  <c r="P371" i="29"/>
  <c r="AE373" i="29"/>
  <c r="AF373" i="29"/>
  <c r="AW404" i="4"/>
  <c r="AI374" i="29"/>
  <c r="AD375" i="29"/>
  <c r="B374" i="29"/>
  <c r="Z371" i="29"/>
  <c r="BP406" i="4"/>
  <c r="B406" i="4"/>
  <c r="BM407" i="4"/>
  <c r="AK403" i="4"/>
  <c r="AN403" i="4"/>
  <c r="AE404" i="4"/>
  <c r="AJ404" i="4" s="1"/>
  <c r="AC404" i="4"/>
  <c r="BG404" i="4" s="1"/>
  <c r="AD404" i="4"/>
  <c r="AI404" i="4" s="1"/>
  <c r="AF404" i="4"/>
  <c r="Z404" i="4"/>
  <c r="AH404" i="4" s="1"/>
  <c r="Y404" i="4"/>
  <c r="AG404" i="4" s="1"/>
  <c r="BO405" i="4"/>
  <c r="BN405" i="4"/>
  <c r="J372" i="29"/>
  <c r="Y372" i="29" s="1"/>
  <c r="I372" i="29"/>
  <c r="K372" i="29" s="1"/>
  <c r="N372" i="29" s="1"/>
  <c r="AY405" i="4"/>
  <c r="BD405" i="4"/>
  <c r="BB405" i="4"/>
  <c r="BC405" i="4"/>
  <c r="F405" i="4"/>
  <c r="K405" i="4"/>
  <c r="BA405" i="4"/>
  <c r="N405" i="4"/>
  <c r="AZ405" i="4"/>
  <c r="M405" i="4"/>
  <c r="O405" i="4"/>
  <c r="P405" i="4"/>
  <c r="AM405" i="4"/>
  <c r="R405" i="4"/>
  <c r="Q405" i="4"/>
  <c r="Q373" i="29"/>
  <c r="E373" i="29"/>
  <c r="R373" i="29"/>
  <c r="G373" i="29"/>
  <c r="T373" i="29"/>
  <c r="U373" i="29"/>
  <c r="S373" i="29"/>
  <c r="Z372" i="29" l="1"/>
  <c r="BE402" i="4"/>
  <c r="BF402" i="4" s="1"/>
  <c r="BH404" i="4"/>
  <c r="AO403" i="4"/>
  <c r="P372" i="29"/>
  <c r="V372" i="29"/>
  <c r="W372" i="29" s="1"/>
  <c r="O373" i="29"/>
  <c r="AV403" i="4"/>
  <c r="AX403" i="4" s="1"/>
  <c r="BN406" i="4"/>
  <c r="BO406" i="4"/>
  <c r="Q374" i="29"/>
  <c r="T374" i="29"/>
  <c r="E374" i="29"/>
  <c r="U374" i="29"/>
  <c r="G374" i="29"/>
  <c r="S374" i="29"/>
  <c r="R374" i="29"/>
  <c r="AI375" i="29"/>
  <c r="AD376" i="29"/>
  <c r="B375" i="29"/>
  <c r="BP407" i="4"/>
  <c r="BM408" i="4"/>
  <c r="B407" i="4"/>
  <c r="AE374" i="29"/>
  <c r="AF374" i="29"/>
  <c r="AW405" i="4"/>
  <c r="AD405" i="4"/>
  <c r="AI405" i="4" s="1"/>
  <c r="Y405" i="4"/>
  <c r="AG405" i="4" s="1"/>
  <c r="Z405" i="4"/>
  <c r="AH405" i="4" s="1"/>
  <c r="AE405" i="4"/>
  <c r="AJ405" i="4" s="1"/>
  <c r="AF405" i="4"/>
  <c r="AC405" i="4"/>
  <c r="BG405" i="4" s="1"/>
  <c r="AK404" i="4"/>
  <c r="AN404" i="4"/>
  <c r="BC406" i="4"/>
  <c r="AZ406" i="4"/>
  <c r="BD406" i="4"/>
  <c r="BA406" i="4"/>
  <c r="M406" i="4"/>
  <c r="N406" i="4"/>
  <c r="AM406" i="4"/>
  <c r="R406" i="4"/>
  <c r="AY406" i="4"/>
  <c r="BB406" i="4"/>
  <c r="O406" i="4"/>
  <c r="Q406" i="4"/>
  <c r="P406" i="4"/>
  <c r="K406" i="4"/>
  <c r="F406" i="4"/>
  <c r="J373" i="29"/>
  <c r="Y373" i="29" s="1"/>
  <c r="I373" i="29"/>
  <c r="K373" i="29" s="1"/>
  <c r="N373" i="29" s="1"/>
  <c r="AO404" i="4" l="1"/>
  <c r="BH405" i="4"/>
  <c r="V373" i="29"/>
  <c r="W373" i="29" s="1"/>
  <c r="P373" i="29"/>
  <c r="BN407" i="4"/>
  <c r="BO407" i="4"/>
  <c r="U375" i="29"/>
  <c r="Q375" i="29"/>
  <c r="R375" i="29"/>
  <c r="G375" i="29"/>
  <c r="S375" i="29"/>
  <c r="T375" i="29"/>
  <c r="E375" i="29"/>
  <c r="AI376" i="29"/>
  <c r="B376" i="29"/>
  <c r="AD377" i="29"/>
  <c r="O374" i="29"/>
  <c r="AK405" i="4"/>
  <c r="AN405" i="4"/>
  <c r="I374" i="29"/>
  <c r="J374" i="29"/>
  <c r="Y374" i="29" s="1"/>
  <c r="AZ407" i="4"/>
  <c r="N407" i="4"/>
  <c r="O407" i="4"/>
  <c r="M407" i="4"/>
  <c r="AM407" i="4"/>
  <c r="R407" i="4"/>
  <c r="Q407" i="4"/>
  <c r="P407" i="4"/>
  <c r="BA407" i="4"/>
  <c r="K407" i="4"/>
  <c r="F407" i="4"/>
  <c r="BD407" i="4"/>
  <c r="BC407" i="4"/>
  <c r="BB407" i="4"/>
  <c r="AY407" i="4"/>
  <c r="AE375" i="29"/>
  <c r="AF375" i="29"/>
  <c r="K374" i="29"/>
  <c r="N374" i="29" s="1"/>
  <c r="AD406" i="4"/>
  <c r="AI406" i="4" s="1"/>
  <c r="AC406" i="4"/>
  <c r="BG406" i="4" s="1"/>
  <c r="AF406" i="4"/>
  <c r="AE406" i="4"/>
  <c r="AJ406" i="4" s="1"/>
  <c r="Z406" i="4"/>
  <c r="AH406" i="4" s="1"/>
  <c r="Y406" i="4"/>
  <c r="AG406" i="4" s="1"/>
  <c r="Z373" i="29"/>
  <c r="AW406" i="4"/>
  <c r="AV404" i="4"/>
  <c r="AX404" i="4" s="1"/>
  <c r="BM409" i="4"/>
  <c r="BP408" i="4"/>
  <c r="B408" i="4"/>
  <c r="BE403" i="4"/>
  <c r="BF403" i="4" s="1"/>
  <c r="Z374" i="29" l="1"/>
  <c r="AV405" i="4"/>
  <c r="AX405" i="4" s="1"/>
  <c r="AO405" i="4"/>
  <c r="AW407" i="4"/>
  <c r="AI377" i="29"/>
  <c r="B377" i="29"/>
  <c r="AD378" i="29"/>
  <c r="Z407" i="4"/>
  <c r="AH407" i="4" s="1"/>
  <c r="Y407" i="4"/>
  <c r="AG407" i="4" s="1"/>
  <c r="AE407" i="4"/>
  <c r="AJ407" i="4" s="1"/>
  <c r="AD407" i="4"/>
  <c r="AI407" i="4" s="1"/>
  <c r="AC407" i="4"/>
  <c r="BG407" i="4" s="1"/>
  <c r="AF407" i="4"/>
  <c r="AK406" i="4"/>
  <c r="AN406" i="4"/>
  <c r="E376" i="29"/>
  <c r="R376" i="29"/>
  <c r="T376" i="29"/>
  <c r="G376" i="29"/>
  <c r="Q376" i="29"/>
  <c r="S376" i="29"/>
  <c r="U376" i="29"/>
  <c r="O375" i="29"/>
  <c r="AM408" i="4"/>
  <c r="P408" i="4"/>
  <c r="Q408" i="4"/>
  <c r="R408" i="4"/>
  <c r="K408" i="4"/>
  <c r="AY408" i="4"/>
  <c r="F408" i="4"/>
  <c r="AZ408" i="4"/>
  <c r="BA408" i="4"/>
  <c r="BB408" i="4"/>
  <c r="N408" i="4"/>
  <c r="M408" i="4"/>
  <c r="BC408" i="4"/>
  <c r="BD408" i="4"/>
  <c r="O408" i="4"/>
  <c r="BN408" i="4"/>
  <c r="BO408" i="4"/>
  <c r="BH406" i="4"/>
  <c r="V374" i="29"/>
  <c r="W374" i="29" s="1"/>
  <c r="P374" i="29"/>
  <c r="J375" i="29"/>
  <c r="Y375" i="29" s="1"/>
  <c r="I375" i="29"/>
  <c r="K375" i="29" s="1"/>
  <c r="N375" i="29" s="1"/>
  <c r="B409" i="4"/>
  <c r="BP409" i="4"/>
  <c r="BM410" i="4"/>
  <c r="BE404" i="4"/>
  <c r="BF404" i="4" s="1"/>
  <c r="AE376" i="29"/>
  <c r="AF376" i="29"/>
  <c r="O376" i="29" l="1"/>
  <c r="AV406" i="4"/>
  <c r="AX406" i="4" s="1"/>
  <c r="AW408" i="4"/>
  <c r="BE405" i="4"/>
  <c r="BF405" i="4" s="1"/>
  <c r="P375" i="29"/>
  <c r="V375" i="29"/>
  <c r="W375" i="29" s="1"/>
  <c r="F409" i="4"/>
  <c r="BA409" i="4"/>
  <c r="K409" i="4"/>
  <c r="AY409" i="4"/>
  <c r="BC409" i="4"/>
  <c r="BD409" i="4"/>
  <c r="BB409" i="4"/>
  <c r="N409" i="4"/>
  <c r="O409" i="4"/>
  <c r="AZ409" i="4"/>
  <c r="M409" i="4"/>
  <c r="P409" i="4"/>
  <c r="Q409" i="4"/>
  <c r="AM409" i="4"/>
  <c r="R409" i="4"/>
  <c r="AO406" i="4"/>
  <c r="AI378" i="29"/>
  <c r="B378" i="29"/>
  <c r="AD379" i="29"/>
  <c r="AK407" i="4"/>
  <c r="AN407" i="4"/>
  <c r="G377" i="29"/>
  <c r="E377" i="29"/>
  <c r="Q377" i="29"/>
  <c r="S377" i="29"/>
  <c r="T377" i="29"/>
  <c r="U377" i="29"/>
  <c r="R377" i="29"/>
  <c r="BM411" i="4"/>
  <c r="B410" i="4"/>
  <c r="BP410" i="4"/>
  <c r="AE408" i="4"/>
  <c r="AJ408" i="4" s="1"/>
  <c r="AC408" i="4"/>
  <c r="BG408" i="4" s="1"/>
  <c r="Y408" i="4"/>
  <c r="AG408" i="4" s="1"/>
  <c r="Z408" i="4"/>
  <c r="AH408" i="4" s="1"/>
  <c r="AF408" i="4"/>
  <c r="AD408" i="4"/>
  <c r="AI408" i="4" s="1"/>
  <c r="I376" i="29"/>
  <c r="K376" i="29" s="1"/>
  <c r="N376" i="29" s="1"/>
  <c r="J376" i="29"/>
  <c r="Y376" i="29" s="1"/>
  <c r="BO409" i="4"/>
  <c r="BN409" i="4"/>
  <c r="BE406" i="4"/>
  <c r="BF406" i="4" s="1"/>
  <c r="Z375" i="29"/>
  <c r="BH407" i="4"/>
  <c r="AE377" i="29"/>
  <c r="AF377" i="29"/>
  <c r="Z376" i="29" l="1"/>
  <c r="O377" i="29"/>
  <c r="BH408" i="4"/>
  <c r="AO407" i="4"/>
  <c r="V376" i="29"/>
  <c r="W376" i="29" s="1"/>
  <c r="P376" i="29"/>
  <c r="J377" i="29"/>
  <c r="Y377" i="29" s="1"/>
  <c r="I377" i="29"/>
  <c r="K377" i="29" s="1"/>
  <c r="N377" i="29" s="1"/>
  <c r="AK408" i="4"/>
  <c r="AN408" i="4"/>
  <c r="AV407" i="4"/>
  <c r="AX407" i="4" s="1"/>
  <c r="AI379" i="29"/>
  <c r="B379" i="29"/>
  <c r="AD380" i="29"/>
  <c r="T378" i="29"/>
  <c r="Q378" i="29"/>
  <c r="U378" i="29"/>
  <c r="S378" i="29"/>
  <c r="G378" i="29"/>
  <c r="R378" i="29"/>
  <c r="E378" i="29"/>
  <c r="AW409" i="4"/>
  <c r="BN410" i="4"/>
  <c r="BO410" i="4"/>
  <c r="Y409" i="4"/>
  <c r="AG409" i="4" s="1"/>
  <c r="Z409" i="4"/>
  <c r="AH409" i="4" s="1"/>
  <c r="AC409" i="4"/>
  <c r="BG409" i="4" s="1"/>
  <c r="AE409" i="4"/>
  <c r="AJ409" i="4" s="1"/>
  <c r="AF409" i="4"/>
  <c r="AD409" i="4"/>
  <c r="AI409" i="4" s="1"/>
  <c r="K410" i="4"/>
  <c r="F410" i="4"/>
  <c r="AY410" i="4"/>
  <c r="AZ410" i="4"/>
  <c r="BC410" i="4"/>
  <c r="BA410" i="4"/>
  <c r="BD410" i="4"/>
  <c r="M410" i="4"/>
  <c r="BB410" i="4"/>
  <c r="O410" i="4"/>
  <c r="N410" i="4"/>
  <c r="P410" i="4"/>
  <c r="AM410" i="4"/>
  <c r="Q410" i="4"/>
  <c r="R410" i="4"/>
  <c r="AE378" i="29"/>
  <c r="AF378" i="29"/>
  <c r="BP411" i="4"/>
  <c r="B411" i="4"/>
  <c r="BM412" i="4"/>
  <c r="Z377" i="29" l="1"/>
  <c r="AV408" i="4"/>
  <c r="AX408" i="4" s="1"/>
  <c r="AO408" i="4"/>
  <c r="AW410" i="4"/>
  <c r="BH409" i="4"/>
  <c r="P377" i="29"/>
  <c r="V377" i="29"/>
  <c r="W377" i="29" s="1"/>
  <c r="O378" i="29"/>
  <c r="AF379" i="29"/>
  <c r="AE379" i="29"/>
  <c r="BE407" i="4"/>
  <c r="BF407" i="4" s="1"/>
  <c r="M411" i="4"/>
  <c r="O411" i="4"/>
  <c r="N411" i="4"/>
  <c r="AZ411" i="4"/>
  <c r="Q411" i="4"/>
  <c r="P411" i="4"/>
  <c r="R411" i="4"/>
  <c r="AM411" i="4"/>
  <c r="F411" i="4"/>
  <c r="K411" i="4"/>
  <c r="BA411" i="4"/>
  <c r="AY411" i="4"/>
  <c r="BB411" i="4"/>
  <c r="BC411" i="4"/>
  <c r="BD411" i="4"/>
  <c r="AK409" i="4"/>
  <c r="AN409" i="4"/>
  <c r="B412" i="4"/>
  <c r="BP412" i="4"/>
  <c r="BM413" i="4"/>
  <c r="J378" i="29"/>
  <c r="Y378" i="29" s="1"/>
  <c r="I378" i="29"/>
  <c r="K378" i="29" s="1"/>
  <c r="N378" i="29" s="1"/>
  <c r="AF410" i="4"/>
  <c r="AC410" i="4"/>
  <c r="BG410" i="4" s="1"/>
  <c r="Z410" i="4"/>
  <c r="AH410" i="4" s="1"/>
  <c r="Y410" i="4"/>
  <c r="AG410" i="4" s="1"/>
  <c r="AE410" i="4"/>
  <c r="AJ410" i="4" s="1"/>
  <c r="AD410" i="4"/>
  <c r="AI410" i="4" s="1"/>
  <c r="AI380" i="29"/>
  <c r="AD381" i="29"/>
  <c r="B380" i="29"/>
  <c r="BN411" i="4"/>
  <c r="BO411" i="4"/>
  <c r="R379" i="29"/>
  <c r="G379" i="29"/>
  <c r="E379" i="29"/>
  <c r="Q379" i="29"/>
  <c r="S379" i="29"/>
  <c r="T379" i="29"/>
  <c r="U379" i="29"/>
  <c r="BE408" i="4" l="1"/>
  <c r="BF408" i="4" s="1"/>
  <c r="AV409" i="4"/>
  <c r="AX409" i="4" s="1"/>
  <c r="BH410" i="4"/>
  <c r="AO409" i="4"/>
  <c r="V378" i="29"/>
  <c r="W378" i="29" s="1"/>
  <c r="P378" i="29"/>
  <c r="BO412" i="4"/>
  <c r="BN412" i="4"/>
  <c r="J379" i="29"/>
  <c r="Y379" i="29" s="1"/>
  <c r="I379" i="29"/>
  <c r="K379" i="29" s="1"/>
  <c r="N379" i="29" s="1"/>
  <c r="G380" i="29"/>
  <c r="T380" i="29"/>
  <c r="Q380" i="29"/>
  <c r="R380" i="29"/>
  <c r="E380" i="29"/>
  <c r="U380" i="29"/>
  <c r="S380" i="29"/>
  <c r="K412" i="4"/>
  <c r="F412" i="4"/>
  <c r="AY412" i="4"/>
  <c r="AZ412" i="4"/>
  <c r="BC412" i="4"/>
  <c r="BA412" i="4"/>
  <c r="BD412" i="4"/>
  <c r="N412" i="4"/>
  <c r="BB412" i="4"/>
  <c r="M412" i="4"/>
  <c r="AM412" i="4"/>
  <c r="P412" i="4"/>
  <c r="O412" i="4"/>
  <c r="Q412" i="4"/>
  <c r="R412" i="4"/>
  <c r="Z378" i="29"/>
  <c r="O379" i="29"/>
  <c r="Z411" i="4"/>
  <c r="AH411" i="4" s="1"/>
  <c r="AE411" i="4"/>
  <c r="AJ411" i="4" s="1"/>
  <c r="Y411" i="4"/>
  <c r="AG411" i="4" s="1"/>
  <c r="AF411" i="4"/>
  <c r="AD411" i="4"/>
  <c r="AI411" i="4" s="1"/>
  <c r="AC411" i="4"/>
  <c r="BG411" i="4" s="1"/>
  <c r="AI381" i="29"/>
  <c r="AD382" i="29"/>
  <c r="B381" i="29"/>
  <c r="AE380" i="29"/>
  <c r="AF380" i="29"/>
  <c r="AK410" i="4"/>
  <c r="AN410" i="4"/>
  <c r="BP413" i="4"/>
  <c r="BM414" i="4"/>
  <c r="B413" i="4"/>
  <c r="AW411" i="4"/>
  <c r="BE409" i="4" l="1"/>
  <c r="BF409" i="4" s="1"/>
  <c r="AV410" i="4"/>
  <c r="AX410" i="4" s="1"/>
  <c r="O380" i="29"/>
  <c r="AO410" i="4"/>
  <c r="AD412" i="4"/>
  <c r="AI412" i="4" s="1"/>
  <c r="AE412" i="4"/>
  <c r="AJ412" i="4" s="1"/>
  <c r="Z412" i="4"/>
  <c r="AH412" i="4" s="1"/>
  <c r="Y412" i="4"/>
  <c r="AG412" i="4" s="1"/>
  <c r="AF412" i="4"/>
  <c r="AC412" i="4"/>
  <c r="BG412" i="4" s="1"/>
  <c r="BP414" i="4"/>
  <c r="BM415" i="4"/>
  <c r="B414" i="4"/>
  <c r="AI382" i="29"/>
  <c r="B382" i="29"/>
  <c r="AD383" i="29"/>
  <c r="Z379" i="29"/>
  <c r="AW412" i="4"/>
  <c r="BN413" i="4"/>
  <c r="BO413" i="4"/>
  <c r="AF381" i="29"/>
  <c r="AE381" i="29"/>
  <c r="BH411" i="4"/>
  <c r="K413" i="4"/>
  <c r="F413" i="4"/>
  <c r="BA413" i="4"/>
  <c r="BD413" i="4"/>
  <c r="AY413" i="4"/>
  <c r="BB413" i="4"/>
  <c r="BC413" i="4"/>
  <c r="AM413" i="4"/>
  <c r="R413" i="4"/>
  <c r="P413" i="4"/>
  <c r="Q413" i="4"/>
  <c r="AZ413" i="4"/>
  <c r="M413" i="4"/>
  <c r="N413" i="4"/>
  <c r="O413" i="4"/>
  <c r="I380" i="29"/>
  <c r="K380" i="29" s="1"/>
  <c r="N380" i="29" s="1"/>
  <c r="J380" i="29"/>
  <c r="Y380" i="29" s="1"/>
  <c r="Z380" i="29" s="1"/>
  <c r="R381" i="29"/>
  <c r="U381" i="29"/>
  <c r="S381" i="29"/>
  <c r="Q381" i="29"/>
  <c r="T381" i="29"/>
  <c r="E381" i="29"/>
  <c r="G381" i="29"/>
  <c r="AK411" i="4"/>
  <c r="AN411" i="4"/>
  <c r="V379" i="29"/>
  <c r="W379" i="29" s="1"/>
  <c r="P379" i="29"/>
  <c r="BE410" i="4" l="1"/>
  <c r="BF410" i="4" s="1"/>
  <c r="AV411" i="4"/>
  <c r="AX411" i="4" s="1"/>
  <c r="AO411" i="4"/>
  <c r="V380" i="29"/>
  <c r="W380" i="29" s="1"/>
  <c r="P380" i="29"/>
  <c r="AW413" i="4"/>
  <c r="Y413" i="4"/>
  <c r="AG413" i="4" s="1"/>
  <c r="AD413" i="4"/>
  <c r="AI413" i="4" s="1"/>
  <c r="AE413" i="4"/>
  <c r="AJ413" i="4" s="1"/>
  <c r="Z413" i="4"/>
  <c r="AH413" i="4" s="1"/>
  <c r="AC413" i="4"/>
  <c r="BG413" i="4" s="1"/>
  <c r="AF413" i="4"/>
  <c r="E382" i="29"/>
  <c r="T382" i="29"/>
  <c r="Q382" i="29"/>
  <c r="U382" i="29"/>
  <c r="R382" i="29"/>
  <c r="G382" i="29"/>
  <c r="S382" i="29"/>
  <c r="BN414" i="4"/>
  <c r="BO414" i="4"/>
  <c r="I381" i="29"/>
  <c r="K381" i="29" s="1"/>
  <c r="N381" i="29" s="1"/>
  <c r="J381" i="29"/>
  <c r="Y381" i="29" s="1"/>
  <c r="AF382" i="29"/>
  <c r="AE382" i="29"/>
  <c r="AK412" i="4"/>
  <c r="AN412" i="4"/>
  <c r="K414" i="4"/>
  <c r="F414" i="4"/>
  <c r="AY414" i="4"/>
  <c r="AZ414" i="4"/>
  <c r="BC414" i="4"/>
  <c r="BA414" i="4"/>
  <c r="BD414" i="4"/>
  <c r="M414" i="4"/>
  <c r="BB414" i="4"/>
  <c r="O414" i="4"/>
  <c r="AM414" i="4"/>
  <c r="R414" i="4"/>
  <c r="N414" i="4"/>
  <c r="Q414" i="4"/>
  <c r="P414" i="4"/>
  <c r="O381" i="29"/>
  <c r="AI383" i="29"/>
  <c r="B383" i="29"/>
  <c r="AD384" i="29"/>
  <c r="B415" i="4"/>
  <c r="BM416" i="4"/>
  <c r="BP415" i="4"/>
  <c r="BH412" i="4"/>
  <c r="BE411" i="4" l="1"/>
  <c r="BF411" i="4" s="1"/>
  <c r="AV412" i="4"/>
  <c r="AX412" i="4" s="1"/>
  <c r="AO412" i="4"/>
  <c r="AW414" i="4"/>
  <c r="BO415" i="4"/>
  <c r="BN415" i="4"/>
  <c r="B416" i="4"/>
  <c r="BM417" i="4"/>
  <c r="BM421" i="4" s="1"/>
  <c r="BP416" i="4"/>
  <c r="AI384" i="29"/>
  <c r="B384" i="29"/>
  <c r="AD385" i="29"/>
  <c r="Z381" i="29"/>
  <c r="V381" i="29"/>
  <c r="W381" i="29" s="1"/>
  <c r="P381" i="29"/>
  <c r="BH413" i="4"/>
  <c r="J382" i="29"/>
  <c r="Y382" i="29" s="1"/>
  <c r="I382" i="29"/>
  <c r="K382" i="29" s="1"/>
  <c r="N382" i="29" s="1"/>
  <c r="O382" i="29"/>
  <c r="P415" i="4"/>
  <c r="R415" i="4"/>
  <c r="Q415" i="4"/>
  <c r="AM415" i="4"/>
  <c r="K415" i="4"/>
  <c r="F415" i="4"/>
  <c r="BA415" i="4"/>
  <c r="BB415" i="4"/>
  <c r="AY415" i="4"/>
  <c r="BC415" i="4"/>
  <c r="BD415" i="4"/>
  <c r="O415" i="4"/>
  <c r="M415" i="4"/>
  <c r="N415" i="4"/>
  <c r="AZ415" i="4"/>
  <c r="T383" i="29"/>
  <c r="U383" i="29"/>
  <c r="G383" i="29"/>
  <c r="E383" i="29"/>
  <c r="Q383" i="29"/>
  <c r="R383" i="29"/>
  <c r="S383" i="29"/>
  <c r="AE383" i="29"/>
  <c r="AF383" i="29"/>
  <c r="AE414" i="4"/>
  <c r="AJ414" i="4" s="1"/>
  <c r="AF414" i="4"/>
  <c r="AC414" i="4"/>
  <c r="BG414" i="4" s="1"/>
  <c r="Z414" i="4"/>
  <c r="AH414" i="4" s="1"/>
  <c r="Y414" i="4"/>
  <c r="AG414" i="4" s="1"/>
  <c r="AD414" i="4"/>
  <c r="AI414" i="4" s="1"/>
  <c r="AK413" i="4"/>
  <c r="AN413" i="4"/>
  <c r="B421" i="4" l="1"/>
  <c r="BP421" i="4"/>
  <c r="BH414" i="4"/>
  <c r="BE412" i="4"/>
  <c r="BF412" i="4" s="1"/>
  <c r="AV413" i="4"/>
  <c r="M856" i="7" s="1"/>
  <c r="V382" i="29"/>
  <c r="W382" i="29" s="1"/>
  <c r="P382" i="29"/>
  <c r="AK414" i="4"/>
  <c r="AN414" i="4"/>
  <c r="BO416" i="4"/>
  <c r="BN416" i="4"/>
  <c r="AO413" i="4"/>
  <c r="I383" i="29"/>
  <c r="K383" i="29" s="1"/>
  <c r="N383" i="29" s="1"/>
  <c r="J383" i="29"/>
  <c r="Y383" i="29" s="1"/>
  <c r="AW415" i="4"/>
  <c r="Z382" i="29"/>
  <c r="AI385" i="29"/>
  <c r="B385" i="29"/>
  <c r="AD386" i="29"/>
  <c r="BP417" i="4"/>
  <c r="BM418" i="4"/>
  <c r="BM422" i="4" s="1"/>
  <c r="B417" i="4"/>
  <c r="Y415" i="4"/>
  <c r="AG415" i="4" s="1"/>
  <c r="Z415" i="4"/>
  <c r="AH415" i="4" s="1"/>
  <c r="AD415" i="4"/>
  <c r="AI415" i="4" s="1"/>
  <c r="AC415" i="4"/>
  <c r="BG415" i="4" s="1"/>
  <c r="AE415" i="4"/>
  <c r="AJ415" i="4" s="1"/>
  <c r="AF415" i="4"/>
  <c r="U384" i="29"/>
  <c r="R384" i="29"/>
  <c r="G384" i="29"/>
  <c r="S384" i="29"/>
  <c r="E384" i="29"/>
  <c r="T384" i="29"/>
  <c r="Q384" i="29"/>
  <c r="BC416" i="4"/>
  <c r="BD416" i="4"/>
  <c r="AZ416" i="4"/>
  <c r="BA416" i="4"/>
  <c r="BB416" i="4"/>
  <c r="AM416" i="4"/>
  <c r="N416" i="4"/>
  <c r="M416" i="4"/>
  <c r="O416" i="4"/>
  <c r="Q416" i="4"/>
  <c r="P416" i="4"/>
  <c r="R416" i="4"/>
  <c r="AY416" i="4"/>
  <c r="K416" i="4"/>
  <c r="F416" i="4"/>
  <c r="O383" i="29"/>
  <c r="AE384" i="29"/>
  <c r="AF384" i="29"/>
  <c r="BE413" i="4" l="1"/>
  <c r="BF413" i="4" s="1"/>
  <c r="AX413" i="4"/>
  <c r="BO421" i="4"/>
  <c r="BN421" i="4"/>
  <c r="BC421" i="4"/>
  <c r="AY421" i="4"/>
  <c r="P421" i="4"/>
  <c r="K421" i="4"/>
  <c r="BB421" i="4"/>
  <c r="O421" i="4"/>
  <c r="F421" i="4"/>
  <c r="BA421" i="4"/>
  <c r="AM421" i="4"/>
  <c r="R421" i="4"/>
  <c r="N421" i="4"/>
  <c r="BD421" i="4"/>
  <c r="AZ421" i="4"/>
  <c r="Q421" i="4"/>
  <c r="M421" i="4"/>
  <c r="B422" i="4"/>
  <c r="BP422" i="4"/>
  <c r="AO414" i="4"/>
  <c r="V383" i="29"/>
  <c r="W383" i="29" s="1"/>
  <c r="P383" i="29"/>
  <c r="Z383" i="29"/>
  <c r="I384" i="29"/>
  <c r="K384" i="29" s="1"/>
  <c r="N384" i="29" s="1"/>
  <c r="J384" i="29"/>
  <c r="Y384" i="29" s="1"/>
  <c r="AW416" i="4"/>
  <c r="O384" i="29"/>
  <c r="AN415" i="4"/>
  <c r="BH415" i="4"/>
  <c r="BP418" i="4"/>
  <c r="BM419" i="4"/>
  <c r="BM423" i="4" s="1"/>
  <c r="B418" i="4"/>
  <c r="AE385" i="29"/>
  <c r="AF385" i="29"/>
  <c r="AK415" i="4"/>
  <c r="BN417" i="4"/>
  <c r="BO417" i="4"/>
  <c r="AI386" i="29"/>
  <c r="AD387" i="29"/>
  <c r="B386" i="29"/>
  <c r="P417" i="4"/>
  <c r="Q417" i="4"/>
  <c r="AM417" i="4"/>
  <c r="R417" i="4"/>
  <c r="F417" i="4"/>
  <c r="BA417" i="4"/>
  <c r="K417" i="4"/>
  <c r="AY417" i="4"/>
  <c r="BC417" i="4"/>
  <c r="BD417" i="4"/>
  <c r="BB417" i="4"/>
  <c r="N417" i="4"/>
  <c r="O417" i="4"/>
  <c r="AZ417" i="4"/>
  <c r="M417" i="4"/>
  <c r="G385" i="29"/>
  <c r="T385" i="29"/>
  <c r="U385" i="29"/>
  <c r="E385" i="29"/>
  <c r="R385" i="29"/>
  <c r="Q385" i="29"/>
  <c r="S385" i="29"/>
  <c r="AC416" i="4"/>
  <c r="BG416" i="4" s="1"/>
  <c r="AD416" i="4"/>
  <c r="AI416" i="4" s="1"/>
  <c r="Y416" i="4"/>
  <c r="AG416" i="4" s="1"/>
  <c r="AF416" i="4"/>
  <c r="AE416" i="4"/>
  <c r="AJ416" i="4" s="1"/>
  <c r="Z416" i="4"/>
  <c r="AH416" i="4" s="1"/>
  <c r="AV414" i="4"/>
  <c r="AX414" i="4" s="1"/>
  <c r="AW421" i="4" l="1"/>
  <c r="AF421" i="4"/>
  <c r="Z421" i="4"/>
  <c r="AH421" i="4" s="1"/>
  <c r="AE421" i="4"/>
  <c r="AJ421" i="4" s="1"/>
  <c r="Y421" i="4"/>
  <c r="AG421" i="4" s="1"/>
  <c r="AD421" i="4"/>
  <c r="AI421" i="4" s="1"/>
  <c r="AC421" i="4"/>
  <c r="BG421" i="4" s="1"/>
  <c r="BO422" i="4"/>
  <c r="BN422" i="4"/>
  <c r="BC422" i="4"/>
  <c r="AY422" i="4"/>
  <c r="P422" i="4"/>
  <c r="K422" i="4"/>
  <c r="O422" i="4"/>
  <c r="F422" i="4"/>
  <c r="BA422" i="4"/>
  <c r="AM422" i="4"/>
  <c r="BD422" i="4"/>
  <c r="AZ422" i="4"/>
  <c r="Q422" i="4"/>
  <c r="M422" i="4"/>
  <c r="BB422" i="4"/>
  <c r="R422" i="4"/>
  <c r="N422" i="4"/>
  <c r="B423" i="4"/>
  <c r="BP423" i="4"/>
  <c r="AV415" i="4"/>
  <c r="BH416" i="4"/>
  <c r="AO415" i="4"/>
  <c r="BE414" i="4"/>
  <c r="BF414" i="4" s="1"/>
  <c r="AK416" i="4"/>
  <c r="AN416" i="4"/>
  <c r="AI387" i="29"/>
  <c r="AD388" i="29"/>
  <c r="B387" i="29"/>
  <c r="B419" i="4"/>
  <c r="BM420" i="4"/>
  <c r="BP419" i="4"/>
  <c r="Z384" i="29"/>
  <c r="O385" i="29"/>
  <c r="AW417" i="4"/>
  <c r="AF386" i="29"/>
  <c r="AE386" i="29"/>
  <c r="AE417" i="4"/>
  <c r="AJ417" i="4" s="1"/>
  <c r="AC417" i="4"/>
  <c r="BG417" i="4" s="1"/>
  <c r="AF417" i="4"/>
  <c r="Z417" i="4"/>
  <c r="AH417" i="4" s="1"/>
  <c r="AD417" i="4"/>
  <c r="AI417" i="4" s="1"/>
  <c r="Y417" i="4"/>
  <c r="AG417" i="4" s="1"/>
  <c r="BN418" i="4"/>
  <c r="BO418" i="4"/>
  <c r="V384" i="29"/>
  <c r="W384" i="29" s="1"/>
  <c r="P384" i="29"/>
  <c r="J385" i="29"/>
  <c r="Y385" i="29" s="1"/>
  <c r="I385" i="29"/>
  <c r="K385" i="29" s="1"/>
  <c r="N385" i="29" s="1"/>
  <c r="E386" i="29"/>
  <c r="R386" i="29"/>
  <c r="S386" i="29"/>
  <c r="Q386" i="29"/>
  <c r="G386" i="29"/>
  <c r="U386" i="29"/>
  <c r="T386" i="29"/>
  <c r="Q418" i="4"/>
  <c r="N418" i="4"/>
  <c r="P418" i="4"/>
  <c r="R418" i="4"/>
  <c r="K418" i="4"/>
  <c r="F418" i="4"/>
  <c r="AY418" i="4"/>
  <c r="AZ418" i="4"/>
  <c r="BC418" i="4"/>
  <c r="BA418" i="4"/>
  <c r="BD418" i="4"/>
  <c r="M418" i="4"/>
  <c r="BB418" i="4"/>
  <c r="O418" i="4"/>
  <c r="AM418" i="4"/>
  <c r="AX415" i="4" l="1"/>
  <c r="M857" i="7"/>
  <c r="BH421" i="4"/>
  <c r="AN421" i="4"/>
  <c r="AK421" i="4"/>
  <c r="AW422" i="4"/>
  <c r="AF422" i="4"/>
  <c r="Z422" i="4"/>
  <c r="AH422" i="4" s="1"/>
  <c r="AE422" i="4"/>
  <c r="AJ422" i="4" s="1"/>
  <c r="AC422" i="4"/>
  <c r="BG422" i="4" s="1"/>
  <c r="Y422" i="4"/>
  <c r="AG422" i="4" s="1"/>
  <c r="AD422" i="4"/>
  <c r="AI422" i="4" s="1"/>
  <c r="BO423" i="4"/>
  <c r="BN423" i="4"/>
  <c r="BC423" i="4"/>
  <c r="AY423" i="4"/>
  <c r="P423" i="4"/>
  <c r="K423" i="4"/>
  <c r="BB423" i="4"/>
  <c r="O423" i="4"/>
  <c r="F423" i="4"/>
  <c r="AZ423" i="4"/>
  <c r="BA423" i="4"/>
  <c r="AM423" i="4"/>
  <c r="R423" i="4"/>
  <c r="N423" i="4"/>
  <c r="BD423" i="4"/>
  <c r="Q423" i="4"/>
  <c r="M423" i="4"/>
  <c r="BE415" i="4"/>
  <c r="BF415" i="4" s="1"/>
  <c r="O386" i="29"/>
  <c r="AV416" i="4"/>
  <c r="BH417" i="4"/>
  <c r="V385" i="29"/>
  <c r="W385" i="29" s="1"/>
  <c r="P385" i="29"/>
  <c r="I386" i="29"/>
  <c r="K386" i="29" s="1"/>
  <c r="N386" i="29" s="1"/>
  <c r="J386" i="29"/>
  <c r="Y386" i="29" s="1"/>
  <c r="AE387" i="29"/>
  <c r="AF387" i="29"/>
  <c r="AW418" i="4"/>
  <c r="AK417" i="4"/>
  <c r="AN417" i="4"/>
  <c r="BN419" i="4"/>
  <c r="BO419" i="4"/>
  <c r="AE418" i="4"/>
  <c r="AJ418" i="4" s="1"/>
  <c r="AD418" i="4"/>
  <c r="AI418" i="4" s="1"/>
  <c r="AC418" i="4"/>
  <c r="BG418" i="4" s="1"/>
  <c r="AF418" i="4"/>
  <c r="Y418" i="4"/>
  <c r="AG418" i="4" s="1"/>
  <c r="Z418" i="4"/>
  <c r="AH418" i="4" s="1"/>
  <c r="Z385" i="29"/>
  <c r="BP420" i="4"/>
  <c r="BM424" i="4"/>
  <c r="B420" i="4"/>
  <c r="G387" i="29"/>
  <c r="S387" i="29"/>
  <c r="E387" i="29"/>
  <c r="T387" i="29"/>
  <c r="U387" i="29"/>
  <c r="Q387" i="29"/>
  <c r="R387" i="29"/>
  <c r="AO416" i="4"/>
  <c r="BC419" i="4"/>
  <c r="BD419" i="4"/>
  <c r="AY419" i="4"/>
  <c r="BB419" i="4"/>
  <c r="N419" i="4"/>
  <c r="AZ419" i="4"/>
  <c r="M419" i="4"/>
  <c r="O419" i="4"/>
  <c r="P419" i="4"/>
  <c r="AM419" i="4"/>
  <c r="Q419" i="4"/>
  <c r="R419" i="4"/>
  <c r="BA419" i="4"/>
  <c r="F419" i="4"/>
  <c r="K419" i="4"/>
  <c r="AI388" i="29"/>
  <c r="AD389" i="29"/>
  <c r="B388" i="29"/>
  <c r="BE416" i="4" l="1"/>
  <c r="BF416" i="4" s="1"/>
  <c r="AX416" i="4"/>
  <c r="AO421" i="4"/>
  <c r="BH422" i="4"/>
  <c r="AN422" i="4"/>
  <c r="AV421" i="4"/>
  <c r="AX421" i="4" s="1"/>
  <c r="AK422" i="4"/>
  <c r="AW423" i="4"/>
  <c r="AF423" i="4"/>
  <c r="Z423" i="4"/>
  <c r="AH423" i="4" s="1"/>
  <c r="AE423" i="4"/>
  <c r="AJ423" i="4" s="1"/>
  <c r="Y423" i="4"/>
  <c r="AG423" i="4" s="1"/>
  <c r="AD423" i="4"/>
  <c r="AI423" i="4" s="1"/>
  <c r="AC423" i="4"/>
  <c r="BG423" i="4" s="1"/>
  <c r="Z386" i="29"/>
  <c r="AO417" i="4"/>
  <c r="BH418" i="4"/>
  <c r="P386" i="29"/>
  <c r="V386" i="29"/>
  <c r="W386" i="29" s="1"/>
  <c r="AI389" i="29"/>
  <c r="B389" i="29"/>
  <c r="AD390" i="29"/>
  <c r="AW419" i="4"/>
  <c r="BB420" i="4"/>
  <c r="O420" i="4"/>
  <c r="N420" i="4"/>
  <c r="M420" i="4"/>
  <c r="BC420" i="4"/>
  <c r="BD420" i="4"/>
  <c r="AZ420" i="4"/>
  <c r="BA420" i="4"/>
  <c r="AM420" i="4"/>
  <c r="Q420" i="4"/>
  <c r="P420" i="4"/>
  <c r="R420" i="4"/>
  <c r="AY420" i="4"/>
  <c r="K420" i="4"/>
  <c r="F420" i="4"/>
  <c r="I387" i="29"/>
  <c r="K387" i="29" s="1"/>
  <c r="N387" i="29" s="1"/>
  <c r="J387" i="29"/>
  <c r="Y387" i="29" s="1"/>
  <c r="BP424" i="4"/>
  <c r="BM425" i="4"/>
  <c r="B424" i="4"/>
  <c r="AF388" i="29"/>
  <c r="AE388" i="29"/>
  <c r="BO420" i="4"/>
  <c r="BN420" i="4"/>
  <c r="Z419" i="4"/>
  <c r="AH419" i="4" s="1"/>
  <c r="AF419" i="4"/>
  <c r="AC419" i="4"/>
  <c r="BG419" i="4" s="1"/>
  <c r="AE419" i="4"/>
  <c r="AJ419" i="4" s="1"/>
  <c r="AD419" i="4"/>
  <c r="AI419" i="4" s="1"/>
  <c r="Y419" i="4"/>
  <c r="AG419" i="4" s="1"/>
  <c r="T388" i="29"/>
  <c r="S388" i="29"/>
  <c r="Q388" i="29"/>
  <c r="U388" i="29"/>
  <c r="G388" i="29"/>
  <c r="R388" i="29"/>
  <c r="E388" i="29"/>
  <c r="O387" i="29"/>
  <c r="AK418" i="4"/>
  <c r="AN418" i="4"/>
  <c r="AV417" i="4"/>
  <c r="AX417" i="4" s="1"/>
  <c r="AO422" i="4" l="1"/>
  <c r="BH423" i="4"/>
  <c r="AV422" i="4"/>
  <c r="AX422" i="4" s="1"/>
  <c r="BE421" i="4"/>
  <c r="BF421" i="4" s="1"/>
  <c r="AN423" i="4"/>
  <c r="AK423" i="4"/>
  <c r="AO418" i="4"/>
  <c r="AV418" i="4"/>
  <c r="AX418" i="4" s="1"/>
  <c r="BE417" i="4"/>
  <c r="BF417" i="4" s="1"/>
  <c r="O388" i="29"/>
  <c r="AI390" i="29"/>
  <c r="B390" i="29"/>
  <c r="AD391" i="29"/>
  <c r="AC420" i="4"/>
  <c r="BG420" i="4" s="1"/>
  <c r="AE420" i="4"/>
  <c r="AJ420" i="4" s="1"/>
  <c r="AF420" i="4"/>
  <c r="Y420" i="4"/>
  <c r="AG420" i="4" s="1"/>
  <c r="Z420" i="4"/>
  <c r="AH420" i="4" s="1"/>
  <c r="BH420" i="4" s="1"/>
  <c r="AD420" i="4"/>
  <c r="AI420" i="4" s="1"/>
  <c r="AZ424" i="4"/>
  <c r="M424" i="4"/>
  <c r="N424" i="4"/>
  <c r="O424" i="4"/>
  <c r="R424" i="4"/>
  <c r="AM424" i="4"/>
  <c r="P424" i="4"/>
  <c r="Q424" i="4"/>
  <c r="K424" i="4"/>
  <c r="F424" i="4"/>
  <c r="BA424" i="4"/>
  <c r="BD424" i="4"/>
  <c r="BB424" i="4"/>
  <c r="AY424" i="4"/>
  <c r="BC424" i="4"/>
  <c r="P387" i="29"/>
  <c r="V387" i="29"/>
  <c r="W387" i="29" s="1"/>
  <c r="AW420" i="4"/>
  <c r="Q389" i="29"/>
  <c r="E389" i="29"/>
  <c r="T389" i="29"/>
  <c r="U389" i="29"/>
  <c r="G389" i="29"/>
  <c r="S389" i="29"/>
  <c r="R389" i="29"/>
  <c r="AK419" i="4"/>
  <c r="AN419" i="4"/>
  <c r="B425" i="4"/>
  <c r="BP425" i="4"/>
  <c r="BM426" i="4"/>
  <c r="AF389" i="29"/>
  <c r="AE389" i="29"/>
  <c r="Z387" i="29"/>
  <c r="BH419" i="4"/>
  <c r="I388" i="29"/>
  <c r="K388" i="29" s="1"/>
  <c r="N388" i="29" s="1"/>
  <c r="J388" i="29"/>
  <c r="Y388" i="29" s="1"/>
  <c r="BO424" i="4"/>
  <c r="BN424" i="4"/>
  <c r="AO423" i="4" l="1"/>
  <c r="BE422" i="4"/>
  <c r="BF422" i="4" s="1"/>
  <c r="AV423" i="4"/>
  <c r="AX423" i="4" s="1"/>
  <c r="BE418" i="4"/>
  <c r="BF418" i="4" s="1"/>
  <c r="AO419" i="4"/>
  <c r="P388" i="29"/>
  <c r="V388" i="29"/>
  <c r="W388" i="29" s="1"/>
  <c r="AW424" i="4"/>
  <c r="AI391" i="29"/>
  <c r="B391" i="29"/>
  <c r="AD392" i="29"/>
  <c r="BO425" i="4"/>
  <c r="BN425" i="4"/>
  <c r="J389" i="29"/>
  <c r="Y389" i="29" s="1"/>
  <c r="I389" i="29"/>
  <c r="K389" i="29" s="1"/>
  <c r="N389" i="29" s="1"/>
  <c r="AY425" i="4"/>
  <c r="K425" i="4"/>
  <c r="BD425" i="4"/>
  <c r="BC425" i="4"/>
  <c r="BA425" i="4"/>
  <c r="AZ425" i="4"/>
  <c r="N425" i="4"/>
  <c r="BB425" i="4"/>
  <c r="O425" i="4"/>
  <c r="M425" i="4"/>
  <c r="R425" i="4"/>
  <c r="AM425" i="4"/>
  <c r="P425" i="4"/>
  <c r="Q425" i="4"/>
  <c r="F425" i="4"/>
  <c r="O389" i="29"/>
  <c r="U390" i="29"/>
  <c r="T390" i="29"/>
  <c r="R390" i="29"/>
  <c r="E390" i="29"/>
  <c r="S390" i="29"/>
  <c r="Q390" i="29"/>
  <c r="G390" i="29"/>
  <c r="AF424" i="4"/>
  <c r="AC424" i="4"/>
  <c r="BG424" i="4" s="1"/>
  <c r="AE424" i="4"/>
  <c r="AJ424" i="4" s="1"/>
  <c r="AD424" i="4"/>
  <c r="AI424" i="4" s="1"/>
  <c r="Y424" i="4"/>
  <c r="AG424" i="4" s="1"/>
  <c r="Z424" i="4"/>
  <c r="AH424" i="4" s="1"/>
  <c r="B426" i="4"/>
  <c r="BM427" i="4"/>
  <c r="BP426" i="4"/>
  <c r="AV419" i="4"/>
  <c r="AX419" i="4" s="1"/>
  <c r="AK420" i="4"/>
  <c r="AN420" i="4"/>
  <c r="AF390" i="29"/>
  <c r="AE390" i="29"/>
  <c r="Z388" i="29"/>
  <c r="BE423" i="4" l="1"/>
  <c r="BF423" i="4" s="1"/>
  <c r="BH424" i="4"/>
  <c r="AO420" i="4"/>
  <c r="P389" i="29"/>
  <c r="V389" i="29"/>
  <c r="W389" i="29" s="1"/>
  <c r="BN426" i="4"/>
  <c r="BO426" i="4"/>
  <c r="BM428" i="4"/>
  <c r="BP427" i="4"/>
  <c r="B427" i="4"/>
  <c r="AV420" i="4"/>
  <c r="AX420" i="4" s="1"/>
  <c r="BE419" i="4"/>
  <c r="BF419" i="4" s="1"/>
  <c r="AK424" i="4"/>
  <c r="AN424" i="4"/>
  <c r="AW425" i="4"/>
  <c r="AF391" i="29"/>
  <c r="AE391" i="29"/>
  <c r="Z389" i="29"/>
  <c r="AC425" i="4"/>
  <c r="BG425" i="4" s="1"/>
  <c r="AD425" i="4"/>
  <c r="AI425" i="4" s="1"/>
  <c r="Z425" i="4"/>
  <c r="AH425" i="4" s="1"/>
  <c r="AE425" i="4"/>
  <c r="AJ425" i="4" s="1"/>
  <c r="AF425" i="4"/>
  <c r="Y425" i="4"/>
  <c r="AG425" i="4" s="1"/>
  <c r="O390" i="29"/>
  <c r="AI392" i="29"/>
  <c r="B392" i="29"/>
  <c r="AD393" i="29"/>
  <c r="I390" i="29"/>
  <c r="K390" i="29" s="1"/>
  <c r="N390" i="29" s="1"/>
  <c r="J390" i="29"/>
  <c r="Y390" i="29" s="1"/>
  <c r="AY426" i="4"/>
  <c r="BC426" i="4"/>
  <c r="BB426" i="4"/>
  <c r="BD426" i="4"/>
  <c r="M426" i="4"/>
  <c r="N426" i="4"/>
  <c r="O426" i="4"/>
  <c r="AZ426" i="4"/>
  <c r="P426" i="4"/>
  <c r="R426" i="4"/>
  <c r="Q426" i="4"/>
  <c r="AM426" i="4"/>
  <c r="F426" i="4"/>
  <c r="BA426" i="4"/>
  <c r="K426" i="4"/>
  <c r="Q391" i="29"/>
  <c r="R391" i="29"/>
  <c r="S391" i="29"/>
  <c r="G391" i="29"/>
  <c r="T391" i="29"/>
  <c r="E391" i="29"/>
  <c r="U391" i="29"/>
  <c r="O391" i="29" l="1"/>
  <c r="BH425" i="4"/>
  <c r="AV424" i="4"/>
  <c r="AW426" i="4"/>
  <c r="AI393" i="29"/>
  <c r="B393" i="29"/>
  <c r="AD394" i="29"/>
  <c r="J391" i="29"/>
  <c r="Y391" i="29" s="1"/>
  <c r="Z391" i="29" s="1"/>
  <c r="I391" i="29"/>
  <c r="K391" i="29" s="1"/>
  <c r="N391" i="29" s="1"/>
  <c r="B428" i="4"/>
  <c r="BP428" i="4"/>
  <c r="BM429" i="4"/>
  <c r="R392" i="29"/>
  <c r="U392" i="29"/>
  <c r="E392" i="29"/>
  <c r="T392" i="29"/>
  <c r="S392" i="29"/>
  <c r="G392" i="29"/>
  <c r="Q392" i="29"/>
  <c r="Z390" i="29"/>
  <c r="BE420" i="4"/>
  <c r="BF420" i="4" s="1"/>
  <c r="AE426" i="4"/>
  <c r="AJ426" i="4" s="1"/>
  <c r="Z426" i="4"/>
  <c r="AH426" i="4" s="1"/>
  <c r="AF426" i="4"/>
  <c r="AC426" i="4"/>
  <c r="BG426" i="4" s="1"/>
  <c r="Y426" i="4"/>
  <c r="AG426" i="4" s="1"/>
  <c r="AD426" i="4"/>
  <c r="AI426" i="4" s="1"/>
  <c r="AF392" i="29"/>
  <c r="AE392" i="29"/>
  <c r="BA427" i="4"/>
  <c r="BD427" i="4"/>
  <c r="BC427" i="4"/>
  <c r="AZ427" i="4"/>
  <c r="F427" i="4"/>
  <c r="M427" i="4"/>
  <c r="O427" i="4"/>
  <c r="BB427" i="4"/>
  <c r="N427" i="4"/>
  <c r="R427" i="4"/>
  <c r="Q427" i="4"/>
  <c r="AM427" i="4"/>
  <c r="P427" i="4"/>
  <c r="AY427" i="4"/>
  <c r="K427" i="4"/>
  <c r="V390" i="29"/>
  <c r="W390" i="29" s="1"/>
  <c r="P390" i="29"/>
  <c r="AK425" i="4"/>
  <c r="AN425" i="4"/>
  <c r="AO424" i="4"/>
  <c r="BO427" i="4"/>
  <c r="BN427" i="4"/>
  <c r="BE424" i="4" l="1"/>
  <c r="BF424" i="4" s="1"/>
  <c r="AX424" i="4"/>
  <c r="AV425" i="4"/>
  <c r="AX425" i="4" s="1"/>
  <c r="BH426" i="4"/>
  <c r="BP429" i="4"/>
  <c r="B429" i="4"/>
  <c r="BM430" i="4"/>
  <c r="AD427" i="4"/>
  <c r="AI427" i="4" s="1"/>
  <c r="AF427" i="4"/>
  <c r="Y427" i="4"/>
  <c r="AG427" i="4" s="1"/>
  <c r="AE427" i="4"/>
  <c r="AJ427" i="4" s="1"/>
  <c r="Z427" i="4"/>
  <c r="AH427" i="4" s="1"/>
  <c r="AC427" i="4"/>
  <c r="BG427" i="4" s="1"/>
  <c r="J392" i="29"/>
  <c r="Y392" i="29" s="1"/>
  <c r="I392" i="29"/>
  <c r="K392" i="29" s="1"/>
  <c r="N392" i="29" s="1"/>
  <c r="BN428" i="4"/>
  <c r="BO428" i="4"/>
  <c r="AI394" i="29"/>
  <c r="AD395" i="29"/>
  <c r="B394" i="29"/>
  <c r="AO425" i="4"/>
  <c r="BD428" i="4"/>
  <c r="BC428" i="4"/>
  <c r="BB428" i="4"/>
  <c r="AY428" i="4"/>
  <c r="BA428" i="4"/>
  <c r="K428" i="4"/>
  <c r="F428" i="4"/>
  <c r="AZ428" i="4"/>
  <c r="AM428" i="4"/>
  <c r="M428" i="4"/>
  <c r="N428" i="4"/>
  <c r="O428" i="4"/>
  <c r="Q428" i="4"/>
  <c r="R428" i="4"/>
  <c r="P428" i="4"/>
  <c r="S393" i="29"/>
  <c r="E393" i="29"/>
  <c r="U393" i="29"/>
  <c r="G393" i="29"/>
  <c r="Q393" i="29"/>
  <c r="R393" i="29"/>
  <c r="T393" i="29"/>
  <c r="P391" i="29"/>
  <c r="V391" i="29"/>
  <c r="W391" i="29" s="1"/>
  <c r="AW427" i="4"/>
  <c r="AK426" i="4"/>
  <c r="AN426" i="4"/>
  <c r="O392" i="29"/>
  <c r="AE393" i="29"/>
  <c r="AF393" i="29"/>
  <c r="BE425" i="4" l="1"/>
  <c r="BF425" i="4" s="1"/>
  <c r="AO426" i="4"/>
  <c r="AV426" i="4"/>
  <c r="O393" i="29"/>
  <c r="AI395" i="29"/>
  <c r="B395" i="29"/>
  <c r="AD396" i="29"/>
  <c r="K429" i="4"/>
  <c r="F429" i="4"/>
  <c r="AY429" i="4"/>
  <c r="BC429" i="4"/>
  <c r="AZ429" i="4"/>
  <c r="BA429" i="4"/>
  <c r="BD429" i="4"/>
  <c r="BB429" i="4"/>
  <c r="M429" i="4"/>
  <c r="O429" i="4"/>
  <c r="N429" i="4"/>
  <c r="AM429" i="4"/>
  <c r="P429" i="4"/>
  <c r="Q429" i="4"/>
  <c r="R429" i="4"/>
  <c r="AF394" i="29"/>
  <c r="AE394" i="29"/>
  <c r="BO429" i="4"/>
  <c r="BN429" i="4"/>
  <c r="AW428" i="4"/>
  <c r="V392" i="29"/>
  <c r="W392" i="29" s="1"/>
  <c r="P392" i="29"/>
  <c r="AK427" i="4"/>
  <c r="AN427" i="4"/>
  <c r="Z392" i="29"/>
  <c r="I393" i="29"/>
  <c r="K393" i="29" s="1"/>
  <c r="N393" i="29" s="1"/>
  <c r="J393" i="29"/>
  <c r="Y393" i="29" s="1"/>
  <c r="G394" i="29"/>
  <c r="U394" i="29"/>
  <c r="E394" i="29"/>
  <c r="R394" i="29"/>
  <c r="S394" i="29"/>
  <c r="Q394" i="29"/>
  <c r="T394" i="29"/>
  <c r="Y428" i="4"/>
  <c r="AG428" i="4" s="1"/>
  <c r="AE428" i="4"/>
  <c r="AJ428" i="4" s="1"/>
  <c r="AF428" i="4"/>
  <c r="AD428" i="4"/>
  <c r="AI428" i="4" s="1"/>
  <c r="Z428" i="4"/>
  <c r="AH428" i="4" s="1"/>
  <c r="AC428" i="4"/>
  <c r="BG428" i="4" s="1"/>
  <c r="BH427" i="4"/>
  <c r="BM431" i="4"/>
  <c r="B430" i="4"/>
  <c r="BP430" i="4"/>
  <c r="BE426" i="4" l="1"/>
  <c r="AX426" i="4"/>
  <c r="AO427" i="4"/>
  <c r="AW429" i="4"/>
  <c r="AV427" i="4"/>
  <c r="AX427" i="4" s="1"/>
  <c r="P393" i="29"/>
  <c r="V393" i="29"/>
  <c r="W393" i="29" s="1"/>
  <c r="AK428" i="4"/>
  <c r="AN428" i="4"/>
  <c r="O394" i="29"/>
  <c r="AI396" i="29"/>
  <c r="B396" i="29"/>
  <c r="AD397" i="29"/>
  <c r="BO430" i="4"/>
  <c r="BN430" i="4"/>
  <c r="Z429" i="4"/>
  <c r="AH429" i="4" s="1"/>
  <c r="AF429" i="4"/>
  <c r="AC429" i="4"/>
  <c r="BG429" i="4" s="1"/>
  <c r="AD429" i="4"/>
  <c r="AI429" i="4" s="1"/>
  <c r="Y429" i="4"/>
  <c r="AG429" i="4" s="1"/>
  <c r="AE429" i="4"/>
  <c r="AJ429" i="4" s="1"/>
  <c r="J394" i="29"/>
  <c r="Y394" i="29" s="1"/>
  <c r="I394" i="29"/>
  <c r="K394" i="29" s="1"/>
  <c r="N394" i="29" s="1"/>
  <c r="U395" i="29"/>
  <c r="Q395" i="29"/>
  <c r="R395" i="29"/>
  <c r="S395" i="29"/>
  <c r="G395" i="29"/>
  <c r="T395" i="29"/>
  <c r="E395" i="29"/>
  <c r="Z393" i="29"/>
  <c r="I430" i="4"/>
  <c r="AZ430" i="4"/>
  <c r="BB430" i="4"/>
  <c r="BA430" i="4"/>
  <c r="F430" i="4"/>
  <c r="R430" i="4"/>
  <c r="H430" i="4"/>
  <c r="O430" i="4"/>
  <c r="BC430" i="4"/>
  <c r="AY430" i="4"/>
  <c r="P430" i="4"/>
  <c r="J430" i="4"/>
  <c r="N430" i="4"/>
  <c r="M430" i="4"/>
  <c r="BD430" i="4"/>
  <c r="K430" i="4"/>
  <c r="Q430" i="4"/>
  <c r="AM430" i="4"/>
  <c r="BH428" i="4"/>
  <c r="AE395" i="29"/>
  <c r="AF395" i="29"/>
  <c r="B431" i="4"/>
  <c r="BP431" i="4"/>
  <c r="BM432" i="4"/>
  <c r="BF426" i="4" l="1"/>
  <c r="AO428" i="4"/>
  <c r="AV428" i="4"/>
  <c r="AW430" i="4"/>
  <c r="BE427" i="4"/>
  <c r="BF427" i="4" s="1"/>
  <c r="BH429" i="4"/>
  <c r="AC430" i="4"/>
  <c r="BG430" i="4" s="1"/>
  <c r="AD430" i="4"/>
  <c r="AI430" i="4" s="1"/>
  <c r="AA430" i="4"/>
  <c r="AE430" i="4"/>
  <c r="AJ430" i="4" s="1"/>
  <c r="Z430" i="4"/>
  <c r="AB430" i="4"/>
  <c r="AF430" i="4"/>
  <c r="Y430" i="4"/>
  <c r="AG430" i="4" s="1"/>
  <c r="Q396" i="29"/>
  <c r="R396" i="29"/>
  <c r="S396" i="29"/>
  <c r="G396" i="29"/>
  <c r="E396" i="29"/>
  <c r="U396" i="29"/>
  <c r="T396" i="29"/>
  <c r="BO431" i="4"/>
  <c r="BN431" i="4"/>
  <c r="I395" i="29"/>
  <c r="K395" i="29" s="1"/>
  <c r="N395" i="29" s="1"/>
  <c r="J395" i="29"/>
  <c r="Y395" i="29" s="1"/>
  <c r="K431" i="4"/>
  <c r="F431" i="4"/>
  <c r="AY431" i="4"/>
  <c r="AZ431" i="4"/>
  <c r="BA431" i="4"/>
  <c r="BD431" i="4"/>
  <c r="BC431" i="4"/>
  <c r="N431" i="4"/>
  <c r="M431" i="4"/>
  <c r="AM431" i="4"/>
  <c r="BB431" i="4"/>
  <c r="P431" i="4"/>
  <c r="Q431" i="4"/>
  <c r="R431" i="4"/>
  <c r="O431" i="4"/>
  <c r="O395" i="29"/>
  <c r="AF396" i="29"/>
  <c r="AE396" i="29"/>
  <c r="V394" i="29"/>
  <c r="W394" i="29" s="1"/>
  <c r="P394" i="29"/>
  <c r="AK429" i="4"/>
  <c r="AN429" i="4"/>
  <c r="BP432" i="4"/>
  <c r="BM433" i="4"/>
  <c r="B432" i="4"/>
  <c r="AI397" i="29"/>
  <c r="AD398" i="29"/>
  <c r="B397" i="29"/>
  <c r="Z394" i="29"/>
  <c r="BE428" i="4" l="1"/>
  <c r="BF428" i="4" s="1"/>
  <c r="AX428" i="4"/>
  <c r="O396" i="29"/>
  <c r="AH430" i="4"/>
  <c r="BH430" i="4" s="1"/>
  <c r="AV429" i="4"/>
  <c r="AX429" i="4" s="1"/>
  <c r="AO429" i="4"/>
  <c r="AI398" i="29"/>
  <c r="AD399" i="29"/>
  <c r="B398" i="29"/>
  <c r="BP433" i="4"/>
  <c r="BM434" i="4"/>
  <c r="B433" i="4"/>
  <c r="AE397" i="29"/>
  <c r="AF397" i="29"/>
  <c r="V395" i="29"/>
  <c r="W395" i="29" s="1"/>
  <c r="P395" i="29"/>
  <c r="BO432" i="4"/>
  <c r="BN432" i="4"/>
  <c r="I396" i="29"/>
  <c r="K396" i="29" s="1"/>
  <c r="N396" i="29" s="1"/>
  <c r="J396" i="29"/>
  <c r="Y396" i="29" s="1"/>
  <c r="Z395" i="29"/>
  <c r="U397" i="29"/>
  <c r="S397" i="29"/>
  <c r="R397" i="29"/>
  <c r="G397" i="29"/>
  <c r="E397" i="29"/>
  <c r="T397" i="29"/>
  <c r="Q397" i="29"/>
  <c r="K432" i="4"/>
  <c r="F432" i="4"/>
  <c r="BA432" i="4"/>
  <c r="BB432" i="4"/>
  <c r="AY432" i="4"/>
  <c r="BC432" i="4"/>
  <c r="BD432" i="4"/>
  <c r="M432" i="4"/>
  <c r="N432" i="4"/>
  <c r="O432" i="4"/>
  <c r="AZ432" i="4"/>
  <c r="R432" i="4"/>
  <c r="P432" i="4"/>
  <c r="Q432" i="4"/>
  <c r="AM432" i="4"/>
  <c r="AK430" i="4"/>
  <c r="AN430" i="4"/>
  <c r="AW431" i="4"/>
  <c r="AE431" i="4"/>
  <c r="AJ431" i="4" s="1"/>
  <c r="AC431" i="4"/>
  <c r="BG431" i="4" s="1"/>
  <c r="AD431" i="4"/>
  <c r="AI431" i="4" s="1"/>
  <c r="Y431" i="4"/>
  <c r="AG431" i="4" s="1"/>
  <c r="AF431" i="4"/>
  <c r="Z431" i="4"/>
  <c r="AH431" i="4" s="1"/>
  <c r="Z396" i="29" l="1"/>
  <c r="BE429" i="4"/>
  <c r="BF429" i="4" s="1"/>
  <c r="BH431" i="4"/>
  <c r="AO430" i="4"/>
  <c r="AV430" i="4"/>
  <c r="P396" i="29"/>
  <c r="V396" i="29"/>
  <c r="W396" i="29" s="1"/>
  <c r="O397" i="29"/>
  <c r="BO433" i="4"/>
  <c r="BN433" i="4"/>
  <c r="AK431" i="4"/>
  <c r="AN431" i="4"/>
  <c r="G398" i="29"/>
  <c r="S398" i="29"/>
  <c r="Q398" i="29"/>
  <c r="U398" i="29"/>
  <c r="E398" i="29"/>
  <c r="T398" i="29"/>
  <c r="R398" i="29"/>
  <c r="AW432" i="4"/>
  <c r="Y432" i="4"/>
  <c r="AG432" i="4" s="1"/>
  <c r="AF432" i="4"/>
  <c r="AE432" i="4"/>
  <c r="AJ432" i="4" s="1"/>
  <c r="Z432" i="4"/>
  <c r="AH432" i="4" s="1"/>
  <c r="AC432" i="4"/>
  <c r="BG432" i="4" s="1"/>
  <c r="AD432" i="4"/>
  <c r="AI432" i="4" s="1"/>
  <c r="P433" i="4"/>
  <c r="AM433" i="4"/>
  <c r="R433" i="4"/>
  <c r="Q433" i="4"/>
  <c r="AY433" i="4"/>
  <c r="BC433" i="4"/>
  <c r="K433" i="4"/>
  <c r="F433" i="4"/>
  <c r="BD433" i="4"/>
  <c r="BB433" i="4"/>
  <c r="AZ433" i="4"/>
  <c r="BA433" i="4"/>
  <c r="N433" i="4"/>
  <c r="M433" i="4"/>
  <c r="O433" i="4"/>
  <c r="AI399" i="29"/>
  <c r="AD400" i="29"/>
  <c r="B399" i="29"/>
  <c r="J397" i="29"/>
  <c r="Y397" i="29" s="1"/>
  <c r="I397" i="29"/>
  <c r="K397" i="29" s="1"/>
  <c r="N397" i="29" s="1"/>
  <c r="BM435" i="4"/>
  <c r="B434" i="4"/>
  <c r="BP434" i="4"/>
  <c r="AE398" i="29"/>
  <c r="AF398" i="29"/>
  <c r="BE430" i="4" l="1"/>
  <c r="BF430" i="4" s="1"/>
  <c r="AX430" i="4"/>
  <c r="AO431" i="4"/>
  <c r="P397" i="29"/>
  <c r="V397" i="29"/>
  <c r="W397" i="29" s="1"/>
  <c r="BH432" i="4"/>
  <c r="Z397" i="29"/>
  <c r="AV431" i="4"/>
  <c r="AX431" i="4" s="1"/>
  <c r="J398" i="29"/>
  <c r="Y398" i="29" s="1"/>
  <c r="I398" i="29"/>
  <c r="K398" i="29" s="1"/>
  <c r="N398" i="29" s="1"/>
  <c r="AW433" i="4"/>
  <c r="AZ434" i="4"/>
  <c r="P434" i="4"/>
  <c r="R434" i="4"/>
  <c r="Q434" i="4"/>
  <c r="BB434" i="4"/>
  <c r="BC434" i="4"/>
  <c r="K434" i="4"/>
  <c r="F434" i="4"/>
  <c r="BA434" i="4"/>
  <c r="BD434" i="4"/>
  <c r="AY434" i="4"/>
  <c r="AM434" i="4"/>
  <c r="O434" i="4"/>
  <c r="M434" i="4"/>
  <c r="N434" i="4"/>
  <c r="AK432" i="4"/>
  <c r="AN432" i="4"/>
  <c r="O398" i="29"/>
  <c r="AI400" i="29"/>
  <c r="AD401" i="29"/>
  <c r="B400" i="29"/>
  <c r="BO434" i="4"/>
  <c r="BN434" i="4"/>
  <c r="AF399" i="29"/>
  <c r="AE399" i="29"/>
  <c r="BM436" i="4"/>
  <c r="BP435" i="4"/>
  <c r="B435" i="4"/>
  <c r="Q399" i="29"/>
  <c r="U399" i="29"/>
  <c r="R399" i="29"/>
  <c r="E399" i="29"/>
  <c r="T399" i="29"/>
  <c r="G399" i="29"/>
  <c r="S399" i="29"/>
  <c r="AE433" i="4"/>
  <c r="AJ433" i="4" s="1"/>
  <c r="Y433" i="4"/>
  <c r="AG433" i="4" s="1"/>
  <c r="AF433" i="4"/>
  <c r="Z433" i="4"/>
  <c r="AH433" i="4" s="1"/>
  <c r="AC433" i="4"/>
  <c r="BG433" i="4" s="1"/>
  <c r="AD433" i="4"/>
  <c r="AI433" i="4" s="1"/>
  <c r="AO432" i="4" l="1"/>
  <c r="AV432" i="4"/>
  <c r="AX432" i="4" s="1"/>
  <c r="V398" i="29"/>
  <c r="W398" i="29" s="1"/>
  <c r="P398" i="29"/>
  <c r="AK433" i="4"/>
  <c r="AN433" i="4"/>
  <c r="BO435" i="4"/>
  <c r="BN435" i="4"/>
  <c r="Q400" i="29"/>
  <c r="G400" i="29"/>
  <c r="T400" i="29"/>
  <c r="E400" i="29"/>
  <c r="R400" i="29"/>
  <c r="U400" i="29"/>
  <c r="S400" i="29"/>
  <c r="AW434" i="4"/>
  <c r="O399" i="29"/>
  <c r="B436" i="4"/>
  <c r="BP436" i="4"/>
  <c r="BM437" i="4"/>
  <c r="AI401" i="29"/>
  <c r="B401" i="29"/>
  <c r="AD402" i="29"/>
  <c r="Z398" i="29"/>
  <c r="I399" i="29"/>
  <c r="K399" i="29" s="1"/>
  <c r="N399" i="29" s="1"/>
  <c r="J399" i="29"/>
  <c r="Y399" i="29" s="1"/>
  <c r="Z434" i="4"/>
  <c r="AH434" i="4" s="1"/>
  <c r="AD434" i="4"/>
  <c r="AI434" i="4" s="1"/>
  <c r="AE434" i="4"/>
  <c r="AJ434" i="4" s="1"/>
  <c r="Y434" i="4"/>
  <c r="AG434" i="4" s="1"/>
  <c r="AF434" i="4"/>
  <c r="AC434" i="4"/>
  <c r="BG434" i="4" s="1"/>
  <c r="AF400" i="29"/>
  <c r="AE400" i="29"/>
  <c r="BE431" i="4"/>
  <c r="BF431" i="4" s="1"/>
  <c r="BH433" i="4"/>
  <c r="BD435" i="4"/>
  <c r="BC435" i="4"/>
  <c r="AZ435" i="4"/>
  <c r="BA435" i="4"/>
  <c r="AM435" i="4"/>
  <c r="M435" i="4"/>
  <c r="AY435" i="4"/>
  <c r="K435" i="4"/>
  <c r="F435" i="4"/>
  <c r="BB435" i="4"/>
  <c r="N435" i="4"/>
  <c r="Q435" i="4"/>
  <c r="O435" i="4"/>
  <c r="P435" i="4"/>
  <c r="R435" i="4"/>
  <c r="AV433" i="4" l="1"/>
  <c r="AX433" i="4" s="1"/>
  <c r="AO433" i="4"/>
  <c r="BE432" i="4"/>
  <c r="BF432" i="4" s="1"/>
  <c r="AI402" i="29"/>
  <c r="AD403" i="29"/>
  <c r="B402" i="29"/>
  <c r="BA436" i="4"/>
  <c r="F436" i="4"/>
  <c r="K436" i="4"/>
  <c r="O436" i="4"/>
  <c r="N436" i="4"/>
  <c r="AZ436" i="4"/>
  <c r="M436" i="4"/>
  <c r="BC436" i="4"/>
  <c r="AY436" i="4"/>
  <c r="BD436" i="4"/>
  <c r="BB436" i="4"/>
  <c r="Q436" i="4"/>
  <c r="P436" i="4"/>
  <c r="AM436" i="4"/>
  <c r="R436" i="4"/>
  <c r="P399" i="29"/>
  <c r="V399" i="29"/>
  <c r="W399" i="29" s="1"/>
  <c r="AK434" i="4"/>
  <c r="AN434" i="4"/>
  <c r="BH434" i="4"/>
  <c r="S401" i="29"/>
  <c r="R401" i="29"/>
  <c r="Q401" i="29"/>
  <c r="G401" i="29"/>
  <c r="E401" i="29"/>
  <c r="T401" i="29"/>
  <c r="U401" i="29"/>
  <c r="Z399" i="29"/>
  <c r="O400" i="29"/>
  <c r="I400" i="29"/>
  <c r="K400" i="29" s="1"/>
  <c r="N400" i="29" s="1"/>
  <c r="J400" i="29"/>
  <c r="AE401" i="29"/>
  <c r="AF401" i="29"/>
  <c r="BM438" i="4"/>
  <c r="BP437" i="4"/>
  <c r="B437" i="4"/>
  <c r="AW435" i="4"/>
  <c r="BN436" i="4"/>
  <c r="BO436" i="4"/>
  <c r="Y400" i="29"/>
  <c r="Y435" i="4"/>
  <c r="AG435" i="4" s="1"/>
  <c r="AF435" i="4"/>
  <c r="AC435" i="4"/>
  <c r="BG435" i="4" s="1"/>
  <c r="AD435" i="4"/>
  <c r="AI435" i="4" s="1"/>
  <c r="AE435" i="4"/>
  <c r="AJ435" i="4" s="1"/>
  <c r="Z435" i="4"/>
  <c r="AH435" i="4" s="1"/>
  <c r="N35" i="17"/>
  <c r="BE433" i="4" l="1"/>
  <c r="BF433" i="4" s="1"/>
  <c r="AO434" i="4"/>
  <c r="O401" i="29"/>
  <c r="AV434" i="4"/>
  <c r="AX434" i="4" s="1"/>
  <c r="U402" i="29"/>
  <c r="Q402" i="29"/>
  <c r="S402" i="29"/>
  <c r="G402" i="29"/>
  <c r="R402" i="29"/>
  <c r="T402" i="29"/>
  <c r="E402" i="29"/>
  <c r="AW436" i="4"/>
  <c r="AI403" i="29"/>
  <c r="AD404" i="29"/>
  <c r="B403" i="29"/>
  <c r="Z436" i="4"/>
  <c r="AH436" i="4" s="1"/>
  <c r="AF436" i="4"/>
  <c r="Y436" i="4"/>
  <c r="AG436" i="4" s="1"/>
  <c r="AC436" i="4"/>
  <c r="BG436" i="4" s="1"/>
  <c r="AD436" i="4"/>
  <c r="AI436" i="4" s="1"/>
  <c r="AE436" i="4"/>
  <c r="AJ436" i="4" s="1"/>
  <c r="M437" i="4"/>
  <c r="N437" i="4"/>
  <c r="BB437" i="4"/>
  <c r="O437" i="4"/>
  <c r="K437" i="4"/>
  <c r="AY437" i="4"/>
  <c r="F437" i="4"/>
  <c r="Q437" i="4"/>
  <c r="R437" i="4"/>
  <c r="AM437" i="4"/>
  <c r="P437" i="4"/>
  <c r="AZ437" i="4"/>
  <c r="BD437" i="4"/>
  <c r="BC437" i="4"/>
  <c r="BA437" i="4"/>
  <c r="J401" i="29"/>
  <c r="Y401" i="29" s="1"/>
  <c r="I401" i="29"/>
  <c r="K401" i="29" s="1"/>
  <c r="N401" i="29" s="1"/>
  <c r="Z400" i="29"/>
  <c r="P400" i="29"/>
  <c r="V400" i="29"/>
  <c r="W400" i="29" s="1"/>
  <c r="BO437" i="4"/>
  <c r="BN437" i="4"/>
  <c r="BH435" i="4"/>
  <c r="AK435" i="4"/>
  <c r="AN435" i="4"/>
  <c r="BP438" i="4"/>
  <c r="B438" i="4"/>
  <c r="BM439" i="4"/>
  <c r="AF402" i="29"/>
  <c r="AE402" i="29"/>
  <c r="AV435" i="4" l="1"/>
  <c r="AX435" i="4" s="1"/>
  <c r="BH436" i="4"/>
  <c r="P401" i="29"/>
  <c r="V401" i="29"/>
  <c r="W401" i="29" s="1"/>
  <c r="O402" i="29"/>
  <c r="BE434" i="4"/>
  <c r="BF434" i="4" s="1"/>
  <c r="B439" i="4"/>
  <c r="BM440" i="4"/>
  <c r="BP439" i="4"/>
  <c r="AC437" i="4"/>
  <c r="BG437" i="4" s="1"/>
  <c r="AE437" i="4"/>
  <c r="AJ437" i="4" s="1"/>
  <c r="Z437" i="4"/>
  <c r="AH437" i="4" s="1"/>
  <c r="AF437" i="4"/>
  <c r="AD437" i="4"/>
  <c r="AI437" i="4" s="1"/>
  <c r="Y437" i="4"/>
  <c r="AG437" i="4" s="1"/>
  <c r="J402" i="29"/>
  <c r="Y402" i="29" s="1"/>
  <c r="I402" i="29"/>
  <c r="K402" i="29" s="1"/>
  <c r="N402" i="29" s="1"/>
  <c r="BC438" i="4"/>
  <c r="AY438" i="4"/>
  <c r="BD438" i="4"/>
  <c r="BB438" i="4"/>
  <c r="N438" i="4"/>
  <c r="M438" i="4"/>
  <c r="AZ438" i="4"/>
  <c r="O438" i="4"/>
  <c r="P438" i="4"/>
  <c r="Q438" i="4"/>
  <c r="AM438" i="4"/>
  <c r="R438" i="4"/>
  <c r="BA438" i="4"/>
  <c r="F438" i="4"/>
  <c r="K438" i="4"/>
  <c r="BN438" i="4"/>
  <c r="BO438" i="4"/>
  <c r="AO435" i="4"/>
  <c r="Q403" i="29"/>
  <c r="S403" i="29"/>
  <c r="T403" i="29"/>
  <c r="G403" i="29"/>
  <c r="U403" i="29"/>
  <c r="R403" i="29"/>
  <c r="E403" i="29"/>
  <c r="Z401" i="29"/>
  <c r="AW437" i="4"/>
  <c r="AI404" i="29"/>
  <c r="AD405" i="29"/>
  <c r="B404" i="29"/>
  <c r="AK436" i="4"/>
  <c r="AN436" i="4"/>
  <c r="AF403" i="29"/>
  <c r="AE403" i="29"/>
  <c r="BE435" i="4" l="1"/>
  <c r="BF435" i="4" s="1"/>
  <c r="AV436" i="4"/>
  <c r="AO436" i="4"/>
  <c r="O403" i="29"/>
  <c r="BH437" i="4"/>
  <c r="AZ439" i="4"/>
  <c r="BD439" i="4"/>
  <c r="BC439" i="4"/>
  <c r="BA439" i="4"/>
  <c r="N439" i="4"/>
  <c r="O439" i="4"/>
  <c r="BB439" i="4"/>
  <c r="M439" i="4"/>
  <c r="AM439" i="4"/>
  <c r="Q439" i="4"/>
  <c r="P439" i="4"/>
  <c r="R439" i="4"/>
  <c r="AY439" i="4"/>
  <c r="K439" i="4"/>
  <c r="F439" i="4"/>
  <c r="AD438" i="4"/>
  <c r="AI438" i="4" s="1"/>
  <c r="AF438" i="4"/>
  <c r="AC438" i="4"/>
  <c r="BG438" i="4" s="1"/>
  <c r="Y438" i="4"/>
  <c r="AG438" i="4" s="1"/>
  <c r="Z438" i="4"/>
  <c r="AH438" i="4" s="1"/>
  <c r="AE438" i="4"/>
  <c r="AJ438" i="4" s="1"/>
  <c r="Z402" i="29"/>
  <c r="R404" i="29"/>
  <c r="E404" i="29"/>
  <c r="S404" i="29"/>
  <c r="Q404" i="29"/>
  <c r="T404" i="29"/>
  <c r="U404" i="29"/>
  <c r="G404" i="29"/>
  <c r="BO439" i="4"/>
  <c r="BN439" i="4"/>
  <c r="V402" i="29"/>
  <c r="W402" i="29" s="1"/>
  <c r="P402" i="29"/>
  <c r="AI405" i="29"/>
  <c r="B405" i="29"/>
  <c r="AD406" i="29"/>
  <c r="I403" i="29"/>
  <c r="K403" i="29" s="1"/>
  <c r="N403" i="29" s="1"/>
  <c r="J403" i="29"/>
  <c r="Y403" i="29" s="1"/>
  <c r="AE404" i="29"/>
  <c r="AF404" i="29"/>
  <c r="AW438" i="4"/>
  <c r="AK437" i="4"/>
  <c r="AN437" i="4"/>
  <c r="BM441" i="4"/>
  <c r="B440" i="4"/>
  <c r="BP440" i="4"/>
  <c r="BE436" i="4" l="1"/>
  <c r="BF436" i="4" s="1"/>
  <c r="AX436" i="4"/>
  <c r="O404" i="29"/>
  <c r="AV437" i="4"/>
  <c r="AE405" i="29"/>
  <c r="AF405" i="29"/>
  <c r="V403" i="29"/>
  <c r="W403" i="29" s="1"/>
  <c r="P403" i="29"/>
  <c r="AO437" i="4"/>
  <c r="BO440" i="4"/>
  <c r="BN440" i="4"/>
  <c r="AI406" i="29"/>
  <c r="AD407" i="29"/>
  <c r="B406" i="29"/>
  <c r="AD439" i="4"/>
  <c r="AI439" i="4" s="1"/>
  <c r="AE439" i="4"/>
  <c r="AJ439" i="4" s="1"/>
  <c r="AF439" i="4"/>
  <c r="Z439" i="4"/>
  <c r="AH439" i="4" s="1"/>
  <c r="AC439" i="4"/>
  <c r="BG439" i="4" s="1"/>
  <c r="Y439" i="4"/>
  <c r="AG439" i="4" s="1"/>
  <c r="BC440" i="4"/>
  <c r="BD440" i="4"/>
  <c r="BB440" i="4"/>
  <c r="AY440" i="4"/>
  <c r="O440" i="4"/>
  <c r="AZ440" i="4"/>
  <c r="M440" i="4"/>
  <c r="N440" i="4"/>
  <c r="Q440" i="4"/>
  <c r="AM440" i="4"/>
  <c r="R440" i="4"/>
  <c r="P440" i="4"/>
  <c r="BA440" i="4"/>
  <c r="K440" i="4"/>
  <c r="F440" i="4"/>
  <c r="U405" i="29"/>
  <c r="E405" i="29"/>
  <c r="R405" i="29"/>
  <c r="Q405" i="29"/>
  <c r="S405" i="29"/>
  <c r="T405" i="29"/>
  <c r="G405" i="29"/>
  <c r="N24" i="17"/>
  <c r="AW439" i="4"/>
  <c r="AK438" i="4"/>
  <c r="AN438" i="4"/>
  <c r="BP441" i="4"/>
  <c r="BM442" i="4"/>
  <c r="B441" i="4"/>
  <c r="I404" i="29"/>
  <c r="K404" i="29" s="1"/>
  <c r="N404" i="29" s="1"/>
  <c r="J404" i="29"/>
  <c r="Y404" i="29" s="1"/>
  <c r="BH438" i="4"/>
  <c r="Z403" i="29"/>
  <c r="Z404" i="29" l="1"/>
  <c r="BE437" i="4"/>
  <c r="BF437" i="4" s="1"/>
  <c r="AX437" i="4"/>
  <c r="AO438" i="4"/>
  <c r="AV438" i="4"/>
  <c r="AX438" i="4" s="1"/>
  <c r="V404" i="29"/>
  <c r="W404" i="29" s="1"/>
  <c r="P404" i="29"/>
  <c r="BA441" i="4"/>
  <c r="BD441" i="4"/>
  <c r="BC441" i="4"/>
  <c r="AZ441" i="4"/>
  <c r="O441" i="4"/>
  <c r="N441" i="4"/>
  <c r="BB441" i="4"/>
  <c r="M441" i="4"/>
  <c r="P441" i="4"/>
  <c r="AM441" i="4"/>
  <c r="F441" i="4"/>
  <c r="AY441" i="4"/>
  <c r="K441" i="4"/>
  <c r="R441" i="4"/>
  <c r="Q441" i="4"/>
  <c r="AE406" i="29"/>
  <c r="AF406" i="29"/>
  <c r="AD440" i="4"/>
  <c r="AI440" i="4" s="1"/>
  <c r="AF440" i="4"/>
  <c r="AE440" i="4"/>
  <c r="AJ440" i="4" s="1"/>
  <c r="Z440" i="4"/>
  <c r="AH440" i="4" s="1"/>
  <c r="AC440" i="4"/>
  <c r="BG440" i="4" s="1"/>
  <c r="Y440" i="4"/>
  <c r="AG440" i="4" s="1"/>
  <c r="O405" i="29"/>
  <c r="BH439" i="4"/>
  <c r="J405" i="29"/>
  <c r="Y405" i="29" s="1"/>
  <c r="I405" i="29"/>
  <c r="K405" i="29" s="1"/>
  <c r="N405" i="29" s="1"/>
  <c r="B442" i="4"/>
  <c r="BM443" i="4"/>
  <c r="BP442" i="4"/>
  <c r="BO441" i="4"/>
  <c r="BN441" i="4"/>
  <c r="AK439" i="4"/>
  <c r="AN439" i="4"/>
  <c r="Q406" i="29"/>
  <c r="E406" i="29"/>
  <c r="T406" i="29"/>
  <c r="S406" i="29"/>
  <c r="R406" i="29"/>
  <c r="U406" i="29"/>
  <c r="G406" i="29"/>
  <c r="AW440" i="4"/>
  <c r="AI407" i="29"/>
  <c r="AD408" i="29"/>
  <c r="B407" i="29"/>
  <c r="BE438" i="4" l="1"/>
  <c r="BF438" i="4" s="1"/>
  <c r="N30" i="17"/>
  <c r="N32" i="17"/>
  <c r="AO439" i="4"/>
  <c r="BH440" i="4"/>
  <c r="V405" i="29"/>
  <c r="W405" i="29" s="1"/>
  <c r="P405" i="29"/>
  <c r="AV439" i="4"/>
  <c r="AX439" i="4" s="1"/>
  <c r="Z405" i="29"/>
  <c r="J406" i="29"/>
  <c r="Y406" i="29" s="1"/>
  <c r="I406" i="29"/>
  <c r="K406" i="29" s="1"/>
  <c r="N406" i="29" s="1"/>
  <c r="AF407" i="29"/>
  <c r="AE407" i="29"/>
  <c r="Q407" i="29"/>
  <c r="U407" i="29"/>
  <c r="T407" i="29"/>
  <c r="R407" i="29"/>
  <c r="G407" i="29"/>
  <c r="S407" i="29"/>
  <c r="E407" i="29"/>
  <c r="Y441" i="4"/>
  <c r="AG441" i="4" s="1"/>
  <c r="AE441" i="4"/>
  <c r="AJ441" i="4" s="1"/>
  <c r="Z441" i="4"/>
  <c r="AH441" i="4" s="1"/>
  <c r="AD441" i="4"/>
  <c r="AI441" i="4" s="1"/>
  <c r="AF441" i="4"/>
  <c r="AC441" i="4"/>
  <c r="BG441" i="4" s="1"/>
  <c r="BN442" i="4"/>
  <c r="BO442" i="4"/>
  <c r="AK440" i="4"/>
  <c r="AN440" i="4"/>
  <c r="AW441" i="4"/>
  <c r="AI408" i="29"/>
  <c r="B408" i="29"/>
  <c r="AD409" i="29"/>
  <c r="O406" i="29"/>
  <c r="BM444" i="4"/>
  <c r="B443" i="4"/>
  <c r="BP443" i="4"/>
  <c r="BB442" i="4"/>
  <c r="AY442" i="4"/>
  <c r="BD442" i="4"/>
  <c r="BC442" i="4"/>
  <c r="O442" i="4"/>
  <c r="M442" i="4"/>
  <c r="AZ442" i="4"/>
  <c r="N442" i="4"/>
  <c r="Q442" i="4"/>
  <c r="P442" i="4"/>
  <c r="AM442" i="4"/>
  <c r="R442" i="4"/>
  <c r="K442" i="4"/>
  <c r="F442" i="4"/>
  <c r="BA442" i="4"/>
  <c r="AO440" i="4" l="1"/>
  <c r="BH441" i="4"/>
  <c r="BN443" i="4"/>
  <c r="BO443" i="4"/>
  <c r="AF408" i="29"/>
  <c r="AE408" i="29"/>
  <c r="O407" i="29"/>
  <c r="J407" i="29"/>
  <c r="Y407" i="29" s="1"/>
  <c r="I407" i="29"/>
  <c r="K407" i="29" s="1"/>
  <c r="N407" i="29" s="1"/>
  <c r="R443" i="4"/>
  <c r="Q443" i="4"/>
  <c r="P443" i="4"/>
  <c r="AM443" i="4"/>
  <c r="F443" i="4"/>
  <c r="AY443" i="4"/>
  <c r="K443" i="4"/>
  <c r="M443" i="4"/>
  <c r="O443" i="4"/>
  <c r="N443" i="4"/>
  <c r="BB443" i="4"/>
  <c r="BA443" i="4"/>
  <c r="BD443" i="4"/>
  <c r="AZ443" i="4"/>
  <c r="BC443" i="4"/>
  <c r="V406" i="29"/>
  <c r="W406" i="29" s="1"/>
  <c r="P406" i="29"/>
  <c r="B444" i="4"/>
  <c r="BP444" i="4"/>
  <c r="BM445" i="4"/>
  <c r="AI409" i="29"/>
  <c r="AD410" i="29"/>
  <c r="B409" i="29"/>
  <c r="AW442" i="4"/>
  <c r="Z406" i="29"/>
  <c r="T408" i="29"/>
  <c r="R408" i="29"/>
  <c r="U408" i="29"/>
  <c r="Q408" i="29"/>
  <c r="G408" i="29"/>
  <c r="E408" i="29"/>
  <c r="S408" i="29"/>
  <c r="AV440" i="4"/>
  <c r="AX440" i="4" s="1"/>
  <c r="Y442" i="4"/>
  <c r="AG442" i="4" s="1"/>
  <c r="Z442" i="4"/>
  <c r="AH442" i="4" s="1"/>
  <c r="AC442" i="4"/>
  <c r="BG442" i="4" s="1"/>
  <c r="AF442" i="4"/>
  <c r="AD442" i="4"/>
  <c r="AI442" i="4" s="1"/>
  <c r="AE442" i="4"/>
  <c r="AJ442" i="4" s="1"/>
  <c r="AK441" i="4"/>
  <c r="AN441" i="4"/>
  <c r="BE439" i="4"/>
  <c r="BF439" i="4" s="1"/>
  <c r="AW443" i="4" l="1"/>
  <c r="AO441" i="4"/>
  <c r="BP445" i="4"/>
  <c r="BM446" i="4"/>
  <c r="B445" i="4"/>
  <c r="N26" i="17"/>
  <c r="P407" i="29"/>
  <c r="V407" i="29"/>
  <c r="W407" i="29" s="1"/>
  <c r="BH442" i="4"/>
  <c r="AV441" i="4"/>
  <c r="AX441" i="4" s="1"/>
  <c r="AK442" i="4"/>
  <c r="AN442" i="4"/>
  <c r="BE440" i="4"/>
  <c r="BF440" i="4" s="1"/>
  <c r="R409" i="29"/>
  <c r="Q409" i="29"/>
  <c r="S409" i="29"/>
  <c r="T409" i="29"/>
  <c r="U409" i="29"/>
  <c r="G409" i="29"/>
  <c r="E409" i="29"/>
  <c r="BN444" i="4"/>
  <c r="BO444" i="4"/>
  <c r="Z407" i="29"/>
  <c r="O408" i="29"/>
  <c r="AI410" i="29"/>
  <c r="B410" i="29"/>
  <c r="AD411" i="29"/>
  <c r="AY444" i="4"/>
  <c r="BC444" i="4"/>
  <c r="BB444" i="4"/>
  <c r="BD444" i="4"/>
  <c r="N444" i="4"/>
  <c r="O444" i="4"/>
  <c r="M444" i="4"/>
  <c r="AZ444" i="4"/>
  <c r="F444" i="4"/>
  <c r="BA444" i="4"/>
  <c r="K444" i="4"/>
  <c r="P444" i="4"/>
  <c r="Q444" i="4"/>
  <c r="R444" i="4"/>
  <c r="AM444" i="4"/>
  <c r="AE443" i="4"/>
  <c r="AJ443" i="4" s="1"/>
  <c r="Y443" i="4"/>
  <c r="AG443" i="4" s="1"/>
  <c r="AD443" i="4"/>
  <c r="AI443" i="4" s="1"/>
  <c r="AC443" i="4"/>
  <c r="BG443" i="4" s="1"/>
  <c r="AF443" i="4"/>
  <c r="Z443" i="4"/>
  <c r="AH443" i="4" s="1"/>
  <c r="AE409" i="29"/>
  <c r="AF409" i="29"/>
  <c r="J408" i="29"/>
  <c r="Y408" i="29" s="1"/>
  <c r="I408" i="29"/>
  <c r="K408" i="29" s="1"/>
  <c r="N408" i="29" s="1"/>
  <c r="AV442" i="4" l="1"/>
  <c r="AX442" i="4" s="1"/>
  <c r="O409" i="29"/>
  <c r="P408" i="29"/>
  <c r="V408" i="29"/>
  <c r="W408" i="29" s="1"/>
  <c r="I409" i="29"/>
  <c r="K409" i="29" s="1"/>
  <c r="N409" i="29" s="1"/>
  <c r="J409" i="29"/>
  <c r="Y409" i="29" s="1"/>
  <c r="AW444" i="4"/>
  <c r="AI411" i="29"/>
  <c r="B411" i="29"/>
  <c r="AD412" i="29"/>
  <c r="Z444" i="4"/>
  <c r="AH444" i="4" s="1"/>
  <c r="AC444" i="4"/>
  <c r="BG444" i="4" s="1"/>
  <c r="AD444" i="4"/>
  <c r="AI444" i="4" s="1"/>
  <c r="AF444" i="4"/>
  <c r="Y444" i="4"/>
  <c r="AG444" i="4" s="1"/>
  <c r="AE444" i="4"/>
  <c r="AJ444" i="4" s="1"/>
  <c r="BE442" i="4"/>
  <c r="BF442" i="4" s="1"/>
  <c r="AO442" i="4"/>
  <c r="BH443" i="4"/>
  <c r="S410" i="29"/>
  <c r="T410" i="29"/>
  <c r="U410" i="29"/>
  <c r="G410" i="29"/>
  <c r="Q410" i="29"/>
  <c r="E410" i="29"/>
  <c r="R410" i="29"/>
  <c r="Z408" i="29"/>
  <c r="AM445" i="4"/>
  <c r="O445" i="4"/>
  <c r="M445" i="4"/>
  <c r="N445" i="4"/>
  <c r="BC445" i="4"/>
  <c r="F445" i="4"/>
  <c r="AY445" i="4"/>
  <c r="BB445" i="4"/>
  <c r="BA445" i="4"/>
  <c r="AZ445" i="4"/>
  <c r="BD445" i="4"/>
  <c r="R445" i="4"/>
  <c r="P445" i="4"/>
  <c r="K445" i="4"/>
  <c r="Q445" i="4"/>
  <c r="AE410" i="29"/>
  <c r="AF410" i="29"/>
  <c r="BE441" i="4"/>
  <c r="BF441" i="4" s="1"/>
  <c r="B446" i="4"/>
  <c r="BM447" i="4"/>
  <c r="BP446" i="4"/>
  <c r="AK443" i="4"/>
  <c r="AN443" i="4"/>
  <c r="BO445" i="4"/>
  <c r="BN445" i="4"/>
  <c r="Z409" i="29" l="1"/>
  <c r="BH444" i="4"/>
  <c r="AV443" i="4"/>
  <c r="AX443" i="4" s="1"/>
  <c r="P409" i="29"/>
  <c r="V409" i="29"/>
  <c r="W409" i="29" s="1"/>
  <c r="AK444" i="4"/>
  <c r="AN444" i="4"/>
  <c r="AI412" i="29"/>
  <c r="AD413" i="29"/>
  <c r="B412" i="29"/>
  <c r="Z445" i="4"/>
  <c r="AH445" i="4" s="1"/>
  <c r="Y445" i="4"/>
  <c r="AG445" i="4" s="1"/>
  <c r="AD445" i="4"/>
  <c r="AI445" i="4" s="1"/>
  <c r="AF445" i="4"/>
  <c r="AE445" i="4"/>
  <c r="AJ445" i="4" s="1"/>
  <c r="AC445" i="4"/>
  <c r="BG445" i="4" s="1"/>
  <c r="BO446" i="4"/>
  <c r="BN446" i="4"/>
  <c r="AW445" i="4"/>
  <c r="G411" i="29"/>
  <c r="T411" i="29"/>
  <c r="Q411" i="29"/>
  <c r="U411" i="29"/>
  <c r="S411" i="29"/>
  <c r="R411" i="29"/>
  <c r="E411" i="29"/>
  <c r="B447" i="4"/>
  <c r="BM448" i="4"/>
  <c r="BP447" i="4"/>
  <c r="AO443" i="4"/>
  <c r="N446" i="4"/>
  <c r="K446" i="4"/>
  <c r="M446" i="4"/>
  <c r="O446" i="4"/>
  <c r="Q446" i="4"/>
  <c r="R446" i="4"/>
  <c r="P446" i="4"/>
  <c r="AM446" i="4"/>
  <c r="BA446" i="4"/>
  <c r="BD446" i="4"/>
  <c r="F446" i="4"/>
  <c r="BC446" i="4"/>
  <c r="AZ446" i="4"/>
  <c r="AY446" i="4"/>
  <c r="BB446" i="4"/>
  <c r="I410" i="29"/>
  <c r="K410" i="29" s="1"/>
  <c r="N410" i="29" s="1"/>
  <c r="J410" i="29"/>
  <c r="Y410" i="29" s="1"/>
  <c r="O410" i="29"/>
  <c r="AF411" i="29"/>
  <c r="AE411" i="29"/>
  <c r="BE443" i="4" l="1"/>
  <c r="BF443" i="4" s="1"/>
  <c r="AV444" i="4"/>
  <c r="V410" i="29"/>
  <c r="W410" i="29" s="1"/>
  <c r="P410" i="29"/>
  <c r="AZ447" i="4"/>
  <c r="BA447" i="4"/>
  <c r="K447" i="4"/>
  <c r="N447" i="4"/>
  <c r="AM447" i="4"/>
  <c r="M447" i="4"/>
  <c r="Q447" i="4"/>
  <c r="O447" i="4"/>
  <c r="R447" i="4"/>
  <c r="P447" i="4"/>
  <c r="AY447" i="4"/>
  <c r="BC447" i="4"/>
  <c r="F447" i="4"/>
  <c r="BD447" i="4"/>
  <c r="BB447" i="4"/>
  <c r="I411" i="29"/>
  <c r="K411" i="29" s="1"/>
  <c r="N411" i="29" s="1"/>
  <c r="J411" i="29"/>
  <c r="Y411" i="29" s="1"/>
  <c r="O411" i="29"/>
  <c r="E412" i="29"/>
  <c r="U412" i="29"/>
  <c r="G412" i="29"/>
  <c r="R412" i="29"/>
  <c r="Q412" i="29"/>
  <c r="S412" i="29"/>
  <c r="T412" i="29"/>
  <c r="Z410" i="29"/>
  <c r="BN447" i="4"/>
  <c r="BO447" i="4"/>
  <c r="BH445" i="4"/>
  <c r="AI413" i="29"/>
  <c r="AD414" i="29"/>
  <c r="B413" i="29"/>
  <c r="AW446" i="4"/>
  <c r="BM449" i="4"/>
  <c r="B448" i="4"/>
  <c r="BP448" i="4"/>
  <c r="AK445" i="4"/>
  <c r="AN445" i="4"/>
  <c r="AE412" i="29"/>
  <c r="AF412" i="29"/>
  <c r="AE446" i="4"/>
  <c r="AJ446" i="4" s="1"/>
  <c r="Z446" i="4"/>
  <c r="AH446" i="4" s="1"/>
  <c r="AC446" i="4"/>
  <c r="BG446" i="4" s="1"/>
  <c r="AD446" i="4"/>
  <c r="AI446" i="4" s="1"/>
  <c r="AF446" i="4"/>
  <c r="Y446" i="4"/>
  <c r="AG446" i="4" s="1"/>
  <c r="AO444" i="4"/>
  <c r="BE444" i="4" l="1"/>
  <c r="BF444" i="4" s="1"/>
  <c r="AX444" i="4"/>
  <c r="AO445" i="4"/>
  <c r="AV445" i="4"/>
  <c r="AX445" i="4" s="1"/>
  <c r="BH446" i="4"/>
  <c r="BM450" i="4"/>
  <c r="BP449" i="4"/>
  <c r="B449" i="4"/>
  <c r="O412" i="29"/>
  <c r="AW447" i="4"/>
  <c r="BD448" i="4"/>
  <c r="BA448" i="4"/>
  <c r="F448" i="4"/>
  <c r="AZ448" i="4"/>
  <c r="BB448" i="4"/>
  <c r="BC448" i="4"/>
  <c r="AY448" i="4"/>
  <c r="K448" i="4"/>
  <c r="M448" i="4"/>
  <c r="O448" i="4"/>
  <c r="N448" i="4"/>
  <c r="Q448" i="4"/>
  <c r="AM448" i="4"/>
  <c r="P448" i="4"/>
  <c r="R448" i="4"/>
  <c r="AF413" i="29"/>
  <c r="AE413" i="29"/>
  <c r="AK446" i="4"/>
  <c r="AN446" i="4"/>
  <c r="T413" i="29"/>
  <c r="R413" i="29"/>
  <c r="U413" i="29"/>
  <c r="S413" i="29"/>
  <c r="E413" i="29"/>
  <c r="G413" i="29"/>
  <c r="Q413" i="29"/>
  <c r="Z447" i="4"/>
  <c r="AH447" i="4" s="1"/>
  <c r="AE447" i="4"/>
  <c r="AJ447" i="4" s="1"/>
  <c r="AD447" i="4"/>
  <c r="AI447" i="4" s="1"/>
  <c r="AF447" i="4"/>
  <c r="AC447" i="4"/>
  <c r="BG447" i="4" s="1"/>
  <c r="Y447" i="4"/>
  <c r="AG447" i="4" s="1"/>
  <c r="J412" i="29"/>
  <c r="Y412" i="29" s="1"/>
  <c r="I412" i="29"/>
  <c r="K412" i="29" s="1"/>
  <c r="N412" i="29" s="1"/>
  <c r="BN448" i="4"/>
  <c r="BO448" i="4"/>
  <c r="AI414" i="29"/>
  <c r="AD415" i="29"/>
  <c r="B414" i="29"/>
  <c r="P411" i="29"/>
  <c r="V411" i="29"/>
  <c r="W411" i="29" s="1"/>
  <c r="Z411" i="29"/>
  <c r="BE445" i="4" l="1"/>
  <c r="BF445" i="4" s="1"/>
  <c r="AV446" i="4"/>
  <c r="P412" i="29"/>
  <c r="V412" i="29"/>
  <c r="W412" i="29" s="1"/>
  <c r="AI415" i="29"/>
  <c r="AD416" i="29"/>
  <c r="B415" i="29"/>
  <c r="AW448" i="4"/>
  <c r="BO449" i="4"/>
  <c r="BN449" i="4"/>
  <c r="AE414" i="29"/>
  <c r="AF414" i="29"/>
  <c r="AD448" i="4"/>
  <c r="AI448" i="4" s="1"/>
  <c r="Z448" i="4"/>
  <c r="AH448" i="4" s="1"/>
  <c r="AE448" i="4"/>
  <c r="AJ448" i="4" s="1"/>
  <c r="Y448" i="4"/>
  <c r="AG448" i="4" s="1"/>
  <c r="AF448" i="4"/>
  <c r="AC448" i="4"/>
  <c r="BG448" i="4" s="1"/>
  <c r="AO446" i="4"/>
  <c r="BP450" i="4"/>
  <c r="B450" i="4"/>
  <c r="BM451" i="4"/>
  <c r="O413" i="29"/>
  <c r="BH447" i="4"/>
  <c r="U414" i="29"/>
  <c r="E414" i="29"/>
  <c r="G414" i="29"/>
  <c r="S414" i="29"/>
  <c r="Q414" i="29"/>
  <c r="T414" i="29"/>
  <c r="R414" i="29"/>
  <c r="AK447" i="4"/>
  <c r="AN447" i="4"/>
  <c r="I413" i="29"/>
  <c r="K413" i="29" s="1"/>
  <c r="N413" i="29" s="1"/>
  <c r="J413" i="29"/>
  <c r="Y413" i="29" s="1"/>
  <c r="Z412" i="29"/>
  <c r="N449" i="4"/>
  <c r="AM449" i="4"/>
  <c r="M449" i="4"/>
  <c r="O449" i="4"/>
  <c r="BC449" i="4"/>
  <c r="AY449" i="4"/>
  <c r="F449" i="4"/>
  <c r="BB449" i="4"/>
  <c r="BD449" i="4"/>
  <c r="AZ449" i="4"/>
  <c r="BA449" i="4"/>
  <c r="P449" i="4"/>
  <c r="Q449" i="4"/>
  <c r="K449" i="4"/>
  <c r="R449" i="4"/>
  <c r="BE446" i="4" l="1"/>
  <c r="BF446" i="4" s="1"/>
  <c r="AX446" i="4"/>
  <c r="AO447" i="4"/>
  <c r="AV447" i="4"/>
  <c r="V413" i="29"/>
  <c r="W413" i="29" s="1"/>
  <c r="P413" i="29"/>
  <c r="BH448" i="4"/>
  <c r="O414" i="29"/>
  <c r="BP451" i="4"/>
  <c r="BM452" i="4"/>
  <c r="B451" i="4"/>
  <c r="AK448" i="4"/>
  <c r="AN448" i="4"/>
  <c r="S415" i="29"/>
  <c r="U415" i="29"/>
  <c r="E415" i="29"/>
  <c r="T415" i="29"/>
  <c r="G415" i="29"/>
  <c r="Q415" i="29"/>
  <c r="R415" i="29"/>
  <c r="AW449" i="4"/>
  <c r="R450" i="4"/>
  <c r="Q450" i="4"/>
  <c r="AM450" i="4"/>
  <c r="P450" i="4"/>
  <c r="BA450" i="4"/>
  <c r="BD450" i="4"/>
  <c r="F450" i="4"/>
  <c r="N450" i="4"/>
  <c r="K450" i="4"/>
  <c r="O450" i="4"/>
  <c r="M450" i="4"/>
  <c r="BC450" i="4"/>
  <c r="AZ450" i="4"/>
  <c r="BB450" i="4"/>
  <c r="AY450" i="4"/>
  <c r="AD449" i="4"/>
  <c r="AI449" i="4" s="1"/>
  <c r="AF449" i="4"/>
  <c r="Y449" i="4"/>
  <c r="AG449" i="4" s="1"/>
  <c r="Z449" i="4"/>
  <c r="AH449" i="4" s="1"/>
  <c r="AE449" i="4"/>
  <c r="AJ449" i="4" s="1"/>
  <c r="AC449" i="4"/>
  <c r="BG449" i="4" s="1"/>
  <c r="AI416" i="29"/>
  <c r="B416" i="29"/>
  <c r="AD417" i="29"/>
  <c r="Z413" i="29"/>
  <c r="BO450" i="4"/>
  <c r="BN450" i="4"/>
  <c r="J414" i="29"/>
  <c r="Y414" i="29" s="1"/>
  <c r="I414" i="29"/>
  <c r="K414" i="29" s="1"/>
  <c r="N414" i="29" s="1"/>
  <c r="AE415" i="29"/>
  <c r="AF415" i="29"/>
  <c r="BE447" i="4" l="1"/>
  <c r="BF447" i="4" s="1"/>
  <c r="AX447" i="4"/>
  <c r="AV448" i="4"/>
  <c r="AX448" i="4" s="1"/>
  <c r="BH449" i="4"/>
  <c r="V414" i="29"/>
  <c r="W414" i="29" s="1"/>
  <c r="P414" i="29"/>
  <c r="AI417" i="29"/>
  <c r="AD418" i="29"/>
  <c r="B417" i="29"/>
  <c r="AK449" i="4"/>
  <c r="AN449" i="4"/>
  <c r="BO451" i="4"/>
  <c r="BN451" i="4"/>
  <c r="R416" i="29"/>
  <c r="E416" i="29"/>
  <c r="S416" i="29"/>
  <c r="U416" i="29"/>
  <c r="T416" i="29"/>
  <c r="Q416" i="29"/>
  <c r="G416" i="29"/>
  <c r="AE416" i="29"/>
  <c r="AF416" i="29"/>
  <c r="I415" i="29"/>
  <c r="K415" i="29" s="1"/>
  <c r="N415" i="29" s="1"/>
  <c r="J415" i="29"/>
  <c r="Y415" i="29" s="1"/>
  <c r="AD450" i="4"/>
  <c r="AI450" i="4" s="1"/>
  <c r="AC450" i="4"/>
  <c r="BG450" i="4" s="1"/>
  <c r="Z450" i="4"/>
  <c r="AH450" i="4" s="1"/>
  <c r="AF450" i="4"/>
  <c r="AE450" i="4"/>
  <c r="AJ450" i="4" s="1"/>
  <c r="Y450" i="4"/>
  <c r="AG450" i="4" s="1"/>
  <c r="AW450" i="4"/>
  <c r="AO448" i="4"/>
  <c r="Z414" i="29"/>
  <c r="O451" i="4"/>
  <c r="Q451" i="4"/>
  <c r="P451" i="4"/>
  <c r="AM451" i="4"/>
  <c r="BC451" i="4"/>
  <c r="F451" i="4"/>
  <c r="BD451" i="4"/>
  <c r="BB451" i="4"/>
  <c r="AZ451" i="4"/>
  <c r="BA451" i="4"/>
  <c r="R451" i="4"/>
  <c r="AY451" i="4"/>
  <c r="K451" i="4"/>
  <c r="N451" i="4"/>
  <c r="M451" i="4"/>
  <c r="O415" i="29"/>
  <c r="BP452" i="4"/>
  <c r="B452" i="4"/>
  <c r="BM453" i="4"/>
  <c r="BE448" i="4" l="1"/>
  <c r="BF448" i="4" s="1"/>
  <c r="BH450" i="4"/>
  <c r="AO449" i="4"/>
  <c r="N18" i="17"/>
  <c r="AV449" i="4"/>
  <c r="BP453" i="4"/>
  <c r="B453" i="4"/>
  <c r="BM454" i="4"/>
  <c r="BN452" i="4"/>
  <c r="BO452" i="4"/>
  <c r="T417" i="29"/>
  <c r="U417" i="29"/>
  <c r="E417" i="29"/>
  <c r="S417" i="29"/>
  <c r="G417" i="29"/>
  <c r="R417" i="29"/>
  <c r="Q417" i="29"/>
  <c r="V415" i="29"/>
  <c r="W415" i="29" s="1"/>
  <c r="P415" i="29"/>
  <c r="AN450" i="4"/>
  <c r="AI418" i="29"/>
  <c r="B418" i="29"/>
  <c r="AD419" i="29"/>
  <c r="AW451" i="4"/>
  <c r="AF451" i="4"/>
  <c r="Y451" i="4"/>
  <c r="AG451" i="4" s="1"/>
  <c r="AE451" i="4"/>
  <c r="AJ451" i="4" s="1"/>
  <c r="AD451" i="4"/>
  <c r="AI451" i="4" s="1"/>
  <c r="Z451" i="4"/>
  <c r="AH451" i="4" s="1"/>
  <c r="AC451" i="4"/>
  <c r="BG451" i="4" s="1"/>
  <c r="AK450" i="4"/>
  <c r="AF417" i="29"/>
  <c r="AE417" i="29"/>
  <c r="Z415" i="29"/>
  <c r="F452" i="4"/>
  <c r="K452" i="4"/>
  <c r="BA452" i="4"/>
  <c r="M452" i="4"/>
  <c r="O452" i="4"/>
  <c r="AZ452" i="4"/>
  <c r="N452" i="4"/>
  <c r="BB452" i="4"/>
  <c r="BC452" i="4"/>
  <c r="BD452" i="4"/>
  <c r="AY452" i="4"/>
  <c r="R452" i="4"/>
  <c r="Q452" i="4"/>
  <c r="AM452" i="4"/>
  <c r="P452" i="4"/>
  <c r="I416" i="29"/>
  <c r="K416" i="29" s="1"/>
  <c r="N416" i="29" s="1"/>
  <c r="J416" i="29"/>
  <c r="Y416" i="29" s="1"/>
  <c r="O416" i="29"/>
  <c r="BE449" i="4" l="1"/>
  <c r="BF449" i="4" s="1"/>
  <c r="AX449" i="4"/>
  <c r="AV450" i="4"/>
  <c r="N19" i="17"/>
  <c r="V416" i="29"/>
  <c r="W416" i="29" s="1"/>
  <c r="P416" i="29"/>
  <c r="I417" i="29"/>
  <c r="K417" i="29" s="1"/>
  <c r="N417" i="29" s="1"/>
  <c r="J417" i="29"/>
  <c r="Y417" i="29" s="1"/>
  <c r="AI419" i="29"/>
  <c r="B419" i="29"/>
  <c r="AD420" i="29"/>
  <c r="R453" i="4"/>
  <c r="AM453" i="4"/>
  <c r="Q453" i="4"/>
  <c r="P453" i="4"/>
  <c r="BD453" i="4"/>
  <c r="AZ453" i="4"/>
  <c r="K453" i="4"/>
  <c r="BA453" i="4"/>
  <c r="O453" i="4"/>
  <c r="BB453" i="4"/>
  <c r="M453" i="4"/>
  <c r="N453" i="4"/>
  <c r="BC453" i="4"/>
  <c r="F453" i="4"/>
  <c r="AY453" i="4"/>
  <c r="U418" i="29"/>
  <c r="G418" i="29"/>
  <c r="E418" i="29"/>
  <c r="S418" i="29"/>
  <c r="Q418" i="29"/>
  <c r="T418" i="29"/>
  <c r="R418" i="29"/>
  <c r="O417" i="29"/>
  <c r="BO453" i="4"/>
  <c r="BN453" i="4"/>
  <c r="BH451" i="4"/>
  <c r="AK451" i="4"/>
  <c r="AN451" i="4"/>
  <c r="AF418" i="29"/>
  <c r="AE418" i="29"/>
  <c r="AW452" i="4"/>
  <c r="Z416" i="29"/>
  <c r="AO450" i="4"/>
  <c r="AF452" i="4"/>
  <c r="Y452" i="4"/>
  <c r="AG452" i="4" s="1"/>
  <c r="AD452" i="4"/>
  <c r="AI452" i="4" s="1"/>
  <c r="AE452" i="4"/>
  <c r="AJ452" i="4" s="1"/>
  <c r="AC452" i="4"/>
  <c r="BG452" i="4" s="1"/>
  <c r="Z452" i="4"/>
  <c r="AH452" i="4" s="1"/>
  <c r="BM455" i="4"/>
  <c r="BP454" i="4"/>
  <c r="B454" i="4"/>
  <c r="BE450" i="4" l="1"/>
  <c r="BF450" i="4" s="1"/>
  <c r="AX450" i="4"/>
  <c r="AV451" i="4"/>
  <c r="AX451" i="4" s="1"/>
  <c r="U419" i="29"/>
  <c r="Q419" i="29"/>
  <c r="T419" i="29"/>
  <c r="S419" i="29"/>
  <c r="G419" i="29"/>
  <c r="E419" i="29"/>
  <c r="R419" i="29"/>
  <c r="BO454" i="4"/>
  <c r="BN454" i="4"/>
  <c r="I418" i="29"/>
  <c r="K418" i="29" s="1"/>
  <c r="N418" i="29" s="1"/>
  <c r="J418" i="29"/>
  <c r="Y418" i="29" s="1"/>
  <c r="O418" i="29"/>
  <c r="AW453" i="4"/>
  <c r="AE419" i="29"/>
  <c r="AF419" i="29"/>
  <c r="F454" i="4"/>
  <c r="K454" i="4"/>
  <c r="BA454" i="4"/>
  <c r="O454" i="4"/>
  <c r="M454" i="4"/>
  <c r="N454" i="4"/>
  <c r="AZ454" i="4"/>
  <c r="R454" i="4"/>
  <c r="Q454" i="4"/>
  <c r="P454" i="4"/>
  <c r="AM454" i="4"/>
  <c r="BB454" i="4"/>
  <c r="AY454" i="4"/>
  <c r="BC454" i="4"/>
  <c r="BD454" i="4"/>
  <c r="AK452" i="4"/>
  <c r="AN452" i="4"/>
  <c r="P417" i="29"/>
  <c r="V417" i="29"/>
  <c r="W417" i="29" s="1"/>
  <c r="BM456" i="4"/>
  <c r="B455" i="4"/>
  <c r="BP455" i="4"/>
  <c r="BH452" i="4"/>
  <c r="AO451" i="4"/>
  <c r="AD453" i="4"/>
  <c r="AI453" i="4" s="1"/>
  <c r="AF453" i="4"/>
  <c r="Y453" i="4"/>
  <c r="AG453" i="4" s="1"/>
  <c r="AC453" i="4"/>
  <c r="BG453" i="4" s="1"/>
  <c r="Z453" i="4"/>
  <c r="AH453" i="4" s="1"/>
  <c r="AE453" i="4"/>
  <c r="AJ453" i="4" s="1"/>
  <c r="Z417" i="29"/>
  <c r="AI420" i="29"/>
  <c r="AD421" i="29"/>
  <c r="B420" i="29"/>
  <c r="BH453" i="4" l="1"/>
  <c r="AV452" i="4"/>
  <c r="AX452" i="4" s="1"/>
  <c r="AO452" i="4"/>
  <c r="BE451" i="4"/>
  <c r="BF451" i="4" s="1"/>
  <c r="N42" i="17"/>
  <c r="AW454" i="4"/>
  <c r="AF454" i="4"/>
  <c r="AE454" i="4"/>
  <c r="AJ454" i="4" s="1"/>
  <c r="Z454" i="4"/>
  <c r="AH454" i="4" s="1"/>
  <c r="Y454" i="4"/>
  <c r="AG454" i="4" s="1"/>
  <c r="AC454" i="4"/>
  <c r="BG454" i="4" s="1"/>
  <c r="AD454" i="4"/>
  <c r="AI454" i="4" s="1"/>
  <c r="O419" i="29"/>
  <c r="AI421" i="29"/>
  <c r="B421" i="29"/>
  <c r="AD422" i="29"/>
  <c r="AK453" i="4"/>
  <c r="AN453" i="4"/>
  <c r="Q455" i="4"/>
  <c r="AM455" i="4"/>
  <c r="P455" i="4"/>
  <c r="R455" i="4"/>
  <c r="O455" i="4"/>
  <c r="N455" i="4"/>
  <c r="BB455" i="4"/>
  <c r="M455" i="4"/>
  <c r="AY455" i="4"/>
  <c r="K455" i="4"/>
  <c r="F455" i="4"/>
  <c r="BD455" i="4"/>
  <c r="AZ455" i="4"/>
  <c r="BC455" i="4"/>
  <c r="BA455" i="4"/>
  <c r="AF420" i="29"/>
  <c r="AE420" i="29"/>
  <c r="BM457" i="4"/>
  <c r="BM461" i="4" s="1"/>
  <c r="B456" i="4"/>
  <c r="BP456" i="4"/>
  <c r="U420" i="29"/>
  <c r="G420" i="29"/>
  <c r="Q420" i="29"/>
  <c r="T420" i="29"/>
  <c r="R420" i="29"/>
  <c r="E420" i="29"/>
  <c r="S420" i="29"/>
  <c r="V418" i="29"/>
  <c r="W418" i="29" s="1"/>
  <c r="P418" i="29"/>
  <c r="BN455" i="4"/>
  <c r="BO455" i="4"/>
  <c r="J419" i="29"/>
  <c r="Y419" i="29" s="1"/>
  <c r="I419" i="29"/>
  <c r="K419" i="29" s="1"/>
  <c r="N419" i="29" s="1"/>
  <c r="Z418" i="29"/>
  <c r="Z419" i="29" l="1"/>
  <c r="B461" i="4"/>
  <c r="BP461" i="4"/>
  <c r="BE452" i="4"/>
  <c r="BF452" i="4" s="1"/>
  <c r="AO453" i="4"/>
  <c r="AW455" i="4"/>
  <c r="V419" i="29"/>
  <c r="W419" i="29" s="1"/>
  <c r="P419" i="29"/>
  <c r="BM458" i="4"/>
  <c r="BM462" i="4" s="1"/>
  <c r="BP457" i="4"/>
  <c r="B457" i="4"/>
  <c r="AK454" i="4"/>
  <c r="AN454" i="4"/>
  <c r="AE455" i="4"/>
  <c r="AJ455" i="4" s="1"/>
  <c r="AD455" i="4"/>
  <c r="AI455" i="4" s="1"/>
  <c r="Y455" i="4"/>
  <c r="AG455" i="4" s="1"/>
  <c r="AC455" i="4"/>
  <c r="BG455" i="4" s="1"/>
  <c r="AF455" i="4"/>
  <c r="Z455" i="4"/>
  <c r="AH455" i="4" s="1"/>
  <c r="AV453" i="4"/>
  <c r="AX453" i="4" s="1"/>
  <c r="AI422" i="29"/>
  <c r="B422" i="29"/>
  <c r="AD423" i="29"/>
  <c r="BN456" i="4"/>
  <c r="BO456" i="4"/>
  <c r="I420" i="29"/>
  <c r="K420" i="29" s="1"/>
  <c r="N420" i="29" s="1"/>
  <c r="J420" i="29"/>
  <c r="Y420" i="29" s="1"/>
  <c r="U421" i="29"/>
  <c r="S421" i="29"/>
  <c r="G421" i="29"/>
  <c r="T421" i="29"/>
  <c r="R421" i="29"/>
  <c r="Q421" i="29"/>
  <c r="E421" i="29"/>
  <c r="BH454" i="4"/>
  <c r="O420" i="29"/>
  <c r="M456" i="4"/>
  <c r="N456" i="4"/>
  <c r="AM456" i="4"/>
  <c r="O456" i="4"/>
  <c r="K456" i="4"/>
  <c r="R456" i="4"/>
  <c r="P456" i="4"/>
  <c r="Q456" i="4"/>
  <c r="BB456" i="4"/>
  <c r="AY456" i="4"/>
  <c r="BC456" i="4"/>
  <c r="AZ456" i="4"/>
  <c r="F456" i="4"/>
  <c r="BA456" i="4"/>
  <c r="BD456" i="4"/>
  <c r="AE421" i="29"/>
  <c r="AF421" i="29"/>
  <c r="G22" i="43"/>
  <c r="C22" i="43"/>
  <c r="F22" i="43"/>
  <c r="E22" i="43"/>
  <c r="H22" i="43"/>
  <c r="C21" i="43"/>
  <c r="D21" i="43"/>
  <c r="C31" i="43"/>
  <c r="H31" i="43"/>
  <c r="G31" i="43"/>
  <c r="F31" i="43"/>
  <c r="D31" i="43"/>
  <c r="E31" i="43"/>
  <c r="G21" i="43"/>
  <c r="H21" i="43"/>
  <c r="F21" i="43"/>
  <c r="D41" i="43"/>
  <c r="F42" i="43"/>
  <c r="G42" i="43"/>
  <c r="D42" i="43"/>
  <c r="E41" i="43"/>
  <c r="E42" i="43"/>
  <c r="F41" i="43"/>
  <c r="H41" i="43"/>
  <c r="C41" i="43"/>
  <c r="C42" i="43"/>
  <c r="F32" i="43"/>
  <c r="C32" i="43"/>
  <c r="E32" i="43"/>
  <c r="D32" i="43"/>
  <c r="G32" i="43"/>
  <c r="H32" i="43"/>
  <c r="H42" i="43"/>
  <c r="BO461" i="4" l="1"/>
  <c r="BN461" i="4"/>
  <c r="BC461" i="4"/>
  <c r="AY461" i="4"/>
  <c r="P461" i="4"/>
  <c r="K461" i="4"/>
  <c r="BB461" i="4"/>
  <c r="O461" i="4"/>
  <c r="F461" i="4"/>
  <c r="BA461" i="4"/>
  <c r="AM461" i="4"/>
  <c r="R461" i="4"/>
  <c r="N461" i="4"/>
  <c r="BD461" i="4"/>
  <c r="AZ461" i="4"/>
  <c r="Q461" i="4"/>
  <c r="M461" i="4"/>
  <c r="B462" i="4"/>
  <c r="BP462" i="4"/>
  <c r="AO454" i="4"/>
  <c r="BH455" i="4"/>
  <c r="AW456" i="4"/>
  <c r="AV454" i="4"/>
  <c r="AX454" i="4" s="1"/>
  <c r="P420" i="29"/>
  <c r="V420" i="29"/>
  <c r="W420" i="29" s="1"/>
  <c r="AE456" i="4"/>
  <c r="AJ456" i="4" s="1"/>
  <c r="Z456" i="4"/>
  <c r="AH456" i="4" s="1"/>
  <c r="AF456" i="4"/>
  <c r="AD456" i="4"/>
  <c r="AI456" i="4" s="1"/>
  <c r="Y456" i="4"/>
  <c r="AG456" i="4" s="1"/>
  <c r="AC456" i="4"/>
  <c r="BG456" i="4" s="1"/>
  <c r="U422" i="29"/>
  <c r="S422" i="29"/>
  <c r="R422" i="29"/>
  <c r="G422" i="29"/>
  <c r="Q422" i="29"/>
  <c r="E422" i="29"/>
  <c r="T422" i="29"/>
  <c r="BB457" i="4"/>
  <c r="AZ457" i="4"/>
  <c r="BD457" i="4"/>
  <c r="BA457" i="4"/>
  <c r="K457" i="4"/>
  <c r="M457" i="4"/>
  <c r="O457" i="4"/>
  <c r="N457" i="4"/>
  <c r="R457" i="4"/>
  <c r="AM457" i="4"/>
  <c r="P457" i="4"/>
  <c r="Q457" i="4"/>
  <c r="BC457" i="4"/>
  <c r="AY457" i="4"/>
  <c r="F457" i="4"/>
  <c r="N44" i="17"/>
  <c r="AF422" i="29"/>
  <c r="AE422" i="29"/>
  <c r="BN457" i="4"/>
  <c r="BO457" i="4"/>
  <c r="BE453" i="4"/>
  <c r="BF453" i="4" s="1"/>
  <c r="AK455" i="4"/>
  <c r="AN455" i="4"/>
  <c r="BM459" i="4"/>
  <c r="BM463" i="4" s="1"/>
  <c r="BP458" i="4"/>
  <c r="B458" i="4"/>
  <c r="I421" i="29"/>
  <c r="K421" i="29" s="1"/>
  <c r="N421" i="29" s="1"/>
  <c r="J421" i="29"/>
  <c r="Y421" i="29" s="1"/>
  <c r="Z420" i="29"/>
  <c r="O421" i="29"/>
  <c r="AI423" i="29"/>
  <c r="AD424" i="29"/>
  <c r="B423" i="29"/>
  <c r="H24" i="43"/>
  <c r="F46" i="43"/>
  <c r="F24" i="43"/>
  <c r="E33" i="43"/>
  <c r="C46" i="43"/>
  <c r="D46" i="43"/>
  <c r="D33" i="43"/>
  <c r="H33" i="43"/>
  <c r="C33" i="43"/>
  <c r="D19" i="70"/>
  <c r="I19" i="70" s="1"/>
  <c r="J19" i="70" s="1"/>
  <c r="D24" i="70"/>
  <c r="I24" i="70" s="1"/>
  <c r="J24" i="70" s="1"/>
  <c r="D15" i="70"/>
  <c r="I15" i="70" s="1"/>
  <c r="J15" i="70" s="1"/>
  <c r="H46" i="43"/>
  <c r="F33" i="43"/>
  <c r="C24" i="43"/>
  <c r="D20" i="70"/>
  <c r="I20" i="70" s="1"/>
  <c r="J20" i="70" s="1"/>
  <c r="D25" i="70"/>
  <c r="I25" i="70" s="1"/>
  <c r="J25" i="70" s="1"/>
  <c r="D16" i="70"/>
  <c r="I16" i="70" s="1"/>
  <c r="J16" i="70" s="1"/>
  <c r="C72" i="43"/>
  <c r="C78" i="43"/>
  <c r="D78" i="43"/>
  <c r="E78" i="43"/>
  <c r="G78" i="43"/>
  <c r="H78" i="43"/>
  <c r="F78" i="43"/>
  <c r="C73" i="43"/>
  <c r="E73" i="43"/>
  <c r="E122" i="43" s="1"/>
  <c r="H73" i="43"/>
  <c r="H122" i="43" s="1"/>
  <c r="F73" i="43"/>
  <c r="F122" i="43" s="1"/>
  <c r="G73" i="43"/>
  <c r="G122" i="43" s="1"/>
  <c r="F72" i="43"/>
  <c r="G72" i="43"/>
  <c r="D72" i="43"/>
  <c r="C93" i="43"/>
  <c r="D93" i="43"/>
  <c r="D142" i="43" s="1"/>
  <c r="D79" i="43"/>
  <c r="H82" i="43"/>
  <c r="F82" i="43"/>
  <c r="F131" i="43" s="1"/>
  <c r="C82" i="43"/>
  <c r="F79" i="43"/>
  <c r="C79" i="43"/>
  <c r="G79" i="43"/>
  <c r="H79" i="43"/>
  <c r="G82" i="43"/>
  <c r="D82" i="43"/>
  <c r="H72" i="43"/>
  <c r="C92" i="43"/>
  <c r="D92" i="43"/>
  <c r="D141" i="43" s="1"/>
  <c r="E92" i="43"/>
  <c r="E141" i="43" s="1"/>
  <c r="F92" i="43"/>
  <c r="F141" i="43" s="1"/>
  <c r="G92" i="43"/>
  <c r="G93" i="43"/>
  <c r="G142" i="43" s="1"/>
  <c r="F93" i="43"/>
  <c r="F142" i="43" s="1"/>
  <c r="H93" i="43"/>
  <c r="H142" i="43" s="1"/>
  <c r="E83" i="43"/>
  <c r="E132" i="43" s="1"/>
  <c r="F83" i="43"/>
  <c r="H92" i="43"/>
  <c r="H141" i="43" s="1"/>
  <c r="F87" i="43"/>
  <c r="G87" i="43"/>
  <c r="D83" i="43"/>
  <c r="D132" i="43" s="1"/>
  <c r="H83" i="43"/>
  <c r="H132" i="43" s="1"/>
  <c r="C83" i="43"/>
  <c r="D87" i="43"/>
  <c r="E87" i="43"/>
  <c r="C87" i="43"/>
  <c r="H87" i="43"/>
  <c r="E46" i="43"/>
  <c r="G24" i="43"/>
  <c r="G33" i="43"/>
  <c r="D18" i="70"/>
  <c r="I18" i="70" s="1"/>
  <c r="J18" i="70" s="1"/>
  <c r="D23" i="70"/>
  <c r="I23" i="70" s="1"/>
  <c r="J23" i="70" s="1"/>
  <c r="D14" i="70"/>
  <c r="I14" i="70" s="1"/>
  <c r="J14" i="70" s="1"/>
  <c r="D7" i="69"/>
  <c r="I7" i="69" s="1"/>
  <c r="K7" i="69" s="1"/>
  <c r="D22" i="43"/>
  <c r="D24" i="43" s="1"/>
  <c r="D13" i="69"/>
  <c r="I13" i="69" s="1"/>
  <c r="K13" i="69" s="1"/>
  <c r="D14" i="69"/>
  <c r="I14" i="69" s="1"/>
  <c r="K14" i="69" s="1"/>
  <c r="C18" i="70"/>
  <c r="E21" i="43"/>
  <c r="E24" i="43" s="1"/>
  <c r="C23" i="70"/>
  <c r="C14" i="70"/>
  <c r="G41" i="43"/>
  <c r="G46" i="43" s="1"/>
  <c r="AW461" i="4" l="1"/>
  <c r="AF461" i="4"/>
  <c r="Z461" i="4"/>
  <c r="AH461" i="4" s="1"/>
  <c r="AE461" i="4"/>
  <c r="AJ461" i="4" s="1"/>
  <c r="Y461" i="4"/>
  <c r="AG461" i="4" s="1"/>
  <c r="AD461" i="4"/>
  <c r="AI461" i="4" s="1"/>
  <c r="AC461" i="4"/>
  <c r="BG461" i="4" s="1"/>
  <c r="BO462" i="4"/>
  <c r="BN462" i="4"/>
  <c r="BC462" i="4"/>
  <c r="AY462" i="4"/>
  <c r="P462" i="4"/>
  <c r="K462" i="4"/>
  <c r="AZ462" i="4"/>
  <c r="BB462" i="4"/>
  <c r="O462" i="4"/>
  <c r="F462" i="4"/>
  <c r="BA462" i="4"/>
  <c r="AM462" i="4"/>
  <c r="R462" i="4"/>
  <c r="N462" i="4"/>
  <c r="BD462" i="4"/>
  <c r="Q462" i="4"/>
  <c r="M462" i="4"/>
  <c r="B463" i="4"/>
  <c r="BP463" i="4"/>
  <c r="BE454" i="4"/>
  <c r="BF454" i="4" s="1"/>
  <c r="AO455" i="4"/>
  <c r="P421" i="29"/>
  <c r="V421" i="29"/>
  <c r="W421" i="29" s="1"/>
  <c r="AE457" i="4"/>
  <c r="AJ457" i="4" s="1"/>
  <c r="Z457" i="4"/>
  <c r="AH457" i="4" s="1"/>
  <c r="AC457" i="4"/>
  <c r="BG457" i="4" s="1"/>
  <c r="AD457" i="4"/>
  <c r="AI457" i="4" s="1"/>
  <c r="Y457" i="4"/>
  <c r="AG457" i="4" s="1"/>
  <c r="AF457" i="4"/>
  <c r="AW457" i="4"/>
  <c r="T423" i="29"/>
  <c r="U423" i="29"/>
  <c r="R423" i="29"/>
  <c r="S423" i="29"/>
  <c r="E423" i="29"/>
  <c r="Q423" i="29"/>
  <c r="G423" i="29"/>
  <c r="AI424" i="29"/>
  <c r="B424" i="29"/>
  <c r="AD425" i="29"/>
  <c r="Q458" i="4"/>
  <c r="K458" i="4"/>
  <c r="P458" i="4"/>
  <c r="R458" i="4"/>
  <c r="AY458" i="4"/>
  <c r="BB458" i="4"/>
  <c r="BC458" i="4"/>
  <c r="AZ458" i="4"/>
  <c r="M458" i="4"/>
  <c r="O458" i="4"/>
  <c r="N458" i="4"/>
  <c r="AM458" i="4"/>
  <c r="F458" i="4"/>
  <c r="BA458" i="4"/>
  <c r="BD458" i="4"/>
  <c r="E16" i="43"/>
  <c r="D16" i="43"/>
  <c r="F16" i="43"/>
  <c r="G16" i="43"/>
  <c r="C16" i="43"/>
  <c r="H16" i="43"/>
  <c r="AV455" i="4"/>
  <c r="AX455" i="4" s="1"/>
  <c r="J422" i="29"/>
  <c r="Y422" i="29" s="1"/>
  <c r="I422" i="29"/>
  <c r="K422" i="29" s="1"/>
  <c r="N422" i="29" s="1"/>
  <c r="O422" i="29"/>
  <c r="AK456" i="4"/>
  <c r="AN456" i="4"/>
  <c r="AF423" i="29"/>
  <c r="AE423" i="29"/>
  <c r="BO458" i="4"/>
  <c r="BN458" i="4"/>
  <c r="Z421" i="29"/>
  <c r="BM460" i="4"/>
  <c r="BP459" i="4"/>
  <c r="B459" i="4"/>
  <c r="BH456" i="4"/>
  <c r="G75" i="43"/>
  <c r="G121" i="43"/>
  <c r="G124" i="43" s="1"/>
  <c r="C132" i="43"/>
  <c r="D80" i="43"/>
  <c r="G9" i="70"/>
  <c r="G11" i="70"/>
  <c r="G18" i="70"/>
  <c r="H7" i="69"/>
  <c r="H13" i="69"/>
  <c r="H14" i="69"/>
  <c r="G23" i="70"/>
  <c r="G14" i="70"/>
  <c r="C131" i="43"/>
  <c r="C84" i="43"/>
  <c r="H84" i="43"/>
  <c r="H131" i="43"/>
  <c r="H133" i="43" s="1"/>
  <c r="D121" i="43"/>
  <c r="C121" i="43"/>
  <c r="C75" i="43"/>
  <c r="H121" i="43"/>
  <c r="H124" i="43" s="1"/>
  <c r="H75" i="43"/>
  <c r="C142" i="43"/>
  <c r="C122" i="43"/>
  <c r="H80" i="43"/>
  <c r="D73" i="43"/>
  <c r="D122" i="43" s="1"/>
  <c r="E79" i="43"/>
  <c r="E82" i="43"/>
  <c r="E72" i="43"/>
  <c r="E93" i="43"/>
  <c r="E142" i="43" s="1"/>
  <c r="G83" i="43"/>
  <c r="G132" i="43" s="1"/>
  <c r="F121" i="43"/>
  <c r="F124" i="43" s="1"/>
  <c r="F75" i="43"/>
  <c r="D131" i="43"/>
  <c r="D133" i="43" s="1"/>
  <c r="D84" i="43"/>
  <c r="L7" i="69"/>
  <c r="M7" i="69" s="1"/>
  <c r="B17" i="68" s="1"/>
  <c r="K9" i="70"/>
  <c r="K11" i="70"/>
  <c r="K18" i="70"/>
  <c r="L18" i="70" s="1"/>
  <c r="B29" i="68" s="1"/>
  <c r="L13" i="69"/>
  <c r="M13" i="69" s="1"/>
  <c r="B19" i="68" s="1"/>
  <c r="L14" i="69"/>
  <c r="M14" i="69" s="1"/>
  <c r="B20" i="68" s="1"/>
  <c r="K23" i="70"/>
  <c r="L23" i="70" s="1"/>
  <c r="B30" i="68" s="1"/>
  <c r="K14" i="70"/>
  <c r="F84" i="43"/>
  <c r="F132" i="43"/>
  <c r="F133" i="43" s="1"/>
  <c r="G141" i="43"/>
  <c r="C141" i="43"/>
  <c r="G131" i="43"/>
  <c r="F80" i="43"/>
  <c r="G80" i="43"/>
  <c r="C80" i="43"/>
  <c r="BH461" i="4" l="1"/>
  <c r="AN461" i="4"/>
  <c r="AK461" i="4"/>
  <c r="AW462" i="4"/>
  <c r="AF462" i="4"/>
  <c r="Z462" i="4"/>
  <c r="AH462" i="4" s="1"/>
  <c r="AE462" i="4"/>
  <c r="AJ462" i="4" s="1"/>
  <c r="Y462" i="4"/>
  <c r="AG462" i="4" s="1"/>
  <c r="AD462" i="4"/>
  <c r="AI462" i="4" s="1"/>
  <c r="AC462" i="4"/>
  <c r="BG462" i="4" s="1"/>
  <c r="BO463" i="4"/>
  <c r="BN463" i="4"/>
  <c r="BC463" i="4"/>
  <c r="AY463" i="4"/>
  <c r="P463" i="4"/>
  <c r="K463" i="4"/>
  <c r="M463" i="4"/>
  <c r="BB463" i="4"/>
  <c r="O463" i="4"/>
  <c r="F463" i="4"/>
  <c r="BA463" i="4"/>
  <c r="AM463" i="4"/>
  <c r="R463" i="4"/>
  <c r="N463" i="4"/>
  <c r="BD463" i="4"/>
  <c r="AZ463" i="4"/>
  <c r="Q463" i="4"/>
  <c r="AO456" i="4"/>
  <c r="BH457" i="4"/>
  <c r="AW458" i="4"/>
  <c r="R424" i="29"/>
  <c r="Q424" i="29"/>
  <c r="G424" i="29"/>
  <c r="T424" i="29"/>
  <c r="E424" i="29"/>
  <c r="U424" i="29"/>
  <c r="S424" i="29"/>
  <c r="AV456" i="4"/>
  <c r="AX456" i="4" s="1"/>
  <c r="BO459" i="4"/>
  <c r="BN459" i="4"/>
  <c r="Z422" i="29"/>
  <c r="AF424" i="29"/>
  <c r="AE424" i="29"/>
  <c r="O423" i="29"/>
  <c r="C4" i="70"/>
  <c r="H4" i="70" s="1"/>
  <c r="J4" i="70" s="1"/>
  <c r="B460" i="4"/>
  <c r="BM464" i="4"/>
  <c r="BP460" i="4"/>
  <c r="I423" i="29"/>
  <c r="K423" i="29" s="1"/>
  <c r="N423" i="29" s="1"/>
  <c r="J423" i="29"/>
  <c r="Y423" i="29" s="1"/>
  <c r="BE455" i="4"/>
  <c r="BF455" i="4" s="1"/>
  <c r="V422" i="29"/>
  <c r="W422" i="29" s="1"/>
  <c r="P422" i="29"/>
  <c r="C67" i="43"/>
  <c r="G67" i="43"/>
  <c r="F67" i="43"/>
  <c r="H67" i="43"/>
  <c r="D67" i="43"/>
  <c r="D116" i="43" s="1"/>
  <c r="E67" i="43"/>
  <c r="E116" i="43" s="1"/>
  <c r="P459" i="4"/>
  <c r="Q459" i="4"/>
  <c r="R459" i="4"/>
  <c r="K459" i="4"/>
  <c r="E17" i="43"/>
  <c r="E18" i="43" s="1"/>
  <c r="F459" i="4"/>
  <c r="BC459" i="4"/>
  <c r="AY459" i="4"/>
  <c r="G17" i="43"/>
  <c r="G18" i="43" s="1"/>
  <c r="H17" i="43"/>
  <c r="H18" i="43" s="1"/>
  <c r="BA459" i="4"/>
  <c r="BB459" i="4"/>
  <c r="BD459" i="4"/>
  <c r="AZ459" i="4"/>
  <c r="C17" i="43"/>
  <c r="C18" i="43" s="1"/>
  <c r="D17" i="43"/>
  <c r="D18" i="43" s="1"/>
  <c r="F17" i="43"/>
  <c r="F18" i="43" s="1"/>
  <c r="M459" i="4"/>
  <c r="O459" i="4"/>
  <c r="AM459" i="4"/>
  <c r="N459" i="4"/>
  <c r="Y458" i="4"/>
  <c r="AG458" i="4" s="1"/>
  <c r="AF458" i="4"/>
  <c r="AD458" i="4"/>
  <c r="AI458" i="4" s="1"/>
  <c r="AE458" i="4"/>
  <c r="AJ458" i="4" s="1"/>
  <c r="Z458" i="4"/>
  <c r="AH458" i="4" s="1"/>
  <c r="AC458" i="4"/>
  <c r="BG458" i="4" s="1"/>
  <c r="G4" i="70" s="1"/>
  <c r="AI425" i="29"/>
  <c r="B425" i="29"/>
  <c r="AD426" i="29"/>
  <c r="AK457" i="4"/>
  <c r="AN457" i="4"/>
  <c r="G133" i="43"/>
  <c r="G84" i="43"/>
  <c r="E84" i="43"/>
  <c r="E131" i="43"/>
  <c r="E133" i="43" s="1"/>
  <c r="L14" i="70"/>
  <c r="B28" i="68" s="1"/>
  <c r="M14" i="70"/>
  <c r="E28" i="68" s="1"/>
  <c r="C124" i="43"/>
  <c r="M18" i="70"/>
  <c r="E29" i="68" s="1"/>
  <c r="C133" i="43"/>
  <c r="E121" i="43"/>
  <c r="E124" i="43" s="1"/>
  <c r="E75" i="43"/>
  <c r="D124" i="43"/>
  <c r="E80" i="43"/>
  <c r="D75" i="43"/>
  <c r="M23" i="70"/>
  <c r="E30" i="68" s="1"/>
  <c r="AO461" i="4" l="1"/>
  <c r="AV461" i="4"/>
  <c r="AX461" i="4" s="1"/>
  <c r="BH462" i="4"/>
  <c r="AN462" i="4"/>
  <c r="AK462" i="4"/>
  <c r="AW463" i="4"/>
  <c r="AF463" i="4"/>
  <c r="AK463" i="4" s="1"/>
  <c r="Z463" i="4"/>
  <c r="AH463" i="4" s="1"/>
  <c r="AC463" i="4"/>
  <c r="BG463" i="4" s="1"/>
  <c r="AE463" i="4"/>
  <c r="AJ463" i="4" s="1"/>
  <c r="Y463" i="4"/>
  <c r="AG463" i="4" s="1"/>
  <c r="AD463" i="4"/>
  <c r="AI463" i="4" s="1"/>
  <c r="AV457" i="4"/>
  <c r="V423" i="29"/>
  <c r="W423" i="29" s="1"/>
  <c r="P423" i="29"/>
  <c r="AK458" i="4"/>
  <c r="AN458" i="4"/>
  <c r="G116" i="43"/>
  <c r="BP464" i="4"/>
  <c r="B464" i="4"/>
  <c r="BM465" i="4"/>
  <c r="I424" i="29"/>
  <c r="K424" i="29" s="1"/>
  <c r="N424" i="29" s="1"/>
  <c r="J424" i="29"/>
  <c r="Y424" i="29" s="1"/>
  <c r="O424" i="29"/>
  <c r="AO457" i="4"/>
  <c r="AI426" i="29"/>
  <c r="AD427" i="29"/>
  <c r="B426" i="29"/>
  <c r="BH458" i="4"/>
  <c r="G68" i="43"/>
  <c r="G117" i="43" s="1"/>
  <c r="H68" i="43"/>
  <c r="H117" i="43" s="1"/>
  <c r="C68" i="43"/>
  <c r="C69" i="43" s="1"/>
  <c r="F68" i="43"/>
  <c r="F117" i="43" s="1"/>
  <c r="E68" i="43"/>
  <c r="D68" i="43"/>
  <c r="H116" i="43"/>
  <c r="C116" i="43"/>
  <c r="AY460" i="4"/>
  <c r="BC460" i="4"/>
  <c r="BB460" i="4"/>
  <c r="AZ460" i="4"/>
  <c r="N460" i="4"/>
  <c r="O460" i="4"/>
  <c r="M460" i="4"/>
  <c r="K460" i="4"/>
  <c r="R460" i="4"/>
  <c r="P460" i="4"/>
  <c r="AM460" i="4"/>
  <c r="Q460" i="4"/>
  <c r="BA460" i="4"/>
  <c r="F460" i="4"/>
  <c r="BD460" i="4"/>
  <c r="AE425" i="29"/>
  <c r="AF425" i="29"/>
  <c r="U425" i="29"/>
  <c r="S425" i="29"/>
  <c r="G425" i="29"/>
  <c r="R425" i="29"/>
  <c r="Q425" i="29"/>
  <c r="T425" i="29"/>
  <c r="E425" i="29"/>
  <c r="AW459" i="4"/>
  <c r="C5" i="70"/>
  <c r="H5" i="70" s="1"/>
  <c r="J5" i="70" s="1"/>
  <c r="BE456" i="4"/>
  <c r="BF456" i="4" s="1"/>
  <c r="F116" i="43"/>
  <c r="BO460" i="4"/>
  <c r="BN460" i="4"/>
  <c r="Z423" i="29"/>
  <c r="Y459" i="4"/>
  <c r="AG459" i="4" s="1"/>
  <c r="AE459" i="4"/>
  <c r="AJ459" i="4" s="1"/>
  <c r="AF459" i="4"/>
  <c r="AC459" i="4"/>
  <c r="BG459" i="4" s="1"/>
  <c r="G5" i="70" s="1"/>
  <c r="AD459" i="4"/>
  <c r="AI459" i="4" s="1"/>
  <c r="Z459" i="4"/>
  <c r="AH459" i="4" s="1"/>
  <c r="K4" i="70"/>
  <c r="BE457" i="4" l="1"/>
  <c r="BF457" i="4" s="1"/>
  <c r="AX457" i="4"/>
  <c r="BE461" i="4"/>
  <c r="BF461" i="4" s="1"/>
  <c r="AV462" i="4"/>
  <c r="BH463" i="4"/>
  <c r="AN463" i="4"/>
  <c r="AO463" i="4" s="1"/>
  <c r="AO462" i="4"/>
  <c r="AV458" i="4"/>
  <c r="AX458" i="4" s="1"/>
  <c r="H69" i="43"/>
  <c r="H118" i="43"/>
  <c r="F118" i="43"/>
  <c r="BH459" i="4"/>
  <c r="F69" i="43"/>
  <c r="AO458" i="4"/>
  <c r="AW460" i="4"/>
  <c r="C117" i="43"/>
  <c r="C118" i="43" s="1"/>
  <c r="R426" i="29"/>
  <c r="T426" i="29"/>
  <c r="G426" i="29"/>
  <c r="Q426" i="29"/>
  <c r="E426" i="29"/>
  <c r="U426" i="29"/>
  <c r="S426" i="29"/>
  <c r="Z424" i="29"/>
  <c r="BB464" i="4"/>
  <c r="AZ464" i="4"/>
  <c r="N464" i="4"/>
  <c r="P464" i="4"/>
  <c r="O464" i="4"/>
  <c r="M464" i="4"/>
  <c r="F464" i="4"/>
  <c r="BD464" i="4"/>
  <c r="R464" i="4"/>
  <c r="AM464" i="4"/>
  <c r="BA464" i="4"/>
  <c r="Q464" i="4"/>
  <c r="BC464" i="4"/>
  <c r="AY464" i="4"/>
  <c r="K464" i="4"/>
  <c r="G118" i="43"/>
  <c r="AD460" i="4"/>
  <c r="AI460" i="4" s="1"/>
  <c r="Z460" i="4"/>
  <c r="AH460" i="4" s="1"/>
  <c r="AE460" i="4"/>
  <c r="AJ460" i="4" s="1"/>
  <c r="AF460" i="4"/>
  <c r="AC460" i="4"/>
  <c r="BG460" i="4" s="1"/>
  <c r="Y460" i="4"/>
  <c r="AG460" i="4" s="1"/>
  <c r="K5" i="70"/>
  <c r="J425" i="29"/>
  <c r="Y425" i="29" s="1"/>
  <c r="I425" i="29"/>
  <c r="K425" i="29" s="1"/>
  <c r="N425" i="29" s="1"/>
  <c r="AI427" i="29"/>
  <c r="AD428" i="29"/>
  <c r="B427" i="29"/>
  <c r="BN464" i="4"/>
  <c r="BO464" i="4"/>
  <c r="G69" i="43"/>
  <c r="O425" i="29"/>
  <c r="D117" i="43"/>
  <c r="D118" i="43" s="1"/>
  <c r="D69" i="43"/>
  <c r="AF426" i="29"/>
  <c r="AE426" i="29"/>
  <c r="M4" i="70"/>
  <c r="L4" i="70"/>
  <c r="AK459" i="4"/>
  <c r="AN459" i="4"/>
  <c r="N13" i="17"/>
  <c r="V424" i="29"/>
  <c r="W424" i="29" s="1"/>
  <c r="P424" i="29"/>
  <c r="E117" i="43"/>
  <c r="E118" i="43" s="1"/>
  <c r="E69" i="43"/>
  <c r="B465" i="4"/>
  <c r="BM466" i="4"/>
  <c r="BP465" i="4"/>
  <c r="BE462" i="4" l="1"/>
  <c r="BF462" i="4" s="1"/>
  <c r="AX462" i="4"/>
  <c r="BE458" i="4"/>
  <c r="BF458" i="4" s="1"/>
  <c r="AV463" i="4"/>
  <c r="AX463" i="4" s="1"/>
  <c r="B64" i="17"/>
  <c r="AV459" i="4"/>
  <c r="AX459" i="4" s="1"/>
  <c r="O426" i="29"/>
  <c r="AO459" i="4"/>
  <c r="BH460" i="4"/>
  <c r="V425" i="29"/>
  <c r="W425" i="29" s="1"/>
  <c r="P425" i="29"/>
  <c r="AW464" i="4"/>
  <c r="BP466" i="4"/>
  <c r="BM467" i="4"/>
  <c r="B466" i="4"/>
  <c r="Z425" i="29"/>
  <c r="Y464" i="4"/>
  <c r="AG464" i="4" s="1"/>
  <c r="AF464" i="4"/>
  <c r="AC464" i="4"/>
  <c r="BG464" i="4" s="1"/>
  <c r="AE464" i="4"/>
  <c r="AJ464" i="4" s="1"/>
  <c r="AD464" i="4"/>
  <c r="AI464" i="4" s="1"/>
  <c r="Z464" i="4"/>
  <c r="AH464" i="4" s="1"/>
  <c r="AI428" i="29"/>
  <c r="B428" i="29"/>
  <c r="AD429" i="29"/>
  <c r="AK460" i="4"/>
  <c r="AN460" i="4"/>
  <c r="BN465" i="4"/>
  <c r="BO465" i="4"/>
  <c r="I426" i="29"/>
  <c r="K426" i="29" s="1"/>
  <c r="N426" i="29" s="1"/>
  <c r="J426" i="29"/>
  <c r="Y426" i="29" s="1"/>
  <c r="AF427" i="29"/>
  <c r="AE427" i="29"/>
  <c r="BC465" i="4"/>
  <c r="AZ465" i="4"/>
  <c r="AY465" i="4"/>
  <c r="BB465" i="4"/>
  <c r="M465" i="4"/>
  <c r="N465" i="4"/>
  <c r="O465" i="4"/>
  <c r="K465" i="4"/>
  <c r="H38" i="43"/>
  <c r="F38" i="43"/>
  <c r="BA465" i="4"/>
  <c r="BD465" i="4"/>
  <c r="F465" i="4"/>
  <c r="F499" i="4" s="1"/>
  <c r="G38" i="43"/>
  <c r="D38" i="43"/>
  <c r="Q465" i="4"/>
  <c r="R465" i="4"/>
  <c r="P465" i="4"/>
  <c r="AM465" i="4"/>
  <c r="C38" i="43"/>
  <c r="E38" i="43"/>
  <c r="T427" i="29"/>
  <c r="E427" i="29"/>
  <c r="U427" i="29"/>
  <c r="S427" i="29"/>
  <c r="G427" i="29"/>
  <c r="Q427" i="29"/>
  <c r="R427" i="29"/>
  <c r="L5" i="70"/>
  <c r="B26" i="68" s="1"/>
  <c r="M5" i="70"/>
  <c r="E26" i="68" s="1"/>
  <c r="N14" i="17"/>
  <c r="M499" i="4" l="1"/>
  <c r="K499" i="4"/>
  <c r="K500" i="4" s="1"/>
  <c r="O499" i="4"/>
  <c r="N499" i="4"/>
  <c r="BE463" i="4"/>
  <c r="BF463" i="4" s="1"/>
  <c r="Z426" i="29"/>
  <c r="AO460" i="4"/>
  <c r="BE459" i="4"/>
  <c r="BF459" i="4" s="1"/>
  <c r="BH464" i="4"/>
  <c r="AV460" i="4"/>
  <c r="O427" i="29"/>
  <c r="D89" i="43"/>
  <c r="D138" i="43" s="1"/>
  <c r="G89" i="43"/>
  <c r="G138" i="43" s="1"/>
  <c r="F89" i="43"/>
  <c r="F138" i="43" s="1"/>
  <c r="E89" i="43"/>
  <c r="E138" i="43" s="1"/>
  <c r="H89" i="43"/>
  <c r="H138" i="43" s="1"/>
  <c r="D31" i="70"/>
  <c r="I31" i="70" s="1"/>
  <c r="J31" i="70" s="1"/>
  <c r="BN466" i="4"/>
  <c r="BO466" i="4"/>
  <c r="D32" i="70"/>
  <c r="I32" i="70" s="1"/>
  <c r="J32" i="70" s="1"/>
  <c r="AI429" i="29"/>
  <c r="AD430" i="29"/>
  <c r="B429" i="29"/>
  <c r="AK464" i="4"/>
  <c r="AN464" i="4"/>
  <c r="AW465" i="4"/>
  <c r="D33" i="70"/>
  <c r="I33" i="70" s="1"/>
  <c r="J33" i="70" s="1"/>
  <c r="AD465" i="4"/>
  <c r="AI465" i="4" s="1"/>
  <c r="Y465" i="4"/>
  <c r="AG465" i="4" s="1"/>
  <c r="AG499" i="4" s="1"/>
  <c r="AC465" i="4"/>
  <c r="BG465" i="4" s="1"/>
  <c r="G31" i="70" s="1"/>
  <c r="G38" i="70" s="1"/>
  <c r="Z465" i="4"/>
  <c r="AH465" i="4" s="1"/>
  <c r="AE465" i="4"/>
  <c r="AJ465" i="4" s="1"/>
  <c r="AF465" i="4"/>
  <c r="Q428" i="29"/>
  <c r="R428" i="29"/>
  <c r="S428" i="29"/>
  <c r="G428" i="29"/>
  <c r="T428" i="29"/>
  <c r="E428" i="29"/>
  <c r="U428" i="29"/>
  <c r="F466" i="4"/>
  <c r="AY466" i="4"/>
  <c r="BC466" i="4"/>
  <c r="BA466" i="4"/>
  <c r="BD466" i="4"/>
  <c r="BB466" i="4"/>
  <c r="AZ466" i="4"/>
  <c r="M466" i="4"/>
  <c r="O466" i="4"/>
  <c r="K466" i="4"/>
  <c r="N466" i="4"/>
  <c r="P466" i="4"/>
  <c r="Q466" i="4"/>
  <c r="R466" i="4"/>
  <c r="AM466" i="4"/>
  <c r="C89" i="43"/>
  <c r="C31" i="70"/>
  <c r="J427" i="29"/>
  <c r="Y427" i="29" s="1"/>
  <c r="I427" i="29"/>
  <c r="K427" i="29" s="1"/>
  <c r="N427" i="29" s="1"/>
  <c r="AE428" i="29"/>
  <c r="AF428" i="29"/>
  <c r="V426" i="29"/>
  <c r="W426" i="29" s="1"/>
  <c r="P426" i="29"/>
  <c r="B467" i="4"/>
  <c r="BM468" i="4"/>
  <c r="BP467" i="4"/>
  <c r="BE460" i="4" l="1"/>
  <c r="BF460" i="4" s="1"/>
  <c r="AX460" i="4"/>
  <c r="AO464" i="4"/>
  <c r="BH465" i="4"/>
  <c r="AV464" i="4"/>
  <c r="AX464" i="4" s="1"/>
  <c r="AW466" i="4"/>
  <c r="P427" i="29"/>
  <c r="V427" i="29"/>
  <c r="W427" i="29" s="1"/>
  <c r="AK465" i="4"/>
  <c r="AN465" i="4"/>
  <c r="E429" i="29"/>
  <c r="S429" i="29"/>
  <c r="Q429" i="29"/>
  <c r="R429" i="29"/>
  <c r="G429" i="29"/>
  <c r="T429" i="29"/>
  <c r="U429" i="29"/>
  <c r="BO467" i="4"/>
  <c r="BN467" i="4"/>
  <c r="O428" i="29"/>
  <c r="AI430" i="29"/>
  <c r="B430" i="29"/>
  <c r="AD431" i="29"/>
  <c r="AE429" i="29"/>
  <c r="AF429" i="29"/>
  <c r="Z427" i="29"/>
  <c r="BP468" i="4"/>
  <c r="BM469" i="4"/>
  <c r="B468" i="4"/>
  <c r="I428" i="29"/>
  <c r="K428" i="29" s="1"/>
  <c r="N428" i="29" s="1"/>
  <c r="J428" i="29"/>
  <c r="Y428" i="29" s="1"/>
  <c r="K467" i="4"/>
  <c r="R467" i="4"/>
  <c r="P467" i="4"/>
  <c r="Q467" i="4"/>
  <c r="BB467" i="4"/>
  <c r="AY467" i="4"/>
  <c r="BC467" i="4"/>
  <c r="AZ467" i="4"/>
  <c r="M467" i="4"/>
  <c r="N467" i="4"/>
  <c r="O467" i="4"/>
  <c r="AM467" i="4"/>
  <c r="F467" i="4"/>
  <c r="BA467" i="4"/>
  <c r="BD467" i="4"/>
  <c r="K31" i="70"/>
  <c r="AD466" i="4"/>
  <c r="AI466" i="4" s="1"/>
  <c r="Y466" i="4"/>
  <c r="AG466" i="4" s="1"/>
  <c r="AC466" i="4"/>
  <c r="BG466" i="4" s="1"/>
  <c r="AF466" i="4"/>
  <c r="Z466" i="4"/>
  <c r="AH466" i="4" s="1"/>
  <c r="AE466" i="4"/>
  <c r="AJ466" i="4" s="1"/>
  <c r="C138" i="43"/>
  <c r="BE464" i="4" l="1"/>
  <c r="BF464" i="4" s="1"/>
  <c r="AO465" i="4"/>
  <c r="AV465" i="4"/>
  <c r="BH466" i="4"/>
  <c r="AW467" i="4"/>
  <c r="P428" i="29"/>
  <c r="V428" i="29"/>
  <c r="W428" i="29" s="1"/>
  <c r="M31" i="70"/>
  <c r="E31" i="68" s="1"/>
  <c r="K38" i="70"/>
  <c r="L31" i="70"/>
  <c r="B31" i="68" s="1"/>
  <c r="O429" i="29"/>
  <c r="N468" i="4"/>
  <c r="M468" i="4"/>
  <c r="O468" i="4"/>
  <c r="AM468" i="4"/>
  <c r="AZ468" i="4"/>
  <c r="BB468" i="4"/>
  <c r="Q468" i="4"/>
  <c r="K468" i="4"/>
  <c r="R468" i="4"/>
  <c r="P468" i="4"/>
  <c r="AY468" i="4"/>
  <c r="F468" i="4"/>
  <c r="BC468" i="4"/>
  <c r="BD468" i="4"/>
  <c r="BA468" i="4"/>
  <c r="N39" i="17"/>
  <c r="AI431" i="29"/>
  <c r="B431" i="29"/>
  <c r="AD432" i="29"/>
  <c r="Z428" i="29"/>
  <c r="B469" i="4"/>
  <c r="BM470" i="4"/>
  <c r="BP469" i="4"/>
  <c r="G430" i="29"/>
  <c r="R430" i="29"/>
  <c r="E430" i="29"/>
  <c r="S430" i="29"/>
  <c r="T430" i="29"/>
  <c r="Q430" i="29"/>
  <c r="U430" i="29"/>
  <c r="AK466" i="4"/>
  <c r="AN466" i="4"/>
  <c r="BN468" i="4"/>
  <c r="BO468" i="4"/>
  <c r="J429" i="29"/>
  <c r="Y429" i="29" s="1"/>
  <c r="I429" i="29"/>
  <c r="K429" i="29" s="1"/>
  <c r="N429" i="29" s="1"/>
  <c r="AF430" i="29"/>
  <c r="AE430" i="29"/>
  <c r="AD467" i="4"/>
  <c r="AI467" i="4" s="1"/>
  <c r="Y467" i="4"/>
  <c r="AG467" i="4" s="1"/>
  <c r="AE467" i="4"/>
  <c r="AJ467" i="4" s="1"/>
  <c r="Z467" i="4"/>
  <c r="AH467" i="4" s="1"/>
  <c r="AC467" i="4"/>
  <c r="BG467" i="4" s="1"/>
  <c r="AF467" i="4"/>
  <c r="AX465" i="4" l="1"/>
  <c r="AV499" i="4"/>
  <c r="BE465" i="4"/>
  <c r="BH467" i="4"/>
  <c r="AO466" i="4"/>
  <c r="V429" i="29"/>
  <c r="W429" i="29" s="1"/>
  <c r="P429" i="29"/>
  <c r="J430" i="29"/>
  <c r="Y430" i="29" s="1"/>
  <c r="I430" i="29"/>
  <c r="K430" i="29" s="1"/>
  <c r="N430" i="29" s="1"/>
  <c r="BO469" i="4"/>
  <c r="BN469" i="4"/>
  <c r="R431" i="29"/>
  <c r="T431" i="29"/>
  <c r="G431" i="29"/>
  <c r="U431" i="29"/>
  <c r="E431" i="29"/>
  <c r="Q431" i="29"/>
  <c r="S431" i="29"/>
  <c r="AF468" i="4"/>
  <c r="Z468" i="4"/>
  <c r="AH468" i="4" s="1"/>
  <c r="AE468" i="4"/>
  <c r="AJ468" i="4" s="1"/>
  <c r="AD468" i="4"/>
  <c r="AI468" i="4" s="1"/>
  <c r="AC468" i="4"/>
  <c r="BG468" i="4" s="1"/>
  <c r="Y468" i="4"/>
  <c r="AG468" i="4" s="1"/>
  <c r="B470" i="4"/>
  <c r="BM471" i="4"/>
  <c r="BP470" i="4"/>
  <c r="AE431" i="29"/>
  <c r="AF431" i="29"/>
  <c r="AK467" i="4"/>
  <c r="AN467" i="4"/>
  <c r="AV466" i="4"/>
  <c r="AX466" i="4" s="1"/>
  <c r="O430" i="29"/>
  <c r="H469" i="4"/>
  <c r="O469" i="4"/>
  <c r="AY469" i="4"/>
  <c r="BA469" i="4"/>
  <c r="Q469" i="4"/>
  <c r="E12" i="43"/>
  <c r="I469" i="4"/>
  <c r="E19" i="19" s="1"/>
  <c r="K469" i="4"/>
  <c r="M469" i="4"/>
  <c r="BC469" i="4"/>
  <c r="F12" i="43"/>
  <c r="BD469" i="4"/>
  <c r="P469" i="4"/>
  <c r="AM469" i="4"/>
  <c r="N469" i="4"/>
  <c r="AZ469" i="4"/>
  <c r="BB469" i="4"/>
  <c r="F469" i="4"/>
  <c r="Q237" i="17" s="1"/>
  <c r="R469" i="4"/>
  <c r="J469" i="4"/>
  <c r="E20" i="19" s="1"/>
  <c r="G12" i="43"/>
  <c r="D12" i="43"/>
  <c r="C12" i="43"/>
  <c r="H12" i="43"/>
  <c r="AI432" i="29"/>
  <c r="AD433" i="29"/>
  <c r="B432" i="29"/>
  <c r="AW468" i="4"/>
  <c r="Z429" i="29"/>
  <c r="R289" i="17"/>
  <c r="D293" i="17" s="1"/>
  <c r="R279" i="17"/>
  <c r="D281" i="17" s="1"/>
  <c r="R283" i="17"/>
  <c r="D285" i="17" s="1"/>
  <c r="R284" i="17"/>
  <c r="D286" i="17" s="1"/>
  <c r="R294" i="17"/>
  <c r="D300" i="17" s="1"/>
  <c r="R295" i="17"/>
  <c r="D302" i="17" s="1"/>
  <c r="R280" i="17"/>
  <c r="D282" i="17" s="1"/>
  <c r="R293" i="17"/>
  <c r="R290" i="17"/>
  <c r="D294" i="17" s="1"/>
  <c r="R292" i="17"/>
  <c r="D298" i="17" s="1"/>
  <c r="V248" i="17"/>
  <c r="H252" i="17" s="1"/>
  <c r="K252" i="17" s="1"/>
  <c r="F94" i="17" s="1"/>
  <c r="V238" i="17"/>
  <c r="H240" i="17" s="1"/>
  <c r="K240" i="17" s="1"/>
  <c r="F82" i="17" s="1"/>
  <c r="V242" i="17"/>
  <c r="H244" i="17" s="1"/>
  <c r="K244" i="17" s="1"/>
  <c r="F86" i="17" s="1"/>
  <c r="V243" i="17"/>
  <c r="H245" i="17" s="1"/>
  <c r="K245" i="17" s="1"/>
  <c r="F87" i="17" s="1"/>
  <c r="V253" i="17"/>
  <c r="H259" i="17" s="1"/>
  <c r="K259" i="17" s="1"/>
  <c r="F101" i="17" s="1"/>
  <c r="V254" i="17"/>
  <c r="H261" i="17" s="1"/>
  <c r="K261" i="17" s="1"/>
  <c r="F103" i="17" s="1"/>
  <c r="V239" i="17"/>
  <c r="H241" i="17" s="1"/>
  <c r="K241" i="17" s="1"/>
  <c r="F83" i="17" s="1"/>
  <c r="V252" i="17"/>
  <c r="V249" i="17"/>
  <c r="H253" i="17" s="1"/>
  <c r="K253" i="17" s="1"/>
  <c r="F95" i="17" s="1"/>
  <c r="V251" i="17"/>
  <c r="H257" i="17" s="1"/>
  <c r="K257" i="17" s="1"/>
  <c r="F99" i="17" s="1"/>
  <c r="Q248" i="17"/>
  <c r="C252" i="17" s="1"/>
  <c r="F252" i="17" s="1"/>
  <c r="G252" i="17" s="1"/>
  <c r="Q238" i="17"/>
  <c r="C240" i="17" s="1"/>
  <c r="F240" i="17" s="1"/>
  <c r="G240" i="17" s="1"/>
  <c r="C82" i="17" s="1"/>
  <c r="Q242" i="17"/>
  <c r="C244" i="17" s="1"/>
  <c r="F244" i="17" s="1"/>
  <c r="G244" i="17" s="1"/>
  <c r="C86" i="17" s="1"/>
  <c r="Q243" i="17"/>
  <c r="C245" i="17" s="1"/>
  <c r="F245" i="17" s="1"/>
  <c r="G245" i="17" s="1"/>
  <c r="C87" i="17" s="1"/>
  <c r="Q253" i="17"/>
  <c r="C259" i="17" s="1"/>
  <c r="F259" i="17" s="1"/>
  <c r="G259" i="17" s="1"/>
  <c r="C101" i="17" s="1"/>
  <c r="Q254" i="17"/>
  <c r="C261" i="17" s="1"/>
  <c r="F261" i="17" s="1"/>
  <c r="G261" i="17" s="1"/>
  <c r="C103" i="17" s="1"/>
  <c r="Q239" i="17"/>
  <c r="C241" i="17" s="1"/>
  <c r="F241" i="17" s="1"/>
  <c r="G241" i="17" s="1"/>
  <c r="C83" i="17" s="1"/>
  <c r="Q252" i="17"/>
  <c r="Q249" i="17"/>
  <c r="C253" i="17" s="1"/>
  <c r="F253" i="17" s="1"/>
  <c r="G253" i="17" s="1"/>
  <c r="Q251" i="17"/>
  <c r="C257" i="17" s="1"/>
  <c r="F257" i="17" s="1"/>
  <c r="G257" i="17" s="1"/>
  <c r="C99" i="17" s="1"/>
  <c r="BF465" i="4" l="1"/>
  <c r="BE499" i="4"/>
  <c r="BE500" i="4" s="1"/>
  <c r="H20" i="19"/>
  <c r="H19" i="19"/>
  <c r="V237" i="17"/>
  <c r="H237" i="17" s="1"/>
  <c r="K237" i="17" s="1"/>
  <c r="F79" i="17" s="1"/>
  <c r="E18" i="19"/>
  <c r="H28" i="43"/>
  <c r="H128" i="43" s="1"/>
  <c r="G28" i="43"/>
  <c r="G128" i="43" s="1"/>
  <c r="F28" i="43"/>
  <c r="F128" i="43" s="1"/>
  <c r="D28" i="43"/>
  <c r="D128" i="43" s="1"/>
  <c r="C28" i="43"/>
  <c r="C128" i="43" s="1"/>
  <c r="E28" i="43"/>
  <c r="E128" i="43" s="1"/>
  <c r="AV467" i="4"/>
  <c r="AX467" i="4" s="1"/>
  <c r="AO467" i="4"/>
  <c r="BE466" i="4"/>
  <c r="BF466" i="4" s="1"/>
  <c r="BO470" i="4"/>
  <c r="BN470" i="4"/>
  <c r="AI433" i="29"/>
  <c r="B433" i="29"/>
  <c r="AD434" i="29"/>
  <c r="AE432" i="29"/>
  <c r="AF432" i="29"/>
  <c r="D9" i="69"/>
  <c r="H473" i="4"/>
  <c r="B471" i="4"/>
  <c r="BP471" i="4"/>
  <c r="BH468" i="4"/>
  <c r="Q432" i="29"/>
  <c r="G432" i="29"/>
  <c r="E432" i="29"/>
  <c r="T432" i="29"/>
  <c r="S432" i="29"/>
  <c r="U432" i="29"/>
  <c r="R432" i="29"/>
  <c r="J473" i="4"/>
  <c r="D11" i="69"/>
  <c r="R278" i="17"/>
  <c r="D278" i="17" s="1"/>
  <c r="F63" i="43"/>
  <c r="F112" i="43" s="1"/>
  <c r="D63" i="43"/>
  <c r="D112" i="43" s="1"/>
  <c r="E63" i="43"/>
  <c r="E112" i="43" s="1"/>
  <c r="G63" i="43"/>
  <c r="G112" i="43" s="1"/>
  <c r="H63" i="43"/>
  <c r="H112" i="43" s="1"/>
  <c r="C63" i="43"/>
  <c r="Z430" i="29"/>
  <c r="BB470" i="4"/>
  <c r="BD470" i="4"/>
  <c r="AZ470" i="4"/>
  <c r="BA470" i="4"/>
  <c r="C11" i="43"/>
  <c r="K470" i="4"/>
  <c r="O470" i="4"/>
  <c r="N470" i="4"/>
  <c r="M470" i="4"/>
  <c r="G11" i="43"/>
  <c r="D11" i="43"/>
  <c r="E11" i="43"/>
  <c r="Q470" i="4"/>
  <c r="R470" i="4"/>
  <c r="P470" i="4"/>
  <c r="AM470" i="4"/>
  <c r="H11" i="43"/>
  <c r="BC470" i="4"/>
  <c r="AY470" i="4"/>
  <c r="F470" i="4"/>
  <c r="F11" i="43"/>
  <c r="AS11" i="70"/>
  <c r="AW10" i="70"/>
  <c r="AS12" i="70"/>
  <c r="AS9" i="70"/>
  <c r="AE11" i="70"/>
  <c r="AV12" i="70"/>
  <c r="AD9" i="70"/>
  <c r="AV11" i="70"/>
  <c r="AQ11" i="70"/>
  <c r="AH12" i="70"/>
  <c r="AC12" i="70"/>
  <c r="AD11" i="70"/>
  <c r="AH10" i="70"/>
  <c r="AT12" i="70"/>
  <c r="AF12" i="70"/>
  <c r="AW9" i="70"/>
  <c r="AW11" i="70"/>
  <c r="AQ9" i="70"/>
  <c r="AD10" i="70"/>
  <c r="AC9" i="70"/>
  <c r="AC10" i="70"/>
  <c r="AS10" i="70"/>
  <c r="AR12" i="70"/>
  <c r="AG9" i="70"/>
  <c r="AG11" i="70"/>
  <c r="AR11" i="70"/>
  <c r="AR9" i="70"/>
  <c r="AV9" i="70"/>
  <c r="AU11" i="70"/>
  <c r="AK468" i="4"/>
  <c r="AN468" i="4"/>
  <c r="O431" i="29"/>
  <c r="AB469" i="4"/>
  <c r="AB473" i="4" s="1"/>
  <c r="Y469" i="4"/>
  <c r="AG469" i="4" s="1"/>
  <c r="AA469" i="4"/>
  <c r="AA473" i="4" s="1"/>
  <c r="Z469" i="4"/>
  <c r="AE469" i="4"/>
  <c r="AJ469" i="4" s="1"/>
  <c r="AF469" i="4"/>
  <c r="AD469" i="4"/>
  <c r="AI469" i="4" s="1"/>
  <c r="AC469" i="4"/>
  <c r="BG469" i="4" s="1"/>
  <c r="H9" i="69" s="1"/>
  <c r="AW469" i="4"/>
  <c r="I473" i="4"/>
  <c r="D10" i="69"/>
  <c r="V430" i="29"/>
  <c r="W430" i="29" s="1"/>
  <c r="P430" i="29"/>
  <c r="BE467" i="4"/>
  <c r="BF467" i="4" s="1"/>
  <c r="I431" i="29"/>
  <c r="K431" i="29" s="1"/>
  <c r="N431" i="29" s="1"/>
  <c r="J431" i="29"/>
  <c r="Y431" i="29" s="1"/>
  <c r="G83" i="17"/>
  <c r="G86" i="17"/>
  <c r="G82" i="17"/>
  <c r="G87" i="17"/>
  <c r="C237" i="17"/>
  <c r="F237" i="17" s="1"/>
  <c r="G237" i="17" s="1"/>
  <c r="C79" i="17" s="1"/>
  <c r="G103" i="17"/>
  <c r="G101" i="17"/>
  <c r="G99" i="17"/>
  <c r="K239" i="17"/>
  <c r="K243" i="17"/>
  <c r="F85" i="17" s="1"/>
  <c r="AP543" i="4" l="1"/>
  <c r="AP534" i="4"/>
  <c r="AO542" i="4"/>
  <c r="AP533" i="4"/>
  <c r="AO541" i="4"/>
  <c r="AO544" i="4"/>
  <c r="AO534" i="4"/>
  <c r="AP542" i="4"/>
  <c r="AP541" i="4"/>
  <c r="AO543" i="4"/>
  <c r="AO533" i="4"/>
  <c r="AP544" i="4"/>
  <c r="AP535" i="4"/>
  <c r="P1087" i="29" s="1"/>
  <c r="AO535" i="4"/>
  <c r="O1087" i="29" s="1"/>
  <c r="AP536" i="4"/>
  <c r="P1088" i="29" s="1"/>
  <c r="AO536" i="4"/>
  <c r="O1088" i="29" s="1"/>
  <c r="AP537" i="4"/>
  <c r="P1089" i="29" s="1"/>
  <c r="AO537" i="4"/>
  <c r="O1089" i="29" s="1"/>
  <c r="AP538" i="4"/>
  <c r="P1090" i="29" s="1"/>
  <c r="AO538" i="4"/>
  <c r="O1090" i="29" s="1"/>
  <c r="AP539" i="4"/>
  <c r="P1091" i="29" s="1"/>
  <c r="AO539" i="4"/>
  <c r="O1091" i="29" s="1"/>
  <c r="AP540" i="4"/>
  <c r="P1092" i="29" s="1"/>
  <c r="AO540" i="4"/>
  <c r="O1092" i="29" s="1"/>
  <c r="K536" i="4"/>
  <c r="L543" i="4"/>
  <c r="O544" i="4"/>
  <c r="L544" i="4"/>
  <c r="N544" i="4"/>
  <c r="O538" i="4"/>
  <c r="L535" i="4"/>
  <c r="K535" i="4"/>
  <c r="K543" i="4"/>
  <c r="L534" i="4"/>
  <c r="K538" i="4"/>
  <c r="K544" i="4"/>
  <c r="M544" i="4" s="1"/>
  <c r="J1096" i="29" s="1"/>
  <c r="L537" i="4"/>
  <c r="O541" i="4"/>
  <c r="L540" i="4"/>
  <c r="N540" i="4"/>
  <c r="O537" i="4"/>
  <c r="K533" i="4"/>
  <c r="K540" i="4"/>
  <c r="M540" i="4" s="1"/>
  <c r="J1092" i="29" s="1"/>
  <c r="O539" i="4"/>
  <c r="L541" i="4"/>
  <c r="N541" i="4"/>
  <c r="P541" i="4" s="1"/>
  <c r="K1093" i="29" s="1"/>
  <c r="K542" i="4"/>
  <c r="K537" i="4"/>
  <c r="N536" i="4"/>
  <c r="N537" i="4"/>
  <c r="K541" i="4"/>
  <c r="L542" i="4"/>
  <c r="K539" i="4"/>
  <c r="L536" i="4"/>
  <c r="N538" i="4"/>
  <c r="O540" i="4"/>
  <c r="K534" i="4"/>
  <c r="O535" i="4"/>
  <c r="O533" i="4"/>
  <c r="O536" i="4"/>
  <c r="L538" i="4"/>
  <c r="N542" i="4"/>
  <c r="N539" i="4"/>
  <c r="N535" i="4"/>
  <c r="N534" i="4"/>
  <c r="O534" i="4"/>
  <c r="L539" i="4"/>
  <c r="N533" i="4"/>
  <c r="O542" i="4"/>
  <c r="L533" i="4"/>
  <c r="N543" i="4"/>
  <c r="O543" i="4"/>
  <c r="AV10" i="70"/>
  <c r="AG12" i="70"/>
  <c r="Q80" i="17"/>
  <c r="D86" i="17" s="1"/>
  <c r="E86" i="17" s="1"/>
  <c r="H86" i="17" s="1"/>
  <c r="AQ10" i="70"/>
  <c r="AF11" i="70"/>
  <c r="Q76" i="17"/>
  <c r="Q93" i="17"/>
  <c r="D103" i="17" s="1"/>
  <c r="E103" i="17" s="1"/>
  <c r="H103" i="17" s="1"/>
  <c r="AG10" i="70"/>
  <c r="AE9" i="70"/>
  <c r="Q90" i="17"/>
  <c r="D97" i="17" s="1"/>
  <c r="AT11" i="70"/>
  <c r="AU12" i="70"/>
  <c r="AD12" i="70"/>
  <c r="AI10" i="70"/>
  <c r="AU10" i="70"/>
  <c r="AU9" i="70"/>
  <c r="AE10" i="70"/>
  <c r="AW12" i="70"/>
  <c r="AI12" i="70"/>
  <c r="AR10" i="70"/>
  <c r="AF9" i="70"/>
  <c r="AC11" i="70"/>
  <c r="AQ12" i="70"/>
  <c r="Q89" i="17"/>
  <c r="D95" i="17" s="1"/>
  <c r="AT9" i="70"/>
  <c r="Q92" i="17"/>
  <c r="D101" i="17" s="1"/>
  <c r="E101" i="17" s="1"/>
  <c r="H101" i="17" s="1"/>
  <c r="E22" i="19"/>
  <c r="H18" i="19"/>
  <c r="Q246" i="17"/>
  <c r="C248" i="17" s="1"/>
  <c r="F248" i="17" s="1"/>
  <c r="G248" i="17" s="1"/>
  <c r="C90" i="17" s="1"/>
  <c r="R287" i="17"/>
  <c r="D289" i="17" s="1"/>
  <c r="V246" i="17"/>
  <c r="H248" i="17" s="1"/>
  <c r="K248" i="17" s="1"/>
  <c r="F90" i="17" s="1"/>
  <c r="C27" i="43"/>
  <c r="F27" i="43"/>
  <c r="D27" i="43"/>
  <c r="G27" i="43"/>
  <c r="H27" i="43"/>
  <c r="E27" i="43"/>
  <c r="Q88" i="17"/>
  <c r="D94" i="17" s="1"/>
  <c r="G36" i="43"/>
  <c r="G136" i="43" s="1"/>
  <c r="H36" i="43"/>
  <c r="H136" i="43" s="1"/>
  <c r="D36" i="43"/>
  <c r="D136" i="43" s="1"/>
  <c r="F36" i="43"/>
  <c r="F136" i="43" s="1"/>
  <c r="E36" i="43"/>
  <c r="E136" i="43" s="1"/>
  <c r="AT10" i="70"/>
  <c r="AE12" i="70"/>
  <c r="Q81" i="17"/>
  <c r="D87" i="17" s="1"/>
  <c r="E87" i="17" s="1"/>
  <c r="H87" i="17" s="1"/>
  <c r="Q91" i="17"/>
  <c r="D99" i="17" s="1"/>
  <c r="E99" i="17" s="1"/>
  <c r="H99" i="17" s="1"/>
  <c r="AF10" i="70"/>
  <c r="Q85" i="17"/>
  <c r="D91" i="17" s="1"/>
  <c r="Q77" i="17"/>
  <c r="D79" i="17" s="1"/>
  <c r="E79" i="17" s="1"/>
  <c r="Q79" i="17"/>
  <c r="D83" i="17" s="1"/>
  <c r="E83" i="17" s="1"/>
  <c r="H83" i="17" s="1"/>
  <c r="Q75" i="17"/>
  <c r="Q78" i="17"/>
  <c r="D82" i="17" s="1"/>
  <c r="E82" i="17" s="1"/>
  <c r="H82" i="17" s="1"/>
  <c r="Q84" i="17"/>
  <c r="D90" i="17" s="1"/>
  <c r="O432" i="29"/>
  <c r="AO468" i="4"/>
  <c r="AV468" i="4"/>
  <c r="V431" i="29"/>
  <c r="W431" i="29" s="1"/>
  <c r="P431" i="29"/>
  <c r="AH469" i="4"/>
  <c r="Z431" i="29"/>
  <c r="Q236" i="17"/>
  <c r="D5" i="69"/>
  <c r="I5" i="69" s="1"/>
  <c r="K5" i="69" s="1"/>
  <c r="V236" i="17"/>
  <c r="C112" i="43"/>
  <c r="I432" i="29"/>
  <c r="K432" i="29" s="1"/>
  <c r="N432" i="29" s="1"/>
  <c r="J432" i="29"/>
  <c r="Y432" i="29" s="1"/>
  <c r="Z470" i="4"/>
  <c r="AF470" i="4"/>
  <c r="AE470" i="4"/>
  <c r="AJ470" i="4" s="1"/>
  <c r="Y470" i="4"/>
  <c r="AG470" i="4" s="1"/>
  <c r="AD470" i="4"/>
  <c r="AC470" i="4"/>
  <c r="BG470" i="4" s="1"/>
  <c r="H5" i="69" s="1"/>
  <c r="L9" i="69"/>
  <c r="D11" i="70"/>
  <c r="I11" i="70" s="1"/>
  <c r="J11" i="70" s="1"/>
  <c r="D62" i="43"/>
  <c r="D111" i="43" s="1"/>
  <c r="C62" i="43"/>
  <c r="G62" i="43"/>
  <c r="G111" i="43" s="1"/>
  <c r="F62" i="43"/>
  <c r="F111" i="43" s="1"/>
  <c r="H62" i="43"/>
  <c r="H111" i="43" s="1"/>
  <c r="E62" i="43"/>
  <c r="E111" i="43" s="1"/>
  <c r="BN471" i="4"/>
  <c r="BO471" i="4"/>
  <c r="I9" i="69"/>
  <c r="K9" i="69" s="1"/>
  <c r="AI434" i="29"/>
  <c r="B434" i="29"/>
  <c r="AD435" i="29"/>
  <c r="R277" i="17"/>
  <c r="AW470" i="4"/>
  <c r="F471" i="4"/>
  <c r="BA471" i="4"/>
  <c r="H99" i="19" s="1"/>
  <c r="BD471" i="4"/>
  <c r="C33" i="18" s="1"/>
  <c r="D10" i="43"/>
  <c r="D13" i="43" s="1"/>
  <c r="BB471" i="4"/>
  <c r="AY471" i="4"/>
  <c r="H97" i="19" s="1"/>
  <c r="BC471" i="4"/>
  <c r="G33" i="18" s="1"/>
  <c r="AZ471" i="4"/>
  <c r="H98" i="19" s="1"/>
  <c r="F10" i="43"/>
  <c r="F13" i="43" s="1"/>
  <c r="C10" i="43"/>
  <c r="E10" i="43"/>
  <c r="E13" i="43" s="1"/>
  <c r="M471" i="4"/>
  <c r="N471" i="4"/>
  <c r="K471" i="4"/>
  <c r="E55" i="19" s="1"/>
  <c r="H55" i="19" s="1"/>
  <c r="O471" i="4"/>
  <c r="G10" i="43"/>
  <c r="G13" i="43" s="1"/>
  <c r="AM471" i="4"/>
  <c r="R471" i="4"/>
  <c r="P471" i="4"/>
  <c r="Q471" i="4"/>
  <c r="H10" i="43"/>
  <c r="H13" i="43" s="1"/>
  <c r="T433" i="29"/>
  <c r="U433" i="29"/>
  <c r="G433" i="29"/>
  <c r="R433" i="29"/>
  <c r="E433" i="29"/>
  <c r="S433" i="29"/>
  <c r="Q433" i="29"/>
  <c r="AK469" i="4"/>
  <c r="AN469" i="4"/>
  <c r="D9" i="70"/>
  <c r="AF433" i="29"/>
  <c r="AE433" i="29"/>
  <c r="G79" i="17"/>
  <c r="H64" i="19" l="1"/>
  <c r="H31" i="19"/>
  <c r="F33" i="18"/>
  <c r="H66" i="19"/>
  <c r="H33" i="19"/>
  <c r="H65" i="19"/>
  <c r="H32" i="19"/>
  <c r="C11" i="70"/>
  <c r="D12" i="70"/>
  <c r="I12" i="70" s="1"/>
  <c r="J12" i="70" s="1"/>
  <c r="L11" i="70" s="1"/>
  <c r="P544" i="4"/>
  <c r="K1096" i="29" s="1"/>
  <c r="M535" i="4"/>
  <c r="J1087" i="29" s="1"/>
  <c r="P538" i="4"/>
  <c r="K1090" i="29" s="1"/>
  <c r="D10" i="18"/>
  <c r="D11" i="18"/>
  <c r="E33" i="18"/>
  <c r="D33" i="18"/>
  <c r="F498" i="4"/>
  <c r="F500" i="4" s="1"/>
  <c r="C53" i="19"/>
  <c r="H53" i="19" s="1"/>
  <c r="P539" i="4"/>
  <c r="K1091" i="29" s="1"/>
  <c r="D10" i="70"/>
  <c r="I10" i="70" s="1"/>
  <c r="J10" i="70" s="1"/>
  <c r="P535" i="4"/>
  <c r="K1087" i="29" s="1"/>
  <c r="H346" i="19"/>
  <c r="E23" i="19"/>
  <c r="E11" i="56"/>
  <c r="M498" i="4"/>
  <c r="M500" i="4" s="1"/>
  <c r="N498" i="4"/>
  <c r="N500" i="4" s="1"/>
  <c r="O498" i="4"/>
  <c r="O500" i="4" s="1"/>
  <c r="P533" i="4"/>
  <c r="K1085" i="29" s="1"/>
  <c r="P537" i="4"/>
  <c r="K1089" i="29" s="1"/>
  <c r="M537" i="4"/>
  <c r="J1089" i="29" s="1"/>
  <c r="M541" i="4"/>
  <c r="J1093" i="29" s="1"/>
  <c r="P542" i="4"/>
  <c r="K1094" i="29" s="1"/>
  <c r="P536" i="4"/>
  <c r="K1088" i="29" s="1"/>
  <c r="P540" i="4"/>
  <c r="K1092" i="29" s="1"/>
  <c r="P543" i="4"/>
  <c r="K1095" i="29" s="1"/>
  <c r="M542" i="4"/>
  <c r="J1094" i="29" s="1"/>
  <c r="M538" i="4"/>
  <c r="J1090" i="29" s="1"/>
  <c r="M533" i="4"/>
  <c r="J1085" i="29" s="1"/>
  <c r="P534" i="4"/>
  <c r="K1086" i="29" s="1"/>
  <c r="M534" i="4"/>
  <c r="J1086" i="29" s="1"/>
  <c r="M539" i="4"/>
  <c r="J1091" i="29" s="1"/>
  <c r="M543" i="4"/>
  <c r="J1095" i="29" s="1"/>
  <c r="M536" i="4"/>
  <c r="J1088" i="29" s="1"/>
  <c r="G36" i="18"/>
  <c r="G37" i="18"/>
  <c r="G39" i="18"/>
  <c r="G40" i="18"/>
  <c r="G41" i="18"/>
  <c r="AZ498" i="4"/>
  <c r="AZ499" i="4"/>
  <c r="BB498" i="4"/>
  <c r="BB499" i="4"/>
  <c r="BC498" i="4"/>
  <c r="BC499" i="4"/>
  <c r="BD498" i="4"/>
  <c r="BD499" i="4"/>
  <c r="AM498" i="4"/>
  <c r="AM499" i="4"/>
  <c r="AY498" i="4"/>
  <c r="AY499" i="4"/>
  <c r="BA498" i="4"/>
  <c r="BA499" i="4"/>
  <c r="N491" i="4"/>
  <c r="N487" i="4"/>
  <c r="N515" i="4"/>
  <c r="N527" i="4"/>
  <c r="N523" i="4"/>
  <c r="N519" i="4"/>
  <c r="N507" i="4"/>
  <c r="N511" i="4"/>
  <c r="N479" i="4"/>
  <c r="N483" i="4"/>
  <c r="N495" i="4"/>
  <c r="N503" i="4"/>
  <c r="N486" i="4"/>
  <c r="N526" i="4"/>
  <c r="N522" i="4"/>
  <c r="N514" i="4"/>
  <c r="N518" i="4"/>
  <c r="N506" i="4"/>
  <c r="N510" i="4"/>
  <c r="N478" i="4"/>
  <c r="N482" i="4"/>
  <c r="N490" i="4"/>
  <c r="N494" i="4"/>
  <c r="N496" i="4" s="1"/>
  <c r="N502" i="4"/>
  <c r="N504" i="4" s="1"/>
  <c r="F487" i="4"/>
  <c r="F491" i="4"/>
  <c r="F483" i="4"/>
  <c r="F515" i="4"/>
  <c r="F527" i="4"/>
  <c r="F523" i="4"/>
  <c r="F503" i="4"/>
  <c r="F507" i="4"/>
  <c r="F519" i="4"/>
  <c r="F511" i="4"/>
  <c r="F479" i="4"/>
  <c r="F495" i="4"/>
  <c r="F482" i="4"/>
  <c r="F486" i="4"/>
  <c r="F514" i="4"/>
  <c r="F522" i="4"/>
  <c r="F526" i="4"/>
  <c r="F528" i="4" s="1"/>
  <c r="F502" i="4"/>
  <c r="F506" i="4"/>
  <c r="F510" i="4"/>
  <c r="F478" i="4"/>
  <c r="F490" i="4"/>
  <c r="F492" i="4" s="1"/>
  <c r="F494" i="4"/>
  <c r="F518" i="4"/>
  <c r="M487" i="4"/>
  <c r="M491" i="4"/>
  <c r="M495" i="4"/>
  <c r="M515" i="4"/>
  <c r="M519" i="4"/>
  <c r="M523" i="4"/>
  <c r="M527" i="4"/>
  <c r="M503" i="4"/>
  <c r="M507" i="4"/>
  <c r="M511" i="4"/>
  <c r="M479" i="4"/>
  <c r="M483" i="4"/>
  <c r="M486" i="4"/>
  <c r="M488" i="4" s="1"/>
  <c r="M526" i="4"/>
  <c r="M522" i="4"/>
  <c r="M514" i="4"/>
  <c r="M516" i="4" s="1"/>
  <c r="M518" i="4"/>
  <c r="M520" i="4" s="1"/>
  <c r="M506" i="4"/>
  <c r="M510" i="4"/>
  <c r="M478" i="4"/>
  <c r="M482" i="4"/>
  <c r="M490" i="4"/>
  <c r="M492" i="4" s="1"/>
  <c r="M494" i="4"/>
  <c r="M496" i="4" s="1"/>
  <c r="M502" i="4"/>
  <c r="M504" i="4" s="1"/>
  <c r="AZ487" i="4"/>
  <c r="AZ491" i="4"/>
  <c r="AZ483" i="4"/>
  <c r="AZ515" i="4"/>
  <c r="AZ523" i="4"/>
  <c r="AZ527" i="4"/>
  <c r="AZ503" i="4"/>
  <c r="AZ507" i="4"/>
  <c r="AZ519" i="4"/>
  <c r="AZ511" i="4"/>
  <c r="AZ479" i="4"/>
  <c r="AZ495" i="4"/>
  <c r="AZ482" i="4"/>
  <c r="AZ486" i="4"/>
  <c r="AZ490" i="4"/>
  <c r="AZ514" i="4"/>
  <c r="AZ516" i="4" s="1"/>
  <c r="AZ522" i="4"/>
  <c r="AZ524" i="4" s="1"/>
  <c r="AZ526" i="4"/>
  <c r="AZ528" i="4" s="1"/>
  <c r="AZ502" i="4"/>
  <c r="AZ504" i="4" s="1"/>
  <c r="AZ518" i="4"/>
  <c r="AZ506" i="4"/>
  <c r="AZ510" i="4"/>
  <c r="AZ512" i="4" s="1"/>
  <c r="AZ478" i="4"/>
  <c r="AZ480" i="4" s="1"/>
  <c r="AZ494" i="4"/>
  <c r="AZ496" i="4" s="1"/>
  <c r="AM487" i="4"/>
  <c r="AM491" i="4"/>
  <c r="AM483" i="4"/>
  <c r="AM515" i="4"/>
  <c r="AM523" i="4"/>
  <c r="AM527" i="4"/>
  <c r="AM503" i="4"/>
  <c r="AM507" i="4"/>
  <c r="AM519" i="4"/>
  <c r="AM511" i="4"/>
  <c r="AM479" i="4"/>
  <c r="AM495" i="4"/>
  <c r="AM482" i="4"/>
  <c r="AM486" i="4"/>
  <c r="AM490" i="4"/>
  <c r="AM514" i="4"/>
  <c r="AM516" i="4" s="1"/>
  <c r="AM526" i="4"/>
  <c r="AM522" i="4"/>
  <c r="AM502" i="4"/>
  <c r="AM504" i="4" s="1"/>
  <c r="AM518" i="4"/>
  <c r="AM506" i="4"/>
  <c r="AM510" i="4"/>
  <c r="AM512" i="4" s="1"/>
  <c r="AM478" i="4"/>
  <c r="AM480" i="4" s="1"/>
  <c r="AM494" i="4"/>
  <c r="AM496" i="4" s="1"/>
  <c r="BC487" i="4"/>
  <c r="BC483" i="4"/>
  <c r="BC491" i="4"/>
  <c r="BC495" i="4"/>
  <c r="BC515" i="4"/>
  <c r="BC519" i="4"/>
  <c r="BC523" i="4"/>
  <c r="BC527" i="4"/>
  <c r="BC503" i="4"/>
  <c r="BC507" i="4"/>
  <c r="BC511" i="4"/>
  <c r="BC479" i="4"/>
  <c r="BC482" i="4"/>
  <c r="BC486" i="4"/>
  <c r="BC490" i="4"/>
  <c r="BC492" i="4" s="1"/>
  <c r="BC514" i="4"/>
  <c r="BC522" i="4"/>
  <c r="BC526" i="4"/>
  <c r="BC502" i="4"/>
  <c r="BC518" i="4"/>
  <c r="BC506" i="4"/>
  <c r="BC510" i="4"/>
  <c r="BC478" i="4"/>
  <c r="BC494" i="4"/>
  <c r="BC496" i="4" s="1"/>
  <c r="O491" i="4"/>
  <c r="O487" i="4"/>
  <c r="O515" i="4"/>
  <c r="O519" i="4"/>
  <c r="O523" i="4"/>
  <c r="O527" i="4"/>
  <c r="O507" i="4"/>
  <c r="O511" i="4"/>
  <c r="O479" i="4"/>
  <c r="O483" i="4"/>
  <c r="O495" i="4"/>
  <c r="O503" i="4"/>
  <c r="O486" i="4"/>
  <c r="O522" i="4"/>
  <c r="O526" i="4"/>
  <c r="O514" i="4"/>
  <c r="O518" i="4"/>
  <c r="O506" i="4"/>
  <c r="O510" i="4"/>
  <c r="O478" i="4"/>
  <c r="O482" i="4"/>
  <c r="O490" i="4"/>
  <c r="O494" i="4"/>
  <c r="O496" i="4" s="1"/>
  <c r="O502" i="4"/>
  <c r="O504" i="4" s="1"/>
  <c r="BD487" i="4"/>
  <c r="BD491" i="4"/>
  <c r="BD483" i="4"/>
  <c r="BD515" i="4"/>
  <c r="BD523" i="4"/>
  <c r="BD527" i="4"/>
  <c r="BD503" i="4"/>
  <c r="BD507" i="4"/>
  <c r="BD519" i="4"/>
  <c r="BD511" i="4"/>
  <c r="BD479" i="4"/>
  <c r="BD495" i="4"/>
  <c r="BD482" i="4"/>
  <c r="BD486" i="4"/>
  <c r="BD490" i="4"/>
  <c r="BD514" i="4"/>
  <c r="BD516" i="4" s="1"/>
  <c r="BD522" i="4"/>
  <c r="BD524" i="4" s="1"/>
  <c r="BD526" i="4"/>
  <c r="BD528" i="4" s="1"/>
  <c r="BD502" i="4"/>
  <c r="BD504" i="4" s="1"/>
  <c r="BD518" i="4"/>
  <c r="BD506" i="4"/>
  <c r="BD510" i="4"/>
  <c r="BD512" i="4" s="1"/>
  <c r="BD478" i="4"/>
  <c r="BD480" i="4" s="1"/>
  <c r="BD494" i="4"/>
  <c r="BD496" i="4" s="1"/>
  <c r="K487" i="4"/>
  <c r="K515" i="4"/>
  <c r="K527" i="4"/>
  <c r="K519" i="4"/>
  <c r="K507" i="4"/>
  <c r="K511" i="4"/>
  <c r="K483" i="4"/>
  <c r="K491" i="4"/>
  <c r="K523" i="4"/>
  <c r="K503" i="4"/>
  <c r="K486" i="4"/>
  <c r="K526" i="4"/>
  <c r="K522" i="4"/>
  <c r="K524" i="4" s="1"/>
  <c r="K514" i="4"/>
  <c r="K516" i="4" s="1"/>
  <c r="K518" i="4"/>
  <c r="K506" i="4"/>
  <c r="K510" i="4"/>
  <c r="K482" i="4"/>
  <c r="K490" i="4"/>
  <c r="K502" i="4"/>
  <c r="K478" i="4"/>
  <c r="K494" i="4"/>
  <c r="K479" i="4"/>
  <c r="K495" i="4"/>
  <c r="AY483" i="4"/>
  <c r="AY487" i="4"/>
  <c r="AY491" i="4"/>
  <c r="AY495" i="4"/>
  <c r="AY515" i="4"/>
  <c r="AY519" i="4"/>
  <c r="AY523" i="4"/>
  <c r="AY527" i="4"/>
  <c r="AY503" i="4"/>
  <c r="AY507" i="4"/>
  <c r="AY511" i="4"/>
  <c r="AY479" i="4"/>
  <c r="AY482" i="4"/>
  <c r="AY484" i="4" s="1"/>
  <c r="AY486" i="4"/>
  <c r="AY488" i="4" s="1"/>
  <c r="AY490" i="4"/>
  <c r="AY492" i="4" s="1"/>
  <c r="AY514" i="4"/>
  <c r="AY522" i="4"/>
  <c r="AY526" i="4"/>
  <c r="AY502" i="4"/>
  <c r="AY518" i="4"/>
  <c r="AY506" i="4"/>
  <c r="AY510" i="4"/>
  <c r="AY478" i="4"/>
  <c r="AY494" i="4"/>
  <c r="AY496" i="4" s="1"/>
  <c r="BA487" i="4"/>
  <c r="BA483" i="4"/>
  <c r="BA491" i="4"/>
  <c r="BA515" i="4"/>
  <c r="BA519" i="4"/>
  <c r="BA523" i="4"/>
  <c r="BA527" i="4"/>
  <c r="BA503" i="4"/>
  <c r="BA507" i="4"/>
  <c r="BA511" i="4"/>
  <c r="BA479" i="4"/>
  <c r="BA495" i="4"/>
  <c r="BA482" i="4"/>
  <c r="BA486" i="4"/>
  <c r="BA490" i="4"/>
  <c r="BA492" i="4" s="1"/>
  <c r="BA514" i="4"/>
  <c r="BA516" i="4" s="1"/>
  <c r="BA522" i="4"/>
  <c r="BA526" i="4"/>
  <c r="BA502" i="4"/>
  <c r="BA518" i="4"/>
  <c r="BA506" i="4"/>
  <c r="BA508" i="4" s="1"/>
  <c r="BA510" i="4"/>
  <c r="BA512" i="4" s="1"/>
  <c r="BA478" i="4"/>
  <c r="BA480" i="4" s="1"/>
  <c r="BA494" i="4"/>
  <c r="BA496" i="4" s="1"/>
  <c r="BB491" i="4"/>
  <c r="BB483" i="4"/>
  <c r="BB487" i="4"/>
  <c r="BB515" i="4"/>
  <c r="BB523" i="4"/>
  <c r="BB527" i="4"/>
  <c r="BB503" i="4"/>
  <c r="BB507" i="4"/>
  <c r="BB519" i="4"/>
  <c r="BB511" i="4"/>
  <c r="BB479" i="4"/>
  <c r="BB495" i="4"/>
  <c r="BB482" i="4"/>
  <c r="BB486" i="4"/>
  <c r="BB490" i="4"/>
  <c r="BB514" i="4"/>
  <c r="BB516" i="4" s="1"/>
  <c r="BB522" i="4"/>
  <c r="BB524" i="4" s="1"/>
  <c r="BB526" i="4"/>
  <c r="BB528" i="4" s="1"/>
  <c r="BB502" i="4"/>
  <c r="BB504" i="4" s="1"/>
  <c r="BB518" i="4"/>
  <c r="BB506" i="4"/>
  <c r="BB510" i="4"/>
  <c r="BB512" i="4" s="1"/>
  <c r="BB478" i="4"/>
  <c r="BB480" i="4" s="1"/>
  <c r="BB494" i="4"/>
  <c r="BB496" i="4" s="1"/>
  <c r="C86" i="19"/>
  <c r="E88" i="19"/>
  <c r="C9" i="70"/>
  <c r="D77" i="17"/>
  <c r="C39" i="18"/>
  <c r="C40" i="18"/>
  <c r="C41" i="18"/>
  <c r="D40" i="18"/>
  <c r="D39" i="18"/>
  <c r="C22" i="18"/>
  <c r="G17" i="56" s="1"/>
  <c r="C11" i="77" s="1"/>
  <c r="C36" i="18"/>
  <c r="C37" i="18"/>
  <c r="F39" i="18"/>
  <c r="F40" i="18"/>
  <c r="E39" i="18"/>
  <c r="E40" i="18"/>
  <c r="H193" i="19"/>
  <c r="H132" i="19"/>
  <c r="H401" i="19"/>
  <c r="D37" i="18"/>
  <c r="D38" i="18" s="1"/>
  <c r="H131" i="19"/>
  <c r="F37" i="18"/>
  <c r="F38" i="18" s="1"/>
  <c r="H133" i="19"/>
  <c r="H402" i="19"/>
  <c r="F22" i="18"/>
  <c r="E19" i="18"/>
  <c r="E37" i="18"/>
  <c r="E38" i="18" s="1"/>
  <c r="G34" i="18"/>
  <c r="C10" i="70"/>
  <c r="C12" i="70"/>
  <c r="E390" i="19"/>
  <c r="D330" i="19"/>
  <c r="D334" i="19"/>
  <c r="D332" i="19"/>
  <c r="D47" i="18"/>
  <c r="BE468" i="4"/>
  <c r="BF468" i="4" s="1"/>
  <c r="AX468" i="4"/>
  <c r="E90" i="17"/>
  <c r="H373" i="19"/>
  <c r="H374" i="19"/>
  <c r="C360" i="19"/>
  <c r="C388" i="19"/>
  <c r="H372" i="19"/>
  <c r="E362" i="19"/>
  <c r="E327" i="19"/>
  <c r="H327" i="19" s="1"/>
  <c r="C325" i="19"/>
  <c r="H345" i="19"/>
  <c r="H344" i="19"/>
  <c r="D260" i="19"/>
  <c r="H275" i="19"/>
  <c r="H276" i="19"/>
  <c r="D264" i="19"/>
  <c r="E221" i="19"/>
  <c r="E257" i="19"/>
  <c r="D262" i="19"/>
  <c r="C219" i="19"/>
  <c r="C255" i="19"/>
  <c r="D191" i="19"/>
  <c r="D228" i="19"/>
  <c r="D189" i="19"/>
  <c r="D226" i="19"/>
  <c r="D187" i="19"/>
  <c r="D224" i="19"/>
  <c r="H167" i="19"/>
  <c r="H240" i="19"/>
  <c r="H204" i="19"/>
  <c r="H166" i="19"/>
  <c r="H239" i="19"/>
  <c r="H203" i="19"/>
  <c r="H168" i="19"/>
  <c r="H241" i="19"/>
  <c r="H205" i="19"/>
  <c r="E184" i="19"/>
  <c r="C182" i="19"/>
  <c r="D117" i="19"/>
  <c r="H117" i="19" s="1"/>
  <c r="D152" i="19"/>
  <c r="H152" i="19" s="1"/>
  <c r="E114" i="19"/>
  <c r="H114" i="19" s="1"/>
  <c r="E149" i="19"/>
  <c r="H122" i="19"/>
  <c r="H157" i="19"/>
  <c r="D119" i="19"/>
  <c r="D154" i="19"/>
  <c r="C112" i="19"/>
  <c r="H112" i="19" s="1"/>
  <c r="C147" i="19"/>
  <c r="E83" i="19"/>
  <c r="C81" i="19"/>
  <c r="C90" i="19" s="1"/>
  <c r="E50" i="19"/>
  <c r="E57" i="19" s="1"/>
  <c r="C48" i="19"/>
  <c r="G22" i="18"/>
  <c r="G19" i="18"/>
  <c r="G18" i="18"/>
  <c r="G14" i="18"/>
  <c r="G24" i="18"/>
  <c r="G28" i="18"/>
  <c r="G15" i="18"/>
  <c r="G45" i="18"/>
  <c r="G47" i="18"/>
  <c r="G30" i="18"/>
  <c r="G26" i="18"/>
  <c r="C19" i="18"/>
  <c r="C18" i="18"/>
  <c r="C14" i="18"/>
  <c r="C24" i="18"/>
  <c r="C28" i="18"/>
  <c r="G23" i="56" s="1"/>
  <c r="C14" i="77" s="1"/>
  <c r="C15" i="18"/>
  <c r="C45" i="18"/>
  <c r="G31" i="56" s="1"/>
  <c r="C18" i="77" s="1"/>
  <c r="C47" i="18"/>
  <c r="G33" i="56" s="1"/>
  <c r="C30" i="18"/>
  <c r="G25" i="56" s="1"/>
  <c r="C15" i="77" s="1"/>
  <c r="C26" i="18"/>
  <c r="F19" i="18"/>
  <c r="F18" i="18"/>
  <c r="F41" i="18"/>
  <c r="F14" i="18"/>
  <c r="F24" i="18"/>
  <c r="F28" i="18"/>
  <c r="F15" i="18"/>
  <c r="F45" i="18"/>
  <c r="F47" i="18"/>
  <c r="F30" i="18"/>
  <c r="F26" i="18"/>
  <c r="D22" i="18"/>
  <c r="D19" i="18"/>
  <c r="D18" i="18"/>
  <c r="D41" i="18"/>
  <c r="D14" i="18"/>
  <c r="D24" i="18"/>
  <c r="D28" i="18"/>
  <c r="D15" i="18"/>
  <c r="D45" i="18"/>
  <c r="D26" i="18"/>
  <c r="E22" i="18"/>
  <c r="E18" i="18"/>
  <c r="E20" i="18" s="1"/>
  <c r="E14" i="18"/>
  <c r="E41" i="18"/>
  <c r="E24" i="18"/>
  <c r="E28" i="18"/>
  <c r="E15" i="18"/>
  <c r="E45" i="18"/>
  <c r="E47" i="18"/>
  <c r="E30" i="18"/>
  <c r="E26" i="18"/>
  <c r="F10" i="18"/>
  <c r="F11" i="18"/>
  <c r="E10" i="18"/>
  <c r="E11" i="18"/>
  <c r="G90" i="17"/>
  <c r="G10" i="18"/>
  <c r="G11" i="18"/>
  <c r="C10" i="18"/>
  <c r="C11" i="18"/>
  <c r="G11" i="56" s="1"/>
  <c r="C8" i="77" s="1"/>
  <c r="C9" i="19"/>
  <c r="H9" i="19" s="1"/>
  <c r="C16" i="19"/>
  <c r="E11" i="19"/>
  <c r="V247" i="17"/>
  <c r="H249" i="17" s="1"/>
  <c r="K249" i="17" s="1"/>
  <c r="F91" i="17" s="1"/>
  <c r="R288" i="17"/>
  <c r="D290" i="17" s="1"/>
  <c r="Q247" i="17"/>
  <c r="C249" i="17" s="1"/>
  <c r="F249" i="17" s="1"/>
  <c r="G249" i="17" s="1"/>
  <c r="C91" i="17" s="1"/>
  <c r="E91" i="17" s="1"/>
  <c r="E29" i="43"/>
  <c r="E48" i="43" s="1"/>
  <c r="E127" i="43"/>
  <c r="E129" i="43" s="1"/>
  <c r="H29" i="43"/>
  <c r="H48" i="43" s="1"/>
  <c r="H127" i="43"/>
  <c r="H129" i="43" s="1"/>
  <c r="G29" i="43"/>
  <c r="G48" i="43" s="1"/>
  <c r="G127" i="43"/>
  <c r="G129" i="43" s="1"/>
  <c r="D29" i="43"/>
  <c r="D48" i="43" s="1"/>
  <c r="D127" i="43"/>
  <c r="D129" i="43" s="1"/>
  <c r="F29" i="43"/>
  <c r="F48" i="43" s="1"/>
  <c r="F127" i="43"/>
  <c r="F129" i="43" s="1"/>
  <c r="C29" i="43"/>
  <c r="C127" i="43"/>
  <c r="C129" i="43" s="1"/>
  <c r="V250" i="17"/>
  <c r="H255" i="17" s="1"/>
  <c r="K255" i="17" s="1"/>
  <c r="F97" i="17" s="1"/>
  <c r="Q250" i="17"/>
  <c r="C255" i="17" s="1"/>
  <c r="F255" i="17" s="1"/>
  <c r="G255" i="17" s="1"/>
  <c r="R291" i="17"/>
  <c r="D296" i="17" s="1"/>
  <c r="N473" i="4"/>
  <c r="M473" i="4"/>
  <c r="AZ473" i="4"/>
  <c r="O473" i="4"/>
  <c r="C36" i="43"/>
  <c r="C136" i="43" s="1"/>
  <c r="F473" i="4"/>
  <c r="Q259" i="17" s="1"/>
  <c r="Z432" i="29"/>
  <c r="BB473" i="4"/>
  <c r="BC473" i="4"/>
  <c r="P473" i="4"/>
  <c r="E61" i="43"/>
  <c r="F61" i="43"/>
  <c r="D61" i="43"/>
  <c r="H61" i="43"/>
  <c r="G61" i="43"/>
  <c r="AF434" i="29"/>
  <c r="AE434" i="29"/>
  <c r="R473" i="4"/>
  <c r="M11" i="70"/>
  <c r="AO469" i="4"/>
  <c r="AK470" i="4"/>
  <c r="AN470" i="4"/>
  <c r="J433" i="29"/>
  <c r="Y433" i="29" s="1"/>
  <c r="I433" i="29"/>
  <c r="K433" i="29" s="1"/>
  <c r="N433" i="29" s="1"/>
  <c r="AV469" i="4"/>
  <c r="V235" i="17"/>
  <c r="D4" i="69"/>
  <c r="I4" i="69" s="1"/>
  <c r="K4" i="69" s="1"/>
  <c r="C13" i="43"/>
  <c r="R276" i="17"/>
  <c r="O5" i="17"/>
  <c r="AW471" i="4"/>
  <c r="H33" i="18" s="1"/>
  <c r="L5" i="69"/>
  <c r="M5" i="69" s="1"/>
  <c r="B16" i="68" s="1"/>
  <c r="V432" i="29"/>
  <c r="W432" i="29" s="1"/>
  <c r="P432" i="29"/>
  <c r="N10" i="17"/>
  <c r="C111" i="43"/>
  <c r="AI470" i="4"/>
  <c r="AH470" i="4"/>
  <c r="K473" i="4"/>
  <c r="AM473" i="4"/>
  <c r="AI435" i="29"/>
  <c r="B435" i="29"/>
  <c r="AD436" i="29"/>
  <c r="Q473" i="4"/>
  <c r="M9" i="69"/>
  <c r="B18" i="68" s="1"/>
  <c r="BA473" i="4"/>
  <c r="I9" i="70"/>
  <c r="J9" i="70" s="1"/>
  <c r="O433" i="29"/>
  <c r="Q235" i="17"/>
  <c r="BD473" i="4"/>
  <c r="AY473" i="4"/>
  <c r="T434" i="29"/>
  <c r="U434" i="29"/>
  <c r="G434" i="29"/>
  <c r="R434" i="29"/>
  <c r="E434" i="29"/>
  <c r="S434" i="29"/>
  <c r="Q434" i="29"/>
  <c r="AF471" i="4"/>
  <c r="AF473" i="4" s="1"/>
  <c r="AC471" i="4"/>
  <c r="BG471" i="4" s="1"/>
  <c r="AE471" i="4"/>
  <c r="AE473" i="4" s="1"/>
  <c r="Z471" i="4"/>
  <c r="AH471" i="4" s="1"/>
  <c r="AD471" i="4"/>
  <c r="AI471" i="4" s="1"/>
  <c r="Y471" i="4"/>
  <c r="Y473" i="4" s="1"/>
  <c r="BH469" i="4"/>
  <c r="H79" i="17"/>
  <c r="Q289" i="17"/>
  <c r="C293" i="17" s="1"/>
  <c r="Q279" i="17"/>
  <c r="C281" i="17" s="1"/>
  <c r="Q283" i="17"/>
  <c r="C285" i="17" s="1"/>
  <c r="Q284" i="17"/>
  <c r="C286" i="17" s="1"/>
  <c r="Q294" i="17"/>
  <c r="C300" i="17" s="1"/>
  <c r="Q295" i="17"/>
  <c r="C302" i="17" s="1"/>
  <c r="Q280" i="17"/>
  <c r="C282" i="17" s="1"/>
  <c r="Q293" i="17"/>
  <c r="Q292" i="17"/>
  <c r="C298" i="17" s="1"/>
  <c r="Q290" i="17"/>
  <c r="C294" i="17" s="1"/>
  <c r="C20" i="18" l="1"/>
  <c r="D20" i="18"/>
  <c r="F20" i="18"/>
  <c r="G20" i="18"/>
  <c r="H375" i="19"/>
  <c r="H403" i="19"/>
  <c r="E393" i="19"/>
  <c r="E33" i="56" s="1"/>
  <c r="H390" i="19"/>
  <c r="H277" i="19"/>
  <c r="E90" i="19"/>
  <c r="C57" i="19"/>
  <c r="L20" i="18"/>
  <c r="G19" i="56"/>
  <c r="C12" i="77" s="1"/>
  <c r="L24" i="18"/>
  <c r="L33" i="18"/>
  <c r="M33" i="18" s="1"/>
  <c r="D12" i="18"/>
  <c r="E12" i="18"/>
  <c r="D38" i="70"/>
  <c r="D43" i="70" s="1"/>
  <c r="G12" i="18"/>
  <c r="F12" i="18"/>
  <c r="C12" i="18"/>
  <c r="C19" i="77"/>
  <c r="H347" i="19"/>
  <c r="G9" i="56"/>
  <c r="C7" i="77" s="1"/>
  <c r="L10" i="18"/>
  <c r="G21" i="56"/>
  <c r="C13" i="77" s="1"/>
  <c r="K492" i="4"/>
  <c r="K520" i="4"/>
  <c r="O512" i="4"/>
  <c r="F496" i="4"/>
  <c r="F508" i="4"/>
  <c r="F516" i="4"/>
  <c r="N512" i="4"/>
  <c r="F15" i="56"/>
  <c r="H119" i="19"/>
  <c r="G27" i="56"/>
  <c r="C16" i="77" s="1"/>
  <c r="H264" i="19"/>
  <c r="N528" i="4"/>
  <c r="O520" i="4"/>
  <c r="AM508" i="4"/>
  <c r="M484" i="4"/>
  <c r="AM492" i="4"/>
  <c r="M512" i="4"/>
  <c r="M524" i="4"/>
  <c r="N484" i="4"/>
  <c r="N520" i="4"/>
  <c r="N488" i="4"/>
  <c r="F512" i="4"/>
  <c r="F524" i="4"/>
  <c r="O528" i="4"/>
  <c r="L45" i="18"/>
  <c r="G38" i="18"/>
  <c r="F34" i="18"/>
  <c r="N516" i="4"/>
  <c r="N508" i="4"/>
  <c r="K512" i="4"/>
  <c r="O484" i="4"/>
  <c r="O488" i="4"/>
  <c r="AM528" i="4"/>
  <c r="K504" i="4"/>
  <c r="F43" i="18"/>
  <c r="G43" i="18"/>
  <c r="E43" i="18"/>
  <c r="D43" i="18"/>
  <c r="BD508" i="4"/>
  <c r="AZ508" i="4"/>
  <c r="BC480" i="4"/>
  <c r="AY528" i="4"/>
  <c r="BC528" i="4"/>
  <c r="AZ484" i="4"/>
  <c r="F484" i="4"/>
  <c r="BA528" i="4"/>
  <c r="AY512" i="4"/>
  <c r="BC512" i="4"/>
  <c r="AY524" i="4"/>
  <c r="BC524" i="4"/>
  <c r="BB488" i="4"/>
  <c r="BD484" i="4"/>
  <c r="AM484" i="4"/>
  <c r="F480" i="4"/>
  <c r="K528" i="4"/>
  <c r="O516" i="4"/>
  <c r="M480" i="4"/>
  <c r="K484" i="4"/>
  <c r="O508" i="4"/>
  <c r="M528" i="4"/>
  <c r="F504" i="4"/>
  <c r="BA520" i="4"/>
  <c r="AY516" i="4"/>
  <c r="K508" i="4"/>
  <c r="O480" i="4"/>
  <c r="AM520" i="4"/>
  <c r="F520" i="4"/>
  <c r="N480" i="4"/>
  <c r="K488" i="4"/>
  <c r="N524" i="4"/>
  <c r="BA488" i="4"/>
  <c r="BD488" i="4"/>
  <c r="O492" i="4"/>
  <c r="O524" i="4"/>
  <c r="BC488" i="4"/>
  <c r="AM524" i="4"/>
  <c r="AM488" i="4"/>
  <c r="AZ488" i="4"/>
  <c r="M508" i="4"/>
  <c r="F488" i="4"/>
  <c r="N492" i="4"/>
  <c r="BB520" i="4"/>
  <c r="AM500" i="4"/>
  <c r="K496" i="4"/>
  <c r="BD520" i="4"/>
  <c r="BC516" i="4"/>
  <c r="AZ520" i="4"/>
  <c r="BB492" i="4"/>
  <c r="AY504" i="4"/>
  <c r="BC504" i="4"/>
  <c r="BB508" i="4"/>
  <c r="BB484" i="4"/>
  <c r="BA524" i="4"/>
  <c r="BA484" i="4"/>
  <c r="AY508" i="4"/>
  <c r="BC508" i="4"/>
  <c r="BC484" i="4"/>
  <c r="BD500" i="4"/>
  <c r="BB500" i="4"/>
  <c r="AY520" i="4"/>
  <c r="BC520" i="4"/>
  <c r="BA504" i="4"/>
  <c r="AY480" i="4"/>
  <c r="BD492" i="4"/>
  <c r="AZ492" i="4"/>
  <c r="BA500" i="4"/>
  <c r="BC500" i="4"/>
  <c r="AY500" i="4"/>
  <c r="AZ500" i="4"/>
  <c r="AI498" i="4"/>
  <c r="AI499" i="4"/>
  <c r="AH498" i="4"/>
  <c r="AH499" i="4"/>
  <c r="BG498" i="4"/>
  <c r="BG499" i="4"/>
  <c r="K480" i="4"/>
  <c r="AW498" i="4"/>
  <c r="AW499" i="4"/>
  <c r="AI487" i="4"/>
  <c r="AI491" i="4"/>
  <c r="AI483" i="4"/>
  <c r="AI515" i="4"/>
  <c r="AI523" i="4"/>
  <c r="AI527" i="4"/>
  <c r="AI503" i="4"/>
  <c r="AI507" i="4"/>
  <c r="AI519" i="4"/>
  <c r="AI511" i="4"/>
  <c r="AI479" i="4"/>
  <c r="AI495" i="4"/>
  <c r="AI482" i="4"/>
  <c r="AI486" i="4"/>
  <c r="AI490" i="4"/>
  <c r="AI514" i="4"/>
  <c r="AI516" i="4" s="1"/>
  <c r="AI522" i="4"/>
  <c r="AI524" i="4" s="1"/>
  <c r="AI526" i="4"/>
  <c r="AI528" i="4" s="1"/>
  <c r="AI502" i="4"/>
  <c r="AI504" i="4" s="1"/>
  <c r="AI518" i="4"/>
  <c r="AI506" i="4"/>
  <c r="AI510" i="4"/>
  <c r="AI512" i="4" s="1"/>
  <c r="AI478" i="4"/>
  <c r="AI480" i="4" s="1"/>
  <c r="AI494" i="4"/>
  <c r="AI496" i="4" s="1"/>
  <c r="AH483" i="4"/>
  <c r="AH491" i="4"/>
  <c r="AH495" i="4"/>
  <c r="AH487" i="4"/>
  <c r="AH515" i="4"/>
  <c r="AH519" i="4"/>
  <c r="AH523" i="4"/>
  <c r="AH527" i="4"/>
  <c r="AH503" i="4"/>
  <c r="AH507" i="4"/>
  <c r="AH511" i="4"/>
  <c r="AH479" i="4"/>
  <c r="AH482" i="4"/>
  <c r="AH484" i="4" s="1"/>
  <c r="AH486" i="4"/>
  <c r="AH490" i="4"/>
  <c r="AH514" i="4"/>
  <c r="AH522" i="4"/>
  <c r="AH526" i="4"/>
  <c r="AH502" i="4"/>
  <c r="AH518" i="4"/>
  <c r="AH506" i="4"/>
  <c r="AH510" i="4"/>
  <c r="AH478" i="4"/>
  <c r="AH494" i="4"/>
  <c r="AW487" i="4"/>
  <c r="AW483" i="4"/>
  <c r="AW491" i="4"/>
  <c r="AW515" i="4"/>
  <c r="AW523" i="4"/>
  <c r="AW527" i="4"/>
  <c r="AW503" i="4"/>
  <c r="AW519" i="4"/>
  <c r="AW507" i="4"/>
  <c r="AW511" i="4"/>
  <c r="AW479" i="4"/>
  <c r="AW495" i="4"/>
  <c r="AW482" i="4"/>
  <c r="AW490" i="4"/>
  <c r="AW486" i="4"/>
  <c r="AW514" i="4"/>
  <c r="AW516" i="4" s="1"/>
  <c r="AW526" i="4"/>
  <c r="AW522" i="4"/>
  <c r="AW502" i="4"/>
  <c r="AW504" i="4" s="1"/>
  <c r="AW518" i="4"/>
  <c r="AW520" i="4" s="1"/>
  <c r="AW506" i="4"/>
  <c r="AW508" i="4" s="1"/>
  <c r="AW510" i="4"/>
  <c r="AW512" i="4" s="1"/>
  <c r="AW478" i="4"/>
  <c r="AW480" i="4" s="1"/>
  <c r="AW494" i="4"/>
  <c r="AW496" i="4" s="1"/>
  <c r="BG491" i="4"/>
  <c r="BG483" i="4"/>
  <c r="BG487" i="4"/>
  <c r="BG495" i="4"/>
  <c r="BG515" i="4"/>
  <c r="BG519" i="4"/>
  <c r="BG523" i="4"/>
  <c r="BG527" i="4"/>
  <c r="BG507" i="4"/>
  <c r="BG511" i="4"/>
  <c r="BG479" i="4"/>
  <c r="BG503" i="4"/>
  <c r="BG482" i="4"/>
  <c r="BG486" i="4"/>
  <c r="BG490" i="4"/>
  <c r="BG514" i="4"/>
  <c r="BG522" i="4"/>
  <c r="BG526" i="4"/>
  <c r="BG502" i="4"/>
  <c r="BG518" i="4"/>
  <c r="BG506" i="4"/>
  <c r="BG508" i="4" s="1"/>
  <c r="BG510" i="4"/>
  <c r="BG512" i="4" s="1"/>
  <c r="BG478" i="4"/>
  <c r="BG480" i="4" s="1"/>
  <c r="BG494" i="4"/>
  <c r="BG496" i="4" s="1"/>
  <c r="H88" i="19"/>
  <c r="H86" i="19"/>
  <c r="H16" i="19"/>
  <c r="H22" i="19" s="1"/>
  <c r="H23" i="19" s="1"/>
  <c r="H90" i="17"/>
  <c r="C38" i="70"/>
  <c r="C43" i="18"/>
  <c r="L36" i="18"/>
  <c r="M36" i="18" s="1"/>
  <c r="C38" i="18"/>
  <c r="C34" i="18"/>
  <c r="L39" i="18"/>
  <c r="H39" i="18"/>
  <c r="H40" i="18"/>
  <c r="L40" i="18"/>
  <c r="C393" i="19"/>
  <c r="D33" i="56" s="1"/>
  <c r="H332" i="19"/>
  <c r="E337" i="19"/>
  <c r="E27" i="56" s="1"/>
  <c r="H189" i="19"/>
  <c r="H262" i="19"/>
  <c r="H187" i="19"/>
  <c r="H191" i="19"/>
  <c r="C232" i="19"/>
  <c r="D23" i="56" s="1"/>
  <c r="H23" i="56" s="1"/>
  <c r="H228" i="19"/>
  <c r="H226" i="19"/>
  <c r="E232" i="19"/>
  <c r="E23" i="56" s="1"/>
  <c r="D159" i="19"/>
  <c r="D337" i="19"/>
  <c r="L37" i="18"/>
  <c r="H34" i="18"/>
  <c r="H37" i="18"/>
  <c r="H38" i="18" s="1"/>
  <c r="H334" i="19"/>
  <c r="D34" i="18"/>
  <c r="Q278" i="17"/>
  <c r="C278" i="17" s="1"/>
  <c r="AX469" i="4"/>
  <c r="C48" i="43"/>
  <c r="H221" i="19"/>
  <c r="H219" i="19"/>
  <c r="H242" i="19"/>
  <c r="C267" i="19"/>
  <c r="D25" i="56" s="1"/>
  <c r="H25" i="56" s="1"/>
  <c r="H255" i="19"/>
  <c r="H325" i="19"/>
  <c r="C337" i="19"/>
  <c r="D27" i="56" s="1"/>
  <c r="H330" i="19"/>
  <c r="H257" i="19"/>
  <c r="E267" i="19"/>
  <c r="E25" i="56" s="1"/>
  <c r="D267" i="19"/>
  <c r="H260" i="19"/>
  <c r="D196" i="19"/>
  <c r="C124" i="19"/>
  <c r="D232" i="19"/>
  <c r="H224" i="19"/>
  <c r="H67" i="19"/>
  <c r="E34" i="18"/>
  <c r="H388" i="19"/>
  <c r="H362" i="19"/>
  <c r="E364" i="19"/>
  <c r="E31" i="56" s="1"/>
  <c r="C364" i="19"/>
  <c r="D31" i="56" s="1"/>
  <c r="H31" i="56" s="1"/>
  <c r="H360" i="19"/>
  <c r="B58" i="17"/>
  <c r="E196" i="19"/>
  <c r="E21" i="56" s="1"/>
  <c r="H184" i="19"/>
  <c r="H206" i="19"/>
  <c r="C196" i="19"/>
  <c r="H182" i="19"/>
  <c r="E124" i="19"/>
  <c r="E17" i="56" s="1"/>
  <c r="H154" i="19"/>
  <c r="H149" i="19"/>
  <c r="E159" i="19"/>
  <c r="E19" i="56" s="1"/>
  <c r="H169" i="19"/>
  <c r="C159" i="19"/>
  <c r="H147" i="19"/>
  <c r="H100" i="19"/>
  <c r="H81" i="19"/>
  <c r="H83" i="19"/>
  <c r="H48" i="19"/>
  <c r="H50" i="19"/>
  <c r="H35" i="19"/>
  <c r="E16" i="18"/>
  <c r="L26" i="18"/>
  <c r="L15" i="18"/>
  <c r="L41" i="18"/>
  <c r="H10" i="18"/>
  <c r="H22" i="18"/>
  <c r="H18" i="18"/>
  <c r="H41" i="18"/>
  <c r="H14" i="18"/>
  <c r="H24" i="18"/>
  <c r="H28" i="18"/>
  <c r="H15" i="18"/>
  <c r="H19" i="18"/>
  <c r="H45" i="18"/>
  <c r="H47" i="18"/>
  <c r="H30" i="18"/>
  <c r="H26" i="18"/>
  <c r="L30" i="18"/>
  <c r="L28" i="18"/>
  <c r="G15" i="56"/>
  <c r="L18" i="18"/>
  <c r="L47" i="18"/>
  <c r="L19" i="18"/>
  <c r="D16" i="18"/>
  <c r="F16" i="18"/>
  <c r="C16" i="18"/>
  <c r="G13" i="56" s="1"/>
  <c r="C9" i="77" s="1"/>
  <c r="L14" i="18"/>
  <c r="L22" i="18"/>
  <c r="G16" i="18"/>
  <c r="H11" i="18"/>
  <c r="L11" i="18"/>
  <c r="E13" i="19"/>
  <c r="E9" i="56" s="1"/>
  <c r="H11" i="19"/>
  <c r="H13" i="19" s="1"/>
  <c r="H4" i="69"/>
  <c r="H134" i="19"/>
  <c r="G91" i="17"/>
  <c r="H91" i="17" s="1"/>
  <c r="O476" i="4"/>
  <c r="D44" i="70" s="1"/>
  <c r="D45" i="70" s="1"/>
  <c r="C61" i="43"/>
  <c r="C64" i="43" s="1"/>
  <c r="AW473" i="4"/>
  <c r="C13" i="19"/>
  <c r="C22" i="19"/>
  <c r="D11" i="56" s="1"/>
  <c r="F11" i="56" s="1"/>
  <c r="E246" i="19"/>
  <c r="AV470" i="4"/>
  <c r="BH471" i="4"/>
  <c r="V433" i="29"/>
  <c r="W433" i="29" s="1"/>
  <c r="P433" i="29"/>
  <c r="C235" i="17"/>
  <c r="F235" i="17" s="1"/>
  <c r="G235" i="17" s="1"/>
  <c r="C77" i="17" s="1"/>
  <c r="E77" i="17" s="1"/>
  <c r="Q258" i="17"/>
  <c r="Z433" i="29"/>
  <c r="AI436" i="29"/>
  <c r="AD437" i="29"/>
  <c r="B436" i="29"/>
  <c r="AJ471" i="4"/>
  <c r="Z473" i="4"/>
  <c r="BE469" i="4"/>
  <c r="BF469" i="4" s="1"/>
  <c r="H110" i="43"/>
  <c r="H113" i="43" s="1"/>
  <c r="H64" i="43"/>
  <c r="O434" i="29"/>
  <c r="L9" i="70"/>
  <c r="J38" i="70"/>
  <c r="K46" i="70" s="1"/>
  <c r="M9" i="70"/>
  <c r="U435" i="29"/>
  <c r="Q435" i="29"/>
  <c r="R435" i="29"/>
  <c r="G435" i="29"/>
  <c r="S435" i="29"/>
  <c r="E435" i="29"/>
  <c r="T435" i="29"/>
  <c r="BH470" i="4"/>
  <c r="AH473" i="4"/>
  <c r="D110" i="43"/>
  <c r="D113" i="43" s="1"/>
  <c r="D64" i="43"/>
  <c r="R300" i="17"/>
  <c r="AG471" i="4"/>
  <c r="AG498" i="4" s="1"/>
  <c r="AG500" i="4" s="1"/>
  <c r="AE435" i="29"/>
  <c r="AF435" i="29"/>
  <c r="V259" i="17"/>
  <c r="F58" i="17"/>
  <c r="AD473" i="4"/>
  <c r="L4" i="69"/>
  <c r="M4" i="69" s="1"/>
  <c r="H235" i="17"/>
  <c r="K235" i="17" s="1"/>
  <c r="F77" i="17" s="1"/>
  <c r="V258" i="17"/>
  <c r="Z258" i="17" s="1"/>
  <c r="I434" i="29"/>
  <c r="K434" i="29" s="1"/>
  <c r="N434" i="29" s="1"/>
  <c r="J434" i="29"/>
  <c r="Y434" i="29" s="1"/>
  <c r="F64" i="43"/>
  <c r="F110" i="43"/>
  <c r="F113" i="43" s="1"/>
  <c r="AK471" i="4"/>
  <c r="AN471" i="4"/>
  <c r="AO470" i="4"/>
  <c r="AI473" i="4"/>
  <c r="R299" i="17"/>
  <c r="D276" i="17"/>
  <c r="G110" i="43"/>
  <c r="G113" i="43" s="1"/>
  <c r="G64" i="43"/>
  <c r="E110" i="43"/>
  <c r="E113" i="43" s="1"/>
  <c r="E64" i="43"/>
  <c r="F33" i="56" l="1"/>
  <c r="M24" i="18"/>
  <c r="H20" i="18"/>
  <c r="M20" i="18" s="1"/>
  <c r="H57" i="19"/>
  <c r="H90" i="19"/>
  <c r="F13" i="56"/>
  <c r="H12" i="18"/>
  <c r="H33" i="56"/>
  <c r="E54" i="18"/>
  <c r="G54" i="18"/>
  <c r="G29" i="56"/>
  <c r="M26" i="18"/>
  <c r="H15" i="56"/>
  <c r="C10" i="77"/>
  <c r="M10" i="18"/>
  <c r="M45" i="18"/>
  <c r="M19" i="18"/>
  <c r="M18" i="18"/>
  <c r="M15" i="18"/>
  <c r="F31" i="56"/>
  <c r="F23" i="56"/>
  <c r="H13" i="56"/>
  <c r="M28" i="18"/>
  <c r="F27" i="56"/>
  <c r="M14" i="18"/>
  <c r="F25" i="56"/>
  <c r="M30" i="18"/>
  <c r="M47" i="18"/>
  <c r="M22" i="18"/>
  <c r="D19" i="56"/>
  <c r="H19" i="56" s="1"/>
  <c r="D17" i="56"/>
  <c r="F17" i="56" s="1"/>
  <c r="D9" i="56"/>
  <c r="H9" i="56" s="1"/>
  <c r="D21" i="56"/>
  <c r="F21" i="56" s="1"/>
  <c r="H11" i="56"/>
  <c r="H27" i="56"/>
  <c r="E268" i="19"/>
  <c r="E197" i="19"/>
  <c r="E233" i="19"/>
  <c r="E338" i="19"/>
  <c r="BG488" i="4"/>
  <c r="AH512" i="4"/>
  <c r="BG524" i="4"/>
  <c r="AH524" i="4"/>
  <c r="AI484" i="4"/>
  <c r="AH496" i="4"/>
  <c r="H43" i="18"/>
  <c r="AW488" i="4"/>
  <c r="AW524" i="4"/>
  <c r="AI488" i="4"/>
  <c r="BG516" i="4"/>
  <c r="AH516" i="4"/>
  <c r="AI520" i="4"/>
  <c r="BG492" i="4"/>
  <c r="AH504" i="4"/>
  <c r="AH500" i="4"/>
  <c r="BG484" i="4"/>
  <c r="AH508" i="4"/>
  <c r="BG520" i="4"/>
  <c r="AH520" i="4"/>
  <c r="BG500" i="4"/>
  <c r="AI500" i="4"/>
  <c r="AH492" i="4"/>
  <c r="AI492" i="4"/>
  <c r="AW528" i="4"/>
  <c r="AW484" i="4"/>
  <c r="AW492" i="4"/>
  <c r="AW500" i="4"/>
  <c r="AJ498" i="4"/>
  <c r="AJ499" i="4"/>
  <c r="AN498" i="4"/>
  <c r="AN499" i="4"/>
  <c r="AK498" i="4"/>
  <c r="AK499" i="4"/>
  <c r="BH498" i="4"/>
  <c r="BH499" i="4"/>
  <c r="AG487" i="4"/>
  <c r="AG483" i="4"/>
  <c r="AG491" i="4"/>
  <c r="AG515" i="4"/>
  <c r="AG523" i="4"/>
  <c r="AG527" i="4"/>
  <c r="AG503" i="4"/>
  <c r="AG519" i="4"/>
  <c r="AG507" i="4"/>
  <c r="AG511" i="4"/>
  <c r="AG479" i="4"/>
  <c r="AG495" i="4"/>
  <c r="AG482" i="4"/>
  <c r="AG486" i="4"/>
  <c r="AG514" i="4"/>
  <c r="AG516" i="4" s="1"/>
  <c r="AG526" i="4"/>
  <c r="AG522" i="4"/>
  <c r="AG524" i="4" s="1"/>
  <c r="AG502" i="4"/>
  <c r="AG506" i="4"/>
  <c r="AG510" i="4"/>
  <c r="AG478" i="4"/>
  <c r="AG490" i="4"/>
  <c r="AG494" i="4"/>
  <c r="AG496" i="4" s="1"/>
  <c r="AG518" i="4"/>
  <c r="AG520" i="4" s="1"/>
  <c r="AN483" i="4"/>
  <c r="AN487" i="4"/>
  <c r="AN491" i="4"/>
  <c r="AN515" i="4"/>
  <c r="AN519" i="4"/>
  <c r="AN523" i="4"/>
  <c r="AN527" i="4"/>
  <c r="AN503" i="4"/>
  <c r="AN507" i="4"/>
  <c r="AN511" i="4"/>
  <c r="AN479" i="4"/>
  <c r="AN495" i="4"/>
  <c r="AN482" i="4"/>
  <c r="AN484" i="4" s="1"/>
  <c r="AN486" i="4"/>
  <c r="AN488" i="4" s="1"/>
  <c r="AN490" i="4"/>
  <c r="AN492" i="4" s="1"/>
  <c r="AN514" i="4"/>
  <c r="AN516" i="4" s="1"/>
  <c r="AN522" i="4"/>
  <c r="AN526" i="4"/>
  <c r="AN518" i="4"/>
  <c r="AN506" i="4"/>
  <c r="AN510" i="4"/>
  <c r="AN478" i="4"/>
  <c r="AN494" i="4"/>
  <c r="AN496" i="4" s="1"/>
  <c r="AN502" i="4"/>
  <c r="AN504" i="4" s="1"/>
  <c r="BH487" i="4"/>
  <c r="BH491" i="4"/>
  <c r="BH483" i="4"/>
  <c r="BH515" i="4"/>
  <c r="BH523" i="4"/>
  <c r="BH527" i="4"/>
  <c r="BH503" i="4"/>
  <c r="BH507" i="4"/>
  <c r="BH519" i="4"/>
  <c r="BH511" i="4"/>
  <c r="BH479" i="4"/>
  <c r="BH495" i="4"/>
  <c r="BH482" i="4"/>
  <c r="BH486" i="4"/>
  <c r="BH490" i="4"/>
  <c r="BH522" i="4"/>
  <c r="BH526" i="4"/>
  <c r="BH502" i="4"/>
  <c r="BH514" i="4"/>
  <c r="BH518" i="4"/>
  <c r="BH506" i="4"/>
  <c r="BH510" i="4"/>
  <c r="BH512" i="4" s="1"/>
  <c r="BH478" i="4"/>
  <c r="BH480" i="4" s="1"/>
  <c r="BH494" i="4"/>
  <c r="BH496" i="4" s="1"/>
  <c r="BG504" i="4"/>
  <c r="AH480" i="4"/>
  <c r="BG528" i="4"/>
  <c r="AH528" i="4"/>
  <c r="AH488" i="4"/>
  <c r="AJ487" i="4"/>
  <c r="AJ483" i="4"/>
  <c r="AJ491" i="4"/>
  <c r="AJ515" i="4"/>
  <c r="AJ519" i="4"/>
  <c r="AJ523" i="4"/>
  <c r="AJ527" i="4"/>
  <c r="AJ503" i="4"/>
  <c r="AJ507" i="4"/>
  <c r="AJ511" i="4"/>
  <c r="AJ479" i="4"/>
  <c r="AJ495" i="4"/>
  <c r="AJ482" i="4"/>
  <c r="AJ486" i="4"/>
  <c r="AJ490" i="4"/>
  <c r="AJ492" i="4" s="1"/>
  <c r="AJ514" i="4"/>
  <c r="AJ516" i="4" s="1"/>
  <c r="AJ522" i="4"/>
  <c r="AJ526" i="4"/>
  <c r="AJ502" i="4"/>
  <c r="AJ518" i="4"/>
  <c r="AJ506" i="4"/>
  <c r="AJ508" i="4" s="1"/>
  <c r="AJ510" i="4"/>
  <c r="AJ512" i="4" s="1"/>
  <c r="AJ478" i="4"/>
  <c r="AJ480" i="4" s="1"/>
  <c r="AJ494" i="4"/>
  <c r="AJ496" i="4" s="1"/>
  <c r="AK491" i="4"/>
  <c r="AK483" i="4"/>
  <c r="AK487" i="4"/>
  <c r="AK515" i="4"/>
  <c r="AK523" i="4"/>
  <c r="AK527" i="4"/>
  <c r="AK503" i="4"/>
  <c r="AK507" i="4"/>
  <c r="AK519" i="4"/>
  <c r="AK511" i="4"/>
  <c r="AK479" i="4"/>
  <c r="AK495" i="4"/>
  <c r="AK482" i="4"/>
  <c r="AK486" i="4"/>
  <c r="AK490" i="4"/>
  <c r="AK514" i="4"/>
  <c r="AK516" i="4" s="1"/>
  <c r="AK522" i="4"/>
  <c r="AK524" i="4" s="1"/>
  <c r="AK526" i="4"/>
  <c r="AK528" i="4" s="1"/>
  <c r="AK518" i="4"/>
  <c r="AK506" i="4"/>
  <c r="AK508" i="4" s="1"/>
  <c r="AK510" i="4"/>
  <c r="AK478" i="4"/>
  <c r="AK494" i="4"/>
  <c r="AK502" i="4"/>
  <c r="AI508" i="4"/>
  <c r="H24" i="19"/>
  <c r="AK473" i="4"/>
  <c r="AJ473" i="4"/>
  <c r="H393" i="19"/>
  <c r="E160" i="19"/>
  <c r="E125" i="19"/>
  <c r="Q287" i="17"/>
  <c r="C289" i="17" s="1"/>
  <c r="AX470" i="4"/>
  <c r="Z434" i="29"/>
  <c r="H364" i="19"/>
  <c r="H232" i="19"/>
  <c r="H196" i="19"/>
  <c r="C110" i="43"/>
  <c r="C113" i="43" s="1"/>
  <c r="E365" i="19"/>
  <c r="H337" i="19"/>
  <c r="H267" i="19"/>
  <c r="H16" i="18"/>
  <c r="C24" i="19"/>
  <c r="M11" i="18"/>
  <c r="E14" i="19"/>
  <c r="E24" i="19"/>
  <c r="Q277" i="17"/>
  <c r="AN473" i="4"/>
  <c r="BE470" i="4"/>
  <c r="BF470" i="4" s="1"/>
  <c r="AO471" i="4"/>
  <c r="G77" i="17"/>
  <c r="H77" i="17" s="1"/>
  <c r="N5" i="17"/>
  <c r="V434" i="29"/>
  <c r="W434" i="29" s="1"/>
  <c r="P434" i="29"/>
  <c r="M176" i="69"/>
  <c r="B15" i="68"/>
  <c r="I435" i="29"/>
  <c r="K435" i="29" s="1"/>
  <c r="N435" i="29" s="1"/>
  <c r="J435" i="29"/>
  <c r="Y435" i="29" s="1"/>
  <c r="AI437" i="29"/>
  <c r="B437" i="29"/>
  <c r="AD438" i="29"/>
  <c r="O435" i="29"/>
  <c r="B27" i="68"/>
  <c r="B32" i="68" s="1"/>
  <c r="L38" i="70"/>
  <c r="AE436" i="29"/>
  <c r="AF436" i="29"/>
  <c r="AG473" i="4"/>
  <c r="AV471" i="4"/>
  <c r="I33" i="18" s="1"/>
  <c r="J33" i="18" s="1"/>
  <c r="N6" i="17"/>
  <c r="M38" i="70"/>
  <c r="E27" i="68"/>
  <c r="E32" i="68" s="1"/>
  <c r="G436" i="29"/>
  <c r="Q436" i="29"/>
  <c r="E436" i="29"/>
  <c r="S436" i="29"/>
  <c r="T436" i="29"/>
  <c r="R436" i="29"/>
  <c r="U436" i="29"/>
  <c r="AK480" i="4" l="1"/>
  <c r="AK488" i="4"/>
  <c r="AJ528" i="4"/>
  <c r="H21" i="56"/>
  <c r="F9" i="56"/>
  <c r="H17" i="56"/>
  <c r="F19" i="56"/>
  <c r="H338" i="19"/>
  <c r="H197" i="19"/>
  <c r="H365" i="19"/>
  <c r="AN520" i="4"/>
  <c r="AG508" i="4"/>
  <c r="AG488" i="4"/>
  <c r="AN508" i="4"/>
  <c r="AK496" i="4"/>
  <c r="AJ504" i="4"/>
  <c r="BH488" i="4"/>
  <c r="AK512" i="4"/>
  <c r="AK484" i="4"/>
  <c r="AJ524" i="4"/>
  <c r="AJ484" i="4"/>
  <c r="AN480" i="4"/>
  <c r="AN528" i="4"/>
  <c r="AG492" i="4"/>
  <c r="AG504" i="4"/>
  <c r="AG480" i="4"/>
  <c r="BH504" i="4"/>
  <c r="BH520" i="4"/>
  <c r="BH524" i="4"/>
  <c r="AK504" i="4"/>
  <c r="BH484" i="4"/>
  <c r="AN500" i="4"/>
  <c r="AV498" i="4"/>
  <c r="AV500" i="4" s="1"/>
  <c r="AJ520" i="4"/>
  <c r="BH528" i="4"/>
  <c r="AN512" i="4"/>
  <c r="AN524" i="4"/>
  <c r="AG484" i="4"/>
  <c r="AJ500" i="4"/>
  <c r="AK520" i="4"/>
  <c r="AK492" i="4"/>
  <c r="AG512" i="4"/>
  <c r="AG528" i="4"/>
  <c r="AJ488" i="4"/>
  <c r="BH492" i="4"/>
  <c r="BH508" i="4"/>
  <c r="BH516" i="4"/>
  <c r="BH500" i="4"/>
  <c r="AO498" i="4"/>
  <c r="AO499" i="4"/>
  <c r="AK500" i="4"/>
  <c r="AO487" i="4"/>
  <c r="AO483" i="4"/>
  <c r="AO491" i="4"/>
  <c r="AO515" i="4"/>
  <c r="AO523" i="4"/>
  <c r="AO527" i="4"/>
  <c r="AO503" i="4"/>
  <c r="AO507" i="4"/>
  <c r="AO519" i="4"/>
  <c r="AO511" i="4"/>
  <c r="AO495" i="4"/>
  <c r="AO482" i="4"/>
  <c r="AO486" i="4"/>
  <c r="AO488" i="4" s="1"/>
  <c r="AO490" i="4"/>
  <c r="AO526" i="4"/>
  <c r="AO522" i="4"/>
  <c r="AO514" i="4"/>
  <c r="AO518" i="4"/>
  <c r="AO506" i="4"/>
  <c r="AO510" i="4"/>
  <c r="AO478" i="4"/>
  <c r="AO494" i="4"/>
  <c r="AO502" i="4"/>
  <c r="AO504" i="4" s="1"/>
  <c r="AO479" i="4"/>
  <c r="AV491" i="4"/>
  <c r="AV487" i="4"/>
  <c r="AV519" i="4"/>
  <c r="AV523" i="4"/>
  <c r="AV527" i="4"/>
  <c r="AV503" i="4"/>
  <c r="AV515" i="4"/>
  <c r="AV507" i="4"/>
  <c r="AV511" i="4"/>
  <c r="AV483" i="4"/>
  <c r="AV486" i="4"/>
  <c r="AV522" i="4"/>
  <c r="AV524" i="4" s="1"/>
  <c r="AV526" i="4"/>
  <c r="AV528" i="4" s="1"/>
  <c r="AV502" i="4"/>
  <c r="AV504" i="4" s="1"/>
  <c r="AV514" i="4"/>
  <c r="AV516" i="4" s="1"/>
  <c r="AV518" i="4"/>
  <c r="AV506" i="4"/>
  <c r="AV510" i="4"/>
  <c r="AV482" i="4"/>
  <c r="AV490" i="4"/>
  <c r="AV478" i="4"/>
  <c r="AV494" i="4"/>
  <c r="AV479" i="4"/>
  <c r="AV495" i="4"/>
  <c r="I40" i="18"/>
  <c r="I39" i="18"/>
  <c r="AX471" i="4"/>
  <c r="AX473" i="4" s="1"/>
  <c r="I37" i="18"/>
  <c r="H233" i="19"/>
  <c r="H268" i="19"/>
  <c r="H124" i="19"/>
  <c r="H159" i="19"/>
  <c r="I34" i="18"/>
  <c r="I22" i="18"/>
  <c r="I19" i="18"/>
  <c r="I14" i="18"/>
  <c r="I41" i="18"/>
  <c r="I24" i="18"/>
  <c r="I28" i="18"/>
  <c r="I15" i="18"/>
  <c r="I18" i="18"/>
  <c r="I20" i="18" s="1"/>
  <c r="I45" i="18"/>
  <c r="I47" i="18"/>
  <c r="I30" i="18"/>
  <c r="I26" i="18"/>
  <c r="H14" i="19"/>
  <c r="I10" i="18"/>
  <c r="I11" i="18"/>
  <c r="Q288" i="17"/>
  <c r="C290" i="17" s="1"/>
  <c r="Q291" i="17"/>
  <c r="C296" i="17" s="1"/>
  <c r="AO473" i="4"/>
  <c r="O436" i="29"/>
  <c r="Z435" i="29"/>
  <c r="AI438" i="29"/>
  <c r="B438" i="29"/>
  <c r="AD439" i="29"/>
  <c r="V435" i="29"/>
  <c r="W435" i="29" s="1"/>
  <c r="P435" i="29"/>
  <c r="S437" i="29"/>
  <c r="G437" i="29"/>
  <c r="Q437" i="29"/>
  <c r="E437" i="29"/>
  <c r="T437" i="29"/>
  <c r="R437" i="29"/>
  <c r="U437" i="29"/>
  <c r="AV473" i="4"/>
  <c r="Q276" i="17"/>
  <c r="BE471" i="4"/>
  <c r="J54" i="70"/>
  <c r="L41" i="70"/>
  <c r="L176" i="69"/>
  <c r="K187" i="69" s="1"/>
  <c r="AE437" i="29"/>
  <c r="AF437" i="29"/>
  <c r="J436" i="29"/>
  <c r="Y436" i="29" s="1"/>
  <c r="I436" i="29"/>
  <c r="K436" i="29" s="1"/>
  <c r="N436" i="29" s="1"/>
  <c r="I12" i="18" l="1"/>
  <c r="J12" i="18" s="1"/>
  <c r="H26" i="19" s="1"/>
  <c r="H29" i="56"/>
  <c r="C17" i="77"/>
  <c r="H125" i="19"/>
  <c r="AO520" i="4"/>
  <c r="AO508" i="4"/>
  <c r="AV508" i="4"/>
  <c r="AO516" i="4"/>
  <c r="I38" i="18"/>
  <c r="I43" i="18"/>
  <c r="AO496" i="4"/>
  <c r="AO492" i="4"/>
  <c r="AO500" i="4"/>
  <c r="AV520" i="4"/>
  <c r="AO512" i="4"/>
  <c r="AO524" i="4"/>
  <c r="AO484" i="4"/>
  <c r="AO528" i="4"/>
  <c r="AV484" i="4"/>
  <c r="AV488" i="4"/>
  <c r="AV512" i="4"/>
  <c r="AV492" i="4"/>
  <c r="AO480" i="4"/>
  <c r="AV480" i="4"/>
  <c r="BE487" i="4"/>
  <c r="BE515" i="4"/>
  <c r="BE519" i="4"/>
  <c r="BE523" i="4"/>
  <c r="BE527" i="4"/>
  <c r="BE507" i="4"/>
  <c r="BE511" i="4"/>
  <c r="BE483" i="4"/>
  <c r="BE491" i="4"/>
  <c r="BE503" i="4"/>
  <c r="BE486" i="4"/>
  <c r="BE522" i="4"/>
  <c r="BE526" i="4"/>
  <c r="BE528" i="4" s="1"/>
  <c r="BE514" i="4"/>
  <c r="BE516" i="4" s="1"/>
  <c r="BE506" i="4"/>
  <c r="BE510" i="4"/>
  <c r="BE482" i="4"/>
  <c r="BE490" i="4"/>
  <c r="BE518" i="4"/>
  <c r="BE520" i="4" s="1"/>
  <c r="BE502" i="4"/>
  <c r="BE478" i="4"/>
  <c r="BE494" i="4"/>
  <c r="BE495" i="4"/>
  <c r="BE479" i="4"/>
  <c r="AV496" i="4"/>
  <c r="M39" i="18"/>
  <c r="J39" i="18"/>
  <c r="M40" i="18"/>
  <c r="J40" i="18"/>
  <c r="M37" i="18"/>
  <c r="J37" i="18"/>
  <c r="J24" i="18"/>
  <c r="H161" i="19" s="1"/>
  <c r="J34" i="18"/>
  <c r="H339" i="19" s="1"/>
  <c r="J47" i="18"/>
  <c r="J28" i="18"/>
  <c r="J19" i="18"/>
  <c r="J45" i="18"/>
  <c r="H367" i="19" s="1"/>
  <c r="J22" i="18"/>
  <c r="H126" i="19" s="1"/>
  <c r="J26" i="18"/>
  <c r="J18" i="18"/>
  <c r="J41" i="18"/>
  <c r="M41" i="18"/>
  <c r="J30" i="18"/>
  <c r="J15" i="18"/>
  <c r="I16" i="18"/>
  <c r="J14" i="18"/>
  <c r="J11" i="18"/>
  <c r="Z436" i="29"/>
  <c r="P436" i="29"/>
  <c r="V436" i="29"/>
  <c r="W436" i="29" s="1"/>
  <c r="Q299" i="17"/>
  <c r="C276" i="17"/>
  <c r="I437" i="29"/>
  <c r="K437" i="29" s="1"/>
  <c r="N437" i="29" s="1"/>
  <c r="J437" i="29"/>
  <c r="Y437" i="29" s="1"/>
  <c r="J10" i="18"/>
  <c r="AI439" i="29"/>
  <c r="AD440" i="29"/>
  <c r="B439" i="29"/>
  <c r="O437" i="29"/>
  <c r="G438" i="29"/>
  <c r="Q438" i="29"/>
  <c r="T438" i="29"/>
  <c r="S438" i="29"/>
  <c r="U438" i="29"/>
  <c r="E438" i="29"/>
  <c r="R438" i="29"/>
  <c r="BF471" i="4"/>
  <c r="BE473" i="4"/>
  <c r="Q300" i="17"/>
  <c r="AE438" i="29"/>
  <c r="AF438" i="29"/>
  <c r="BE524" i="4" l="1"/>
  <c r="BE488" i="4"/>
  <c r="BE492" i="4"/>
  <c r="BE512" i="4"/>
  <c r="BE484" i="4"/>
  <c r="BE480" i="4"/>
  <c r="BE504" i="4"/>
  <c r="BE508" i="4"/>
  <c r="BE496" i="4"/>
  <c r="BF498" i="4"/>
  <c r="BF499" i="4"/>
  <c r="BF473" i="4"/>
  <c r="BF487" i="4"/>
  <c r="BF483" i="4"/>
  <c r="BF491" i="4"/>
  <c r="BF515" i="4"/>
  <c r="BF523" i="4"/>
  <c r="BF527" i="4"/>
  <c r="BF519" i="4"/>
  <c r="BF507" i="4"/>
  <c r="BF511" i="4"/>
  <c r="BF479" i="4"/>
  <c r="BF495" i="4"/>
  <c r="BF503" i="4"/>
  <c r="BF482" i="4"/>
  <c r="BF486" i="4"/>
  <c r="BF490" i="4"/>
  <c r="BF492" i="4" s="1"/>
  <c r="BF526" i="4"/>
  <c r="BF522" i="4"/>
  <c r="BF524" i="4" s="1"/>
  <c r="BF514" i="4"/>
  <c r="BF518" i="4"/>
  <c r="BF520" i="4" s="1"/>
  <c r="BF506" i="4"/>
  <c r="BF508" i="4" s="1"/>
  <c r="BF510" i="4"/>
  <c r="BF512" i="4" s="1"/>
  <c r="BF478" i="4"/>
  <c r="BF480" i="4" s="1"/>
  <c r="BF494" i="4"/>
  <c r="BF496" i="4" s="1"/>
  <c r="BF502" i="4"/>
  <c r="BF504" i="4" s="1"/>
  <c r="H341" i="19"/>
  <c r="H349" i="19" s="1"/>
  <c r="H306" i="19"/>
  <c r="H314" i="19" s="1"/>
  <c r="H271" i="19"/>
  <c r="H279" i="19" s="1"/>
  <c r="H236" i="19"/>
  <c r="H244" i="19" s="1"/>
  <c r="H200" i="19"/>
  <c r="H208" i="19" s="1"/>
  <c r="H163" i="19"/>
  <c r="H171" i="19" s="1"/>
  <c r="J16" i="18"/>
  <c r="H59" i="19" s="1"/>
  <c r="J20" i="18"/>
  <c r="H92" i="19" s="1"/>
  <c r="O438" i="29"/>
  <c r="Z437" i="29"/>
  <c r="V437" i="29"/>
  <c r="W437" i="29" s="1"/>
  <c r="P437" i="29"/>
  <c r="E439" i="29"/>
  <c r="S439" i="29"/>
  <c r="G439" i="29"/>
  <c r="Q439" i="29"/>
  <c r="U439" i="29"/>
  <c r="T439" i="29"/>
  <c r="R439" i="29"/>
  <c r="J438" i="29"/>
  <c r="Y438" i="29" s="1"/>
  <c r="I438" i="29"/>
  <c r="K438" i="29" s="1"/>
  <c r="N438" i="29" s="1"/>
  <c r="AI440" i="29"/>
  <c r="B440" i="29"/>
  <c r="AD441" i="29"/>
  <c r="AF439" i="29"/>
  <c r="AE439" i="29"/>
  <c r="BF528" i="4" l="1"/>
  <c r="BF484" i="4"/>
  <c r="BF500" i="4"/>
  <c r="BF488" i="4"/>
  <c r="BF516" i="4"/>
  <c r="H369" i="19"/>
  <c r="H128" i="19"/>
  <c r="Z438" i="29"/>
  <c r="AF440" i="29"/>
  <c r="AE440" i="29"/>
  <c r="V438" i="29"/>
  <c r="W438" i="29" s="1"/>
  <c r="P438" i="29"/>
  <c r="I439" i="29"/>
  <c r="K439" i="29" s="1"/>
  <c r="N439" i="29" s="1"/>
  <c r="J439" i="29"/>
  <c r="Y439" i="29" s="1"/>
  <c r="AI441" i="29"/>
  <c r="B441" i="29"/>
  <c r="AD442" i="29"/>
  <c r="O439" i="29"/>
  <c r="H28" i="19"/>
  <c r="H37" i="19" s="1"/>
  <c r="R440" i="29"/>
  <c r="G440" i="29"/>
  <c r="S440" i="29"/>
  <c r="E440" i="29"/>
  <c r="Q440" i="29"/>
  <c r="U440" i="29"/>
  <c r="T440" i="29"/>
  <c r="H94" i="19" l="1"/>
  <c r="H397" i="19"/>
  <c r="H377" i="19"/>
  <c r="H136" i="19"/>
  <c r="O440" i="29"/>
  <c r="T441" i="29"/>
  <c r="U441" i="29"/>
  <c r="Q441" i="29"/>
  <c r="E441" i="29"/>
  <c r="G441" i="29"/>
  <c r="R441" i="29"/>
  <c r="S441" i="29"/>
  <c r="AF441" i="29"/>
  <c r="AE441" i="29"/>
  <c r="J440" i="29"/>
  <c r="Y440" i="29" s="1"/>
  <c r="I440" i="29"/>
  <c r="K440" i="29" s="1"/>
  <c r="N440" i="29" s="1"/>
  <c r="P439" i="29"/>
  <c r="V439" i="29"/>
  <c r="W439" i="29" s="1"/>
  <c r="Z439" i="29"/>
  <c r="AI442" i="29"/>
  <c r="B442" i="29"/>
  <c r="AD443" i="29"/>
  <c r="H61" i="19" l="1"/>
  <c r="H69" i="19" s="1"/>
  <c r="H405" i="19"/>
  <c r="Z440" i="29"/>
  <c r="S442" i="29"/>
  <c r="E442" i="29"/>
  <c r="R442" i="29"/>
  <c r="U442" i="29"/>
  <c r="T442" i="29"/>
  <c r="Q442" i="29"/>
  <c r="G442" i="29"/>
  <c r="P440" i="29"/>
  <c r="V440" i="29"/>
  <c r="W440" i="29" s="1"/>
  <c r="AI443" i="29"/>
  <c r="AD444" i="29"/>
  <c r="B443" i="29"/>
  <c r="AF442" i="29"/>
  <c r="AE442" i="29"/>
  <c r="I441" i="29"/>
  <c r="K441" i="29" s="1"/>
  <c r="N441" i="29" s="1"/>
  <c r="J441" i="29"/>
  <c r="Y441" i="29" s="1"/>
  <c r="O441" i="29"/>
  <c r="H102" i="19" l="1"/>
  <c r="V441" i="29"/>
  <c r="W441" i="29" s="1"/>
  <c r="P441" i="29"/>
  <c r="Z441" i="29"/>
  <c r="O442" i="29"/>
  <c r="I442" i="29"/>
  <c r="K442" i="29" s="1"/>
  <c r="N442" i="29" s="1"/>
  <c r="J442" i="29"/>
  <c r="Y442" i="29" s="1"/>
  <c r="E443" i="29"/>
  <c r="Q443" i="29"/>
  <c r="T443" i="29"/>
  <c r="S443" i="29"/>
  <c r="U443" i="29"/>
  <c r="G443" i="29"/>
  <c r="R443" i="29"/>
  <c r="AI444" i="29"/>
  <c r="B444" i="29"/>
  <c r="AD445" i="29"/>
  <c r="AE443" i="29"/>
  <c r="AF443" i="29"/>
  <c r="AI445" i="29" l="1"/>
  <c r="AD446" i="29"/>
  <c r="B445" i="29"/>
  <c r="V442" i="29"/>
  <c r="W442" i="29" s="1"/>
  <c r="P442" i="29"/>
  <c r="O443" i="29"/>
  <c r="Z442" i="29"/>
  <c r="J443" i="29"/>
  <c r="Y443" i="29" s="1"/>
  <c r="I443" i="29"/>
  <c r="K443" i="29" s="1"/>
  <c r="N443" i="29" s="1"/>
  <c r="S444" i="29"/>
  <c r="R444" i="29"/>
  <c r="T444" i="29"/>
  <c r="U444" i="29"/>
  <c r="Q444" i="29"/>
  <c r="G444" i="29"/>
  <c r="E444" i="29"/>
  <c r="AE444" i="29"/>
  <c r="AF444" i="29"/>
  <c r="Z443" i="29" l="1"/>
  <c r="V443" i="29"/>
  <c r="W443" i="29" s="1"/>
  <c r="P443" i="29"/>
  <c r="J444" i="29"/>
  <c r="Y444" i="29" s="1"/>
  <c r="I444" i="29"/>
  <c r="K444" i="29" s="1"/>
  <c r="N444" i="29" s="1"/>
  <c r="AI446" i="29"/>
  <c r="AD447" i="29"/>
  <c r="B446" i="29"/>
  <c r="AE445" i="29"/>
  <c r="AF445" i="29"/>
  <c r="O444" i="29"/>
  <c r="E445" i="29"/>
  <c r="R445" i="29"/>
  <c r="Q445" i="29"/>
  <c r="U445" i="29"/>
  <c r="S445" i="29"/>
  <c r="G445" i="29"/>
  <c r="T445" i="29"/>
  <c r="V444" i="29" l="1"/>
  <c r="W444" i="29" s="1"/>
  <c r="P444" i="29"/>
  <c r="J445" i="29"/>
  <c r="Y445" i="29" s="1"/>
  <c r="I445" i="29"/>
  <c r="K445" i="29" s="1"/>
  <c r="N445" i="29" s="1"/>
  <c r="O445" i="29"/>
  <c r="Q446" i="29"/>
  <c r="U446" i="29"/>
  <c r="R446" i="29"/>
  <c r="G446" i="29"/>
  <c r="S446" i="29"/>
  <c r="E446" i="29"/>
  <c r="T446" i="29"/>
  <c r="Z444" i="29"/>
  <c r="AI447" i="29"/>
  <c r="B447" i="29"/>
  <c r="AD448" i="29"/>
  <c r="AF446" i="29"/>
  <c r="AE446" i="29"/>
  <c r="V445" i="29" l="1"/>
  <c r="W445" i="29" s="1"/>
  <c r="P445" i="29"/>
  <c r="I446" i="29"/>
  <c r="K446" i="29" s="1"/>
  <c r="N446" i="29" s="1"/>
  <c r="J446" i="29"/>
  <c r="Y446" i="29" s="1"/>
  <c r="AI448" i="29"/>
  <c r="AD449" i="29"/>
  <c r="B448" i="29"/>
  <c r="O446" i="29"/>
  <c r="Z445" i="29"/>
  <c r="E447" i="29"/>
  <c r="Q447" i="29"/>
  <c r="T447" i="29"/>
  <c r="U447" i="29"/>
  <c r="R447" i="29"/>
  <c r="S447" i="29"/>
  <c r="G447" i="29"/>
  <c r="AF447" i="29"/>
  <c r="AE447" i="29"/>
  <c r="P446" i="29" l="1"/>
  <c r="V446" i="29"/>
  <c r="W446" i="29" s="1"/>
  <c r="Z446" i="29"/>
  <c r="I447" i="29"/>
  <c r="K447" i="29" s="1"/>
  <c r="N447" i="29" s="1"/>
  <c r="J447" i="29"/>
  <c r="Y447" i="29" s="1"/>
  <c r="O447" i="29"/>
  <c r="Q448" i="29"/>
  <c r="U448" i="29"/>
  <c r="T448" i="29"/>
  <c r="G448" i="29"/>
  <c r="E448" i="29"/>
  <c r="R448" i="29"/>
  <c r="S448" i="29"/>
  <c r="AI449" i="29"/>
  <c r="AD450" i="29"/>
  <c r="B449" i="29"/>
  <c r="AE448" i="29"/>
  <c r="AF448" i="29"/>
  <c r="V447" i="29" l="1"/>
  <c r="W447" i="29" s="1"/>
  <c r="P447" i="29"/>
  <c r="O448" i="29"/>
  <c r="J448" i="29"/>
  <c r="Y448" i="29" s="1"/>
  <c r="I448" i="29"/>
  <c r="K448" i="29" s="1"/>
  <c r="N448" i="29" s="1"/>
  <c r="U449" i="29"/>
  <c r="G449" i="29"/>
  <c r="R449" i="29"/>
  <c r="E449" i="29"/>
  <c r="S449" i="29"/>
  <c r="Q449" i="29"/>
  <c r="T449" i="29"/>
  <c r="AI450" i="29"/>
  <c r="B450" i="29"/>
  <c r="AD451" i="29"/>
  <c r="AE449" i="29"/>
  <c r="AF449" i="29"/>
  <c r="Z447" i="29"/>
  <c r="AI451" i="29" l="1"/>
  <c r="AD452" i="29"/>
  <c r="B451" i="29"/>
  <c r="O449" i="29"/>
  <c r="AE450" i="29"/>
  <c r="AF450" i="29"/>
  <c r="J449" i="29"/>
  <c r="Y449" i="29" s="1"/>
  <c r="I449" i="29"/>
  <c r="K449" i="29" s="1"/>
  <c r="N449" i="29" s="1"/>
  <c r="S450" i="29"/>
  <c r="Q450" i="29"/>
  <c r="E450" i="29"/>
  <c r="T450" i="29"/>
  <c r="G450" i="29"/>
  <c r="R450" i="29"/>
  <c r="U450" i="29"/>
  <c r="V448" i="29"/>
  <c r="W448" i="29" s="1"/>
  <c r="P448" i="29"/>
  <c r="Z448" i="29"/>
  <c r="I450" i="29" l="1"/>
  <c r="K450" i="29" s="1"/>
  <c r="N450" i="29" s="1"/>
  <c r="J450" i="29"/>
  <c r="Y450" i="29" s="1"/>
  <c r="AI452" i="29"/>
  <c r="B452" i="29"/>
  <c r="AD453" i="29"/>
  <c r="P449" i="29"/>
  <c r="V449" i="29"/>
  <c r="W449" i="29" s="1"/>
  <c r="O450" i="29"/>
  <c r="AF451" i="29"/>
  <c r="AE451" i="29"/>
  <c r="Z449" i="29"/>
  <c r="T451" i="29"/>
  <c r="E451" i="29"/>
  <c r="G451" i="29"/>
  <c r="Q451" i="29"/>
  <c r="U451" i="29"/>
  <c r="S451" i="29"/>
  <c r="R451" i="29"/>
  <c r="O451" i="29" l="1"/>
  <c r="AF452" i="29"/>
  <c r="AE452" i="29"/>
  <c r="I451" i="29"/>
  <c r="K451" i="29" s="1"/>
  <c r="N451" i="29" s="1"/>
  <c r="J451" i="29"/>
  <c r="Y451" i="29" s="1"/>
  <c r="P450" i="29"/>
  <c r="V450" i="29"/>
  <c r="W450" i="29" s="1"/>
  <c r="Z450" i="29"/>
  <c r="AI453" i="29"/>
  <c r="B453" i="29"/>
  <c r="AD454" i="29"/>
  <c r="S452" i="29"/>
  <c r="Q452" i="29"/>
  <c r="U452" i="29"/>
  <c r="G452" i="29"/>
  <c r="R452" i="29"/>
  <c r="E452" i="29"/>
  <c r="T452" i="29"/>
  <c r="Z451" i="29" l="1"/>
  <c r="P451" i="29"/>
  <c r="V451" i="29"/>
  <c r="W451" i="29" s="1"/>
  <c r="AI454" i="29"/>
  <c r="B454" i="29"/>
  <c r="AD455" i="29"/>
  <c r="J452" i="29"/>
  <c r="Y452" i="29" s="1"/>
  <c r="I452" i="29"/>
  <c r="K452" i="29" s="1"/>
  <c r="N452" i="29" s="1"/>
  <c r="E453" i="29"/>
  <c r="R453" i="29"/>
  <c r="Q453" i="29"/>
  <c r="S453" i="29"/>
  <c r="T453" i="29"/>
  <c r="G453" i="29"/>
  <c r="U453" i="29"/>
  <c r="AF453" i="29"/>
  <c r="AE453" i="29"/>
  <c r="O452" i="29"/>
  <c r="O453" i="29" l="1"/>
  <c r="J453" i="29"/>
  <c r="Y453" i="29" s="1"/>
  <c r="Z453" i="29" s="1"/>
  <c r="I453" i="29"/>
  <c r="K453" i="29" s="1"/>
  <c r="N453" i="29" s="1"/>
  <c r="Z452" i="29"/>
  <c r="AI455" i="29"/>
  <c r="B455" i="29"/>
  <c r="AD456" i="29"/>
  <c r="S454" i="29"/>
  <c r="T454" i="29"/>
  <c r="G454" i="29"/>
  <c r="E454" i="29"/>
  <c r="R454" i="29"/>
  <c r="U454" i="29"/>
  <c r="Q454" i="29"/>
  <c r="P452" i="29"/>
  <c r="V452" i="29"/>
  <c r="W452" i="29" s="1"/>
  <c r="AF454" i="29"/>
  <c r="AE454" i="29"/>
  <c r="O454" i="29" l="1"/>
  <c r="V453" i="29"/>
  <c r="W453" i="29" s="1"/>
  <c r="P453" i="29"/>
  <c r="AE455" i="29"/>
  <c r="AF455" i="29"/>
  <c r="I454" i="29"/>
  <c r="K454" i="29" s="1"/>
  <c r="N454" i="29" s="1"/>
  <c r="J454" i="29"/>
  <c r="Y454" i="29" s="1"/>
  <c r="AI456" i="29"/>
  <c r="B456" i="29"/>
  <c r="AD457" i="29"/>
  <c r="R455" i="29"/>
  <c r="S455" i="29"/>
  <c r="Q455" i="29"/>
  <c r="T455" i="29"/>
  <c r="U455" i="29"/>
  <c r="G455" i="29"/>
  <c r="E455" i="29"/>
  <c r="Z454" i="29" l="1"/>
  <c r="T456" i="29"/>
  <c r="U456" i="29"/>
  <c r="G456" i="29"/>
  <c r="Q456" i="29"/>
  <c r="E456" i="29"/>
  <c r="S456" i="29"/>
  <c r="R456" i="29"/>
  <c r="P454" i="29"/>
  <c r="V454" i="29"/>
  <c r="W454" i="29" s="1"/>
  <c r="AE456" i="29"/>
  <c r="AF456" i="29"/>
  <c r="J455" i="29"/>
  <c r="Y455" i="29" s="1"/>
  <c r="I455" i="29"/>
  <c r="K455" i="29" s="1"/>
  <c r="N455" i="29" s="1"/>
  <c r="O455" i="29"/>
  <c r="AI457" i="29"/>
  <c r="B457" i="29"/>
  <c r="AD458" i="29"/>
  <c r="P455" i="29" l="1"/>
  <c r="V455" i="29"/>
  <c r="W455" i="29" s="1"/>
  <c r="G457" i="29"/>
  <c r="Q457" i="29"/>
  <c r="R457" i="29"/>
  <c r="T457" i="29"/>
  <c r="U457" i="29"/>
  <c r="S457" i="29"/>
  <c r="E457" i="29"/>
  <c r="AF457" i="29"/>
  <c r="AE457" i="29"/>
  <c r="O456" i="29"/>
  <c r="Z455" i="29"/>
  <c r="J456" i="29"/>
  <c r="Y456" i="29" s="1"/>
  <c r="I456" i="29"/>
  <c r="K456" i="29" s="1"/>
  <c r="N456" i="29" s="1"/>
  <c r="AI458" i="29"/>
  <c r="B458" i="29"/>
  <c r="AD459" i="29"/>
  <c r="P456" i="29" l="1"/>
  <c r="V456" i="29"/>
  <c r="W456" i="29" s="1"/>
  <c r="O457" i="29"/>
  <c r="AI459" i="29"/>
  <c r="AD460" i="29"/>
  <c r="B459" i="29"/>
  <c r="Q458" i="29"/>
  <c r="S458" i="29"/>
  <c r="U458" i="29"/>
  <c r="T458" i="29"/>
  <c r="R458" i="29"/>
  <c r="E458" i="29"/>
  <c r="G458" i="29"/>
  <c r="Z456" i="29"/>
  <c r="I457" i="29"/>
  <c r="K457" i="29" s="1"/>
  <c r="N457" i="29" s="1"/>
  <c r="J457" i="29"/>
  <c r="Y457" i="29" s="1"/>
  <c r="AF458" i="29"/>
  <c r="AE458" i="29"/>
  <c r="Z457" i="29" l="1"/>
  <c r="V457" i="29"/>
  <c r="W457" i="29" s="1"/>
  <c r="P457" i="29"/>
  <c r="AI460" i="29"/>
  <c r="B460" i="29"/>
  <c r="AD461" i="29"/>
  <c r="AF459" i="29"/>
  <c r="AE459" i="29"/>
  <c r="O458" i="29"/>
  <c r="J458" i="29"/>
  <c r="Y458" i="29" s="1"/>
  <c r="I458" i="29"/>
  <c r="K458" i="29" s="1"/>
  <c r="N458" i="29" s="1"/>
  <c r="E459" i="29"/>
  <c r="U459" i="29"/>
  <c r="S459" i="29"/>
  <c r="G459" i="29"/>
  <c r="Q459" i="29"/>
  <c r="R459" i="29"/>
  <c r="T459" i="29"/>
  <c r="V458" i="29" l="1"/>
  <c r="W458" i="29" s="1"/>
  <c r="P458" i="29"/>
  <c r="O459" i="29"/>
  <c r="AI461" i="29"/>
  <c r="B461" i="29"/>
  <c r="AD462" i="29"/>
  <c r="J459" i="29"/>
  <c r="Y459" i="29" s="1"/>
  <c r="I459" i="29"/>
  <c r="K459" i="29" s="1"/>
  <c r="N459" i="29" s="1"/>
  <c r="E460" i="29"/>
  <c r="G460" i="29"/>
  <c r="T460" i="29"/>
  <c r="U460" i="29"/>
  <c r="Q460" i="29"/>
  <c r="R460" i="29"/>
  <c r="S460" i="29"/>
  <c r="Z458" i="29"/>
  <c r="AF460" i="29"/>
  <c r="AE460" i="29"/>
  <c r="P459" i="29" l="1"/>
  <c r="V459" i="29"/>
  <c r="W459" i="29" s="1"/>
  <c r="AI462" i="29"/>
  <c r="B462" i="29"/>
  <c r="AD463" i="29"/>
  <c r="I460" i="29"/>
  <c r="K460" i="29" s="1"/>
  <c r="N460" i="29" s="1"/>
  <c r="J460" i="29"/>
  <c r="Y460" i="29" s="1"/>
  <c r="E461" i="29"/>
  <c r="T461" i="29"/>
  <c r="U461" i="29"/>
  <c r="R461" i="29"/>
  <c r="G461" i="29"/>
  <c r="S461" i="29"/>
  <c r="Q461" i="29"/>
  <c r="Z459" i="29"/>
  <c r="O460" i="29"/>
  <c r="AE461" i="29"/>
  <c r="AF461" i="29"/>
  <c r="V460" i="29" l="1"/>
  <c r="W460" i="29" s="1"/>
  <c r="P460" i="29"/>
  <c r="Q462" i="29"/>
  <c r="U462" i="29"/>
  <c r="T462" i="29"/>
  <c r="R462" i="29"/>
  <c r="S462" i="29"/>
  <c r="E462" i="29"/>
  <c r="G462" i="29"/>
  <c r="I461" i="29"/>
  <c r="K461" i="29" s="1"/>
  <c r="N461" i="29" s="1"/>
  <c r="J461" i="29"/>
  <c r="Y461" i="29" s="1"/>
  <c r="Z460" i="29"/>
  <c r="AE462" i="29"/>
  <c r="AF462" i="29"/>
  <c r="O461" i="29"/>
  <c r="AI463" i="29"/>
  <c r="B463" i="29"/>
  <c r="AD464" i="29"/>
  <c r="P461" i="29" l="1"/>
  <c r="V461" i="29"/>
  <c r="W461" i="29" s="1"/>
  <c r="Z461" i="29"/>
  <c r="AI464" i="29"/>
  <c r="AD465" i="29"/>
  <c r="B464" i="29"/>
  <c r="O462" i="29"/>
  <c r="U463" i="29"/>
  <c r="T463" i="29"/>
  <c r="R463" i="29"/>
  <c r="E463" i="29"/>
  <c r="Q463" i="29"/>
  <c r="G463" i="29"/>
  <c r="S463" i="29"/>
  <c r="J462" i="29"/>
  <c r="Y462" i="29" s="1"/>
  <c r="I462" i="29"/>
  <c r="K462" i="29" s="1"/>
  <c r="N462" i="29" s="1"/>
  <c r="AF463" i="29"/>
  <c r="AE463" i="29"/>
  <c r="Z462" i="29" l="1"/>
  <c r="V462" i="29"/>
  <c r="W462" i="29" s="1"/>
  <c r="P462" i="29"/>
  <c r="O463" i="29"/>
  <c r="I463" i="29"/>
  <c r="K463" i="29" s="1"/>
  <c r="N463" i="29" s="1"/>
  <c r="J463" i="29"/>
  <c r="Y463" i="29" s="1"/>
  <c r="R464" i="29"/>
  <c r="S464" i="29"/>
  <c r="T464" i="29"/>
  <c r="U464" i="29"/>
  <c r="G464" i="29"/>
  <c r="E464" i="29"/>
  <c r="Q464" i="29"/>
  <c r="AI465" i="29"/>
  <c r="AD466" i="29"/>
  <c r="B465" i="29"/>
  <c r="AF464" i="29"/>
  <c r="AE464" i="29"/>
  <c r="P463" i="29" l="1"/>
  <c r="V463" i="29"/>
  <c r="W463" i="29" s="1"/>
  <c r="AE465" i="29"/>
  <c r="AF465" i="29"/>
  <c r="O464" i="29"/>
  <c r="AI466" i="29"/>
  <c r="AD467" i="29"/>
  <c r="B466" i="29"/>
  <c r="J464" i="29"/>
  <c r="Y464" i="29" s="1"/>
  <c r="I464" i="29"/>
  <c r="K464" i="29" s="1"/>
  <c r="N464" i="29" s="1"/>
  <c r="V464" i="29" s="1"/>
  <c r="W464" i="29" s="1"/>
  <c r="G465" i="29"/>
  <c r="R465" i="29"/>
  <c r="S465" i="29"/>
  <c r="Q465" i="29"/>
  <c r="T465" i="29"/>
  <c r="U465" i="29"/>
  <c r="E465" i="29"/>
  <c r="Z463" i="29"/>
  <c r="Q466" i="29" l="1"/>
  <c r="T466" i="29"/>
  <c r="U466" i="29"/>
  <c r="G466" i="29"/>
  <c r="R466" i="29"/>
  <c r="E466" i="29"/>
  <c r="S466" i="29"/>
  <c r="J465" i="29"/>
  <c r="Y465" i="29" s="1"/>
  <c r="I465" i="29"/>
  <c r="K465" i="29" s="1"/>
  <c r="N465" i="29" s="1"/>
  <c r="O465" i="29"/>
  <c r="AI467" i="29"/>
  <c r="B467" i="29"/>
  <c r="AD468" i="29"/>
  <c r="P464" i="29"/>
  <c r="AF466" i="29"/>
  <c r="AE466" i="29"/>
  <c r="Z464" i="29"/>
  <c r="P465" i="29" l="1"/>
  <c r="V465" i="29"/>
  <c r="W465" i="29" s="1"/>
  <c r="Z465" i="29"/>
  <c r="I466" i="29"/>
  <c r="K466" i="29" s="1"/>
  <c r="N466" i="29" s="1"/>
  <c r="J466" i="29"/>
  <c r="Y466" i="29" s="1"/>
  <c r="AI468" i="29"/>
  <c r="AD469" i="29"/>
  <c r="B468" i="29"/>
  <c r="O466" i="29"/>
  <c r="U467" i="29"/>
  <c r="Q467" i="29"/>
  <c r="T467" i="29"/>
  <c r="G467" i="29"/>
  <c r="S467" i="29"/>
  <c r="R467" i="29"/>
  <c r="E467" i="29"/>
  <c r="AE467" i="29"/>
  <c r="AF467" i="29"/>
  <c r="J467" i="29" l="1"/>
  <c r="Y467" i="29" s="1"/>
  <c r="I467" i="29"/>
  <c r="K467" i="29" s="1"/>
  <c r="N467" i="29" s="1"/>
  <c r="AF468" i="29"/>
  <c r="AE468" i="29"/>
  <c r="V466" i="29"/>
  <c r="W466" i="29" s="1"/>
  <c r="P466" i="29"/>
  <c r="Z466" i="29"/>
  <c r="E468" i="29"/>
  <c r="U468" i="29"/>
  <c r="G468" i="29"/>
  <c r="R468" i="29"/>
  <c r="S468" i="29"/>
  <c r="Q468" i="29"/>
  <c r="T468" i="29"/>
  <c r="O467" i="29"/>
  <c r="AI469" i="29"/>
  <c r="B469" i="29"/>
  <c r="AD470" i="29"/>
  <c r="P467" i="29" l="1"/>
  <c r="V467" i="29"/>
  <c r="W467" i="29" s="1"/>
  <c r="AE469" i="29"/>
  <c r="AF469" i="29"/>
  <c r="Z467" i="29"/>
  <c r="AI470" i="29"/>
  <c r="AD471" i="29"/>
  <c r="B470" i="29"/>
  <c r="O468" i="29"/>
  <c r="J468" i="29"/>
  <c r="Y468" i="29" s="1"/>
  <c r="I468" i="29"/>
  <c r="K468" i="29" s="1"/>
  <c r="N468" i="29" s="1"/>
  <c r="E469" i="29"/>
  <c r="R469" i="29"/>
  <c r="Q469" i="29"/>
  <c r="S469" i="29"/>
  <c r="U469" i="29"/>
  <c r="T469" i="29"/>
  <c r="G469" i="29"/>
  <c r="Z468" i="29" l="1"/>
  <c r="AF470" i="29"/>
  <c r="AE470" i="29"/>
  <c r="O469" i="29"/>
  <c r="V468" i="29"/>
  <c r="W468" i="29" s="1"/>
  <c r="P468" i="29"/>
  <c r="S470" i="29"/>
  <c r="E470" i="29"/>
  <c r="G470" i="29"/>
  <c r="Q470" i="29"/>
  <c r="T470" i="29"/>
  <c r="R470" i="29"/>
  <c r="U470" i="29"/>
  <c r="AI471" i="29"/>
  <c r="B471" i="29"/>
  <c r="AD472" i="29"/>
  <c r="J469" i="29"/>
  <c r="Y469" i="29" s="1"/>
  <c r="I469" i="29"/>
  <c r="K469" i="29" s="1"/>
  <c r="N469" i="29" s="1"/>
  <c r="O470" i="29" l="1"/>
  <c r="V469" i="29"/>
  <c r="W469" i="29" s="1"/>
  <c r="P469" i="29"/>
  <c r="R471" i="29"/>
  <c r="T471" i="29"/>
  <c r="U471" i="29"/>
  <c r="E471" i="29"/>
  <c r="S471" i="29"/>
  <c r="Q471" i="29"/>
  <c r="G471" i="29"/>
  <c r="AF471" i="29"/>
  <c r="AE471" i="29"/>
  <c r="Z469" i="29"/>
  <c r="AI472" i="29"/>
  <c r="B472" i="29"/>
  <c r="AD473" i="29"/>
  <c r="J470" i="29"/>
  <c r="Y470" i="29" s="1"/>
  <c r="I470" i="29"/>
  <c r="K470" i="29" s="1"/>
  <c r="N470" i="29" s="1"/>
  <c r="V470" i="29" s="1"/>
  <c r="W470" i="29" s="1"/>
  <c r="Z470" i="29" l="1"/>
  <c r="U472" i="29"/>
  <c r="E472" i="29"/>
  <c r="R472" i="29"/>
  <c r="Q472" i="29"/>
  <c r="S472" i="29"/>
  <c r="T472" i="29"/>
  <c r="G472" i="29"/>
  <c r="P470" i="29"/>
  <c r="AE472" i="29"/>
  <c r="AF472" i="29"/>
  <c r="AI473" i="29"/>
  <c r="B473" i="29"/>
  <c r="AD474" i="29"/>
  <c r="I471" i="29"/>
  <c r="K471" i="29" s="1"/>
  <c r="N471" i="29" s="1"/>
  <c r="J471" i="29"/>
  <c r="Y471" i="29" s="1"/>
  <c r="O471" i="29"/>
  <c r="P471" i="29" l="1"/>
  <c r="V471" i="29"/>
  <c r="W471" i="29" s="1"/>
  <c r="Z471" i="29"/>
  <c r="AE473" i="29"/>
  <c r="AF473" i="29"/>
  <c r="O472" i="29"/>
  <c r="AI474" i="29"/>
  <c r="AD475" i="29"/>
  <c r="B474" i="29"/>
  <c r="I472" i="29"/>
  <c r="K472" i="29" s="1"/>
  <c r="N472" i="29" s="1"/>
  <c r="J472" i="29"/>
  <c r="Y472" i="29" s="1"/>
  <c r="R473" i="29"/>
  <c r="G473" i="29"/>
  <c r="E473" i="29"/>
  <c r="U473" i="29"/>
  <c r="S473" i="29"/>
  <c r="Q473" i="29"/>
  <c r="T473" i="29"/>
  <c r="V472" i="29" l="1"/>
  <c r="W472" i="29" s="1"/>
  <c r="P472" i="29"/>
  <c r="O473" i="29"/>
  <c r="AF474" i="29"/>
  <c r="AE474" i="29"/>
  <c r="Z472" i="29"/>
  <c r="J473" i="29"/>
  <c r="Y473" i="29" s="1"/>
  <c r="I473" i="29"/>
  <c r="K473" i="29" s="1"/>
  <c r="N473" i="29" s="1"/>
  <c r="Q474" i="29"/>
  <c r="R474" i="29"/>
  <c r="T474" i="29"/>
  <c r="S474" i="29"/>
  <c r="U474" i="29"/>
  <c r="G474" i="29"/>
  <c r="E474" i="29"/>
  <c r="AI475" i="29"/>
  <c r="AD476" i="29"/>
  <c r="B475" i="29"/>
  <c r="O474" i="29" l="1"/>
  <c r="P473" i="29"/>
  <c r="V473" i="29"/>
  <c r="W473" i="29" s="1"/>
  <c r="AF475" i="29"/>
  <c r="AE475" i="29"/>
  <c r="U475" i="29"/>
  <c r="Q475" i="29"/>
  <c r="E475" i="29"/>
  <c r="G475" i="29"/>
  <c r="S475" i="29"/>
  <c r="T475" i="29"/>
  <c r="R475" i="29"/>
  <c r="AI476" i="29"/>
  <c r="B476" i="29"/>
  <c r="AD477" i="29"/>
  <c r="Z473" i="29"/>
  <c r="J474" i="29"/>
  <c r="Y474" i="29" s="1"/>
  <c r="I474" i="29"/>
  <c r="K474" i="29" s="1"/>
  <c r="N474" i="29" s="1"/>
  <c r="Z474" i="29" l="1"/>
  <c r="V474" i="29"/>
  <c r="W474" i="29" s="1"/>
  <c r="P474" i="29"/>
  <c r="O475" i="29"/>
  <c r="AI477" i="29"/>
  <c r="AD478" i="29"/>
  <c r="B477" i="29"/>
  <c r="R476" i="29"/>
  <c r="S476" i="29"/>
  <c r="G476" i="29"/>
  <c r="T476" i="29"/>
  <c r="E476" i="29"/>
  <c r="U476" i="29"/>
  <c r="Q476" i="29"/>
  <c r="AE476" i="29"/>
  <c r="AF476" i="29"/>
  <c r="I475" i="29"/>
  <c r="K475" i="29" s="1"/>
  <c r="N475" i="29" s="1"/>
  <c r="V475" i="29" s="1"/>
  <c r="W475" i="29" s="1"/>
  <c r="J475" i="29"/>
  <c r="Y475" i="29" s="1"/>
  <c r="O476" i="29" l="1"/>
  <c r="J476" i="29"/>
  <c r="Y476" i="29" s="1"/>
  <c r="I476" i="29"/>
  <c r="K476" i="29" s="1"/>
  <c r="N476" i="29" s="1"/>
  <c r="P475" i="29"/>
  <c r="S477" i="29"/>
  <c r="E477" i="29"/>
  <c r="G477" i="29"/>
  <c r="Q477" i="29"/>
  <c r="R477" i="29"/>
  <c r="U477" i="29"/>
  <c r="T477" i="29"/>
  <c r="Z475" i="29"/>
  <c r="AI478" i="29"/>
  <c r="AD479" i="29"/>
  <c r="B478" i="29"/>
  <c r="AE477" i="29"/>
  <c r="AF477" i="29"/>
  <c r="P476" i="29" l="1"/>
  <c r="Z476" i="29"/>
  <c r="V476" i="29"/>
  <c r="W476" i="29" s="1"/>
  <c r="O477" i="29"/>
  <c r="Q478" i="29"/>
  <c r="U478" i="29"/>
  <c r="R478" i="29"/>
  <c r="G478" i="29"/>
  <c r="S478" i="29"/>
  <c r="E478" i="29"/>
  <c r="T478" i="29"/>
  <c r="J477" i="29"/>
  <c r="Y477" i="29" s="1"/>
  <c r="I477" i="29"/>
  <c r="K477" i="29" s="1"/>
  <c r="N477" i="29" s="1"/>
  <c r="AI479" i="29"/>
  <c r="B479" i="29"/>
  <c r="AD480" i="29"/>
  <c r="AE478" i="29"/>
  <c r="AF478" i="29"/>
  <c r="Z477" i="29" l="1"/>
  <c r="V477" i="29"/>
  <c r="W477" i="29" s="1"/>
  <c r="P477" i="29"/>
  <c r="I478" i="29"/>
  <c r="K478" i="29" s="1"/>
  <c r="N478" i="29" s="1"/>
  <c r="J478" i="29"/>
  <c r="Y478" i="29" s="1"/>
  <c r="S479" i="29"/>
  <c r="R479" i="29"/>
  <c r="G479" i="29"/>
  <c r="E479" i="29"/>
  <c r="T479" i="29"/>
  <c r="Q479" i="29"/>
  <c r="U479" i="29"/>
  <c r="AF479" i="29"/>
  <c r="AE479" i="29"/>
  <c r="AI480" i="29"/>
  <c r="AD481" i="29"/>
  <c r="B480" i="29"/>
  <c r="O478" i="29"/>
  <c r="P478" i="29" l="1"/>
  <c r="V478" i="29"/>
  <c r="W478" i="29" s="1"/>
  <c r="O479" i="29"/>
  <c r="Z478" i="29"/>
  <c r="AI481" i="29"/>
  <c r="AD482" i="29"/>
  <c r="B481" i="29"/>
  <c r="AE480" i="29"/>
  <c r="AF480" i="29"/>
  <c r="S480" i="29"/>
  <c r="R480" i="29"/>
  <c r="T480" i="29"/>
  <c r="U480" i="29"/>
  <c r="G480" i="29"/>
  <c r="Q480" i="29"/>
  <c r="E480" i="29"/>
  <c r="I479" i="29"/>
  <c r="K479" i="29" s="1"/>
  <c r="N479" i="29" s="1"/>
  <c r="J479" i="29"/>
  <c r="Y479" i="29" s="1"/>
  <c r="Z479" i="29" l="1"/>
  <c r="P479" i="29"/>
  <c r="V479" i="29"/>
  <c r="W479" i="29" s="1"/>
  <c r="AF481" i="29"/>
  <c r="AE481" i="29"/>
  <c r="O480" i="29"/>
  <c r="Q481" i="29"/>
  <c r="E481" i="29"/>
  <c r="T481" i="29"/>
  <c r="R481" i="29"/>
  <c r="G481" i="29"/>
  <c r="S481" i="29"/>
  <c r="U481" i="29"/>
  <c r="J480" i="29"/>
  <c r="Y480" i="29" s="1"/>
  <c r="I480" i="29"/>
  <c r="K480" i="29" s="1"/>
  <c r="N480" i="29" s="1"/>
  <c r="AI482" i="29"/>
  <c r="B482" i="29"/>
  <c r="AD483" i="29"/>
  <c r="O481" i="29" l="1"/>
  <c r="I481" i="29"/>
  <c r="K481" i="29" s="1"/>
  <c r="N481" i="29" s="1"/>
  <c r="J481" i="29"/>
  <c r="Y481" i="29" s="1"/>
  <c r="AE482" i="29"/>
  <c r="AF482" i="29"/>
  <c r="P480" i="29"/>
  <c r="V480" i="29"/>
  <c r="W480" i="29" s="1"/>
  <c r="AI483" i="29"/>
  <c r="AD484" i="29"/>
  <c r="B483" i="29"/>
  <c r="Z480" i="29"/>
  <c r="U482" i="29"/>
  <c r="G482" i="29"/>
  <c r="Q482" i="29"/>
  <c r="T482" i="29"/>
  <c r="R482" i="29"/>
  <c r="E482" i="29"/>
  <c r="S482" i="29"/>
  <c r="Z481" i="29" l="1"/>
  <c r="V481" i="29"/>
  <c r="W481" i="29" s="1"/>
  <c r="P481" i="29"/>
  <c r="AI484" i="29"/>
  <c r="B484" i="29"/>
  <c r="AD485" i="29"/>
  <c r="I482" i="29"/>
  <c r="K482" i="29" s="1"/>
  <c r="N482" i="29" s="1"/>
  <c r="J482" i="29"/>
  <c r="Y482" i="29" s="1"/>
  <c r="AE483" i="29"/>
  <c r="AF483" i="29"/>
  <c r="O482" i="29"/>
  <c r="Q483" i="29"/>
  <c r="U483" i="29"/>
  <c r="T483" i="29"/>
  <c r="G483" i="29"/>
  <c r="E483" i="29"/>
  <c r="R483" i="29"/>
  <c r="S483" i="29"/>
  <c r="V482" i="29" l="1"/>
  <c r="W482" i="29" s="1"/>
  <c r="P482" i="29"/>
  <c r="O483" i="29"/>
  <c r="R484" i="29"/>
  <c r="U484" i="29"/>
  <c r="S484" i="29"/>
  <c r="E484" i="29"/>
  <c r="T484" i="29"/>
  <c r="Q484" i="29"/>
  <c r="G484" i="29"/>
  <c r="AE484" i="29"/>
  <c r="AF484" i="29"/>
  <c r="I483" i="29"/>
  <c r="K483" i="29" s="1"/>
  <c r="N483" i="29" s="1"/>
  <c r="J483" i="29"/>
  <c r="Y483" i="29" s="1"/>
  <c r="Z482" i="29"/>
  <c r="AI485" i="29"/>
  <c r="AD486" i="29"/>
  <c r="B485" i="29"/>
  <c r="P483" i="29" l="1"/>
  <c r="V483" i="29"/>
  <c r="W483" i="29" s="1"/>
  <c r="O484" i="29"/>
  <c r="AI486" i="29"/>
  <c r="AD487" i="29"/>
  <c r="B486" i="29"/>
  <c r="AE485" i="29"/>
  <c r="AF485" i="29"/>
  <c r="J484" i="29"/>
  <c r="Y484" i="29" s="1"/>
  <c r="I484" i="29"/>
  <c r="K484" i="29" s="1"/>
  <c r="N484" i="29" s="1"/>
  <c r="Q485" i="29"/>
  <c r="G485" i="29"/>
  <c r="U485" i="29"/>
  <c r="E485" i="29"/>
  <c r="R485" i="29"/>
  <c r="S485" i="29"/>
  <c r="T485" i="29"/>
  <c r="Z483" i="29"/>
  <c r="O485" i="29" l="1"/>
  <c r="I485" i="29"/>
  <c r="K485" i="29" s="1"/>
  <c r="N485" i="29" s="1"/>
  <c r="J485" i="29"/>
  <c r="Y485" i="29" s="1"/>
  <c r="T486" i="29"/>
  <c r="R486" i="29"/>
  <c r="S486" i="29"/>
  <c r="Q486" i="29"/>
  <c r="E486" i="29"/>
  <c r="G486" i="29"/>
  <c r="U486" i="29"/>
  <c r="AI487" i="29"/>
  <c r="AD488" i="29"/>
  <c r="B487" i="29"/>
  <c r="AF486" i="29"/>
  <c r="AE486" i="29"/>
  <c r="V484" i="29"/>
  <c r="W484" i="29" s="1"/>
  <c r="P484" i="29"/>
  <c r="Z484" i="29"/>
  <c r="O486" i="29" l="1"/>
  <c r="P485" i="29"/>
  <c r="V485" i="29"/>
  <c r="W485" i="29" s="1"/>
  <c r="AI488" i="29"/>
  <c r="B488" i="29"/>
  <c r="AD489" i="29"/>
  <c r="J486" i="29"/>
  <c r="Y486" i="29" s="1"/>
  <c r="I486" i="29"/>
  <c r="K486" i="29" s="1"/>
  <c r="N486" i="29" s="1"/>
  <c r="AE487" i="29"/>
  <c r="AF487" i="29"/>
  <c r="Q487" i="29"/>
  <c r="T487" i="29"/>
  <c r="G487" i="29"/>
  <c r="S487" i="29"/>
  <c r="U487" i="29"/>
  <c r="E487" i="29"/>
  <c r="R487" i="29"/>
  <c r="Z485" i="29"/>
  <c r="Z486" i="29" l="1"/>
  <c r="P486" i="29"/>
  <c r="V486" i="29"/>
  <c r="W486" i="29" s="1"/>
  <c r="R488" i="29"/>
  <c r="S488" i="29"/>
  <c r="E488" i="29"/>
  <c r="G488" i="29"/>
  <c r="Q488" i="29"/>
  <c r="U488" i="29"/>
  <c r="T488" i="29"/>
  <c r="AF488" i="29"/>
  <c r="AE488" i="29"/>
  <c r="O487" i="29"/>
  <c r="I487" i="29"/>
  <c r="K487" i="29" s="1"/>
  <c r="N487" i="29" s="1"/>
  <c r="J487" i="29"/>
  <c r="Y487" i="29" s="1"/>
  <c r="AI489" i="29"/>
  <c r="B489" i="29"/>
  <c r="AD490" i="29"/>
  <c r="P487" i="29" l="1"/>
  <c r="V487" i="29"/>
  <c r="W487" i="29" s="1"/>
  <c r="AI490" i="29"/>
  <c r="AD491" i="29"/>
  <c r="B490" i="29"/>
  <c r="O488" i="29"/>
  <c r="Q489" i="29"/>
  <c r="E489" i="29"/>
  <c r="S489" i="29"/>
  <c r="R489" i="29"/>
  <c r="T489" i="29"/>
  <c r="G489" i="29"/>
  <c r="U489" i="29"/>
  <c r="Z487" i="29"/>
  <c r="AE489" i="29"/>
  <c r="AF489" i="29"/>
  <c r="J488" i="29"/>
  <c r="Y488" i="29" s="1"/>
  <c r="I488" i="29"/>
  <c r="K488" i="29" s="1"/>
  <c r="N488" i="29" s="1"/>
  <c r="O489" i="29" l="1"/>
  <c r="P488" i="29"/>
  <c r="V488" i="29"/>
  <c r="W488" i="29" s="1"/>
  <c r="Z488" i="29"/>
  <c r="AI491" i="29"/>
  <c r="B491" i="29"/>
  <c r="AD492" i="29"/>
  <c r="AE490" i="29"/>
  <c r="AF490" i="29"/>
  <c r="I489" i="29"/>
  <c r="K489" i="29" s="1"/>
  <c r="N489" i="29" s="1"/>
  <c r="J489" i="29"/>
  <c r="Y489" i="29" s="1"/>
  <c r="U490" i="29"/>
  <c r="S490" i="29"/>
  <c r="G490" i="29"/>
  <c r="T490" i="29"/>
  <c r="E490" i="29"/>
  <c r="Q490" i="29"/>
  <c r="R490" i="29"/>
  <c r="Z489" i="29" l="1"/>
  <c r="V489" i="29"/>
  <c r="W489" i="29" s="1"/>
  <c r="P489" i="29"/>
  <c r="I490" i="29"/>
  <c r="K490" i="29" s="1"/>
  <c r="N490" i="29" s="1"/>
  <c r="V490" i="29" s="1"/>
  <c r="W490" i="29" s="1"/>
  <c r="J490" i="29"/>
  <c r="Y490" i="29" s="1"/>
  <c r="U491" i="29"/>
  <c r="T491" i="29"/>
  <c r="Q491" i="29"/>
  <c r="R491" i="29"/>
  <c r="S491" i="29"/>
  <c r="G491" i="29"/>
  <c r="E491" i="29"/>
  <c r="AE491" i="29"/>
  <c r="AF491" i="29"/>
  <c r="O490" i="29"/>
  <c r="AI492" i="29"/>
  <c r="AD493" i="29"/>
  <c r="B492" i="29"/>
  <c r="O491" i="29" l="1"/>
  <c r="Z490" i="29"/>
  <c r="P490" i="29"/>
  <c r="Q492" i="29"/>
  <c r="R492" i="29"/>
  <c r="S492" i="29"/>
  <c r="G492" i="29"/>
  <c r="E492" i="29"/>
  <c r="U492" i="29"/>
  <c r="T492" i="29"/>
  <c r="AI493" i="29"/>
  <c r="B493" i="29"/>
  <c r="AD494" i="29"/>
  <c r="AF492" i="29"/>
  <c r="AE492" i="29"/>
  <c r="J491" i="29"/>
  <c r="Y491" i="29" s="1"/>
  <c r="I491" i="29"/>
  <c r="K491" i="29" s="1"/>
  <c r="N491" i="29" s="1"/>
  <c r="O492" i="29" l="1"/>
  <c r="J492" i="29"/>
  <c r="Y492" i="29" s="1"/>
  <c r="Z492" i="29" s="1"/>
  <c r="I492" i="29"/>
  <c r="K492" i="29" s="1"/>
  <c r="N492" i="29" s="1"/>
  <c r="P491" i="29"/>
  <c r="V491" i="29"/>
  <c r="W491" i="29" s="1"/>
  <c r="AI494" i="29"/>
  <c r="AD495" i="29"/>
  <c r="B494" i="29"/>
  <c r="U493" i="29"/>
  <c r="Q493" i="29"/>
  <c r="S493" i="29"/>
  <c r="G493" i="29"/>
  <c r="R493" i="29"/>
  <c r="E493" i="29"/>
  <c r="T493" i="29"/>
  <c r="AE493" i="29"/>
  <c r="AF493" i="29"/>
  <c r="Z491" i="29"/>
  <c r="P492" i="29" l="1"/>
  <c r="V492" i="29"/>
  <c r="W492" i="29" s="1"/>
  <c r="O493" i="29"/>
  <c r="AE494" i="29"/>
  <c r="AF494" i="29"/>
  <c r="R494" i="29"/>
  <c r="T494" i="29"/>
  <c r="Q494" i="29"/>
  <c r="U494" i="29"/>
  <c r="E494" i="29"/>
  <c r="G494" i="29"/>
  <c r="S494" i="29"/>
  <c r="J493" i="29"/>
  <c r="Y493" i="29" s="1"/>
  <c r="I493" i="29"/>
  <c r="K493" i="29" s="1"/>
  <c r="N493" i="29" s="1"/>
  <c r="AI495" i="29"/>
  <c r="AD496" i="29"/>
  <c r="B495" i="29"/>
  <c r="AF495" i="29" l="1"/>
  <c r="AE495" i="29"/>
  <c r="Q495" i="29"/>
  <c r="U495" i="29"/>
  <c r="E495" i="29"/>
  <c r="S495" i="29"/>
  <c r="T495" i="29"/>
  <c r="G495" i="29"/>
  <c r="R495" i="29"/>
  <c r="P493" i="29"/>
  <c r="V493" i="29"/>
  <c r="W493" i="29" s="1"/>
  <c r="J494" i="29"/>
  <c r="Y494" i="29" s="1"/>
  <c r="I494" i="29"/>
  <c r="K494" i="29" s="1"/>
  <c r="N494" i="29" s="1"/>
  <c r="V494" i="29" s="1"/>
  <c r="W494" i="29" s="1"/>
  <c r="AI496" i="29"/>
  <c r="AD497" i="29"/>
  <c r="B496" i="29"/>
  <c r="O494" i="29"/>
  <c r="Z493" i="29"/>
  <c r="P494" i="29" l="1"/>
  <c r="O495" i="29"/>
  <c r="AI497" i="29"/>
  <c r="B497" i="29"/>
  <c r="AD498" i="29"/>
  <c r="Z494" i="29"/>
  <c r="AE496" i="29"/>
  <c r="AF496" i="29"/>
  <c r="Q496" i="29"/>
  <c r="E496" i="29"/>
  <c r="T496" i="29"/>
  <c r="R496" i="29"/>
  <c r="U496" i="29"/>
  <c r="S496" i="29"/>
  <c r="G496" i="29"/>
  <c r="I495" i="29"/>
  <c r="K495" i="29" s="1"/>
  <c r="N495" i="29" s="1"/>
  <c r="J495" i="29"/>
  <c r="Y495" i="29" s="1"/>
  <c r="U497" i="29" l="1"/>
  <c r="G497" i="29"/>
  <c r="R497" i="29"/>
  <c r="E497" i="29"/>
  <c r="S497" i="29"/>
  <c r="Q497" i="29"/>
  <c r="T497" i="29"/>
  <c r="O496" i="29"/>
  <c r="AF497" i="29"/>
  <c r="AE497" i="29"/>
  <c r="V495" i="29"/>
  <c r="W495" i="29" s="1"/>
  <c r="P495" i="29"/>
  <c r="J496" i="29"/>
  <c r="Y496" i="29" s="1"/>
  <c r="I496" i="29"/>
  <c r="K496" i="29" s="1"/>
  <c r="N496" i="29" s="1"/>
  <c r="Z495" i="29"/>
  <c r="AI498" i="29"/>
  <c r="B498" i="29"/>
  <c r="AD499" i="29"/>
  <c r="P496" i="29" l="1"/>
  <c r="V496" i="29"/>
  <c r="W496" i="29" s="1"/>
  <c r="J497" i="29"/>
  <c r="Y497" i="29" s="1"/>
  <c r="I497" i="29"/>
  <c r="K497" i="29" s="1"/>
  <c r="N497" i="29" s="1"/>
  <c r="AF498" i="29"/>
  <c r="AE498" i="29"/>
  <c r="O497" i="29"/>
  <c r="AI499" i="29"/>
  <c r="B499" i="29"/>
  <c r="AD500" i="29"/>
  <c r="Q498" i="29"/>
  <c r="G498" i="29"/>
  <c r="U498" i="29"/>
  <c r="T498" i="29"/>
  <c r="E498" i="29"/>
  <c r="R498" i="29"/>
  <c r="S498" i="29"/>
  <c r="Z496" i="29"/>
  <c r="AI500" i="29" l="1"/>
  <c r="B500" i="29"/>
  <c r="AD501" i="29"/>
  <c r="V497" i="29"/>
  <c r="W497" i="29" s="1"/>
  <c r="P497" i="29"/>
  <c r="S499" i="29"/>
  <c r="T499" i="29"/>
  <c r="E499" i="29"/>
  <c r="G499" i="29"/>
  <c r="Q499" i="29"/>
  <c r="R499" i="29"/>
  <c r="U499" i="29"/>
  <c r="Z497" i="29"/>
  <c r="O498" i="29"/>
  <c r="AE499" i="29"/>
  <c r="AF499" i="29"/>
  <c r="J498" i="29"/>
  <c r="Y498" i="29" s="1"/>
  <c r="I498" i="29"/>
  <c r="K498" i="29" s="1"/>
  <c r="N498" i="29" s="1"/>
  <c r="P498" i="29" l="1"/>
  <c r="V498" i="29"/>
  <c r="W498" i="29" s="1"/>
  <c r="Z498" i="29"/>
  <c r="I499" i="29"/>
  <c r="K499" i="29" s="1"/>
  <c r="N499" i="29" s="1"/>
  <c r="J499" i="29"/>
  <c r="Y499" i="29" s="1"/>
  <c r="AI501" i="29"/>
  <c r="B501" i="29"/>
  <c r="AD502" i="29"/>
  <c r="O499" i="29"/>
  <c r="R500" i="29"/>
  <c r="E500" i="29"/>
  <c r="G500" i="29"/>
  <c r="S500" i="29"/>
  <c r="Q500" i="29"/>
  <c r="T500" i="29"/>
  <c r="U500" i="29"/>
  <c r="AF500" i="29"/>
  <c r="AE500" i="29"/>
  <c r="O500" i="29" l="1"/>
  <c r="S501" i="29"/>
  <c r="R501" i="29"/>
  <c r="Q501" i="29"/>
  <c r="T501" i="29"/>
  <c r="E501" i="29"/>
  <c r="G501" i="29"/>
  <c r="U501" i="29"/>
  <c r="AE501" i="29"/>
  <c r="AF501" i="29"/>
  <c r="J500" i="29"/>
  <c r="Y500" i="29" s="1"/>
  <c r="I500" i="29"/>
  <c r="K500" i="29" s="1"/>
  <c r="N500" i="29" s="1"/>
  <c r="V499" i="29"/>
  <c r="W499" i="29" s="1"/>
  <c r="P499" i="29"/>
  <c r="Z499" i="29"/>
  <c r="AI502" i="29"/>
  <c r="AD503" i="29"/>
  <c r="B502" i="29"/>
  <c r="Z500" i="29" l="1"/>
  <c r="O501" i="29"/>
  <c r="P500" i="29"/>
  <c r="V500" i="29"/>
  <c r="W500" i="29" s="1"/>
  <c r="AI503" i="29"/>
  <c r="AD504" i="29"/>
  <c r="B503" i="29"/>
  <c r="AF502" i="29"/>
  <c r="AE502" i="29"/>
  <c r="U502" i="29"/>
  <c r="E502" i="29"/>
  <c r="R502" i="29"/>
  <c r="Q502" i="29"/>
  <c r="S502" i="29"/>
  <c r="T502" i="29"/>
  <c r="G502" i="29"/>
  <c r="I501" i="29"/>
  <c r="K501" i="29" s="1"/>
  <c r="N501" i="29" s="1"/>
  <c r="J501" i="29"/>
  <c r="Y501" i="29" s="1"/>
  <c r="Z501" i="29" l="1"/>
  <c r="V501" i="29"/>
  <c r="W501" i="29" s="1"/>
  <c r="P501" i="29"/>
  <c r="O502" i="29"/>
  <c r="I502" i="29"/>
  <c r="K502" i="29" s="1"/>
  <c r="N502" i="29" s="1"/>
  <c r="V502" i="29" s="1"/>
  <c r="W502" i="29" s="1"/>
  <c r="J502" i="29"/>
  <c r="Y502" i="29" s="1"/>
  <c r="R503" i="29"/>
  <c r="G503" i="29"/>
  <c r="T503" i="29"/>
  <c r="U503" i="29"/>
  <c r="S503" i="29"/>
  <c r="Q503" i="29"/>
  <c r="E503" i="29"/>
  <c r="AI504" i="29"/>
  <c r="AD505" i="29"/>
  <c r="B504" i="29"/>
  <c r="AF503" i="29"/>
  <c r="AE503" i="29"/>
  <c r="P502" i="29" l="1"/>
  <c r="AI505" i="29"/>
  <c r="B505" i="29"/>
  <c r="AD506" i="29"/>
  <c r="O503" i="29"/>
  <c r="I503" i="29"/>
  <c r="K503" i="29" s="1"/>
  <c r="N503" i="29" s="1"/>
  <c r="J503" i="29"/>
  <c r="Y503" i="29" s="1"/>
  <c r="U504" i="29"/>
  <c r="T504" i="29"/>
  <c r="E504" i="29"/>
  <c r="Q504" i="29"/>
  <c r="S504" i="29"/>
  <c r="R504" i="29"/>
  <c r="G504" i="29"/>
  <c r="AF504" i="29"/>
  <c r="AE504" i="29"/>
  <c r="Z502" i="29"/>
  <c r="P503" i="29" l="1"/>
  <c r="V503" i="29"/>
  <c r="W503" i="29" s="1"/>
  <c r="AF505" i="29"/>
  <c r="AE505" i="29"/>
  <c r="Z503" i="29"/>
  <c r="O504" i="29"/>
  <c r="AI506" i="29"/>
  <c r="AD507" i="29"/>
  <c r="B506" i="29"/>
  <c r="J504" i="29"/>
  <c r="Y504" i="29" s="1"/>
  <c r="I504" i="29"/>
  <c r="K504" i="29" s="1"/>
  <c r="N504" i="29" s="1"/>
  <c r="S505" i="29"/>
  <c r="U505" i="29"/>
  <c r="Q505" i="29"/>
  <c r="E505" i="29"/>
  <c r="R505" i="29"/>
  <c r="G505" i="29"/>
  <c r="T505" i="29"/>
  <c r="P504" i="29" l="1"/>
  <c r="V504" i="29"/>
  <c r="W504" i="29" s="1"/>
  <c r="O505" i="29"/>
  <c r="AI507" i="29"/>
  <c r="AD508" i="29"/>
  <c r="B507" i="29"/>
  <c r="I505" i="29"/>
  <c r="K505" i="29" s="1"/>
  <c r="N505" i="29" s="1"/>
  <c r="J505" i="29"/>
  <c r="Y505" i="29" s="1"/>
  <c r="AF506" i="29"/>
  <c r="AE506" i="29"/>
  <c r="Z504" i="29"/>
  <c r="T506" i="29"/>
  <c r="E506" i="29"/>
  <c r="U506" i="29"/>
  <c r="Q506" i="29"/>
  <c r="R506" i="29"/>
  <c r="S506" i="29"/>
  <c r="G506" i="29"/>
  <c r="V505" i="29" l="1"/>
  <c r="W505" i="29" s="1"/>
  <c r="P505" i="29"/>
  <c r="J506" i="29"/>
  <c r="Y506" i="29" s="1"/>
  <c r="I506" i="29"/>
  <c r="K506" i="29" s="1"/>
  <c r="N506" i="29" s="1"/>
  <c r="AF507" i="29"/>
  <c r="AE507" i="29"/>
  <c r="O506" i="29"/>
  <c r="Z505" i="29"/>
  <c r="Q507" i="29"/>
  <c r="R507" i="29"/>
  <c r="S507" i="29"/>
  <c r="G507" i="29"/>
  <c r="T507" i="29"/>
  <c r="E507" i="29"/>
  <c r="U507" i="29"/>
  <c r="AI508" i="29"/>
  <c r="AD509" i="29"/>
  <c r="B508" i="29"/>
  <c r="V506" i="29" l="1"/>
  <c r="W506" i="29" s="1"/>
  <c r="P506" i="29"/>
  <c r="J507" i="29"/>
  <c r="Y507" i="29" s="1"/>
  <c r="I507" i="29"/>
  <c r="K507" i="29" s="1"/>
  <c r="N507" i="29" s="1"/>
  <c r="AI509" i="29"/>
  <c r="AD510" i="29"/>
  <c r="B509" i="29"/>
  <c r="AF508" i="29"/>
  <c r="AE508" i="29"/>
  <c r="Q508" i="29"/>
  <c r="E508" i="29"/>
  <c r="T508" i="29"/>
  <c r="G508" i="29"/>
  <c r="R508" i="29"/>
  <c r="S508" i="29"/>
  <c r="U508" i="29"/>
  <c r="Z506" i="29"/>
  <c r="O507" i="29"/>
  <c r="O508" i="29" l="1"/>
  <c r="P507" i="29"/>
  <c r="V507" i="29"/>
  <c r="W507" i="29" s="1"/>
  <c r="Z507" i="29"/>
  <c r="I508" i="29"/>
  <c r="K508" i="29" s="1"/>
  <c r="N508" i="29" s="1"/>
  <c r="J508" i="29"/>
  <c r="Y508" i="29" s="1"/>
  <c r="Q509" i="29"/>
  <c r="U509" i="29"/>
  <c r="S509" i="29"/>
  <c r="E509" i="29"/>
  <c r="T509" i="29"/>
  <c r="R509" i="29"/>
  <c r="G509" i="29"/>
  <c r="AI510" i="29"/>
  <c r="B510" i="29"/>
  <c r="AD511" i="29"/>
  <c r="AF509" i="29"/>
  <c r="AE509" i="29"/>
  <c r="Z508" i="29" l="1"/>
  <c r="P508" i="29"/>
  <c r="V508" i="29"/>
  <c r="W508" i="29" s="1"/>
  <c r="AI511" i="29"/>
  <c r="AD512" i="29"/>
  <c r="B511" i="29"/>
  <c r="J509" i="29"/>
  <c r="Y509" i="29" s="1"/>
  <c r="I509" i="29"/>
  <c r="K509" i="29" s="1"/>
  <c r="N509" i="29" s="1"/>
  <c r="V509" i="29" s="1"/>
  <c r="W509" i="29" s="1"/>
  <c r="Q510" i="29"/>
  <c r="U510" i="29"/>
  <c r="S510" i="29"/>
  <c r="E510" i="29"/>
  <c r="T510" i="29"/>
  <c r="R510" i="29"/>
  <c r="G510" i="29"/>
  <c r="AE510" i="29"/>
  <c r="AF510" i="29"/>
  <c r="O509" i="29"/>
  <c r="Z509" i="29" l="1"/>
  <c r="P509" i="29"/>
  <c r="I510" i="29"/>
  <c r="K510" i="29" s="1"/>
  <c r="N510" i="29" s="1"/>
  <c r="J510" i="29"/>
  <c r="Y510" i="29" s="1"/>
  <c r="AI512" i="29"/>
  <c r="B512" i="29"/>
  <c r="AD513" i="29"/>
  <c r="AF511" i="29"/>
  <c r="AE511" i="29"/>
  <c r="O510" i="29"/>
  <c r="R511" i="29"/>
  <c r="G511" i="29"/>
  <c r="S511" i="29"/>
  <c r="E511" i="29"/>
  <c r="T511" i="29"/>
  <c r="Q511" i="29"/>
  <c r="U511" i="29"/>
  <c r="O511" i="29" l="1"/>
  <c r="T512" i="29"/>
  <c r="U512" i="29"/>
  <c r="S512" i="29"/>
  <c r="R512" i="29"/>
  <c r="G512" i="29"/>
  <c r="Q512" i="29"/>
  <c r="E512" i="29"/>
  <c r="P510" i="29"/>
  <c r="V510" i="29"/>
  <c r="W510" i="29" s="1"/>
  <c r="J511" i="29"/>
  <c r="Y511" i="29" s="1"/>
  <c r="I511" i="29"/>
  <c r="K511" i="29" s="1"/>
  <c r="N511" i="29" s="1"/>
  <c r="AI513" i="29"/>
  <c r="AD514" i="29"/>
  <c r="B513" i="29"/>
  <c r="AE512" i="29"/>
  <c r="AF512" i="29"/>
  <c r="Z510" i="29"/>
  <c r="Z511" i="29" l="1"/>
  <c r="AI514" i="29"/>
  <c r="AD515" i="29"/>
  <c r="B514" i="29"/>
  <c r="AF513" i="29"/>
  <c r="AE513" i="29"/>
  <c r="R513" i="29"/>
  <c r="Q513" i="29"/>
  <c r="T513" i="29"/>
  <c r="U513" i="29"/>
  <c r="G513" i="29"/>
  <c r="E513" i="29"/>
  <c r="S513" i="29"/>
  <c r="V511" i="29"/>
  <c r="W511" i="29" s="1"/>
  <c r="P511" i="29"/>
  <c r="J512" i="29"/>
  <c r="Y512" i="29" s="1"/>
  <c r="I512" i="29"/>
  <c r="K512" i="29" s="1"/>
  <c r="N512" i="29" s="1"/>
  <c r="O512" i="29"/>
  <c r="P512" i="29" l="1"/>
  <c r="V512" i="29"/>
  <c r="W512" i="29" s="1"/>
  <c r="AI515" i="29"/>
  <c r="B515" i="29"/>
  <c r="AD516" i="29"/>
  <c r="J513" i="29"/>
  <c r="Y513" i="29" s="1"/>
  <c r="I513" i="29"/>
  <c r="K513" i="29" s="1"/>
  <c r="N513" i="29" s="1"/>
  <c r="AF514" i="29"/>
  <c r="AE514" i="29"/>
  <c r="Z512" i="29"/>
  <c r="O513" i="29"/>
  <c r="R514" i="29"/>
  <c r="U514" i="29"/>
  <c r="Q514" i="29"/>
  <c r="E514" i="29"/>
  <c r="T514" i="29"/>
  <c r="G514" i="29"/>
  <c r="S514" i="29"/>
  <c r="P513" i="29" l="1"/>
  <c r="V513" i="29"/>
  <c r="W513" i="29" s="1"/>
  <c r="Z513" i="29"/>
  <c r="AI516" i="29"/>
  <c r="B516" i="29"/>
  <c r="AD517" i="29"/>
  <c r="O514" i="29"/>
  <c r="G515" i="29"/>
  <c r="T515" i="29"/>
  <c r="Q515" i="29"/>
  <c r="U515" i="29"/>
  <c r="R515" i="29"/>
  <c r="E515" i="29"/>
  <c r="S515" i="29"/>
  <c r="J514" i="29"/>
  <c r="Y514" i="29" s="1"/>
  <c r="I514" i="29"/>
  <c r="K514" i="29" s="1"/>
  <c r="N514" i="29" s="1"/>
  <c r="AF515" i="29"/>
  <c r="AE515" i="29"/>
  <c r="Z514" i="29" l="1"/>
  <c r="P514" i="29"/>
  <c r="V514" i="29"/>
  <c r="W514" i="29" s="1"/>
  <c r="J515" i="29"/>
  <c r="Y515" i="29" s="1"/>
  <c r="I515" i="29"/>
  <c r="K515" i="29" s="1"/>
  <c r="N515" i="29" s="1"/>
  <c r="O515" i="29"/>
  <c r="AI517" i="29"/>
  <c r="B517" i="29"/>
  <c r="AD518" i="29"/>
  <c r="Q516" i="29"/>
  <c r="T516" i="29"/>
  <c r="U516" i="29"/>
  <c r="G516" i="29"/>
  <c r="R516" i="29"/>
  <c r="E516" i="29"/>
  <c r="S516" i="29"/>
  <c r="AF516" i="29"/>
  <c r="AE516" i="29"/>
  <c r="P515" i="29" l="1"/>
  <c r="V515" i="29"/>
  <c r="W515" i="29" s="1"/>
  <c r="O516" i="29"/>
  <c r="AI518" i="29"/>
  <c r="AD519" i="29"/>
  <c r="B518" i="29"/>
  <c r="G517" i="29"/>
  <c r="U517" i="29"/>
  <c r="T517" i="29"/>
  <c r="E517" i="29"/>
  <c r="Q517" i="29"/>
  <c r="S517" i="29"/>
  <c r="R517" i="29"/>
  <c r="AE517" i="29"/>
  <c r="AF517" i="29"/>
  <c r="Z515" i="29"/>
  <c r="I516" i="29"/>
  <c r="K516" i="29" s="1"/>
  <c r="N516" i="29" s="1"/>
  <c r="J516" i="29"/>
  <c r="Y516" i="29" s="1"/>
  <c r="V516" i="29" l="1"/>
  <c r="W516" i="29" s="1"/>
  <c r="P516" i="29"/>
  <c r="O517" i="29"/>
  <c r="AF518" i="29"/>
  <c r="AE518" i="29"/>
  <c r="Z516" i="29"/>
  <c r="G518" i="29"/>
  <c r="E518" i="29"/>
  <c r="U518" i="29"/>
  <c r="R518" i="29"/>
  <c r="S518" i="29"/>
  <c r="Q518" i="29"/>
  <c r="T518" i="29"/>
  <c r="I517" i="29"/>
  <c r="K517" i="29" s="1"/>
  <c r="N517" i="29" s="1"/>
  <c r="J517" i="29"/>
  <c r="Y517" i="29" s="1"/>
  <c r="AI519" i="29"/>
  <c r="AD520" i="29"/>
  <c r="B519" i="29"/>
  <c r="Z517" i="29" l="1"/>
  <c r="V517" i="29"/>
  <c r="W517" i="29" s="1"/>
  <c r="P517" i="29"/>
  <c r="AF519" i="29"/>
  <c r="AE519" i="29"/>
  <c r="T519" i="29"/>
  <c r="G519" i="29"/>
  <c r="S519" i="29"/>
  <c r="R519" i="29"/>
  <c r="U519" i="29"/>
  <c r="E519" i="29"/>
  <c r="Q519" i="29"/>
  <c r="AI520" i="29"/>
  <c r="AD521" i="29"/>
  <c r="B520" i="29"/>
  <c r="O518" i="29"/>
  <c r="I518" i="29"/>
  <c r="K518" i="29" s="1"/>
  <c r="N518" i="29" s="1"/>
  <c r="J518" i="29"/>
  <c r="Y518" i="29" s="1"/>
  <c r="P518" i="29" l="1"/>
  <c r="V518" i="29"/>
  <c r="W518" i="29" s="1"/>
  <c r="Z518" i="29"/>
  <c r="AI521" i="29"/>
  <c r="AD522" i="29"/>
  <c r="B521" i="29"/>
  <c r="AF520" i="29"/>
  <c r="AE520" i="29"/>
  <c r="S520" i="29"/>
  <c r="E520" i="29"/>
  <c r="G520" i="29"/>
  <c r="Q520" i="29"/>
  <c r="U520" i="29"/>
  <c r="T520" i="29"/>
  <c r="R520" i="29"/>
  <c r="O519" i="29"/>
  <c r="I519" i="29"/>
  <c r="K519" i="29" s="1"/>
  <c r="N519" i="29" s="1"/>
  <c r="J519" i="29"/>
  <c r="Y519" i="29" s="1"/>
  <c r="O520" i="29" l="1"/>
  <c r="V519" i="29"/>
  <c r="W519" i="29" s="1"/>
  <c r="P519" i="29"/>
  <c r="AI522" i="29"/>
  <c r="B522" i="29"/>
  <c r="AD523" i="29"/>
  <c r="J520" i="29"/>
  <c r="Y520" i="29" s="1"/>
  <c r="I520" i="29"/>
  <c r="K520" i="29" s="1"/>
  <c r="N520" i="29" s="1"/>
  <c r="AE521" i="29"/>
  <c r="AF521" i="29"/>
  <c r="Z519" i="29"/>
  <c r="S521" i="29"/>
  <c r="Q521" i="29"/>
  <c r="G521" i="29"/>
  <c r="R521" i="29"/>
  <c r="E521" i="29"/>
  <c r="T521" i="29"/>
  <c r="U521" i="29"/>
  <c r="Z520" i="29" l="1"/>
  <c r="O521" i="29"/>
  <c r="V520" i="29"/>
  <c r="W520" i="29" s="1"/>
  <c r="P520" i="29"/>
  <c r="AI523" i="29"/>
  <c r="AD524" i="29"/>
  <c r="B523" i="29"/>
  <c r="Q522" i="29"/>
  <c r="S522" i="29"/>
  <c r="T522" i="29"/>
  <c r="G522" i="29"/>
  <c r="U522" i="29"/>
  <c r="R522" i="29"/>
  <c r="E522" i="29"/>
  <c r="AF522" i="29"/>
  <c r="AE522" i="29"/>
  <c r="J521" i="29"/>
  <c r="Y521" i="29" s="1"/>
  <c r="I521" i="29"/>
  <c r="K521" i="29" s="1"/>
  <c r="N521" i="29" s="1"/>
  <c r="Z521" i="29" l="1"/>
  <c r="O522" i="29"/>
  <c r="V521" i="29"/>
  <c r="W521" i="29" s="1"/>
  <c r="P521" i="29"/>
  <c r="AI524" i="29"/>
  <c r="AD525" i="29"/>
  <c r="B524" i="29"/>
  <c r="AF523" i="29"/>
  <c r="AE523" i="29"/>
  <c r="J522" i="29"/>
  <c r="Y522" i="29" s="1"/>
  <c r="I522" i="29"/>
  <c r="K522" i="29" s="1"/>
  <c r="N522" i="29" s="1"/>
  <c r="T523" i="29"/>
  <c r="Q523" i="29"/>
  <c r="U523" i="29"/>
  <c r="S523" i="29"/>
  <c r="G523" i="29"/>
  <c r="R523" i="29"/>
  <c r="E523" i="29"/>
  <c r="Z522" i="29" l="1"/>
  <c r="V522" i="29"/>
  <c r="W522" i="29" s="1"/>
  <c r="P522" i="29"/>
  <c r="AI525" i="29"/>
  <c r="AD526" i="29"/>
  <c r="B525" i="29"/>
  <c r="O523" i="29"/>
  <c r="I523" i="29"/>
  <c r="K523" i="29" s="1"/>
  <c r="N523" i="29" s="1"/>
  <c r="J523" i="29"/>
  <c r="Y523" i="29" s="1"/>
  <c r="AE524" i="29"/>
  <c r="AF524" i="29"/>
  <c r="R524" i="29"/>
  <c r="S524" i="29"/>
  <c r="G524" i="29"/>
  <c r="T524" i="29"/>
  <c r="E524" i="29"/>
  <c r="U524" i="29"/>
  <c r="Q524" i="29"/>
  <c r="V523" i="29" l="1"/>
  <c r="W523" i="29" s="1"/>
  <c r="P523" i="29"/>
  <c r="Z523" i="29"/>
  <c r="E525" i="29"/>
  <c r="R525" i="29"/>
  <c r="T525" i="29"/>
  <c r="U525" i="29"/>
  <c r="Q525" i="29"/>
  <c r="S525" i="29"/>
  <c r="G525" i="29"/>
  <c r="O524" i="29"/>
  <c r="I524" i="29"/>
  <c r="K524" i="29" s="1"/>
  <c r="J524" i="29"/>
  <c r="Y524" i="29" s="1"/>
  <c r="AI526" i="29"/>
  <c r="AD527" i="29"/>
  <c r="B526" i="29"/>
  <c r="AE525" i="29"/>
  <c r="AF525" i="29"/>
  <c r="N524" i="29" l="1"/>
  <c r="P524" i="29" s="1"/>
  <c r="J525" i="29"/>
  <c r="Y525" i="29" s="1"/>
  <c r="I525" i="29"/>
  <c r="K525" i="29" s="1"/>
  <c r="G526" i="29"/>
  <c r="S526" i="29"/>
  <c r="R526" i="29"/>
  <c r="Q526" i="29"/>
  <c r="E526" i="29"/>
  <c r="T526" i="29"/>
  <c r="U526" i="29"/>
  <c r="Z524" i="29"/>
  <c r="AI527" i="29"/>
  <c r="B527" i="29"/>
  <c r="AD528" i="29"/>
  <c r="AE526" i="29"/>
  <c r="AF526" i="29"/>
  <c r="O525" i="29"/>
  <c r="V524" i="29" l="1"/>
  <c r="W524" i="29" s="1"/>
  <c r="N525" i="29"/>
  <c r="P525" i="29" s="1"/>
  <c r="O526" i="29"/>
  <c r="AE527" i="29"/>
  <c r="AF527" i="29"/>
  <c r="AI528" i="29"/>
  <c r="AD529" i="29"/>
  <c r="B528" i="29"/>
  <c r="Z525" i="29"/>
  <c r="J526" i="29"/>
  <c r="Y526" i="29" s="1"/>
  <c r="I526" i="29"/>
  <c r="K526" i="29" s="1"/>
  <c r="R527" i="29"/>
  <c r="T527" i="29"/>
  <c r="S527" i="29"/>
  <c r="Q527" i="29"/>
  <c r="G527" i="29"/>
  <c r="E527" i="29"/>
  <c r="U527" i="29"/>
  <c r="V525" i="29" l="1"/>
  <c r="W525" i="29" s="1"/>
  <c r="N526" i="29"/>
  <c r="V526" i="29" s="1"/>
  <c r="W526" i="29" s="1"/>
  <c r="Z526" i="29"/>
  <c r="O527" i="29"/>
  <c r="P526" i="29"/>
  <c r="AF528" i="29"/>
  <c r="AE528" i="29"/>
  <c r="Q528" i="29"/>
  <c r="U528" i="29"/>
  <c r="G528" i="29"/>
  <c r="T528" i="29"/>
  <c r="S528" i="29"/>
  <c r="E528" i="29"/>
  <c r="R528" i="29"/>
  <c r="I527" i="29"/>
  <c r="K527" i="29" s="1"/>
  <c r="J527" i="29"/>
  <c r="Y527" i="29" s="1"/>
  <c r="AI529" i="29"/>
  <c r="AD530" i="29"/>
  <c r="B529" i="29"/>
  <c r="Z527" i="29" l="1"/>
  <c r="N527" i="29"/>
  <c r="P527" i="29" s="1"/>
  <c r="AI530" i="29"/>
  <c r="AD531" i="29"/>
  <c r="B530" i="29"/>
  <c r="R529" i="29"/>
  <c r="Q529" i="29"/>
  <c r="E529" i="29"/>
  <c r="U529" i="29"/>
  <c r="G529" i="29"/>
  <c r="T529" i="29"/>
  <c r="S529" i="29"/>
  <c r="I528" i="29"/>
  <c r="K528" i="29" s="1"/>
  <c r="J528" i="29"/>
  <c r="Y528" i="29" s="1"/>
  <c r="AE529" i="29"/>
  <c r="AF529" i="29"/>
  <c r="O528" i="29"/>
  <c r="V527" i="29" l="1"/>
  <c r="W527" i="29" s="1"/>
  <c r="N528" i="29"/>
  <c r="P528" i="29" s="1"/>
  <c r="O529" i="29"/>
  <c r="R530" i="29"/>
  <c r="Q530" i="29"/>
  <c r="T530" i="29"/>
  <c r="E530" i="29"/>
  <c r="S530" i="29"/>
  <c r="U530" i="29"/>
  <c r="G530" i="29"/>
  <c r="V528" i="29"/>
  <c r="W528" i="29" s="1"/>
  <c r="J529" i="29"/>
  <c r="Y529" i="29" s="1"/>
  <c r="I529" i="29"/>
  <c r="K529" i="29" s="1"/>
  <c r="Z528" i="29"/>
  <c r="AI531" i="29"/>
  <c r="AD532" i="29"/>
  <c r="B531" i="29"/>
  <c r="AF530" i="29"/>
  <c r="AE530" i="29"/>
  <c r="N529" i="29" l="1"/>
  <c r="V529" i="29" s="1"/>
  <c r="W529" i="29" s="1"/>
  <c r="O530" i="29"/>
  <c r="AI532" i="29"/>
  <c r="AD533" i="29"/>
  <c r="B532" i="29"/>
  <c r="Z529" i="29"/>
  <c r="AF531" i="29"/>
  <c r="AE531" i="29"/>
  <c r="J530" i="29"/>
  <c r="Y530" i="29" s="1"/>
  <c r="I530" i="29"/>
  <c r="K530" i="29" s="1"/>
  <c r="G531" i="29"/>
  <c r="S531" i="29"/>
  <c r="Q531" i="29"/>
  <c r="E531" i="29"/>
  <c r="T531" i="29"/>
  <c r="R531" i="29"/>
  <c r="U531" i="29"/>
  <c r="P529" i="29" l="1"/>
  <c r="Z530" i="29"/>
  <c r="N530" i="29"/>
  <c r="V530" i="29" s="1"/>
  <c r="W530" i="29" s="1"/>
  <c r="O531" i="29"/>
  <c r="AI533" i="29"/>
  <c r="B533" i="29"/>
  <c r="AD534" i="29"/>
  <c r="AE532" i="29"/>
  <c r="AF532" i="29"/>
  <c r="I531" i="29"/>
  <c r="K531" i="29" s="1"/>
  <c r="J531" i="29"/>
  <c r="Y531" i="29" s="1"/>
  <c r="U532" i="29"/>
  <c r="G532" i="29"/>
  <c r="E532" i="29"/>
  <c r="S532" i="29"/>
  <c r="Q532" i="29"/>
  <c r="T532" i="29"/>
  <c r="R532" i="29"/>
  <c r="Z531" i="29" l="1"/>
  <c r="P530" i="29"/>
  <c r="N531" i="29"/>
  <c r="P531" i="29" s="1"/>
  <c r="O532" i="29"/>
  <c r="AF533" i="29"/>
  <c r="AE533" i="29"/>
  <c r="J532" i="29"/>
  <c r="Y532" i="29" s="1"/>
  <c r="I532" i="29"/>
  <c r="K532" i="29" s="1"/>
  <c r="AI534" i="29"/>
  <c r="B534" i="29"/>
  <c r="AD535" i="29"/>
  <c r="S533" i="29"/>
  <c r="T533" i="29"/>
  <c r="G533" i="29"/>
  <c r="U533" i="29"/>
  <c r="E533" i="29"/>
  <c r="R533" i="29"/>
  <c r="Q533" i="29"/>
  <c r="V531" i="29" l="1"/>
  <c r="W531" i="29" s="1"/>
  <c r="N532" i="29"/>
  <c r="P532" i="29" s="1"/>
  <c r="AE534" i="29"/>
  <c r="AF534" i="29"/>
  <c r="I533" i="29"/>
  <c r="K533" i="29" s="1"/>
  <c r="J533" i="29"/>
  <c r="Y533" i="29" s="1"/>
  <c r="O533" i="29"/>
  <c r="AI535" i="29"/>
  <c r="B535" i="29"/>
  <c r="AD536" i="29"/>
  <c r="Q534" i="29"/>
  <c r="S534" i="29"/>
  <c r="G534" i="29"/>
  <c r="U534" i="29"/>
  <c r="E534" i="29"/>
  <c r="R534" i="29"/>
  <c r="T534" i="29"/>
  <c r="Z532" i="29"/>
  <c r="V532" i="29" l="1"/>
  <c r="W532" i="29" s="1"/>
  <c r="N533" i="29"/>
  <c r="P533" i="29" s="1"/>
  <c r="AE535" i="29"/>
  <c r="AF535" i="29"/>
  <c r="Z533" i="29"/>
  <c r="AI536" i="29"/>
  <c r="B536" i="29"/>
  <c r="AD537" i="29"/>
  <c r="J534" i="29"/>
  <c r="Y534" i="29" s="1"/>
  <c r="I534" i="29"/>
  <c r="K534" i="29" s="1"/>
  <c r="O534" i="29"/>
  <c r="G535" i="29"/>
  <c r="S535" i="29"/>
  <c r="E535" i="29"/>
  <c r="R535" i="29"/>
  <c r="U535" i="29"/>
  <c r="T535" i="29"/>
  <c r="Q535" i="29"/>
  <c r="V533" i="29" l="1"/>
  <c r="W533" i="29" s="1"/>
  <c r="N534" i="29"/>
  <c r="P534" i="29" s="1"/>
  <c r="AF536" i="29"/>
  <c r="AE536" i="29"/>
  <c r="J535" i="29"/>
  <c r="Y535" i="29" s="1"/>
  <c r="I535" i="29"/>
  <c r="K535" i="29" s="1"/>
  <c r="O535" i="29"/>
  <c r="Z534" i="29"/>
  <c r="AI537" i="29"/>
  <c r="AD538" i="29"/>
  <c r="B537" i="29"/>
  <c r="R536" i="29"/>
  <c r="Q536" i="29"/>
  <c r="S536" i="29"/>
  <c r="T536" i="29"/>
  <c r="G536" i="29"/>
  <c r="U536" i="29"/>
  <c r="E536" i="29"/>
  <c r="V534" i="29" l="1"/>
  <c r="W534" i="29" s="1"/>
  <c r="N535" i="29"/>
  <c r="V535" i="29" s="1"/>
  <c r="W535" i="29" s="1"/>
  <c r="O536" i="29"/>
  <c r="AI538" i="29"/>
  <c r="AD539" i="29"/>
  <c r="B538" i="29"/>
  <c r="I536" i="29"/>
  <c r="K536" i="29" s="1"/>
  <c r="J536" i="29"/>
  <c r="Y536" i="29" s="1"/>
  <c r="AF537" i="29"/>
  <c r="AE537" i="29"/>
  <c r="Z535" i="29"/>
  <c r="S537" i="29"/>
  <c r="G537" i="29"/>
  <c r="E537" i="29"/>
  <c r="R537" i="29"/>
  <c r="U537" i="29"/>
  <c r="Q537" i="29"/>
  <c r="T537" i="29"/>
  <c r="Z536" i="29" l="1"/>
  <c r="P535" i="29"/>
  <c r="N536" i="29"/>
  <c r="P536" i="29" s="1"/>
  <c r="O537" i="29"/>
  <c r="I537" i="29"/>
  <c r="K537" i="29" s="1"/>
  <c r="J537" i="29"/>
  <c r="Y537" i="29" s="1"/>
  <c r="R538" i="29"/>
  <c r="G538" i="29"/>
  <c r="S538" i="29"/>
  <c r="T538" i="29"/>
  <c r="E538" i="29"/>
  <c r="Q538" i="29"/>
  <c r="U538" i="29"/>
  <c r="AI539" i="29"/>
  <c r="AD540" i="29"/>
  <c r="B539" i="29"/>
  <c r="AE538" i="29"/>
  <c r="AF538" i="29"/>
  <c r="V536" i="29" l="1"/>
  <c r="W536" i="29" s="1"/>
  <c r="N537" i="29"/>
  <c r="P537" i="29" s="1"/>
  <c r="AI540" i="29"/>
  <c r="AD541" i="29"/>
  <c r="B540" i="29"/>
  <c r="I538" i="29"/>
  <c r="K538" i="29" s="1"/>
  <c r="J538" i="29"/>
  <c r="Y538" i="29" s="1"/>
  <c r="AE539" i="29"/>
  <c r="AF539" i="29"/>
  <c r="R539" i="29"/>
  <c r="G539" i="29"/>
  <c r="S539" i="29"/>
  <c r="T539" i="29"/>
  <c r="U539" i="29"/>
  <c r="E539" i="29"/>
  <c r="Q539" i="29"/>
  <c r="Z537" i="29"/>
  <c r="O538" i="29"/>
  <c r="V537" i="29" l="1"/>
  <c r="W537" i="29" s="1"/>
  <c r="N538" i="29"/>
  <c r="P538" i="29" s="1"/>
  <c r="O539" i="29"/>
  <c r="AI541" i="29"/>
  <c r="AD542" i="29"/>
  <c r="B541" i="29"/>
  <c r="Z538" i="29"/>
  <c r="AE540" i="29"/>
  <c r="AF540" i="29"/>
  <c r="J539" i="29"/>
  <c r="Y539" i="29" s="1"/>
  <c r="I539" i="29"/>
  <c r="K539" i="29" s="1"/>
  <c r="G540" i="29"/>
  <c r="T540" i="29"/>
  <c r="E540" i="29"/>
  <c r="U540" i="29"/>
  <c r="Q540" i="29"/>
  <c r="R540" i="29"/>
  <c r="S540" i="29"/>
  <c r="V538" i="29" l="1"/>
  <c r="W538" i="29" s="1"/>
  <c r="Z539" i="29"/>
  <c r="N539" i="29"/>
  <c r="P539" i="29" s="1"/>
  <c r="U541" i="29"/>
  <c r="Q541" i="29"/>
  <c r="R541" i="29"/>
  <c r="T541" i="29"/>
  <c r="G541" i="29"/>
  <c r="S541" i="29"/>
  <c r="E541" i="29"/>
  <c r="I540" i="29"/>
  <c r="K540" i="29" s="1"/>
  <c r="J540" i="29"/>
  <c r="Y540" i="29" s="1"/>
  <c r="AI542" i="29"/>
  <c r="B542" i="29"/>
  <c r="AD543" i="29"/>
  <c r="O540" i="29"/>
  <c r="AF541" i="29"/>
  <c r="AE541" i="29"/>
  <c r="V539" i="29" l="1"/>
  <c r="W539" i="29" s="1"/>
  <c r="N540" i="29"/>
  <c r="P540" i="29" s="1"/>
  <c r="O541" i="29"/>
  <c r="Z540" i="29"/>
  <c r="T542" i="29"/>
  <c r="G542" i="29"/>
  <c r="U542" i="29"/>
  <c r="E542" i="29"/>
  <c r="R542" i="29"/>
  <c r="Q542" i="29"/>
  <c r="S542" i="29"/>
  <c r="AE542" i="29"/>
  <c r="AF542" i="29"/>
  <c r="V540" i="29"/>
  <c r="W540" i="29" s="1"/>
  <c r="J541" i="29"/>
  <c r="Y541" i="29" s="1"/>
  <c r="I541" i="29"/>
  <c r="K541" i="29" s="1"/>
  <c r="AI543" i="29"/>
  <c r="AD544" i="29"/>
  <c r="B543" i="29"/>
  <c r="N541" i="29" l="1"/>
  <c r="V541" i="29" s="1"/>
  <c r="W541" i="29" s="1"/>
  <c r="O542" i="29"/>
  <c r="Z541" i="29"/>
  <c r="AE543" i="29"/>
  <c r="AF543" i="29"/>
  <c r="I542" i="29"/>
  <c r="K542" i="29" s="1"/>
  <c r="J542" i="29"/>
  <c r="Y542" i="29" s="1"/>
  <c r="P541" i="29"/>
  <c r="Q543" i="29"/>
  <c r="U543" i="29"/>
  <c r="R543" i="29"/>
  <c r="G543" i="29"/>
  <c r="S543" i="29"/>
  <c r="E543" i="29"/>
  <c r="T543" i="29"/>
  <c r="AI544" i="29"/>
  <c r="B544" i="29"/>
  <c r="AD545" i="29"/>
  <c r="N542" i="29" l="1"/>
  <c r="P542" i="29" s="1"/>
  <c r="S544" i="29"/>
  <c r="E544" i="29"/>
  <c r="T544" i="29"/>
  <c r="Q544" i="29"/>
  <c r="U544" i="29"/>
  <c r="R544" i="29"/>
  <c r="G544" i="29"/>
  <c r="AF544" i="29"/>
  <c r="AE544" i="29"/>
  <c r="Z542" i="29"/>
  <c r="AI545" i="29"/>
  <c r="AD546" i="29"/>
  <c r="B545" i="29"/>
  <c r="O543" i="29"/>
  <c r="I543" i="29"/>
  <c r="K543" i="29" s="1"/>
  <c r="J543" i="29"/>
  <c r="Y543" i="29" s="1"/>
  <c r="V542" i="29" l="1"/>
  <c r="W542" i="29" s="1"/>
  <c r="N543" i="29"/>
  <c r="P543" i="29" s="1"/>
  <c r="O544" i="29"/>
  <c r="G545" i="29"/>
  <c r="S545" i="29"/>
  <c r="Q545" i="29"/>
  <c r="E545" i="29"/>
  <c r="U545" i="29"/>
  <c r="R545" i="29"/>
  <c r="T545" i="29"/>
  <c r="AI546" i="29"/>
  <c r="B546" i="29"/>
  <c r="AD547" i="29"/>
  <c r="AF545" i="29"/>
  <c r="AE545" i="29"/>
  <c r="Z543" i="29"/>
  <c r="I544" i="29"/>
  <c r="K544" i="29" s="1"/>
  <c r="J544" i="29"/>
  <c r="Y544" i="29" s="1"/>
  <c r="V543" i="29" l="1"/>
  <c r="W543" i="29" s="1"/>
  <c r="Z544" i="29"/>
  <c r="N544" i="29"/>
  <c r="V544" i="29" s="1"/>
  <c r="W544" i="29" s="1"/>
  <c r="O545" i="29"/>
  <c r="AF546" i="29"/>
  <c r="AE546" i="29"/>
  <c r="J545" i="29"/>
  <c r="Y545" i="29" s="1"/>
  <c r="I545" i="29"/>
  <c r="K545" i="29" s="1"/>
  <c r="AI547" i="29"/>
  <c r="AD548" i="29"/>
  <c r="B547" i="29"/>
  <c r="U546" i="29"/>
  <c r="G546" i="29"/>
  <c r="S546" i="29"/>
  <c r="E546" i="29"/>
  <c r="R546" i="29"/>
  <c r="T546" i="29"/>
  <c r="Q546" i="29"/>
  <c r="P544" i="29" l="1"/>
  <c r="N545" i="29"/>
  <c r="V545" i="29" s="1"/>
  <c r="W545" i="29" s="1"/>
  <c r="AE547" i="29"/>
  <c r="AF547" i="29"/>
  <c r="J546" i="29"/>
  <c r="Y546" i="29" s="1"/>
  <c r="I546" i="29"/>
  <c r="K546" i="29" s="1"/>
  <c r="Z545" i="29"/>
  <c r="R547" i="29"/>
  <c r="S547" i="29"/>
  <c r="E547" i="29"/>
  <c r="T547" i="29"/>
  <c r="G547" i="29"/>
  <c r="Q547" i="29"/>
  <c r="U547" i="29"/>
  <c r="O546" i="29"/>
  <c r="AI548" i="29"/>
  <c r="AD549" i="29"/>
  <c r="B548" i="29"/>
  <c r="P545" i="29" l="1"/>
  <c r="N546" i="29"/>
  <c r="V546" i="29" s="1"/>
  <c r="W546" i="29" s="1"/>
  <c r="AE548" i="29"/>
  <c r="AF548" i="29"/>
  <c r="Z546" i="29"/>
  <c r="U548" i="29"/>
  <c r="G548" i="29"/>
  <c r="R548" i="29"/>
  <c r="E548" i="29"/>
  <c r="S548" i="29"/>
  <c r="Q548" i="29"/>
  <c r="T548" i="29"/>
  <c r="O547" i="29"/>
  <c r="AI549" i="29"/>
  <c r="B549" i="29"/>
  <c r="AD550" i="29"/>
  <c r="J547" i="29"/>
  <c r="Y547" i="29" s="1"/>
  <c r="I547" i="29"/>
  <c r="K547" i="29" s="1"/>
  <c r="P546" i="29" l="1"/>
  <c r="N547" i="29"/>
  <c r="V547" i="29" s="1"/>
  <c r="W547" i="29" s="1"/>
  <c r="AI550" i="29"/>
  <c r="B550" i="29"/>
  <c r="AD551" i="29"/>
  <c r="T549" i="29"/>
  <c r="R549" i="29"/>
  <c r="U549" i="29"/>
  <c r="E549" i="29"/>
  <c r="G549" i="29"/>
  <c r="S549" i="29"/>
  <c r="Q549" i="29"/>
  <c r="P547" i="29"/>
  <c r="AF549" i="29"/>
  <c r="AE549" i="29"/>
  <c r="O548" i="29"/>
  <c r="Z547" i="29"/>
  <c r="J548" i="29"/>
  <c r="Y548" i="29" s="1"/>
  <c r="I548" i="29"/>
  <c r="K548" i="29" s="1"/>
  <c r="N548" i="29" l="1"/>
  <c r="P548" i="29" s="1"/>
  <c r="Z548" i="29"/>
  <c r="I549" i="29"/>
  <c r="K549" i="29" s="1"/>
  <c r="J549" i="29"/>
  <c r="Y549" i="29" s="1"/>
  <c r="AI551" i="29"/>
  <c r="AD552" i="29"/>
  <c r="B551" i="29"/>
  <c r="O549" i="29"/>
  <c r="E550" i="29"/>
  <c r="S550" i="29"/>
  <c r="G550" i="29"/>
  <c r="Q550" i="29"/>
  <c r="U550" i="29"/>
  <c r="R550" i="29"/>
  <c r="T550" i="29"/>
  <c r="AE550" i="29"/>
  <c r="AF550" i="29"/>
  <c r="V548" i="29" l="1"/>
  <c r="W548" i="29" s="1"/>
  <c r="N549" i="29"/>
  <c r="P549" i="29" s="1"/>
  <c r="AI552" i="29"/>
  <c r="AD553" i="29"/>
  <c r="B552" i="29"/>
  <c r="O550" i="29"/>
  <c r="AF551" i="29"/>
  <c r="AE551" i="29"/>
  <c r="I550" i="29"/>
  <c r="K550" i="29" s="1"/>
  <c r="J550" i="29"/>
  <c r="Y550" i="29" s="1"/>
  <c r="Z549" i="29"/>
  <c r="G551" i="29"/>
  <c r="R551" i="29"/>
  <c r="S551" i="29"/>
  <c r="Q551" i="29"/>
  <c r="E551" i="29"/>
  <c r="T551" i="29"/>
  <c r="U551" i="29"/>
  <c r="V549" i="29" l="1"/>
  <c r="W549" i="29" s="1"/>
  <c r="N550" i="29"/>
  <c r="P550" i="29" s="1"/>
  <c r="O551" i="29"/>
  <c r="Z550" i="29"/>
  <c r="E552" i="29"/>
  <c r="S552" i="29"/>
  <c r="R552" i="29"/>
  <c r="U552" i="29"/>
  <c r="T552" i="29"/>
  <c r="Q552" i="29"/>
  <c r="G552" i="29"/>
  <c r="I551" i="29"/>
  <c r="K551" i="29" s="1"/>
  <c r="J551" i="29"/>
  <c r="Y551" i="29" s="1"/>
  <c r="AI553" i="29"/>
  <c r="B553" i="29"/>
  <c r="AD554" i="29"/>
  <c r="AE552" i="29"/>
  <c r="AF552" i="29"/>
  <c r="V550" i="29" l="1"/>
  <c r="W550" i="29" s="1"/>
  <c r="N551" i="29"/>
  <c r="V551" i="29" s="1"/>
  <c r="W551" i="29" s="1"/>
  <c r="O552" i="29"/>
  <c r="Z551" i="29"/>
  <c r="I552" i="29"/>
  <c r="K552" i="29" s="1"/>
  <c r="J552" i="29"/>
  <c r="Y552" i="29" s="1"/>
  <c r="G553" i="29"/>
  <c r="E553" i="29"/>
  <c r="S553" i="29"/>
  <c r="Q553" i="29"/>
  <c r="U553" i="29"/>
  <c r="T553" i="29"/>
  <c r="R553" i="29"/>
  <c r="AF553" i="29"/>
  <c r="AE553" i="29"/>
  <c r="AI554" i="29"/>
  <c r="B554" i="29"/>
  <c r="AD555" i="29"/>
  <c r="P551" i="29" l="1"/>
  <c r="N552" i="29"/>
  <c r="V552" i="29" s="1"/>
  <c r="W552" i="29" s="1"/>
  <c r="Z552" i="29"/>
  <c r="O553" i="29"/>
  <c r="AI555" i="29"/>
  <c r="B555" i="29"/>
  <c r="AD556" i="29"/>
  <c r="R554" i="29"/>
  <c r="U554" i="29"/>
  <c r="G554" i="29"/>
  <c r="Q554" i="29"/>
  <c r="E554" i="29"/>
  <c r="S554" i="29"/>
  <c r="T554" i="29"/>
  <c r="AF554" i="29"/>
  <c r="AE554" i="29"/>
  <c r="J553" i="29"/>
  <c r="Y553" i="29" s="1"/>
  <c r="I553" i="29"/>
  <c r="K553" i="29" s="1"/>
  <c r="P552" i="29" l="1"/>
  <c r="N553" i="29"/>
  <c r="P553" i="29" s="1"/>
  <c r="AI556" i="29"/>
  <c r="B556" i="29"/>
  <c r="AD557" i="29"/>
  <c r="Z553" i="29"/>
  <c r="O554" i="29"/>
  <c r="G555" i="29"/>
  <c r="T555" i="29"/>
  <c r="Q555" i="29"/>
  <c r="R555" i="29"/>
  <c r="E555" i="29"/>
  <c r="U555" i="29"/>
  <c r="S555" i="29"/>
  <c r="J554" i="29"/>
  <c r="Y554" i="29" s="1"/>
  <c r="I554" i="29"/>
  <c r="K554" i="29" s="1"/>
  <c r="AE555" i="29"/>
  <c r="AF555" i="29"/>
  <c r="V553" i="29" l="1"/>
  <c r="W553" i="29" s="1"/>
  <c r="N554" i="29"/>
  <c r="P554" i="29" s="1"/>
  <c r="Z554" i="29"/>
  <c r="O555" i="29"/>
  <c r="G556" i="29"/>
  <c r="U556" i="29"/>
  <c r="R556" i="29"/>
  <c r="E556" i="29"/>
  <c r="Q556" i="29"/>
  <c r="S556" i="29"/>
  <c r="T556" i="29"/>
  <c r="AE556" i="29"/>
  <c r="AF556" i="29"/>
  <c r="I555" i="29"/>
  <c r="K555" i="29" s="1"/>
  <c r="J555" i="29"/>
  <c r="Y555" i="29" s="1"/>
  <c r="AI557" i="29"/>
  <c r="AD558" i="29"/>
  <c r="B557" i="29"/>
  <c r="V554" i="29" l="1"/>
  <c r="W554" i="29" s="1"/>
  <c r="Z555" i="29"/>
  <c r="N555" i="29"/>
  <c r="P555" i="29" s="1"/>
  <c r="O556" i="29"/>
  <c r="Q557" i="29"/>
  <c r="U557" i="29"/>
  <c r="R557" i="29"/>
  <c r="G557" i="29"/>
  <c r="E557" i="29"/>
  <c r="T557" i="29"/>
  <c r="S557" i="29"/>
  <c r="AI558" i="29"/>
  <c r="B558" i="29"/>
  <c r="AD559" i="29"/>
  <c r="AF557" i="29"/>
  <c r="AE557" i="29"/>
  <c r="I556" i="29"/>
  <c r="K556" i="29" s="1"/>
  <c r="J556" i="29"/>
  <c r="Y556" i="29" s="1"/>
  <c r="V555" i="29" l="1"/>
  <c r="W555" i="29" s="1"/>
  <c r="N556" i="29"/>
  <c r="P556" i="29" s="1"/>
  <c r="E558" i="29"/>
  <c r="U558" i="29"/>
  <c r="R558" i="29"/>
  <c r="T558" i="29"/>
  <c r="S558" i="29"/>
  <c r="Q558" i="29"/>
  <c r="G558" i="29"/>
  <c r="AF558" i="29"/>
  <c r="AE558" i="29"/>
  <c r="I557" i="29"/>
  <c r="K557" i="29" s="1"/>
  <c r="J557" i="29"/>
  <c r="Y557" i="29" s="1"/>
  <c r="AI559" i="29"/>
  <c r="B559" i="29"/>
  <c r="AD560" i="29"/>
  <c r="Z556" i="29"/>
  <c r="O557" i="29"/>
  <c r="V556" i="29" l="1"/>
  <c r="W556" i="29" s="1"/>
  <c r="N557" i="29"/>
  <c r="P557" i="29" s="1"/>
  <c r="AE559" i="29"/>
  <c r="AF559" i="29"/>
  <c r="Z557" i="29"/>
  <c r="AI560" i="29"/>
  <c r="B560" i="29"/>
  <c r="AD561" i="29"/>
  <c r="I558" i="29"/>
  <c r="K558" i="29" s="1"/>
  <c r="J558" i="29"/>
  <c r="Y558" i="29" s="1"/>
  <c r="Q559" i="29"/>
  <c r="U559" i="29"/>
  <c r="R559" i="29"/>
  <c r="G559" i="29"/>
  <c r="E559" i="29"/>
  <c r="T559" i="29"/>
  <c r="S559" i="29"/>
  <c r="O558" i="29"/>
  <c r="V557" i="29" l="1"/>
  <c r="W557" i="29" s="1"/>
  <c r="N558" i="29"/>
  <c r="P558" i="29" s="1"/>
  <c r="Z558" i="29"/>
  <c r="O559" i="29"/>
  <c r="AI561" i="29"/>
  <c r="AD562" i="29"/>
  <c r="B561" i="29"/>
  <c r="Q560" i="29"/>
  <c r="U560" i="29"/>
  <c r="R560" i="29"/>
  <c r="G560" i="29"/>
  <c r="S560" i="29"/>
  <c r="E560" i="29"/>
  <c r="T560" i="29"/>
  <c r="AE560" i="29"/>
  <c r="AF560" i="29"/>
  <c r="J559" i="29"/>
  <c r="Y559" i="29" s="1"/>
  <c r="I559" i="29"/>
  <c r="K559" i="29" s="1"/>
  <c r="V558" i="29" l="1"/>
  <c r="W558" i="29" s="1"/>
  <c r="N559" i="29"/>
  <c r="P559" i="29" s="1"/>
  <c r="AE561" i="29"/>
  <c r="AF561" i="29"/>
  <c r="O560" i="29"/>
  <c r="Z559" i="29"/>
  <c r="Q561" i="29"/>
  <c r="U561" i="29"/>
  <c r="S561" i="29"/>
  <c r="R561" i="29"/>
  <c r="T561" i="29"/>
  <c r="E561" i="29"/>
  <c r="G561" i="29"/>
  <c r="J560" i="29"/>
  <c r="Y560" i="29" s="1"/>
  <c r="I560" i="29"/>
  <c r="K560" i="29" s="1"/>
  <c r="AI562" i="29"/>
  <c r="AD563" i="29"/>
  <c r="B562" i="29"/>
  <c r="V559" i="29" l="1"/>
  <c r="W559" i="29" s="1"/>
  <c r="N560" i="29"/>
  <c r="P560" i="29" s="1"/>
  <c r="Q562" i="29"/>
  <c r="G562" i="29"/>
  <c r="S562" i="29"/>
  <c r="R562" i="29"/>
  <c r="E562" i="29"/>
  <c r="T562" i="29"/>
  <c r="U562" i="29"/>
  <c r="O561" i="29"/>
  <c r="Z560" i="29"/>
  <c r="AI563" i="29"/>
  <c r="B563" i="29"/>
  <c r="AD564" i="29"/>
  <c r="AF562" i="29"/>
  <c r="AE562" i="29"/>
  <c r="J561" i="29"/>
  <c r="Y561" i="29" s="1"/>
  <c r="I561" i="29"/>
  <c r="K561" i="29" s="1"/>
  <c r="V560" i="29" l="1"/>
  <c r="W560" i="29" s="1"/>
  <c r="N561" i="29"/>
  <c r="P561" i="29" s="1"/>
  <c r="AI564" i="29"/>
  <c r="AD565" i="29"/>
  <c r="B564" i="29"/>
  <c r="G563" i="29"/>
  <c r="T563" i="29"/>
  <c r="Q563" i="29"/>
  <c r="S563" i="29"/>
  <c r="U563" i="29"/>
  <c r="E563" i="29"/>
  <c r="R563" i="29"/>
  <c r="Z561" i="29"/>
  <c r="I562" i="29"/>
  <c r="K562" i="29" s="1"/>
  <c r="J562" i="29"/>
  <c r="Y562" i="29" s="1"/>
  <c r="AE563" i="29"/>
  <c r="AF563" i="29"/>
  <c r="O562" i="29"/>
  <c r="V561" i="29" l="1"/>
  <c r="W561" i="29" s="1"/>
  <c r="N562" i="29"/>
  <c r="V562" i="29" s="1"/>
  <c r="W562" i="29" s="1"/>
  <c r="Z562" i="29"/>
  <c r="AI565" i="29"/>
  <c r="B565" i="29"/>
  <c r="AD566" i="29"/>
  <c r="AF564" i="29"/>
  <c r="AE564" i="29"/>
  <c r="J563" i="29"/>
  <c r="Y563" i="29" s="1"/>
  <c r="I563" i="29"/>
  <c r="K563" i="29" s="1"/>
  <c r="O563" i="29"/>
  <c r="T564" i="29"/>
  <c r="R564" i="29"/>
  <c r="U564" i="29"/>
  <c r="G564" i="29"/>
  <c r="E564" i="29"/>
  <c r="S564" i="29"/>
  <c r="Q564" i="29"/>
  <c r="P562" i="29" l="1"/>
  <c r="N563" i="29"/>
  <c r="P563" i="29" s="1"/>
  <c r="Z563" i="29"/>
  <c r="AF565" i="29"/>
  <c r="AE565" i="29"/>
  <c r="AI566" i="29"/>
  <c r="AD567" i="29"/>
  <c r="B566" i="29"/>
  <c r="O564" i="29"/>
  <c r="J564" i="29"/>
  <c r="Y564" i="29" s="1"/>
  <c r="I564" i="29"/>
  <c r="K564" i="29" s="1"/>
  <c r="R565" i="29"/>
  <c r="S565" i="29"/>
  <c r="E565" i="29"/>
  <c r="T565" i="29"/>
  <c r="Q565" i="29"/>
  <c r="U565" i="29"/>
  <c r="G565" i="29"/>
  <c r="V563" i="29" l="1"/>
  <c r="W563" i="29" s="1"/>
  <c r="N564" i="29"/>
  <c r="P564" i="29" s="1"/>
  <c r="O565" i="29"/>
  <c r="AF566" i="29"/>
  <c r="AE566" i="29"/>
  <c r="R566" i="29"/>
  <c r="Q566" i="29"/>
  <c r="S566" i="29"/>
  <c r="U566" i="29"/>
  <c r="T566" i="29"/>
  <c r="G566" i="29"/>
  <c r="E566" i="29"/>
  <c r="Z564" i="29"/>
  <c r="AI567" i="29"/>
  <c r="B567" i="29"/>
  <c r="AD568" i="29"/>
  <c r="I565" i="29"/>
  <c r="K565" i="29" s="1"/>
  <c r="J565" i="29"/>
  <c r="Y565" i="29" s="1"/>
  <c r="V564" i="29" l="1"/>
  <c r="W564" i="29" s="1"/>
  <c r="N565" i="29"/>
  <c r="P565" i="29" s="1"/>
  <c r="AI568" i="29"/>
  <c r="B568" i="29"/>
  <c r="AD569" i="29"/>
  <c r="S567" i="29"/>
  <c r="T567" i="29"/>
  <c r="G567" i="29"/>
  <c r="U567" i="29"/>
  <c r="E567" i="29"/>
  <c r="R567" i="29"/>
  <c r="Q567" i="29"/>
  <c r="J566" i="29"/>
  <c r="Y566" i="29" s="1"/>
  <c r="I566" i="29"/>
  <c r="K566" i="29" s="1"/>
  <c r="AF567" i="29"/>
  <c r="AE567" i="29"/>
  <c r="O566" i="29"/>
  <c r="Z565" i="29"/>
  <c r="V565" i="29" l="1"/>
  <c r="W565" i="29" s="1"/>
  <c r="N566" i="29"/>
  <c r="P566" i="29" s="1"/>
  <c r="AE568" i="29"/>
  <c r="AF568" i="29"/>
  <c r="I567" i="29"/>
  <c r="K567" i="29" s="1"/>
  <c r="J567" i="29"/>
  <c r="Y567" i="29" s="1"/>
  <c r="Z566" i="29"/>
  <c r="O567" i="29"/>
  <c r="AI569" i="29"/>
  <c r="B569" i="29"/>
  <c r="AD570" i="29"/>
  <c r="S568" i="29"/>
  <c r="U568" i="29"/>
  <c r="G568" i="29"/>
  <c r="R568" i="29"/>
  <c r="E568" i="29"/>
  <c r="T568" i="29"/>
  <c r="Q568" i="29"/>
  <c r="V566" i="29" l="1"/>
  <c r="W566" i="29" s="1"/>
  <c r="N567" i="29"/>
  <c r="P567" i="29" s="1"/>
  <c r="AI570" i="29"/>
  <c r="B570" i="29"/>
  <c r="AD571" i="29"/>
  <c r="Q569" i="29"/>
  <c r="U569" i="29"/>
  <c r="R569" i="29"/>
  <c r="S569" i="29"/>
  <c r="T569" i="29"/>
  <c r="G569" i="29"/>
  <c r="E569" i="29"/>
  <c r="I568" i="29"/>
  <c r="K568" i="29" s="1"/>
  <c r="J568" i="29"/>
  <c r="Y568" i="29" s="1"/>
  <c r="O568" i="29"/>
  <c r="AF569" i="29"/>
  <c r="AE569" i="29"/>
  <c r="Z567" i="29"/>
  <c r="V567" i="29" l="1"/>
  <c r="W567" i="29" s="1"/>
  <c r="N568" i="29"/>
  <c r="P568" i="29" s="1"/>
  <c r="I569" i="29"/>
  <c r="K569" i="29" s="1"/>
  <c r="J569" i="29"/>
  <c r="Y569" i="29" s="1"/>
  <c r="AF570" i="29"/>
  <c r="AE570" i="29"/>
  <c r="O569" i="29"/>
  <c r="AI571" i="29"/>
  <c r="B571" i="29"/>
  <c r="AD572" i="29"/>
  <c r="Z568" i="29"/>
  <c r="T570" i="29"/>
  <c r="R570" i="29"/>
  <c r="E570" i="29"/>
  <c r="G570" i="29"/>
  <c r="Q570" i="29"/>
  <c r="S570" i="29"/>
  <c r="U570" i="29"/>
  <c r="V568" i="29" l="1"/>
  <c r="W568" i="29" s="1"/>
  <c r="N569" i="29"/>
  <c r="P569" i="29" s="1"/>
  <c r="O570" i="29"/>
  <c r="AI572" i="29"/>
  <c r="AD573" i="29"/>
  <c r="B572" i="29"/>
  <c r="J570" i="29"/>
  <c r="Y570" i="29" s="1"/>
  <c r="I570" i="29"/>
  <c r="K570" i="29" s="1"/>
  <c r="AF571" i="29"/>
  <c r="AE571" i="29"/>
  <c r="E571" i="29"/>
  <c r="S571" i="29"/>
  <c r="R571" i="29"/>
  <c r="G571" i="29"/>
  <c r="Q571" i="29"/>
  <c r="U571" i="29"/>
  <c r="T571" i="29"/>
  <c r="Z569" i="29"/>
  <c r="V569" i="29" l="1"/>
  <c r="W569" i="29" s="1"/>
  <c r="Z570" i="29"/>
  <c r="N570" i="29"/>
  <c r="V570" i="29" s="1"/>
  <c r="W570" i="29" s="1"/>
  <c r="AI573" i="29"/>
  <c r="AD574" i="29"/>
  <c r="B573" i="29"/>
  <c r="O571" i="29"/>
  <c r="AF572" i="29"/>
  <c r="AE572" i="29"/>
  <c r="I571" i="29"/>
  <c r="K571" i="29" s="1"/>
  <c r="J571" i="29"/>
  <c r="Y571" i="29" s="1"/>
  <c r="T572" i="29"/>
  <c r="S572" i="29"/>
  <c r="G572" i="29"/>
  <c r="E572" i="29"/>
  <c r="R572" i="29"/>
  <c r="U572" i="29"/>
  <c r="Q572" i="29"/>
  <c r="P570" i="29" l="1"/>
  <c r="N571" i="29"/>
  <c r="P571" i="29" s="1"/>
  <c r="J572" i="29"/>
  <c r="Y572" i="29" s="1"/>
  <c r="I572" i="29"/>
  <c r="K572" i="29" s="1"/>
  <c r="AF573" i="29"/>
  <c r="AE573" i="29"/>
  <c r="Z571" i="29"/>
  <c r="G573" i="29"/>
  <c r="S573" i="29"/>
  <c r="Q573" i="29"/>
  <c r="U573" i="29"/>
  <c r="E573" i="29"/>
  <c r="T573" i="29"/>
  <c r="R573" i="29"/>
  <c r="O572" i="29"/>
  <c r="AI574" i="29"/>
  <c r="B574" i="29"/>
  <c r="AD575" i="29"/>
  <c r="V571" i="29" l="1"/>
  <c r="W571" i="29" s="1"/>
  <c r="N572" i="29"/>
  <c r="V572" i="29" s="1"/>
  <c r="W572" i="29" s="1"/>
  <c r="AF574" i="29"/>
  <c r="AE574" i="29"/>
  <c r="P572" i="29"/>
  <c r="I573" i="29"/>
  <c r="K573" i="29" s="1"/>
  <c r="J573" i="29"/>
  <c r="Y573" i="29" s="1"/>
  <c r="Z572" i="29"/>
  <c r="AI575" i="29"/>
  <c r="B575" i="29"/>
  <c r="AD576" i="29"/>
  <c r="T574" i="29"/>
  <c r="E574" i="29"/>
  <c r="U574" i="29"/>
  <c r="Q574" i="29"/>
  <c r="G574" i="29"/>
  <c r="S574" i="29"/>
  <c r="R574" i="29"/>
  <c r="O573" i="29"/>
  <c r="N573" i="29" l="1"/>
  <c r="P573" i="29" s="1"/>
  <c r="Z573" i="29"/>
  <c r="AI576" i="29"/>
  <c r="B576" i="29"/>
  <c r="AD577" i="29"/>
  <c r="O574" i="29"/>
  <c r="G575" i="29"/>
  <c r="E575" i="29"/>
  <c r="T575" i="29"/>
  <c r="S575" i="29"/>
  <c r="Q575" i="29"/>
  <c r="U575" i="29"/>
  <c r="R575" i="29"/>
  <c r="AE575" i="29"/>
  <c r="AF575" i="29"/>
  <c r="J574" i="29"/>
  <c r="Y574" i="29" s="1"/>
  <c r="I574" i="29"/>
  <c r="K574" i="29" s="1"/>
  <c r="V573" i="29" l="1"/>
  <c r="W573" i="29" s="1"/>
  <c r="N574" i="29"/>
  <c r="P574" i="29" s="1"/>
  <c r="Z574" i="29"/>
  <c r="AI577" i="29"/>
  <c r="B577" i="29"/>
  <c r="AD578" i="29"/>
  <c r="R576" i="29"/>
  <c r="G576" i="29"/>
  <c r="S576" i="29"/>
  <c r="E576" i="29"/>
  <c r="T576" i="29"/>
  <c r="U576" i="29"/>
  <c r="Q576" i="29"/>
  <c r="I575" i="29"/>
  <c r="K575" i="29" s="1"/>
  <c r="J575" i="29"/>
  <c r="Y575" i="29" s="1"/>
  <c r="O575" i="29"/>
  <c r="AE576" i="29"/>
  <c r="AF576" i="29"/>
  <c r="V574" i="29" l="1"/>
  <c r="W574" i="29" s="1"/>
  <c r="N575" i="29"/>
  <c r="P575" i="29" s="1"/>
  <c r="AF577" i="29"/>
  <c r="AE577" i="29"/>
  <c r="O576" i="29"/>
  <c r="I576" i="29"/>
  <c r="K576" i="29" s="1"/>
  <c r="J576" i="29"/>
  <c r="Y576" i="29" s="1"/>
  <c r="AI578" i="29"/>
  <c r="B578" i="29"/>
  <c r="AD579" i="29"/>
  <c r="Z575" i="29"/>
  <c r="E577" i="29"/>
  <c r="S577" i="29"/>
  <c r="Q577" i="29"/>
  <c r="G577" i="29"/>
  <c r="R577" i="29"/>
  <c r="T577" i="29"/>
  <c r="U577" i="29"/>
  <c r="V575" i="29" l="1"/>
  <c r="W575" i="29" s="1"/>
  <c r="AI579" i="29"/>
  <c r="B579" i="29"/>
  <c r="AD580" i="29"/>
  <c r="I577" i="29"/>
  <c r="K577" i="29" s="1"/>
  <c r="J577" i="29"/>
  <c r="Y577" i="29" s="1"/>
  <c r="E578" i="29"/>
  <c r="S578" i="29"/>
  <c r="Q578" i="29"/>
  <c r="T578" i="29"/>
  <c r="U578" i="29"/>
  <c r="G578" i="29"/>
  <c r="R578" i="29"/>
  <c r="O577" i="29"/>
  <c r="AE578" i="29"/>
  <c r="AF578" i="29"/>
  <c r="Z576" i="29"/>
  <c r="O578" i="29" l="1"/>
  <c r="AE579" i="29"/>
  <c r="AF579" i="29"/>
  <c r="I578" i="29"/>
  <c r="K578" i="29" s="1"/>
  <c r="J578" i="29"/>
  <c r="Y578" i="29" s="1"/>
  <c r="Z577" i="29"/>
  <c r="AI580" i="29"/>
  <c r="AD581" i="29"/>
  <c r="B580" i="29"/>
  <c r="G579" i="29"/>
  <c r="S579" i="29"/>
  <c r="U579" i="29"/>
  <c r="E579" i="29"/>
  <c r="R579" i="29"/>
  <c r="T579" i="29"/>
  <c r="Q579" i="29"/>
  <c r="AI581" i="29" l="1"/>
  <c r="B581" i="29"/>
  <c r="AD582" i="29"/>
  <c r="Z578" i="29"/>
  <c r="AF580" i="29"/>
  <c r="AE580" i="29"/>
  <c r="O579" i="29"/>
  <c r="Q580" i="29"/>
  <c r="T580" i="29"/>
  <c r="G580" i="29"/>
  <c r="U580" i="29"/>
  <c r="R580" i="29"/>
  <c r="S580" i="29"/>
  <c r="E580" i="29"/>
  <c r="J579" i="29"/>
  <c r="Y579" i="29" s="1"/>
  <c r="I579" i="29"/>
  <c r="K579" i="29" s="1"/>
  <c r="O580" i="29" l="1"/>
  <c r="Z579" i="29"/>
  <c r="AF581" i="29"/>
  <c r="AE581" i="29"/>
  <c r="I580" i="29"/>
  <c r="K580" i="29" s="1"/>
  <c r="J580" i="29"/>
  <c r="Y580" i="29" s="1"/>
  <c r="AI582" i="29"/>
  <c r="B582" i="29"/>
  <c r="AD583" i="29"/>
  <c r="G581" i="29"/>
  <c r="U581" i="29"/>
  <c r="S581" i="29"/>
  <c r="T581" i="29"/>
  <c r="E581" i="29"/>
  <c r="R581" i="29"/>
  <c r="Q581" i="29"/>
  <c r="AI583" i="29" l="1"/>
  <c r="B583" i="29"/>
  <c r="AD584" i="29"/>
  <c r="O581" i="29"/>
  <c r="Q582" i="29"/>
  <c r="R582" i="29"/>
  <c r="E582" i="29"/>
  <c r="T582" i="29"/>
  <c r="U582" i="29"/>
  <c r="G582" i="29"/>
  <c r="S582" i="29"/>
  <c r="AE582" i="29"/>
  <c r="AF582" i="29"/>
  <c r="I581" i="29"/>
  <c r="K581" i="29" s="1"/>
  <c r="J581" i="29"/>
  <c r="Y581" i="29" s="1"/>
  <c r="Z580" i="29"/>
  <c r="O582" i="29" l="1"/>
  <c r="I582" i="29"/>
  <c r="K582" i="29" s="1"/>
  <c r="J582" i="29"/>
  <c r="Y582" i="29" s="1"/>
  <c r="AI584" i="29"/>
  <c r="B584" i="29"/>
  <c r="AD585" i="29"/>
  <c r="S583" i="29"/>
  <c r="T583" i="29"/>
  <c r="G583" i="29"/>
  <c r="U583" i="29"/>
  <c r="E583" i="29"/>
  <c r="R583" i="29"/>
  <c r="Q583" i="29"/>
  <c r="Z581" i="29"/>
  <c r="AF583" i="29"/>
  <c r="AE583" i="29"/>
  <c r="Z582" i="29" l="1"/>
  <c r="AI585" i="29"/>
  <c r="AD586" i="29"/>
  <c r="B585" i="29"/>
  <c r="G584" i="29"/>
  <c r="T584" i="29"/>
  <c r="S584" i="29"/>
  <c r="Q584" i="29"/>
  <c r="U584" i="29"/>
  <c r="E584" i="29"/>
  <c r="R584" i="29"/>
  <c r="J583" i="29"/>
  <c r="Y583" i="29" s="1"/>
  <c r="I583" i="29"/>
  <c r="K583" i="29" s="1"/>
  <c r="O583" i="29"/>
  <c r="AE584" i="29"/>
  <c r="AF584" i="29"/>
  <c r="O584" i="29" l="1"/>
  <c r="J584" i="29"/>
  <c r="Y584" i="29" s="1"/>
  <c r="I584" i="29"/>
  <c r="K584" i="29" s="1"/>
  <c r="AI586" i="29"/>
  <c r="B586" i="29"/>
  <c r="AD587" i="29"/>
  <c r="AE585" i="29"/>
  <c r="AF585" i="29"/>
  <c r="Z583" i="29"/>
  <c r="T585" i="29"/>
  <c r="E585" i="29"/>
  <c r="S585" i="29"/>
  <c r="Q585" i="29"/>
  <c r="R585" i="29"/>
  <c r="G585" i="29"/>
  <c r="U585" i="29"/>
  <c r="Z584" i="29" l="1"/>
  <c r="O585" i="29"/>
  <c r="AF586" i="29"/>
  <c r="AE586" i="29"/>
  <c r="J585" i="29"/>
  <c r="Y585" i="29" s="1"/>
  <c r="I585" i="29"/>
  <c r="K585" i="29" s="1"/>
  <c r="AI587" i="29"/>
  <c r="AD588" i="29"/>
  <c r="B587" i="29"/>
  <c r="E586" i="29"/>
  <c r="G586" i="29"/>
  <c r="Q586" i="29"/>
  <c r="S586" i="29"/>
  <c r="U586" i="29"/>
  <c r="T586" i="29"/>
  <c r="R586" i="29"/>
  <c r="Z585" i="29" l="1"/>
  <c r="AI588" i="29"/>
  <c r="AD589" i="29"/>
  <c r="B588" i="29"/>
  <c r="I586" i="29"/>
  <c r="K586" i="29" s="1"/>
  <c r="J586" i="29"/>
  <c r="Y586" i="29" s="1"/>
  <c r="O586" i="29"/>
  <c r="AE587" i="29"/>
  <c r="AF587" i="29"/>
  <c r="R587" i="29"/>
  <c r="G587" i="29"/>
  <c r="T587" i="29"/>
  <c r="E587" i="29"/>
  <c r="Q587" i="29"/>
  <c r="S587" i="29"/>
  <c r="U587" i="29"/>
  <c r="O587" i="29" l="1"/>
  <c r="I587" i="29"/>
  <c r="K587" i="29" s="1"/>
  <c r="J587" i="29"/>
  <c r="Y587" i="29" s="1"/>
  <c r="AI589" i="29"/>
  <c r="AD590" i="29"/>
  <c r="B589" i="29"/>
  <c r="Z586" i="29"/>
  <c r="AE588" i="29"/>
  <c r="AF588" i="29"/>
  <c r="T588" i="29"/>
  <c r="R588" i="29"/>
  <c r="U588" i="29"/>
  <c r="G588" i="29"/>
  <c r="Q588" i="29"/>
  <c r="E588" i="29"/>
  <c r="S588" i="29"/>
  <c r="Z587" i="29" l="1"/>
  <c r="AF589" i="29"/>
  <c r="AE589" i="29"/>
  <c r="O588" i="29"/>
  <c r="G589" i="29"/>
  <c r="Q589" i="29"/>
  <c r="E589" i="29"/>
  <c r="R589" i="29"/>
  <c r="S589" i="29"/>
  <c r="U589" i="29"/>
  <c r="T589" i="29"/>
  <c r="J588" i="29"/>
  <c r="Y588" i="29" s="1"/>
  <c r="I588" i="29"/>
  <c r="K588" i="29" s="1"/>
  <c r="AI590" i="29"/>
  <c r="B590" i="29"/>
  <c r="AD591" i="29"/>
  <c r="O589" i="29" l="1"/>
  <c r="Q590" i="29"/>
  <c r="U590" i="29"/>
  <c r="E590" i="29"/>
  <c r="T590" i="29"/>
  <c r="R590" i="29"/>
  <c r="G590" i="29"/>
  <c r="S590" i="29"/>
  <c r="AE590" i="29"/>
  <c r="AF590" i="29"/>
  <c r="Z588" i="29"/>
  <c r="AI591" i="29"/>
  <c r="B591" i="29"/>
  <c r="AD592" i="29"/>
  <c r="J589" i="29"/>
  <c r="Y589" i="29" s="1"/>
  <c r="I589" i="29"/>
  <c r="K589" i="29" s="1"/>
  <c r="Z589" i="29" l="1"/>
  <c r="G591" i="29"/>
  <c r="Q591" i="29"/>
  <c r="U591" i="29"/>
  <c r="S591" i="29"/>
  <c r="E591" i="29"/>
  <c r="T591" i="29"/>
  <c r="R591" i="29"/>
  <c r="O590" i="29"/>
  <c r="AF591" i="29"/>
  <c r="AE591" i="29"/>
  <c r="AI592" i="29"/>
  <c r="B592" i="29"/>
  <c r="AD593" i="29"/>
  <c r="I590" i="29"/>
  <c r="K590" i="29" s="1"/>
  <c r="J590" i="29"/>
  <c r="Y590" i="29" s="1"/>
  <c r="AI593" i="29" l="1"/>
  <c r="AD594" i="29"/>
  <c r="B593" i="29"/>
  <c r="J591" i="29"/>
  <c r="Y591" i="29" s="1"/>
  <c r="I591" i="29"/>
  <c r="K591" i="29" s="1"/>
  <c r="Z590" i="29"/>
  <c r="T592" i="29"/>
  <c r="G592" i="29"/>
  <c r="E592" i="29"/>
  <c r="R592" i="29"/>
  <c r="Q592" i="29"/>
  <c r="S592" i="29"/>
  <c r="U592" i="29"/>
  <c r="O591" i="29"/>
  <c r="AE592" i="29"/>
  <c r="AF592" i="29"/>
  <c r="O592" i="29" l="1"/>
  <c r="Z591" i="29"/>
  <c r="R593" i="29"/>
  <c r="T593" i="29"/>
  <c r="Q593" i="29"/>
  <c r="U593" i="29"/>
  <c r="G593" i="29"/>
  <c r="S593" i="29"/>
  <c r="E593" i="29"/>
  <c r="AI594" i="29"/>
  <c r="AD595" i="29"/>
  <c r="B594" i="29"/>
  <c r="J592" i="29"/>
  <c r="Y592" i="29" s="1"/>
  <c r="I592" i="29"/>
  <c r="K592" i="29" s="1"/>
  <c r="AE593" i="29"/>
  <c r="AF593" i="29"/>
  <c r="Z592" i="29" l="1"/>
  <c r="T594" i="29"/>
  <c r="U594" i="29"/>
  <c r="G594" i="29"/>
  <c r="R594" i="29"/>
  <c r="E594" i="29"/>
  <c r="S594" i="29"/>
  <c r="Q594" i="29"/>
  <c r="AI595" i="29"/>
  <c r="B595" i="29"/>
  <c r="AD596" i="29"/>
  <c r="I593" i="29"/>
  <c r="K593" i="29" s="1"/>
  <c r="J593" i="29"/>
  <c r="Y593" i="29" s="1"/>
  <c r="AE594" i="29"/>
  <c r="AF594" i="29"/>
  <c r="O593" i="29"/>
  <c r="I594" i="29" l="1"/>
  <c r="K594" i="29" s="1"/>
  <c r="J594" i="29"/>
  <c r="Y594" i="29" s="1"/>
  <c r="AI596" i="29"/>
  <c r="AD597" i="29"/>
  <c r="B596" i="29"/>
  <c r="O594" i="29"/>
  <c r="Z593" i="29"/>
  <c r="G595" i="29"/>
  <c r="E595" i="29"/>
  <c r="Q595" i="29"/>
  <c r="T595" i="29"/>
  <c r="U595" i="29"/>
  <c r="S595" i="29"/>
  <c r="R595" i="29"/>
  <c r="AE595" i="29"/>
  <c r="AF595" i="29"/>
  <c r="AI597" i="29" l="1"/>
  <c r="B597" i="29"/>
  <c r="AD598" i="29"/>
  <c r="O595" i="29"/>
  <c r="Z594" i="29"/>
  <c r="AF596" i="29"/>
  <c r="AE596" i="29"/>
  <c r="I595" i="29"/>
  <c r="K595" i="29" s="1"/>
  <c r="J595" i="29"/>
  <c r="Y595" i="29" s="1"/>
  <c r="G596" i="29"/>
  <c r="T596" i="29"/>
  <c r="U596" i="29"/>
  <c r="R596" i="29"/>
  <c r="E596" i="29"/>
  <c r="S596" i="29"/>
  <c r="Q596" i="29"/>
  <c r="I596" i="29" l="1"/>
  <c r="K596" i="29" s="1"/>
  <c r="J596" i="29"/>
  <c r="Y596" i="29" s="1"/>
  <c r="T597" i="29"/>
  <c r="R597" i="29"/>
  <c r="Q597" i="29"/>
  <c r="E597" i="29"/>
  <c r="S597" i="29"/>
  <c r="G597" i="29"/>
  <c r="U597" i="29"/>
  <c r="AE597" i="29"/>
  <c r="AF597" i="29"/>
  <c r="Z595" i="29"/>
  <c r="O596" i="29"/>
  <c r="AI598" i="29"/>
  <c r="B598" i="29"/>
  <c r="AD599" i="29"/>
  <c r="O597" i="29" l="1"/>
  <c r="I597" i="29"/>
  <c r="K597" i="29" s="1"/>
  <c r="J597" i="29"/>
  <c r="Y597" i="29" s="1"/>
  <c r="U598" i="29"/>
  <c r="R598" i="29"/>
  <c r="T598" i="29"/>
  <c r="E598" i="29"/>
  <c r="G598" i="29"/>
  <c r="Q598" i="29"/>
  <c r="S598" i="29"/>
  <c r="Z596" i="29"/>
  <c r="AF598" i="29"/>
  <c r="AE598" i="29"/>
  <c r="AI599" i="29"/>
  <c r="B599" i="29"/>
  <c r="AD600" i="29"/>
  <c r="Z597" i="29" l="1"/>
  <c r="O598" i="29"/>
  <c r="AI600" i="29"/>
  <c r="B600" i="29"/>
  <c r="AD601" i="29"/>
  <c r="T599" i="29"/>
  <c r="Q599" i="29"/>
  <c r="U599" i="29"/>
  <c r="S599" i="29"/>
  <c r="R599" i="29"/>
  <c r="G599" i="29"/>
  <c r="E599" i="29"/>
  <c r="I598" i="29"/>
  <c r="K598" i="29" s="1"/>
  <c r="J598" i="29"/>
  <c r="Y598" i="29" s="1"/>
  <c r="AE599" i="29"/>
  <c r="AF599" i="29"/>
  <c r="O599" i="29" l="1"/>
  <c r="AI601" i="29"/>
  <c r="B601" i="29"/>
  <c r="AD602" i="29"/>
  <c r="Z598" i="29"/>
  <c r="G600" i="29"/>
  <c r="Q600" i="29"/>
  <c r="R600" i="29"/>
  <c r="T600" i="29"/>
  <c r="S600" i="29"/>
  <c r="U600" i="29"/>
  <c r="E600" i="29"/>
  <c r="J599" i="29"/>
  <c r="Y599" i="29" s="1"/>
  <c r="I599" i="29"/>
  <c r="K599" i="29" s="1"/>
  <c r="AF600" i="29"/>
  <c r="AE600" i="29"/>
  <c r="O600" i="29" l="1"/>
  <c r="I600" i="29"/>
  <c r="K600" i="29" s="1"/>
  <c r="J600" i="29"/>
  <c r="Y600" i="29" s="1"/>
  <c r="AI602" i="29"/>
  <c r="AD603" i="29"/>
  <c r="B602" i="29"/>
  <c r="S601" i="29"/>
  <c r="G601" i="29"/>
  <c r="E601" i="29"/>
  <c r="U601" i="29"/>
  <c r="T601" i="29"/>
  <c r="Q601" i="29"/>
  <c r="R601" i="29"/>
  <c r="AE601" i="29"/>
  <c r="AF601" i="29"/>
  <c r="Z599" i="29"/>
  <c r="Z600" i="29" l="1"/>
  <c r="G602" i="29"/>
  <c r="T602" i="29"/>
  <c r="R602" i="29"/>
  <c r="E602" i="29"/>
  <c r="Q602" i="29"/>
  <c r="U602" i="29"/>
  <c r="S602" i="29"/>
  <c r="AI603" i="29"/>
  <c r="B603" i="29"/>
  <c r="AD604" i="29"/>
  <c r="AE602" i="29"/>
  <c r="AF602" i="29"/>
  <c r="I601" i="29"/>
  <c r="K601" i="29" s="1"/>
  <c r="J601" i="29"/>
  <c r="Y601" i="29" s="1"/>
  <c r="O601" i="29"/>
  <c r="Z601" i="29" l="1"/>
  <c r="AI604" i="29"/>
  <c r="AD605" i="29"/>
  <c r="B604" i="29"/>
  <c r="S603" i="29"/>
  <c r="R603" i="29"/>
  <c r="T603" i="29"/>
  <c r="U603" i="29"/>
  <c r="G603" i="29"/>
  <c r="E603" i="29"/>
  <c r="Q603" i="29"/>
  <c r="J602" i="29"/>
  <c r="Y602" i="29" s="1"/>
  <c r="I602" i="29"/>
  <c r="K602" i="29" s="1"/>
  <c r="AF603" i="29"/>
  <c r="AE603" i="29"/>
  <c r="O602" i="29"/>
  <c r="Z602" i="29" l="1"/>
  <c r="AI605" i="29"/>
  <c r="B605" i="29"/>
  <c r="AD606" i="29"/>
  <c r="AE604" i="29"/>
  <c r="AF604" i="29"/>
  <c r="J603" i="29"/>
  <c r="Y603" i="29" s="1"/>
  <c r="I603" i="29"/>
  <c r="K603" i="29" s="1"/>
  <c r="O603" i="29"/>
  <c r="G604" i="29"/>
  <c r="R604" i="29"/>
  <c r="E604" i="29"/>
  <c r="T604" i="29"/>
  <c r="Q604" i="29"/>
  <c r="U604" i="29"/>
  <c r="S604" i="29"/>
  <c r="AI606" i="29" l="1"/>
  <c r="AD607" i="29"/>
  <c r="B606" i="29"/>
  <c r="O604" i="29"/>
  <c r="Z603" i="29"/>
  <c r="T605" i="29"/>
  <c r="S605" i="29"/>
  <c r="Q605" i="29"/>
  <c r="U605" i="29"/>
  <c r="R605" i="29"/>
  <c r="G605" i="29"/>
  <c r="E605" i="29"/>
  <c r="J604" i="29"/>
  <c r="Y604" i="29" s="1"/>
  <c r="I604" i="29"/>
  <c r="K604" i="29" s="1"/>
  <c r="AE605" i="29"/>
  <c r="AF605" i="29"/>
  <c r="R606" i="29" l="1"/>
  <c r="T606" i="29"/>
  <c r="G606" i="29"/>
  <c r="U606" i="29"/>
  <c r="E606" i="29"/>
  <c r="Q606" i="29"/>
  <c r="S606" i="29"/>
  <c r="AI607" i="29"/>
  <c r="AD608" i="29"/>
  <c r="B607" i="29"/>
  <c r="J605" i="29"/>
  <c r="Y605" i="29" s="1"/>
  <c r="I605" i="29"/>
  <c r="K605" i="29" s="1"/>
  <c r="O605" i="29"/>
  <c r="AF606" i="29"/>
  <c r="AE606" i="29"/>
  <c r="Z604" i="29"/>
  <c r="AE607" i="29" l="1"/>
  <c r="AF607" i="29"/>
  <c r="Z605" i="29"/>
  <c r="T607" i="29"/>
  <c r="R607" i="29"/>
  <c r="G607" i="29"/>
  <c r="E607" i="29"/>
  <c r="S607" i="29"/>
  <c r="U607" i="29"/>
  <c r="Q607" i="29"/>
  <c r="I606" i="29"/>
  <c r="K606" i="29" s="1"/>
  <c r="J606" i="29"/>
  <c r="Y606" i="29" s="1"/>
  <c r="AI608" i="29"/>
  <c r="B608" i="29"/>
  <c r="AD609" i="29"/>
  <c r="O606" i="29"/>
  <c r="O607" i="29" l="1"/>
  <c r="I607" i="29"/>
  <c r="K607" i="29" s="1"/>
  <c r="J607" i="29"/>
  <c r="Y607" i="29" s="1"/>
  <c r="AI609" i="29"/>
  <c r="B609" i="29"/>
  <c r="AD610" i="29"/>
  <c r="Z606" i="29"/>
  <c r="R608" i="29"/>
  <c r="S608" i="29"/>
  <c r="E608" i="29"/>
  <c r="Q608" i="29"/>
  <c r="T608" i="29"/>
  <c r="U608" i="29"/>
  <c r="G608" i="29"/>
  <c r="AE608" i="29"/>
  <c r="AF608" i="29"/>
  <c r="Z607" i="29" l="1"/>
  <c r="O608" i="29"/>
  <c r="AI610" i="29"/>
  <c r="B610" i="29"/>
  <c r="AD611" i="29"/>
  <c r="J608" i="29"/>
  <c r="Y608" i="29" s="1"/>
  <c r="I608" i="29"/>
  <c r="K608" i="29" s="1"/>
  <c r="G609" i="29"/>
  <c r="Q609" i="29"/>
  <c r="R609" i="29"/>
  <c r="E609" i="29"/>
  <c r="S609" i="29"/>
  <c r="T609" i="29"/>
  <c r="U609" i="29"/>
  <c r="AE609" i="29"/>
  <c r="AF609" i="29"/>
  <c r="Z608" i="29" l="1"/>
  <c r="J609" i="29"/>
  <c r="Y609" i="29" s="1"/>
  <c r="I609" i="29"/>
  <c r="K609" i="29" s="1"/>
  <c r="AI611" i="29"/>
  <c r="B611" i="29"/>
  <c r="AD612" i="29"/>
  <c r="U610" i="29"/>
  <c r="T610" i="29"/>
  <c r="R610" i="29"/>
  <c r="Q610" i="29"/>
  <c r="E610" i="29"/>
  <c r="G610" i="29"/>
  <c r="S610" i="29"/>
  <c r="O609" i="29"/>
  <c r="AE610" i="29"/>
  <c r="AF610" i="29"/>
  <c r="O610" i="29" l="1"/>
  <c r="I610" i="29"/>
  <c r="K610" i="29" s="1"/>
  <c r="J610" i="29"/>
  <c r="Y610" i="29" s="1"/>
  <c r="Z609" i="29"/>
  <c r="AI612" i="29"/>
  <c r="AD613" i="29"/>
  <c r="B612" i="29"/>
  <c r="E611" i="29"/>
  <c r="T611" i="29"/>
  <c r="Q611" i="29"/>
  <c r="S611" i="29"/>
  <c r="G611" i="29"/>
  <c r="U611" i="29"/>
  <c r="R611" i="29"/>
  <c r="AF611" i="29"/>
  <c r="AE611" i="29"/>
  <c r="S612" i="29" l="1"/>
  <c r="U612" i="29"/>
  <c r="Q612" i="29"/>
  <c r="T612" i="29"/>
  <c r="G612" i="29"/>
  <c r="R612" i="29"/>
  <c r="E612" i="29"/>
  <c r="AI613" i="29"/>
  <c r="B613" i="29"/>
  <c r="AD614" i="29"/>
  <c r="O611" i="29"/>
  <c r="I611" i="29"/>
  <c r="K611" i="29" s="1"/>
  <c r="J611" i="29"/>
  <c r="Y611" i="29" s="1"/>
  <c r="AF612" i="29"/>
  <c r="AE612" i="29"/>
  <c r="Z610" i="29"/>
  <c r="Z611" i="29" l="1"/>
  <c r="AE613" i="29"/>
  <c r="AF613" i="29"/>
  <c r="Q613" i="29"/>
  <c r="E613" i="29"/>
  <c r="T613" i="29"/>
  <c r="U613" i="29"/>
  <c r="S613" i="29"/>
  <c r="R613" i="29"/>
  <c r="G613" i="29"/>
  <c r="J612" i="29"/>
  <c r="Y612" i="29" s="1"/>
  <c r="I612" i="29"/>
  <c r="K612" i="29" s="1"/>
  <c r="AI614" i="29"/>
  <c r="AD615" i="29"/>
  <c r="B614" i="29"/>
  <c r="O612" i="29"/>
  <c r="Z612" i="29" l="1"/>
  <c r="U614" i="29"/>
  <c r="G614" i="29"/>
  <c r="T614" i="29"/>
  <c r="R614" i="29"/>
  <c r="Q614" i="29"/>
  <c r="S614" i="29"/>
  <c r="E614" i="29"/>
  <c r="AI615" i="29"/>
  <c r="B615" i="29"/>
  <c r="AD616" i="29"/>
  <c r="AF614" i="29"/>
  <c r="AE614" i="29"/>
  <c r="O613" i="29"/>
  <c r="J613" i="29"/>
  <c r="Y613" i="29" s="1"/>
  <c r="I613" i="29"/>
  <c r="K613" i="29" s="1"/>
  <c r="O614" i="29" l="1"/>
  <c r="I614" i="29"/>
  <c r="K614" i="29" s="1"/>
  <c r="J614" i="29"/>
  <c r="Y614" i="29" s="1"/>
  <c r="AI616" i="29"/>
  <c r="B616" i="29"/>
  <c r="AD617" i="29"/>
  <c r="T615" i="29"/>
  <c r="Q615" i="29"/>
  <c r="E615" i="29"/>
  <c r="G615" i="29"/>
  <c r="R615" i="29"/>
  <c r="S615" i="29"/>
  <c r="U615" i="29"/>
  <c r="Z613" i="29"/>
  <c r="AE615" i="29"/>
  <c r="AF615" i="29"/>
  <c r="AE616" i="29" l="1"/>
  <c r="AF616" i="29"/>
  <c r="J615" i="29"/>
  <c r="Y615" i="29" s="1"/>
  <c r="I615" i="29"/>
  <c r="K615" i="29" s="1"/>
  <c r="O615" i="29"/>
  <c r="AI617" i="29"/>
  <c r="B617" i="29"/>
  <c r="AD618" i="29"/>
  <c r="G616" i="29"/>
  <c r="U616" i="29"/>
  <c r="Q616" i="29"/>
  <c r="S616" i="29"/>
  <c r="E616" i="29"/>
  <c r="R616" i="29"/>
  <c r="T616" i="29"/>
  <c r="Z614" i="29"/>
  <c r="O616" i="29" l="1"/>
  <c r="AF617" i="29"/>
  <c r="AE617" i="29"/>
  <c r="Z615" i="29"/>
  <c r="J616" i="29"/>
  <c r="Y616" i="29" s="1"/>
  <c r="I616" i="29"/>
  <c r="K616" i="29" s="1"/>
  <c r="AI618" i="29"/>
  <c r="AD619" i="29"/>
  <c r="B618" i="29"/>
  <c r="G617" i="29"/>
  <c r="T617" i="29"/>
  <c r="Q617" i="29"/>
  <c r="E617" i="29"/>
  <c r="U617" i="29"/>
  <c r="R617" i="29"/>
  <c r="S617" i="29"/>
  <c r="Q618" i="29" l="1"/>
  <c r="U618" i="29"/>
  <c r="S618" i="29"/>
  <c r="E618" i="29"/>
  <c r="R618" i="29"/>
  <c r="T618" i="29"/>
  <c r="G618" i="29"/>
  <c r="J617" i="29"/>
  <c r="Y617" i="29" s="1"/>
  <c r="I617" i="29"/>
  <c r="K617" i="29" s="1"/>
  <c r="O617" i="29"/>
  <c r="AI619" i="29"/>
  <c r="AD620" i="29"/>
  <c r="B619" i="29"/>
  <c r="AF618" i="29"/>
  <c r="AE618" i="29"/>
  <c r="Z616" i="29"/>
  <c r="I618" i="29" l="1"/>
  <c r="K618" i="29" s="1"/>
  <c r="J618" i="29"/>
  <c r="Y618" i="29" s="1"/>
  <c r="AI620" i="29"/>
  <c r="AD621" i="29"/>
  <c r="B620" i="29"/>
  <c r="AE619" i="29"/>
  <c r="AF619" i="29"/>
  <c r="Z617" i="29"/>
  <c r="S619" i="29"/>
  <c r="U619" i="29"/>
  <c r="Q619" i="29"/>
  <c r="E619" i="29"/>
  <c r="R619" i="29"/>
  <c r="G619" i="29"/>
  <c r="T619" i="29"/>
  <c r="O618" i="29"/>
  <c r="N618" i="29" l="1"/>
  <c r="P618" i="29" s="1"/>
  <c r="Z618" i="29"/>
  <c r="AI621" i="29"/>
  <c r="AD622" i="29"/>
  <c r="B621" i="29"/>
  <c r="AF620" i="29"/>
  <c r="AE620" i="29"/>
  <c r="O619" i="29"/>
  <c r="I619" i="29"/>
  <c r="K619" i="29" s="1"/>
  <c r="J619" i="29"/>
  <c r="Y619" i="29" s="1"/>
  <c r="U620" i="29"/>
  <c r="E620" i="29"/>
  <c r="T620" i="29"/>
  <c r="Q620" i="29"/>
  <c r="R620" i="29"/>
  <c r="G620" i="29"/>
  <c r="S620" i="29"/>
  <c r="V618" i="29" l="1"/>
  <c r="W618" i="29" s="1"/>
  <c r="N619" i="29"/>
  <c r="P619" i="29" s="1"/>
  <c r="AI622" i="29"/>
  <c r="B622" i="29"/>
  <c r="AD623" i="29"/>
  <c r="AF621" i="29"/>
  <c r="AE621" i="29"/>
  <c r="O620" i="29"/>
  <c r="J620" i="29"/>
  <c r="Y620" i="29" s="1"/>
  <c r="I620" i="29"/>
  <c r="K620" i="29" s="1"/>
  <c r="Z619" i="29"/>
  <c r="E621" i="29"/>
  <c r="T621" i="29"/>
  <c r="Q621" i="29"/>
  <c r="U621" i="29"/>
  <c r="R621" i="29"/>
  <c r="G621" i="29"/>
  <c r="S621" i="29"/>
  <c r="V619" i="29" l="1"/>
  <c r="W619" i="29" s="1"/>
  <c r="N620" i="29"/>
  <c r="P620" i="29" s="1"/>
  <c r="AF622" i="29"/>
  <c r="AE622" i="29"/>
  <c r="Z620" i="29"/>
  <c r="AI623" i="29"/>
  <c r="B623" i="29"/>
  <c r="AD624" i="29"/>
  <c r="O621" i="29"/>
  <c r="I621" i="29"/>
  <c r="K621" i="29" s="1"/>
  <c r="J621" i="29"/>
  <c r="Y621" i="29" s="1"/>
  <c r="U622" i="29"/>
  <c r="R622" i="29"/>
  <c r="G622" i="29"/>
  <c r="S622" i="29"/>
  <c r="E622" i="29"/>
  <c r="T622" i="29"/>
  <c r="Q622" i="29"/>
  <c r="V620" i="29" l="1"/>
  <c r="W620" i="29" s="1"/>
  <c r="N621" i="29"/>
  <c r="P621" i="29" s="1"/>
  <c r="S623" i="29"/>
  <c r="E623" i="29"/>
  <c r="T623" i="29"/>
  <c r="Q623" i="29"/>
  <c r="U623" i="29"/>
  <c r="R623" i="29"/>
  <c r="G623" i="29"/>
  <c r="O622" i="29"/>
  <c r="AE623" i="29"/>
  <c r="AF623" i="29"/>
  <c r="J622" i="29"/>
  <c r="Y622" i="29" s="1"/>
  <c r="I622" i="29"/>
  <c r="K622" i="29" s="1"/>
  <c r="Z621" i="29"/>
  <c r="AI624" i="29"/>
  <c r="AD625" i="29"/>
  <c r="B624" i="29"/>
  <c r="V621" i="29" l="1"/>
  <c r="W621" i="29" s="1"/>
  <c r="N622" i="29"/>
  <c r="P622" i="29" s="1"/>
  <c r="O623" i="29"/>
  <c r="E624" i="29"/>
  <c r="R624" i="29"/>
  <c r="Q624" i="29"/>
  <c r="S624" i="29"/>
  <c r="T624" i="29"/>
  <c r="G624" i="29"/>
  <c r="U624" i="29"/>
  <c r="I623" i="29"/>
  <c r="K623" i="29" s="1"/>
  <c r="J623" i="29"/>
  <c r="Y623" i="29" s="1"/>
  <c r="AI625" i="29"/>
  <c r="AD626" i="29"/>
  <c r="B625" i="29"/>
  <c r="Z622" i="29"/>
  <c r="AF624" i="29"/>
  <c r="AE624" i="29"/>
  <c r="V622" i="29" l="1"/>
  <c r="W622" i="29" s="1"/>
  <c r="O624" i="29"/>
  <c r="N623" i="29"/>
  <c r="V623" i="29" s="1"/>
  <c r="W623" i="29" s="1"/>
  <c r="Z623" i="29"/>
  <c r="AI626" i="29"/>
  <c r="B626" i="29"/>
  <c r="AD627" i="29"/>
  <c r="I624" i="29"/>
  <c r="K624" i="29" s="1"/>
  <c r="J624" i="29"/>
  <c r="Y624" i="29" s="1"/>
  <c r="AF625" i="29"/>
  <c r="AE625" i="29"/>
  <c r="Q625" i="29"/>
  <c r="U625" i="29"/>
  <c r="R625" i="29"/>
  <c r="G625" i="29"/>
  <c r="S625" i="29"/>
  <c r="E625" i="29"/>
  <c r="T625" i="29"/>
  <c r="Z624" i="29" l="1"/>
  <c r="P623" i="29"/>
  <c r="N624" i="29"/>
  <c r="P624" i="29" s="1"/>
  <c r="E626" i="29"/>
  <c r="S626" i="29"/>
  <c r="R626" i="29"/>
  <c r="Q626" i="29"/>
  <c r="T626" i="29"/>
  <c r="U626" i="29"/>
  <c r="G626" i="29"/>
  <c r="J625" i="29"/>
  <c r="Y625" i="29" s="1"/>
  <c r="I625" i="29"/>
  <c r="K625" i="29" s="1"/>
  <c r="AE626" i="29"/>
  <c r="AF626" i="29"/>
  <c r="O625" i="29"/>
  <c r="AI627" i="29"/>
  <c r="AD628" i="29"/>
  <c r="B627" i="29"/>
  <c r="V624" i="29" l="1"/>
  <c r="W624" i="29" s="1"/>
  <c r="N625" i="29"/>
  <c r="P625" i="29" s="1"/>
  <c r="O626" i="29"/>
  <c r="R627" i="29"/>
  <c r="Q627" i="29"/>
  <c r="T627" i="29"/>
  <c r="E627" i="29"/>
  <c r="S627" i="29"/>
  <c r="U627" i="29"/>
  <c r="G627" i="29"/>
  <c r="Z625" i="29"/>
  <c r="AI628" i="29"/>
  <c r="B628" i="29"/>
  <c r="AD629" i="29"/>
  <c r="AE627" i="29"/>
  <c r="AF627" i="29"/>
  <c r="I626" i="29"/>
  <c r="K626" i="29" s="1"/>
  <c r="J626" i="29"/>
  <c r="Y626" i="29" s="1"/>
  <c r="V625" i="29" l="1"/>
  <c r="W625" i="29" s="1"/>
  <c r="N626" i="29"/>
  <c r="P626" i="29" s="1"/>
  <c r="Z626" i="29"/>
  <c r="O627" i="29"/>
  <c r="E628" i="29"/>
  <c r="S628" i="29"/>
  <c r="Q628" i="29"/>
  <c r="G628" i="29"/>
  <c r="R628" i="29"/>
  <c r="T628" i="29"/>
  <c r="U628" i="29"/>
  <c r="AF628" i="29"/>
  <c r="AE628" i="29"/>
  <c r="J627" i="29"/>
  <c r="Y627" i="29" s="1"/>
  <c r="I627" i="29"/>
  <c r="K627" i="29" s="1"/>
  <c r="AI629" i="29"/>
  <c r="AD630" i="29"/>
  <c r="B629" i="29"/>
  <c r="V626" i="29" l="1"/>
  <c r="W626" i="29" s="1"/>
  <c r="N627" i="29"/>
  <c r="P627" i="29" s="1"/>
  <c r="AF629" i="29"/>
  <c r="AE629" i="29"/>
  <c r="G629" i="29"/>
  <c r="T629" i="29"/>
  <c r="R629" i="29"/>
  <c r="U629" i="29"/>
  <c r="E629" i="29"/>
  <c r="S629" i="29"/>
  <c r="Q629" i="29"/>
  <c r="AI630" i="29"/>
  <c r="AD631" i="29"/>
  <c r="B630" i="29"/>
  <c r="J628" i="29"/>
  <c r="Y628" i="29" s="1"/>
  <c r="I628" i="29"/>
  <c r="K628" i="29" s="1"/>
  <c r="O628" i="29"/>
  <c r="Z627" i="29"/>
  <c r="V627" i="29" l="1"/>
  <c r="W627" i="29" s="1"/>
  <c r="N628" i="29"/>
  <c r="V628" i="29" s="1"/>
  <c r="W628" i="29" s="1"/>
  <c r="E630" i="29"/>
  <c r="R630" i="29"/>
  <c r="Q630" i="29"/>
  <c r="S630" i="29"/>
  <c r="T630" i="29"/>
  <c r="G630" i="29"/>
  <c r="U630" i="29"/>
  <c r="Z628" i="29"/>
  <c r="AI631" i="29"/>
  <c r="AD632" i="29"/>
  <c r="B631" i="29"/>
  <c r="O629" i="29"/>
  <c r="J629" i="29"/>
  <c r="Y629" i="29" s="1"/>
  <c r="I629" i="29"/>
  <c r="K629" i="29" s="1"/>
  <c r="AE630" i="29"/>
  <c r="AF630" i="29"/>
  <c r="P628" i="29" l="1"/>
  <c r="N629" i="29"/>
  <c r="V629" i="29" s="1"/>
  <c r="W629" i="29" s="1"/>
  <c r="O630" i="29"/>
  <c r="Q631" i="29"/>
  <c r="S631" i="29"/>
  <c r="T631" i="29"/>
  <c r="G631" i="29"/>
  <c r="U631" i="29"/>
  <c r="E631" i="29"/>
  <c r="R631" i="29"/>
  <c r="AI632" i="29"/>
  <c r="B632" i="29"/>
  <c r="AD633" i="29"/>
  <c r="AE631" i="29"/>
  <c r="AF631" i="29"/>
  <c r="J630" i="29"/>
  <c r="Y630" i="29" s="1"/>
  <c r="I630" i="29"/>
  <c r="K630" i="29" s="1"/>
  <c r="Z629" i="29"/>
  <c r="Z630" i="29" l="1"/>
  <c r="P629" i="29"/>
  <c r="N630" i="29"/>
  <c r="V630" i="29" s="1"/>
  <c r="W630" i="29" s="1"/>
  <c r="O631" i="29"/>
  <c r="I631" i="29"/>
  <c r="K631" i="29" s="1"/>
  <c r="J631" i="29"/>
  <c r="Y631" i="29" s="1"/>
  <c r="AI633" i="29"/>
  <c r="AD634" i="29"/>
  <c r="B633" i="29"/>
  <c r="Q632" i="29"/>
  <c r="E632" i="29"/>
  <c r="T632" i="29"/>
  <c r="U632" i="29"/>
  <c r="S632" i="29"/>
  <c r="R632" i="29"/>
  <c r="G632" i="29"/>
  <c r="AE632" i="29"/>
  <c r="AF632" i="29"/>
  <c r="P630" i="29" l="1"/>
  <c r="N631" i="29"/>
  <c r="P631" i="29" s="1"/>
  <c r="Z631" i="29"/>
  <c r="AI634" i="29"/>
  <c r="AD635" i="29"/>
  <c r="B634" i="29"/>
  <c r="AE633" i="29"/>
  <c r="AF633" i="29"/>
  <c r="I632" i="29"/>
  <c r="K632" i="29" s="1"/>
  <c r="J632" i="29"/>
  <c r="Y632" i="29" s="1"/>
  <c r="O632" i="29"/>
  <c r="G633" i="29"/>
  <c r="T633" i="29"/>
  <c r="U633" i="29"/>
  <c r="E633" i="29"/>
  <c r="R633" i="29"/>
  <c r="Q633" i="29"/>
  <c r="S633" i="29"/>
  <c r="V631" i="29" l="1"/>
  <c r="W631" i="29" s="1"/>
  <c r="N632" i="29"/>
  <c r="V632" i="29" s="1"/>
  <c r="W632" i="29" s="1"/>
  <c r="O633" i="29"/>
  <c r="I633" i="29"/>
  <c r="K633" i="29" s="1"/>
  <c r="J633" i="29"/>
  <c r="Y633" i="29" s="1"/>
  <c r="AF634" i="29"/>
  <c r="AE634" i="29"/>
  <c r="Z632" i="29"/>
  <c r="U634" i="29"/>
  <c r="Q634" i="29"/>
  <c r="R634" i="29"/>
  <c r="S634" i="29"/>
  <c r="G634" i="29"/>
  <c r="T634" i="29"/>
  <c r="E634" i="29"/>
  <c r="AI635" i="29"/>
  <c r="AD636" i="29"/>
  <c r="B635" i="29"/>
  <c r="P632" i="29" l="1"/>
  <c r="N633" i="29"/>
  <c r="V633" i="29" s="1"/>
  <c r="W633" i="29" s="1"/>
  <c r="O634" i="29"/>
  <c r="J634" i="29"/>
  <c r="Y634" i="29" s="1"/>
  <c r="I634" i="29"/>
  <c r="K634" i="29" s="1"/>
  <c r="AE635" i="29"/>
  <c r="AF635" i="29"/>
  <c r="U635" i="29"/>
  <c r="Q635" i="29"/>
  <c r="R635" i="29"/>
  <c r="S635" i="29"/>
  <c r="G635" i="29"/>
  <c r="T635" i="29"/>
  <c r="E635" i="29"/>
  <c r="AI636" i="29"/>
  <c r="B636" i="29"/>
  <c r="AD637" i="29"/>
  <c r="Z633" i="29"/>
  <c r="P633" i="29" l="1"/>
  <c r="N634" i="29"/>
  <c r="V634" i="29" s="1"/>
  <c r="W634" i="29" s="1"/>
  <c r="E636" i="29"/>
  <c r="U636" i="29"/>
  <c r="Q636" i="29"/>
  <c r="R636" i="29"/>
  <c r="S636" i="29"/>
  <c r="G636" i="29"/>
  <c r="T636" i="29"/>
  <c r="O635" i="29"/>
  <c r="I635" i="29"/>
  <c r="K635" i="29" s="1"/>
  <c r="J635" i="29"/>
  <c r="Y635" i="29" s="1"/>
  <c r="Z634" i="29"/>
  <c r="AF636" i="29"/>
  <c r="AE636" i="29"/>
  <c r="AI637" i="29"/>
  <c r="B637" i="29"/>
  <c r="AD638" i="29"/>
  <c r="P634" i="29" l="1"/>
  <c r="N635" i="29"/>
  <c r="P635" i="29" s="1"/>
  <c r="AI638" i="29"/>
  <c r="AD639" i="29"/>
  <c r="B638" i="29"/>
  <c r="AF637" i="29"/>
  <c r="AE637" i="29"/>
  <c r="Z635" i="29"/>
  <c r="J636" i="29"/>
  <c r="Y636" i="29" s="1"/>
  <c r="I636" i="29"/>
  <c r="K636" i="29" s="1"/>
  <c r="U637" i="29"/>
  <c r="G637" i="29"/>
  <c r="R637" i="29"/>
  <c r="T637" i="29"/>
  <c r="Q637" i="29"/>
  <c r="E637" i="29"/>
  <c r="S637" i="29"/>
  <c r="O636" i="29"/>
  <c r="V635" i="29" l="1"/>
  <c r="W635" i="29" s="1"/>
  <c r="N636" i="29"/>
  <c r="P636" i="29" s="1"/>
  <c r="AE638" i="29"/>
  <c r="AF638" i="29"/>
  <c r="Z636" i="29"/>
  <c r="O637" i="29"/>
  <c r="U638" i="29"/>
  <c r="E638" i="29"/>
  <c r="T638" i="29"/>
  <c r="R638" i="29"/>
  <c r="G638" i="29"/>
  <c r="S638" i="29"/>
  <c r="Q638" i="29"/>
  <c r="I637" i="29"/>
  <c r="K637" i="29" s="1"/>
  <c r="J637" i="29"/>
  <c r="Y637" i="29" s="1"/>
  <c r="AI639" i="29"/>
  <c r="AD640" i="29"/>
  <c r="B639" i="29"/>
  <c r="V636" i="29" l="1"/>
  <c r="W636" i="29" s="1"/>
  <c r="N637" i="29"/>
  <c r="P637" i="29" s="1"/>
  <c r="AE639" i="29"/>
  <c r="AF639" i="29"/>
  <c r="G639" i="29"/>
  <c r="E639" i="29"/>
  <c r="S639" i="29"/>
  <c r="T639" i="29"/>
  <c r="R639" i="29"/>
  <c r="Q639" i="29"/>
  <c r="U639" i="29"/>
  <c r="AI640" i="29"/>
  <c r="AD641" i="29"/>
  <c r="B640" i="29"/>
  <c r="O638" i="29"/>
  <c r="Z637" i="29"/>
  <c r="J638" i="29"/>
  <c r="Y638" i="29" s="1"/>
  <c r="I638" i="29"/>
  <c r="K638" i="29" s="1"/>
  <c r="V637" i="29" l="1"/>
  <c r="W637" i="29" s="1"/>
  <c r="N638" i="29"/>
  <c r="P638" i="29" s="1"/>
  <c r="O639" i="29"/>
  <c r="Z638" i="29"/>
  <c r="T640" i="29"/>
  <c r="Q640" i="29"/>
  <c r="U640" i="29"/>
  <c r="R640" i="29"/>
  <c r="G640" i="29"/>
  <c r="S640" i="29"/>
  <c r="E640" i="29"/>
  <c r="J639" i="29"/>
  <c r="Y639" i="29" s="1"/>
  <c r="I639" i="29"/>
  <c r="K639" i="29" s="1"/>
  <c r="AI641" i="29"/>
  <c r="AD642" i="29"/>
  <c r="B641" i="29"/>
  <c r="AF640" i="29"/>
  <c r="AE640" i="29"/>
  <c r="Z639" i="29" l="1"/>
  <c r="V638" i="29"/>
  <c r="W638" i="29" s="1"/>
  <c r="N639" i="29"/>
  <c r="P639" i="29" s="1"/>
  <c r="AI642" i="29"/>
  <c r="B642" i="29"/>
  <c r="AD643" i="29"/>
  <c r="AE641" i="29"/>
  <c r="AF641" i="29"/>
  <c r="I640" i="29"/>
  <c r="K640" i="29" s="1"/>
  <c r="J640" i="29"/>
  <c r="Y640" i="29" s="1"/>
  <c r="G641" i="29"/>
  <c r="T641" i="29"/>
  <c r="R641" i="29"/>
  <c r="E641" i="29"/>
  <c r="S641" i="29"/>
  <c r="U641" i="29"/>
  <c r="Q641" i="29"/>
  <c r="O640" i="29"/>
  <c r="V639" i="29" l="1"/>
  <c r="W639" i="29" s="1"/>
  <c r="N640" i="29"/>
  <c r="V640" i="29" s="1"/>
  <c r="W640" i="29" s="1"/>
  <c r="Q642" i="29"/>
  <c r="T642" i="29"/>
  <c r="U642" i="29"/>
  <c r="G642" i="29"/>
  <c r="R642" i="29"/>
  <c r="E642" i="29"/>
  <c r="S642" i="29"/>
  <c r="Z640" i="29"/>
  <c r="AF642" i="29"/>
  <c r="AE642" i="29"/>
  <c r="I641" i="29"/>
  <c r="K641" i="29" s="1"/>
  <c r="J641" i="29"/>
  <c r="Y641" i="29" s="1"/>
  <c r="O641" i="29"/>
  <c r="AI643" i="29"/>
  <c r="B643" i="29"/>
  <c r="AD644" i="29"/>
  <c r="P640" i="29" l="1"/>
  <c r="N641" i="29"/>
  <c r="P641" i="29" s="1"/>
  <c r="AF643" i="29"/>
  <c r="AE643" i="29"/>
  <c r="O642" i="29"/>
  <c r="AI644" i="29"/>
  <c r="AD645" i="29"/>
  <c r="B644" i="29"/>
  <c r="Z641" i="29"/>
  <c r="I642" i="29"/>
  <c r="K642" i="29" s="1"/>
  <c r="J642" i="29"/>
  <c r="Y642" i="29" s="1"/>
  <c r="Q643" i="29"/>
  <c r="S643" i="29"/>
  <c r="G643" i="29"/>
  <c r="R643" i="29"/>
  <c r="T643" i="29"/>
  <c r="E643" i="29"/>
  <c r="U643" i="29"/>
  <c r="V641" i="29" l="1"/>
  <c r="W641" i="29" s="1"/>
  <c r="N642" i="29"/>
  <c r="P642" i="29" s="1"/>
  <c r="AE644" i="29"/>
  <c r="AF644" i="29"/>
  <c r="O643" i="29"/>
  <c r="Z642" i="29"/>
  <c r="T644" i="29"/>
  <c r="U644" i="29"/>
  <c r="G644" i="29"/>
  <c r="Q644" i="29"/>
  <c r="S644" i="29"/>
  <c r="R644" i="29"/>
  <c r="E644" i="29"/>
  <c r="AI645" i="29"/>
  <c r="B645" i="29"/>
  <c r="AD646" i="29"/>
  <c r="J643" i="29"/>
  <c r="Y643" i="29" s="1"/>
  <c r="I643" i="29"/>
  <c r="K643" i="29" s="1"/>
  <c r="V642" i="29" l="1"/>
  <c r="W642" i="29" s="1"/>
  <c r="N643" i="29"/>
  <c r="V643" i="29" s="1"/>
  <c r="W643" i="29" s="1"/>
  <c r="Z643" i="29"/>
  <c r="Q645" i="29"/>
  <c r="S645" i="29"/>
  <c r="R645" i="29"/>
  <c r="G645" i="29"/>
  <c r="U645" i="29"/>
  <c r="T645" i="29"/>
  <c r="E645" i="29"/>
  <c r="AE645" i="29"/>
  <c r="AF645" i="29"/>
  <c r="AI646" i="29"/>
  <c r="AD647" i="29"/>
  <c r="B646" i="29"/>
  <c r="O644" i="29"/>
  <c r="I644" i="29"/>
  <c r="K644" i="29" s="1"/>
  <c r="J644" i="29"/>
  <c r="Y644" i="29" s="1"/>
  <c r="P643" i="29" l="1"/>
  <c r="N644" i="29"/>
  <c r="V644" i="29" s="1"/>
  <c r="W644" i="29" s="1"/>
  <c r="AI647" i="29"/>
  <c r="B647" i="29"/>
  <c r="AD648" i="29"/>
  <c r="AE646" i="29"/>
  <c r="AF646" i="29"/>
  <c r="Z644" i="29"/>
  <c r="I645" i="29"/>
  <c r="K645" i="29" s="1"/>
  <c r="J645" i="29"/>
  <c r="Y645" i="29" s="1"/>
  <c r="E646" i="29"/>
  <c r="T646" i="29"/>
  <c r="Q646" i="29"/>
  <c r="U646" i="29"/>
  <c r="R646" i="29"/>
  <c r="G646" i="29"/>
  <c r="S646" i="29"/>
  <c r="O645" i="29"/>
  <c r="P644" i="29" l="1"/>
  <c r="N645" i="29"/>
  <c r="V645" i="29" s="1"/>
  <c r="W645" i="29" s="1"/>
  <c r="AI648" i="29"/>
  <c r="B648" i="29"/>
  <c r="AD649" i="29"/>
  <c r="Z645" i="29"/>
  <c r="E647" i="29"/>
  <c r="G647" i="29"/>
  <c r="T647" i="29"/>
  <c r="Q647" i="29"/>
  <c r="S647" i="29"/>
  <c r="R647" i="29"/>
  <c r="U647" i="29"/>
  <c r="O646" i="29"/>
  <c r="AE647" i="29"/>
  <c r="AF647" i="29"/>
  <c r="J646" i="29"/>
  <c r="Y646" i="29" s="1"/>
  <c r="I646" i="29"/>
  <c r="K646" i="29" s="1"/>
  <c r="P645" i="29" l="1"/>
  <c r="N646" i="29"/>
  <c r="P646" i="29" s="1"/>
  <c r="O647" i="29"/>
  <c r="I647" i="29"/>
  <c r="K647" i="29" s="1"/>
  <c r="J647" i="29"/>
  <c r="Y647" i="29" s="1"/>
  <c r="Z646" i="29"/>
  <c r="AE648" i="29"/>
  <c r="AF648" i="29"/>
  <c r="AI649" i="29"/>
  <c r="AD650" i="29"/>
  <c r="B649" i="29"/>
  <c r="U648" i="29"/>
  <c r="E648" i="29"/>
  <c r="R648" i="29"/>
  <c r="Q648" i="29"/>
  <c r="S648" i="29"/>
  <c r="T648" i="29"/>
  <c r="G648" i="29"/>
  <c r="V646" i="29" l="1"/>
  <c r="W646" i="29" s="1"/>
  <c r="N647" i="29"/>
  <c r="P647" i="29" s="1"/>
  <c r="Z647" i="29"/>
  <c r="V647" i="29"/>
  <c r="W647" i="29" s="1"/>
  <c r="AF649" i="29"/>
  <c r="AE649" i="29"/>
  <c r="O648" i="29"/>
  <c r="S649" i="29"/>
  <c r="G649" i="29"/>
  <c r="T649" i="29"/>
  <c r="E649" i="29"/>
  <c r="U649" i="29"/>
  <c r="Q649" i="29"/>
  <c r="R649" i="29"/>
  <c r="AI650" i="29"/>
  <c r="B650" i="29"/>
  <c r="AD651" i="29"/>
  <c r="J648" i="29"/>
  <c r="Y648" i="29" s="1"/>
  <c r="I648" i="29"/>
  <c r="K648" i="29" s="1"/>
  <c r="N648" i="29" l="1"/>
  <c r="P648" i="29" s="1"/>
  <c r="Z648" i="29"/>
  <c r="J649" i="29"/>
  <c r="Y649" i="29" s="1"/>
  <c r="I649" i="29"/>
  <c r="K649" i="29" s="1"/>
  <c r="O649" i="29"/>
  <c r="R650" i="29"/>
  <c r="S650" i="29"/>
  <c r="E650" i="29"/>
  <c r="T650" i="29"/>
  <c r="Q650" i="29"/>
  <c r="U650" i="29"/>
  <c r="G650" i="29"/>
  <c r="AE650" i="29"/>
  <c r="AF650" i="29"/>
  <c r="AI651" i="29"/>
  <c r="AD652" i="29"/>
  <c r="B651" i="29"/>
  <c r="V648" i="29" l="1"/>
  <c r="W648" i="29" s="1"/>
  <c r="N649" i="29"/>
  <c r="P649" i="29" s="1"/>
  <c r="AE651" i="29"/>
  <c r="AF651" i="29"/>
  <c r="AI652" i="29"/>
  <c r="AD653" i="29"/>
  <c r="B652" i="29"/>
  <c r="Z649" i="29"/>
  <c r="O650" i="29"/>
  <c r="G651" i="29"/>
  <c r="T651" i="29"/>
  <c r="Q651" i="29"/>
  <c r="R651" i="29"/>
  <c r="U651" i="29"/>
  <c r="S651" i="29"/>
  <c r="E651" i="29"/>
  <c r="J650" i="29"/>
  <c r="Y650" i="29" s="1"/>
  <c r="I650" i="29"/>
  <c r="K650" i="29" s="1"/>
  <c r="V649" i="29" l="1"/>
  <c r="W649" i="29" s="1"/>
  <c r="N650" i="29"/>
  <c r="P650" i="29" s="1"/>
  <c r="O651" i="29"/>
  <c r="AI653" i="29"/>
  <c r="B653" i="29"/>
  <c r="AD654" i="29"/>
  <c r="J651" i="29"/>
  <c r="Y651" i="29" s="1"/>
  <c r="I651" i="29"/>
  <c r="K651" i="29" s="1"/>
  <c r="Z650" i="29"/>
  <c r="AF652" i="29"/>
  <c r="AE652" i="29"/>
  <c r="G652" i="29"/>
  <c r="T652" i="29"/>
  <c r="S652" i="29"/>
  <c r="E652" i="29"/>
  <c r="Q652" i="29"/>
  <c r="R652" i="29"/>
  <c r="U652" i="29"/>
  <c r="Z651" i="29" l="1"/>
  <c r="V650" i="29"/>
  <c r="W650" i="29" s="1"/>
  <c r="N651" i="29"/>
  <c r="P651" i="29" s="1"/>
  <c r="O652" i="29"/>
  <c r="AI654" i="29"/>
  <c r="B654" i="29"/>
  <c r="AD655" i="29"/>
  <c r="J652" i="29"/>
  <c r="Y652" i="29" s="1"/>
  <c r="I652" i="29"/>
  <c r="K652" i="29" s="1"/>
  <c r="R653" i="29"/>
  <c r="G653" i="29"/>
  <c r="S653" i="29"/>
  <c r="E653" i="29"/>
  <c r="Q653" i="29"/>
  <c r="U653" i="29"/>
  <c r="T653" i="29"/>
  <c r="AE653" i="29"/>
  <c r="AF653" i="29"/>
  <c r="V651" i="29" l="1"/>
  <c r="W651" i="29" s="1"/>
  <c r="Z652" i="29"/>
  <c r="N652" i="29"/>
  <c r="V652" i="29" s="1"/>
  <c r="W652" i="29" s="1"/>
  <c r="T654" i="29"/>
  <c r="E654" i="29"/>
  <c r="R654" i="29"/>
  <c r="G654" i="29"/>
  <c r="U654" i="29"/>
  <c r="Q654" i="29"/>
  <c r="S654" i="29"/>
  <c r="J653" i="29"/>
  <c r="Y653" i="29" s="1"/>
  <c r="I653" i="29"/>
  <c r="K653" i="29" s="1"/>
  <c r="AE654" i="29"/>
  <c r="AF654" i="29"/>
  <c r="O653" i="29"/>
  <c r="P652" i="29"/>
  <c r="AI655" i="29"/>
  <c r="B655" i="29"/>
  <c r="AD656" i="29"/>
  <c r="N653" i="29" l="1"/>
  <c r="P653" i="29" s="1"/>
  <c r="O654" i="29"/>
  <c r="Q655" i="29"/>
  <c r="U655" i="29"/>
  <c r="R655" i="29"/>
  <c r="G655" i="29"/>
  <c r="S655" i="29"/>
  <c r="E655" i="29"/>
  <c r="T655" i="29"/>
  <c r="I654" i="29"/>
  <c r="K654" i="29" s="1"/>
  <c r="J654" i="29"/>
  <c r="Y654" i="29" s="1"/>
  <c r="AE655" i="29"/>
  <c r="AF655" i="29"/>
  <c r="Z653" i="29"/>
  <c r="AI656" i="29"/>
  <c r="B656" i="29"/>
  <c r="AD657" i="29"/>
  <c r="V653" i="29" l="1"/>
  <c r="W653" i="29" s="1"/>
  <c r="N654" i="29"/>
  <c r="V654" i="29" s="1"/>
  <c r="W654" i="29" s="1"/>
  <c r="Z654" i="29"/>
  <c r="E656" i="29"/>
  <c r="U656" i="29"/>
  <c r="Q656" i="29"/>
  <c r="G656" i="29"/>
  <c r="R656" i="29"/>
  <c r="T656" i="29"/>
  <c r="S656" i="29"/>
  <c r="I655" i="29"/>
  <c r="K655" i="29" s="1"/>
  <c r="J655" i="29"/>
  <c r="Y655" i="29" s="1"/>
  <c r="AE656" i="29"/>
  <c r="AF656" i="29"/>
  <c r="AI657" i="29"/>
  <c r="AD658" i="29"/>
  <c r="B657" i="29"/>
  <c r="O655" i="29"/>
  <c r="P654" i="29" l="1"/>
  <c r="N655" i="29"/>
  <c r="V655" i="29" s="1"/>
  <c r="W655" i="29" s="1"/>
  <c r="AI658" i="29"/>
  <c r="AD659" i="29"/>
  <c r="B658" i="29"/>
  <c r="U657" i="29"/>
  <c r="R657" i="29"/>
  <c r="T657" i="29"/>
  <c r="S657" i="29"/>
  <c r="G657" i="29"/>
  <c r="Q657" i="29"/>
  <c r="E657" i="29"/>
  <c r="J656" i="29"/>
  <c r="Y656" i="29" s="1"/>
  <c r="I656" i="29"/>
  <c r="K656" i="29" s="1"/>
  <c r="O656" i="29"/>
  <c r="AF657" i="29"/>
  <c r="AE657" i="29"/>
  <c r="Z655" i="29"/>
  <c r="P655" i="29" l="1"/>
  <c r="N656" i="29"/>
  <c r="P656" i="29" s="1"/>
  <c r="S658" i="29"/>
  <c r="Q658" i="29"/>
  <c r="T658" i="29"/>
  <c r="U658" i="29"/>
  <c r="G658" i="29"/>
  <c r="R658" i="29"/>
  <c r="E658" i="29"/>
  <c r="AI659" i="29"/>
  <c r="B659" i="29"/>
  <c r="AD660" i="29"/>
  <c r="O657" i="29"/>
  <c r="AE658" i="29"/>
  <c r="AF658" i="29"/>
  <c r="Z656" i="29"/>
  <c r="J657" i="29"/>
  <c r="Y657" i="29" s="1"/>
  <c r="I657" i="29"/>
  <c r="K657" i="29" s="1"/>
  <c r="V656" i="29" l="1"/>
  <c r="W656" i="29" s="1"/>
  <c r="N657" i="29"/>
  <c r="V657" i="29" s="1"/>
  <c r="W657" i="29" s="1"/>
  <c r="I658" i="29"/>
  <c r="K658" i="29" s="1"/>
  <c r="J658" i="29"/>
  <c r="Y658" i="29" s="1"/>
  <c r="AI660" i="29"/>
  <c r="AD661" i="29"/>
  <c r="B660" i="29"/>
  <c r="Z657" i="29"/>
  <c r="S659" i="29"/>
  <c r="Q659" i="29"/>
  <c r="T659" i="29"/>
  <c r="U659" i="29"/>
  <c r="G659" i="29"/>
  <c r="R659" i="29"/>
  <c r="E659" i="29"/>
  <c r="AE659" i="29"/>
  <c r="AF659" i="29"/>
  <c r="O658" i="29"/>
  <c r="P657" i="29" l="1"/>
  <c r="N658" i="29"/>
  <c r="P658" i="29" s="1"/>
  <c r="U660" i="29"/>
  <c r="E660" i="29"/>
  <c r="R660" i="29"/>
  <c r="G660" i="29"/>
  <c r="Q660" i="29"/>
  <c r="S660" i="29"/>
  <c r="T660" i="29"/>
  <c r="Z658" i="29"/>
  <c r="AI661" i="29"/>
  <c r="B661" i="29"/>
  <c r="AD662" i="29"/>
  <c r="J659" i="29"/>
  <c r="Y659" i="29" s="1"/>
  <c r="I659" i="29"/>
  <c r="K659" i="29" s="1"/>
  <c r="O659" i="29"/>
  <c r="AF660" i="29"/>
  <c r="AE660" i="29"/>
  <c r="V658" i="29" l="1"/>
  <c r="W658" i="29" s="1"/>
  <c r="N659" i="29"/>
  <c r="P659" i="29" s="1"/>
  <c r="O660" i="29"/>
  <c r="AI662" i="29"/>
  <c r="B662" i="29"/>
  <c r="AD663" i="29"/>
  <c r="Z659" i="29"/>
  <c r="E661" i="29"/>
  <c r="G661" i="29"/>
  <c r="U661" i="29"/>
  <c r="Q661" i="29"/>
  <c r="R661" i="29"/>
  <c r="T661" i="29"/>
  <c r="S661" i="29"/>
  <c r="I660" i="29"/>
  <c r="K660" i="29" s="1"/>
  <c r="J660" i="29"/>
  <c r="Y660" i="29" s="1"/>
  <c r="AF661" i="29"/>
  <c r="AE661" i="29"/>
  <c r="V659" i="29" l="1"/>
  <c r="W659" i="29" s="1"/>
  <c r="N660" i="29"/>
  <c r="V660" i="29" s="1"/>
  <c r="W660" i="29" s="1"/>
  <c r="I661" i="29"/>
  <c r="K661" i="29" s="1"/>
  <c r="J661" i="29"/>
  <c r="Y661" i="29" s="1"/>
  <c r="AI663" i="29"/>
  <c r="B663" i="29"/>
  <c r="AD664" i="29"/>
  <c r="E662" i="29"/>
  <c r="U662" i="29"/>
  <c r="Q662" i="29"/>
  <c r="S662" i="29"/>
  <c r="R662" i="29"/>
  <c r="G662" i="29"/>
  <c r="T662" i="29"/>
  <c r="O661" i="29"/>
  <c r="AE662" i="29"/>
  <c r="AF662" i="29"/>
  <c r="Z660" i="29"/>
  <c r="P660" i="29" l="1"/>
  <c r="N661" i="29"/>
  <c r="P661" i="29" s="1"/>
  <c r="O662" i="29"/>
  <c r="T663" i="29"/>
  <c r="G663" i="29"/>
  <c r="R663" i="29"/>
  <c r="E663" i="29"/>
  <c r="U663" i="29"/>
  <c r="S663" i="29"/>
  <c r="Q663" i="29"/>
  <c r="AF663" i="29"/>
  <c r="AE663" i="29"/>
  <c r="J662" i="29"/>
  <c r="Y662" i="29" s="1"/>
  <c r="I662" i="29"/>
  <c r="K662" i="29" s="1"/>
  <c r="Z661" i="29"/>
  <c r="AI664" i="29"/>
  <c r="B664" i="29"/>
  <c r="AD665" i="29"/>
  <c r="V661" i="29" l="1"/>
  <c r="W661" i="29" s="1"/>
  <c r="N662" i="29"/>
  <c r="V662" i="29" s="1"/>
  <c r="W662" i="29" s="1"/>
  <c r="AF664" i="29"/>
  <c r="AE664" i="29"/>
  <c r="Z662" i="29"/>
  <c r="Q664" i="29"/>
  <c r="T664" i="29"/>
  <c r="E664" i="29"/>
  <c r="R664" i="29"/>
  <c r="U664" i="29"/>
  <c r="S664" i="29"/>
  <c r="G664" i="29"/>
  <c r="O663" i="29"/>
  <c r="AI665" i="29"/>
  <c r="B665" i="29"/>
  <c r="AD666" i="29"/>
  <c r="I663" i="29"/>
  <c r="K663" i="29" s="1"/>
  <c r="J663" i="29"/>
  <c r="Y663" i="29" s="1"/>
  <c r="P662" i="29" l="1"/>
  <c r="N663" i="29"/>
  <c r="V663" i="29" s="1"/>
  <c r="W663" i="29" s="1"/>
  <c r="O664" i="29"/>
  <c r="U665" i="29"/>
  <c r="Q665" i="29"/>
  <c r="R665" i="29"/>
  <c r="S665" i="29"/>
  <c r="G665" i="29"/>
  <c r="T665" i="29"/>
  <c r="E665" i="29"/>
  <c r="I664" i="29"/>
  <c r="K664" i="29" s="1"/>
  <c r="J664" i="29"/>
  <c r="Y664" i="29" s="1"/>
  <c r="Z663" i="29"/>
  <c r="AI666" i="29"/>
  <c r="B666" i="29"/>
  <c r="AD667" i="29"/>
  <c r="AF665" i="29"/>
  <c r="AE665" i="29"/>
  <c r="P663" i="29" l="1"/>
  <c r="N664" i="29"/>
  <c r="P664" i="29" s="1"/>
  <c r="Z664" i="29"/>
  <c r="O665" i="29"/>
  <c r="AF666" i="29"/>
  <c r="AE666" i="29"/>
  <c r="AI667" i="29"/>
  <c r="B667" i="29"/>
  <c r="AD668" i="29"/>
  <c r="J665" i="29"/>
  <c r="Y665" i="29" s="1"/>
  <c r="I665" i="29"/>
  <c r="K665" i="29" s="1"/>
  <c r="G666" i="29"/>
  <c r="T666" i="29"/>
  <c r="S666" i="29"/>
  <c r="E666" i="29"/>
  <c r="U666" i="29"/>
  <c r="Q666" i="29"/>
  <c r="R666" i="29"/>
  <c r="V664" i="29" l="1"/>
  <c r="W664" i="29" s="1"/>
  <c r="N665" i="29"/>
  <c r="V665" i="29" s="1"/>
  <c r="W665" i="29" s="1"/>
  <c r="O666" i="29"/>
  <c r="AI668" i="29"/>
  <c r="AD669" i="29"/>
  <c r="B668" i="29"/>
  <c r="J666" i="29"/>
  <c r="Y666" i="29" s="1"/>
  <c r="I666" i="29"/>
  <c r="K666" i="29" s="1"/>
  <c r="Z665" i="29"/>
  <c r="E667" i="29"/>
  <c r="U667" i="29"/>
  <c r="G667" i="29"/>
  <c r="T667" i="29"/>
  <c r="Q667" i="29"/>
  <c r="R667" i="29"/>
  <c r="S667" i="29"/>
  <c r="AF667" i="29"/>
  <c r="AE667" i="29"/>
  <c r="P665" i="29" l="1"/>
  <c r="N666" i="29"/>
  <c r="P666" i="29" s="1"/>
  <c r="Z666" i="29"/>
  <c r="O667" i="29"/>
  <c r="Q668" i="29"/>
  <c r="S668" i="29"/>
  <c r="R668" i="29"/>
  <c r="E668" i="29"/>
  <c r="U668" i="29"/>
  <c r="T668" i="29"/>
  <c r="G668" i="29"/>
  <c r="J667" i="29"/>
  <c r="Y667" i="29" s="1"/>
  <c r="I667" i="29"/>
  <c r="K667" i="29" s="1"/>
  <c r="AI669" i="29"/>
  <c r="AD670" i="29"/>
  <c r="B669" i="29"/>
  <c r="AE668" i="29"/>
  <c r="AF668" i="29"/>
  <c r="V666" i="29" l="1"/>
  <c r="W666" i="29" s="1"/>
  <c r="N667" i="29"/>
  <c r="V667" i="29" s="1"/>
  <c r="W667" i="29" s="1"/>
  <c r="U669" i="29"/>
  <c r="Q669" i="29"/>
  <c r="E669" i="29"/>
  <c r="S669" i="29"/>
  <c r="R669" i="29"/>
  <c r="G669" i="29"/>
  <c r="T669" i="29"/>
  <c r="AI670" i="29"/>
  <c r="B670" i="29"/>
  <c r="AD671" i="29"/>
  <c r="AE669" i="29"/>
  <c r="AF669" i="29"/>
  <c r="O668" i="29"/>
  <c r="I668" i="29"/>
  <c r="K668" i="29" s="1"/>
  <c r="J668" i="29"/>
  <c r="Y668" i="29" s="1"/>
  <c r="P667" i="29"/>
  <c r="Z667" i="29"/>
  <c r="N668" i="29" l="1"/>
  <c r="P668" i="29" s="1"/>
  <c r="O669" i="29"/>
  <c r="AI671" i="29"/>
  <c r="AD672" i="29"/>
  <c r="B671" i="29"/>
  <c r="Q670" i="29"/>
  <c r="S670" i="29"/>
  <c r="E670" i="29"/>
  <c r="R670" i="29"/>
  <c r="U670" i="29"/>
  <c r="G670" i="29"/>
  <c r="T670" i="29"/>
  <c r="Z668" i="29"/>
  <c r="I669" i="29"/>
  <c r="K669" i="29" s="1"/>
  <c r="J669" i="29"/>
  <c r="Y669" i="29" s="1"/>
  <c r="AF670" i="29"/>
  <c r="AE670" i="29"/>
  <c r="V668" i="29" l="1"/>
  <c r="W668" i="29" s="1"/>
  <c r="N669" i="29"/>
  <c r="V669" i="29" s="1"/>
  <c r="W669" i="29" s="1"/>
  <c r="O670" i="29"/>
  <c r="Z669" i="29"/>
  <c r="J670" i="29"/>
  <c r="Y670" i="29" s="1"/>
  <c r="I670" i="29"/>
  <c r="K670" i="29" s="1"/>
  <c r="Q671" i="29"/>
  <c r="U671" i="29"/>
  <c r="S671" i="29"/>
  <c r="R671" i="29"/>
  <c r="G671" i="29"/>
  <c r="E671" i="29"/>
  <c r="T671" i="29"/>
  <c r="AI672" i="29"/>
  <c r="AD673" i="29"/>
  <c r="B672" i="29"/>
  <c r="AF671" i="29"/>
  <c r="AE671" i="29"/>
  <c r="Z670" i="29" l="1"/>
  <c r="P669" i="29"/>
  <c r="N670" i="29"/>
  <c r="V670" i="29" s="1"/>
  <c r="W670" i="29" s="1"/>
  <c r="O671" i="29"/>
  <c r="J671" i="29"/>
  <c r="Y671" i="29" s="1"/>
  <c r="I671" i="29"/>
  <c r="K671" i="29" s="1"/>
  <c r="G672" i="29"/>
  <c r="E672" i="29"/>
  <c r="T672" i="29"/>
  <c r="U672" i="29"/>
  <c r="R672" i="29"/>
  <c r="S672" i="29"/>
  <c r="Q672" i="29"/>
  <c r="AI673" i="29"/>
  <c r="AD674" i="29"/>
  <c r="B673" i="29"/>
  <c r="AE672" i="29"/>
  <c r="AF672" i="29"/>
  <c r="P670" i="29" l="1"/>
  <c r="Z671" i="29"/>
  <c r="N671" i="29"/>
  <c r="P671" i="29" s="1"/>
  <c r="J672" i="29"/>
  <c r="Y672" i="29" s="1"/>
  <c r="I672" i="29"/>
  <c r="K672" i="29" s="1"/>
  <c r="AI674" i="29"/>
  <c r="B674" i="29"/>
  <c r="AD675" i="29"/>
  <c r="AE673" i="29"/>
  <c r="AF673" i="29"/>
  <c r="Q673" i="29"/>
  <c r="R673" i="29"/>
  <c r="G673" i="29"/>
  <c r="T673" i="29"/>
  <c r="E673" i="29"/>
  <c r="U673" i="29"/>
  <c r="S673" i="29"/>
  <c r="O672" i="29"/>
  <c r="V671" i="29" l="1"/>
  <c r="W671" i="29" s="1"/>
  <c r="N672" i="29"/>
  <c r="P672" i="29" s="1"/>
  <c r="O673" i="29"/>
  <c r="Z672" i="29"/>
  <c r="AE674" i="29"/>
  <c r="AF674" i="29"/>
  <c r="J673" i="29"/>
  <c r="Y673" i="29" s="1"/>
  <c r="I673" i="29"/>
  <c r="K673" i="29" s="1"/>
  <c r="AI675" i="29"/>
  <c r="AD676" i="29"/>
  <c r="B675" i="29"/>
  <c r="G674" i="29"/>
  <c r="Q674" i="29"/>
  <c r="T674" i="29"/>
  <c r="R674" i="29"/>
  <c r="E674" i="29"/>
  <c r="S674" i="29"/>
  <c r="U674" i="29"/>
  <c r="V672" i="29" l="1"/>
  <c r="W672" i="29" s="1"/>
  <c r="N673" i="29"/>
  <c r="P673" i="29" s="1"/>
  <c r="Z673" i="29"/>
  <c r="AF675" i="29"/>
  <c r="AE675" i="29"/>
  <c r="S675" i="29"/>
  <c r="Q675" i="29"/>
  <c r="T675" i="29"/>
  <c r="U675" i="29"/>
  <c r="G675" i="29"/>
  <c r="R675" i="29"/>
  <c r="E675" i="29"/>
  <c r="O674" i="29"/>
  <c r="AI676" i="29"/>
  <c r="B676" i="29"/>
  <c r="AD677" i="29"/>
  <c r="I674" i="29"/>
  <c r="K674" i="29" s="1"/>
  <c r="J674" i="29"/>
  <c r="Y674" i="29" s="1"/>
  <c r="V673" i="29" l="1"/>
  <c r="W673" i="29" s="1"/>
  <c r="N674" i="29"/>
  <c r="P674" i="29" s="1"/>
  <c r="J675" i="29"/>
  <c r="Y675" i="29" s="1"/>
  <c r="I675" i="29"/>
  <c r="K675" i="29" s="1"/>
  <c r="AI677" i="29"/>
  <c r="B677" i="29"/>
  <c r="AD678" i="29"/>
  <c r="S676" i="29"/>
  <c r="T676" i="29"/>
  <c r="U676" i="29"/>
  <c r="E676" i="29"/>
  <c r="G676" i="29"/>
  <c r="R676" i="29"/>
  <c r="Q676" i="29"/>
  <c r="AF676" i="29"/>
  <c r="AE676" i="29"/>
  <c r="Z674" i="29"/>
  <c r="O675" i="29"/>
  <c r="V674" i="29" l="1"/>
  <c r="W674" i="29" s="1"/>
  <c r="N675" i="29"/>
  <c r="P675" i="29" s="1"/>
  <c r="AI678" i="29"/>
  <c r="B678" i="29"/>
  <c r="AD679" i="29"/>
  <c r="O676" i="29"/>
  <c r="G677" i="29"/>
  <c r="U677" i="29"/>
  <c r="Q677" i="29"/>
  <c r="S677" i="29"/>
  <c r="E677" i="29"/>
  <c r="R677" i="29"/>
  <c r="T677" i="29"/>
  <c r="AE677" i="29"/>
  <c r="AF677" i="29"/>
  <c r="I676" i="29"/>
  <c r="K676" i="29" s="1"/>
  <c r="J676" i="29"/>
  <c r="Y676" i="29" s="1"/>
  <c r="Z675" i="29"/>
  <c r="V675" i="29" l="1"/>
  <c r="W675" i="29" s="1"/>
  <c r="N676" i="29"/>
  <c r="P676" i="29" s="1"/>
  <c r="S678" i="29"/>
  <c r="E678" i="29"/>
  <c r="G678" i="29"/>
  <c r="Q678" i="29"/>
  <c r="T678" i="29"/>
  <c r="R678" i="29"/>
  <c r="U678" i="29"/>
  <c r="O677" i="29"/>
  <c r="AI679" i="29"/>
  <c r="B679" i="29"/>
  <c r="AD680" i="29"/>
  <c r="J677" i="29"/>
  <c r="Y677" i="29" s="1"/>
  <c r="I677" i="29"/>
  <c r="K677" i="29" s="1"/>
  <c r="Z676" i="29"/>
  <c r="AF678" i="29"/>
  <c r="AE678" i="29"/>
  <c r="V676" i="29" l="1"/>
  <c r="W676" i="29" s="1"/>
  <c r="N677" i="29"/>
  <c r="P677" i="29" s="1"/>
  <c r="O678" i="29"/>
  <c r="I678" i="29"/>
  <c r="K678" i="29" s="1"/>
  <c r="J678" i="29"/>
  <c r="Y678" i="29" s="1"/>
  <c r="AI680" i="29"/>
  <c r="AD681" i="29"/>
  <c r="B680" i="29"/>
  <c r="E679" i="29"/>
  <c r="R679" i="29"/>
  <c r="Q679" i="29"/>
  <c r="S679" i="29"/>
  <c r="T679" i="29"/>
  <c r="G679" i="29"/>
  <c r="U679" i="29"/>
  <c r="AE679" i="29"/>
  <c r="AF679" i="29"/>
  <c r="Z677" i="29"/>
  <c r="V677" i="29" l="1"/>
  <c r="W677" i="29" s="1"/>
  <c r="N678" i="29"/>
  <c r="V678" i="29" s="1"/>
  <c r="W678" i="29" s="1"/>
  <c r="Z678" i="29"/>
  <c r="O679" i="29"/>
  <c r="U680" i="29"/>
  <c r="T680" i="29"/>
  <c r="R680" i="29"/>
  <c r="S680" i="29"/>
  <c r="G680" i="29"/>
  <c r="E680" i="29"/>
  <c r="Q680" i="29"/>
  <c r="J679" i="29"/>
  <c r="Y679" i="29" s="1"/>
  <c r="I679" i="29"/>
  <c r="K679" i="29" s="1"/>
  <c r="AI681" i="29"/>
  <c r="B681" i="29"/>
  <c r="AD682" i="29"/>
  <c r="AF680" i="29"/>
  <c r="AE680" i="29"/>
  <c r="P678" i="29" l="1"/>
  <c r="N679" i="29"/>
  <c r="V679" i="29" s="1"/>
  <c r="W679" i="29" s="1"/>
  <c r="Z679" i="29"/>
  <c r="AI682" i="29"/>
  <c r="AD683" i="29"/>
  <c r="B682" i="29"/>
  <c r="Q681" i="29"/>
  <c r="T681" i="29"/>
  <c r="E681" i="29"/>
  <c r="R681" i="29"/>
  <c r="G681" i="29"/>
  <c r="S681" i="29"/>
  <c r="U681" i="29"/>
  <c r="AF681" i="29"/>
  <c r="AE681" i="29"/>
  <c r="I680" i="29"/>
  <c r="K680" i="29" s="1"/>
  <c r="J680" i="29"/>
  <c r="Y680" i="29" s="1"/>
  <c r="O680" i="29"/>
  <c r="P679" i="29" l="1"/>
  <c r="N680" i="29"/>
  <c r="P680" i="29" s="1"/>
  <c r="J681" i="29"/>
  <c r="Y681" i="29" s="1"/>
  <c r="I681" i="29"/>
  <c r="K681" i="29" s="1"/>
  <c r="Z680" i="29"/>
  <c r="O681" i="29"/>
  <c r="U682" i="29"/>
  <c r="R682" i="29"/>
  <c r="Q682" i="29"/>
  <c r="G682" i="29"/>
  <c r="E682" i="29"/>
  <c r="S682" i="29"/>
  <c r="T682" i="29"/>
  <c r="AI683" i="29"/>
  <c r="B683" i="29"/>
  <c r="AD684" i="29"/>
  <c r="AF682" i="29"/>
  <c r="AE682" i="29"/>
  <c r="V680" i="29" l="1"/>
  <c r="W680" i="29" s="1"/>
  <c r="N681" i="29"/>
  <c r="P681" i="29" s="1"/>
  <c r="I682" i="29"/>
  <c r="K682" i="29" s="1"/>
  <c r="J682" i="29"/>
  <c r="Y682" i="29" s="1"/>
  <c r="AI684" i="29"/>
  <c r="B684" i="29"/>
  <c r="AD685" i="29"/>
  <c r="E683" i="29"/>
  <c r="T683" i="29"/>
  <c r="U683" i="29"/>
  <c r="Q683" i="29"/>
  <c r="S683" i="29"/>
  <c r="R683" i="29"/>
  <c r="G683" i="29"/>
  <c r="O682" i="29"/>
  <c r="AF683" i="29"/>
  <c r="AE683" i="29"/>
  <c r="Z681" i="29"/>
  <c r="V681" i="29" l="1"/>
  <c r="W681" i="29" s="1"/>
  <c r="N682" i="29"/>
  <c r="V682" i="29" s="1"/>
  <c r="W682" i="29" s="1"/>
  <c r="O683" i="29"/>
  <c r="AI685" i="29"/>
  <c r="B685" i="29"/>
  <c r="AD686" i="29"/>
  <c r="S684" i="29"/>
  <c r="E684" i="29"/>
  <c r="T684" i="29"/>
  <c r="Q684" i="29"/>
  <c r="U684" i="29"/>
  <c r="G684" i="29"/>
  <c r="R684" i="29"/>
  <c r="J683" i="29"/>
  <c r="Y683" i="29" s="1"/>
  <c r="I683" i="29"/>
  <c r="K683" i="29" s="1"/>
  <c r="AE684" i="29"/>
  <c r="AF684" i="29"/>
  <c r="Z682" i="29"/>
  <c r="P682" i="29" l="1"/>
  <c r="N683" i="29"/>
  <c r="V683" i="29" s="1"/>
  <c r="W683" i="29" s="1"/>
  <c r="J684" i="29"/>
  <c r="Y684" i="29" s="1"/>
  <c r="I684" i="29"/>
  <c r="K684" i="29" s="1"/>
  <c r="AE685" i="29"/>
  <c r="AF685" i="29"/>
  <c r="O684" i="29"/>
  <c r="Z683" i="29"/>
  <c r="AI686" i="29"/>
  <c r="AD687" i="29"/>
  <c r="B686" i="29"/>
  <c r="G685" i="29"/>
  <c r="S685" i="29"/>
  <c r="E685" i="29"/>
  <c r="T685" i="29"/>
  <c r="Q685" i="29"/>
  <c r="U685" i="29"/>
  <c r="R685" i="29"/>
  <c r="P683" i="29" l="1"/>
  <c r="N684" i="29"/>
  <c r="V684" i="29" s="1"/>
  <c r="W684" i="29" s="1"/>
  <c r="R686" i="29"/>
  <c r="G686" i="29"/>
  <c r="U686" i="29"/>
  <c r="E686" i="29"/>
  <c r="T686" i="29"/>
  <c r="Q686" i="29"/>
  <c r="S686" i="29"/>
  <c r="Z684" i="29"/>
  <c r="AI687" i="29"/>
  <c r="B687" i="29"/>
  <c r="AD688" i="29"/>
  <c r="O685" i="29"/>
  <c r="AE686" i="29"/>
  <c r="AF686" i="29"/>
  <c r="J685" i="29"/>
  <c r="Y685" i="29" s="1"/>
  <c r="I685" i="29"/>
  <c r="K685" i="29" s="1"/>
  <c r="P684" i="29" l="1"/>
  <c r="N685" i="29"/>
  <c r="V685" i="29" s="1"/>
  <c r="W685" i="29" s="1"/>
  <c r="AI688" i="29"/>
  <c r="AD689" i="29"/>
  <c r="B688" i="29"/>
  <c r="I686" i="29"/>
  <c r="K686" i="29" s="1"/>
  <c r="J686" i="29"/>
  <c r="Y686" i="29" s="1"/>
  <c r="G687" i="29"/>
  <c r="S687" i="29"/>
  <c r="E687" i="29"/>
  <c r="T687" i="29"/>
  <c r="R687" i="29"/>
  <c r="Q687" i="29"/>
  <c r="U687" i="29"/>
  <c r="Z685" i="29"/>
  <c r="AF687" i="29"/>
  <c r="AE687" i="29"/>
  <c r="O686" i="29"/>
  <c r="P685" i="29" l="1"/>
  <c r="N686" i="29"/>
  <c r="P686" i="29" s="1"/>
  <c r="Z686" i="29"/>
  <c r="G688" i="29"/>
  <c r="E688" i="29"/>
  <c r="U688" i="29"/>
  <c r="S688" i="29"/>
  <c r="R688" i="29"/>
  <c r="T688" i="29"/>
  <c r="Q688" i="29"/>
  <c r="V686" i="29"/>
  <c r="W686" i="29" s="1"/>
  <c r="I687" i="29"/>
  <c r="K687" i="29" s="1"/>
  <c r="J687" i="29"/>
  <c r="Y687" i="29" s="1"/>
  <c r="O687" i="29"/>
  <c r="AI689" i="29"/>
  <c r="B689" i="29"/>
  <c r="AD690" i="29"/>
  <c r="AE688" i="29"/>
  <c r="AF688" i="29"/>
  <c r="N687" i="29" l="1"/>
  <c r="V687" i="29" s="1"/>
  <c r="W687" i="29" s="1"/>
  <c r="R689" i="29"/>
  <c r="U689" i="29"/>
  <c r="E689" i="29"/>
  <c r="Q689" i="29"/>
  <c r="T689" i="29"/>
  <c r="G689" i="29"/>
  <c r="S689" i="29"/>
  <c r="AE689" i="29"/>
  <c r="AF689" i="29"/>
  <c r="Z687" i="29"/>
  <c r="J688" i="29"/>
  <c r="Y688" i="29" s="1"/>
  <c r="I688" i="29"/>
  <c r="K688" i="29" s="1"/>
  <c r="AI690" i="29"/>
  <c r="B690" i="29"/>
  <c r="AD691" i="29"/>
  <c r="O688" i="29"/>
  <c r="P687" i="29" l="1"/>
  <c r="N688" i="29"/>
  <c r="P688" i="29" s="1"/>
  <c r="AF690" i="29"/>
  <c r="AE690" i="29"/>
  <c r="I689" i="29"/>
  <c r="K689" i="29" s="1"/>
  <c r="J689" i="29"/>
  <c r="Y689" i="29" s="1"/>
  <c r="AI691" i="29"/>
  <c r="AD692" i="29"/>
  <c r="B691" i="29"/>
  <c r="Z688" i="29"/>
  <c r="R690" i="29"/>
  <c r="E690" i="29"/>
  <c r="Q690" i="29"/>
  <c r="G690" i="29"/>
  <c r="S690" i="29"/>
  <c r="T690" i="29"/>
  <c r="U690" i="29"/>
  <c r="O689" i="29"/>
  <c r="V688" i="29" l="1"/>
  <c r="W688" i="29" s="1"/>
  <c r="N689" i="29"/>
  <c r="V689" i="29" s="1"/>
  <c r="W689" i="29" s="1"/>
  <c r="O690" i="29"/>
  <c r="G691" i="29"/>
  <c r="T691" i="29"/>
  <c r="S691" i="29"/>
  <c r="U691" i="29"/>
  <c r="Q691" i="29"/>
  <c r="E691" i="29"/>
  <c r="R691" i="29"/>
  <c r="AI692" i="29"/>
  <c r="B692" i="29"/>
  <c r="AD693" i="29"/>
  <c r="J690" i="29"/>
  <c r="Y690" i="29" s="1"/>
  <c r="I690" i="29"/>
  <c r="K690" i="29" s="1"/>
  <c r="Z689" i="29"/>
  <c r="AE691" i="29"/>
  <c r="AF691" i="29"/>
  <c r="Z690" i="29" l="1"/>
  <c r="P689" i="29"/>
  <c r="N690" i="29"/>
  <c r="P690" i="29" s="1"/>
  <c r="AF692" i="29"/>
  <c r="AE692" i="29"/>
  <c r="I691" i="29"/>
  <c r="K691" i="29" s="1"/>
  <c r="J691" i="29"/>
  <c r="Y691" i="29" s="1"/>
  <c r="AI693" i="29"/>
  <c r="B693" i="29"/>
  <c r="AD694" i="29"/>
  <c r="Q692" i="29"/>
  <c r="T692" i="29"/>
  <c r="U692" i="29"/>
  <c r="G692" i="29"/>
  <c r="R692" i="29"/>
  <c r="E692" i="29"/>
  <c r="S692" i="29"/>
  <c r="O691" i="29"/>
  <c r="V690" i="29" l="1"/>
  <c r="W690" i="29" s="1"/>
  <c r="N691" i="29"/>
  <c r="V691" i="29" s="1"/>
  <c r="W691" i="29" s="1"/>
  <c r="AI694" i="29"/>
  <c r="B694" i="29"/>
  <c r="AD695" i="29"/>
  <c r="G693" i="29"/>
  <c r="U693" i="29"/>
  <c r="E693" i="29"/>
  <c r="R693" i="29"/>
  <c r="Q693" i="29"/>
  <c r="S693" i="29"/>
  <c r="T693" i="29"/>
  <c r="Z691" i="29"/>
  <c r="AE693" i="29"/>
  <c r="AF693" i="29"/>
  <c r="O692" i="29"/>
  <c r="I692" i="29"/>
  <c r="K692" i="29" s="1"/>
  <c r="J692" i="29"/>
  <c r="Y692" i="29" s="1"/>
  <c r="Z692" i="29" l="1"/>
  <c r="P691" i="29"/>
  <c r="N692" i="29"/>
  <c r="V692" i="29" s="1"/>
  <c r="W692" i="29" s="1"/>
  <c r="AI695" i="29"/>
  <c r="AD696" i="29"/>
  <c r="B695" i="29"/>
  <c r="O693" i="29"/>
  <c r="G694" i="29"/>
  <c r="U694" i="29"/>
  <c r="Q694" i="29"/>
  <c r="R694" i="29"/>
  <c r="T694" i="29"/>
  <c r="S694" i="29"/>
  <c r="E694" i="29"/>
  <c r="AE694" i="29"/>
  <c r="AF694" i="29"/>
  <c r="I693" i="29"/>
  <c r="K693" i="29" s="1"/>
  <c r="J693" i="29"/>
  <c r="Y693" i="29" s="1"/>
  <c r="P692" i="29" l="1"/>
  <c r="N693" i="29"/>
  <c r="V693" i="29" s="1"/>
  <c r="W693" i="29" s="1"/>
  <c r="Z693" i="29"/>
  <c r="O694" i="29"/>
  <c r="AF695" i="29"/>
  <c r="AE695" i="29"/>
  <c r="I694" i="29"/>
  <c r="K694" i="29" s="1"/>
  <c r="J694" i="29"/>
  <c r="Y694" i="29" s="1"/>
  <c r="R695" i="29"/>
  <c r="Q695" i="29"/>
  <c r="G695" i="29"/>
  <c r="T695" i="29"/>
  <c r="S695" i="29"/>
  <c r="U695" i="29"/>
  <c r="E695" i="29"/>
  <c r="AI696" i="29"/>
  <c r="B696" i="29"/>
  <c r="AD697" i="29"/>
  <c r="P693" i="29" l="1"/>
  <c r="N694" i="29"/>
  <c r="P694" i="29" s="1"/>
  <c r="T696" i="29"/>
  <c r="G696" i="29"/>
  <c r="E696" i="29"/>
  <c r="Q696" i="29"/>
  <c r="S696" i="29"/>
  <c r="R696" i="29"/>
  <c r="U696" i="29"/>
  <c r="Z694" i="29"/>
  <c r="O695" i="29"/>
  <c r="AE696" i="29"/>
  <c r="AF696" i="29"/>
  <c r="J695" i="29"/>
  <c r="Y695" i="29" s="1"/>
  <c r="I695" i="29"/>
  <c r="K695" i="29" s="1"/>
  <c r="AI697" i="29"/>
  <c r="AD698" i="29"/>
  <c r="B697" i="29"/>
  <c r="V694" i="29" l="1"/>
  <c r="W694" i="29" s="1"/>
  <c r="N695" i="29"/>
  <c r="V695" i="29" s="1"/>
  <c r="W695" i="29" s="1"/>
  <c r="Z695" i="29"/>
  <c r="T697" i="29"/>
  <c r="E697" i="29"/>
  <c r="U697" i="29"/>
  <c r="Q697" i="29"/>
  <c r="R697" i="29"/>
  <c r="S697" i="29"/>
  <c r="G697" i="29"/>
  <c r="I696" i="29"/>
  <c r="K696" i="29" s="1"/>
  <c r="J696" i="29"/>
  <c r="Y696" i="29" s="1"/>
  <c r="AI698" i="29"/>
  <c r="B698" i="29"/>
  <c r="AD699" i="29"/>
  <c r="AF697" i="29"/>
  <c r="AE697" i="29"/>
  <c r="O696" i="29"/>
  <c r="P695" i="29" l="1"/>
  <c r="J697" i="29"/>
  <c r="Y697" i="29" s="1"/>
  <c r="I697" i="29"/>
  <c r="K697" i="29" s="1"/>
  <c r="AF698" i="29"/>
  <c r="AE698" i="29"/>
  <c r="Z696" i="29"/>
  <c r="O697" i="29"/>
  <c r="AI699" i="29"/>
  <c r="B699" i="29"/>
  <c r="AD700" i="29"/>
  <c r="E698" i="29"/>
  <c r="G698" i="29"/>
  <c r="R698" i="29"/>
  <c r="Q698" i="29"/>
  <c r="S698" i="29"/>
  <c r="U698" i="29"/>
  <c r="T698" i="29"/>
  <c r="N696" i="29" l="1"/>
  <c r="P696" i="29" s="1"/>
  <c r="O698" i="29"/>
  <c r="I698" i="29"/>
  <c r="K698" i="29" s="1"/>
  <c r="J698" i="29"/>
  <c r="Y698" i="29" s="1"/>
  <c r="AI700" i="29"/>
  <c r="B700" i="29"/>
  <c r="AD701" i="29"/>
  <c r="Z697" i="29"/>
  <c r="R699" i="29"/>
  <c r="Q699" i="29"/>
  <c r="U699" i="29"/>
  <c r="G699" i="29"/>
  <c r="S699" i="29"/>
  <c r="E699" i="29"/>
  <c r="T699" i="29"/>
  <c r="AE699" i="29"/>
  <c r="AF699" i="29"/>
  <c r="V696" i="29" l="1"/>
  <c r="W696" i="29" s="1"/>
  <c r="Z698" i="29"/>
  <c r="N697" i="29"/>
  <c r="P697" i="29" s="1"/>
  <c r="O699" i="29"/>
  <c r="AI701" i="29"/>
  <c r="AD702" i="29"/>
  <c r="B701" i="29"/>
  <c r="T700" i="29"/>
  <c r="E700" i="29"/>
  <c r="U700" i="29"/>
  <c r="Q700" i="29"/>
  <c r="R700" i="29"/>
  <c r="S700" i="29"/>
  <c r="G700" i="29"/>
  <c r="AF700" i="29"/>
  <c r="AE700" i="29"/>
  <c r="J699" i="29"/>
  <c r="Y699" i="29" s="1"/>
  <c r="I699" i="29"/>
  <c r="K699" i="29" s="1"/>
  <c r="N698" i="29" l="1"/>
  <c r="V697" i="29"/>
  <c r="W697" i="29" s="1"/>
  <c r="T701" i="29"/>
  <c r="S701" i="29"/>
  <c r="U701" i="29"/>
  <c r="E701" i="29"/>
  <c r="G701" i="29"/>
  <c r="Q701" i="29"/>
  <c r="R701" i="29"/>
  <c r="AI702" i="29"/>
  <c r="B702" i="29"/>
  <c r="AD703" i="29"/>
  <c r="I700" i="29"/>
  <c r="K700" i="29" s="1"/>
  <c r="N700" i="29" s="1"/>
  <c r="J700" i="29"/>
  <c r="Y700" i="29" s="1"/>
  <c r="AE701" i="29"/>
  <c r="AF701" i="29"/>
  <c r="O700" i="29"/>
  <c r="Z699" i="29"/>
  <c r="V698" i="29" l="1"/>
  <c r="W698" i="29" s="1"/>
  <c r="P698" i="29"/>
  <c r="N699" i="29"/>
  <c r="Z700" i="29"/>
  <c r="V700" i="29"/>
  <c r="W700" i="29" s="1"/>
  <c r="P700" i="29"/>
  <c r="J701" i="29"/>
  <c r="Y701" i="29" s="1"/>
  <c r="I701" i="29"/>
  <c r="K701" i="29" s="1"/>
  <c r="N701" i="29" s="1"/>
  <c r="V701" i="29" s="1"/>
  <c r="W701" i="29" s="1"/>
  <c r="AI703" i="29"/>
  <c r="AD704" i="29"/>
  <c r="B703" i="29"/>
  <c r="U702" i="29"/>
  <c r="S702" i="29"/>
  <c r="Q702" i="29"/>
  <c r="R702" i="29"/>
  <c r="E702" i="29"/>
  <c r="T702" i="29"/>
  <c r="G702" i="29"/>
  <c r="AF702" i="29"/>
  <c r="AE702" i="29"/>
  <c r="O701" i="29"/>
  <c r="V699" i="29" l="1"/>
  <c r="W699" i="29" s="1"/>
  <c r="P699" i="29"/>
  <c r="O702" i="29"/>
  <c r="G703" i="29"/>
  <c r="U703" i="29"/>
  <c r="E703" i="29"/>
  <c r="Q703" i="29"/>
  <c r="S703" i="29"/>
  <c r="R703" i="29"/>
  <c r="T703" i="29"/>
  <c r="I702" i="29"/>
  <c r="K702" i="29" s="1"/>
  <c r="J702" i="29"/>
  <c r="Y702" i="29" s="1"/>
  <c r="Z701" i="29"/>
  <c r="P701" i="29"/>
  <c r="AI704" i="29"/>
  <c r="AD705" i="29"/>
  <c r="B704" i="29"/>
  <c r="AF703" i="29"/>
  <c r="AE703" i="29"/>
  <c r="J703" i="29" l="1"/>
  <c r="Y703" i="29" s="1"/>
  <c r="I703" i="29"/>
  <c r="K703" i="29" s="1"/>
  <c r="L703" i="29" s="1"/>
  <c r="G704" i="29"/>
  <c r="S704" i="29"/>
  <c r="E704" i="29"/>
  <c r="T704" i="29"/>
  <c r="Q704" i="29"/>
  <c r="U704" i="29"/>
  <c r="R704" i="29"/>
  <c r="AI705" i="29"/>
  <c r="B705" i="29"/>
  <c r="AD706" i="29"/>
  <c r="Z702" i="29"/>
  <c r="AE704" i="29"/>
  <c r="AF704" i="29"/>
  <c r="O703" i="29"/>
  <c r="N702" i="29" l="1"/>
  <c r="N703" i="29"/>
  <c r="O704" i="29"/>
  <c r="AF705" i="29"/>
  <c r="AE705" i="29"/>
  <c r="AI706" i="29"/>
  <c r="AD707" i="29"/>
  <c r="B706" i="29"/>
  <c r="Z703" i="29"/>
  <c r="I704" i="29"/>
  <c r="K704" i="29" s="1"/>
  <c r="J704" i="29"/>
  <c r="Y704" i="29" s="1"/>
  <c r="Q705" i="29"/>
  <c r="G705" i="29"/>
  <c r="S705" i="29"/>
  <c r="T705" i="29"/>
  <c r="U705" i="29"/>
  <c r="R705" i="29"/>
  <c r="E705" i="29"/>
  <c r="Z704" i="29" l="1"/>
  <c r="L704" i="29"/>
  <c r="V703" i="29"/>
  <c r="W703" i="29" s="1"/>
  <c r="P703" i="29"/>
  <c r="V702" i="29"/>
  <c r="W702" i="29" s="1"/>
  <c r="P702" i="29"/>
  <c r="O705" i="29"/>
  <c r="AI707" i="29"/>
  <c r="AD708" i="29"/>
  <c r="B707" i="29"/>
  <c r="J705" i="29"/>
  <c r="Y705" i="29" s="1"/>
  <c r="I705" i="29"/>
  <c r="K705" i="29" s="1"/>
  <c r="N705" i="29" s="1"/>
  <c r="AE706" i="29"/>
  <c r="AF706" i="29"/>
  <c r="U706" i="29"/>
  <c r="T706" i="29"/>
  <c r="E706" i="29"/>
  <c r="S706" i="29"/>
  <c r="R706" i="29"/>
  <c r="Q706" i="29"/>
  <c r="G706" i="29"/>
  <c r="N704" i="29" l="1"/>
  <c r="P705" i="29"/>
  <c r="V705" i="29"/>
  <c r="W705" i="29" s="1"/>
  <c r="I706" i="29"/>
  <c r="K706" i="29" s="1"/>
  <c r="J706" i="29"/>
  <c r="Y706" i="29" s="1"/>
  <c r="U707" i="29"/>
  <c r="E707" i="29"/>
  <c r="R707" i="29"/>
  <c r="Q707" i="29"/>
  <c r="S707" i="29"/>
  <c r="G707" i="29"/>
  <c r="T707" i="29"/>
  <c r="Z705" i="29"/>
  <c r="O706" i="29"/>
  <c r="AI708" i="29"/>
  <c r="AD709" i="29"/>
  <c r="B708" i="29"/>
  <c r="AF707" i="29"/>
  <c r="AE707" i="29"/>
  <c r="N706" i="29" l="1"/>
  <c r="P704" i="29"/>
  <c r="V704" i="29"/>
  <c r="W704" i="29" s="1"/>
  <c r="AE708" i="29"/>
  <c r="AF708" i="29"/>
  <c r="Z706" i="29"/>
  <c r="O707" i="29"/>
  <c r="J707" i="29"/>
  <c r="Y707" i="29" s="1"/>
  <c r="I707" i="29"/>
  <c r="K707" i="29" s="1"/>
  <c r="Q708" i="29"/>
  <c r="T708" i="29"/>
  <c r="U708" i="29"/>
  <c r="G708" i="29"/>
  <c r="R708" i="29"/>
  <c r="E708" i="29"/>
  <c r="S708" i="29"/>
  <c r="AI709" i="29"/>
  <c r="AD710" i="29"/>
  <c r="B709" i="29"/>
  <c r="P706" i="29" l="1"/>
  <c r="V706" i="29"/>
  <c r="W706" i="29" s="1"/>
  <c r="O708" i="29"/>
  <c r="AI710" i="29"/>
  <c r="B710" i="29"/>
  <c r="AD711" i="29"/>
  <c r="T709" i="29"/>
  <c r="G709" i="29"/>
  <c r="E709" i="29"/>
  <c r="R709" i="29"/>
  <c r="Q709" i="29"/>
  <c r="S709" i="29"/>
  <c r="U709" i="29"/>
  <c r="AE709" i="29"/>
  <c r="AF709" i="29"/>
  <c r="Z707" i="29"/>
  <c r="J708" i="29"/>
  <c r="Y708" i="29" s="1"/>
  <c r="I708" i="29"/>
  <c r="N707" i="29" l="1"/>
  <c r="O709" i="29"/>
  <c r="I709" i="29"/>
  <c r="J709" i="29"/>
  <c r="Y709" i="29" s="1"/>
  <c r="AF710" i="29"/>
  <c r="AE710" i="29"/>
  <c r="AI711" i="29"/>
  <c r="B711" i="29"/>
  <c r="AD712" i="29"/>
  <c r="R710" i="29"/>
  <c r="T710" i="29"/>
  <c r="S710" i="29"/>
  <c r="Q710" i="29"/>
  <c r="G710" i="29"/>
  <c r="U710" i="29"/>
  <c r="E710" i="29"/>
  <c r="Z708" i="29"/>
  <c r="Z709" i="29" l="1"/>
  <c r="P707" i="29"/>
  <c r="V707" i="29"/>
  <c r="W707" i="29" s="1"/>
  <c r="O710" i="29"/>
  <c r="G711" i="29"/>
  <c r="Q711" i="29"/>
  <c r="U711" i="29"/>
  <c r="S711" i="29"/>
  <c r="R711" i="29"/>
  <c r="E711" i="29"/>
  <c r="T711" i="29"/>
  <c r="AE711" i="29"/>
  <c r="AF711" i="29"/>
  <c r="AI712" i="29"/>
  <c r="B712" i="29"/>
  <c r="AD713" i="29"/>
  <c r="J710" i="29"/>
  <c r="Y710" i="29" s="1"/>
  <c r="I710" i="29"/>
  <c r="Z710" i="29" l="1"/>
  <c r="O711" i="29"/>
  <c r="U712" i="29"/>
  <c r="S712" i="29"/>
  <c r="E712" i="29"/>
  <c r="R712" i="29"/>
  <c r="G712" i="29"/>
  <c r="Q712" i="29"/>
  <c r="T712" i="29"/>
  <c r="AF712" i="29"/>
  <c r="AE712" i="29"/>
  <c r="J711" i="29"/>
  <c r="Y711" i="29" s="1"/>
  <c r="I711" i="29"/>
  <c r="AI713" i="29"/>
  <c r="AD714" i="29"/>
  <c r="B713" i="29"/>
  <c r="AF713" i="29" l="1"/>
  <c r="AE713" i="29"/>
  <c r="I712" i="29"/>
  <c r="J712" i="29"/>
  <c r="Y712" i="29" s="1"/>
  <c r="U713" i="29"/>
  <c r="R713" i="29"/>
  <c r="Q713" i="29"/>
  <c r="G713" i="29"/>
  <c r="T713" i="29"/>
  <c r="E713" i="29"/>
  <c r="S713" i="29"/>
  <c r="AI714" i="29"/>
  <c r="B714" i="29"/>
  <c r="AD715" i="29"/>
  <c r="O712" i="29"/>
  <c r="Z711" i="29"/>
  <c r="O713" i="29" l="1"/>
  <c r="E714" i="29"/>
  <c r="Q714" i="29"/>
  <c r="R714" i="29"/>
  <c r="G714" i="29"/>
  <c r="S714" i="29"/>
  <c r="T714" i="29"/>
  <c r="U714" i="29"/>
  <c r="AF714" i="29"/>
  <c r="AE714" i="29"/>
  <c r="J713" i="29"/>
  <c r="Y713" i="29" s="1"/>
  <c r="I713" i="29"/>
  <c r="Z712" i="29"/>
  <c r="AI715" i="29"/>
  <c r="B715" i="29"/>
  <c r="AD716" i="29"/>
  <c r="O714" i="29" l="1"/>
  <c r="AI716" i="29"/>
  <c r="B716" i="29"/>
  <c r="AD717" i="29"/>
  <c r="R715" i="29"/>
  <c r="E715" i="29"/>
  <c r="S715" i="29"/>
  <c r="T715" i="29"/>
  <c r="Q715" i="29"/>
  <c r="G715" i="29"/>
  <c r="U715" i="29"/>
  <c r="I714" i="29"/>
  <c r="J714" i="29"/>
  <c r="Y714" i="29" s="1"/>
  <c r="AE715" i="29"/>
  <c r="AF715" i="29"/>
  <c r="Z713" i="29"/>
  <c r="Z714" i="29" l="1"/>
  <c r="O715" i="29"/>
  <c r="U716" i="29"/>
  <c r="T716" i="29"/>
  <c r="Q716" i="29"/>
  <c r="S716" i="29"/>
  <c r="G716" i="29"/>
  <c r="R716" i="29"/>
  <c r="E716" i="29"/>
  <c r="AF716" i="29"/>
  <c r="AE716" i="29"/>
  <c r="I715" i="29"/>
  <c r="J715" i="29"/>
  <c r="Y715" i="29" s="1"/>
  <c r="AI717" i="29"/>
  <c r="B717" i="29"/>
  <c r="AD718" i="29"/>
  <c r="Z715" i="29" l="1"/>
  <c r="O716" i="29"/>
  <c r="AI718" i="29"/>
  <c r="AD719" i="29"/>
  <c r="B718" i="29"/>
  <c r="J716" i="29"/>
  <c r="Y716" i="29" s="1"/>
  <c r="I716" i="29"/>
  <c r="R717" i="29"/>
  <c r="G717" i="29"/>
  <c r="S717" i="29"/>
  <c r="E717" i="29"/>
  <c r="T717" i="29"/>
  <c r="Q717" i="29"/>
  <c r="U717" i="29"/>
  <c r="AF717" i="29"/>
  <c r="AE717" i="29"/>
  <c r="O717" i="29" l="1"/>
  <c r="AF718" i="29"/>
  <c r="AE718" i="29"/>
  <c r="Z716" i="29"/>
  <c r="U718" i="29"/>
  <c r="S718" i="29"/>
  <c r="R718" i="29"/>
  <c r="T718" i="29"/>
  <c r="Q718" i="29"/>
  <c r="G718" i="29"/>
  <c r="E718" i="29"/>
  <c r="I717" i="29"/>
  <c r="J717" i="29"/>
  <c r="Y717" i="29" s="1"/>
  <c r="AI719" i="29"/>
  <c r="AD720" i="29"/>
  <c r="B719" i="29"/>
  <c r="O718" i="29" l="1"/>
  <c r="AE719" i="29"/>
  <c r="AF719" i="29"/>
  <c r="E719" i="29"/>
  <c r="T719" i="29"/>
  <c r="Q719" i="29"/>
  <c r="U719" i="29"/>
  <c r="R719" i="29"/>
  <c r="G719" i="29"/>
  <c r="S719" i="29"/>
  <c r="I718" i="29"/>
  <c r="J718" i="29"/>
  <c r="Y718" i="29" s="1"/>
  <c r="AI720" i="29"/>
  <c r="B720" i="29"/>
  <c r="AD721" i="29"/>
  <c r="Z717" i="29"/>
  <c r="T720" i="29" l="1"/>
  <c r="R720" i="29"/>
  <c r="G720" i="29"/>
  <c r="Q720" i="29"/>
  <c r="U720" i="29"/>
  <c r="S720" i="29"/>
  <c r="E720" i="29"/>
  <c r="AI721" i="29"/>
  <c r="AD722" i="29"/>
  <c r="B721" i="29"/>
  <c r="AE720" i="29"/>
  <c r="AF720" i="29"/>
  <c r="O719" i="29"/>
  <c r="I719" i="29"/>
  <c r="J719" i="29"/>
  <c r="Y719" i="29" s="1"/>
  <c r="Z718" i="29"/>
  <c r="Z719" i="29" l="1"/>
  <c r="O720" i="29"/>
  <c r="AI722" i="29"/>
  <c r="B722" i="29"/>
  <c r="AD723" i="29"/>
  <c r="AF721" i="29"/>
  <c r="AE721" i="29"/>
  <c r="J720" i="29"/>
  <c r="Y720" i="29" s="1"/>
  <c r="I720" i="29"/>
  <c r="R721" i="29"/>
  <c r="E721" i="29"/>
  <c r="U721" i="29"/>
  <c r="Q721" i="29"/>
  <c r="T721" i="29"/>
  <c r="G721" i="29"/>
  <c r="S721" i="29"/>
  <c r="Z720" i="29" l="1"/>
  <c r="J721" i="29"/>
  <c r="Y721" i="29" s="1"/>
  <c r="I721" i="29"/>
  <c r="Q722" i="29"/>
  <c r="R722" i="29"/>
  <c r="T722" i="29"/>
  <c r="U722" i="29"/>
  <c r="G722" i="29"/>
  <c r="E722" i="29"/>
  <c r="S722" i="29"/>
  <c r="O721" i="29"/>
  <c r="AF722" i="29"/>
  <c r="AE722" i="29"/>
  <c r="AI723" i="29"/>
  <c r="B723" i="29"/>
  <c r="AD724" i="29"/>
  <c r="AF723" i="29" l="1"/>
  <c r="AE723" i="29"/>
  <c r="AI724" i="29"/>
  <c r="AD725" i="29"/>
  <c r="B724" i="29"/>
  <c r="E723" i="29"/>
  <c r="R723" i="29"/>
  <c r="T723" i="29"/>
  <c r="G723" i="29"/>
  <c r="S723" i="29"/>
  <c r="Q723" i="29"/>
  <c r="U723" i="29"/>
  <c r="J722" i="29"/>
  <c r="Y722" i="29" s="1"/>
  <c r="I722" i="29"/>
  <c r="Z721" i="29"/>
  <c r="O722" i="29"/>
  <c r="E724" i="29" l="1"/>
  <c r="T724" i="29"/>
  <c r="Q724" i="29"/>
  <c r="G724" i="29"/>
  <c r="U724" i="29"/>
  <c r="S724" i="29"/>
  <c r="R724" i="29"/>
  <c r="Z722" i="29"/>
  <c r="AI725" i="29"/>
  <c r="B725" i="29"/>
  <c r="AD726" i="29"/>
  <c r="O723" i="29"/>
  <c r="AF724" i="29"/>
  <c r="AE724" i="29"/>
  <c r="I723" i="29"/>
  <c r="J723" i="29"/>
  <c r="Y723" i="29" s="1"/>
  <c r="AE725" i="29" l="1"/>
  <c r="AF725" i="29"/>
  <c r="J724" i="29"/>
  <c r="Y724" i="29" s="1"/>
  <c r="I724" i="29"/>
  <c r="O724" i="29"/>
  <c r="Z723" i="29"/>
  <c r="AI726" i="29"/>
  <c r="B726" i="29"/>
  <c r="AD727" i="29"/>
  <c r="G725" i="29"/>
  <c r="Q725" i="29"/>
  <c r="E725" i="29"/>
  <c r="R725" i="29"/>
  <c r="S725" i="29"/>
  <c r="U725" i="29"/>
  <c r="T725" i="29"/>
  <c r="O725" i="29" l="1"/>
  <c r="AI727" i="29"/>
  <c r="B727" i="29"/>
  <c r="AD728" i="29"/>
  <c r="J725" i="29"/>
  <c r="Y725" i="29" s="1"/>
  <c r="I725" i="29"/>
  <c r="S726" i="29"/>
  <c r="T726" i="29"/>
  <c r="G726" i="29"/>
  <c r="U726" i="29"/>
  <c r="E726" i="29"/>
  <c r="R726" i="29"/>
  <c r="Q726" i="29"/>
  <c r="AF726" i="29"/>
  <c r="AE726" i="29"/>
  <c r="Z724" i="29"/>
  <c r="Z725" i="29" l="1"/>
  <c r="O726" i="29"/>
  <c r="AE727" i="29"/>
  <c r="AF727" i="29"/>
  <c r="AI728" i="29"/>
  <c r="AD729" i="29"/>
  <c r="B728" i="29"/>
  <c r="J726" i="29"/>
  <c r="Y726" i="29" s="1"/>
  <c r="I726" i="29"/>
  <c r="T727" i="29"/>
  <c r="E727" i="29"/>
  <c r="Q727" i="29"/>
  <c r="U727" i="29"/>
  <c r="G727" i="29"/>
  <c r="R727" i="29"/>
  <c r="S727" i="29"/>
  <c r="Z726" i="29" l="1"/>
  <c r="Q728" i="29"/>
  <c r="R728" i="29"/>
  <c r="U728" i="29"/>
  <c r="G728" i="29"/>
  <c r="E728" i="29"/>
  <c r="T728" i="29"/>
  <c r="S728" i="29"/>
  <c r="O727" i="29"/>
  <c r="AI729" i="29"/>
  <c r="B729" i="29"/>
  <c r="AD730" i="29"/>
  <c r="AE728" i="29"/>
  <c r="AF728" i="29"/>
  <c r="I727" i="29"/>
  <c r="J727" i="29"/>
  <c r="Y727" i="29" s="1"/>
  <c r="Z727" i="29" l="1"/>
  <c r="I728" i="29"/>
  <c r="J728" i="29"/>
  <c r="Y728" i="29" s="1"/>
  <c r="AI730" i="29"/>
  <c r="B730" i="29"/>
  <c r="AD731" i="29"/>
  <c r="U729" i="29"/>
  <c r="G729" i="29"/>
  <c r="Q729" i="29"/>
  <c r="E729" i="29"/>
  <c r="S729" i="29"/>
  <c r="T729" i="29"/>
  <c r="R729" i="29"/>
  <c r="AF729" i="29"/>
  <c r="AE729" i="29"/>
  <c r="O728" i="29"/>
  <c r="J729" i="29" l="1"/>
  <c r="Y729" i="29" s="1"/>
  <c r="I729" i="29"/>
  <c r="O729" i="29"/>
  <c r="AI731" i="29"/>
  <c r="AD732" i="29"/>
  <c r="B731" i="29"/>
  <c r="Z728" i="29"/>
  <c r="E730" i="29"/>
  <c r="Q730" i="29"/>
  <c r="G730" i="29"/>
  <c r="R730" i="29"/>
  <c r="S730" i="29"/>
  <c r="U730" i="29"/>
  <c r="T730" i="29"/>
  <c r="AE730" i="29"/>
  <c r="AF730" i="29"/>
  <c r="Z729" i="29" l="1"/>
  <c r="O730" i="29"/>
  <c r="J730" i="29"/>
  <c r="Y730" i="29" s="1"/>
  <c r="I730" i="29"/>
  <c r="R731" i="29"/>
  <c r="S731" i="29"/>
  <c r="T731" i="29"/>
  <c r="E731" i="29"/>
  <c r="U731" i="29"/>
  <c r="Q731" i="29"/>
  <c r="G731" i="29"/>
  <c r="AI732" i="29"/>
  <c r="B732" i="29"/>
  <c r="AD733" i="29"/>
  <c r="AE731" i="29"/>
  <c r="AF731" i="29"/>
  <c r="O731" i="29" l="1"/>
  <c r="AI733" i="29"/>
  <c r="B733" i="29"/>
  <c r="AD734" i="29"/>
  <c r="Z730" i="29"/>
  <c r="Q732" i="29"/>
  <c r="U732" i="29"/>
  <c r="S732" i="29"/>
  <c r="R732" i="29"/>
  <c r="G732" i="29"/>
  <c r="E732" i="29"/>
  <c r="T732" i="29"/>
  <c r="AE732" i="29"/>
  <c r="AF732" i="29"/>
  <c r="J731" i="29"/>
  <c r="Y731" i="29" s="1"/>
  <c r="I731" i="29"/>
  <c r="O732" i="29" l="1"/>
  <c r="AI734" i="29"/>
  <c r="B734" i="29"/>
  <c r="AD735" i="29"/>
  <c r="Z731" i="29"/>
  <c r="J732" i="29"/>
  <c r="Y732" i="29" s="1"/>
  <c r="I732" i="29"/>
  <c r="S733" i="29"/>
  <c r="U733" i="29"/>
  <c r="R733" i="29"/>
  <c r="G733" i="29"/>
  <c r="T733" i="29"/>
  <c r="E733" i="29"/>
  <c r="Q733" i="29"/>
  <c r="AF733" i="29"/>
  <c r="AE733" i="29"/>
  <c r="U734" i="29" l="1"/>
  <c r="E734" i="29"/>
  <c r="G734" i="29"/>
  <c r="S734" i="29"/>
  <c r="T734" i="29"/>
  <c r="R734" i="29"/>
  <c r="Q734" i="29"/>
  <c r="O733" i="29"/>
  <c r="AF734" i="29"/>
  <c r="AE734" i="29"/>
  <c r="Z732" i="29"/>
  <c r="J733" i="29"/>
  <c r="Y733" i="29" s="1"/>
  <c r="I733" i="29"/>
  <c r="AI735" i="29"/>
  <c r="B735" i="29"/>
  <c r="AD736" i="29"/>
  <c r="AI736" i="29" l="1"/>
  <c r="AD737" i="29"/>
  <c r="B736" i="29"/>
  <c r="O734" i="29"/>
  <c r="R735" i="29"/>
  <c r="G735" i="29"/>
  <c r="U735" i="29"/>
  <c r="S735" i="29"/>
  <c r="Q735" i="29"/>
  <c r="E735" i="29"/>
  <c r="T735" i="29"/>
  <c r="AF735" i="29"/>
  <c r="AE735" i="29"/>
  <c r="I734" i="29"/>
  <c r="J734" i="29"/>
  <c r="Y734" i="29" s="1"/>
  <c r="Z733" i="29"/>
  <c r="T736" i="29" l="1"/>
  <c r="S736" i="29"/>
  <c r="R736" i="29"/>
  <c r="G736" i="29"/>
  <c r="Q736" i="29"/>
  <c r="E736" i="29"/>
  <c r="U736" i="29"/>
  <c r="J735" i="29"/>
  <c r="Y735" i="29" s="1"/>
  <c r="I735" i="29"/>
  <c r="Z734" i="29"/>
  <c r="AI737" i="29"/>
  <c r="AD738" i="29"/>
  <c r="B737" i="29"/>
  <c r="O735" i="29"/>
  <c r="AF736" i="29"/>
  <c r="AE736" i="29"/>
  <c r="O736" i="29" l="1"/>
  <c r="Z735" i="29"/>
  <c r="Q737" i="29"/>
  <c r="T737" i="29"/>
  <c r="S737" i="29"/>
  <c r="G737" i="29"/>
  <c r="R737" i="29"/>
  <c r="U737" i="29"/>
  <c r="E737" i="29"/>
  <c r="I736" i="29"/>
  <c r="J736" i="29"/>
  <c r="Y736" i="29" s="1"/>
  <c r="AI738" i="29"/>
  <c r="AD739" i="29"/>
  <c r="B738" i="29"/>
  <c r="AE737" i="29"/>
  <c r="AF737" i="29"/>
  <c r="Z736" i="29" l="1"/>
  <c r="O737" i="29"/>
  <c r="I737" i="29"/>
  <c r="J737" i="29"/>
  <c r="Y737" i="29" s="1"/>
  <c r="S738" i="29"/>
  <c r="G738" i="29"/>
  <c r="T738" i="29"/>
  <c r="E738" i="29"/>
  <c r="U738" i="29"/>
  <c r="Q738" i="29"/>
  <c r="R738" i="29"/>
  <c r="AI739" i="29"/>
  <c r="AD740" i="29"/>
  <c r="B739" i="29"/>
  <c r="AE738" i="29"/>
  <c r="AF738" i="29"/>
  <c r="Z737" i="29" l="1"/>
  <c r="O738" i="29"/>
  <c r="J738" i="29"/>
  <c r="Y738" i="29" s="1"/>
  <c r="I738" i="29"/>
  <c r="E739" i="29"/>
  <c r="S739" i="29"/>
  <c r="R739" i="29"/>
  <c r="Q739" i="29"/>
  <c r="T739" i="29"/>
  <c r="U739" i="29"/>
  <c r="G739" i="29"/>
  <c r="AI740" i="29"/>
  <c r="B740" i="29"/>
  <c r="AD741" i="29"/>
  <c r="AE739" i="29"/>
  <c r="AF739" i="29"/>
  <c r="Z738" i="29" l="1"/>
  <c r="O739" i="29"/>
  <c r="J739" i="29"/>
  <c r="Y739" i="29" s="1"/>
  <c r="I739" i="29"/>
  <c r="AI741" i="29"/>
  <c r="B741" i="29"/>
  <c r="AD742" i="29"/>
  <c r="G740" i="29"/>
  <c r="E740" i="29"/>
  <c r="R740" i="29"/>
  <c r="Q740" i="29"/>
  <c r="S740" i="29"/>
  <c r="U740" i="29"/>
  <c r="T740" i="29"/>
  <c r="AE740" i="29"/>
  <c r="AF740" i="29"/>
  <c r="I740" i="29" l="1"/>
  <c r="J740" i="29"/>
  <c r="Y740" i="29" s="1"/>
  <c r="S741" i="29"/>
  <c r="Q741" i="29"/>
  <c r="G741" i="29"/>
  <c r="E741" i="29"/>
  <c r="T741" i="29"/>
  <c r="R741" i="29"/>
  <c r="U741" i="29"/>
  <c r="AE741" i="29"/>
  <c r="AF741" i="29"/>
  <c r="O740" i="29"/>
  <c r="AI742" i="29"/>
  <c r="B742" i="29"/>
  <c r="AD743" i="29"/>
  <c r="Z739" i="29"/>
  <c r="O741" i="29" l="1"/>
  <c r="G742" i="29"/>
  <c r="T742" i="29"/>
  <c r="U742" i="29"/>
  <c r="R742" i="29"/>
  <c r="E742" i="29"/>
  <c r="Q742" i="29"/>
  <c r="S742" i="29"/>
  <c r="AF742" i="29"/>
  <c r="AE742" i="29"/>
  <c r="AI743" i="29"/>
  <c r="B743" i="29"/>
  <c r="AD744" i="29"/>
  <c r="Z740" i="29"/>
  <c r="I741" i="29"/>
  <c r="J741" i="29"/>
  <c r="Y741" i="29" s="1"/>
  <c r="Z741" i="29" l="1"/>
  <c r="O742" i="29"/>
  <c r="Q743" i="29"/>
  <c r="G743" i="29"/>
  <c r="E743" i="29"/>
  <c r="U743" i="29"/>
  <c r="R743" i="29"/>
  <c r="T743" i="29"/>
  <c r="S743" i="29"/>
  <c r="J742" i="29"/>
  <c r="Y742" i="29" s="1"/>
  <c r="I742" i="29"/>
  <c r="AI744" i="29"/>
  <c r="B744" i="29"/>
  <c r="AD745" i="29"/>
  <c r="AF743" i="29"/>
  <c r="AE743" i="29"/>
  <c r="AE744" i="29" l="1"/>
  <c r="AF744" i="29"/>
  <c r="J743" i="29"/>
  <c r="Y743" i="29" s="1"/>
  <c r="I743" i="29"/>
  <c r="AI745" i="29"/>
  <c r="AD746" i="29"/>
  <c r="B745" i="29"/>
  <c r="O743" i="29"/>
  <c r="Z742" i="29"/>
  <c r="T744" i="29"/>
  <c r="E744" i="29"/>
  <c r="U744" i="29"/>
  <c r="S744" i="29"/>
  <c r="G744" i="29"/>
  <c r="Q744" i="29"/>
  <c r="R744" i="29"/>
  <c r="I744" i="29" l="1"/>
  <c r="J744" i="29"/>
  <c r="Y744" i="29" s="1"/>
  <c r="E745" i="29"/>
  <c r="U745" i="29"/>
  <c r="Q745" i="29"/>
  <c r="R745" i="29"/>
  <c r="S745" i="29"/>
  <c r="G745" i="29"/>
  <c r="T745" i="29"/>
  <c r="Z743" i="29"/>
  <c r="AI746" i="29"/>
  <c r="B746" i="29"/>
  <c r="AD747" i="29"/>
  <c r="O744" i="29"/>
  <c r="AE745" i="29"/>
  <c r="AF745" i="29"/>
  <c r="O745" i="29" l="1"/>
  <c r="Z744" i="29"/>
  <c r="T746" i="29"/>
  <c r="E746" i="29"/>
  <c r="U746" i="29"/>
  <c r="Q746" i="29"/>
  <c r="R746" i="29"/>
  <c r="S746" i="29"/>
  <c r="G746" i="29"/>
  <c r="AE746" i="29"/>
  <c r="AF746" i="29"/>
  <c r="J745" i="29"/>
  <c r="Y745" i="29" s="1"/>
  <c r="I745" i="29"/>
  <c r="AI747" i="29"/>
  <c r="B747" i="29"/>
  <c r="AD748" i="29"/>
  <c r="O746" i="29" l="1"/>
  <c r="AI748" i="29"/>
  <c r="B748" i="29"/>
  <c r="AD749" i="29"/>
  <c r="I746" i="29"/>
  <c r="J746" i="29"/>
  <c r="Y746" i="29" s="1"/>
  <c r="G747" i="29"/>
  <c r="Q747" i="29"/>
  <c r="R747" i="29"/>
  <c r="T747" i="29"/>
  <c r="E747" i="29"/>
  <c r="U747" i="29"/>
  <c r="S747" i="29"/>
  <c r="AF747" i="29"/>
  <c r="AE747" i="29"/>
  <c r="Z745" i="29"/>
  <c r="O747" i="29" l="1"/>
  <c r="AI749" i="29"/>
  <c r="AD750" i="29"/>
  <c r="B749" i="29"/>
  <c r="R748" i="29"/>
  <c r="S748" i="29"/>
  <c r="T748" i="29"/>
  <c r="G748" i="29"/>
  <c r="E748" i="29"/>
  <c r="U748" i="29"/>
  <c r="Q748" i="29"/>
  <c r="J747" i="29"/>
  <c r="Y747" i="29" s="1"/>
  <c r="I747" i="29"/>
  <c r="AE748" i="29"/>
  <c r="AF748" i="29"/>
  <c r="Z746" i="29"/>
  <c r="O748" i="29" l="1"/>
  <c r="J748" i="29"/>
  <c r="Y748" i="29" s="1"/>
  <c r="I748" i="29"/>
  <c r="Z747" i="29"/>
  <c r="Q749" i="29"/>
  <c r="U749" i="29"/>
  <c r="R749" i="29"/>
  <c r="G749" i="29"/>
  <c r="S749" i="29"/>
  <c r="E749" i="29"/>
  <c r="T749" i="29"/>
  <c r="AI750" i="29"/>
  <c r="AD751" i="29"/>
  <c r="B750" i="29"/>
  <c r="AE749" i="29"/>
  <c r="AF749" i="29"/>
  <c r="Z748" i="29" l="1"/>
  <c r="E750" i="29"/>
  <c r="Q750" i="29"/>
  <c r="U750" i="29"/>
  <c r="G750" i="29"/>
  <c r="R750" i="29"/>
  <c r="S750" i="29"/>
  <c r="T750" i="29"/>
  <c r="O749" i="29"/>
  <c r="AI751" i="29"/>
  <c r="B751" i="29"/>
  <c r="AD752" i="29"/>
  <c r="AF750" i="29"/>
  <c r="AE750" i="29"/>
  <c r="I749" i="29"/>
  <c r="J749" i="29"/>
  <c r="Y749" i="29" s="1"/>
  <c r="I750" i="29" l="1"/>
  <c r="J750" i="29"/>
  <c r="Y750" i="29" s="1"/>
  <c r="E751" i="29"/>
  <c r="T751" i="29"/>
  <c r="Q751" i="29"/>
  <c r="U751" i="29"/>
  <c r="R751" i="29"/>
  <c r="G751" i="29"/>
  <c r="S751" i="29"/>
  <c r="AF751" i="29"/>
  <c r="AE751" i="29"/>
  <c r="Z749" i="29"/>
  <c r="AI752" i="29"/>
  <c r="AD753" i="29"/>
  <c r="B752" i="29"/>
  <c r="O750" i="29"/>
  <c r="Z750" i="29" l="1"/>
  <c r="AI753" i="29"/>
  <c r="AD754" i="29"/>
  <c r="B753" i="29"/>
  <c r="AF752" i="29"/>
  <c r="AE752" i="29"/>
  <c r="U752" i="29"/>
  <c r="G752" i="29"/>
  <c r="E752" i="29"/>
  <c r="S752" i="29"/>
  <c r="Q752" i="29"/>
  <c r="T752" i="29"/>
  <c r="R752" i="29"/>
  <c r="J751" i="29"/>
  <c r="Y751" i="29" s="1"/>
  <c r="I751" i="29"/>
  <c r="O751" i="29"/>
  <c r="S753" i="29" l="1"/>
  <c r="Q753" i="29"/>
  <c r="T753" i="29"/>
  <c r="U753" i="29"/>
  <c r="G753" i="29"/>
  <c r="R753" i="29"/>
  <c r="E753" i="29"/>
  <c r="O752" i="29"/>
  <c r="AI754" i="29"/>
  <c r="AD755" i="29"/>
  <c r="B754" i="29"/>
  <c r="Z751" i="29"/>
  <c r="I752" i="29"/>
  <c r="J752" i="29"/>
  <c r="Y752" i="29" s="1"/>
  <c r="AF753" i="29"/>
  <c r="AE753" i="29"/>
  <c r="I753" i="29" l="1"/>
  <c r="J753" i="29"/>
  <c r="Y753" i="29" s="1"/>
  <c r="AI755" i="29"/>
  <c r="AD756" i="29"/>
  <c r="B755" i="29"/>
  <c r="AE754" i="29"/>
  <c r="AF754" i="29"/>
  <c r="O753" i="29"/>
  <c r="U754" i="29"/>
  <c r="Q754" i="29"/>
  <c r="E754" i="29"/>
  <c r="G754" i="29"/>
  <c r="T754" i="29"/>
  <c r="R754" i="29"/>
  <c r="S754" i="29"/>
  <c r="Z752" i="29"/>
  <c r="O754" i="29" l="1"/>
  <c r="T755" i="29"/>
  <c r="U755" i="29"/>
  <c r="S755" i="29"/>
  <c r="E755" i="29"/>
  <c r="G755" i="29"/>
  <c r="Q755" i="29"/>
  <c r="R755" i="29"/>
  <c r="Z753" i="29"/>
  <c r="AI756" i="29"/>
  <c r="B756" i="29"/>
  <c r="AD757" i="29"/>
  <c r="I754" i="29"/>
  <c r="J754" i="29"/>
  <c r="Y754" i="29" s="1"/>
  <c r="AF755" i="29"/>
  <c r="AE755" i="29"/>
  <c r="O755" i="29" l="1"/>
  <c r="J755" i="29"/>
  <c r="Y755" i="29" s="1"/>
  <c r="I755" i="29"/>
  <c r="Q756" i="29"/>
  <c r="S756" i="29"/>
  <c r="U756" i="29"/>
  <c r="T756" i="29"/>
  <c r="G756" i="29"/>
  <c r="E756" i="29"/>
  <c r="R756" i="29"/>
  <c r="AI757" i="29"/>
  <c r="AD758" i="29"/>
  <c r="B757" i="29"/>
  <c r="AF756" i="29"/>
  <c r="AE756" i="29"/>
  <c r="Z754" i="29"/>
  <c r="Z755" i="29" l="1"/>
  <c r="G757" i="29"/>
  <c r="S757" i="29"/>
  <c r="R757" i="29"/>
  <c r="T757" i="29"/>
  <c r="Q757" i="29"/>
  <c r="E757" i="29"/>
  <c r="U757" i="29"/>
  <c r="O756" i="29"/>
  <c r="I756" i="29"/>
  <c r="J756" i="29"/>
  <c r="Y756" i="29" s="1"/>
  <c r="AI758" i="29"/>
  <c r="AD759" i="29"/>
  <c r="B758" i="29"/>
  <c r="AF757" i="29"/>
  <c r="AE757" i="29"/>
  <c r="O757" i="29" l="1"/>
  <c r="AE758" i="29"/>
  <c r="AF758" i="29"/>
  <c r="AI759" i="29"/>
  <c r="B759" i="29"/>
  <c r="AD760" i="29"/>
  <c r="I757" i="29"/>
  <c r="J757" i="29"/>
  <c r="Y757" i="29" s="1"/>
  <c r="G758" i="29"/>
  <c r="Q758" i="29"/>
  <c r="U758" i="29"/>
  <c r="E758" i="29"/>
  <c r="T758" i="29"/>
  <c r="R758" i="29"/>
  <c r="S758" i="29"/>
  <c r="Z756" i="29"/>
  <c r="Z757" i="29" l="1"/>
  <c r="AI760" i="29"/>
  <c r="B760" i="29"/>
  <c r="AD761" i="29"/>
  <c r="Q759" i="29"/>
  <c r="T759" i="29"/>
  <c r="G759" i="29"/>
  <c r="S759" i="29"/>
  <c r="R759" i="29"/>
  <c r="U759" i="29"/>
  <c r="E759" i="29"/>
  <c r="AE759" i="29"/>
  <c r="AF759" i="29"/>
  <c r="J758" i="29"/>
  <c r="Y758" i="29" s="1"/>
  <c r="I758" i="29"/>
  <c r="O758" i="29"/>
  <c r="O759" i="29" l="1"/>
  <c r="U760" i="29"/>
  <c r="R760" i="29"/>
  <c r="Q760" i="29"/>
  <c r="E760" i="29"/>
  <c r="G760" i="29"/>
  <c r="T760" i="29"/>
  <c r="S760" i="29"/>
  <c r="AF760" i="29"/>
  <c r="AE760" i="29"/>
  <c r="Z758" i="29"/>
  <c r="J759" i="29"/>
  <c r="Y759" i="29" s="1"/>
  <c r="I759" i="29"/>
  <c r="AI761" i="29"/>
  <c r="AD762" i="29"/>
  <c r="B761" i="29"/>
  <c r="Z759" i="29" l="1"/>
  <c r="O760" i="29"/>
  <c r="AI762" i="29"/>
  <c r="B762" i="29"/>
  <c r="AD763" i="29"/>
  <c r="I760" i="29"/>
  <c r="J760" i="29"/>
  <c r="Y760" i="29" s="1"/>
  <c r="AF761" i="29"/>
  <c r="AE761" i="29"/>
  <c r="T761" i="29"/>
  <c r="Q761" i="29"/>
  <c r="G761" i="29"/>
  <c r="S761" i="29"/>
  <c r="R761" i="29"/>
  <c r="U761" i="29"/>
  <c r="E761" i="29"/>
  <c r="R762" i="29" l="1"/>
  <c r="U762" i="29"/>
  <c r="G762" i="29"/>
  <c r="S762" i="29"/>
  <c r="E762" i="29"/>
  <c r="T762" i="29"/>
  <c r="Q762" i="29"/>
  <c r="I761" i="29"/>
  <c r="J761" i="29"/>
  <c r="Y761" i="29" s="1"/>
  <c r="AE762" i="29"/>
  <c r="AF762" i="29"/>
  <c r="O761" i="29"/>
  <c r="AI763" i="29"/>
  <c r="AD764" i="29"/>
  <c r="B763" i="29"/>
  <c r="Z760" i="29"/>
  <c r="O762" i="29" l="1"/>
  <c r="AI764" i="29"/>
  <c r="AD765" i="29"/>
  <c r="B764" i="29"/>
  <c r="AF763" i="29"/>
  <c r="AE763" i="29"/>
  <c r="I762" i="29"/>
  <c r="J762" i="29"/>
  <c r="Y762" i="29" s="1"/>
  <c r="U763" i="29"/>
  <c r="Q763" i="29"/>
  <c r="R763" i="29"/>
  <c r="S763" i="29"/>
  <c r="G763" i="29"/>
  <c r="T763" i="29"/>
  <c r="E763" i="29"/>
  <c r="Z761" i="29"/>
  <c r="G764" i="29" l="1"/>
  <c r="S764" i="29"/>
  <c r="R764" i="29"/>
  <c r="E764" i="29"/>
  <c r="T764" i="29"/>
  <c r="Q764" i="29"/>
  <c r="U764" i="29"/>
  <c r="I763" i="29"/>
  <c r="J763" i="29"/>
  <c r="Y763" i="29" s="1"/>
  <c r="AI765" i="29"/>
  <c r="AD766" i="29"/>
  <c r="B765" i="29"/>
  <c r="O763" i="29"/>
  <c r="AE764" i="29"/>
  <c r="AF764" i="29"/>
  <c r="Z762" i="29"/>
  <c r="O764" i="29" l="1"/>
  <c r="Z763" i="29"/>
  <c r="S765" i="29"/>
  <c r="Q765" i="29"/>
  <c r="T765" i="29"/>
  <c r="G765" i="29"/>
  <c r="U765" i="29"/>
  <c r="R765" i="29"/>
  <c r="E765" i="29"/>
  <c r="AI766" i="29"/>
  <c r="B766" i="29"/>
  <c r="AD767" i="29"/>
  <c r="AE765" i="29"/>
  <c r="AF765" i="29"/>
  <c r="J764" i="29"/>
  <c r="Y764" i="29" s="1"/>
  <c r="I764" i="29"/>
  <c r="Z764" i="29" l="1"/>
  <c r="U766" i="29"/>
  <c r="R766" i="29"/>
  <c r="G766" i="29"/>
  <c r="S766" i="29"/>
  <c r="E766" i="29"/>
  <c r="T766" i="29"/>
  <c r="Q766" i="29"/>
  <c r="O765" i="29"/>
  <c r="AE766" i="29"/>
  <c r="AF766" i="29"/>
  <c r="I765" i="29"/>
  <c r="J765" i="29"/>
  <c r="Y765" i="29" s="1"/>
  <c r="AI767" i="29"/>
  <c r="B767" i="29"/>
  <c r="AD768" i="29"/>
  <c r="AI768" i="29" l="1"/>
  <c r="AD769" i="29"/>
  <c r="B768" i="29"/>
  <c r="E767" i="29"/>
  <c r="T767" i="29"/>
  <c r="G767" i="29"/>
  <c r="S767" i="29"/>
  <c r="Q767" i="29"/>
  <c r="U767" i="29"/>
  <c r="R767" i="29"/>
  <c r="Z765" i="29"/>
  <c r="AE767" i="29"/>
  <c r="AF767" i="29"/>
  <c r="J766" i="29"/>
  <c r="Y766" i="29" s="1"/>
  <c r="I766" i="29"/>
  <c r="O766" i="29"/>
  <c r="O767" i="29" l="1"/>
  <c r="AF768" i="29"/>
  <c r="AE768" i="29"/>
  <c r="E768" i="29"/>
  <c r="S768" i="29"/>
  <c r="Q768" i="29"/>
  <c r="T768" i="29"/>
  <c r="R768" i="29"/>
  <c r="G768" i="29"/>
  <c r="U768" i="29"/>
  <c r="J767" i="29"/>
  <c r="Y767" i="29" s="1"/>
  <c r="I767" i="29"/>
  <c r="Z766" i="29"/>
  <c r="AI769" i="29"/>
  <c r="B769" i="29"/>
  <c r="AD770" i="29"/>
  <c r="Z767" i="29" l="1"/>
  <c r="O768" i="29"/>
  <c r="AE769" i="29"/>
  <c r="AF769" i="29"/>
  <c r="AI770" i="29"/>
  <c r="B770" i="29"/>
  <c r="AD771" i="29"/>
  <c r="I768" i="29"/>
  <c r="J768" i="29"/>
  <c r="Y768" i="29" s="1"/>
  <c r="G769" i="29"/>
  <c r="Q769" i="29"/>
  <c r="E769" i="29"/>
  <c r="U769" i="29"/>
  <c r="R769" i="29"/>
  <c r="T769" i="29"/>
  <c r="S769" i="29"/>
  <c r="Z768" i="29" l="1"/>
  <c r="S770" i="29"/>
  <c r="R770" i="29"/>
  <c r="T770" i="29"/>
  <c r="U770" i="29"/>
  <c r="Q770" i="29"/>
  <c r="G770" i="29"/>
  <c r="E770" i="29"/>
  <c r="O769" i="29"/>
  <c r="AE770" i="29"/>
  <c r="AF770" i="29"/>
  <c r="J769" i="29"/>
  <c r="Y769" i="29" s="1"/>
  <c r="I769" i="29"/>
  <c r="AI771" i="29"/>
  <c r="AD772" i="29"/>
  <c r="B771" i="29"/>
  <c r="T771" i="29" l="1"/>
  <c r="U771" i="29"/>
  <c r="G771" i="29"/>
  <c r="R771" i="29"/>
  <c r="E771" i="29"/>
  <c r="S771" i="29"/>
  <c r="Q771" i="29"/>
  <c r="AI772" i="29"/>
  <c r="B772" i="29"/>
  <c r="AD773" i="29"/>
  <c r="J770" i="29"/>
  <c r="Y770" i="29" s="1"/>
  <c r="I770" i="29"/>
  <c r="AE771" i="29"/>
  <c r="AF771" i="29"/>
  <c r="Z769" i="29"/>
  <c r="O770" i="29"/>
  <c r="O771" i="29" l="1"/>
  <c r="E772" i="29"/>
  <c r="S772" i="29"/>
  <c r="U772" i="29"/>
  <c r="T772" i="29"/>
  <c r="G772" i="29"/>
  <c r="R772" i="29"/>
  <c r="Q772" i="29"/>
  <c r="Z770" i="29"/>
  <c r="I771" i="29"/>
  <c r="J771" i="29"/>
  <c r="Y771" i="29" s="1"/>
  <c r="AF772" i="29"/>
  <c r="AE772" i="29"/>
  <c r="AI773" i="29"/>
  <c r="B773" i="29"/>
  <c r="AD774" i="29"/>
  <c r="O772" i="29" l="1"/>
  <c r="Z771" i="29"/>
  <c r="AI774" i="29"/>
  <c r="B774" i="29"/>
  <c r="AD775" i="29"/>
  <c r="I772" i="29"/>
  <c r="J772" i="29"/>
  <c r="Y772" i="29" s="1"/>
  <c r="S773" i="29"/>
  <c r="T773" i="29"/>
  <c r="G773" i="29"/>
  <c r="U773" i="29"/>
  <c r="R773" i="29"/>
  <c r="Q773" i="29"/>
  <c r="E773" i="29"/>
  <c r="AE773" i="29"/>
  <c r="AF773" i="29"/>
  <c r="AI775" i="29" l="1"/>
  <c r="B775" i="29"/>
  <c r="AD776" i="29"/>
  <c r="I773" i="29"/>
  <c r="J773" i="29"/>
  <c r="Y773" i="29" s="1"/>
  <c r="O773" i="29"/>
  <c r="G774" i="29"/>
  <c r="R774" i="29"/>
  <c r="E774" i="29"/>
  <c r="U774" i="29"/>
  <c r="S774" i="29"/>
  <c r="Q774" i="29"/>
  <c r="T774" i="29"/>
  <c r="AE774" i="29"/>
  <c r="AF774" i="29"/>
  <c r="Z772" i="29"/>
  <c r="G775" i="29" l="1"/>
  <c r="R775" i="29"/>
  <c r="E775" i="29"/>
  <c r="U775" i="29"/>
  <c r="Q775" i="29"/>
  <c r="T775" i="29"/>
  <c r="S775" i="29"/>
  <c r="AE775" i="29"/>
  <c r="AF775" i="29"/>
  <c r="J774" i="29"/>
  <c r="Y774" i="29" s="1"/>
  <c r="I774" i="29"/>
  <c r="O774" i="29"/>
  <c r="Z773" i="29"/>
  <c r="AI776" i="29"/>
  <c r="AD777" i="29"/>
  <c r="B776" i="29"/>
  <c r="AI777" i="29" l="1"/>
  <c r="AD778" i="29"/>
  <c r="B777" i="29"/>
  <c r="Z774" i="29"/>
  <c r="AF776" i="29"/>
  <c r="AE776" i="29"/>
  <c r="Q776" i="29"/>
  <c r="R776" i="29"/>
  <c r="T776" i="29"/>
  <c r="S776" i="29"/>
  <c r="E776" i="29"/>
  <c r="U776" i="29"/>
  <c r="G776" i="29"/>
  <c r="J775" i="29"/>
  <c r="Y775" i="29" s="1"/>
  <c r="I775" i="29"/>
  <c r="O775" i="29"/>
  <c r="O776" i="29" l="1"/>
  <c r="Z775" i="29"/>
  <c r="I776" i="29"/>
  <c r="J776" i="29"/>
  <c r="Y776" i="29" s="1"/>
  <c r="T777" i="29"/>
  <c r="E777" i="29"/>
  <c r="Q777" i="29"/>
  <c r="U777" i="29"/>
  <c r="S777" i="29"/>
  <c r="G777" i="29"/>
  <c r="R777" i="29"/>
  <c r="AI778" i="29"/>
  <c r="AD779" i="29"/>
  <c r="B778" i="29"/>
  <c r="AE777" i="29"/>
  <c r="AF777" i="29"/>
  <c r="Z776" i="29" l="1"/>
  <c r="I777" i="29"/>
  <c r="J777" i="29"/>
  <c r="Y777" i="29" s="1"/>
  <c r="G778" i="29"/>
  <c r="E778" i="29"/>
  <c r="R778" i="29"/>
  <c r="T778" i="29"/>
  <c r="Q778" i="29"/>
  <c r="S778" i="29"/>
  <c r="U778" i="29"/>
  <c r="O777" i="29"/>
  <c r="AI779" i="29"/>
  <c r="B779" i="29"/>
  <c r="AD780" i="29"/>
  <c r="AE778" i="29"/>
  <c r="AF778" i="29"/>
  <c r="J778" i="29" l="1"/>
  <c r="Y778" i="29" s="1"/>
  <c r="I778" i="29"/>
  <c r="Z777" i="29"/>
  <c r="AI780" i="29"/>
  <c r="AD781" i="29"/>
  <c r="B780" i="29"/>
  <c r="G779" i="29"/>
  <c r="U779" i="29"/>
  <c r="R779" i="29"/>
  <c r="T779" i="29"/>
  <c r="Q779" i="29"/>
  <c r="E779" i="29"/>
  <c r="S779" i="29"/>
  <c r="AF779" i="29"/>
  <c r="AE779" i="29"/>
  <c r="O778" i="29"/>
  <c r="J779" i="29" l="1"/>
  <c r="Y779" i="29" s="1"/>
  <c r="I779" i="29"/>
  <c r="Z778" i="29"/>
  <c r="G780" i="29"/>
  <c r="S780" i="29"/>
  <c r="Q780" i="29"/>
  <c r="E780" i="29"/>
  <c r="U780" i="29"/>
  <c r="R780" i="29"/>
  <c r="T780" i="29"/>
  <c r="AI781" i="29"/>
  <c r="AD782" i="29"/>
  <c r="B781" i="29"/>
  <c r="O779" i="29"/>
  <c r="AF780" i="29"/>
  <c r="AE780" i="29"/>
  <c r="Z779" i="29" l="1"/>
  <c r="R781" i="29"/>
  <c r="G781" i="29"/>
  <c r="E781" i="29"/>
  <c r="T781" i="29"/>
  <c r="Q781" i="29"/>
  <c r="U781" i="29"/>
  <c r="S781" i="29"/>
  <c r="AI782" i="29"/>
  <c r="AD783" i="29"/>
  <c r="B782" i="29"/>
  <c r="O780" i="29"/>
  <c r="J780" i="29"/>
  <c r="Y780" i="29" s="1"/>
  <c r="I780" i="29"/>
  <c r="AE781" i="29"/>
  <c r="AF781" i="29"/>
  <c r="Z780" i="29" l="1"/>
  <c r="O781" i="29"/>
  <c r="J781" i="29"/>
  <c r="Y781" i="29" s="1"/>
  <c r="I781" i="29"/>
  <c r="U782" i="29"/>
  <c r="R782" i="29"/>
  <c r="G782" i="29"/>
  <c r="S782" i="29"/>
  <c r="E782" i="29"/>
  <c r="T782" i="29"/>
  <c r="Q782" i="29"/>
  <c r="AI783" i="29"/>
  <c r="AD784" i="29"/>
  <c r="B783" i="29"/>
  <c r="AE782" i="29"/>
  <c r="AF782" i="29"/>
  <c r="Z781" i="29" l="1"/>
  <c r="I782" i="29"/>
  <c r="J782" i="29"/>
  <c r="Y782" i="29" s="1"/>
  <c r="E783" i="29"/>
  <c r="T783" i="29"/>
  <c r="Q783" i="29"/>
  <c r="R783" i="29"/>
  <c r="G783" i="29"/>
  <c r="U783" i="29"/>
  <c r="S783" i="29"/>
  <c r="AI784" i="29"/>
  <c r="AD785" i="29"/>
  <c r="B784" i="29"/>
  <c r="AE783" i="29"/>
  <c r="AF783" i="29"/>
  <c r="O782" i="29"/>
  <c r="O783" i="29" l="1"/>
  <c r="Z782" i="29"/>
  <c r="T784" i="29"/>
  <c r="Q784" i="29"/>
  <c r="R784" i="29"/>
  <c r="G784" i="29"/>
  <c r="U784" i="29"/>
  <c r="E784" i="29"/>
  <c r="S784" i="29"/>
  <c r="AI785" i="29"/>
  <c r="B785" i="29"/>
  <c r="AD786" i="29"/>
  <c r="J783" i="29"/>
  <c r="Y783" i="29" s="1"/>
  <c r="I783" i="29"/>
  <c r="AE784" i="29"/>
  <c r="AF784" i="29"/>
  <c r="Z783" i="29" l="1"/>
  <c r="O784" i="29"/>
  <c r="I784" i="29"/>
  <c r="J784" i="29"/>
  <c r="Y784" i="29" s="1"/>
  <c r="AE785" i="29"/>
  <c r="AF785" i="29"/>
  <c r="AI786" i="29"/>
  <c r="AD787" i="29"/>
  <c r="B786" i="29"/>
  <c r="T785" i="29"/>
  <c r="S785" i="29"/>
  <c r="E785" i="29"/>
  <c r="U785" i="29"/>
  <c r="G785" i="29"/>
  <c r="R785" i="29"/>
  <c r="Q785" i="29"/>
  <c r="Z784" i="29" l="1"/>
  <c r="O785" i="29"/>
  <c r="E786" i="29"/>
  <c r="T786" i="29"/>
  <c r="U786" i="29"/>
  <c r="Q786" i="29"/>
  <c r="R786" i="29"/>
  <c r="G786" i="29"/>
  <c r="S786" i="29"/>
  <c r="I785" i="29"/>
  <c r="J785" i="29"/>
  <c r="Y785" i="29" s="1"/>
  <c r="AI787" i="29"/>
  <c r="AD788" i="29"/>
  <c r="B787" i="29"/>
  <c r="AE786" i="29"/>
  <c r="AF786" i="29"/>
  <c r="J786" i="29" l="1"/>
  <c r="Y786" i="29" s="1"/>
  <c r="I786" i="29"/>
  <c r="T787" i="29"/>
  <c r="U787" i="29"/>
  <c r="Q787" i="29"/>
  <c r="E787" i="29"/>
  <c r="R787" i="29"/>
  <c r="S787" i="29"/>
  <c r="G787" i="29"/>
  <c r="AI788" i="29"/>
  <c r="B788" i="29"/>
  <c r="AD789" i="29"/>
  <c r="AF787" i="29"/>
  <c r="AE787" i="29"/>
  <c r="Z785" i="29"/>
  <c r="O786" i="29"/>
  <c r="I787" i="29" l="1"/>
  <c r="J787" i="29"/>
  <c r="Y787" i="29" s="1"/>
  <c r="AI789" i="29"/>
  <c r="B789" i="29"/>
  <c r="AD790" i="29"/>
  <c r="T788" i="29"/>
  <c r="G788" i="29"/>
  <c r="E788" i="29"/>
  <c r="R788" i="29"/>
  <c r="Q788" i="29"/>
  <c r="S788" i="29"/>
  <c r="U788" i="29"/>
  <c r="AF788" i="29"/>
  <c r="AE788" i="29"/>
  <c r="Z786" i="29"/>
  <c r="O787" i="29"/>
  <c r="O788" i="29" l="1"/>
  <c r="AI790" i="29"/>
  <c r="B790" i="29"/>
  <c r="AD791" i="29"/>
  <c r="Q789" i="29"/>
  <c r="G789" i="29"/>
  <c r="E789" i="29"/>
  <c r="S789" i="29"/>
  <c r="U789" i="29"/>
  <c r="T789" i="29"/>
  <c r="R789" i="29"/>
  <c r="I788" i="29"/>
  <c r="J788" i="29"/>
  <c r="Y788" i="29" s="1"/>
  <c r="Z787" i="29"/>
  <c r="AF789" i="29"/>
  <c r="AE789" i="29"/>
  <c r="AF790" i="29" l="1"/>
  <c r="AE790" i="29"/>
  <c r="O789" i="29"/>
  <c r="AI791" i="29"/>
  <c r="AD792" i="29"/>
  <c r="B791" i="29"/>
  <c r="I789" i="29"/>
  <c r="J789" i="29"/>
  <c r="Y789" i="29" s="1"/>
  <c r="R790" i="29"/>
  <c r="E790" i="29"/>
  <c r="G790" i="29"/>
  <c r="Q790" i="29"/>
  <c r="T790" i="29"/>
  <c r="U790" i="29"/>
  <c r="S790" i="29"/>
  <c r="Z788" i="29"/>
  <c r="O790" i="29" l="1"/>
  <c r="S791" i="29"/>
  <c r="G791" i="29"/>
  <c r="R791" i="29"/>
  <c r="U791" i="29"/>
  <c r="E791" i="29"/>
  <c r="T791" i="29"/>
  <c r="Q791" i="29"/>
  <c r="Z789" i="29"/>
  <c r="AI792" i="29"/>
  <c r="AD793" i="29"/>
  <c r="B792" i="29"/>
  <c r="I790" i="29"/>
  <c r="J790" i="29"/>
  <c r="Y790" i="29" s="1"/>
  <c r="AE791" i="29"/>
  <c r="AF791" i="29"/>
  <c r="AI793" i="29" l="1"/>
  <c r="B793" i="29"/>
  <c r="AD794" i="29"/>
  <c r="J791" i="29"/>
  <c r="Y791" i="29" s="1"/>
  <c r="I791" i="29"/>
  <c r="AF792" i="29"/>
  <c r="AE792" i="29"/>
  <c r="O791" i="29"/>
  <c r="E792" i="29"/>
  <c r="T792" i="29"/>
  <c r="R792" i="29"/>
  <c r="Q792" i="29"/>
  <c r="S792" i="29"/>
  <c r="G792" i="29"/>
  <c r="U792" i="29"/>
  <c r="Z790" i="29"/>
  <c r="O792" i="29" l="1"/>
  <c r="Z791" i="29"/>
  <c r="J792" i="29"/>
  <c r="Y792" i="29" s="1"/>
  <c r="I792" i="29"/>
  <c r="AI794" i="29"/>
  <c r="B794" i="29"/>
  <c r="AD795" i="29"/>
  <c r="E793" i="29"/>
  <c r="G793" i="29"/>
  <c r="Q793" i="29"/>
  <c r="S793" i="29"/>
  <c r="U793" i="29"/>
  <c r="T793" i="29"/>
  <c r="R793" i="29"/>
  <c r="AF793" i="29"/>
  <c r="AE793" i="29"/>
  <c r="Z792" i="29" l="1"/>
  <c r="AI795" i="29"/>
  <c r="B795" i="29"/>
  <c r="AD796" i="29"/>
  <c r="J793" i="29"/>
  <c r="Y793" i="29" s="1"/>
  <c r="I793" i="29"/>
  <c r="K793" i="29" s="1"/>
  <c r="R794" i="29"/>
  <c r="T794" i="29"/>
  <c r="S794" i="29"/>
  <c r="G794" i="29"/>
  <c r="E794" i="29"/>
  <c r="U794" i="29"/>
  <c r="Q794" i="29"/>
  <c r="O793" i="29"/>
  <c r="AE794" i="29"/>
  <c r="AF794" i="29"/>
  <c r="M686" i="7" l="1"/>
  <c r="M689" i="7" s="1"/>
  <c r="M691" i="7" s="1"/>
  <c r="J699" i="7" s="1"/>
  <c r="K699" i="7" s="1"/>
  <c r="J714" i="7"/>
  <c r="K714" i="7" s="1"/>
  <c r="L708" i="7"/>
  <c r="L717" i="7"/>
  <c r="J743" i="7"/>
  <c r="K743" i="7" s="1"/>
  <c r="L765" i="7"/>
  <c r="L736" i="7"/>
  <c r="J736" i="7"/>
  <c r="K736" i="7" s="1"/>
  <c r="J727" i="7"/>
  <c r="K727" i="7" s="1"/>
  <c r="J704" i="7"/>
  <c r="K704" i="7" s="1"/>
  <c r="J698" i="7"/>
  <c r="K698" i="7" s="1"/>
  <c r="J747" i="7"/>
  <c r="K747" i="7" s="1"/>
  <c r="L735" i="7"/>
  <c r="J695" i="7"/>
  <c r="K695" i="7" s="1"/>
  <c r="L702" i="7"/>
  <c r="J742" i="7"/>
  <c r="K742" i="7" s="1"/>
  <c r="L706" i="7"/>
  <c r="L737" i="7"/>
  <c r="J734" i="7"/>
  <c r="K734" i="7" s="1"/>
  <c r="J766" i="7"/>
  <c r="K766" i="7" s="1"/>
  <c r="J750" i="7"/>
  <c r="K750" i="7" s="1"/>
  <c r="J755" i="7"/>
  <c r="K755" i="7" s="1"/>
  <c r="J696" i="7"/>
  <c r="K696" i="7" s="1"/>
  <c r="L762" i="7"/>
  <c r="J729" i="7"/>
  <c r="K729" i="7" s="1"/>
  <c r="L691" i="7"/>
  <c r="L741" i="7"/>
  <c r="J764" i="7"/>
  <c r="K764" i="7" s="1"/>
  <c r="J719" i="7"/>
  <c r="K719" i="7" s="1"/>
  <c r="L704" i="7"/>
  <c r="L690" i="7"/>
  <c r="J690" i="7"/>
  <c r="K690" i="7" s="1"/>
  <c r="J753" i="7"/>
  <c r="K753" i="7" s="1"/>
  <c r="J715" i="7"/>
  <c r="K715" i="7" s="1"/>
  <c r="J688" i="7"/>
  <c r="L728" i="7"/>
  <c r="J754" i="7"/>
  <c r="K754" i="7" s="1"/>
  <c r="Q795" i="29"/>
  <c r="S795" i="29"/>
  <c r="U795" i="29"/>
  <c r="E795" i="29"/>
  <c r="G795" i="29"/>
  <c r="T795" i="29"/>
  <c r="R795" i="29"/>
  <c r="O794" i="29"/>
  <c r="AE795" i="29"/>
  <c r="AF795" i="29"/>
  <c r="J794" i="29"/>
  <c r="Y794" i="29" s="1"/>
  <c r="I794" i="29"/>
  <c r="K794" i="29" s="1"/>
  <c r="N794" i="29" s="1"/>
  <c r="Z793" i="29"/>
  <c r="AI796" i="29"/>
  <c r="B796" i="29"/>
  <c r="AD797" i="29"/>
  <c r="J720" i="7" l="1"/>
  <c r="K720" i="7" s="1"/>
  <c r="J737" i="7"/>
  <c r="K737" i="7" s="1"/>
  <c r="J707" i="7"/>
  <c r="K707" i="7" s="1"/>
  <c r="J739" i="7"/>
  <c r="K739" i="7" s="1"/>
  <c r="J713" i="7"/>
  <c r="K713" i="7" s="1"/>
  <c r="L731" i="7"/>
  <c r="J752" i="7"/>
  <c r="K752" i="7" s="1"/>
  <c r="J694" i="7"/>
  <c r="K694" i="7" s="1"/>
  <c r="L726" i="7"/>
  <c r="L755" i="7"/>
  <c r="J768" i="7"/>
  <c r="K768" i="7" s="1"/>
  <c r="L719" i="7"/>
  <c r="L757" i="7"/>
  <c r="J749" i="7"/>
  <c r="K749" i="7" s="1"/>
  <c r="J728" i="7"/>
  <c r="K728" i="7" s="1"/>
  <c r="J767" i="7"/>
  <c r="K767" i="7" s="1"/>
  <c r="J721" i="7"/>
  <c r="K721" i="7" s="1"/>
  <c r="L716" i="7"/>
  <c r="L753" i="7"/>
  <c r="L698" i="7"/>
  <c r="L768" i="7"/>
  <c r="L723" i="7"/>
  <c r="L758" i="7"/>
  <c r="J723" i="7"/>
  <c r="K723" i="7" s="1"/>
  <c r="J691" i="7"/>
  <c r="K691" i="7" s="1"/>
  <c r="L738" i="7"/>
  <c r="J762" i="7"/>
  <c r="K762" i="7" s="1"/>
  <c r="L744" i="7"/>
  <c r="J748" i="7"/>
  <c r="K748" i="7" s="1"/>
  <c r="L715" i="7"/>
  <c r="J701" i="7"/>
  <c r="K701" i="7" s="1"/>
  <c r="L754" i="7"/>
  <c r="J722" i="7"/>
  <c r="K722" i="7" s="1"/>
  <c r="J765" i="7"/>
  <c r="K765" i="7" s="1"/>
  <c r="J716" i="7"/>
  <c r="K716" i="7" s="1"/>
  <c r="L730" i="7"/>
  <c r="J758" i="7"/>
  <c r="K758" i="7" s="1"/>
  <c r="L689" i="7"/>
  <c r="J741" i="7"/>
  <c r="K741" i="7" s="1"/>
  <c r="J700" i="7"/>
  <c r="K700" i="7" s="1"/>
  <c r="L727" i="7"/>
  <c r="J733" i="7"/>
  <c r="K733" i="7" s="1"/>
  <c r="L709" i="7"/>
  <c r="J702" i="7"/>
  <c r="K702" i="7" s="1"/>
  <c r="L759" i="7"/>
  <c r="L751" i="7"/>
  <c r="J717" i="7"/>
  <c r="K717" i="7" s="1"/>
  <c r="J757" i="7"/>
  <c r="K757" i="7" s="1"/>
  <c r="L724" i="7"/>
  <c r="L749" i="7"/>
  <c r="J760" i="7"/>
  <c r="K760" i="7" s="1"/>
  <c r="J724" i="7"/>
  <c r="K724" i="7" s="1"/>
  <c r="J730" i="7"/>
  <c r="K730" i="7" s="1"/>
  <c r="J735" i="7"/>
  <c r="K735" i="7" s="1"/>
  <c r="J745" i="7"/>
  <c r="K745" i="7" s="1"/>
  <c r="L712" i="7"/>
  <c r="L750" i="7"/>
  <c r="L694" i="7"/>
  <c r="J726" i="7"/>
  <c r="K726" i="7" s="1"/>
  <c r="J751" i="7"/>
  <c r="K751" i="7" s="1"/>
  <c r="J705" i="7"/>
  <c r="K705" i="7" s="1"/>
  <c r="L739" i="7"/>
  <c r="J746" i="7"/>
  <c r="K746" i="7" s="1"/>
  <c r="J692" i="7"/>
  <c r="K692" i="7" s="1"/>
  <c r="J711" i="7"/>
  <c r="K711" i="7" s="1"/>
  <c r="J709" i="7"/>
  <c r="K709" i="7" s="1"/>
  <c r="L746" i="7"/>
  <c r="L763" i="7"/>
  <c r="J710" i="7"/>
  <c r="K710" i="7" s="1"/>
  <c r="J718" i="7"/>
  <c r="K718" i="7" s="1"/>
  <c r="J744" i="7"/>
  <c r="K744" i="7" s="1"/>
  <c r="J759" i="7"/>
  <c r="K759" i="7" s="1"/>
  <c r="L703" i="7"/>
  <c r="J689" i="7"/>
  <c r="K689" i="7" s="1"/>
  <c r="L711" i="7"/>
  <c r="L729" i="7"/>
  <c r="J740" i="7"/>
  <c r="K740" i="7" s="1"/>
  <c r="L747" i="7"/>
  <c r="L752" i="7"/>
  <c r="L733" i="7"/>
  <c r="L718" i="7"/>
  <c r="L707" i="7"/>
  <c r="L696" i="7"/>
  <c r="J708" i="7"/>
  <c r="K708" i="7" s="1"/>
  <c r="L725" i="7"/>
  <c r="J703" i="7"/>
  <c r="K703" i="7" s="1"/>
  <c r="J738" i="7"/>
  <c r="K738" i="7" s="1"/>
  <c r="L743" i="7"/>
  <c r="J756" i="7"/>
  <c r="K756" i="7" s="1"/>
  <c r="L699" i="7"/>
  <c r="L692" i="7"/>
  <c r="L760" i="7"/>
  <c r="L748" i="7"/>
  <c r="L761" i="7"/>
  <c r="L713" i="7"/>
  <c r="J732" i="7"/>
  <c r="K732" i="7" s="1"/>
  <c r="L740" i="7"/>
  <c r="J725" i="7"/>
  <c r="K725" i="7" s="1"/>
  <c r="L693" i="7"/>
  <c r="J693" i="7"/>
  <c r="K693" i="7" s="1"/>
  <c r="J712" i="7"/>
  <c r="K712" i="7" s="1"/>
  <c r="J731" i="7"/>
  <c r="K731" i="7" s="1"/>
  <c r="J761" i="7"/>
  <c r="K761" i="7" s="1"/>
  <c r="L701" i="7"/>
  <c r="L764" i="7"/>
  <c r="L695" i="7"/>
  <c r="L714" i="7"/>
  <c r="L705" i="7"/>
  <c r="L720" i="7"/>
  <c r="L697" i="7"/>
  <c r="L756" i="7"/>
  <c r="L734" i="7"/>
  <c r="J763" i="7"/>
  <c r="K763" i="7" s="1"/>
  <c r="L742" i="7"/>
  <c r="L745" i="7"/>
  <c r="L767" i="7"/>
  <c r="J706" i="7"/>
  <c r="K706" i="7" s="1"/>
  <c r="L732" i="7"/>
  <c r="L721" i="7"/>
  <c r="L710" i="7"/>
  <c r="L766" i="7"/>
  <c r="L700" i="7"/>
  <c r="J697" i="7"/>
  <c r="K697" i="7" s="1"/>
  <c r="L722" i="7"/>
  <c r="L688" i="7"/>
  <c r="K688" i="7"/>
  <c r="P794" i="29"/>
  <c r="V794" i="29"/>
  <c r="W794" i="29" s="1"/>
  <c r="E796" i="29"/>
  <c r="R796" i="29"/>
  <c r="Q796" i="29"/>
  <c r="S796" i="29"/>
  <c r="T796" i="29"/>
  <c r="G796" i="29"/>
  <c r="U796" i="29"/>
  <c r="AE796" i="29"/>
  <c r="AF796" i="29"/>
  <c r="J795" i="29"/>
  <c r="Y795" i="29" s="1"/>
  <c r="I795" i="29"/>
  <c r="K795" i="29" s="1"/>
  <c r="N795" i="29" s="1"/>
  <c r="AI797" i="29"/>
  <c r="AD798" i="29"/>
  <c r="B797" i="29"/>
  <c r="Z794" i="29"/>
  <c r="O795" i="29"/>
  <c r="J769" i="7" l="1"/>
  <c r="K769" i="7"/>
  <c r="N793" i="29"/>
  <c r="O796" i="29"/>
  <c r="P795" i="29"/>
  <c r="V795" i="29"/>
  <c r="W795" i="29" s="1"/>
  <c r="AI798" i="29"/>
  <c r="AD799" i="29"/>
  <c r="B798" i="29"/>
  <c r="Z795" i="29"/>
  <c r="AE797" i="29"/>
  <c r="AF797" i="29"/>
  <c r="G797" i="29"/>
  <c r="E797" i="29"/>
  <c r="T797" i="29"/>
  <c r="S797" i="29"/>
  <c r="Q797" i="29"/>
  <c r="U797" i="29"/>
  <c r="R797" i="29"/>
  <c r="J796" i="29"/>
  <c r="Y796" i="29" s="1"/>
  <c r="I796" i="29"/>
  <c r="K796" i="29" s="1"/>
  <c r="Z796" i="29" l="1"/>
  <c r="V793" i="29"/>
  <c r="W793" i="29" s="1"/>
  <c r="P793" i="29"/>
  <c r="O797" i="29"/>
  <c r="R798" i="29"/>
  <c r="U798" i="29"/>
  <c r="S798" i="29"/>
  <c r="E798" i="29"/>
  <c r="G798" i="29"/>
  <c r="Q798" i="29"/>
  <c r="T798" i="29"/>
  <c r="J797" i="29"/>
  <c r="Y797" i="29" s="1"/>
  <c r="I797" i="29"/>
  <c r="K797" i="29" s="1"/>
  <c r="AI799" i="29"/>
  <c r="B799" i="29"/>
  <c r="AD800" i="29"/>
  <c r="AE798" i="29"/>
  <c r="AF798" i="29"/>
  <c r="I798" i="29" l="1"/>
  <c r="K798" i="29" s="1"/>
  <c r="J798" i="29"/>
  <c r="Y798" i="29" s="1"/>
  <c r="AI800" i="29"/>
  <c r="B800" i="29"/>
  <c r="AD801" i="29"/>
  <c r="Z797" i="29"/>
  <c r="G799" i="29"/>
  <c r="Q799" i="29"/>
  <c r="S799" i="29"/>
  <c r="R799" i="29"/>
  <c r="T799" i="29"/>
  <c r="U799" i="29"/>
  <c r="E799" i="29"/>
  <c r="AE799" i="29"/>
  <c r="AF799" i="29"/>
  <c r="O798" i="29"/>
  <c r="O799" i="29" l="1"/>
  <c r="AI801" i="29"/>
  <c r="AD802" i="29"/>
  <c r="B801" i="29"/>
  <c r="Z798" i="29"/>
  <c r="J799" i="29"/>
  <c r="Y799" i="29" s="1"/>
  <c r="I799" i="29"/>
  <c r="K799" i="29" s="1"/>
  <c r="S800" i="29"/>
  <c r="R800" i="29"/>
  <c r="U800" i="29"/>
  <c r="Q800" i="29"/>
  <c r="T800" i="29"/>
  <c r="G800" i="29"/>
  <c r="E800" i="29"/>
  <c r="AF800" i="29"/>
  <c r="AE800" i="29"/>
  <c r="Z799" i="29" l="1"/>
  <c r="Q801" i="29"/>
  <c r="E801" i="29"/>
  <c r="G801" i="29"/>
  <c r="U801" i="29"/>
  <c r="S801" i="29"/>
  <c r="R801" i="29"/>
  <c r="T801" i="29"/>
  <c r="AI802" i="29"/>
  <c r="B802" i="29"/>
  <c r="AD803" i="29"/>
  <c r="J800" i="29"/>
  <c r="Y800" i="29" s="1"/>
  <c r="I800" i="29"/>
  <c r="K800" i="29" s="1"/>
  <c r="O800" i="29"/>
  <c r="AF801" i="29"/>
  <c r="AE801" i="29"/>
  <c r="Z800" i="29" l="1"/>
  <c r="AI803" i="29"/>
  <c r="B803" i="29"/>
  <c r="AD804" i="29"/>
  <c r="G802" i="29"/>
  <c r="R802" i="29"/>
  <c r="T802" i="29"/>
  <c r="Q802" i="29"/>
  <c r="U802" i="29"/>
  <c r="S802" i="29"/>
  <c r="E802" i="29"/>
  <c r="AE802" i="29"/>
  <c r="AF802" i="29"/>
  <c r="I801" i="29"/>
  <c r="K801" i="29" s="1"/>
  <c r="J801" i="29"/>
  <c r="Y801" i="29" s="1"/>
  <c r="O801" i="29"/>
  <c r="O802" i="29" l="1"/>
  <c r="G803" i="29"/>
  <c r="R803" i="29"/>
  <c r="E803" i="29"/>
  <c r="S803" i="29"/>
  <c r="Q803" i="29"/>
  <c r="T803" i="29"/>
  <c r="U803" i="29"/>
  <c r="AF803" i="29"/>
  <c r="AE803" i="29"/>
  <c r="I802" i="29"/>
  <c r="K802" i="29" s="1"/>
  <c r="J802" i="29"/>
  <c r="Y802" i="29" s="1"/>
  <c r="Z801" i="29"/>
  <c r="AI804" i="29"/>
  <c r="AD805" i="29"/>
  <c r="B804" i="29"/>
  <c r="Z802" i="29" l="1"/>
  <c r="AI805" i="29"/>
  <c r="AD806" i="29"/>
  <c r="B805" i="29"/>
  <c r="AE804" i="29"/>
  <c r="AF804" i="29"/>
  <c r="E804" i="29"/>
  <c r="R804" i="29"/>
  <c r="Q804" i="29"/>
  <c r="T804" i="29"/>
  <c r="G804" i="29"/>
  <c r="S804" i="29"/>
  <c r="U804" i="29"/>
  <c r="I803" i="29"/>
  <c r="K803" i="29" s="1"/>
  <c r="J803" i="29"/>
  <c r="Y803" i="29" s="1"/>
  <c r="O803" i="29"/>
  <c r="S805" i="29" l="1"/>
  <c r="E805" i="29"/>
  <c r="G805" i="29"/>
  <c r="Q805" i="29"/>
  <c r="T805" i="29"/>
  <c r="R805" i="29"/>
  <c r="U805" i="29"/>
  <c r="O804" i="29"/>
  <c r="I804" i="29"/>
  <c r="K804" i="29" s="1"/>
  <c r="J804" i="29"/>
  <c r="Y804" i="29" s="1"/>
  <c r="AI806" i="29"/>
  <c r="B806" i="29"/>
  <c r="AD807" i="29"/>
  <c r="AF805" i="29"/>
  <c r="AE805" i="29"/>
  <c r="Z803" i="29"/>
  <c r="O805" i="29" l="1"/>
  <c r="AF806" i="29"/>
  <c r="AE806" i="29"/>
  <c r="I805" i="29"/>
  <c r="K805" i="29" s="1"/>
  <c r="J805" i="29"/>
  <c r="Y805" i="29" s="1"/>
  <c r="AI807" i="29"/>
  <c r="AD808" i="29"/>
  <c r="B807" i="29"/>
  <c r="Q806" i="29"/>
  <c r="G806" i="29"/>
  <c r="U806" i="29"/>
  <c r="R806" i="29"/>
  <c r="T806" i="29"/>
  <c r="S806" i="29"/>
  <c r="E806" i="29"/>
  <c r="Z804" i="29"/>
  <c r="Z805" i="29" l="1"/>
  <c r="AI808" i="29"/>
  <c r="B808" i="29"/>
  <c r="AD809" i="29"/>
  <c r="AE807" i="29"/>
  <c r="AF807" i="29"/>
  <c r="J806" i="29"/>
  <c r="Y806" i="29" s="1"/>
  <c r="I806" i="29"/>
  <c r="K806" i="29" s="1"/>
  <c r="O806" i="29"/>
  <c r="Q807" i="29"/>
  <c r="S807" i="29"/>
  <c r="T807" i="29"/>
  <c r="G807" i="29"/>
  <c r="U807" i="29"/>
  <c r="E807" i="29"/>
  <c r="R807" i="29"/>
  <c r="Z806" i="29" l="1"/>
  <c r="I807" i="29"/>
  <c r="K807" i="29" s="1"/>
  <c r="J807" i="29"/>
  <c r="Y807" i="29" s="1"/>
  <c r="AI809" i="29"/>
  <c r="B809" i="29"/>
  <c r="AD810" i="29"/>
  <c r="O807" i="29"/>
  <c r="T808" i="29"/>
  <c r="G808" i="29"/>
  <c r="S808" i="29"/>
  <c r="Q808" i="29"/>
  <c r="E808" i="29"/>
  <c r="R808" i="29"/>
  <c r="U808" i="29"/>
  <c r="AE808" i="29"/>
  <c r="AF808" i="29"/>
  <c r="O808" i="29" l="1"/>
  <c r="AI810" i="29"/>
  <c r="B810" i="29"/>
  <c r="AD811" i="29"/>
  <c r="J808" i="29"/>
  <c r="Y808" i="29" s="1"/>
  <c r="I808" i="29"/>
  <c r="K808" i="29" s="1"/>
  <c r="U809" i="29"/>
  <c r="S809" i="29"/>
  <c r="G809" i="29"/>
  <c r="Q809" i="29"/>
  <c r="R809" i="29"/>
  <c r="T809" i="29"/>
  <c r="E809" i="29"/>
  <c r="AF809" i="29"/>
  <c r="AE809" i="29"/>
  <c r="Z807" i="29"/>
  <c r="Z808" i="29" l="1"/>
  <c r="I809" i="29"/>
  <c r="K809" i="29" s="1"/>
  <c r="J809" i="29"/>
  <c r="Y809" i="29" s="1"/>
  <c r="AI811" i="29"/>
  <c r="AD812" i="29"/>
  <c r="B811" i="29"/>
  <c r="Q810" i="29"/>
  <c r="R810" i="29"/>
  <c r="S810" i="29"/>
  <c r="G810" i="29"/>
  <c r="T810" i="29"/>
  <c r="E810" i="29"/>
  <c r="U810" i="29"/>
  <c r="AE810" i="29"/>
  <c r="AF810" i="29"/>
  <c r="O809" i="29"/>
  <c r="O810" i="29" l="1"/>
  <c r="J810" i="29"/>
  <c r="Y810" i="29" s="1"/>
  <c r="I810" i="29"/>
  <c r="K810" i="29" s="1"/>
  <c r="AI812" i="29"/>
  <c r="B812" i="29"/>
  <c r="AD813" i="29"/>
  <c r="AF811" i="29"/>
  <c r="AE811" i="29"/>
  <c r="Z809" i="29"/>
  <c r="R811" i="29"/>
  <c r="U811" i="29"/>
  <c r="G811" i="29"/>
  <c r="Q811" i="29"/>
  <c r="E811" i="29"/>
  <c r="S811" i="29"/>
  <c r="T811" i="29"/>
  <c r="Z810" i="29" l="1"/>
  <c r="O811" i="29"/>
  <c r="S812" i="29"/>
  <c r="E812" i="29"/>
  <c r="Q812" i="29"/>
  <c r="G812" i="29"/>
  <c r="R812" i="29"/>
  <c r="T812" i="29"/>
  <c r="U812" i="29"/>
  <c r="AF812" i="29"/>
  <c r="AE812" i="29"/>
  <c r="J811" i="29"/>
  <c r="Y811" i="29" s="1"/>
  <c r="I811" i="29"/>
  <c r="K811" i="29" s="1"/>
  <c r="AI813" i="29"/>
  <c r="AD814" i="29"/>
  <c r="B813" i="29"/>
  <c r="O812" i="29" l="1"/>
  <c r="AI814" i="29"/>
  <c r="B814" i="29"/>
  <c r="AD815" i="29"/>
  <c r="Z811" i="29"/>
  <c r="AF813" i="29"/>
  <c r="AE813" i="29"/>
  <c r="E813" i="29"/>
  <c r="U813" i="29"/>
  <c r="G813" i="29"/>
  <c r="S813" i="29"/>
  <c r="R813" i="29"/>
  <c r="T813" i="29"/>
  <c r="Q813" i="29"/>
  <c r="J812" i="29"/>
  <c r="Y812" i="29" s="1"/>
  <c r="I812" i="29"/>
  <c r="K812" i="29" s="1"/>
  <c r="Z812" i="29" l="1"/>
  <c r="AI815" i="29"/>
  <c r="B815" i="29"/>
  <c r="AD816" i="29"/>
  <c r="E814" i="29"/>
  <c r="R814" i="29"/>
  <c r="Q814" i="29"/>
  <c r="S814" i="29"/>
  <c r="U814" i="29"/>
  <c r="T814" i="29"/>
  <c r="G814" i="29"/>
  <c r="O813" i="29"/>
  <c r="AE814" i="29"/>
  <c r="AF814" i="29"/>
  <c r="J813" i="29"/>
  <c r="Y813" i="29" s="1"/>
  <c r="I813" i="29"/>
  <c r="K813" i="29" s="1"/>
  <c r="Q815" i="29" l="1"/>
  <c r="U815" i="29"/>
  <c r="R815" i="29"/>
  <c r="G815" i="29"/>
  <c r="S815" i="29"/>
  <c r="E815" i="29"/>
  <c r="T815" i="29"/>
  <c r="AF815" i="29"/>
  <c r="AE815" i="29"/>
  <c r="O814" i="29"/>
  <c r="J814" i="29"/>
  <c r="Y814" i="29" s="1"/>
  <c r="I814" i="29"/>
  <c r="K814" i="29" s="1"/>
  <c r="Z813" i="29"/>
  <c r="AI816" i="29"/>
  <c r="B816" i="29"/>
  <c r="AD817" i="29"/>
  <c r="AE816" i="29" l="1"/>
  <c r="AF816" i="29"/>
  <c r="AI817" i="29"/>
  <c r="AD818" i="29"/>
  <c r="B817" i="29"/>
  <c r="Z814" i="29"/>
  <c r="J815" i="29"/>
  <c r="Y815" i="29" s="1"/>
  <c r="I815" i="29"/>
  <c r="K815" i="29" s="1"/>
  <c r="U816" i="29"/>
  <c r="G816" i="29"/>
  <c r="R816" i="29"/>
  <c r="E816" i="29"/>
  <c r="Q816" i="29"/>
  <c r="T816" i="29"/>
  <c r="S816" i="29"/>
  <c r="O815" i="29"/>
  <c r="Z815" i="29" l="1"/>
  <c r="AI818" i="29"/>
  <c r="B818" i="29"/>
  <c r="AD819" i="29"/>
  <c r="AE817" i="29"/>
  <c r="AF817" i="29"/>
  <c r="I816" i="29"/>
  <c r="K816" i="29" s="1"/>
  <c r="J816" i="29"/>
  <c r="Y816" i="29" s="1"/>
  <c r="O816" i="29"/>
  <c r="G817" i="29"/>
  <c r="R817" i="29"/>
  <c r="Q817" i="29"/>
  <c r="T817" i="29"/>
  <c r="E817" i="29"/>
  <c r="S817" i="29"/>
  <c r="U817" i="29"/>
  <c r="O817" i="29" l="1"/>
  <c r="E818" i="29"/>
  <c r="S818" i="29"/>
  <c r="T818" i="29"/>
  <c r="R818" i="29"/>
  <c r="U818" i="29"/>
  <c r="G818" i="29"/>
  <c r="Q818" i="29"/>
  <c r="AF818" i="29"/>
  <c r="AE818" i="29"/>
  <c r="J817" i="29"/>
  <c r="Y817" i="29" s="1"/>
  <c r="I817" i="29"/>
  <c r="K817" i="29" s="1"/>
  <c r="Z816" i="29"/>
  <c r="AI819" i="29"/>
  <c r="B819" i="29"/>
  <c r="AD820" i="29"/>
  <c r="Z817" i="29" l="1"/>
  <c r="O818" i="29"/>
  <c r="AF819" i="29"/>
  <c r="AE819" i="29"/>
  <c r="AI820" i="29"/>
  <c r="B820" i="29"/>
  <c r="AD821" i="29"/>
  <c r="R819" i="29"/>
  <c r="T819" i="29"/>
  <c r="Q819" i="29"/>
  <c r="U819" i="29"/>
  <c r="S819" i="29"/>
  <c r="E819" i="29"/>
  <c r="G819" i="29"/>
  <c r="I818" i="29"/>
  <c r="K818" i="29" s="1"/>
  <c r="J818" i="29"/>
  <c r="Y818" i="29" s="1"/>
  <c r="O819" i="29" l="1"/>
  <c r="T820" i="29"/>
  <c r="U820" i="29"/>
  <c r="G820" i="29"/>
  <c r="E820" i="29"/>
  <c r="Q820" i="29"/>
  <c r="S820" i="29"/>
  <c r="R820" i="29"/>
  <c r="Z818" i="29"/>
  <c r="AF820" i="29"/>
  <c r="AE820" i="29"/>
  <c r="I819" i="29"/>
  <c r="K819" i="29" s="1"/>
  <c r="J819" i="29"/>
  <c r="Y819" i="29" s="1"/>
  <c r="AI821" i="29"/>
  <c r="AD822" i="29"/>
  <c r="B821" i="29"/>
  <c r="AF821" i="29" l="1"/>
  <c r="AE821" i="29"/>
  <c r="Z819" i="29"/>
  <c r="AI822" i="29"/>
  <c r="AD823" i="29"/>
  <c r="B822" i="29"/>
  <c r="J820" i="29"/>
  <c r="Y820" i="29" s="1"/>
  <c r="I820" i="29"/>
  <c r="K820" i="29" s="1"/>
  <c r="Q821" i="29"/>
  <c r="S821" i="29"/>
  <c r="T821" i="29"/>
  <c r="E821" i="29"/>
  <c r="R821" i="29"/>
  <c r="G821" i="29"/>
  <c r="U821" i="29"/>
  <c r="O820" i="29"/>
  <c r="O821" i="29" l="1"/>
  <c r="Z820" i="29"/>
  <c r="AE822" i="29"/>
  <c r="AF822" i="29"/>
  <c r="Q822" i="29"/>
  <c r="S822" i="29"/>
  <c r="T822" i="29"/>
  <c r="G822" i="29"/>
  <c r="R822" i="29"/>
  <c r="U822" i="29"/>
  <c r="E822" i="29"/>
  <c r="J821" i="29"/>
  <c r="Y821" i="29" s="1"/>
  <c r="I821" i="29"/>
  <c r="K821" i="29" s="1"/>
  <c r="AI823" i="29"/>
  <c r="AD824" i="29"/>
  <c r="B823" i="29"/>
  <c r="Z821" i="29" l="1"/>
  <c r="O822" i="29"/>
  <c r="I822" i="29"/>
  <c r="K822" i="29" s="1"/>
  <c r="J822" i="29"/>
  <c r="Y822" i="29" s="1"/>
  <c r="T823" i="29"/>
  <c r="Q823" i="29"/>
  <c r="R823" i="29"/>
  <c r="U823" i="29"/>
  <c r="E823" i="29"/>
  <c r="S823" i="29"/>
  <c r="G823" i="29"/>
  <c r="AI824" i="29"/>
  <c r="B824" i="29"/>
  <c r="AD825" i="29"/>
  <c r="AF823" i="29"/>
  <c r="AE823" i="29"/>
  <c r="AE824" i="29" l="1"/>
  <c r="AF824" i="29"/>
  <c r="O823" i="29"/>
  <c r="Z822" i="29"/>
  <c r="I823" i="29"/>
  <c r="K823" i="29" s="1"/>
  <c r="J823" i="29"/>
  <c r="Y823" i="29" s="1"/>
  <c r="U824" i="29"/>
  <c r="S824" i="29"/>
  <c r="E824" i="29"/>
  <c r="R824" i="29"/>
  <c r="G824" i="29"/>
  <c r="Q824" i="29"/>
  <c r="T824" i="29"/>
  <c r="AI825" i="29"/>
  <c r="AD826" i="29"/>
  <c r="B825" i="29"/>
  <c r="AE825" i="29" l="1"/>
  <c r="AF825" i="29"/>
  <c r="R825" i="29"/>
  <c r="S825" i="29"/>
  <c r="T825" i="29"/>
  <c r="G825" i="29"/>
  <c r="Q825" i="29"/>
  <c r="U825" i="29"/>
  <c r="E825" i="29"/>
  <c r="AI826" i="29"/>
  <c r="AD827" i="29"/>
  <c r="B826" i="29"/>
  <c r="Z823" i="29"/>
  <c r="J824" i="29"/>
  <c r="Y824" i="29" s="1"/>
  <c r="I824" i="29"/>
  <c r="K824" i="29" s="1"/>
  <c r="O824" i="29"/>
  <c r="AF826" i="29" l="1"/>
  <c r="AE826" i="29"/>
  <c r="Z824" i="29"/>
  <c r="AI827" i="29"/>
  <c r="AD828" i="29"/>
  <c r="B827" i="29"/>
  <c r="J825" i="29"/>
  <c r="Y825" i="29" s="1"/>
  <c r="I825" i="29"/>
  <c r="K825" i="29" s="1"/>
  <c r="O825" i="29"/>
  <c r="E826" i="29"/>
  <c r="S826" i="29"/>
  <c r="G826" i="29"/>
  <c r="T826" i="29"/>
  <c r="U826" i="29"/>
  <c r="Q826" i="29"/>
  <c r="R826" i="29"/>
  <c r="Z825" i="29" l="1"/>
  <c r="AE827" i="29"/>
  <c r="AF827" i="29"/>
  <c r="E827" i="29"/>
  <c r="S827" i="29"/>
  <c r="T827" i="29"/>
  <c r="R827" i="29"/>
  <c r="Q827" i="29"/>
  <c r="U827" i="29"/>
  <c r="G827" i="29"/>
  <c r="J826" i="29"/>
  <c r="Y826" i="29" s="1"/>
  <c r="I826" i="29"/>
  <c r="K826" i="29" s="1"/>
  <c r="O826" i="29"/>
  <c r="AI828" i="29"/>
  <c r="AD829" i="29"/>
  <c r="B828" i="29"/>
  <c r="O827" i="29" l="1"/>
  <c r="I827" i="29"/>
  <c r="K827" i="29" s="1"/>
  <c r="J827" i="29"/>
  <c r="Y827" i="29" s="1"/>
  <c r="AE828" i="29"/>
  <c r="AF828" i="29"/>
  <c r="Z826" i="29"/>
  <c r="G828" i="29"/>
  <c r="S828" i="29"/>
  <c r="R828" i="29"/>
  <c r="E828" i="29"/>
  <c r="T828" i="29"/>
  <c r="Q828" i="29"/>
  <c r="U828" i="29"/>
  <c r="AI829" i="29"/>
  <c r="AD830" i="29"/>
  <c r="B829" i="29"/>
  <c r="AE829" i="29" l="1"/>
  <c r="AF829" i="29"/>
  <c r="Z827" i="29"/>
  <c r="O828" i="29"/>
  <c r="Q829" i="29"/>
  <c r="T829" i="29"/>
  <c r="R829" i="29"/>
  <c r="E829" i="29"/>
  <c r="G829" i="29"/>
  <c r="U829" i="29"/>
  <c r="S829" i="29"/>
  <c r="I828" i="29"/>
  <c r="K828" i="29" s="1"/>
  <c r="J828" i="29"/>
  <c r="Y828" i="29" s="1"/>
  <c r="AI830" i="29"/>
  <c r="B830" i="29"/>
  <c r="AD831" i="29"/>
  <c r="O829" i="29" l="1"/>
  <c r="Z828" i="29"/>
  <c r="AF830" i="29"/>
  <c r="AE830" i="29"/>
  <c r="I829" i="29"/>
  <c r="K829" i="29" s="1"/>
  <c r="J829" i="29"/>
  <c r="Y829" i="29" s="1"/>
  <c r="AI831" i="29"/>
  <c r="B831" i="29"/>
  <c r="AD832" i="29"/>
  <c r="Q830" i="29"/>
  <c r="G830" i="29"/>
  <c r="U830" i="29"/>
  <c r="R830" i="29"/>
  <c r="T830" i="29"/>
  <c r="S830" i="29"/>
  <c r="E830" i="29"/>
  <c r="Z829" i="29" l="1"/>
  <c r="AI832" i="29"/>
  <c r="B832" i="29"/>
  <c r="AD833" i="29"/>
  <c r="G831" i="29"/>
  <c r="E831" i="29"/>
  <c r="S831" i="29"/>
  <c r="Q831" i="29"/>
  <c r="T831" i="29"/>
  <c r="U831" i="29"/>
  <c r="R831" i="29"/>
  <c r="AF831" i="29"/>
  <c r="AE831" i="29"/>
  <c r="O830" i="29"/>
  <c r="I830" i="29"/>
  <c r="K830" i="29" s="1"/>
  <c r="J830" i="29"/>
  <c r="Y830" i="29" s="1"/>
  <c r="S832" i="29" l="1"/>
  <c r="E832" i="29"/>
  <c r="T832" i="29"/>
  <c r="U832" i="29"/>
  <c r="R832" i="29"/>
  <c r="G832" i="29"/>
  <c r="Q832" i="29"/>
  <c r="AF832" i="29"/>
  <c r="AE832" i="29"/>
  <c r="Z830" i="29"/>
  <c r="I831" i="29"/>
  <c r="K831" i="29" s="1"/>
  <c r="J831" i="29"/>
  <c r="Y831" i="29" s="1"/>
  <c r="O831" i="29"/>
  <c r="AI833" i="29"/>
  <c r="B833" i="29"/>
  <c r="AD834" i="29"/>
  <c r="E833" i="29" l="1"/>
  <c r="U833" i="29"/>
  <c r="S833" i="29"/>
  <c r="R833" i="29"/>
  <c r="T833" i="29"/>
  <c r="G833" i="29"/>
  <c r="Q833" i="29"/>
  <c r="Z831" i="29"/>
  <c r="O832" i="29"/>
  <c r="I832" i="29"/>
  <c r="K832" i="29" s="1"/>
  <c r="J832" i="29"/>
  <c r="Y832" i="29" s="1"/>
  <c r="AF833" i="29"/>
  <c r="AE833" i="29"/>
  <c r="AI834" i="29"/>
  <c r="AD835" i="29"/>
  <c r="B834" i="29"/>
  <c r="AF834" i="29" l="1"/>
  <c r="AE834" i="29"/>
  <c r="Z832" i="29"/>
  <c r="J833" i="29"/>
  <c r="Y833" i="29" s="1"/>
  <c r="I833" i="29"/>
  <c r="K833" i="29" s="1"/>
  <c r="AI835" i="29"/>
  <c r="AD836" i="29"/>
  <c r="B835" i="29"/>
  <c r="U834" i="29"/>
  <c r="Q834" i="29"/>
  <c r="R834" i="29"/>
  <c r="S834" i="29"/>
  <c r="T834" i="29"/>
  <c r="G834" i="29"/>
  <c r="E834" i="29"/>
  <c r="O833" i="29"/>
  <c r="AE835" i="29" l="1"/>
  <c r="AF835" i="29"/>
  <c r="J834" i="29"/>
  <c r="Y834" i="29" s="1"/>
  <c r="I834" i="29"/>
  <c r="K834" i="29" s="1"/>
  <c r="Z833" i="29"/>
  <c r="Q835" i="29"/>
  <c r="U835" i="29"/>
  <c r="T835" i="29"/>
  <c r="E835" i="29"/>
  <c r="G835" i="29"/>
  <c r="S835" i="29"/>
  <c r="R835" i="29"/>
  <c r="O834" i="29"/>
  <c r="AI836" i="29"/>
  <c r="B836" i="29"/>
  <c r="AD837" i="29"/>
  <c r="AI837" i="29" l="1"/>
  <c r="B837" i="29"/>
  <c r="AD838" i="29"/>
  <c r="J835" i="29"/>
  <c r="Y835" i="29" s="1"/>
  <c r="I835" i="29"/>
  <c r="K835" i="29" s="1"/>
  <c r="S836" i="29"/>
  <c r="E836" i="29"/>
  <c r="Q836" i="29"/>
  <c r="R836" i="29"/>
  <c r="U836" i="29"/>
  <c r="T836" i="29"/>
  <c r="G836" i="29"/>
  <c r="O835" i="29"/>
  <c r="AE836" i="29"/>
  <c r="AF836" i="29"/>
  <c r="Z834" i="29"/>
  <c r="Z835" i="29" l="1"/>
  <c r="O836" i="29"/>
  <c r="I836" i="29"/>
  <c r="K836" i="29" s="1"/>
  <c r="J836" i="29"/>
  <c r="Y836" i="29" s="1"/>
  <c r="AI838" i="29"/>
  <c r="B838" i="29"/>
  <c r="AD839" i="29"/>
  <c r="U837" i="29"/>
  <c r="E837" i="29"/>
  <c r="T837" i="29"/>
  <c r="Q837" i="29"/>
  <c r="S837" i="29"/>
  <c r="G837" i="29"/>
  <c r="R837" i="29"/>
  <c r="AE837" i="29"/>
  <c r="AF837" i="29"/>
  <c r="Z836" i="29" l="1"/>
  <c r="AE838" i="29"/>
  <c r="AF838" i="29"/>
  <c r="I837" i="29"/>
  <c r="K837" i="29" s="1"/>
  <c r="J837" i="29"/>
  <c r="Y837" i="29" s="1"/>
  <c r="O837" i="29"/>
  <c r="AI839" i="29"/>
  <c r="B839" i="29"/>
  <c r="AD840" i="29"/>
  <c r="R838" i="29"/>
  <c r="G838" i="29"/>
  <c r="S838" i="29"/>
  <c r="Q838" i="29"/>
  <c r="U838" i="29"/>
  <c r="E838" i="29"/>
  <c r="T838" i="29"/>
  <c r="O838" i="29" l="1"/>
  <c r="AI840" i="29"/>
  <c r="AD841" i="29"/>
  <c r="B840" i="29"/>
  <c r="I838" i="29"/>
  <c r="K838" i="29" s="1"/>
  <c r="J838" i="29"/>
  <c r="Y838" i="29" s="1"/>
  <c r="U839" i="29"/>
  <c r="E839" i="29"/>
  <c r="R839" i="29"/>
  <c r="Q839" i="29"/>
  <c r="S839" i="29"/>
  <c r="G839" i="29"/>
  <c r="T839" i="29"/>
  <c r="AF839" i="29"/>
  <c r="AE839" i="29"/>
  <c r="Z837" i="29"/>
  <c r="G840" i="29" l="1"/>
  <c r="Q840" i="29"/>
  <c r="S840" i="29"/>
  <c r="E840" i="29"/>
  <c r="U840" i="29"/>
  <c r="R840" i="29"/>
  <c r="T840" i="29"/>
  <c r="O839" i="29"/>
  <c r="AI841" i="29"/>
  <c r="AD842" i="29"/>
  <c r="B841" i="29"/>
  <c r="J839" i="29"/>
  <c r="Y839" i="29" s="1"/>
  <c r="I839" i="29"/>
  <c r="K839" i="29" s="1"/>
  <c r="AE840" i="29"/>
  <c r="AF840" i="29"/>
  <c r="Z838" i="29"/>
  <c r="O840" i="29" l="1"/>
  <c r="R841" i="29"/>
  <c r="S841" i="29"/>
  <c r="G841" i="29"/>
  <c r="T841" i="29"/>
  <c r="E841" i="29"/>
  <c r="U841" i="29"/>
  <c r="Q841" i="29"/>
  <c r="AI842" i="29"/>
  <c r="AD843" i="29"/>
  <c r="B842" i="29"/>
  <c r="I840" i="29"/>
  <c r="K840" i="29" s="1"/>
  <c r="J840" i="29"/>
  <c r="Y840" i="29" s="1"/>
  <c r="AF841" i="29"/>
  <c r="AE841" i="29"/>
  <c r="Z839" i="29"/>
  <c r="O841" i="29" l="1"/>
  <c r="AF842" i="29"/>
  <c r="AE842" i="29"/>
  <c r="G842" i="29"/>
  <c r="E842" i="29"/>
  <c r="U842" i="29"/>
  <c r="Q842" i="29"/>
  <c r="R842" i="29"/>
  <c r="T842" i="29"/>
  <c r="S842" i="29"/>
  <c r="I841" i="29"/>
  <c r="K841" i="29" s="1"/>
  <c r="J841" i="29"/>
  <c r="Y841" i="29" s="1"/>
  <c r="AI843" i="29"/>
  <c r="AD844" i="29"/>
  <c r="B843" i="29"/>
  <c r="Z840" i="29"/>
  <c r="O842" i="29" l="1"/>
  <c r="I842" i="29"/>
  <c r="K842" i="29" s="1"/>
  <c r="J842" i="29"/>
  <c r="Y842" i="29" s="1"/>
  <c r="AF843" i="29"/>
  <c r="AE843" i="29"/>
  <c r="G843" i="29"/>
  <c r="U843" i="29"/>
  <c r="T843" i="29"/>
  <c r="S843" i="29"/>
  <c r="E843" i="29"/>
  <c r="Q843" i="29"/>
  <c r="R843" i="29"/>
  <c r="Z841" i="29"/>
  <c r="AI844" i="29"/>
  <c r="AD845" i="29"/>
  <c r="B844" i="29"/>
  <c r="Q844" i="29" l="1"/>
  <c r="E844" i="29"/>
  <c r="T844" i="29"/>
  <c r="G844" i="29"/>
  <c r="U844" i="29"/>
  <c r="R844" i="29"/>
  <c r="S844" i="29"/>
  <c r="J843" i="29"/>
  <c r="Y843" i="29" s="1"/>
  <c r="I843" i="29"/>
  <c r="K843" i="29" s="1"/>
  <c r="Z842" i="29"/>
  <c r="O843" i="29"/>
  <c r="AI845" i="29"/>
  <c r="B845" i="29"/>
  <c r="AD846" i="29"/>
  <c r="AF844" i="29"/>
  <c r="AE844" i="29"/>
  <c r="Z843" i="29" l="1"/>
  <c r="O844" i="29"/>
  <c r="AI846" i="29"/>
  <c r="AD847" i="29"/>
  <c r="B846" i="29"/>
  <c r="U845" i="29"/>
  <c r="S845" i="29"/>
  <c r="R845" i="29"/>
  <c r="E845" i="29"/>
  <c r="G845" i="29"/>
  <c r="T845" i="29"/>
  <c r="Q845" i="29"/>
  <c r="J844" i="29"/>
  <c r="Y844" i="29" s="1"/>
  <c r="I844" i="29"/>
  <c r="K844" i="29" s="1"/>
  <c r="AF845" i="29"/>
  <c r="AE845" i="29"/>
  <c r="Z844" i="29" l="1"/>
  <c r="G846" i="29"/>
  <c r="E846" i="29"/>
  <c r="U846" i="29"/>
  <c r="T846" i="29"/>
  <c r="Q846" i="29"/>
  <c r="S846" i="29"/>
  <c r="R846" i="29"/>
  <c r="I845" i="29"/>
  <c r="K845" i="29" s="1"/>
  <c r="J845" i="29"/>
  <c r="Y845" i="29" s="1"/>
  <c r="AI847" i="29"/>
  <c r="AD848" i="29"/>
  <c r="B847" i="29"/>
  <c r="O845" i="29"/>
  <c r="AF846" i="29"/>
  <c r="AE846" i="29"/>
  <c r="Z845" i="29" l="1"/>
  <c r="U847" i="29"/>
  <c r="R847" i="29"/>
  <c r="G847" i="29"/>
  <c r="S847" i="29"/>
  <c r="T847" i="29"/>
  <c r="Q847" i="29"/>
  <c r="E847" i="29"/>
  <c r="AI848" i="29"/>
  <c r="B848" i="29"/>
  <c r="AD849" i="29"/>
  <c r="O846" i="29"/>
  <c r="I846" i="29"/>
  <c r="K846" i="29" s="1"/>
  <c r="J846" i="29"/>
  <c r="Y846" i="29" s="1"/>
  <c r="AE847" i="29"/>
  <c r="AF847" i="29"/>
  <c r="AF848" i="29" l="1"/>
  <c r="AE848" i="29"/>
  <c r="Z846" i="29"/>
  <c r="E848" i="29"/>
  <c r="S848" i="29"/>
  <c r="T848" i="29"/>
  <c r="Q848" i="29"/>
  <c r="U848" i="29"/>
  <c r="R848" i="29"/>
  <c r="G848" i="29"/>
  <c r="O847" i="29"/>
  <c r="I847" i="29"/>
  <c r="K847" i="29" s="1"/>
  <c r="J847" i="29"/>
  <c r="Y847" i="29" s="1"/>
  <c r="AI849" i="29"/>
  <c r="B849" i="29"/>
  <c r="AD850" i="29"/>
  <c r="R849" i="29" l="1"/>
  <c r="U849" i="29"/>
  <c r="G849" i="29"/>
  <c r="E849" i="29"/>
  <c r="S849" i="29"/>
  <c r="Q849" i="29"/>
  <c r="T849" i="29"/>
  <c r="Z847" i="29"/>
  <c r="O848" i="29"/>
  <c r="J848" i="29"/>
  <c r="Y848" i="29" s="1"/>
  <c r="I848" i="29"/>
  <c r="K848" i="29" s="1"/>
  <c r="AI850" i="29"/>
  <c r="B850" i="29"/>
  <c r="AD851" i="29"/>
  <c r="AE849" i="29"/>
  <c r="AF849" i="29"/>
  <c r="S850" i="29" l="1"/>
  <c r="Q850" i="29"/>
  <c r="T850" i="29"/>
  <c r="U850" i="29"/>
  <c r="G850" i="29"/>
  <c r="R850" i="29"/>
  <c r="E850" i="29"/>
  <c r="Z848" i="29"/>
  <c r="J849" i="29"/>
  <c r="Y849" i="29" s="1"/>
  <c r="I849" i="29"/>
  <c r="K849" i="29" s="1"/>
  <c r="AE850" i="29"/>
  <c r="AF850" i="29"/>
  <c r="AI851" i="29"/>
  <c r="AD852" i="29"/>
  <c r="B851" i="29"/>
  <c r="O849" i="29"/>
  <c r="AI852" i="29" l="1"/>
  <c r="B852" i="29"/>
  <c r="AD853" i="29"/>
  <c r="AE851" i="29"/>
  <c r="AF851" i="29"/>
  <c r="J850" i="29"/>
  <c r="Y850" i="29" s="1"/>
  <c r="I850" i="29"/>
  <c r="K850" i="29" s="1"/>
  <c r="O850" i="29"/>
  <c r="Z849" i="29"/>
  <c r="R851" i="29"/>
  <c r="G851" i="29"/>
  <c r="E851" i="29"/>
  <c r="T851" i="29"/>
  <c r="S851" i="29"/>
  <c r="U851" i="29"/>
  <c r="Q851" i="29"/>
  <c r="Z850" i="29" l="1"/>
  <c r="I851" i="29"/>
  <c r="K851" i="29" s="1"/>
  <c r="J851" i="29"/>
  <c r="Y851" i="29" s="1"/>
  <c r="AE852" i="29"/>
  <c r="AF852" i="29"/>
  <c r="AI853" i="29"/>
  <c r="B853" i="29"/>
  <c r="AD854" i="29"/>
  <c r="O851" i="29"/>
  <c r="T852" i="29"/>
  <c r="U852" i="29"/>
  <c r="Q852" i="29"/>
  <c r="G852" i="29"/>
  <c r="S852" i="29"/>
  <c r="E852" i="29"/>
  <c r="R852" i="29"/>
  <c r="O852" i="29" l="1"/>
  <c r="Z851" i="29"/>
  <c r="AI854" i="29"/>
  <c r="B854" i="29"/>
  <c r="AD855" i="29"/>
  <c r="I852" i="29"/>
  <c r="K852" i="29" s="1"/>
  <c r="J852" i="29"/>
  <c r="Y852" i="29" s="1"/>
  <c r="G853" i="29"/>
  <c r="U853" i="29"/>
  <c r="S853" i="29"/>
  <c r="T853" i="29"/>
  <c r="Q853" i="29"/>
  <c r="R853" i="29"/>
  <c r="E853" i="29"/>
  <c r="AE853" i="29"/>
  <c r="AF853" i="29"/>
  <c r="AE854" i="29" l="1"/>
  <c r="AF854" i="29"/>
  <c r="O853" i="29"/>
  <c r="I853" i="29"/>
  <c r="K853" i="29" s="1"/>
  <c r="J853" i="29"/>
  <c r="Y853" i="29" s="1"/>
  <c r="AI855" i="29"/>
  <c r="AD856" i="29"/>
  <c r="B855" i="29"/>
  <c r="S854" i="29"/>
  <c r="R854" i="29"/>
  <c r="G854" i="29"/>
  <c r="T854" i="29"/>
  <c r="E854" i="29"/>
  <c r="U854" i="29"/>
  <c r="Q854" i="29"/>
  <c r="Z852" i="29"/>
  <c r="AF855" i="29" l="1"/>
  <c r="AE855" i="29"/>
  <c r="O854" i="29"/>
  <c r="Q855" i="29"/>
  <c r="R855" i="29"/>
  <c r="G855" i="29"/>
  <c r="S855" i="29"/>
  <c r="U855" i="29"/>
  <c r="T855" i="29"/>
  <c r="E855" i="29"/>
  <c r="Z853" i="29"/>
  <c r="I854" i="29"/>
  <c r="K854" i="29" s="1"/>
  <c r="J854" i="29"/>
  <c r="Y854" i="29" s="1"/>
  <c r="AI856" i="29"/>
  <c r="AD857" i="29"/>
  <c r="B856" i="29"/>
  <c r="O855" i="29" l="1"/>
  <c r="Z854" i="29"/>
  <c r="J855" i="29"/>
  <c r="Y855" i="29" s="1"/>
  <c r="I855" i="29"/>
  <c r="K855" i="29" s="1"/>
  <c r="G856" i="29"/>
  <c r="U856" i="29"/>
  <c r="Q856" i="29"/>
  <c r="T856" i="29"/>
  <c r="S856" i="29"/>
  <c r="E856" i="29"/>
  <c r="R856" i="29"/>
  <c r="AI857" i="29"/>
  <c r="B857" i="29"/>
  <c r="AD858" i="29"/>
  <c r="AE856" i="29"/>
  <c r="AF856" i="29"/>
  <c r="Z855" i="29" l="1"/>
  <c r="AI858" i="29"/>
  <c r="B858" i="29"/>
  <c r="AD859" i="29"/>
  <c r="Q857" i="29"/>
  <c r="U857" i="29"/>
  <c r="G857" i="29"/>
  <c r="R857" i="29"/>
  <c r="T857" i="29"/>
  <c r="S857" i="29"/>
  <c r="E857" i="29"/>
  <c r="J856" i="29"/>
  <c r="Y856" i="29" s="1"/>
  <c r="I856" i="29"/>
  <c r="K856" i="29" s="1"/>
  <c r="AE857" i="29"/>
  <c r="AF857" i="29"/>
  <c r="O856" i="29"/>
  <c r="Z856" i="29" l="1"/>
  <c r="I857" i="29"/>
  <c r="K857" i="29" s="1"/>
  <c r="J857" i="29"/>
  <c r="Y857" i="29" s="1"/>
  <c r="AE858" i="29"/>
  <c r="AF858" i="29"/>
  <c r="O857" i="29"/>
  <c r="AI859" i="29"/>
  <c r="B859" i="29"/>
  <c r="AD860" i="29"/>
  <c r="Q858" i="29"/>
  <c r="R858" i="29"/>
  <c r="T858" i="29"/>
  <c r="G858" i="29"/>
  <c r="U858" i="29"/>
  <c r="E858" i="29"/>
  <c r="S858" i="29"/>
  <c r="O858" i="29" l="1"/>
  <c r="R859" i="29"/>
  <c r="Q859" i="29"/>
  <c r="E859" i="29"/>
  <c r="T859" i="29"/>
  <c r="G859" i="29"/>
  <c r="U859" i="29"/>
  <c r="S859" i="29"/>
  <c r="Z857" i="29"/>
  <c r="AF859" i="29"/>
  <c r="AE859" i="29"/>
  <c r="J858" i="29"/>
  <c r="Y858" i="29" s="1"/>
  <c r="Z858" i="29" s="1"/>
  <c r="I858" i="29"/>
  <c r="K858" i="29" s="1"/>
  <c r="AI860" i="29"/>
  <c r="B860" i="29"/>
  <c r="AD861" i="29"/>
  <c r="O859" i="29" l="1"/>
  <c r="AF860" i="29"/>
  <c r="AE860" i="29"/>
  <c r="J859" i="29"/>
  <c r="Y859" i="29" s="1"/>
  <c r="I859" i="29"/>
  <c r="K859" i="29" s="1"/>
  <c r="U860" i="29"/>
  <c r="T860" i="29"/>
  <c r="Q860" i="29"/>
  <c r="E860" i="29"/>
  <c r="G860" i="29"/>
  <c r="R860" i="29"/>
  <c r="S860" i="29"/>
  <c r="AI861" i="29"/>
  <c r="AD862" i="29"/>
  <c r="B861" i="29"/>
  <c r="Z859" i="29" l="1"/>
  <c r="AI862" i="29"/>
  <c r="B862" i="29"/>
  <c r="AD863" i="29"/>
  <c r="AE861" i="29"/>
  <c r="AF861" i="29"/>
  <c r="O860" i="29"/>
  <c r="I860" i="29"/>
  <c r="K860" i="29" s="1"/>
  <c r="J860" i="29"/>
  <c r="Y860" i="29" s="1"/>
  <c r="R861" i="29"/>
  <c r="T861" i="29"/>
  <c r="E861" i="29"/>
  <c r="U861" i="29"/>
  <c r="S861" i="29"/>
  <c r="Q861" i="29"/>
  <c r="G861" i="29"/>
  <c r="I861" i="29" l="1"/>
  <c r="K861" i="29" s="1"/>
  <c r="J861" i="29"/>
  <c r="Y861" i="29" s="1"/>
  <c r="AI863" i="29"/>
  <c r="AD864" i="29"/>
  <c r="B863" i="29"/>
  <c r="Z860" i="29"/>
  <c r="G862" i="29"/>
  <c r="R862" i="29"/>
  <c r="S862" i="29"/>
  <c r="U862" i="29"/>
  <c r="E862" i="29"/>
  <c r="T862" i="29"/>
  <c r="Q862" i="29"/>
  <c r="O861" i="29"/>
  <c r="AF862" i="29"/>
  <c r="AE862" i="29"/>
  <c r="J862" i="29" l="1"/>
  <c r="Y862" i="29" s="1"/>
  <c r="I862" i="29"/>
  <c r="K862" i="29" s="1"/>
  <c r="Z861" i="29"/>
  <c r="O862" i="29"/>
  <c r="AI864" i="29"/>
  <c r="B864" i="29"/>
  <c r="AD865" i="29"/>
  <c r="AF863" i="29"/>
  <c r="AE863" i="29"/>
  <c r="R863" i="29"/>
  <c r="S863" i="29"/>
  <c r="G863" i="29"/>
  <c r="T863" i="29"/>
  <c r="U863" i="29"/>
  <c r="Q863" i="29"/>
  <c r="E863" i="29"/>
  <c r="O863" i="29" l="1"/>
  <c r="AI865" i="29"/>
  <c r="AD866" i="29"/>
  <c r="B865" i="29"/>
  <c r="T864" i="29"/>
  <c r="S864" i="29"/>
  <c r="U864" i="29"/>
  <c r="Q864" i="29"/>
  <c r="E864" i="29"/>
  <c r="R864" i="29"/>
  <c r="G864" i="29"/>
  <c r="J863" i="29"/>
  <c r="Y863" i="29" s="1"/>
  <c r="I863" i="29"/>
  <c r="K863" i="29" s="1"/>
  <c r="AE864" i="29"/>
  <c r="AF864" i="29"/>
  <c r="Z862" i="29"/>
  <c r="Z863" i="29" l="1"/>
  <c r="U865" i="29"/>
  <c r="T865" i="29"/>
  <c r="S865" i="29"/>
  <c r="Q865" i="29"/>
  <c r="G865" i="29"/>
  <c r="E865" i="29"/>
  <c r="R865" i="29"/>
  <c r="J864" i="29"/>
  <c r="Y864" i="29" s="1"/>
  <c r="I864" i="29"/>
  <c r="K864" i="29" s="1"/>
  <c r="AI866" i="29"/>
  <c r="AD867" i="29"/>
  <c r="B866" i="29"/>
  <c r="O864" i="29"/>
  <c r="AE865" i="29"/>
  <c r="AF865" i="29"/>
  <c r="T866" i="29" l="1"/>
  <c r="E866" i="29"/>
  <c r="S866" i="29"/>
  <c r="U866" i="29"/>
  <c r="G866" i="29"/>
  <c r="R866" i="29"/>
  <c r="Q866" i="29"/>
  <c r="J865" i="29"/>
  <c r="Y865" i="29" s="1"/>
  <c r="I865" i="29"/>
  <c r="K865" i="29" s="1"/>
  <c r="Z864" i="29"/>
  <c r="AI867" i="29"/>
  <c r="B867" i="29"/>
  <c r="AD868" i="29"/>
  <c r="AF866" i="29"/>
  <c r="AE866" i="29"/>
  <c r="O865" i="29"/>
  <c r="Z865" i="29" l="1"/>
  <c r="I866" i="29"/>
  <c r="K866" i="29" s="1"/>
  <c r="J866" i="29"/>
  <c r="Y866" i="29" s="1"/>
  <c r="AF867" i="29"/>
  <c r="AE867" i="29"/>
  <c r="O866" i="29"/>
  <c r="AI868" i="29"/>
  <c r="B868" i="29"/>
  <c r="AD869" i="29"/>
  <c r="G867" i="29"/>
  <c r="T867" i="29"/>
  <c r="E867" i="29"/>
  <c r="Q867" i="29"/>
  <c r="R867" i="29"/>
  <c r="U867" i="29"/>
  <c r="S867" i="29"/>
  <c r="AI869" i="29" l="1"/>
  <c r="B869" i="29"/>
  <c r="AD870" i="29"/>
  <c r="Z866" i="29"/>
  <c r="I867" i="29"/>
  <c r="K867" i="29" s="1"/>
  <c r="J867" i="29"/>
  <c r="Y867" i="29" s="1"/>
  <c r="G868" i="29"/>
  <c r="E868" i="29"/>
  <c r="R868" i="29"/>
  <c r="Q868" i="29"/>
  <c r="S868" i="29"/>
  <c r="U868" i="29"/>
  <c r="T868" i="29"/>
  <c r="AF868" i="29"/>
  <c r="AE868" i="29"/>
  <c r="O867" i="29"/>
  <c r="AI870" i="29" l="1"/>
  <c r="B870" i="29"/>
  <c r="AD871" i="29"/>
  <c r="Z867" i="29"/>
  <c r="I868" i="29"/>
  <c r="K868" i="29" s="1"/>
  <c r="J868" i="29"/>
  <c r="Y868" i="29" s="1"/>
  <c r="O868" i="29"/>
  <c r="S869" i="29"/>
  <c r="R869" i="29"/>
  <c r="E869" i="29"/>
  <c r="T869" i="29"/>
  <c r="U869" i="29"/>
  <c r="G869" i="29"/>
  <c r="Q869" i="29"/>
  <c r="AF869" i="29"/>
  <c r="AE869" i="29"/>
  <c r="O869" i="29" l="1"/>
  <c r="AI871" i="29"/>
  <c r="AD872" i="29"/>
  <c r="B871" i="29"/>
  <c r="T870" i="29"/>
  <c r="G870" i="29"/>
  <c r="U870" i="29"/>
  <c r="E870" i="29"/>
  <c r="R870" i="29"/>
  <c r="Q870" i="29"/>
  <c r="S870" i="29"/>
  <c r="J869" i="29"/>
  <c r="Y869" i="29" s="1"/>
  <c r="I869" i="29"/>
  <c r="K869" i="29" s="1"/>
  <c r="Z868" i="29"/>
  <c r="AF870" i="29"/>
  <c r="AE870" i="29"/>
  <c r="Z869" i="29" l="1"/>
  <c r="AE871" i="29"/>
  <c r="AF871" i="29"/>
  <c r="I870" i="29"/>
  <c r="K870" i="29" s="1"/>
  <c r="J870" i="29"/>
  <c r="Y870" i="29" s="1"/>
  <c r="O870" i="29"/>
  <c r="Q871" i="29"/>
  <c r="S871" i="29"/>
  <c r="T871" i="29"/>
  <c r="G871" i="29"/>
  <c r="U871" i="29"/>
  <c r="E871" i="29"/>
  <c r="R871" i="29"/>
  <c r="AI872" i="29"/>
  <c r="B872" i="29"/>
  <c r="AD873" i="29"/>
  <c r="O871" i="29" l="1"/>
  <c r="Q872" i="29"/>
  <c r="R872" i="29"/>
  <c r="T872" i="29"/>
  <c r="S872" i="29"/>
  <c r="E872" i="29"/>
  <c r="U872" i="29"/>
  <c r="G872" i="29"/>
  <c r="AE872" i="29"/>
  <c r="AF872" i="29"/>
  <c r="AI873" i="29"/>
  <c r="B873" i="29"/>
  <c r="AD874" i="29"/>
  <c r="Z870" i="29"/>
  <c r="I871" i="29"/>
  <c r="K871" i="29" s="1"/>
  <c r="J871" i="29"/>
  <c r="Y871" i="29" s="1"/>
  <c r="O872" i="29" l="1"/>
  <c r="Z871" i="29"/>
  <c r="AE873" i="29"/>
  <c r="AF873" i="29"/>
  <c r="AI874" i="29"/>
  <c r="B874" i="29"/>
  <c r="AD875" i="29"/>
  <c r="G873" i="29"/>
  <c r="E873" i="29"/>
  <c r="U873" i="29"/>
  <c r="S873" i="29"/>
  <c r="T873" i="29"/>
  <c r="Q873" i="29"/>
  <c r="R873" i="29"/>
  <c r="I872" i="29"/>
  <c r="K872" i="29" s="1"/>
  <c r="J872" i="29"/>
  <c r="Y872" i="29" s="1"/>
  <c r="Z872" i="29" l="1"/>
  <c r="G874" i="29"/>
  <c r="S874" i="29"/>
  <c r="E874" i="29"/>
  <c r="T874" i="29"/>
  <c r="U874" i="29"/>
  <c r="Q874" i="29"/>
  <c r="R874" i="29"/>
  <c r="AF874" i="29"/>
  <c r="AE874" i="29"/>
  <c r="O873" i="29"/>
  <c r="AI875" i="29"/>
  <c r="B875" i="29"/>
  <c r="AD876" i="29"/>
  <c r="I873" i="29"/>
  <c r="K873" i="29" s="1"/>
  <c r="J873" i="29"/>
  <c r="Y873" i="29" s="1"/>
  <c r="O874" i="29" l="1"/>
  <c r="Z873" i="29"/>
  <c r="AI876" i="29"/>
  <c r="AD877" i="29"/>
  <c r="B876" i="29"/>
  <c r="AF875" i="29"/>
  <c r="AE875" i="29"/>
  <c r="J874" i="29"/>
  <c r="Y874" i="29" s="1"/>
  <c r="I874" i="29"/>
  <c r="K874" i="29" s="1"/>
  <c r="S875" i="29"/>
  <c r="E875" i="29"/>
  <c r="U875" i="29"/>
  <c r="R875" i="29"/>
  <c r="G875" i="29"/>
  <c r="T875" i="29"/>
  <c r="Q875" i="29"/>
  <c r="Z874" i="29" l="1"/>
  <c r="O875" i="29"/>
  <c r="AE876" i="29"/>
  <c r="AF876" i="29"/>
  <c r="J875" i="29"/>
  <c r="Y875" i="29" s="1"/>
  <c r="I875" i="29"/>
  <c r="K875" i="29" s="1"/>
  <c r="G876" i="29"/>
  <c r="E876" i="29"/>
  <c r="U876" i="29"/>
  <c r="S876" i="29"/>
  <c r="R876" i="29"/>
  <c r="T876" i="29"/>
  <c r="Q876" i="29"/>
  <c r="AI877" i="29"/>
  <c r="B877" i="29"/>
  <c r="AD878" i="29"/>
  <c r="G877" i="29" l="1"/>
  <c r="S877" i="29"/>
  <c r="R877" i="29"/>
  <c r="T877" i="29"/>
  <c r="U877" i="29"/>
  <c r="E877" i="29"/>
  <c r="Q877" i="29"/>
  <c r="O876" i="29"/>
  <c r="AF877" i="29"/>
  <c r="AE877" i="29"/>
  <c r="J876" i="29"/>
  <c r="Y876" i="29" s="1"/>
  <c r="I876" i="29"/>
  <c r="K876" i="29" s="1"/>
  <c r="Z875" i="29"/>
  <c r="AI878" i="29"/>
  <c r="B878" i="29"/>
  <c r="AD879" i="29"/>
  <c r="O877" i="29" l="1"/>
  <c r="AI879" i="29"/>
  <c r="AD880" i="29"/>
  <c r="B879" i="29"/>
  <c r="G878" i="29"/>
  <c r="Q878" i="29"/>
  <c r="U878" i="29"/>
  <c r="S878" i="29"/>
  <c r="R878" i="29"/>
  <c r="E878" i="29"/>
  <c r="T878" i="29"/>
  <c r="I877" i="29"/>
  <c r="K877" i="29" s="1"/>
  <c r="J877" i="29"/>
  <c r="Y877" i="29" s="1"/>
  <c r="AE878" i="29"/>
  <c r="AF878" i="29"/>
  <c r="Z876" i="29"/>
  <c r="Z877" i="29" l="1"/>
  <c r="AI880" i="29"/>
  <c r="AD881" i="29"/>
  <c r="B880" i="29"/>
  <c r="J878" i="29"/>
  <c r="Y878" i="29" s="1"/>
  <c r="I878" i="29"/>
  <c r="K878" i="29" s="1"/>
  <c r="O878" i="29"/>
  <c r="AF879" i="29"/>
  <c r="AE879" i="29"/>
  <c r="G879" i="29"/>
  <c r="S879" i="29"/>
  <c r="E879" i="29"/>
  <c r="T879" i="29"/>
  <c r="Q879" i="29"/>
  <c r="U879" i="29"/>
  <c r="R879" i="29"/>
  <c r="J879" i="29" l="1"/>
  <c r="Y879" i="29" s="1"/>
  <c r="I879" i="29"/>
  <c r="K879" i="29" s="1"/>
  <c r="G880" i="29"/>
  <c r="Q880" i="29"/>
  <c r="E880" i="29"/>
  <c r="T880" i="29"/>
  <c r="R880" i="29"/>
  <c r="U880" i="29"/>
  <c r="S880" i="29"/>
  <c r="Z878" i="29"/>
  <c r="AI881" i="29"/>
  <c r="AD882" i="29"/>
  <c r="B881" i="29"/>
  <c r="O879" i="29"/>
  <c r="AF880" i="29"/>
  <c r="AE880" i="29"/>
  <c r="O880" i="29" l="1"/>
  <c r="AE881" i="29"/>
  <c r="AF881" i="29"/>
  <c r="Z879" i="29"/>
  <c r="G881" i="29"/>
  <c r="E881" i="29"/>
  <c r="S881" i="29"/>
  <c r="U881" i="29"/>
  <c r="Q881" i="29"/>
  <c r="T881" i="29"/>
  <c r="R881" i="29"/>
  <c r="J880" i="29"/>
  <c r="Y880" i="29" s="1"/>
  <c r="I880" i="29"/>
  <c r="K880" i="29" s="1"/>
  <c r="AI882" i="29"/>
  <c r="AD883" i="29"/>
  <c r="B882" i="29"/>
  <c r="Z880" i="29" l="1"/>
  <c r="G882" i="29"/>
  <c r="U882" i="29"/>
  <c r="E882" i="29"/>
  <c r="S882" i="29"/>
  <c r="T882" i="29"/>
  <c r="Q882" i="29"/>
  <c r="R882" i="29"/>
  <c r="I881" i="29"/>
  <c r="K881" i="29" s="1"/>
  <c r="N881" i="29" s="1"/>
  <c r="J881" i="29"/>
  <c r="Y881" i="29" s="1"/>
  <c r="AI883" i="29"/>
  <c r="B883" i="29"/>
  <c r="AD884" i="29"/>
  <c r="AF882" i="29"/>
  <c r="AE882" i="29"/>
  <c r="O881" i="29"/>
  <c r="M770" i="7" l="1"/>
  <c r="M773" i="7" s="1"/>
  <c r="M775" i="7" s="1"/>
  <c r="L802" i="7" s="1"/>
  <c r="J830" i="7"/>
  <c r="K830" i="7" s="1"/>
  <c r="J827" i="7"/>
  <c r="K827" i="7" s="1"/>
  <c r="J803" i="7"/>
  <c r="K803" i="7" s="1"/>
  <c r="L812" i="7"/>
  <c r="J808" i="7"/>
  <c r="K808" i="7" s="1"/>
  <c r="J776" i="7"/>
  <c r="K776" i="7" s="1"/>
  <c r="L819" i="7"/>
  <c r="L820" i="7"/>
  <c r="L781" i="7"/>
  <c r="J783" i="7"/>
  <c r="K783" i="7" s="1"/>
  <c r="J842" i="7"/>
  <c r="K842" i="7" s="1"/>
  <c r="J785" i="7"/>
  <c r="K785" i="7" s="1"/>
  <c r="J784" i="7"/>
  <c r="K784" i="7" s="1"/>
  <c r="L831" i="7"/>
  <c r="L832" i="7"/>
  <c r="J823" i="7"/>
  <c r="K823" i="7" s="1"/>
  <c r="J834" i="7"/>
  <c r="K834" i="7" s="1"/>
  <c r="J780" i="7"/>
  <c r="K780" i="7" s="1"/>
  <c r="L827" i="7"/>
  <c r="L828" i="7"/>
  <c r="J839" i="7"/>
  <c r="K839" i="7" s="1"/>
  <c r="J813" i="7"/>
  <c r="K813" i="7" s="1"/>
  <c r="J792" i="7"/>
  <c r="K792" i="7" s="1"/>
  <c r="L817" i="7"/>
  <c r="L839" i="7"/>
  <c r="L776" i="7"/>
  <c r="L840" i="7"/>
  <c r="L791" i="7"/>
  <c r="J797" i="7"/>
  <c r="K797" i="7" s="1"/>
  <c r="J811" i="7"/>
  <c r="K811" i="7" s="1"/>
  <c r="J837" i="7"/>
  <c r="K837" i="7" s="1"/>
  <c r="J790" i="7"/>
  <c r="K790" i="7" s="1"/>
  <c r="J799" i="7"/>
  <c r="K799" i="7" s="1"/>
  <c r="L794" i="7"/>
  <c r="L830" i="7"/>
  <c r="L779" i="7"/>
  <c r="J781" i="7"/>
  <c r="K781" i="7" s="1"/>
  <c r="J782" i="7"/>
  <c r="K782" i="7" s="1"/>
  <c r="L821" i="7"/>
  <c r="L780" i="7"/>
  <c r="L793" i="7"/>
  <c r="J819" i="7"/>
  <c r="K819" i="7" s="1"/>
  <c r="J794" i="7"/>
  <c r="K794" i="7" s="1"/>
  <c r="L845" i="7"/>
  <c r="L782" i="7"/>
  <c r="L804" i="7"/>
  <c r="L818" i="7"/>
  <c r="L801" i="7"/>
  <c r="J791" i="7"/>
  <c r="K791" i="7" s="1"/>
  <c r="J825" i="7"/>
  <c r="K825" i="7" s="1"/>
  <c r="J844" i="7"/>
  <c r="K844" i="7" s="1"/>
  <c r="J810" i="7"/>
  <c r="K810" i="7" s="1"/>
  <c r="J833" i="7"/>
  <c r="K833" i="7" s="1"/>
  <c r="L841" i="7"/>
  <c r="L800" i="7"/>
  <c r="L797" i="7"/>
  <c r="J809" i="7"/>
  <c r="K809" i="7" s="1"/>
  <c r="J774" i="7"/>
  <c r="K774" i="7" s="1"/>
  <c r="L837" i="7"/>
  <c r="L796" i="7"/>
  <c r="L799" i="7"/>
  <c r="J838" i="7"/>
  <c r="K838" i="7" s="1"/>
  <c r="J795" i="7"/>
  <c r="K795" i="7" s="1"/>
  <c r="P881" i="29"/>
  <c r="V881" i="29"/>
  <c r="W881" i="29" s="1"/>
  <c r="O882" i="29"/>
  <c r="G883" i="29"/>
  <c r="U883" i="29"/>
  <c r="T883" i="29"/>
  <c r="Q883" i="29"/>
  <c r="E883" i="29"/>
  <c r="R883" i="29"/>
  <c r="S883" i="29"/>
  <c r="Z881" i="29"/>
  <c r="AE883" i="29"/>
  <c r="AF883" i="29"/>
  <c r="I882" i="29"/>
  <c r="K882" i="29" s="1"/>
  <c r="N882" i="29" s="1"/>
  <c r="J882" i="29"/>
  <c r="Y882" i="29" s="1"/>
  <c r="AI884" i="29"/>
  <c r="AD885" i="29"/>
  <c r="B884" i="29"/>
  <c r="L795" i="7" l="1"/>
  <c r="J843" i="7"/>
  <c r="K843" i="7" s="1"/>
  <c r="J775" i="7"/>
  <c r="K775" i="7" s="1"/>
  <c r="L772" i="7"/>
  <c r="L792" i="7"/>
  <c r="L833" i="7"/>
  <c r="J832" i="7"/>
  <c r="K832" i="7" s="1"/>
  <c r="L798" i="7"/>
  <c r="L811" i="7"/>
  <c r="L825" i="7"/>
  <c r="J831" i="7"/>
  <c r="K831" i="7" s="1"/>
  <c r="J846" i="7"/>
  <c r="K846" i="7" s="1"/>
  <c r="L834" i="7"/>
  <c r="J826" i="7"/>
  <c r="K826" i="7" s="1"/>
  <c r="J852" i="7"/>
  <c r="K852" i="7" s="1"/>
  <c r="L784" i="7"/>
  <c r="J820" i="7"/>
  <c r="K820" i="7" s="1"/>
  <c r="L806" i="7"/>
  <c r="J828" i="7"/>
  <c r="K828" i="7" s="1"/>
  <c r="J814" i="7"/>
  <c r="K814" i="7" s="1"/>
  <c r="L810" i="7"/>
  <c r="L775" i="7"/>
  <c r="J800" i="7"/>
  <c r="K800" i="7" s="1"/>
  <c r="L814" i="7"/>
  <c r="L778" i="7"/>
  <c r="J829" i="7"/>
  <c r="K829" i="7" s="1"/>
  <c r="J804" i="7"/>
  <c r="K804" i="7" s="1"/>
  <c r="J807" i="7"/>
  <c r="K807" i="7" s="1"/>
  <c r="L774" i="7"/>
  <c r="L835" i="7"/>
  <c r="J806" i="7"/>
  <c r="K806" i="7" s="1"/>
  <c r="J779" i="7"/>
  <c r="K779" i="7" s="1"/>
  <c r="J802" i="7"/>
  <c r="K802" i="7" s="1"/>
  <c r="J821" i="7"/>
  <c r="K821" i="7" s="1"/>
  <c r="L773" i="7"/>
  <c r="J815" i="7"/>
  <c r="K815" i="7" s="1"/>
  <c r="J836" i="7"/>
  <c r="K836" i="7" s="1"/>
  <c r="J798" i="7"/>
  <c r="K798" i="7" s="1"/>
  <c r="L836" i="7"/>
  <c r="J845" i="7"/>
  <c r="K845" i="7" s="1"/>
  <c r="J816" i="7"/>
  <c r="K816" i="7" s="1"/>
  <c r="L852" i="7"/>
  <c r="J824" i="7"/>
  <c r="K824" i="7" s="1"/>
  <c r="J850" i="7"/>
  <c r="K850" i="7" s="1"/>
  <c r="L822" i="7"/>
  <c r="L785" i="7"/>
  <c r="L786" i="7"/>
  <c r="J786" i="7"/>
  <c r="K786" i="7" s="1"/>
  <c r="L789" i="7"/>
  <c r="L813" i="7"/>
  <c r="L844" i="7"/>
  <c r="L815" i="7"/>
  <c r="J787" i="7"/>
  <c r="K787" i="7" s="1"/>
  <c r="L805" i="7"/>
  <c r="L842" i="7"/>
  <c r="J841" i="7"/>
  <c r="K841" i="7" s="1"/>
  <c r="L849" i="7"/>
  <c r="L846" i="7"/>
  <c r="L809" i="7"/>
  <c r="J812" i="7"/>
  <c r="K812" i="7" s="1"/>
  <c r="L843" i="7"/>
  <c r="L816" i="7"/>
  <c r="J818" i="7"/>
  <c r="K818" i="7" s="1"/>
  <c r="L808" i="7"/>
  <c r="J778" i="7"/>
  <c r="K778" i="7" s="1"/>
  <c r="L787" i="7"/>
  <c r="L803" i="7"/>
  <c r="J835" i="7"/>
  <c r="K835" i="7" s="1"/>
  <c r="L807" i="7"/>
  <c r="J793" i="7"/>
  <c r="K793" i="7" s="1"/>
  <c r="J777" i="7"/>
  <c r="K777" i="7" s="1"/>
  <c r="J773" i="7"/>
  <c r="K773" i="7" s="1"/>
  <c r="L850" i="7"/>
  <c r="L788" i="7"/>
  <c r="J796" i="7"/>
  <c r="K796" i="7" s="1"/>
  <c r="J822" i="7"/>
  <c r="K822" i="7" s="1"/>
  <c r="J847" i="7"/>
  <c r="K847" i="7" s="1"/>
  <c r="L829" i="7"/>
  <c r="L851" i="7"/>
  <c r="J848" i="7"/>
  <c r="K848" i="7" s="1"/>
  <c r="J772" i="7"/>
  <c r="K772" i="7" s="1"/>
  <c r="L777" i="7"/>
  <c r="L826" i="7"/>
  <c r="L790" i="7"/>
  <c r="J817" i="7"/>
  <c r="K817" i="7" s="1"/>
  <c r="J851" i="7"/>
  <c r="K851" i="7" s="1"/>
  <c r="L847" i="7"/>
  <c r="L848" i="7"/>
  <c r="J788" i="7"/>
  <c r="K788" i="7" s="1"/>
  <c r="J840" i="7"/>
  <c r="K840" i="7" s="1"/>
  <c r="J805" i="7"/>
  <c r="K805" i="7" s="1"/>
  <c r="L783" i="7"/>
  <c r="J849" i="7"/>
  <c r="K849" i="7" s="1"/>
  <c r="J801" i="7"/>
  <c r="K801" i="7" s="1"/>
  <c r="L824" i="7"/>
  <c r="J789" i="7"/>
  <c r="K789" i="7" s="1"/>
  <c r="L838" i="7"/>
  <c r="L823" i="7"/>
  <c r="AI885" i="29"/>
  <c r="AD886" i="29"/>
  <c r="B885" i="29"/>
  <c r="AF884" i="29"/>
  <c r="AE884" i="29"/>
  <c r="J883" i="29"/>
  <c r="Y883" i="29" s="1"/>
  <c r="I883" i="29"/>
  <c r="K883" i="29" s="1"/>
  <c r="N883" i="29" s="1"/>
  <c r="P882" i="29"/>
  <c r="V882" i="29"/>
  <c r="W882" i="29" s="1"/>
  <c r="G884" i="29"/>
  <c r="Q884" i="29"/>
  <c r="R884" i="29"/>
  <c r="T884" i="29"/>
  <c r="U884" i="29"/>
  <c r="S884" i="29"/>
  <c r="E884" i="29"/>
  <c r="Z882" i="29"/>
  <c r="O883" i="29"/>
  <c r="K853" i="7" l="1"/>
  <c r="J853" i="7"/>
  <c r="O884" i="29"/>
  <c r="P883" i="29"/>
  <c r="V883" i="29"/>
  <c r="W883" i="29" s="1"/>
  <c r="Z883" i="29"/>
  <c r="J884" i="29"/>
  <c r="Y884" i="29" s="1"/>
  <c r="I884" i="29"/>
  <c r="AE885" i="29"/>
  <c r="AF885" i="29"/>
  <c r="G885" i="29"/>
  <c r="E885" i="29"/>
  <c r="S885" i="29"/>
  <c r="Q885" i="29"/>
  <c r="U885" i="29"/>
  <c r="T885" i="29"/>
  <c r="R885" i="29"/>
  <c r="AI886" i="29"/>
  <c r="AD887" i="29"/>
  <c r="B886" i="29"/>
  <c r="Z884" i="29" l="1"/>
  <c r="G886" i="29"/>
  <c r="E886" i="29"/>
  <c r="R886" i="29"/>
  <c r="S886" i="29"/>
  <c r="U886" i="29"/>
  <c r="T886" i="29"/>
  <c r="Q886" i="29"/>
  <c r="AI887" i="29"/>
  <c r="B887" i="29"/>
  <c r="AD888" i="29"/>
  <c r="O885" i="29"/>
  <c r="AF886" i="29"/>
  <c r="AE886" i="29"/>
  <c r="I885" i="29"/>
  <c r="J885" i="29"/>
  <c r="Y885" i="29" s="1"/>
  <c r="O886" i="29" l="1"/>
  <c r="AI888" i="29"/>
  <c r="B888" i="29"/>
  <c r="AD889" i="29"/>
  <c r="Z885" i="29"/>
  <c r="G887" i="29"/>
  <c r="E887" i="29"/>
  <c r="T887" i="29"/>
  <c r="Q887" i="29"/>
  <c r="U887" i="29"/>
  <c r="R887" i="29"/>
  <c r="S887" i="29"/>
  <c r="J886" i="29"/>
  <c r="Y886" i="29" s="1"/>
  <c r="I886" i="29"/>
  <c r="AE887" i="29"/>
  <c r="AF887" i="29"/>
  <c r="O887" i="29" l="1"/>
  <c r="AI889" i="29"/>
  <c r="AD890" i="29"/>
  <c r="B889" i="29"/>
  <c r="Z886" i="29"/>
  <c r="I887" i="29"/>
  <c r="J887" i="29"/>
  <c r="Y887" i="29" s="1"/>
  <c r="G888" i="29"/>
  <c r="E888" i="29"/>
  <c r="S888" i="29"/>
  <c r="Q888" i="29"/>
  <c r="T888" i="29"/>
  <c r="U888" i="29"/>
  <c r="R888" i="29"/>
  <c r="AE888" i="29"/>
  <c r="AF888" i="29"/>
  <c r="Z887" i="29" l="1"/>
  <c r="J888" i="29"/>
  <c r="Y888" i="29" s="1"/>
  <c r="I888" i="29"/>
  <c r="O888" i="29"/>
  <c r="G889" i="29"/>
  <c r="S889" i="29"/>
  <c r="T889" i="29"/>
  <c r="E889" i="29"/>
  <c r="U889" i="29"/>
  <c r="Q889" i="29"/>
  <c r="R889" i="29"/>
  <c r="AI890" i="29"/>
  <c r="AD891" i="29"/>
  <c r="B890" i="29"/>
  <c r="AE889" i="29"/>
  <c r="AF889" i="29"/>
  <c r="Z888" i="29" l="1"/>
  <c r="I889" i="29"/>
  <c r="J889" i="29"/>
  <c r="Y889" i="29" s="1"/>
  <c r="AI891" i="29"/>
  <c r="AD892" i="29"/>
  <c r="B891" i="29"/>
  <c r="AE890" i="29"/>
  <c r="AF890" i="29"/>
  <c r="O889" i="29"/>
  <c r="G890" i="29"/>
  <c r="Q890" i="29"/>
  <c r="U890" i="29"/>
  <c r="E890" i="29"/>
  <c r="R890" i="29"/>
  <c r="S890" i="29"/>
  <c r="T890" i="29"/>
  <c r="J890" i="29" l="1"/>
  <c r="Y890" i="29" s="1"/>
  <c r="I890" i="29"/>
  <c r="AF891" i="29"/>
  <c r="AE891" i="29"/>
  <c r="Z889" i="29"/>
  <c r="O890" i="29"/>
  <c r="G891" i="29"/>
  <c r="S891" i="29"/>
  <c r="T891" i="29"/>
  <c r="U891" i="29"/>
  <c r="Q891" i="29"/>
  <c r="R891" i="29"/>
  <c r="E891" i="29"/>
  <c r="AI892" i="29"/>
  <c r="AD893" i="29"/>
  <c r="B892" i="29"/>
  <c r="G892" i="29" l="1"/>
  <c r="Q892" i="29"/>
  <c r="U892" i="29"/>
  <c r="S892" i="29"/>
  <c r="R892" i="29"/>
  <c r="T892" i="29"/>
  <c r="E892" i="29"/>
  <c r="AI893" i="29"/>
  <c r="B893" i="29"/>
  <c r="AD894" i="29"/>
  <c r="AE892" i="29"/>
  <c r="AF892" i="29"/>
  <c r="O891" i="29"/>
  <c r="Z890" i="29"/>
  <c r="J891" i="29"/>
  <c r="Y891" i="29" s="1"/>
  <c r="I891" i="29"/>
  <c r="J892" i="29" l="1"/>
  <c r="Y892" i="29" s="1"/>
  <c r="I892" i="29"/>
  <c r="AI894" i="29"/>
  <c r="AD895" i="29"/>
  <c r="B894" i="29"/>
  <c r="AF893" i="29"/>
  <c r="AE893" i="29"/>
  <c r="Z891" i="29"/>
  <c r="G893" i="29"/>
  <c r="U893" i="29"/>
  <c r="R893" i="29"/>
  <c r="T893" i="29"/>
  <c r="Q893" i="29"/>
  <c r="S893" i="29"/>
  <c r="E893" i="29"/>
  <c r="O892" i="29"/>
  <c r="Z892" i="29" l="1"/>
  <c r="I893" i="29"/>
  <c r="J893" i="29"/>
  <c r="Y893" i="29" s="1"/>
  <c r="AI895" i="29"/>
  <c r="B895" i="29"/>
  <c r="AD896" i="29"/>
  <c r="AF894" i="29"/>
  <c r="AE894" i="29"/>
  <c r="O893" i="29"/>
  <c r="G894" i="29"/>
  <c r="Q894" i="29"/>
  <c r="T894" i="29"/>
  <c r="R894" i="29"/>
  <c r="U894" i="29"/>
  <c r="S894" i="29"/>
  <c r="E894" i="29"/>
  <c r="O894" i="29" l="1"/>
  <c r="AI896" i="29"/>
  <c r="B896" i="29"/>
  <c r="AD897" i="29"/>
  <c r="G895" i="29"/>
  <c r="T895" i="29"/>
  <c r="R895" i="29"/>
  <c r="U895" i="29"/>
  <c r="S895" i="29"/>
  <c r="E895" i="29"/>
  <c r="Q895" i="29"/>
  <c r="Z893" i="29"/>
  <c r="AE895" i="29"/>
  <c r="AF895" i="29"/>
  <c r="J894" i="29"/>
  <c r="Y894" i="29" s="1"/>
  <c r="I894" i="29"/>
  <c r="Z894" i="29" l="1"/>
  <c r="G896" i="29"/>
  <c r="E896" i="29"/>
  <c r="U896" i="29"/>
  <c r="S896" i="29"/>
  <c r="Q896" i="29"/>
  <c r="T896" i="29"/>
  <c r="R896" i="29"/>
  <c r="I895" i="29"/>
  <c r="J895" i="29"/>
  <c r="Y895" i="29" s="1"/>
  <c r="O895" i="29"/>
  <c r="AF896" i="29"/>
  <c r="AE896" i="29"/>
  <c r="AI897" i="29"/>
  <c r="B897" i="29"/>
  <c r="AD898" i="29"/>
  <c r="I896" i="29" l="1"/>
  <c r="J896" i="29"/>
  <c r="Y896" i="29" s="1"/>
  <c r="Z895" i="29"/>
  <c r="AE897" i="29"/>
  <c r="AF897" i="29"/>
  <c r="AI898" i="29"/>
  <c r="B898" i="29"/>
  <c r="AD899" i="29"/>
  <c r="G897" i="29"/>
  <c r="T897" i="29"/>
  <c r="U897" i="29"/>
  <c r="R897" i="29"/>
  <c r="Q897" i="29"/>
  <c r="E897" i="29"/>
  <c r="S897" i="29"/>
  <c r="O896" i="29"/>
  <c r="AI899" i="29" l="1"/>
  <c r="AD900" i="29"/>
  <c r="B899" i="29"/>
  <c r="I897" i="29"/>
  <c r="J897" i="29"/>
  <c r="Y897" i="29" s="1"/>
  <c r="Z896" i="29"/>
  <c r="G898" i="29"/>
  <c r="T898" i="29"/>
  <c r="R898" i="29"/>
  <c r="U898" i="29"/>
  <c r="S898" i="29"/>
  <c r="E898" i="29"/>
  <c r="Q898" i="29"/>
  <c r="AF898" i="29"/>
  <c r="AE898" i="29"/>
  <c r="O897" i="29"/>
  <c r="G899" i="29" l="1"/>
  <c r="T899" i="29"/>
  <c r="E899" i="29"/>
  <c r="S899" i="29"/>
  <c r="R899" i="29"/>
  <c r="Q899" i="29"/>
  <c r="U899" i="29"/>
  <c r="Z897" i="29"/>
  <c r="I898" i="29"/>
  <c r="J898" i="29"/>
  <c r="Y898" i="29" s="1"/>
  <c r="O898" i="29"/>
  <c r="AI900" i="29"/>
  <c r="B900" i="29"/>
  <c r="AD901" i="29"/>
  <c r="AE899" i="29"/>
  <c r="AF899" i="29"/>
  <c r="I899" i="29" l="1"/>
  <c r="J899" i="29"/>
  <c r="Y899" i="29" s="1"/>
  <c r="G900" i="29"/>
  <c r="R900" i="29"/>
  <c r="Q900" i="29"/>
  <c r="S900" i="29"/>
  <c r="U900" i="29"/>
  <c r="T900" i="29"/>
  <c r="E900" i="29"/>
  <c r="Z898" i="29"/>
  <c r="AF900" i="29"/>
  <c r="AE900" i="29"/>
  <c r="AI901" i="29"/>
  <c r="AD902" i="29"/>
  <c r="B901" i="29"/>
  <c r="O899" i="29"/>
  <c r="AI902" i="29" l="1"/>
  <c r="AD903" i="29"/>
  <c r="B902" i="29"/>
  <c r="AF901" i="29"/>
  <c r="AE901" i="29"/>
  <c r="G901" i="29"/>
  <c r="U901" i="29"/>
  <c r="T901" i="29"/>
  <c r="S901" i="29"/>
  <c r="E901" i="29"/>
  <c r="Q901" i="29"/>
  <c r="R901" i="29"/>
  <c r="J900" i="29"/>
  <c r="Y900" i="29" s="1"/>
  <c r="I900" i="29"/>
  <c r="Z899" i="29"/>
  <c r="O900" i="29"/>
  <c r="O901" i="29" l="1"/>
  <c r="AF902" i="29"/>
  <c r="AE902" i="29"/>
  <c r="Z900" i="29"/>
  <c r="G902" i="29"/>
  <c r="T902" i="29"/>
  <c r="E902" i="29"/>
  <c r="S902" i="29"/>
  <c r="Q902" i="29"/>
  <c r="U902" i="29"/>
  <c r="R902" i="29"/>
  <c r="I901" i="29"/>
  <c r="J901" i="29"/>
  <c r="Y901" i="29" s="1"/>
  <c r="AI903" i="29"/>
  <c r="AD904" i="29"/>
  <c r="B903" i="29"/>
  <c r="Z901" i="29" l="1"/>
  <c r="G903" i="29"/>
  <c r="Q903" i="29"/>
  <c r="E903" i="29"/>
  <c r="S903" i="29"/>
  <c r="R903" i="29"/>
  <c r="T903" i="29"/>
  <c r="U903" i="29"/>
  <c r="AI904" i="29"/>
  <c r="B904" i="29"/>
  <c r="AD905" i="29"/>
  <c r="AF903" i="29"/>
  <c r="AE903" i="29"/>
  <c r="O902" i="29"/>
  <c r="I902" i="29"/>
  <c r="J902" i="29"/>
  <c r="Y902" i="29" s="1"/>
  <c r="I903" i="29" l="1"/>
  <c r="J903" i="29"/>
  <c r="Y903" i="29" s="1"/>
  <c r="G904" i="29"/>
  <c r="R904" i="29"/>
  <c r="T904" i="29"/>
  <c r="E904" i="29"/>
  <c r="S904" i="29"/>
  <c r="U904" i="29"/>
  <c r="Q904" i="29"/>
  <c r="AF904" i="29"/>
  <c r="AE904" i="29"/>
  <c r="Z902" i="29"/>
  <c r="AI905" i="29"/>
  <c r="B905" i="29"/>
  <c r="AD906" i="29"/>
  <c r="O903" i="29"/>
  <c r="O904" i="29" l="1"/>
  <c r="Z903" i="29"/>
  <c r="I904" i="29"/>
  <c r="J904" i="29"/>
  <c r="Y904" i="29" s="1"/>
  <c r="AI906" i="29"/>
  <c r="B906" i="29"/>
  <c r="AD907" i="29"/>
  <c r="G905" i="29"/>
  <c r="T905" i="29"/>
  <c r="E905" i="29"/>
  <c r="R905" i="29"/>
  <c r="U905" i="29"/>
  <c r="S905" i="29"/>
  <c r="Q905" i="29"/>
  <c r="AF905" i="29"/>
  <c r="AE905" i="29"/>
  <c r="G906" i="29" l="1"/>
  <c r="U906" i="29"/>
  <c r="Q906" i="29"/>
  <c r="S906" i="29"/>
  <c r="E906" i="29"/>
  <c r="T906" i="29"/>
  <c r="R906" i="29"/>
  <c r="AF906" i="29"/>
  <c r="AE906" i="29"/>
  <c r="O905" i="29"/>
  <c r="I905" i="29"/>
  <c r="J905" i="29"/>
  <c r="Y905" i="29" s="1"/>
  <c r="AI907" i="29"/>
  <c r="B907" i="29"/>
  <c r="AD908" i="29"/>
  <c r="Z904" i="29"/>
  <c r="AI908" i="29" l="1"/>
  <c r="AD909" i="29"/>
  <c r="B908" i="29"/>
  <c r="Z905" i="29"/>
  <c r="G907" i="29"/>
  <c r="T907" i="29"/>
  <c r="R907" i="29"/>
  <c r="Q907" i="29"/>
  <c r="E907" i="29"/>
  <c r="U907" i="29"/>
  <c r="S907" i="29"/>
  <c r="I906" i="29"/>
  <c r="J906" i="29"/>
  <c r="Y906" i="29" s="1"/>
  <c r="AF907" i="29"/>
  <c r="AE907" i="29"/>
  <c r="O906" i="29"/>
  <c r="Z906" i="29" l="1"/>
  <c r="AE908" i="29"/>
  <c r="AF908" i="29"/>
  <c r="J907" i="29"/>
  <c r="Y907" i="29" s="1"/>
  <c r="I907" i="29"/>
  <c r="G908" i="29"/>
  <c r="R908" i="29"/>
  <c r="T908" i="29"/>
  <c r="E908" i="29"/>
  <c r="Q908" i="29"/>
  <c r="U908" i="29"/>
  <c r="S908" i="29"/>
  <c r="O907" i="29"/>
  <c r="AI909" i="29"/>
  <c r="AD910" i="29"/>
  <c r="B909" i="29"/>
  <c r="O908" i="29" l="1"/>
  <c r="G909" i="29"/>
  <c r="U909" i="29"/>
  <c r="E909" i="29"/>
  <c r="S909" i="29"/>
  <c r="Q909" i="29"/>
  <c r="T909" i="29"/>
  <c r="R909" i="29"/>
  <c r="I908" i="29"/>
  <c r="J908" i="29"/>
  <c r="Y908" i="29" s="1"/>
  <c r="AF909" i="29"/>
  <c r="AE909" i="29"/>
  <c r="Z907" i="29"/>
  <c r="AI910" i="29"/>
  <c r="AD911" i="29"/>
  <c r="B910" i="29"/>
  <c r="AI911" i="29" l="1"/>
  <c r="AD912" i="29"/>
  <c r="B911" i="29"/>
  <c r="AE910" i="29"/>
  <c r="AF910" i="29"/>
  <c r="I909" i="29"/>
  <c r="J909" i="29"/>
  <c r="Y909" i="29" s="1"/>
  <c r="Z908" i="29"/>
  <c r="G910" i="29"/>
  <c r="R910" i="29"/>
  <c r="S910" i="29"/>
  <c r="E910" i="29"/>
  <c r="U910" i="29"/>
  <c r="Q910" i="29"/>
  <c r="T910" i="29"/>
  <c r="O909" i="29"/>
  <c r="O910" i="29" l="1"/>
  <c r="Z909" i="29"/>
  <c r="AI912" i="29"/>
  <c r="AD913" i="29"/>
  <c r="B912" i="29"/>
  <c r="AF911" i="29"/>
  <c r="AE911" i="29"/>
  <c r="I910" i="29"/>
  <c r="J910" i="29"/>
  <c r="Y910" i="29" s="1"/>
  <c r="G911" i="29"/>
  <c r="S911" i="29"/>
  <c r="R911" i="29"/>
  <c r="Q911" i="29"/>
  <c r="U911" i="29"/>
  <c r="E911" i="29"/>
  <c r="T911" i="29"/>
  <c r="O911" i="29" l="1"/>
  <c r="J911" i="29"/>
  <c r="Y911" i="29" s="1"/>
  <c r="I911" i="29"/>
  <c r="AI913" i="29"/>
  <c r="AD914" i="29"/>
  <c r="B913" i="29"/>
  <c r="AE912" i="29"/>
  <c r="AF912" i="29"/>
  <c r="G912" i="29"/>
  <c r="T912" i="29"/>
  <c r="U912" i="29"/>
  <c r="S912" i="29"/>
  <c r="Q912" i="29"/>
  <c r="E912" i="29"/>
  <c r="R912" i="29"/>
  <c r="Z910" i="29"/>
  <c r="Z911" i="29" l="1"/>
  <c r="J912" i="29"/>
  <c r="Y912" i="29" s="1"/>
  <c r="I912" i="29"/>
  <c r="AI914" i="29"/>
  <c r="AD915" i="29"/>
  <c r="B914" i="29"/>
  <c r="AE913" i="29"/>
  <c r="AF913" i="29"/>
  <c r="O912" i="29"/>
  <c r="G913" i="29"/>
  <c r="U913" i="29"/>
  <c r="S913" i="29"/>
  <c r="E913" i="29"/>
  <c r="T913" i="29"/>
  <c r="R913" i="29"/>
  <c r="Q913" i="29"/>
  <c r="G914" i="29" l="1"/>
  <c r="R914" i="29"/>
  <c r="E914" i="29"/>
  <c r="T914" i="29"/>
  <c r="U914" i="29"/>
  <c r="S914" i="29"/>
  <c r="Q914" i="29"/>
  <c r="J913" i="29"/>
  <c r="Y913" i="29" s="1"/>
  <c r="I913" i="29"/>
  <c r="AI915" i="29"/>
  <c r="B915" i="29"/>
  <c r="AD916" i="29"/>
  <c r="O913" i="29"/>
  <c r="AF914" i="29"/>
  <c r="AE914" i="29"/>
  <c r="Z912" i="29"/>
  <c r="Z913" i="29" l="1"/>
  <c r="AF915" i="29"/>
  <c r="AE915" i="29"/>
  <c r="AI916" i="29"/>
  <c r="B916" i="29"/>
  <c r="AD917" i="29"/>
  <c r="I914" i="29"/>
  <c r="J914" i="29"/>
  <c r="Y914" i="29" s="1"/>
  <c r="G915" i="29"/>
  <c r="T915" i="29"/>
  <c r="U915" i="29"/>
  <c r="S915" i="29"/>
  <c r="Q915" i="29"/>
  <c r="E915" i="29"/>
  <c r="R915" i="29"/>
  <c r="O914" i="29"/>
  <c r="O915" i="29" l="1"/>
  <c r="AI917" i="29"/>
  <c r="B917" i="29"/>
  <c r="AD918" i="29"/>
  <c r="G916" i="29"/>
  <c r="S916" i="29"/>
  <c r="Q916" i="29"/>
  <c r="U916" i="29"/>
  <c r="R916" i="29"/>
  <c r="E916" i="29"/>
  <c r="T916" i="29"/>
  <c r="AE916" i="29"/>
  <c r="AF916" i="29"/>
  <c r="Z914" i="29"/>
  <c r="J915" i="29"/>
  <c r="Y915" i="29" s="1"/>
  <c r="I915" i="29"/>
  <c r="G917" i="29" l="1"/>
  <c r="U917" i="29"/>
  <c r="Q917" i="29"/>
  <c r="S917" i="29"/>
  <c r="E917" i="29"/>
  <c r="R917" i="29"/>
  <c r="T917" i="29"/>
  <c r="Z915" i="29"/>
  <c r="J916" i="29"/>
  <c r="Y916" i="29" s="1"/>
  <c r="I916" i="29"/>
  <c r="O916" i="29"/>
  <c r="AF917" i="29"/>
  <c r="AE917" i="29"/>
  <c r="AI918" i="29"/>
  <c r="AD919" i="29"/>
  <c r="B918" i="29"/>
  <c r="AI919" i="29" l="1"/>
  <c r="B919" i="29"/>
  <c r="AD920" i="29"/>
  <c r="J917" i="29"/>
  <c r="Y917" i="29" s="1"/>
  <c r="I917" i="29"/>
  <c r="Z916" i="29"/>
  <c r="AF918" i="29"/>
  <c r="AE918" i="29"/>
  <c r="O917" i="29"/>
  <c r="G918" i="29"/>
  <c r="Q918" i="29"/>
  <c r="S918" i="29"/>
  <c r="T918" i="29"/>
  <c r="U918" i="29"/>
  <c r="E918" i="29"/>
  <c r="R918" i="29"/>
  <c r="G919" i="29" l="1"/>
  <c r="U919" i="29"/>
  <c r="Q919" i="29"/>
  <c r="S919" i="29"/>
  <c r="T919" i="29"/>
  <c r="E919" i="29"/>
  <c r="R919" i="29"/>
  <c r="Z917" i="29"/>
  <c r="AF919" i="29"/>
  <c r="AE919" i="29"/>
  <c r="J918" i="29"/>
  <c r="Y918" i="29" s="1"/>
  <c r="I918" i="29"/>
  <c r="O918" i="29"/>
  <c r="AI920" i="29"/>
  <c r="B920" i="29"/>
  <c r="AD921" i="29"/>
  <c r="AF920" i="29" l="1"/>
  <c r="AE920" i="29"/>
  <c r="O919" i="29"/>
  <c r="G920" i="29"/>
  <c r="Q920" i="29"/>
  <c r="R920" i="29"/>
  <c r="T920" i="29"/>
  <c r="E920" i="29"/>
  <c r="U920" i="29"/>
  <c r="S920" i="29"/>
  <c r="J919" i="29"/>
  <c r="Y919" i="29" s="1"/>
  <c r="I919" i="29"/>
  <c r="AI921" i="29"/>
  <c r="AD922" i="29"/>
  <c r="B921" i="29"/>
  <c r="Z918" i="29"/>
  <c r="O920" i="29" l="1"/>
  <c r="Z919" i="29"/>
  <c r="J920" i="29"/>
  <c r="Y920" i="29" s="1"/>
  <c r="I920" i="29"/>
  <c r="AI922" i="29"/>
  <c r="B922" i="29"/>
  <c r="AD923" i="29"/>
  <c r="AE921" i="29"/>
  <c r="AF921" i="29"/>
  <c r="G921" i="29"/>
  <c r="T921" i="29"/>
  <c r="U921" i="29"/>
  <c r="R921" i="29"/>
  <c r="E921" i="29"/>
  <c r="S921" i="29"/>
  <c r="Q921" i="29"/>
  <c r="Z920" i="29" l="1"/>
  <c r="AI923" i="29"/>
  <c r="B923" i="29"/>
  <c r="AD924" i="29"/>
  <c r="O921" i="29"/>
  <c r="J921" i="29"/>
  <c r="Y921" i="29" s="1"/>
  <c r="I921" i="29"/>
  <c r="G922" i="29"/>
  <c r="U922" i="29"/>
  <c r="S922" i="29"/>
  <c r="T922" i="29"/>
  <c r="E922" i="29"/>
  <c r="R922" i="29"/>
  <c r="Q922" i="29"/>
  <c r="AE922" i="29"/>
  <c r="AF922" i="29"/>
  <c r="G923" i="29" l="1"/>
  <c r="Q923" i="29"/>
  <c r="R923" i="29"/>
  <c r="S923" i="29"/>
  <c r="T923" i="29"/>
  <c r="E923" i="29"/>
  <c r="U923" i="29"/>
  <c r="J922" i="29"/>
  <c r="Y922" i="29" s="1"/>
  <c r="I922" i="29"/>
  <c r="AF923" i="29"/>
  <c r="AE923" i="29"/>
  <c r="Z921" i="29"/>
  <c r="O922" i="29"/>
  <c r="AI924" i="29"/>
  <c r="B924" i="29"/>
  <c r="AD925" i="29"/>
  <c r="O923" i="29" l="1"/>
  <c r="AE924" i="29"/>
  <c r="AF924" i="29"/>
  <c r="Z922" i="29"/>
  <c r="I923" i="29"/>
  <c r="J923" i="29"/>
  <c r="Y923" i="29" s="1"/>
  <c r="AI925" i="29"/>
  <c r="B925" i="29"/>
  <c r="AD926" i="29"/>
  <c r="G924" i="29"/>
  <c r="U924" i="29"/>
  <c r="R924" i="29"/>
  <c r="S924" i="29"/>
  <c r="E924" i="29"/>
  <c r="T924" i="29"/>
  <c r="Q924" i="29"/>
  <c r="Z923" i="29" l="1"/>
  <c r="AF925" i="29"/>
  <c r="AE925" i="29"/>
  <c r="J924" i="29"/>
  <c r="Y924" i="29" s="1"/>
  <c r="I924" i="29"/>
  <c r="AI926" i="29"/>
  <c r="AD927" i="29"/>
  <c r="B926" i="29"/>
  <c r="O924" i="29"/>
  <c r="G925" i="29"/>
  <c r="S925" i="29"/>
  <c r="Q925" i="29"/>
  <c r="U925" i="29"/>
  <c r="R925" i="29"/>
  <c r="T925" i="29"/>
  <c r="E925" i="29"/>
  <c r="G926" i="29" l="1"/>
  <c r="E926" i="29"/>
  <c r="Q926" i="29"/>
  <c r="T926" i="29"/>
  <c r="R926" i="29"/>
  <c r="U926" i="29"/>
  <c r="S926" i="29"/>
  <c r="Z924" i="29"/>
  <c r="AI927" i="29"/>
  <c r="AD928" i="29"/>
  <c r="B927" i="29"/>
  <c r="O925" i="29"/>
  <c r="AF926" i="29"/>
  <c r="AE926" i="29"/>
  <c r="I925" i="29"/>
  <c r="J925" i="29"/>
  <c r="Y925" i="29" s="1"/>
  <c r="O926" i="29" l="1"/>
  <c r="AE927" i="29"/>
  <c r="AF927" i="29"/>
  <c r="I926" i="29"/>
  <c r="J926" i="29"/>
  <c r="Y926" i="29" s="1"/>
  <c r="Z925" i="29"/>
  <c r="G927" i="29"/>
  <c r="E927" i="29"/>
  <c r="U927" i="29"/>
  <c r="Q927" i="29"/>
  <c r="R927" i="29"/>
  <c r="T927" i="29"/>
  <c r="S927" i="29"/>
  <c r="AI928" i="29"/>
  <c r="B928" i="29"/>
  <c r="AD929" i="29"/>
  <c r="AF928" i="29" l="1"/>
  <c r="AE928" i="29"/>
  <c r="AI929" i="29"/>
  <c r="B929" i="29"/>
  <c r="AD930" i="29"/>
  <c r="O927" i="29"/>
  <c r="I927" i="29"/>
  <c r="J927" i="29"/>
  <c r="Y927" i="29" s="1"/>
  <c r="G928" i="29"/>
  <c r="R928" i="29"/>
  <c r="E928" i="29"/>
  <c r="U928" i="29"/>
  <c r="S928" i="29"/>
  <c r="Q928" i="29"/>
  <c r="T928" i="29"/>
  <c r="Z926" i="29"/>
  <c r="AF929" i="29" l="1"/>
  <c r="AE929" i="29"/>
  <c r="I928" i="29"/>
  <c r="J928" i="29"/>
  <c r="Y928" i="29" s="1"/>
  <c r="Z927" i="29"/>
  <c r="O928" i="29"/>
  <c r="AI930" i="29"/>
  <c r="B930" i="29"/>
  <c r="AD931" i="29"/>
  <c r="G929" i="29"/>
  <c r="E929" i="29"/>
  <c r="Q929" i="29"/>
  <c r="T929" i="29"/>
  <c r="U929" i="29"/>
  <c r="R929" i="29"/>
  <c r="S929" i="29"/>
  <c r="AI931" i="29" l="1"/>
  <c r="AD932" i="29"/>
  <c r="B931" i="29"/>
  <c r="G930" i="29"/>
  <c r="T930" i="29"/>
  <c r="E930" i="29"/>
  <c r="Q930" i="29"/>
  <c r="U930" i="29"/>
  <c r="S930" i="29"/>
  <c r="R930" i="29"/>
  <c r="AE930" i="29"/>
  <c r="AF930" i="29"/>
  <c r="O929" i="29"/>
  <c r="Z928" i="29"/>
  <c r="I929" i="29"/>
  <c r="J929" i="29"/>
  <c r="Y929" i="29" s="1"/>
  <c r="Z929" i="29" l="1"/>
  <c r="AF931" i="29"/>
  <c r="AE931" i="29"/>
  <c r="O930" i="29"/>
  <c r="G931" i="29"/>
  <c r="R931" i="29"/>
  <c r="E931" i="29"/>
  <c r="Q931" i="29"/>
  <c r="T931" i="29"/>
  <c r="S931" i="29"/>
  <c r="U931" i="29"/>
  <c r="J930" i="29"/>
  <c r="Y930" i="29" s="1"/>
  <c r="I930" i="29"/>
  <c r="AI932" i="29"/>
  <c r="AD933" i="29"/>
  <c r="B932" i="29"/>
  <c r="Z930" i="29" l="1"/>
  <c r="G932" i="29"/>
  <c r="Q932" i="29"/>
  <c r="T932" i="29"/>
  <c r="R932" i="29"/>
  <c r="E932" i="29"/>
  <c r="S932" i="29"/>
  <c r="U932" i="29"/>
  <c r="O931" i="29"/>
  <c r="J931" i="29"/>
  <c r="Y931" i="29" s="1"/>
  <c r="I931" i="29"/>
  <c r="AI933" i="29"/>
  <c r="AD934" i="29"/>
  <c r="B933" i="29"/>
  <c r="AE932" i="29"/>
  <c r="AF932" i="29"/>
  <c r="O932" i="29" l="1"/>
  <c r="J932" i="29"/>
  <c r="Y932" i="29" s="1"/>
  <c r="I932" i="29"/>
  <c r="Z931" i="29"/>
  <c r="G933" i="29"/>
  <c r="Q933" i="29"/>
  <c r="S933" i="29"/>
  <c r="U933" i="29"/>
  <c r="E933" i="29"/>
  <c r="R933" i="29"/>
  <c r="T933" i="29"/>
  <c r="AI934" i="29"/>
  <c r="AD935" i="29"/>
  <c r="B934" i="29"/>
  <c r="AE933" i="29"/>
  <c r="AF933" i="29"/>
  <c r="Z932" i="29" l="1"/>
  <c r="O933" i="29"/>
  <c r="I933" i="29"/>
  <c r="J933" i="29"/>
  <c r="Y933" i="29" s="1"/>
  <c r="AF934" i="29"/>
  <c r="AE934" i="29"/>
  <c r="G934" i="29"/>
  <c r="Q934" i="29"/>
  <c r="E934" i="29"/>
  <c r="T934" i="29"/>
  <c r="S934" i="29"/>
  <c r="U934" i="29"/>
  <c r="R934" i="29"/>
  <c r="AI935" i="29"/>
  <c r="B935" i="29"/>
  <c r="AD936" i="29"/>
  <c r="O934" i="29" l="1"/>
  <c r="I934" i="29"/>
  <c r="J934" i="29"/>
  <c r="Y934" i="29" s="1"/>
  <c r="AF935" i="29"/>
  <c r="AE935" i="29"/>
  <c r="AI936" i="29"/>
  <c r="B936" i="29"/>
  <c r="AD937" i="29"/>
  <c r="G935" i="29"/>
  <c r="R935" i="29"/>
  <c r="E935" i="29"/>
  <c r="U935" i="29"/>
  <c r="S935" i="29"/>
  <c r="T935" i="29"/>
  <c r="Q935" i="29"/>
  <c r="Z933" i="29"/>
  <c r="Z934" i="29" l="1"/>
  <c r="AI937" i="29"/>
  <c r="AD938" i="29"/>
  <c r="B937" i="29"/>
  <c r="O935" i="29"/>
  <c r="G936" i="29"/>
  <c r="Q936" i="29"/>
  <c r="R936" i="29"/>
  <c r="S936" i="29"/>
  <c r="U936" i="29"/>
  <c r="E936" i="29"/>
  <c r="T936" i="29"/>
  <c r="AF936" i="29"/>
  <c r="AE936" i="29"/>
  <c r="I935" i="29"/>
  <c r="J935" i="29"/>
  <c r="Y935" i="29" s="1"/>
  <c r="AI938" i="29" l="1"/>
  <c r="AD939" i="29"/>
  <c r="B938" i="29"/>
  <c r="O936" i="29"/>
  <c r="AE937" i="29"/>
  <c r="AF937" i="29"/>
  <c r="I936" i="29"/>
  <c r="J936" i="29"/>
  <c r="Y936" i="29" s="1"/>
  <c r="Z935" i="29"/>
  <c r="G937" i="29"/>
  <c r="S937" i="29"/>
  <c r="R937" i="29"/>
  <c r="Q937" i="29"/>
  <c r="T937" i="29"/>
  <c r="E937" i="29"/>
  <c r="U937" i="29"/>
  <c r="G938" i="29" l="1"/>
  <c r="E938" i="29"/>
  <c r="T938" i="29"/>
  <c r="Q938" i="29"/>
  <c r="U938" i="29"/>
  <c r="S938" i="29"/>
  <c r="R938" i="29"/>
  <c r="O937" i="29"/>
  <c r="Z936" i="29"/>
  <c r="AI939" i="29"/>
  <c r="AD940" i="29"/>
  <c r="B939" i="29"/>
  <c r="J937" i="29"/>
  <c r="Y937" i="29" s="1"/>
  <c r="I937" i="29"/>
  <c r="AF938" i="29"/>
  <c r="AE938" i="29"/>
  <c r="O938" i="29" l="1"/>
  <c r="AE939" i="29"/>
  <c r="AF939" i="29"/>
  <c r="I938" i="29"/>
  <c r="J938" i="29"/>
  <c r="Y938" i="29" s="1"/>
  <c r="G939" i="29"/>
  <c r="S939" i="29"/>
  <c r="U939" i="29"/>
  <c r="R939" i="29"/>
  <c r="E939" i="29"/>
  <c r="Q939" i="29"/>
  <c r="T939" i="29"/>
  <c r="AI940" i="29"/>
  <c r="B940" i="29"/>
  <c r="AD941" i="29"/>
  <c r="Z937" i="29"/>
  <c r="Z938" i="29" l="1"/>
  <c r="J939" i="29"/>
  <c r="Y939" i="29" s="1"/>
  <c r="I939" i="29"/>
  <c r="AI941" i="29"/>
  <c r="AD942" i="29"/>
  <c r="B941" i="29"/>
  <c r="G940" i="29"/>
  <c r="S940" i="29"/>
  <c r="U940" i="29"/>
  <c r="T940" i="29"/>
  <c r="R940" i="29"/>
  <c r="Q940" i="29"/>
  <c r="E940" i="29"/>
  <c r="AF940" i="29"/>
  <c r="AE940" i="29"/>
  <c r="O939" i="29"/>
  <c r="G941" i="29" l="1"/>
  <c r="U941" i="29"/>
  <c r="S941" i="29"/>
  <c r="R941" i="29"/>
  <c r="E941" i="29"/>
  <c r="Q941" i="29"/>
  <c r="T941" i="29"/>
  <c r="Z939" i="29"/>
  <c r="I940" i="29"/>
  <c r="J940" i="29"/>
  <c r="Y940" i="29" s="1"/>
  <c r="AI942" i="29"/>
  <c r="B942" i="29"/>
  <c r="AD943" i="29"/>
  <c r="O940" i="29"/>
  <c r="AF941" i="29"/>
  <c r="AE941" i="29"/>
  <c r="O941" i="29" l="1"/>
  <c r="AI943" i="29"/>
  <c r="AD944" i="29"/>
  <c r="B943" i="29"/>
  <c r="I941" i="29"/>
  <c r="J941" i="29"/>
  <c r="Y941" i="29" s="1"/>
  <c r="AF942" i="29"/>
  <c r="AE942" i="29"/>
  <c r="G942" i="29"/>
  <c r="E942" i="29"/>
  <c r="U942" i="29"/>
  <c r="S942" i="29"/>
  <c r="Q942" i="29"/>
  <c r="R942" i="29"/>
  <c r="T942" i="29"/>
  <c r="Z940" i="29"/>
  <c r="G943" i="29" l="1"/>
  <c r="R943" i="29"/>
  <c r="T943" i="29"/>
  <c r="S943" i="29"/>
  <c r="E943" i="29"/>
  <c r="U943" i="29"/>
  <c r="Q943" i="29"/>
  <c r="Z941" i="29"/>
  <c r="AI944" i="29"/>
  <c r="B944" i="29"/>
  <c r="AD945" i="29"/>
  <c r="O942" i="29"/>
  <c r="J942" i="29"/>
  <c r="Y942" i="29" s="1"/>
  <c r="I942" i="29"/>
  <c r="AE943" i="29"/>
  <c r="AF943" i="29"/>
  <c r="O943" i="29" l="1"/>
  <c r="AF944" i="29"/>
  <c r="AE944" i="29"/>
  <c r="Z942" i="29"/>
  <c r="AI945" i="29"/>
  <c r="B945" i="29"/>
  <c r="AD946" i="29"/>
  <c r="I943" i="29"/>
  <c r="J943" i="29"/>
  <c r="Y943" i="29" s="1"/>
  <c r="G944" i="29"/>
  <c r="U944" i="29"/>
  <c r="S944" i="29"/>
  <c r="E944" i="29"/>
  <c r="T944" i="29"/>
  <c r="Q944" i="29"/>
  <c r="R944" i="29"/>
  <c r="Z943" i="29" l="1"/>
  <c r="G945" i="29"/>
  <c r="U945" i="29"/>
  <c r="R945" i="29"/>
  <c r="Q945" i="29"/>
  <c r="S945" i="29"/>
  <c r="E945" i="29"/>
  <c r="T945" i="29"/>
  <c r="O944" i="29"/>
  <c r="AE945" i="29"/>
  <c r="AF945" i="29"/>
  <c r="I944" i="29"/>
  <c r="J944" i="29"/>
  <c r="Y944" i="29" s="1"/>
  <c r="AI946" i="29"/>
  <c r="B946" i="29"/>
  <c r="AD947" i="29"/>
  <c r="G946" i="29" l="1"/>
  <c r="Q946" i="29"/>
  <c r="T946" i="29"/>
  <c r="E946" i="29"/>
  <c r="U946" i="29"/>
  <c r="S946" i="29"/>
  <c r="R946" i="29"/>
  <c r="AF946" i="29"/>
  <c r="AE946" i="29"/>
  <c r="O945" i="29"/>
  <c r="J945" i="29"/>
  <c r="Y945" i="29" s="1"/>
  <c r="I945" i="29"/>
  <c r="AI947" i="29"/>
  <c r="B947" i="29"/>
  <c r="AD948" i="29"/>
  <c r="Z944" i="29"/>
  <c r="O946" i="29" l="1"/>
  <c r="AE947" i="29"/>
  <c r="AF947" i="29"/>
  <c r="Z945" i="29"/>
  <c r="AI948" i="29"/>
  <c r="B948" i="29"/>
  <c r="AD949" i="29"/>
  <c r="G947" i="29"/>
  <c r="Q947" i="29"/>
  <c r="R947" i="29"/>
  <c r="U947" i="29"/>
  <c r="T947" i="29"/>
  <c r="E947" i="29"/>
  <c r="S947" i="29"/>
  <c r="J946" i="29"/>
  <c r="Y946" i="29" s="1"/>
  <c r="I946" i="29"/>
  <c r="Z946" i="29" l="1"/>
  <c r="G948" i="29"/>
  <c r="E948" i="29"/>
  <c r="T948" i="29"/>
  <c r="Q948" i="29"/>
  <c r="S948" i="29"/>
  <c r="R948" i="29"/>
  <c r="U948" i="29"/>
  <c r="AF948" i="29"/>
  <c r="AE948" i="29"/>
  <c r="O947" i="29"/>
  <c r="AI949" i="29"/>
  <c r="B949" i="29"/>
  <c r="AD950" i="29"/>
  <c r="I947" i="29"/>
  <c r="J947" i="29"/>
  <c r="Y947" i="29" s="1"/>
  <c r="Z947" i="29" l="1"/>
  <c r="AE949" i="29"/>
  <c r="AF949" i="29"/>
  <c r="J948" i="29"/>
  <c r="Y948" i="29" s="1"/>
  <c r="I948" i="29"/>
  <c r="O948" i="29"/>
  <c r="AI950" i="29"/>
  <c r="AD951" i="29"/>
  <c r="B950" i="29"/>
  <c r="G949" i="29"/>
  <c r="Q949" i="29"/>
  <c r="R949" i="29"/>
  <c r="S949" i="29"/>
  <c r="T949" i="29"/>
  <c r="U949" i="29"/>
  <c r="E949" i="29"/>
  <c r="O949" i="29" l="1"/>
  <c r="G950" i="29"/>
  <c r="E950" i="29"/>
  <c r="R950" i="29"/>
  <c r="T950" i="29"/>
  <c r="S950" i="29"/>
  <c r="U950" i="29"/>
  <c r="Q950" i="29"/>
  <c r="J949" i="29"/>
  <c r="Y949" i="29" s="1"/>
  <c r="I949" i="29"/>
  <c r="AI951" i="29"/>
  <c r="AD952" i="29"/>
  <c r="B951" i="29"/>
  <c r="AF950" i="29"/>
  <c r="AE950" i="29"/>
  <c r="Z948" i="29"/>
  <c r="Z949" i="29" l="1"/>
  <c r="I950" i="29"/>
  <c r="J950" i="29"/>
  <c r="Y950" i="29" s="1"/>
  <c r="G951" i="29"/>
  <c r="R951" i="29"/>
  <c r="Q951" i="29"/>
  <c r="S951" i="29"/>
  <c r="U951" i="29"/>
  <c r="T951" i="29"/>
  <c r="E951" i="29"/>
  <c r="AI952" i="29"/>
  <c r="B952" i="29"/>
  <c r="AD953" i="29"/>
  <c r="AF951" i="29"/>
  <c r="AE951" i="29"/>
  <c r="O950" i="29"/>
  <c r="AI953" i="29" l="1"/>
  <c r="B953" i="29"/>
  <c r="AD954" i="29"/>
  <c r="O951" i="29"/>
  <c r="I951" i="29"/>
  <c r="J951" i="29"/>
  <c r="Y951" i="29" s="1"/>
  <c r="G952" i="29"/>
  <c r="Q952" i="29"/>
  <c r="S952" i="29"/>
  <c r="U952" i="29"/>
  <c r="T952" i="29"/>
  <c r="E952" i="29"/>
  <c r="R952" i="29"/>
  <c r="AE952" i="29"/>
  <c r="AF952" i="29"/>
  <c r="Z950" i="29"/>
  <c r="J952" i="29" l="1"/>
  <c r="Y952" i="29" s="1"/>
  <c r="I952" i="29"/>
  <c r="AF953" i="29"/>
  <c r="AE953" i="29"/>
  <c r="O952" i="29"/>
  <c r="AI954" i="29"/>
  <c r="AD955" i="29"/>
  <c r="B954" i="29"/>
  <c r="Z951" i="29"/>
  <c r="G953" i="29"/>
  <c r="R953" i="29"/>
  <c r="T953" i="29"/>
  <c r="S953" i="29"/>
  <c r="U953" i="29"/>
  <c r="E953" i="29"/>
  <c r="Q953" i="29"/>
  <c r="I953" i="29" l="1"/>
  <c r="J953" i="29"/>
  <c r="Y953" i="29" s="1"/>
  <c r="G954" i="29"/>
  <c r="Q954" i="29"/>
  <c r="S954" i="29"/>
  <c r="T954" i="29"/>
  <c r="E954" i="29"/>
  <c r="U954" i="29"/>
  <c r="R954" i="29"/>
  <c r="AI955" i="29"/>
  <c r="AD956" i="29"/>
  <c r="B955" i="29"/>
  <c r="O953" i="29"/>
  <c r="AE954" i="29"/>
  <c r="AF954" i="29"/>
  <c r="Z952" i="29"/>
  <c r="O954" i="29" l="1"/>
  <c r="J954" i="29"/>
  <c r="Y954" i="29" s="1"/>
  <c r="I954" i="29"/>
  <c r="AI956" i="29"/>
  <c r="AD957" i="29"/>
  <c r="B956" i="29"/>
  <c r="Z953" i="29"/>
  <c r="AE955" i="29"/>
  <c r="AF955" i="29"/>
  <c r="G955" i="29"/>
  <c r="Q955" i="29"/>
  <c r="R955" i="29"/>
  <c r="S955" i="29"/>
  <c r="U955" i="29"/>
  <c r="E955" i="29"/>
  <c r="T955" i="29"/>
  <c r="Z954" i="29" l="1"/>
  <c r="O955" i="29"/>
  <c r="I955" i="29"/>
  <c r="J955" i="29"/>
  <c r="Y955" i="29" s="1"/>
  <c r="G956" i="29"/>
  <c r="Q956" i="29"/>
  <c r="U956" i="29"/>
  <c r="R956" i="29"/>
  <c r="E956" i="29"/>
  <c r="T956" i="29"/>
  <c r="S956" i="29"/>
  <c r="AI957" i="29"/>
  <c r="B957" i="29"/>
  <c r="AD958" i="29"/>
  <c r="AE956" i="29"/>
  <c r="AF956" i="29"/>
  <c r="Z955" i="29" l="1"/>
  <c r="AI958" i="29"/>
  <c r="B958" i="29"/>
  <c r="AD959" i="29"/>
  <c r="G957" i="29"/>
  <c r="Q957" i="29"/>
  <c r="T957" i="29"/>
  <c r="U957" i="29"/>
  <c r="E957" i="29"/>
  <c r="S957" i="29"/>
  <c r="R957" i="29"/>
  <c r="I956" i="29"/>
  <c r="J956" i="29"/>
  <c r="Y956" i="29" s="1"/>
  <c r="AE957" i="29"/>
  <c r="AF957" i="29"/>
  <c r="O956" i="29"/>
  <c r="G958" i="29" l="1"/>
  <c r="R958" i="29"/>
  <c r="U958" i="29"/>
  <c r="S958" i="29"/>
  <c r="Q958" i="29"/>
  <c r="E958" i="29"/>
  <c r="T958" i="29"/>
  <c r="AE958" i="29"/>
  <c r="AF958" i="29"/>
  <c r="Z956" i="29"/>
  <c r="J957" i="29"/>
  <c r="Y957" i="29" s="1"/>
  <c r="I957" i="29"/>
  <c r="O957" i="29"/>
  <c r="AI959" i="29"/>
  <c r="B959" i="29"/>
  <c r="AD960" i="29"/>
  <c r="O958" i="29" l="1"/>
  <c r="G959" i="29"/>
  <c r="T959" i="29"/>
  <c r="S959" i="29"/>
  <c r="U959" i="29"/>
  <c r="E959" i="29"/>
  <c r="Q959" i="29"/>
  <c r="R959" i="29"/>
  <c r="Z957" i="29"/>
  <c r="AI960" i="29"/>
  <c r="B960" i="29"/>
  <c r="AD961" i="29"/>
  <c r="AF959" i="29"/>
  <c r="AE959" i="29"/>
  <c r="I958" i="29"/>
  <c r="J958" i="29"/>
  <c r="Y958" i="29" s="1"/>
  <c r="Z958" i="29" l="1"/>
  <c r="G960" i="29"/>
  <c r="U960" i="29"/>
  <c r="E960" i="29"/>
  <c r="S960" i="29"/>
  <c r="Q960" i="29"/>
  <c r="T960" i="29"/>
  <c r="R960" i="29"/>
  <c r="AI961" i="29"/>
  <c r="AD962" i="29"/>
  <c r="B961" i="29"/>
  <c r="I959" i="29"/>
  <c r="J959" i="29"/>
  <c r="Y959" i="29" s="1"/>
  <c r="AE960" i="29"/>
  <c r="AF960" i="29"/>
  <c r="O959" i="29"/>
  <c r="G961" i="29" l="1"/>
  <c r="T961" i="29"/>
  <c r="R961" i="29"/>
  <c r="Q961" i="29"/>
  <c r="S961" i="29"/>
  <c r="U961" i="29"/>
  <c r="E961" i="29"/>
  <c r="Z959" i="29"/>
  <c r="AI962" i="29"/>
  <c r="B962" i="29"/>
  <c r="AD963" i="29"/>
  <c r="AE961" i="29"/>
  <c r="AF961" i="29"/>
  <c r="I960" i="29"/>
  <c r="J960" i="29"/>
  <c r="Y960" i="29" s="1"/>
  <c r="O960" i="29"/>
  <c r="O961" i="29" l="1"/>
  <c r="AF962" i="29"/>
  <c r="AE962" i="29"/>
  <c r="I961" i="29"/>
  <c r="J961" i="29"/>
  <c r="Y961" i="29" s="1"/>
  <c r="G962" i="29"/>
  <c r="R962" i="29"/>
  <c r="S962" i="29"/>
  <c r="E962" i="29"/>
  <c r="Q962" i="29"/>
  <c r="T962" i="29"/>
  <c r="U962" i="29"/>
  <c r="Z960" i="29"/>
  <c r="AI963" i="29"/>
  <c r="B963" i="29"/>
  <c r="AD964" i="29"/>
  <c r="O962" i="29" l="1"/>
  <c r="G963" i="29"/>
  <c r="T963" i="29"/>
  <c r="S963" i="29"/>
  <c r="U963" i="29"/>
  <c r="E963" i="29"/>
  <c r="R963" i="29"/>
  <c r="Q963" i="29"/>
  <c r="AI964" i="29"/>
  <c r="B964" i="29"/>
  <c r="AD965" i="29"/>
  <c r="AF963" i="29"/>
  <c r="AE963" i="29"/>
  <c r="Z961" i="29"/>
  <c r="I962" i="29"/>
  <c r="J962" i="29"/>
  <c r="Y962" i="29" s="1"/>
  <c r="Z962" i="29" l="1"/>
  <c r="AE964" i="29"/>
  <c r="AF964" i="29"/>
  <c r="I963" i="29"/>
  <c r="J963" i="29"/>
  <c r="Y963" i="29" s="1"/>
  <c r="G964" i="29"/>
  <c r="R964" i="29"/>
  <c r="U964" i="29"/>
  <c r="E964" i="29"/>
  <c r="S964" i="29"/>
  <c r="T964" i="29"/>
  <c r="Q964" i="29"/>
  <c r="AI965" i="29"/>
  <c r="B965" i="29"/>
  <c r="AD966" i="29"/>
  <c r="O963" i="29"/>
  <c r="Z963" i="29" l="1"/>
  <c r="AI966" i="29"/>
  <c r="B966" i="29"/>
  <c r="AD967" i="29"/>
  <c r="G965" i="29"/>
  <c r="E965" i="29"/>
  <c r="R965" i="29"/>
  <c r="T965" i="29"/>
  <c r="Q965" i="29"/>
  <c r="U965" i="29"/>
  <c r="S965" i="29"/>
  <c r="AE965" i="29"/>
  <c r="AF965" i="29"/>
  <c r="O964" i="29"/>
  <c r="J964" i="29"/>
  <c r="Y964" i="29" s="1"/>
  <c r="I964" i="29"/>
  <c r="Z964" i="29" l="1"/>
  <c r="O965" i="29"/>
  <c r="G966" i="29"/>
  <c r="Q966" i="29"/>
  <c r="T966" i="29"/>
  <c r="S966" i="29"/>
  <c r="R966" i="29"/>
  <c r="U966" i="29"/>
  <c r="E966" i="29"/>
  <c r="AE966" i="29"/>
  <c r="AF966" i="29"/>
  <c r="I965" i="29"/>
  <c r="J965" i="29"/>
  <c r="Y965" i="29" s="1"/>
  <c r="AI967" i="29"/>
  <c r="B967" i="29"/>
  <c r="AD968" i="29"/>
  <c r="O966" i="29" l="1"/>
  <c r="AI968" i="29"/>
  <c r="B968" i="29"/>
  <c r="AD969" i="29"/>
  <c r="J966" i="29"/>
  <c r="Y966" i="29" s="1"/>
  <c r="I966" i="29"/>
  <c r="G967" i="29"/>
  <c r="U967" i="29"/>
  <c r="E967" i="29"/>
  <c r="S967" i="29"/>
  <c r="T967" i="29"/>
  <c r="R967" i="29"/>
  <c r="Q967" i="29"/>
  <c r="AE967" i="29"/>
  <c r="AF967" i="29"/>
  <c r="Z965" i="29"/>
  <c r="Z966" i="29" l="1"/>
  <c r="O967" i="29"/>
  <c r="AE968" i="29"/>
  <c r="AF968" i="29"/>
  <c r="I967" i="29"/>
  <c r="J967" i="29"/>
  <c r="Y967" i="29" s="1"/>
  <c r="AI969" i="29"/>
  <c r="AD970" i="29"/>
  <c r="B969" i="29"/>
  <c r="G968" i="29"/>
  <c r="U968" i="29"/>
  <c r="T968" i="29"/>
  <c r="R968" i="29"/>
  <c r="E968" i="29"/>
  <c r="S968" i="29"/>
  <c r="Q968" i="29"/>
  <c r="AI970" i="29" l="1"/>
  <c r="B970" i="29"/>
  <c r="AD971" i="29"/>
  <c r="AE969" i="29"/>
  <c r="AF969" i="29"/>
  <c r="O968" i="29"/>
  <c r="I968" i="29"/>
  <c r="J968" i="29"/>
  <c r="Y968" i="29" s="1"/>
  <c r="G969" i="29"/>
  <c r="R969" i="29"/>
  <c r="E969" i="29"/>
  <c r="T969" i="29"/>
  <c r="U969" i="29"/>
  <c r="Q969" i="29"/>
  <c r="S969" i="29"/>
  <c r="Z967" i="29"/>
  <c r="Z968" i="29" l="1"/>
  <c r="AF970" i="29"/>
  <c r="AE970" i="29"/>
  <c r="O969" i="29"/>
  <c r="AI971" i="29"/>
  <c r="AD972" i="29"/>
  <c r="B971" i="29"/>
  <c r="J969" i="29"/>
  <c r="Y969" i="29" s="1"/>
  <c r="I969" i="29"/>
  <c r="K969" i="29" s="1"/>
  <c r="N969" i="29" s="1"/>
  <c r="G970" i="29"/>
  <c r="R970" i="29"/>
  <c r="E970" i="29"/>
  <c r="T970" i="29"/>
  <c r="S970" i="29"/>
  <c r="Q970" i="29"/>
  <c r="U970" i="29"/>
  <c r="M855" i="7" l="1"/>
  <c r="M858" i="7" s="1"/>
  <c r="M860" i="7" s="1"/>
  <c r="J909" i="7" s="1"/>
  <c r="K909" i="7" s="1"/>
  <c r="J895" i="7"/>
  <c r="K895" i="7" s="1"/>
  <c r="L890" i="7"/>
  <c r="L907" i="7"/>
  <c r="L864" i="7"/>
  <c r="J879" i="7"/>
  <c r="K879" i="7" s="1"/>
  <c r="J875" i="7"/>
  <c r="K875" i="7" s="1"/>
  <c r="J904" i="7"/>
  <c r="K904" i="7" s="1"/>
  <c r="L902" i="7"/>
  <c r="L919" i="7"/>
  <c r="L886" i="7"/>
  <c r="J871" i="7"/>
  <c r="K871" i="7" s="1"/>
  <c r="J859" i="7"/>
  <c r="K859" i="7" s="1"/>
  <c r="J907" i="7"/>
  <c r="K907" i="7" s="1"/>
  <c r="J897" i="7"/>
  <c r="K897" i="7" s="1"/>
  <c r="J937" i="7"/>
  <c r="K937" i="7" s="1"/>
  <c r="L877" i="7"/>
  <c r="L898" i="7"/>
  <c r="L915" i="7"/>
  <c r="L878" i="7"/>
  <c r="J862" i="7"/>
  <c r="K862" i="7" s="1"/>
  <c r="J870" i="7"/>
  <c r="K870" i="7" s="1"/>
  <c r="J865" i="7"/>
  <c r="K865" i="7" s="1"/>
  <c r="J884" i="7"/>
  <c r="K884" i="7" s="1"/>
  <c r="J927" i="7"/>
  <c r="K927" i="7" s="1"/>
  <c r="J912" i="7"/>
  <c r="K912" i="7" s="1"/>
  <c r="L904" i="7"/>
  <c r="L926" i="7"/>
  <c r="L861" i="7"/>
  <c r="L880" i="7"/>
  <c r="L905" i="7"/>
  <c r="J914" i="7"/>
  <c r="K914" i="7" s="1"/>
  <c r="J858" i="7"/>
  <c r="K858" i="7" s="1"/>
  <c r="J892" i="7"/>
  <c r="K892" i="7" s="1"/>
  <c r="J864" i="7"/>
  <c r="K864" i="7" s="1"/>
  <c r="L937" i="7"/>
  <c r="L916" i="7"/>
  <c r="L858" i="7"/>
  <c r="L873" i="7"/>
  <c r="L891" i="7"/>
  <c r="L917" i="7"/>
  <c r="J890" i="7"/>
  <c r="K890" i="7" s="1"/>
  <c r="J874" i="7"/>
  <c r="K874" i="7" s="1"/>
  <c r="J910" i="7"/>
  <c r="K910" i="7" s="1"/>
  <c r="J903" i="7"/>
  <c r="K903" i="7" s="1"/>
  <c r="J915" i="7"/>
  <c r="K915" i="7" s="1"/>
  <c r="L928" i="7"/>
  <c r="L867" i="7"/>
  <c r="L887" i="7"/>
  <c r="L903" i="7"/>
  <c r="L929" i="7"/>
  <c r="J861" i="7"/>
  <c r="K861" i="7" s="1"/>
  <c r="J863" i="7"/>
  <c r="K863" i="7" s="1"/>
  <c r="J887" i="7"/>
  <c r="K887" i="7" s="1"/>
  <c r="J905" i="7"/>
  <c r="K905" i="7" s="1"/>
  <c r="J889" i="7"/>
  <c r="K889" i="7" s="1"/>
  <c r="L924" i="7"/>
  <c r="L863" i="7"/>
  <c r="L883" i="7"/>
  <c r="L899" i="7"/>
  <c r="L925" i="7"/>
  <c r="J869" i="7"/>
  <c r="K869" i="7" s="1"/>
  <c r="J877" i="7"/>
  <c r="K877" i="7" s="1"/>
  <c r="J923" i="7"/>
  <c r="K923" i="7" s="1"/>
  <c r="P969" i="29"/>
  <c r="V969" i="29"/>
  <c r="W969" i="29" s="1"/>
  <c r="J970" i="29"/>
  <c r="Y970" i="29" s="1"/>
  <c r="I970" i="29"/>
  <c r="K970" i="29" s="1"/>
  <c r="N970" i="29" s="1"/>
  <c r="V970" i="29" s="1"/>
  <c r="W970" i="29" s="1"/>
  <c r="G971" i="29"/>
  <c r="E971" i="29"/>
  <c r="R971" i="29"/>
  <c r="T971" i="29"/>
  <c r="S971" i="29"/>
  <c r="U971" i="29"/>
  <c r="Q971" i="29"/>
  <c r="O970" i="29"/>
  <c r="AI972" i="29"/>
  <c r="AD973" i="29"/>
  <c r="B972" i="29"/>
  <c r="AF971" i="29"/>
  <c r="AE971" i="29"/>
  <c r="Z969" i="29"/>
  <c r="J925" i="7" l="1"/>
  <c r="K925" i="7" s="1"/>
  <c r="J866" i="7"/>
  <c r="K866" i="7" s="1"/>
  <c r="L895" i="7"/>
  <c r="L860" i="7"/>
  <c r="J913" i="7"/>
  <c r="K913" i="7" s="1"/>
  <c r="L857" i="7"/>
  <c r="L881" i="7"/>
  <c r="J928" i="7"/>
  <c r="K928" i="7" s="1"/>
  <c r="L932" i="7"/>
  <c r="J883" i="7"/>
  <c r="K883" i="7" s="1"/>
  <c r="J857" i="7"/>
  <c r="J882" i="7"/>
  <c r="K882" i="7" s="1"/>
  <c r="J933" i="7"/>
  <c r="K933" i="7" s="1"/>
  <c r="L871" i="7"/>
  <c r="J902" i="7"/>
  <c r="K902" i="7" s="1"/>
  <c r="L879" i="7"/>
  <c r="J881" i="7"/>
  <c r="K881" i="7" s="1"/>
  <c r="J926" i="7"/>
  <c r="K926" i="7" s="1"/>
  <c r="L893" i="7"/>
  <c r="L870" i="7"/>
  <c r="L892" i="7"/>
  <c r="L914" i="7"/>
  <c r="J931" i="7"/>
  <c r="K931" i="7" s="1"/>
  <c r="J908" i="7"/>
  <c r="K908" i="7" s="1"/>
  <c r="L897" i="7"/>
  <c r="L874" i="7"/>
  <c r="J901" i="7"/>
  <c r="K901" i="7" s="1"/>
  <c r="J911" i="7"/>
  <c r="K911" i="7" s="1"/>
  <c r="J934" i="7"/>
  <c r="K934" i="7" s="1"/>
  <c r="L921" i="7"/>
  <c r="L920" i="7"/>
  <c r="J876" i="7"/>
  <c r="K876" i="7" s="1"/>
  <c r="L931" i="7"/>
  <c r="J885" i="7"/>
  <c r="K885" i="7" s="1"/>
  <c r="L933" i="7"/>
  <c r="L868" i="7"/>
  <c r="L906" i="7"/>
  <c r="L885" i="7"/>
  <c r="L896" i="7"/>
  <c r="J916" i="7"/>
  <c r="K916" i="7" s="1"/>
  <c r="J873" i="7"/>
  <c r="K873" i="7" s="1"/>
  <c r="J921" i="7"/>
  <c r="K921" i="7" s="1"/>
  <c r="J930" i="7"/>
  <c r="K930" i="7" s="1"/>
  <c r="L918" i="7"/>
  <c r="J891" i="7"/>
  <c r="K891" i="7" s="1"/>
  <c r="L923" i="7"/>
  <c r="J920" i="7"/>
  <c r="K920" i="7" s="1"/>
  <c r="L894" i="7"/>
  <c r="J935" i="7"/>
  <c r="K935" i="7" s="1"/>
  <c r="J906" i="7"/>
  <c r="K906" i="7" s="1"/>
  <c r="L884" i="7"/>
  <c r="J868" i="7"/>
  <c r="K868" i="7" s="1"/>
  <c r="L875" i="7"/>
  <c r="L935" i="7"/>
  <c r="J918" i="7"/>
  <c r="K918" i="7" s="1"/>
  <c r="L934" i="7"/>
  <c r="L888" i="7"/>
  <c r="L862" i="7"/>
  <c r="J919" i="7"/>
  <c r="K919" i="7" s="1"/>
  <c r="J932" i="7"/>
  <c r="K932" i="7" s="1"/>
  <c r="J894" i="7"/>
  <c r="K894" i="7" s="1"/>
  <c r="J893" i="7"/>
  <c r="K893" i="7" s="1"/>
  <c r="L936" i="7"/>
  <c r="J896" i="7"/>
  <c r="K896" i="7" s="1"/>
  <c r="L911" i="7"/>
  <c r="J936" i="7"/>
  <c r="K936" i="7" s="1"/>
  <c r="L865" i="7"/>
  <c r="L913" i="7"/>
  <c r="J867" i="7"/>
  <c r="K867" i="7" s="1"/>
  <c r="J922" i="7"/>
  <c r="K922" i="7" s="1"/>
  <c r="L872" i="7"/>
  <c r="J899" i="7"/>
  <c r="K899" i="7" s="1"/>
  <c r="J888" i="7"/>
  <c r="K888" i="7" s="1"/>
  <c r="L930" i="7"/>
  <c r="J898" i="7"/>
  <c r="K898" i="7" s="1"/>
  <c r="L912" i="7"/>
  <c r="L901" i="7"/>
  <c r="L909" i="7"/>
  <c r="L908" i="7"/>
  <c r="J880" i="7"/>
  <c r="K880" i="7" s="1"/>
  <c r="L869" i="7"/>
  <c r="J878" i="7"/>
  <c r="K878" i="7" s="1"/>
  <c r="L859" i="7"/>
  <c r="L900" i="7"/>
  <c r="L922" i="7"/>
  <c r="J924" i="7"/>
  <c r="K924" i="7" s="1"/>
  <c r="L876" i="7"/>
  <c r="J886" i="7"/>
  <c r="K886" i="7" s="1"/>
  <c r="J929" i="7"/>
  <c r="K929" i="7" s="1"/>
  <c r="J900" i="7"/>
  <c r="K900" i="7" s="1"/>
  <c r="J860" i="7"/>
  <c r="K860" i="7" s="1"/>
  <c r="L882" i="7"/>
  <c r="J917" i="7"/>
  <c r="K917" i="7" s="1"/>
  <c r="L927" i="7"/>
  <c r="L866" i="7"/>
  <c r="L910" i="7"/>
  <c r="L889" i="7"/>
  <c r="J872" i="7"/>
  <c r="K872" i="7" s="1"/>
  <c r="K857" i="7"/>
  <c r="AE972" i="29"/>
  <c r="AF972" i="29"/>
  <c r="Z970" i="29"/>
  <c r="O971" i="29"/>
  <c r="I971" i="29"/>
  <c r="K971" i="29" s="1"/>
  <c r="N971" i="29" s="1"/>
  <c r="J971" i="29"/>
  <c r="Y971" i="29" s="1"/>
  <c r="G972" i="29"/>
  <c r="S972" i="29"/>
  <c r="E972" i="29"/>
  <c r="Q972" i="29"/>
  <c r="T972" i="29"/>
  <c r="R972" i="29"/>
  <c r="U972" i="29"/>
  <c r="P970" i="29"/>
  <c r="AI973" i="29"/>
  <c r="B973" i="29"/>
  <c r="AD974" i="29"/>
  <c r="J938" i="7" l="1"/>
  <c r="K938" i="7"/>
  <c r="P971" i="29"/>
  <c r="V971" i="29"/>
  <c r="W971" i="29" s="1"/>
  <c r="AI974" i="29"/>
  <c r="AD975" i="29"/>
  <c r="B974" i="29"/>
  <c r="Z971" i="29"/>
  <c r="J972" i="29"/>
  <c r="Y972" i="29" s="1"/>
  <c r="I972" i="29"/>
  <c r="K972" i="29" s="1"/>
  <c r="N972" i="29" s="1"/>
  <c r="AE973" i="29"/>
  <c r="AF973" i="29"/>
  <c r="G973" i="29"/>
  <c r="R973" i="29"/>
  <c r="T973" i="29"/>
  <c r="Q973" i="29"/>
  <c r="S973" i="29"/>
  <c r="U973" i="29"/>
  <c r="E973" i="29"/>
  <c r="O972" i="29"/>
  <c r="Z972" i="29" l="1"/>
  <c r="O973" i="29"/>
  <c r="AI975" i="29"/>
  <c r="AD976" i="29"/>
  <c r="B975" i="29"/>
  <c r="J973" i="29"/>
  <c r="Y973" i="29" s="1"/>
  <c r="I973" i="29"/>
  <c r="K973" i="29" s="1"/>
  <c r="N973" i="29" s="1"/>
  <c r="AE974" i="29"/>
  <c r="AF974" i="29"/>
  <c r="P972" i="29"/>
  <c r="V972" i="29"/>
  <c r="W972" i="29" s="1"/>
  <c r="G974" i="29"/>
  <c r="E974" i="29"/>
  <c r="Q974" i="29"/>
  <c r="S974" i="29"/>
  <c r="U974" i="29"/>
  <c r="T974" i="29"/>
  <c r="R974" i="29"/>
  <c r="Z973" i="29" l="1"/>
  <c r="O974" i="29"/>
  <c r="J974" i="29"/>
  <c r="Y974" i="29" s="1"/>
  <c r="I974" i="29"/>
  <c r="K974" i="29" s="1"/>
  <c r="N974" i="29" s="1"/>
  <c r="G975" i="29"/>
  <c r="R975" i="29"/>
  <c r="Q975" i="29"/>
  <c r="S975" i="29"/>
  <c r="U975" i="29"/>
  <c r="T975" i="29"/>
  <c r="E975" i="29"/>
  <c r="AI976" i="29"/>
  <c r="B976" i="29"/>
  <c r="AD977" i="29"/>
  <c r="P973" i="29"/>
  <c r="V973" i="29"/>
  <c r="W973" i="29" s="1"/>
  <c r="AF975" i="29"/>
  <c r="AE975" i="29"/>
  <c r="Z974" i="29" l="1"/>
  <c r="O975" i="29"/>
  <c r="AF976" i="29"/>
  <c r="AE976" i="29"/>
  <c r="V974" i="29"/>
  <c r="W974" i="29" s="1"/>
  <c r="P974" i="29"/>
  <c r="G976" i="29"/>
  <c r="Q976" i="29"/>
  <c r="T976" i="29"/>
  <c r="R976" i="29"/>
  <c r="E976" i="29"/>
  <c r="S976" i="29"/>
  <c r="U976" i="29"/>
  <c r="J975" i="29"/>
  <c r="Y975" i="29" s="1"/>
  <c r="I975" i="29"/>
  <c r="K975" i="29" s="1"/>
  <c r="N975" i="29" s="1"/>
  <c r="V975" i="29" s="1"/>
  <c r="W975" i="29" s="1"/>
  <c r="AI977" i="29"/>
  <c r="AD978" i="29"/>
  <c r="B977" i="29"/>
  <c r="Z975" i="29" l="1"/>
  <c r="P975" i="29"/>
  <c r="O976" i="29"/>
  <c r="G977" i="29"/>
  <c r="E977" i="29"/>
  <c r="S977" i="29"/>
  <c r="R977" i="29"/>
  <c r="Q977" i="29"/>
  <c r="U977" i="29"/>
  <c r="T977" i="29"/>
  <c r="AI978" i="29"/>
  <c r="AD979" i="29"/>
  <c r="B978" i="29"/>
  <c r="I976" i="29"/>
  <c r="K976" i="29" s="1"/>
  <c r="N976" i="29" s="1"/>
  <c r="J976" i="29"/>
  <c r="Y976" i="29" s="1"/>
  <c r="AE977" i="29"/>
  <c r="AF977" i="29"/>
  <c r="Z976" i="29" l="1"/>
  <c r="V976" i="29"/>
  <c r="W976" i="29" s="1"/>
  <c r="P976" i="29"/>
  <c r="AE978" i="29"/>
  <c r="AF978" i="29"/>
  <c r="O977" i="29"/>
  <c r="G978" i="29"/>
  <c r="T978" i="29"/>
  <c r="S978" i="29"/>
  <c r="Q978" i="29"/>
  <c r="R978" i="29"/>
  <c r="U978" i="29"/>
  <c r="E978" i="29"/>
  <c r="I977" i="29"/>
  <c r="K977" i="29" s="1"/>
  <c r="N977" i="29" s="1"/>
  <c r="J977" i="29"/>
  <c r="Y977" i="29" s="1"/>
  <c r="AI979" i="29"/>
  <c r="AD980" i="29"/>
  <c r="B979" i="29"/>
  <c r="O978" i="29" l="1"/>
  <c r="P977" i="29"/>
  <c r="V977" i="29"/>
  <c r="W977" i="29" s="1"/>
  <c r="G979" i="29"/>
  <c r="Q979" i="29"/>
  <c r="R979" i="29"/>
  <c r="U979" i="29"/>
  <c r="S979" i="29"/>
  <c r="E979" i="29"/>
  <c r="T979" i="29"/>
  <c r="Z977" i="29"/>
  <c r="AI980" i="29"/>
  <c r="B980" i="29"/>
  <c r="AD981" i="29"/>
  <c r="AF979" i="29"/>
  <c r="AE979" i="29"/>
  <c r="J978" i="29"/>
  <c r="Y978" i="29" s="1"/>
  <c r="I978" i="29"/>
  <c r="K978" i="29" s="1"/>
  <c r="N978" i="29" s="1"/>
  <c r="Z978" i="29" l="1"/>
  <c r="V978" i="29"/>
  <c r="W978" i="29" s="1"/>
  <c r="P978" i="29"/>
  <c r="O979" i="29"/>
  <c r="AE980" i="29"/>
  <c r="AF980" i="29"/>
  <c r="I979" i="29"/>
  <c r="K979" i="29" s="1"/>
  <c r="N979" i="29" s="1"/>
  <c r="J979" i="29"/>
  <c r="Y979" i="29" s="1"/>
  <c r="AI981" i="29"/>
  <c r="B981" i="29"/>
  <c r="AD982" i="29"/>
  <c r="G980" i="29"/>
  <c r="R980" i="29"/>
  <c r="U980" i="29"/>
  <c r="Q980" i="29"/>
  <c r="T980" i="29"/>
  <c r="S980" i="29"/>
  <c r="E980" i="29"/>
  <c r="Z979" i="29" l="1"/>
  <c r="AE981" i="29"/>
  <c r="AF981" i="29"/>
  <c r="AI982" i="29"/>
  <c r="AD983" i="29"/>
  <c r="B982" i="29"/>
  <c r="V979" i="29"/>
  <c r="W979" i="29" s="1"/>
  <c r="P979" i="29"/>
  <c r="O980" i="29"/>
  <c r="G981" i="29"/>
  <c r="S981" i="29"/>
  <c r="R981" i="29"/>
  <c r="Q981" i="29"/>
  <c r="U981" i="29"/>
  <c r="T981" i="29"/>
  <c r="E981" i="29"/>
  <c r="J980" i="29"/>
  <c r="Y980" i="29" s="1"/>
  <c r="I980" i="29"/>
  <c r="K980" i="29" s="1"/>
  <c r="N980" i="29" s="1"/>
  <c r="P980" i="29" l="1"/>
  <c r="V980" i="29"/>
  <c r="W980" i="29" s="1"/>
  <c r="G982" i="29"/>
  <c r="R982" i="29"/>
  <c r="T982" i="29"/>
  <c r="S982" i="29"/>
  <c r="U982" i="29"/>
  <c r="Q982" i="29"/>
  <c r="E982" i="29"/>
  <c r="O981" i="29"/>
  <c r="AI983" i="29"/>
  <c r="B983" i="29"/>
  <c r="AD984" i="29"/>
  <c r="Z980" i="29"/>
  <c r="AF982" i="29"/>
  <c r="AE982" i="29"/>
  <c r="J981" i="29"/>
  <c r="Y981" i="29" s="1"/>
  <c r="I981" i="29"/>
  <c r="K981" i="29" s="1"/>
  <c r="N981" i="29" s="1"/>
  <c r="V981" i="29" l="1"/>
  <c r="W981" i="29" s="1"/>
  <c r="P981" i="29"/>
  <c r="AI984" i="29"/>
  <c r="B984" i="29"/>
  <c r="AD985" i="29"/>
  <c r="I982" i="29"/>
  <c r="K982" i="29" s="1"/>
  <c r="N982" i="29" s="1"/>
  <c r="V982" i="29" s="1"/>
  <c r="W982" i="29" s="1"/>
  <c r="J982" i="29"/>
  <c r="Y982" i="29" s="1"/>
  <c r="G983" i="29"/>
  <c r="U983" i="29"/>
  <c r="T983" i="29"/>
  <c r="Q983" i="29"/>
  <c r="R983" i="29"/>
  <c r="S983" i="29"/>
  <c r="E983" i="29"/>
  <c r="AF983" i="29"/>
  <c r="AE983" i="29"/>
  <c r="Z981" i="29"/>
  <c r="O982" i="29"/>
  <c r="P982" i="29" l="1"/>
  <c r="AI985" i="29"/>
  <c r="AD986" i="29"/>
  <c r="B985" i="29"/>
  <c r="O983" i="29"/>
  <c r="G984" i="29"/>
  <c r="T984" i="29"/>
  <c r="U984" i="29"/>
  <c r="E984" i="29"/>
  <c r="Q984" i="29"/>
  <c r="S984" i="29"/>
  <c r="R984" i="29"/>
  <c r="AF984" i="29"/>
  <c r="AE984" i="29"/>
  <c r="Z982" i="29"/>
  <c r="J983" i="29"/>
  <c r="Y983" i="29" s="1"/>
  <c r="I983" i="29"/>
  <c r="K983" i="29" s="1"/>
  <c r="N983" i="29" s="1"/>
  <c r="V983" i="29" l="1"/>
  <c r="W983" i="29" s="1"/>
  <c r="P983" i="29"/>
  <c r="O984" i="29"/>
  <c r="G985" i="29"/>
  <c r="T985" i="29"/>
  <c r="Q985" i="29"/>
  <c r="E985" i="29"/>
  <c r="R985" i="29"/>
  <c r="U985" i="29"/>
  <c r="S985" i="29"/>
  <c r="AI986" i="29"/>
  <c r="AD987" i="29"/>
  <c r="B986" i="29"/>
  <c r="I984" i="29"/>
  <c r="K984" i="29" s="1"/>
  <c r="N984" i="29" s="1"/>
  <c r="J984" i="29"/>
  <c r="Y984" i="29" s="1"/>
  <c r="AE985" i="29"/>
  <c r="AF985" i="29"/>
  <c r="Z983" i="29"/>
  <c r="O985" i="29" l="1"/>
  <c r="P984" i="29"/>
  <c r="V984" i="29"/>
  <c r="W984" i="29" s="1"/>
  <c r="J985" i="29"/>
  <c r="Y985" i="29" s="1"/>
  <c r="I985" i="29"/>
  <c r="K985" i="29" s="1"/>
  <c r="N985" i="29" s="1"/>
  <c r="AF986" i="29"/>
  <c r="AE986" i="29"/>
  <c r="Z984" i="29"/>
  <c r="G986" i="29"/>
  <c r="R986" i="29"/>
  <c r="U986" i="29"/>
  <c r="E986" i="29"/>
  <c r="S986" i="29"/>
  <c r="Q986" i="29"/>
  <c r="T986" i="29"/>
  <c r="AI987" i="29"/>
  <c r="AD988" i="29"/>
  <c r="B987" i="29"/>
  <c r="Z985" i="29" l="1"/>
  <c r="V985" i="29"/>
  <c r="W985" i="29" s="1"/>
  <c r="P985" i="29"/>
  <c r="AF987" i="29"/>
  <c r="AE987" i="29"/>
  <c r="AI988" i="29"/>
  <c r="AD989" i="29"/>
  <c r="B988" i="29"/>
  <c r="O986" i="29"/>
  <c r="G987" i="29"/>
  <c r="Q987" i="29"/>
  <c r="T987" i="29"/>
  <c r="R987" i="29"/>
  <c r="E987" i="29"/>
  <c r="U987" i="29"/>
  <c r="S987" i="29"/>
  <c r="J986" i="29"/>
  <c r="Y986" i="29" s="1"/>
  <c r="I986" i="29"/>
  <c r="K986" i="29" s="1"/>
  <c r="N986" i="29" s="1"/>
  <c r="O987" i="29" l="1"/>
  <c r="V986" i="29"/>
  <c r="W986" i="29" s="1"/>
  <c r="P986" i="29"/>
  <c r="AI989" i="29"/>
  <c r="B989" i="29"/>
  <c r="AD990" i="29"/>
  <c r="J987" i="29"/>
  <c r="Y987" i="29" s="1"/>
  <c r="I987" i="29"/>
  <c r="K987" i="29" s="1"/>
  <c r="N987" i="29" s="1"/>
  <c r="Z986" i="29"/>
  <c r="AF988" i="29"/>
  <c r="AE988" i="29"/>
  <c r="G988" i="29"/>
  <c r="U988" i="29"/>
  <c r="S988" i="29"/>
  <c r="R988" i="29"/>
  <c r="E988" i="29"/>
  <c r="T988" i="29"/>
  <c r="Q988" i="29"/>
  <c r="Z987" i="29" l="1"/>
  <c r="P987" i="29"/>
  <c r="V987" i="29"/>
  <c r="W987" i="29" s="1"/>
  <c r="G989" i="29"/>
  <c r="E989" i="29"/>
  <c r="Q989" i="29"/>
  <c r="S989" i="29"/>
  <c r="R989" i="29"/>
  <c r="U989" i="29"/>
  <c r="T989" i="29"/>
  <c r="O988" i="29"/>
  <c r="AE989" i="29"/>
  <c r="AF989" i="29"/>
  <c r="J988" i="29"/>
  <c r="Y988" i="29" s="1"/>
  <c r="I988" i="29"/>
  <c r="K988" i="29" s="1"/>
  <c r="N988" i="29" s="1"/>
  <c r="AI990" i="29"/>
  <c r="AD991" i="29"/>
  <c r="B990" i="29"/>
  <c r="V988" i="29" l="1"/>
  <c r="W988" i="29" s="1"/>
  <c r="P988" i="29"/>
  <c r="AI991" i="29"/>
  <c r="B991" i="29"/>
  <c r="AD992" i="29"/>
  <c r="AE990" i="29"/>
  <c r="AF990" i="29"/>
  <c r="Z988" i="29"/>
  <c r="I989" i="29"/>
  <c r="K989" i="29" s="1"/>
  <c r="N989" i="29" s="1"/>
  <c r="J989" i="29"/>
  <c r="Y989" i="29" s="1"/>
  <c r="G990" i="29"/>
  <c r="T990" i="29"/>
  <c r="R990" i="29"/>
  <c r="S990" i="29"/>
  <c r="Q990" i="29"/>
  <c r="E990" i="29"/>
  <c r="U990" i="29"/>
  <c r="O989" i="29"/>
  <c r="O990" i="29" l="1"/>
  <c r="J990" i="29"/>
  <c r="Y990" i="29" s="1"/>
  <c r="I990" i="29"/>
  <c r="K990" i="29" s="1"/>
  <c r="N990" i="29" s="1"/>
  <c r="V990" i="29" s="1"/>
  <c r="W990" i="29" s="1"/>
  <c r="AI992" i="29"/>
  <c r="AD993" i="29"/>
  <c r="B992" i="29"/>
  <c r="P989" i="29"/>
  <c r="V989" i="29"/>
  <c r="W989" i="29" s="1"/>
  <c r="Z989" i="29"/>
  <c r="G991" i="29"/>
  <c r="Q991" i="29"/>
  <c r="T991" i="29"/>
  <c r="S991" i="29"/>
  <c r="R991" i="29"/>
  <c r="U991" i="29"/>
  <c r="E991" i="29"/>
  <c r="AF991" i="29"/>
  <c r="AE991" i="29"/>
  <c r="Z990" i="29" l="1"/>
  <c r="O991" i="29"/>
  <c r="P990" i="29"/>
  <c r="AF992" i="29"/>
  <c r="AE992" i="29"/>
  <c r="I991" i="29"/>
  <c r="K991" i="29" s="1"/>
  <c r="N991" i="29" s="1"/>
  <c r="J991" i="29"/>
  <c r="Y991" i="29" s="1"/>
  <c r="G992" i="29"/>
  <c r="Q992" i="29"/>
  <c r="U992" i="29"/>
  <c r="T992" i="29"/>
  <c r="E992" i="29"/>
  <c r="R992" i="29"/>
  <c r="S992" i="29"/>
  <c r="AI993" i="29"/>
  <c r="AD994" i="29"/>
  <c r="B993" i="29"/>
  <c r="Z991" i="29" l="1"/>
  <c r="V991" i="29"/>
  <c r="W991" i="29" s="1"/>
  <c r="P991" i="29"/>
  <c r="G993" i="29"/>
  <c r="Q993" i="29"/>
  <c r="T993" i="29"/>
  <c r="S993" i="29"/>
  <c r="R993" i="29"/>
  <c r="E993" i="29"/>
  <c r="U993" i="29"/>
  <c r="O992" i="29"/>
  <c r="I992" i="29"/>
  <c r="K992" i="29" s="1"/>
  <c r="N992" i="29" s="1"/>
  <c r="J992" i="29"/>
  <c r="Y992" i="29" s="1"/>
  <c r="AI994" i="29"/>
  <c r="B994" i="29"/>
  <c r="AD995" i="29"/>
  <c r="AF993" i="29"/>
  <c r="AE993" i="29"/>
  <c r="P992" i="29" l="1"/>
  <c r="V992" i="29"/>
  <c r="W992" i="29" s="1"/>
  <c r="AE994" i="29"/>
  <c r="AF994" i="29"/>
  <c r="I993" i="29"/>
  <c r="K993" i="29" s="1"/>
  <c r="N993" i="29" s="1"/>
  <c r="V993" i="29" s="1"/>
  <c r="W993" i="29" s="1"/>
  <c r="J993" i="29"/>
  <c r="Y993" i="29" s="1"/>
  <c r="Z992" i="29"/>
  <c r="O993" i="29"/>
  <c r="AI995" i="29"/>
  <c r="B995" i="29"/>
  <c r="AD996" i="29"/>
  <c r="G994" i="29"/>
  <c r="E994" i="29"/>
  <c r="U994" i="29"/>
  <c r="Q994" i="29"/>
  <c r="R994" i="29"/>
  <c r="S994" i="29"/>
  <c r="T994" i="29"/>
  <c r="P993" i="29" l="1"/>
  <c r="G995" i="29"/>
  <c r="Q995" i="29"/>
  <c r="S995" i="29"/>
  <c r="R995" i="29"/>
  <c r="U995" i="29"/>
  <c r="T995" i="29"/>
  <c r="E995" i="29"/>
  <c r="O994" i="29"/>
  <c r="AE995" i="29"/>
  <c r="AF995" i="29"/>
  <c r="Z993" i="29"/>
  <c r="J994" i="29"/>
  <c r="Y994" i="29" s="1"/>
  <c r="I994" i="29"/>
  <c r="K994" i="29" s="1"/>
  <c r="N994" i="29" s="1"/>
  <c r="AI996" i="29"/>
  <c r="B996" i="29"/>
  <c r="AD997" i="29"/>
  <c r="O995" i="29" l="1"/>
  <c r="V994" i="29"/>
  <c r="W994" i="29" s="1"/>
  <c r="P994" i="29"/>
  <c r="AI997" i="29"/>
  <c r="AD998" i="29"/>
  <c r="B997" i="29"/>
  <c r="AE996" i="29"/>
  <c r="AF996" i="29"/>
  <c r="G996" i="29"/>
  <c r="E996" i="29"/>
  <c r="U996" i="29"/>
  <c r="Q996" i="29"/>
  <c r="R996" i="29"/>
  <c r="T996" i="29"/>
  <c r="S996" i="29"/>
  <c r="I995" i="29"/>
  <c r="K995" i="29" s="1"/>
  <c r="N995" i="29" s="1"/>
  <c r="J995" i="29"/>
  <c r="Y995" i="29" s="1"/>
  <c r="Z994" i="29"/>
  <c r="Z995" i="29" l="1"/>
  <c r="P995" i="29"/>
  <c r="V995" i="29"/>
  <c r="W995" i="29" s="1"/>
  <c r="I996" i="29"/>
  <c r="K996" i="29" s="1"/>
  <c r="N996" i="29" s="1"/>
  <c r="J996" i="29"/>
  <c r="Y996" i="29" s="1"/>
  <c r="G997" i="29"/>
  <c r="U997" i="29"/>
  <c r="E997" i="29"/>
  <c r="R997" i="29"/>
  <c r="Q997" i="29"/>
  <c r="S997" i="29"/>
  <c r="T997" i="29"/>
  <c r="O996" i="29"/>
  <c r="AI998" i="29"/>
  <c r="AD999" i="29"/>
  <c r="B998" i="29"/>
  <c r="AF997" i="29"/>
  <c r="AE997" i="29"/>
  <c r="V996" i="29" l="1"/>
  <c r="W996" i="29" s="1"/>
  <c r="P996" i="29"/>
  <c r="G998" i="29"/>
  <c r="Q998" i="29"/>
  <c r="R998" i="29"/>
  <c r="T998" i="29"/>
  <c r="S998" i="29"/>
  <c r="E998" i="29"/>
  <c r="C45" i="69" s="1"/>
  <c r="J45" i="69" s="1"/>
  <c r="U998" i="29"/>
  <c r="AI999" i="29"/>
  <c r="AD1000" i="29"/>
  <c r="B999" i="29"/>
  <c r="AE998" i="29"/>
  <c r="AF998" i="29"/>
  <c r="Z996" i="29"/>
  <c r="I997" i="29"/>
  <c r="K997" i="29" s="1"/>
  <c r="N997" i="29" s="1"/>
  <c r="J997" i="29"/>
  <c r="Y997" i="29" s="1"/>
  <c r="O997" i="29"/>
  <c r="I45" i="69" l="1"/>
  <c r="K45" i="69" s="1"/>
  <c r="O998" i="29"/>
  <c r="P997" i="29"/>
  <c r="V997" i="29"/>
  <c r="W997" i="29" s="1"/>
  <c r="AI1000" i="29"/>
  <c r="B1000" i="29"/>
  <c r="AD1001" i="29"/>
  <c r="Z997" i="29"/>
  <c r="AE999" i="29"/>
  <c r="AF999" i="29"/>
  <c r="J998" i="29"/>
  <c r="Y998" i="29" s="1"/>
  <c r="I998" i="29"/>
  <c r="K998" i="29" s="1"/>
  <c r="N998" i="29" s="1"/>
  <c r="G999" i="29"/>
  <c r="Q999" i="29"/>
  <c r="R999" i="29"/>
  <c r="E999" i="29"/>
  <c r="T999" i="29"/>
  <c r="U999" i="29"/>
  <c r="S999" i="29"/>
  <c r="Z998" i="29" l="1"/>
  <c r="V998" i="29"/>
  <c r="W998" i="29" s="1"/>
  <c r="P998" i="29"/>
  <c r="I999" i="29"/>
  <c r="K999" i="29" s="1"/>
  <c r="N999" i="29" s="1"/>
  <c r="J999" i="29"/>
  <c r="Y999" i="29" s="1"/>
  <c r="AE1000" i="29"/>
  <c r="AF1000" i="29"/>
  <c r="O999" i="29"/>
  <c r="AI1001" i="29"/>
  <c r="B1001" i="29"/>
  <c r="AD1002" i="29"/>
  <c r="G1000" i="29"/>
  <c r="T1000" i="29"/>
  <c r="R1000" i="29"/>
  <c r="E1000" i="29"/>
  <c r="C42" i="69" s="1"/>
  <c r="I42" i="69" s="1"/>
  <c r="S1000" i="29"/>
  <c r="Q1000" i="29"/>
  <c r="U1000" i="29"/>
  <c r="J42" i="69" l="1"/>
  <c r="K42" i="69" s="1"/>
  <c r="O1000" i="29"/>
  <c r="V999" i="29"/>
  <c r="W999" i="29" s="1"/>
  <c r="P999" i="29"/>
  <c r="AF1001" i="29"/>
  <c r="AE1001" i="29"/>
  <c r="Z999" i="29"/>
  <c r="AI1002" i="29"/>
  <c r="AD1003" i="29"/>
  <c r="B1002" i="29"/>
  <c r="G1001" i="29"/>
  <c r="Q1001" i="29"/>
  <c r="R1001" i="29"/>
  <c r="S1001" i="29"/>
  <c r="E1001" i="29"/>
  <c r="T1001" i="29"/>
  <c r="U1001" i="29"/>
  <c r="I1000" i="29"/>
  <c r="K1000" i="29" s="1"/>
  <c r="N1000" i="29" s="1"/>
  <c r="J1000" i="29"/>
  <c r="Y1000" i="29" s="1"/>
  <c r="Z1000" i="29" l="1"/>
  <c r="O1001" i="29"/>
  <c r="V1000" i="29"/>
  <c r="W1000" i="29" s="1"/>
  <c r="P1000" i="29"/>
  <c r="AE1002" i="29"/>
  <c r="AF1002" i="29"/>
  <c r="G1002" i="29"/>
  <c r="Q1002" i="29"/>
  <c r="R1002" i="29"/>
  <c r="S1002" i="29"/>
  <c r="E1002" i="29"/>
  <c r="T1002" i="29"/>
  <c r="U1002" i="29"/>
  <c r="AI1003" i="29"/>
  <c r="AD1004" i="29"/>
  <c r="B1003" i="29"/>
  <c r="J1001" i="29"/>
  <c r="Y1001" i="29" s="1"/>
  <c r="I1001" i="29"/>
  <c r="K1001" i="29" s="1"/>
  <c r="N1001" i="29" s="1"/>
  <c r="Z1001" i="29" l="1"/>
  <c r="O1002" i="29"/>
  <c r="P1001" i="29"/>
  <c r="V1001" i="29"/>
  <c r="W1001" i="29" s="1"/>
  <c r="G1003" i="29"/>
  <c r="Q1003" i="29"/>
  <c r="T1003" i="29"/>
  <c r="R1003" i="29"/>
  <c r="U1003" i="29"/>
  <c r="S1003" i="29"/>
  <c r="E1003" i="29"/>
  <c r="AI1004" i="29"/>
  <c r="AD1005" i="29"/>
  <c r="B1004" i="29"/>
  <c r="I1002" i="29"/>
  <c r="K1002" i="29" s="1"/>
  <c r="N1002" i="29" s="1"/>
  <c r="J1002" i="29"/>
  <c r="Y1002" i="29" s="1"/>
  <c r="AF1003" i="29"/>
  <c r="AE1003" i="29"/>
  <c r="Z1002" i="29" l="1"/>
  <c r="O1003" i="29"/>
  <c r="V1002" i="29"/>
  <c r="W1002" i="29" s="1"/>
  <c r="P1002" i="29"/>
  <c r="AF1004" i="29"/>
  <c r="AE1004" i="29"/>
  <c r="AI1005" i="29"/>
  <c r="AD1006" i="29"/>
  <c r="B1005" i="29"/>
  <c r="I1003" i="29"/>
  <c r="K1003" i="29" s="1"/>
  <c r="N1003" i="29" s="1"/>
  <c r="J1003" i="29"/>
  <c r="Y1003" i="29" s="1"/>
  <c r="G1004" i="29"/>
  <c r="S1004" i="29"/>
  <c r="E1004" i="29"/>
  <c r="R1004" i="29"/>
  <c r="Q1004" i="29"/>
  <c r="U1004" i="29"/>
  <c r="T1004" i="29"/>
  <c r="Z1003" i="29" l="1"/>
  <c r="P1003" i="29"/>
  <c r="V1003" i="29"/>
  <c r="W1003" i="29" s="1"/>
  <c r="G1005" i="29"/>
  <c r="E1005" i="29"/>
  <c r="U1005" i="29"/>
  <c r="S1005" i="29"/>
  <c r="Q1005" i="29"/>
  <c r="T1005" i="29"/>
  <c r="R1005" i="29"/>
  <c r="AI1006" i="29"/>
  <c r="B1006" i="29"/>
  <c r="AD1007" i="29"/>
  <c r="J1004" i="29"/>
  <c r="Y1004" i="29" s="1"/>
  <c r="I1004" i="29"/>
  <c r="K1004" i="29" s="1"/>
  <c r="N1004" i="29" s="1"/>
  <c r="O1004" i="29"/>
  <c r="AF1005" i="29"/>
  <c r="AE1005" i="29"/>
  <c r="P1004" i="29" l="1"/>
  <c r="O1005" i="29"/>
  <c r="AI1007" i="29"/>
  <c r="B1007" i="29"/>
  <c r="AD1008" i="29"/>
  <c r="V1004" i="29"/>
  <c r="W1004" i="29" s="1"/>
  <c r="I1005" i="29"/>
  <c r="K1005" i="29" s="1"/>
  <c r="N1005" i="29" s="1"/>
  <c r="J1005" i="29"/>
  <c r="Y1005" i="29" s="1"/>
  <c r="Z1004" i="29"/>
  <c r="G1006" i="29"/>
  <c r="Q1006" i="29"/>
  <c r="R1006" i="29"/>
  <c r="U1006" i="29"/>
  <c r="E1006" i="29"/>
  <c r="S1006" i="29"/>
  <c r="T1006" i="29"/>
  <c r="AF1006" i="29"/>
  <c r="AE1006" i="29"/>
  <c r="P1005" i="29" l="1"/>
  <c r="V1005" i="29"/>
  <c r="W1005" i="29" s="1"/>
  <c r="G1007" i="29"/>
  <c r="T1007" i="29"/>
  <c r="U1007" i="29"/>
  <c r="E1007" i="29"/>
  <c r="R1007" i="29"/>
  <c r="Q1007" i="29"/>
  <c r="S1007" i="29"/>
  <c r="Z1005" i="29"/>
  <c r="AE1007" i="29"/>
  <c r="AF1007" i="29"/>
  <c r="I1006" i="29"/>
  <c r="K1006" i="29" s="1"/>
  <c r="N1006" i="29" s="1"/>
  <c r="J1006" i="29"/>
  <c r="Y1006" i="29" s="1"/>
  <c r="O1006" i="29"/>
  <c r="AI1008" i="29"/>
  <c r="B1008" i="29"/>
  <c r="AD1009" i="29"/>
  <c r="V1006" i="29" l="1"/>
  <c r="W1006" i="29" s="1"/>
  <c r="P1006" i="29"/>
  <c r="G1008" i="29"/>
  <c r="E1008" i="29"/>
  <c r="S1008" i="29"/>
  <c r="Q1008" i="29"/>
  <c r="T1008" i="29"/>
  <c r="R1008" i="29"/>
  <c r="U1008" i="29"/>
  <c r="AF1008" i="29"/>
  <c r="AE1008" i="29"/>
  <c r="J1007" i="29"/>
  <c r="Y1007" i="29" s="1"/>
  <c r="I1007" i="29"/>
  <c r="K1007" i="29" s="1"/>
  <c r="N1007" i="29" s="1"/>
  <c r="AI1009" i="29"/>
  <c r="B1009" i="29"/>
  <c r="AD1010" i="29"/>
  <c r="Z1006" i="29"/>
  <c r="O1007" i="29"/>
  <c r="O1008" i="29" l="1"/>
  <c r="P1007" i="29"/>
  <c r="V1007" i="29"/>
  <c r="W1007" i="29" s="1"/>
  <c r="AE1009" i="29"/>
  <c r="AF1009" i="29"/>
  <c r="Z1007" i="29"/>
  <c r="AI1010" i="29"/>
  <c r="B1010" i="29"/>
  <c r="AD1011" i="29"/>
  <c r="I1008" i="29"/>
  <c r="K1008" i="29" s="1"/>
  <c r="N1008" i="29" s="1"/>
  <c r="J1008" i="29"/>
  <c r="Y1008" i="29" s="1"/>
  <c r="G1009" i="29"/>
  <c r="Q1009" i="29"/>
  <c r="R1009" i="29"/>
  <c r="U1009" i="29"/>
  <c r="S1009" i="29"/>
  <c r="E1009" i="29"/>
  <c r="T1009" i="29"/>
  <c r="Z1008" i="29" l="1"/>
  <c r="P1008" i="29"/>
  <c r="V1008" i="29"/>
  <c r="W1008" i="29" s="1"/>
  <c r="O1009" i="29"/>
  <c r="AE1010" i="29"/>
  <c r="AF1010" i="29"/>
  <c r="I1009" i="29"/>
  <c r="K1009" i="29" s="1"/>
  <c r="N1009" i="29" s="1"/>
  <c r="J1009" i="29"/>
  <c r="Y1009" i="29" s="1"/>
  <c r="AI1011" i="29"/>
  <c r="AD1012" i="29"/>
  <c r="B1011" i="29"/>
  <c r="G1010" i="29"/>
  <c r="E1010" i="29"/>
  <c r="C122" i="69" s="1"/>
  <c r="J122" i="69" s="1"/>
  <c r="R1010" i="29"/>
  <c r="T1010" i="29"/>
  <c r="U1010" i="29"/>
  <c r="Q1010" i="29"/>
  <c r="S1010" i="29"/>
  <c r="I122" i="69" l="1"/>
  <c r="K122" i="69" s="1"/>
  <c r="O1010" i="29"/>
  <c r="V1009" i="29"/>
  <c r="W1009" i="29" s="1"/>
  <c r="P1009" i="29"/>
  <c r="AI1012" i="29"/>
  <c r="B1012" i="29"/>
  <c r="AD1013" i="29"/>
  <c r="AE1011" i="29"/>
  <c r="AF1011" i="29"/>
  <c r="J1010" i="29"/>
  <c r="Y1010" i="29" s="1"/>
  <c r="I1010" i="29"/>
  <c r="K1010" i="29" s="1"/>
  <c r="N1010" i="29" s="1"/>
  <c r="G1011" i="29"/>
  <c r="U1011" i="29"/>
  <c r="E1011" i="29"/>
  <c r="S1011" i="29"/>
  <c r="T1011" i="29"/>
  <c r="Q1011" i="29"/>
  <c r="R1011" i="29"/>
  <c r="Z1009" i="29"/>
  <c r="Z1010" i="29" l="1"/>
  <c r="P1010" i="29"/>
  <c r="V1010" i="29"/>
  <c r="W1010" i="29" s="1"/>
  <c r="AI1013" i="29"/>
  <c r="B1013" i="29"/>
  <c r="AD1014" i="29"/>
  <c r="O1011" i="29"/>
  <c r="G1012" i="29"/>
  <c r="U1012" i="29"/>
  <c r="S1012" i="29"/>
  <c r="Q1012" i="29"/>
  <c r="R1012" i="29"/>
  <c r="E1012" i="29"/>
  <c r="T1012" i="29"/>
  <c r="AF1012" i="29"/>
  <c r="AE1012" i="29"/>
  <c r="I1011" i="29"/>
  <c r="K1011" i="29" s="1"/>
  <c r="N1011" i="29" s="1"/>
  <c r="J1011" i="29"/>
  <c r="Y1011" i="29" s="1"/>
  <c r="P1011" i="29" l="1"/>
  <c r="V1011" i="29"/>
  <c r="W1011" i="29" s="1"/>
  <c r="J1012" i="29"/>
  <c r="Y1012" i="29" s="1"/>
  <c r="I1012" i="29"/>
  <c r="K1012" i="29" s="1"/>
  <c r="N1012" i="29" s="1"/>
  <c r="O1012" i="29"/>
  <c r="G1013" i="29"/>
  <c r="T1013" i="29"/>
  <c r="U1013" i="29"/>
  <c r="E1013" i="29"/>
  <c r="R1013" i="29"/>
  <c r="Q1013" i="29"/>
  <c r="S1013" i="29"/>
  <c r="AE1013" i="29"/>
  <c r="AF1013" i="29"/>
  <c r="Z1011" i="29"/>
  <c r="AI1014" i="29"/>
  <c r="AD1015" i="29"/>
  <c r="B1014" i="29"/>
  <c r="AE1014" i="29" l="1"/>
  <c r="AF1014" i="29"/>
  <c r="AI1015" i="29"/>
  <c r="AD1016" i="29"/>
  <c r="B1015" i="29"/>
  <c r="P1012" i="29"/>
  <c r="V1012" i="29"/>
  <c r="W1012" i="29" s="1"/>
  <c r="O1013" i="29"/>
  <c r="G1014" i="29"/>
  <c r="T1014" i="29"/>
  <c r="U1014" i="29"/>
  <c r="Q1014" i="29"/>
  <c r="S1014" i="29"/>
  <c r="R1014" i="29"/>
  <c r="E1014" i="29"/>
  <c r="J1013" i="29"/>
  <c r="Y1013" i="29" s="1"/>
  <c r="I1013" i="29"/>
  <c r="K1013" i="29" s="1"/>
  <c r="N1013" i="29" s="1"/>
  <c r="Z1012" i="29"/>
  <c r="V1013" i="29" l="1"/>
  <c r="W1013" i="29" s="1"/>
  <c r="P1013" i="29"/>
  <c r="G1015" i="29"/>
  <c r="E1015" i="29"/>
  <c r="T1015" i="29"/>
  <c r="Q1015" i="29"/>
  <c r="U1015" i="29"/>
  <c r="S1015" i="29"/>
  <c r="R1015" i="29"/>
  <c r="O1014" i="29"/>
  <c r="AI1016" i="29"/>
  <c r="AD1017" i="29"/>
  <c r="B1016" i="29"/>
  <c r="Z1013" i="29"/>
  <c r="AE1015" i="29"/>
  <c r="AF1015" i="29"/>
  <c r="J1014" i="29"/>
  <c r="Y1014" i="29" s="1"/>
  <c r="I1014" i="29"/>
  <c r="K1014" i="29" s="1"/>
  <c r="N1014" i="29" s="1"/>
  <c r="Z1014" i="29" l="1"/>
  <c r="AI1017" i="29"/>
  <c r="AD1018" i="29"/>
  <c r="B1017" i="29"/>
  <c r="P1014" i="29"/>
  <c r="V1014" i="29"/>
  <c r="W1014" i="29" s="1"/>
  <c r="AE1016" i="29"/>
  <c r="AF1016" i="29"/>
  <c r="J1015" i="29"/>
  <c r="Y1015" i="29" s="1"/>
  <c r="I1015" i="29"/>
  <c r="K1015" i="29" s="1"/>
  <c r="N1015" i="29" s="1"/>
  <c r="G1016" i="29"/>
  <c r="T1016" i="29"/>
  <c r="S1016" i="29"/>
  <c r="E1016" i="29"/>
  <c r="U1016" i="29"/>
  <c r="Q1016" i="29"/>
  <c r="R1016" i="29"/>
  <c r="O1015" i="29"/>
  <c r="AE1017" i="29" l="1"/>
  <c r="AF1017" i="29"/>
  <c r="Z1015" i="29"/>
  <c r="P1015" i="29"/>
  <c r="V1015" i="29"/>
  <c r="W1015" i="29" s="1"/>
  <c r="O1016" i="29"/>
  <c r="G1017" i="29"/>
  <c r="S1017" i="29"/>
  <c r="E1017" i="29"/>
  <c r="R1017" i="29"/>
  <c r="T1017" i="29"/>
  <c r="Q1017" i="29"/>
  <c r="U1017" i="29"/>
  <c r="I1016" i="29"/>
  <c r="K1016" i="29" s="1"/>
  <c r="N1016" i="29" s="1"/>
  <c r="J1016" i="29"/>
  <c r="Y1016" i="29" s="1"/>
  <c r="AI1018" i="29"/>
  <c r="AD1019" i="29"/>
  <c r="B1018" i="29"/>
  <c r="P1016" i="29" l="1"/>
  <c r="V1016" i="29"/>
  <c r="W1016" i="29" s="1"/>
  <c r="G1018" i="29"/>
  <c r="T1018" i="29"/>
  <c r="Q1018" i="29"/>
  <c r="R1018" i="29"/>
  <c r="E1018" i="29"/>
  <c r="S1018" i="29"/>
  <c r="U1018" i="29"/>
  <c r="AI1019" i="29"/>
  <c r="B1019" i="29"/>
  <c r="AD1020" i="29"/>
  <c r="O1017" i="29"/>
  <c r="Z1016" i="29"/>
  <c r="AF1018" i="29"/>
  <c r="AE1018" i="29"/>
  <c r="J1017" i="29"/>
  <c r="Y1017" i="29" s="1"/>
  <c r="I1017" i="29"/>
  <c r="K1017" i="29" s="1"/>
  <c r="N1017" i="29" s="1"/>
  <c r="O1018" i="29" l="1"/>
  <c r="V1017" i="29"/>
  <c r="W1017" i="29" s="1"/>
  <c r="P1017" i="29"/>
  <c r="Z1017" i="29"/>
  <c r="G1019" i="29"/>
  <c r="E1019" i="29"/>
  <c r="U1019" i="29"/>
  <c r="Q1019" i="29"/>
  <c r="R1019" i="29"/>
  <c r="T1019" i="29"/>
  <c r="S1019" i="29"/>
  <c r="AI1020" i="29"/>
  <c r="B1020" i="29"/>
  <c r="AD1021" i="29"/>
  <c r="J1018" i="29"/>
  <c r="Y1018" i="29" s="1"/>
  <c r="I1018" i="29"/>
  <c r="K1018" i="29" s="1"/>
  <c r="N1018" i="29" s="1"/>
  <c r="AE1019" i="29"/>
  <c r="AF1019" i="29"/>
  <c r="Z1018" i="29" l="1"/>
  <c r="V1018" i="29"/>
  <c r="W1018" i="29" s="1"/>
  <c r="P1018" i="29"/>
  <c r="O1019" i="29"/>
  <c r="AI1021" i="29"/>
  <c r="AD1022" i="29"/>
  <c r="B1021" i="29"/>
  <c r="G1020" i="29"/>
  <c r="R1020" i="29"/>
  <c r="S1020" i="29"/>
  <c r="E1020" i="29"/>
  <c r="T1020" i="29"/>
  <c r="Q1020" i="29"/>
  <c r="U1020" i="29"/>
  <c r="AF1020" i="29"/>
  <c r="AE1020" i="29"/>
  <c r="J1019" i="29"/>
  <c r="Y1019" i="29" s="1"/>
  <c r="I1019" i="29"/>
  <c r="K1019" i="29" s="1"/>
  <c r="N1019" i="29" s="1"/>
  <c r="V1019" i="29" l="1"/>
  <c r="W1019" i="29" s="1"/>
  <c r="P1019" i="29"/>
  <c r="J1020" i="29"/>
  <c r="Y1020" i="29" s="1"/>
  <c r="I1020" i="29"/>
  <c r="K1020" i="29" s="1"/>
  <c r="N1020" i="29" s="1"/>
  <c r="AI1022" i="29"/>
  <c r="AD1023" i="29"/>
  <c r="B1022" i="29"/>
  <c r="O1020" i="29"/>
  <c r="AE1021" i="29"/>
  <c r="AF1021" i="29"/>
  <c r="G1021" i="29"/>
  <c r="U1021" i="29"/>
  <c r="S1021" i="29"/>
  <c r="E1021" i="29"/>
  <c r="R1021" i="29"/>
  <c r="Q1021" i="29"/>
  <c r="T1021" i="29"/>
  <c r="Z1019" i="29"/>
  <c r="V1020" i="29" l="1"/>
  <c r="W1020" i="29" s="1"/>
  <c r="P1020" i="29"/>
  <c r="G1022" i="29"/>
  <c r="Q1022" i="29"/>
  <c r="R1022" i="29"/>
  <c r="T1022" i="29"/>
  <c r="S1022" i="29"/>
  <c r="U1022" i="29"/>
  <c r="E1022" i="29"/>
  <c r="AI1023" i="29"/>
  <c r="B1023" i="29"/>
  <c r="AD1024" i="29"/>
  <c r="J1021" i="29"/>
  <c r="Y1021" i="29" s="1"/>
  <c r="I1021" i="29"/>
  <c r="K1021" i="29" s="1"/>
  <c r="N1021" i="29" s="1"/>
  <c r="AE1022" i="29"/>
  <c r="AF1022" i="29"/>
  <c r="O1021" i="29"/>
  <c r="Z1020" i="29"/>
  <c r="O1022" i="29" l="1"/>
  <c r="P1021" i="29"/>
  <c r="V1021" i="29"/>
  <c r="W1021" i="29" s="1"/>
  <c r="Z1021" i="29"/>
  <c r="AI1024" i="29"/>
  <c r="B1024" i="29"/>
  <c r="AD1025" i="29"/>
  <c r="G1023" i="29"/>
  <c r="T1023" i="29"/>
  <c r="R1023" i="29"/>
  <c r="E1023" i="29"/>
  <c r="S1023" i="29"/>
  <c r="Q1023" i="29"/>
  <c r="U1023" i="29"/>
  <c r="I1022" i="29"/>
  <c r="K1022" i="29" s="1"/>
  <c r="N1022" i="29" s="1"/>
  <c r="J1022" i="29"/>
  <c r="Y1022" i="29" s="1"/>
  <c r="AE1023" i="29"/>
  <c r="AF1023" i="29"/>
  <c r="Z1022" i="29" l="1"/>
  <c r="V1022" i="29"/>
  <c r="W1022" i="29" s="1"/>
  <c r="P1022" i="29"/>
  <c r="AF1024" i="29"/>
  <c r="AE1024" i="29"/>
  <c r="O1023" i="29"/>
  <c r="AI1025" i="29"/>
  <c r="B1025" i="29"/>
  <c r="AD1026" i="29"/>
  <c r="J1023" i="29"/>
  <c r="Y1023" i="29" s="1"/>
  <c r="I1023" i="29"/>
  <c r="K1023" i="29" s="1"/>
  <c r="N1023" i="29" s="1"/>
  <c r="G1024" i="29"/>
  <c r="R1024" i="29"/>
  <c r="E1024" i="29"/>
  <c r="S1024" i="29"/>
  <c r="Q1024" i="29"/>
  <c r="T1024" i="29"/>
  <c r="U1024" i="29"/>
  <c r="O1024" i="29" l="1"/>
  <c r="AI1026" i="29"/>
  <c r="AD1027" i="29"/>
  <c r="B1026" i="29"/>
  <c r="Z1023" i="29"/>
  <c r="G1025" i="29"/>
  <c r="S1025" i="29"/>
  <c r="Q1025" i="29"/>
  <c r="R1025" i="29"/>
  <c r="T1025" i="29"/>
  <c r="E1025" i="29"/>
  <c r="U1025" i="29"/>
  <c r="I1024" i="29"/>
  <c r="K1024" i="29" s="1"/>
  <c r="N1024" i="29" s="1"/>
  <c r="J1024" i="29"/>
  <c r="Y1024" i="29" s="1"/>
  <c r="V1023" i="29"/>
  <c r="W1023" i="29" s="1"/>
  <c r="P1023" i="29"/>
  <c r="AE1025" i="29"/>
  <c r="AF1025" i="29"/>
  <c r="O1025" i="29" l="1"/>
  <c r="V1024" i="29"/>
  <c r="W1024" i="29" s="1"/>
  <c r="P1024" i="29"/>
  <c r="J1025" i="29"/>
  <c r="Y1025" i="29" s="1"/>
  <c r="I1025" i="29"/>
  <c r="K1025" i="29" s="1"/>
  <c r="N1025" i="29" s="1"/>
  <c r="AE1026" i="29"/>
  <c r="AF1026" i="29"/>
  <c r="G1026" i="29"/>
  <c r="Q1026" i="29"/>
  <c r="S1026" i="29"/>
  <c r="E1026" i="29"/>
  <c r="R1026" i="29"/>
  <c r="T1026" i="29"/>
  <c r="U1026" i="29"/>
  <c r="Z1024" i="29"/>
  <c r="AI1027" i="29"/>
  <c r="B1027" i="29"/>
  <c r="AD1028" i="29"/>
  <c r="Z1025" i="29" l="1"/>
  <c r="O1026" i="29"/>
  <c r="P1025" i="29"/>
  <c r="V1025" i="29"/>
  <c r="W1025" i="29" s="1"/>
  <c r="G1027" i="29"/>
  <c r="S1027" i="29"/>
  <c r="U1027" i="29"/>
  <c r="T1027" i="29"/>
  <c r="E1027" i="29"/>
  <c r="R1027" i="29"/>
  <c r="Q1027" i="29"/>
  <c r="AE1027" i="29"/>
  <c r="AF1027" i="29"/>
  <c r="J1026" i="29"/>
  <c r="Y1026" i="29" s="1"/>
  <c r="I1026" i="29"/>
  <c r="K1026" i="29" s="1"/>
  <c r="N1026" i="29" s="1"/>
  <c r="AI1028" i="29"/>
  <c r="B1028" i="29"/>
  <c r="AD1029" i="29"/>
  <c r="Z1026" i="29" l="1"/>
  <c r="V1026" i="29"/>
  <c r="W1026" i="29" s="1"/>
  <c r="P1026" i="29"/>
  <c r="G1028" i="29"/>
  <c r="E1028" i="29"/>
  <c r="Q1028" i="29"/>
  <c r="S1028" i="29"/>
  <c r="U1028" i="29"/>
  <c r="T1028" i="29"/>
  <c r="R1028" i="29"/>
  <c r="I1027" i="29"/>
  <c r="K1027" i="29" s="1"/>
  <c r="N1027" i="29" s="1"/>
  <c r="J1027" i="29"/>
  <c r="Y1027" i="29" s="1"/>
  <c r="O1027" i="29"/>
  <c r="AI1029" i="29"/>
  <c r="AD1030" i="29"/>
  <c r="B1029" i="29"/>
  <c r="AF1028" i="29"/>
  <c r="AE1028" i="29"/>
  <c r="O1028" i="29" l="1"/>
  <c r="V1027" i="29"/>
  <c r="W1027" i="29" s="1"/>
  <c r="P1027" i="29"/>
  <c r="I1028" i="29"/>
  <c r="K1028" i="29" s="1"/>
  <c r="N1028" i="29" s="1"/>
  <c r="J1028" i="29"/>
  <c r="Y1028" i="29" s="1"/>
  <c r="Z1028" i="29" s="1"/>
  <c r="G1029" i="29"/>
  <c r="D125" i="69" s="1"/>
  <c r="R1029" i="29"/>
  <c r="Q1029" i="29"/>
  <c r="S1029" i="29"/>
  <c r="E1029" i="29"/>
  <c r="U1029" i="29"/>
  <c r="T1029" i="29"/>
  <c r="AI1030" i="29"/>
  <c r="AD1031" i="29"/>
  <c r="B1030" i="29"/>
  <c r="AF1029" i="29"/>
  <c r="AE1029" i="29"/>
  <c r="Z1027" i="29"/>
  <c r="P1028" i="29" l="1"/>
  <c r="V1028" i="29"/>
  <c r="W1028" i="29" s="1"/>
  <c r="O1029" i="29"/>
  <c r="I1029" i="29"/>
  <c r="K1029" i="29" s="1"/>
  <c r="N1029" i="29" s="1"/>
  <c r="J1029" i="29"/>
  <c r="Y1029" i="29" s="1"/>
  <c r="G1030" i="29"/>
  <c r="T1030" i="29"/>
  <c r="E1030" i="29"/>
  <c r="Q1030" i="29"/>
  <c r="R1030" i="29"/>
  <c r="S1030" i="29"/>
  <c r="U1030" i="29"/>
  <c r="AI1031" i="29"/>
  <c r="AD1032" i="29"/>
  <c r="B1031" i="29"/>
  <c r="AF1030" i="29"/>
  <c r="AE1030" i="29"/>
  <c r="P1029" i="29" l="1"/>
  <c r="V1029" i="29"/>
  <c r="W1029" i="29" s="1"/>
  <c r="AI1032" i="29"/>
  <c r="B1032" i="29"/>
  <c r="AD1033" i="29"/>
  <c r="AF1031" i="29"/>
  <c r="AE1031" i="29"/>
  <c r="I1030" i="29"/>
  <c r="K1030" i="29" s="1"/>
  <c r="N1030" i="29" s="1"/>
  <c r="J1030" i="29"/>
  <c r="Y1030" i="29" s="1"/>
  <c r="G1031" i="29"/>
  <c r="S1031" i="29"/>
  <c r="E1031" i="29"/>
  <c r="T1031" i="29"/>
  <c r="R1031" i="29"/>
  <c r="U1031" i="29"/>
  <c r="Q1031" i="29"/>
  <c r="O1030" i="29"/>
  <c r="Z1029" i="29"/>
  <c r="O1031" i="29" l="1"/>
  <c r="AE1032" i="29"/>
  <c r="AF1032" i="29"/>
  <c r="P1030" i="29"/>
  <c r="V1030" i="29"/>
  <c r="W1030" i="29" s="1"/>
  <c r="Z1030" i="29"/>
  <c r="AI1033" i="29"/>
  <c r="B1033" i="29"/>
  <c r="AD1034" i="29"/>
  <c r="J1031" i="29"/>
  <c r="Y1031" i="29" s="1"/>
  <c r="I1031" i="29"/>
  <c r="K1031" i="29" s="1"/>
  <c r="N1031" i="29" s="1"/>
  <c r="G1032" i="29"/>
  <c r="Q1032" i="29"/>
  <c r="R1032" i="29"/>
  <c r="U1032" i="29"/>
  <c r="S1032" i="29"/>
  <c r="T1032" i="29"/>
  <c r="E1032" i="29"/>
  <c r="Z1031" i="29" l="1"/>
  <c r="P1031" i="29"/>
  <c r="V1031" i="29"/>
  <c r="W1031" i="29" s="1"/>
  <c r="O1032" i="29"/>
  <c r="AI1034" i="29"/>
  <c r="B1034" i="29"/>
  <c r="AD1035" i="29"/>
  <c r="AD1036" i="29" s="1"/>
  <c r="G1033" i="29"/>
  <c r="U1033" i="29"/>
  <c r="E1033" i="29"/>
  <c r="R1033" i="29"/>
  <c r="S1033" i="29"/>
  <c r="T1033" i="29"/>
  <c r="Q1033" i="29"/>
  <c r="I1032" i="29"/>
  <c r="K1032" i="29" s="1"/>
  <c r="N1032" i="29" s="1"/>
  <c r="J1032" i="29"/>
  <c r="Y1032" i="29" s="1"/>
  <c r="AF1033" i="29"/>
  <c r="AE1033" i="29"/>
  <c r="B1036" i="29" l="1"/>
  <c r="AI1036" i="29"/>
  <c r="AD1037" i="29"/>
  <c r="P1032" i="29"/>
  <c r="V1032" i="29"/>
  <c r="W1032" i="29" s="1"/>
  <c r="O1033" i="29"/>
  <c r="Z1032" i="29"/>
  <c r="AI1035" i="29"/>
  <c r="AD1048" i="29"/>
  <c r="B1035" i="29"/>
  <c r="I1033" i="29"/>
  <c r="K1033" i="29" s="1"/>
  <c r="N1033" i="29" s="1"/>
  <c r="J1033" i="29"/>
  <c r="Y1033" i="29" s="1"/>
  <c r="G1034" i="29"/>
  <c r="R1034" i="29"/>
  <c r="S1034" i="29"/>
  <c r="E1034" i="29"/>
  <c r="T1034" i="29"/>
  <c r="Q1034" i="29"/>
  <c r="U1034" i="29"/>
  <c r="AE1034" i="29"/>
  <c r="AF1034" i="29"/>
  <c r="AI1037" i="29" l="1"/>
  <c r="B1037" i="29"/>
  <c r="AD1038" i="29"/>
  <c r="AE1036" i="29"/>
  <c r="AF1036" i="29"/>
  <c r="S1036" i="29"/>
  <c r="R1036" i="29"/>
  <c r="G1036" i="29"/>
  <c r="U1036" i="29"/>
  <c r="Q1036" i="29"/>
  <c r="E1036" i="29"/>
  <c r="T1036" i="29"/>
  <c r="O1034" i="29"/>
  <c r="G1035" i="29"/>
  <c r="T1035" i="29"/>
  <c r="U1035" i="29"/>
  <c r="R1035" i="29"/>
  <c r="S1035" i="29"/>
  <c r="Q1035" i="29"/>
  <c r="E1035" i="29"/>
  <c r="Z1033" i="29"/>
  <c r="V1033" i="29"/>
  <c r="W1033" i="29" s="1"/>
  <c r="P1033" i="29"/>
  <c r="AI1048" i="29"/>
  <c r="AD1049" i="29"/>
  <c r="B1048" i="29"/>
  <c r="AF1035" i="29"/>
  <c r="AE1035" i="29"/>
  <c r="J1034" i="29"/>
  <c r="Y1034" i="29" s="1"/>
  <c r="I1034" i="29"/>
  <c r="K1034" i="29" s="1"/>
  <c r="N1034" i="29" s="1"/>
  <c r="I1036" i="29" l="1"/>
  <c r="K1036" i="29" s="1"/>
  <c r="N1036" i="29" s="1"/>
  <c r="J1036" i="29"/>
  <c r="Y1036" i="29" s="1"/>
  <c r="AI1038" i="29"/>
  <c r="B1038" i="29"/>
  <c r="AD1039" i="29"/>
  <c r="U1037" i="29"/>
  <c r="Q1037" i="29"/>
  <c r="E1037" i="29"/>
  <c r="T1037" i="29"/>
  <c r="S1037" i="29"/>
  <c r="G1037" i="29"/>
  <c r="R1037" i="29"/>
  <c r="O1036" i="29"/>
  <c r="AE1037" i="29"/>
  <c r="AF1037" i="29"/>
  <c r="Z1034" i="29"/>
  <c r="AF1048" i="29"/>
  <c r="AE1048" i="29"/>
  <c r="O1035" i="29"/>
  <c r="V1034" i="29"/>
  <c r="W1034" i="29" s="1"/>
  <c r="P1034" i="29"/>
  <c r="G1048" i="29"/>
  <c r="U1048" i="29"/>
  <c r="Q1048" i="29"/>
  <c r="R1048" i="29"/>
  <c r="S1048" i="29"/>
  <c r="E1048" i="29"/>
  <c r="T1048" i="29"/>
  <c r="I1035" i="29"/>
  <c r="K1035" i="29" s="1"/>
  <c r="N1035" i="29" s="1"/>
  <c r="J1035" i="29"/>
  <c r="Y1035" i="29" s="1"/>
  <c r="AI1049" i="29"/>
  <c r="B1049" i="29"/>
  <c r="AD1050" i="29"/>
  <c r="V1036" i="29" l="1"/>
  <c r="W1036" i="29" s="1"/>
  <c r="P1036" i="29"/>
  <c r="Z1036" i="29"/>
  <c r="O1037" i="29"/>
  <c r="AI1039" i="29"/>
  <c r="B1039" i="29"/>
  <c r="AD1040" i="29"/>
  <c r="U1038" i="29"/>
  <c r="Q1038" i="29"/>
  <c r="E1038" i="29"/>
  <c r="S1038" i="29"/>
  <c r="T1038" i="29"/>
  <c r="R1038" i="29"/>
  <c r="G1038" i="29"/>
  <c r="J1037" i="29"/>
  <c r="Y1037" i="29" s="1"/>
  <c r="I1037" i="29"/>
  <c r="K1037" i="29" s="1"/>
  <c r="N1037" i="29" s="1"/>
  <c r="AE1038" i="29"/>
  <c r="AF1038" i="29"/>
  <c r="V1035" i="29"/>
  <c r="W1035" i="29" s="1"/>
  <c r="P1035" i="29"/>
  <c r="AI1050" i="29"/>
  <c r="AD1051" i="29"/>
  <c r="B1050" i="29"/>
  <c r="J1048" i="29"/>
  <c r="Y1048" i="29" s="1"/>
  <c r="I1048" i="29"/>
  <c r="K1048" i="29" s="1"/>
  <c r="N1048" i="29" s="1"/>
  <c r="O1048" i="29"/>
  <c r="G1049" i="29"/>
  <c r="D22" i="69" s="1"/>
  <c r="S1049" i="29"/>
  <c r="T1049" i="29"/>
  <c r="U1049" i="29"/>
  <c r="R1049" i="29"/>
  <c r="Q1049" i="29"/>
  <c r="E1049" i="29"/>
  <c r="AF1049" i="29"/>
  <c r="AE1049" i="29"/>
  <c r="Z1035" i="29"/>
  <c r="V1037" i="29" l="1"/>
  <c r="W1037" i="29" s="1"/>
  <c r="P1037" i="29"/>
  <c r="I1038" i="29"/>
  <c r="J1038" i="29"/>
  <c r="Y1038" i="29" s="1"/>
  <c r="AI1040" i="29"/>
  <c r="B1040" i="29"/>
  <c r="AD1041" i="29"/>
  <c r="O1038" i="29"/>
  <c r="S1039" i="29"/>
  <c r="U1039" i="29"/>
  <c r="Q1039" i="29"/>
  <c r="E1039" i="29"/>
  <c r="R1039" i="29"/>
  <c r="G1039" i="29"/>
  <c r="T1039" i="29"/>
  <c r="AE1039" i="29"/>
  <c r="AF1039" i="29"/>
  <c r="K1038" i="29"/>
  <c r="N1038" i="29" s="1"/>
  <c r="Z1037" i="29"/>
  <c r="J1049" i="29"/>
  <c r="Y1049" i="29" s="1"/>
  <c r="I1049" i="29"/>
  <c r="K1049" i="29" s="1"/>
  <c r="N1049" i="29" s="1"/>
  <c r="AI1051" i="29"/>
  <c r="AD1052" i="29"/>
  <c r="B1051" i="29"/>
  <c r="Z1048" i="29"/>
  <c r="AF1050" i="29"/>
  <c r="AE1050" i="29"/>
  <c r="P1048" i="29"/>
  <c r="V1048" i="29"/>
  <c r="W1048" i="29" s="1"/>
  <c r="O1049" i="29"/>
  <c r="G1050" i="29"/>
  <c r="E1050" i="29"/>
  <c r="T1050" i="29"/>
  <c r="U1050" i="29"/>
  <c r="Q1050" i="29"/>
  <c r="S1050" i="29"/>
  <c r="R1050" i="29"/>
  <c r="P1038" i="29" l="1"/>
  <c r="V1038" i="29"/>
  <c r="W1038" i="29" s="1"/>
  <c r="O1039" i="29"/>
  <c r="AI1041" i="29"/>
  <c r="B1041" i="29"/>
  <c r="AD1042" i="29"/>
  <c r="U1040" i="29"/>
  <c r="Q1040" i="29"/>
  <c r="E1040" i="29"/>
  <c r="S1040" i="29"/>
  <c r="T1040" i="29"/>
  <c r="R1040" i="29"/>
  <c r="G1040" i="29"/>
  <c r="I1039" i="29"/>
  <c r="J1039" i="29"/>
  <c r="Y1039" i="29" s="1"/>
  <c r="K1039" i="29"/>
  <c r="N1039" i="29" s="1"/>
  <c r="Z1038" i="29"/>
  <c r="AE1040" i="29"/>
  <c r="AF1040" i="29"/>
  <c r="P1049" i="29"/>
  <c r="V1049" i="29"/>
  <c r="W1049" i="29" s="1"/>
  <c r="Z1049" i="29"/>
  <c r="AI1052" i="29"/>
  <c r="B1052" i="29"/>
  <c r="AD1053" i="29"/>
  <c r="AE1051" i="29"/>
  <c r="AF1051" i="29"/>
  <c r="O1050" i="29"/>
  <c r="I1050" i="29"/>
  <c r="K1050" i="29" s="1"/>
  <c r="N1050" i="29" s="1"/>
  <c r="J1050" i="29"/>
  <c r="Y1050" i="29" s="1"/>
  <c r="G1051" i="29"/>
  <c r="S1051" i="29"/>
  <c r="U1051" i="29"/>
  <c r="T1051" i="29"/>
  <c r="R1051" i="29"/>
  <c r="E1051" i="29"/>
  <c r="Q1051" i="29"/>
  <c r="I1040" i="29" l="1"/>
  <c r="K1040" i="29" s="1"/>
  <c r="N1040" i="29" s="1"/>
  <c r="J1040" i="29"/>
  <c r="Y1040" i="29" s="1"/>
  <c r="O1040" i="29"/>
  <c r="Z1039" i="29"/>
  <c r="AI1042" i="29"/>
  <c r="B1042" i="29"/>
  <c r="AD1043" i="29"/>
  <c r="S1041" i="29"/>
  <c r="U1041" i="29"/>
  <c r="Q1041" i="29"/>
  <c r="E1041" i="29"/>
  <c r="T1041" i="29"/>
  <c r="R1041" i="29"/>
  <c r="G1041" i="29"/>
  <c r="P1039" i="29"/>
  <c r="V1039" i="29"/>
  <c r="W1039" i="29" s="1"/>
  <c r="AE1041" i="29"/>
  <c r="AF1041" i="29"/>
  <c r="P1050" i="29"/>
  <c r="V1050" i="29"/>
  <c r="W1050" i="29" s="1"/>
  <c r="O1051" i="29"/>
  <c r="G1052" i="29"/>
  <c r="E1052" i="29"/>
  <c r="S1052" i="29"/>
  <c r="Q1052" i="29"/>
  <c r="T1052" i="29"/>
  <c r="U1052" i="29"/>
  <c r="R1052" i="29"/>
  <c r="AE1052" i="29"/>
  <c r="AF1052" i="29"/>
  <c r="Z1050" i="29"/>
  <c r="I1051" i="29"/>
  <c r="K1051" i="29" s="1"/>
  <c r="N1051" i="29" s="1"/>
  <c r="V1051" i="29" s="1"/>
  <c r="W1051" i="29" s="1"/>
  <c r="J1051" i="29"/>
  <c r="Y1051" i="29" s="1"/>
  <c r="AI1053" i="29"/>
  <c r="AD1054" i="29"/>
  <c r="B1053" i="29"/>
  <c r="I1041" i="29" l="1"/>
  <c r="J1041" i="29"/>
  <c r="Y1041" i="29" s="1"/>
  <c r="O1041" i="29"/>
  <c r="AI1043" i="29"/>
  <c r="B1043" i="29"/>
  <c r="AD1044" i="29"/>
  <c r="Z1040" i="29"/>
  <c r="U1042" i="29"/>
  <c r="Q1042" i="29"/>
  <c r="E1042" i="29"/>
  <c r="S1042" i="29"/>
  <c r="T1042" i="29"/>
  <c r="R1042" i="29"/>
  <c r="G1042" i="29"/>
  <c r="K1041" i="29"/>
  <c r="N1041" i="29" s="1"/>
  <c r="AE1042" i="29"/>
  <c r="AF1042" i="29"/>
  <c r="P1040" i="29"/>
  <c r="V1040" i="29"/>
  <c r="W1040" i="29" s="1"/>
  <c r="AI1054" i="29"/>
  <c r="B1054" i="29"/>
  <c r="AD1055" i="29"/>
  <c r="O1052" i="29"/>
  <c r="G1053" i="29"/>
  <c r="T1053" i="29"/>
  <c r="R1053" i="29"/>
  <c r="E1053" i="29"/>
  <c r="S1053" i="29"/>
  <c r="Q1053" i="29"/>
  <c r="U1053" i="29"/>
  <c r="P1051" i="29"/>
  <c r="AF1053" i="29"/>
  <c r="AE1053" i="29"/>
  <c r="I1052" i="29"/>
  <c r="K1052" i="29" s="1"/>
  <c r="N1052" i="29" s="1"/>
  <c r="J1052" i="29"/>
  <c r="Y1052" i="29" s="1"/>
  <c r="Z1051" i="29"/>
  <c r="D71" i="69"/>
  <c r="D72" i="69"/>
  <c r="D73" i="69"/>
  <c r="D74" i="69"/>
  <c r="D75" i="69"/>
  <c r="D76" i="69"/>
  <c r="D77" i="69"/>
  <c r="D82" i="69"/>
  <c r="D40" i="69"/>
  <c r="D109" i="69"/>
  <c r="D136" i="69"/>
  <c r="D135" i="69"/>
  <c r="D94" i="69"/>
  <c r="D123" i="69"/>
  <c r="D41" i="69"/>
  <c r="D127" i="69"/>
  <c r="D128" i="69"/>
  <c r="D45" i="69"/>
  <c r="D46" i="69"/>
  <c r="D42" i="69"/>
  <c r="D111" i="69"/>
  <c r="D112" i="69"/>
  <c r="D113" i="69"/>
  <c r="D115" i="69"/>
  <c r="D96" i="69"/>
  <c r="D30" i="69"/>
  <c r="D134" i="69"/>
  <c r="D43" i="69"/>
  <c r="D114" i="69"/>
  <c r="D122" i="69"/>
  <c r="D102" i="69"/>
  <c r="D104" i="69"/>
  <c r="D106" i="69"/>
  <c r="D32" i="69"/>
  <c r="D33" i="69"/>
  <c r="D34" i="69"/>
  <c r="D98" i="69"/>
  <c r="D99" i="69"/>
  <c r="D103" i="69"/>
  <c r="D105" i="69"/>
  <c r="D107" i="69"/>
  <c r="D100" i="69"/>
  <c r="D118" i="69"/>
  <c r="D92" i="69"/>
  <c r="D17" i="69"/>
  <c r="D19" i="69"/>
  <c r="D21" i="69"/>
  <c r="D23" i="69"/>
  <c r="D37" i="69"/>
  <c r="D38" i="69"/>
  <c r="D119" i="69"/>
  <c r="D120" i="69"/>
  <c r="D93" i="69"/>
  <c r="D18" i="69"/>
  <c r="D20" i="69"/>
  <c r="D24" i="69"/>
  <c r="D49" i="69"/>
  <c r="D51" i="69"/>
  <c r="D53" i="69"/>
  <c r="E1074" i="29"/>
  <c r="C71" i="69"/>
  <c r="C72" i="69"/>
  <c r="C73" i="69"/>
  <c r="C74" i="69"/>
  <c r="C75" i="69"/>
  <c r="C76" i="69"/>
  <c r="C77" i="69"/>
  <c r="C82" i="69"/>
  <c r="C40" i="69"/>
  <c r="C109" i="69"/>
  <c r="C136" i="69"/>
  <c r="C135" i="69"/>
  <c r="C94" i="69"/>
  <c r="C123" i="69"/>
  <c r="C41" i="69"/>
  <c r="C127" i="69"/>
  <c r="C128" i="69"/>
  <c r="C46" i="69"/>
  <c r="C111" i="69"/>
  <c r="C112" i="69"/>
  <c r="C113" i="69"/>
  <c r="C115" i="69"/>
  <c r="C96" i="69"/>
  <c r="C30" i="69"/>
  <c r="C134" i="69"/>
  <c r="C43" i="69"/>
  <c r="C114" i="69"/>
  <c r="C102" i="69"/>
  <c r="C104" i="69"/>
  <c r="C106" i="69"/>
  <c r="C32" i="69"/>
  <c r="C33" i="69"/>
  <c r="C34" i="69"/>
  <c r="C98" i="69"/>
  <c r="C99" i="69"/>
  <c r="C103" i="69"/>
  <c r="C105" i="69"/>
  <c r="C107" i="69"/>
  <c r="C100" i="69"/>
  <c r="C118" i="69"/>
  <c r="C92" i="69"/>
  <c r="C17" i="69"/>
  <c r="C19" i="69"/>
  <c r="C21" i="69"/>
  <c r="C23" i="69"/>
  <c r="C125" i="69"/>
  <c r="C37" i="69"/>
  <c r="C38" i="69"/>
  <c r="C119" i="69"/>
  <c r="C120" i="69"/>
  <c r="C93" i="69"/>
  <c r="C18" i="69"/>
  <c r="C20" i="69"/>
  <c r="C22" i="69"/>
  <c r="C24" i="69"/>
  <c r="C49" i="69"/>
  <c r="C51" i="69"/>
  <c r="C53" i="69"/>
  <c r="V1041" i="29" l="1"/>
  <c r="W1041" i="29" s="1"/>
  <c r="P1041" i="29"/>
  <c r="Z1041" i="29"/>
  <c r="AI1044" i="29"/>
  <c r="B1044" i="29"/>
  <c r="AD1045" i="29"/>
  <c r="I1042" i="29"/>
  <c r="K1042" i="29" s="1"/>
  <c r="N1042" i="29" s="1"/>
  <c r="J1042" i="29"/>
  <c r="Y1042" i="29" s="1"/>
  <c r="S1043" i="29"/>
  <c r="U1043" i="29"/>
  <c r="Q1043" i="29"/>
  <c r="E1043" i="29"/>
  <c r="R1043" i="29"/>
  <c r="G1043" i="29"/>
  <c r="T1043" i="29"/>
  <c r="O1042" i="29"/>
  <c r="AE1043" i="29"/>
  <c r="AF1043" i="29"/>
  <c r="V1052" i="29"/>
  <c r="W1052" i="29" s="1"/>
  <c r="P1052" i="29"/>
  <c r="AI1055" i="29"/>
  <c r="AD1056" i="29"/>
  <c r="B1055" i="29"/>
  <c r="J1053" i="29"/>
  <c r="Y1053" i="29" s="1"/>
  <c r="I1053" i="29"/>
  <c r="K1053" i="29" s="1"/>
  <c r="N1053" i="29" s="1"/>
  <c r="O1053" i="29"/>
  <c r="G1054" i="29"/>
  <c r="D55" i="69" s="1"/>
  <c r="E1054" i="29"/>
  <c r="C55" i="69" s="1"/>
  <c r="J55" i="69" s="1"/>
  <c r="Q1054" i="29"/>
  <c r="U1054" i="29"/>
  <c r="T1054" i="29"/>
  <c r="R1054" i="29"/>
  <c r="S1054" i="29"/>
  <c r="AE1054" i="29"/>
  <c r="AF1054" i="29"/>
  <c r="Z1052" i="29"/>
  <c r="V256" i="17"/>
  <c r="H265" i="17" s="1"/>
  <c r="K265" i="17" s="1"/>
  <c r="F107" i="17" s="1"/>
  <c r="G180" i="27"/>
  <c r="J37" i="69"/>
  <c r="I37" i="69"/>
  <c r="I32" i="69"/>
  <c r="J32" i="69"/>
  <c r="J41" i="69"/>
  <c r="I41" i="69"/>
  <c r="I77" i="69"/>
  <c r="J77" i="69"/>
  <c r="I73" i="69"/>
  <c r="J73" i="69"/>
  <c r="H135" i="69"/>
  <c r="H71" i="69"/>
  <c r="H72" i="69"/>
  <c r="H73" i="69"/>
  <c r="H74" i="69"/>
  <c r="H75" i="69"/>
  <c r="H76" i="69"/>
  <c r="H77" i="69"/>
  <c r="H82" i="69"/>
  <c r="H109" i="69"/>
  <c r="H136" i="69"/>
  <c r="H94" i="69"/>
  <c r="H123" i="69"/>
  <c r="H41" i="69"/>
  <c r="H127" i="69"/>
  <c r="H128" i="69"/>
  <c r="H45" i="69"/>
  <c r="H46" i="69"/>
  <c r="H111" i="69"/>
  <c r="H112" i="69"/>
  <c r="H113" i="69"/>
  <c r="H115" i="69"/>
  <c r="H30" i="69"/>
  <c r="H134" i="69"/>
  <c r="H43" i="69"/>
  <c r="H114" i="69"/>
  <c r="H122" i="69"/>
  <c r="H102" i="69"/>
  <c r="H104" i="69"/>
  <c r="H33" i="69"/>
  <c r="H32" i="69"/>
  <c r="H34" i="69"/>
  <c r="H99" i="69"/>
  <c r="H98" i="69"/>
  <c r="H103" i="69"/>
  <c r="H105" i="69"/>
  <c r="H107" i="69"/>
  <c r="H100" i="69"/>
  <c r="H118" i="69"/>
  <c r="H92" i="69"/>
  <c r="H19" i="69"/>
  <c r="H17" i="69"/>
  <c r="H21" i="69"/>
  <c r="H23" i="69"/>
  <c r="H125" i="69"/>
  <c r="H38" i="69"/>
  <c r="H120" i="69"/>
  <c r="H93" i="69"/>
  <c r="H18" i="69"/>
  <c r="H22" i="69"/>
  <c r="H20" i="69"/>
  <c r="H24" i="69"/>
  <c r="H49" i="69"/>
  <c r="H51" i="69"/>
  <c r="H53" i="69"/>
  <c r="H40" i="69"/>
  <c r="H106" i="69"/>
  <c r="H42" i="69"/>
  <c r="H37" i="69"/>
  <c r="H119" i="69"/>
  <c r="H96" i="69"/>
  <c r="I93" i="69"/>
  <c r="J93" i="69"/>
  <c r="I99" i="69"/>
  <c r="J99" i="69"/>
  <c r="I111" i="69"/>
  <c r="J111" i="69"/>
  <c r="I53" i="69"/>
  <c r="J53" i="69"/>
  <c r="J125" i="69"/>
  <c r="I125" i="69"/>
  <c r="I98" i="69"/>
  <c r="J98" i="69"/>
  <c r="I115" i="69"/>
  <c r="J115" i="69"/>
  <c r="I109" i="69"/>
  <c r="J109" i="69"/>
  <c r="I72" i="69"/>
  <c r="J72" i="69"/>
  <c r="I24" i="69"/>
  <c r="J24" i="69"/>
  <c r="I19" i="69"/>
  <c r="J19" i="69"/>
  <c r="I96" i="69"/>
  <c r="J96" i="69"/>
  <c r="I136" i="69"/>
  <c r="J136" i="69"/>
  <c r="I120" i="69"/>
  <c r="J120" i="69"/>
  <c r="I107" i="69"/>
  <c r="J107" i="69"/>
  <c r="J43" i="69"/>
  <c r="I43" i="69"/>
  <c r="I123" i="69"/>
  <c r="J123" i="69"/>
  <c r="J51" i="69"/>
  <c r="I51" i="69"/>
  <c r="I20" i="69"/>
  <c r="J20" i="69"/>
  <c r="I119" i="69"/>
  <c r="J119" i="69"/>
  <c r="J23" i="69"/>
  <c r="I23" i="69"/>
  <c r="I92" i="69"/>
  <c r="J92" i="69"/>
  <c r="I105" i="69"/>
  <c r="J105" i="69"/>
  <c r="I34" i="69"/>
  <c r="J34" i="69"/>
  <c r="I104" i="69"/>
  <c r="J104" i="69"/>
  <c r="I134" i="69"/>
  <c r="J134" i="69"/>
  <c r="I113" i="69"/>
  <c r="J113" i="69"/>
  <c r="I128" i="69"/>
  <c r="J128" i="69"/>
  <c r="J94" i="69"/>
  <c r="I94" i="69"/>
  <c r="J40" i="69"/>
  <c r="I40" i="69"/>
  <c r="I75" i="69"/>
  <c r="J75" i="69"/>
  <c r="I71" i="69"/>
  <c r="J71" i="69"/>
  <c r="O1074" i="29"/>
  <c r="L71" i="69"/>
  <c r="L72" i="69"/>
  <c r="L73" i="69"/>
  <c r="L74" i="69"/>
  <c r="L75" i="69"/>
  <c r="L76" i="69"/>
  <c r="L77" i="69"/>
  <c r="L82" i="69"/>
  <c r="L109" i="69"/>
  <c r="L40" i="69"/>
  <c r="L136" i="69"/>
  <c r="L135" i="69"/>
  <c r="L94" i="69"/>
  <c r="L123" i="69"/>
  <c r="L41" i="69"/>
  <c r="L127" i="69"/>
  <c r="L45" i="69"/>
  <c r="M45" i="69" s="1"/>
  <c r="L128" i="69"/>
  <c r="L46" i="69"/>
  <c r="L42" i="69"/>
  <c r="M42" i="69" s="1"/>
  <c r="L111" i="69"/>
  <c r="L112" i="69"/>
  <c r="L113" i="69"/>
  <c r="L96" i="69"/>
  <c r="L115" i="69"/>
  <c r="L30" i="69"/>
  <c r="L134" i="69"/>
  <c r="L43" i="69"/>
  <c r="L114" i="69"/>
  <c r="L122" i="69"/>
  <c r="M122" i="69" s="1"/>
  <c r="L102" i="69"/>
  <c r="L104" i="69"/>
  <c r="L106" i="69"/>
  <c r="L32" i="69"/>
  <c r="L33" i="69"/>
  <c r="L34" i="69"/>
  <c r="L98" i="69"/>
  <c r="L99" i="69"/>
  <c r="L103" i="69"/>
  <c r="L105" i="69"/>
  <c r="L100" i="69"/>
  <c r="L107" i="69"/>
  <c r="L118" i="69"/>
  <c r="L92" i="69"/>
  <c r="L17" i="69"/>
  <c r="L19" i="69"/>
  <c r="L21" i="69"/>
  <c r="L23" i="69"/>
  <c r="L125" i="69"/>
  <c r="L37" i="69"/>
  <c r="L38" i="69"/>
  <c r="L119" i="69"/>
  <c r="L120" i="69"/>
  <c r="L93" i="69"/>
  <c r="L18" i="69"/>
  <c r="L20" i="69"/>
  <c r="L22" i="69"/>
  <c r="L24" i="69"/>
  <c r="L49" i="69"/>
  <c r="L51" i="69"/>
  <c r="L53" i="69"/>
  <c r="I100" i="69"/>
  <c r="J100" i="69"/>
  <c r="I114" i="69"/>
  <c r="J114" i="69"/>
  <c r="I22" i="69"/>
  <c r="J22" i="69"/>
  <c r="J17" i="69"/>
  <c r="I17" i="69"/>
  <c r="J106" i="69"/>
  <c r="I106" i="69"/>
  <c r="J46" i="69"/>
  <c r="I46" i="69"/>
  <c r="I76" i="69"/>
  <c r="J76" i="69"/>
  <c r="J49" i="69"/>
  <c r="I49" i="69"/>
  <c r="J18" i="69"/>
  <c r="I18" i="69"/>
  <c r="J38" i="69"/>
  <c r="I38" i="69"/>
  <c r="I21" i="69"/>
  <c r="J21" i="69"/>
  <c r="I118" i="69"/>
  <c r="J118" i="69"/>
  <c r="I103" i="69"/>
  <c r="J103" i="69"/>
  <c r="I33" i="69"/>
  <c r="J33" i="69"/>
  <c r="I102" i="69"/>
  <c r="J102" i="69"/>
  <c r="J30" i="69"/>
  <c r="I30" i="69"/>
  <c r="I112" i="69"/>
  <c r="J112" i="69"/>
  <c r="J127" i="69"/>
  <c r="I127" i="69"/>
  <c r="I135" i="69"/>
  <c r="J135" i="69"/>
  <c r="I82" i="69"/>
  <c r="J82" i="69"/>
  <c r="I74" i="69"/>
  <c r="J74" i="69"/>
  <c r="I55" i="69" l="1"/>
  <c r="P1042" i="29"/>
  <c r="V1042" i="29"/>
  <c r="W1042" i="29" s="1"/>
  <c r="I1043" i="29"/>
  <c r="J1043" i="29"/>
  <c r="O1043" i="29"/>
  <c r="AI1045" i="29"/>
  <c r="B1045" i="29"/>
  <c r="AD1046" i="29"/>
  <c r="Z1042" i="29"/>
  <c r="U1044" i="29"/>
  <c r="Q1044" i="29"/>
  <c r="E1044" i="29"/>
  <c r="S1044" i="29"/>
  <c r="T1044" i="29"/>
  <c r="R1044" i="29"/>
  <c r="G1044" i="29"/>
  <c r="K1043" i="29"/>
  <c r="N1043" i="29" s="1"/>
  <c r="Y1043" i="29"/>
  <c r="AE1044" i="29"/>
  <c r="AF1044" i="29"/>
  <c r="O1054" i="29"/>
  <c r="L55" i="69" s="1"/>
  <c r="AI1056" i="29"/>
  <c r="AD1057" i="29"/>
  <c r="B1056" i="29"/>
  <c r="V1053" i="29"/>
  <c r="W1053" i="29" s="1"/>
  <c r="P1053" i="29"/>
  <c r="I1054" i="29"/>
  <c r="K1054" i="29" s="1"/>
  <c r="N1054" i="29" s="1"/>
  <c r="J1054" i="29"/>
  <c r="Y1054" i="29" s="1"/>
  <c r="H55" i="69" s="1"/>
  <c r="AE1055" i="29"/>
  <c r="AF1055" i="29"/>
  <c r="Z1053" i="29"/>
  <c r="G1055" i="29"/>
  <c r="D149" i="69" s="1"/>
  <c r="E1055" i="29"/>
  <c r="C149" i="69" s="1"/>
  <c r="Q1055" i="29"/>
  <c r="S1055" i="29"/>
  <c r="U1055" i="29"/>
  <c r="R1055" i="29"/>
  <c r="T1055" i="29"/>
  <c r="R297" i="17"/>
  <c r="D306" i="17" s="1"/>
  <c r="Q256" i="17"/>
  <c r="C57" i="69"/>
  <c r="D57" i="69"/>
  <c r="K106" i="69"/>
  <c r="M106" i="69" s="1"/>
  <c r="K22" i="69"/>
  <c r="M22" i="69" s="1"/>
  <c r="K100" i="69"/>
  <c r="M100" i="69" s="1"/>
  <c r="K82" i="69"/>
  <c r="M82" i="69" s="1"/>
  <c r="K30" i="69"/>
  <c r="M30" i="69" s="1"/>
  <c r="K135" i="69"/>
  <c r="M135" i="69" s="1"/>
  <c r="K102" i="69"/>
  <c r="M102" i="69" s="1"/>
  <c r="K103" i="69"/>
  <c r="M103" i="69" s="1"/>
  <c r="K46" i="69"/>
  <c r="M46" i="69" s="1"/>
  <c r="K17" i="69"/>
  <c r="M17" i="69" s="1"/>
  <c r="K55" i="69"/>
  <c r="K40" i="69"/>
  <c r="M40" i="69" s="1"/>
  <c r="K34" i="69"/>
  <c r="M34" i="69" s="1"/>
  <c r="K92" i="69"/>
  <c r="M92" i="69" s="1"/>
  <c r="K119" i="69"/>
  <c r="M119" i="69" s="1"/>
  <c r="K51" i="69"/>
  <c r="M51" i="69" s="1"/>
  <c r="K43" i="69"/>
  <c r="M43" i="69" s="1"/>
  <c r="K120" i="69"/>
  <c r="M120" i="69" s="1"/>
  <c r="K136" i="69"/>
  <c r="M136" i="69" s="1"/>
  <c r="K72" i="69"/>
  <c r="M72" i="69" s="1"/>
  <c r="K94" i="69"/>
  <c r="M94" i="69" s="1"/>
  <c r="K104" i="69"/>
  <c r="M104" i="69" s="1"/>
  <c r="K105" i="69"/>
  <c r="M105" i="69" s="1"/>
  <c r="K123" i="69"/>
  <c r="M123" i="69" s="1"/>
  <c r="K109" i="69"/>
  <c r="M109" i="69" s="1"/>
  <c r="K53" i="69"/>
  <c r="M53" i="69" s="1"/>
  <c r="K111" i="69"/>
  <c r="M111" i="69" s="1"/>
  <c r="K41" i="69"/>
  <c r="M41" i="69" s="1"/>
  <c r="K37" i="69"/>
  <c r="M37" i="69" s="1"/>
  <c r="K77" i="69"/>
  <c r="M77" i="69" s="1"/>
  <c r="K127" i="69"/>
  <c r="M127" i="69" s="1"/>
  <c r="K33" i="69"/>
  <c r="M33" i="69" s="1"/>
  <c r="K118" i="69"/>
  <c r="M118" i="69" s="1"/>
  <c r="K38" i="69"/>
  <c r="M38" i="69" s="1"/>
  <c r="K49" i="69"/>
  <c r="M49" i="69" s="1"/>
  <c r="K74" i="69"/>
  <c r="M74" i="69" s="1"/>
  <c r="K112" i="69"/>
  <c r="M112" i="69" s="1"/>
  <c r="K21" i="69"/>
  <c r="M21" i="69" s="1"/>
  <c r="K18" i="69"/>
  <c r="M18" i="69" s="1"/>
  <c r="K76" i="69"/>
  <c r="M76" i="69" s="1"/>
  <c r="K71" i="69"/>
  <c r="M71" i="69" s="1"/>
  <c r="K128" i="69"/>
  <c r="M128" i="69" s="1"/>
  <c r="K134" i="69"/>
  <c r="M134" i="69" s="1"/>
  <c r="K19" i="69"/>
  <c r="M19" i="69" s="1"/>
  <c r="K115" i="69"/>
  <c r="M115" i="69" s="1"/>
  <c r="K125" i="69"/>
  <c r="M125" i="69" s="1"/>
  <c r="K99" i="69"/>
  <c r="M99" i="69" s="1"/>
  <c r="K73" i="69"/>
  <c r="M73" i="69" s="1"/>
  <c r="K75" i="69"/>
  <c r="M75" i="69" s="1"/>
  <c r="K113" i="69"/>
  <c r="M113" i="69" s="1"/>
  <c r="K23" i="69"/>
  <c r="M23" i="69" s="1"/>
  <c r="K20" i="69"/>
  <c r="M20" i="69" s="1"/>
  <c r="K107" i="69"/>
  <c r="M107" i="69" s="1"/>
  <c r="K96" i="69"/>
  <c r="M96" i="69" s="1"/>
  <c r="K24" i="69"/>
  <c r="M24" i="69" s="1"/>
  <c r="K98" i="69"/>
  <c r="M98" i="69" s="1"/>
  <c r="K93" i="69"/>
  <c r="M93" i="69" s="1"/>
  <c r="K114" i="69"/>
  <c r="M114" i="69" s="1"/>
  <c r="K32" i="69"/>
  <c r="M32" i="69" s="1"/>
  <c r="M55" i="69" l="1"/>
  <c r="I1044" i="29"/>
  <c r="J1044" i="29"/>
  <c r="S1045" i="29"/>
  <c r="U1045" i="29"/>
  <c r="Q1045" i="29"/>
  <c r="E1045" i="29"/>
  <c r="T1045" i="29"/>
  <c r="R1045" i="29"/>
  <c r="G1045" i="29"/>
  <c r="O1044" i="29"/>
  <c r="AE1045" i="29"/>
  <c r="AF1045" i="29"/>
  <c r="P1043" i="29"/>
  <c r="V1043" i="29"/>
  <c r="W1043" i="29" s="1"/>
  <c r="Z1043" i="29"/>
  <c r="K1044" i="29"/>
  <c r="N1044" i="29" s="1"/>
  <c r="Y1044" i="29"/>
  <c r="AI1046" i="29"/>
  <c r="B1046" i="29"/>
  <c r="AD1047" i="29"/>
  <c r="J149" i="69"/>
  <c r="I149" i="69"/>
  <c r="V1054" i="29"/>
  <c r="W1054" i="29" s="1"/>
  <c r="P1054" i="29"/>
  <c r="O1055" i="29"/>
  <c r="G1056" i="29"/>
  <c r="D26" i="69" s="1"/>
  <c r="T1056" i="29"/>
  <c r="Q1056" i="29"/>
  <c r="S1056" i="29"/>
  <c r="R1056" i="29"/>
  <c r="U1056" i="29"/>
  <c r="E1056" i="29"/>
  <c r="C26" i="69" s="1"/>
  <c r="I26" i="69" s="1"/>
  <c r="AI1057" i="29"/>
  <c r="B1057" i="29"/>
  <c r="AE1056" i="29"/>
  <c r="AF1056" i="29"/>
  <c r="J1055" i="29"/>
  <c r="Y1055" i="29" s="1"/>
  <c r="H149" i="69" s="1"/>
  <c r="I1055" i="29"/>
  <c r="K1055" i="29" s="1"/>
  <c r="N1055" i="29" s="1"/>
  <c r="Z1054" i="29"/>
  <c r="L57" i="69"/>
  <c r="I57" i="69"/>
  <c r="J57" i="69"/>
  <c r="D58" i="69"/>
  <c r="C58" i="69"/>
  <c r="K149" i="69" l="1"/>
  <c r="Z1044" i="29"/>
  <c r="J26" i="69"/>
  <c r="U1046" i="29"/>
  <c r="Q1046" i="29"/>
  <c r="E1046" i="29"/>
  <c r="S1046" i="29"/>
  <c r="T1046" i="29"/>
  <c r="R1046" i="29"/>
  <c r="G1046" i="29"/>
  <c r="I1045" i="29"/>
  <c r="J1045" i="29"/>
  <c r="Y1045" i="29" s="1"/>
  <c r="O1045" i="29"/>
  <c r="AE1046" i="29"/>
  <c r="AF1046" i="29"/>
  <c r="K1045" i="29"/>
  <c r="N1045" i="29" s="1"/>
  <c r="AI1047" i="29"/>
  <c r="B1047" i="29"/>
  <c r="G1096" i="29" s="1"/>
  <c r="P1044" i="29"/>
  <c r="V1044" i="29"/>
  <c r="W1044" i="29" s="1"/>
  <c r="L149" i="69"/>
  <c r="M149" i="69" s="1"/>
  <c r="Z1055" i="29"/>
  <c r="O1056" i="29"/>
  <c r="V1055" i="29"/>
  <c r="W1055" i="29" s="1"/>
  <c r="P1055" i="29"/>
  <c r="G1057" i="29"/>
  <c r="E1057" i="29"/>
  <c r="C27" i="69" s="1"/>
  <c r="I27" i="69" s="1"/>
  <c r="S1057" i="29"/>
  <c r="U1057" i="29"/>
  <c r="Q1057" i="29"/>
  <c r="R1057" i="29"/>
  <c r="T1057" i="29"/>
  <c r="Q95" i="17"/>
  <c r="D107" i="17" s="1"/>
  <c r="Q94" i="17"/>
  <c r="D106" i="17" s="1"/>
  <c r="I1056" i="29"/>
  <c r="K1056" i="29" s="1"/>
  <c r="N1056" i="29" s="1"/>
  <c r="J1056" i="29"/>
  <c r="Y1056" i="29" s="1"/>
  <c r="AE1057" i="29"/>
  <c r="AF1057" i="29"/>
  <c r="K57" i="69"/>
  <c r="M57" i="69" s="1"/>
  <c r="I58" i="69"/>
  <c r="J58" i="69"/>
  <c r="H57" i="69"/>
  <c r="D28" i="69"/>
  <c r="C28" i="69"/>
  <c r="C61" i="69"/>
  <c r="D61" i="69"/>
  <c r="K26" i="69"/>
  <c r="J27" i="69" l="1"/>
  <c r="N1092" i="29"/>
  <c r="Q1092" i="29" s="1"/>
  <c r="H1086" i="29"/>
  <c r="H1096" i="29"/>
  <c r="I1096" i="29" s="1"/>
  <c r="N1093" i="29"/>
  <c r="Q1093" i="29" s="1"/>
  <c r="G1094" i="29"/>
  <c r="H1094" i="29"/>
  <c r="N1094" i="29"/>
  <c r="Q1094" i="29" s="1"/>
  <c r="G1095" i="29"/>
  <c r="H1088" i="29"/>
  <c r="H1093" i="29"/>
  <c r="N1095" i="29"/>
  <c r="Q1095" i="29" s="1"/>
  <c r="N1086" i="29"/>
  <c r="Q1086" i="29" s="1"/>
  <c r="H1087" i="29"/>
  <c r="H1089" i="29"/>
  <c r="H1091" i="29"/>
  <c r="N1096" i="29"/>
  <c r="Q1096" i="29" s="1"/>
  <c r="N1090" i="29"/>
  <c r="Q1090" i="29" s="1"/>
  <c r="G1086" i="29"/>
  <c r="I1086" i="29" s="1"/>
  <c r="G1085" i="29"/>
  <c r="H1092" i="29"/>
  <c r="H1085" i="29"/>
  <c r="N1087" i="29"/>
  <c r="Q1087" i="29" s="1"/>
  <c r="H1095" i="29"/>
  <c r="N1088" i="29"/>
  <c r="Q1088" i="29" s="1"/>
  <c r="N1089" i="29"/>
  <c r="Q1089" i="29" s="1"/>
  <c r="G1093" i="29"/>
  <c r="I1093" i="29" s="1"/>
  <c r="H1090" i="29"/>
  <c r="N1085" i="29"/>
  <c r="Q1085" i="29" s="1"/>
  <c r="G1088" i="29"/>
  <c r="I1088" i="29" s="1"/>
  <c r="G1089" i="29"/>
  <c r="I1089" i="29" s="1"/>
  <c r="G1090" i="29"/>
  <c r="I1090" i="29" s="1"/>
  <c r="G1091" i="29"/>
  <c r="G1092" i="29"/>
  <c r="I1092" i="29" s="1"/>
  <c r="D27" i="69"/>
  <c r="G1087" i="29"/>
  <c r="I1087" i="29" s="1"/>
  <c r="M151" i="48"/>
  <c r="D49" i="18"/>
  <c r="C49" i="18"/>
  <c r="M153" i="48"/>
  <c r="F49" i="18"/>
  <c r="Z1045" i="29"/>
  <c r="V1045" i="29"/>
  <c r="W1045" i="29" s="1"/>
  <c r="P1045" i="29"/>
  <c r="S1047" i="29"/>
  <c r="U1047" i="29"/>
  <c r="U1071" i="29" s="1"/>
  <c r="Q1047" i="29"/>
  <c r="R296" i="17" s="1"/>
  <c r="E1047" i="29"/>
  <c r="C84" i="69" s="1"/>
  <c r="R1047" i="29"/>
  <c r="G1047" i="29"/>
  <c r="T1047" i="29"/>
  <c r="O1046" i="29"/>
  <c r="AE1047" i="29"/>
  <c r="AF1047" i="29"/>
  <c r="I1046" i="29"/>
  <c r="K1046" i="29" s="1"/>
  <c r="N1046" i="29" s="1"/>
  <c r="J1046" i="29"/>
  <c r="Y1046" i="29" s="1"/>
  <c r="H28" i="69" s="1"/>
  <c r="L26" i="69"/>
  <c r="M26" i="69" s="1"/>
  <c r="C61" i="27"/>
  <c r="C62" i="27"/>
  <c r="Z1056" i="29"/>
  <c r="V1056" i="29"/>
  <c r="W1056" i="29" s="1"/>
  <c r="P1056" i="29"/>
  <c r="O1057" i="29"/>
  <c r="I1057" i="29"/>
  <c r="K1057" i="29" s="1"/>
  <c r="N1057" i="29" s="1"/>
  <c r="J1057" i="29"/>
  <c r="Y1057" i="29" s="1"/>
  <c r="K58" i="69"/>
  <c r="I61" i="69"/>
  <c r="J61" i="69"/>
  <c r="H58" i="69"/>
  <c r="L58" i="69"/>
  <c r="K27" i="69"/>
  <c r="D62" i="69"/>
  <c r="C62" i="69"/>
  <c r="I28" i="69"/>
  <c r="J28" i="69"/>
  <c r="D51" i="18"/>
  <c r="C51" i="18"/>
  <c r="F51" i="18"/>
  <c r="C95" i="43"/>
  <c r="D95" i="43"/>
  <c r="D144" i="43" s="1"/>
  <c r="E95" i="43"/>
  <c r="E144" i="43" s="1"/>
  <c r="H95" i="43"/>
  <c r="H144" i="43" s="1"/>
  <c r="G95" i="43"/>
  <c r="G144" i="43" s="1"/>
  <c r="F95" i="43"/>
  <c r="F144" i="43" s="1"/>
  <c r="I1091" i="29" l="1"/>
  <c r="Q255" i="17"/>
  <c r="Q261" i="17" s="1"/>
  <c r="I1085" i="29"/>
  <c r="I1094" i="29"/>
  <c r="I1095" i="29"/>
  <c r="D84" i="69"/>
  <c r="D305" i="17"/>
  <c r="D308" i="17" s="1"/>
  <c r="R302" i="17"/>
  <c r="R305" i="17" s="1"/>
  <c r="L27" i="69"/>
  <c r="M27" i="69" s="1"/>
  <c r="H49" i="18"/>
  <c r="V255" i="17"/>
  <c r="H264" i="17" s="1"/>
  <c r="P1046" i="29"/>
  <c r="V1046" i="29"/>
  <c r="W1046" i="29" s="1"/>
  <c r="I1047" i="29"/>
  <c r="K1047" i="29" s="1"/>
  <c r="N1047" i="29" s="1"/>
  <c r="J1047" i="29"/>
  <c r="Y1047" i="29" s="1"/>
  <c r="H84" i="69" s="1"/>
  <c r="O1047" i="29"/>
  <c r="Z1046" i="29"/>
  <c r="L28" i="69"/>
  <c r="H26" i="69"/>
  <c r="H27" i="69"/>
  <c r="G62" i="27"/>
  <c r="G61" i="27"/>
  <c r="M58" i="69"/>
  <c r="P1057" i="29"/>
  <c r="V1057" i="29"/>
  <c r="W1057" i="29" s="1"/>
  <c r="Z1057" i="29"/>
  <c r="H61" i="69"/>
  <c r="I62" i="69"/>
  <c r="J62" i="69"/>
  <c r="L61" i="69"/>
  <c r="K61" i="69"/>
  <c r="K28" i="69"/>
  <c r="C86" i="69"/>
  <c r="D86" i="69"/>
  <c r="D63" i="69"/>
  <c r="C63" i="69"/>
  <c r="I84" i="69"/>
  <c r="J84" i="69"/>
  <c r="L62" i="69"/>
  <c r="H51" i="18"/>
  <c r="L51" i="18"/>
  <c r="C144" i="43"/>
  <c r="M51" i="18" l="1"/>
  <c r="V261" i="17"/>
  <c r="Z261" i="17" s="1"/>
  <c r="Z263" i="17" s="1"/>
  <c r="M28" i="69"/>
  <c r="P1047" i="29"/>
  <c r="V1047" i="29"/>
  <c r="W1047" i="29" s="1"/>
  <c r="Z1047" i="29"/>
  <c r="L84" i="69"/>
  <c r="K264" i="17"/>
  <c r="H267" i="17"/>
  <c r="H86" i="69"/>
  <c r="H62" i="69"/>
  <c r="M61" i="69"/>
  <c r="K62" i="69"/>
  <c r="M62" i="69" s="1"/>
  <c r="J63" i="69"/>
  <c r="I63" i="69"/>
  <c r="K84" i="69"/>
  <c r="L86" i="69"/>
  <c r="C48" i="69"/>
  <c r="D48" i="69"/>
  <c r="C64" i="69"/>
  <c r="D64" i="69"/>
  <c r="L63" i="69"/>
  <c r="I86" i="69"/>
  <c r="J86" i="69"/>
  <c r="M84" i="69" l="1"/>
  <c r="K267" i="17"/>
  <c r="F106" i="17"/>
  <c r="K63" i="69"/>
  <c r="M63" i="69" s="1"/>
  <c r="I64" i="69"/>
  <c r="J64" i="69"/>
  <c r="H48" i="69"/>
  <c r="H63" i="69"/>
  <c r="L48" i="69"/>
  <c r="K86" i="69"/>
  <c r="M86" i="69" s="1"/>
  <c r="L64" i="69"/>
  <c r="J48" i="69"/>
  <c r="I48" i="69"/>
  <c r="D88" i="69"/>
  <c r="D65" i="69"/>
  <c r="C65" i="69"/>
  <c r="C88" i="69"/>
  <c r="J65" i="69" l="1"/>
  <c r="I65" i="69"/>
  <c r="H88" i="69"/>
  <c r="H64" i="69"/>
  <c r="K64" i="69"/>
  <c r="M64" i="69" s="1"/>
  <c r="I88" i="69"/>
  <c r="J88" i="69"/>
  <c r="L65" i="69"/>
  <c r="C66" i="69"/>
  <c r="D66" i="69"/>
  <c r="K48" i="69"/>
  <c r="L88" i="69"/>
  <c r="C85" i="69"/>
  <c r="D85" i="69"/>
  <c r="K65" i="69" l="1"/>
  <c r="M65" i="69" s="1"/>
  <c r="J66" i="69"/>
  <c r="I66" i="69"/>
  <c r="H85" i="69"/>
  <c r="H65" i="69"/>
  <c r="K88" i="69"/>
  <c r="M88" i="69" s="1"/>
  <c r="J85" i="69"/>
  <c r="I85" i="69"/>
  <c r="L85" i="69"/>
  <c r="D87" i="69"/>
  <c r="M48" i="69"/>
  <c r="L66" i="69"/>
  <c r="C87" i="69"/>
  <c r="C67" i="69"/>
  <c r="D67" i="69"/>
  <c r="K66" i="69" l="1"/>
  <c r="M66" i="69" s="1"/>
  <c r="I67" i="69"/>
  <c r="J67" i="69"/>
  <c r="H87" i="69"/>
  <c r="H66" i="69"/>
  <c r="C89" i="69"/>
  <c r="K85" i="69"/>
  <c r="M85" i="69" s="1"/>
  <c r="L87" i="69"/>
  <c r="L67" i="69"/>
  <c r="D68" i="69"/>
  <c r="C68" i="69"/>
  <c r="D89" i="69"/>
  <c r="J87" i="69"/>
  <c r="I87" i="69"/>
  <c r="H89" i="69" l="1"/>
  <c r="H67" i="69"/>
  <c r="I68" i="69"/>
  <c r="J68" i="69"/>
  <c r="K67" i="69"/>
  <c r="M67" i="69" s="1"/>
  <c r="K87" i="69"/>
  <c r="M87" i="69" s="1"/>
  <c r="C69" i="69"/>
  <c r="D69" i="69"/>
  <c r="D50" i="69"/>
  <c r="L89" i="69"/>
  <c r="L68" i="69"/>
  <c r="I89" i="69"/>
  <c r="J89" i="69"/>
  <c r="Q1071" i="29"/>
  <c r="C50" i="69"/>
  <c r="R303" i="17" l="1"/>
  <c r="K68" i="69"/>
  <c r="M68" i="69" s="1"/>
  <c r="H50" i="69"/>
  <c r="H68" i="69"/>
  <c r="C70" i="69"/>
  <c r="D70" i="69"/>
  <c r="I69" i="69"/>
  <c r="J69" i="69"/>
  <c r="K89" i="69"/>
  <c r="M89" i="69" s="1"/>
  <c r="B56" i="17"/>
  <c r="T1071" i="29"/>
  <c r="R1071" i="29"/>
  <c r="D50" i="18"/>
  <c r="D52" i="18" s="1"/>
  <c r="D54" i="18" s="1"/>
  <c r="C50" i="18"/>
  <c r="J50" i="69"/>
  <c r="I50" i="69"/>
  <c r="C54" i="69"/>
  <c r="E1071" i="29"/>
  <c r="Q262" i="17" s="1"/>
  <c r="D54" i="69"/>
  <c r="V262" i="17"/>
  <c r="S1071" i="29"/>
  <c r="F50" i="18"/>
  <c r="F52" i="18" s="1"/>
  <c r="F54" i="18" s="1"/>
  <c r="L54" i="69"/>
  <c r="BD474" i="4"/>
  <c r="BD475" i="4" s="1"/>
  <c r="L50" i="69"/>
  <c r="C139" i="48"/>
  <c r="Y71" i="28"/>
  <c r="AC71" i="28" s="1"/>
  <c r="W95" i="28"/>
  <c r="AA95" i="28" s="1"/>
  <c r="E100" i="48"/>
  <c r="D98" i="48"/>
  <c r="W105" i="28"/>
  <c r="X60" i="28"/>
  <c r="Y73" i="28"/>
  <c r="AC73" i="28" s="1"/>
  <c r="D139" i="48"/>
  <c r="Y75" i="28"/>
  <c r="AC75" i="28" s="1"/>
  <c r="Y72" i="28"/>
  <c r="AC72" i="28" s="1"/>
  <c r="Y102" i="28"/>
  <c r="AC102" i="28" s="1"/>
  <c r="C109" i="48"/>
  <c r="C100" i="48"/>
  <c r="C98" i="48"/>
  <c r="E99" i="48"/>
  <c r="C97" i="48"/>
  <c r="W56" i="28"/>
  <c r="C99" i="48"/>
  <c r="X105" i="28"/>
  <c r="D104" i="48"/>
  <c r="D101" i="48"/>
  <c r="W52" i="28"/>
  <c r="C35" i="48"/>
  <c r="Y112" i="28"/>
  <c r="AC112" i="28" s="1"/>
  <c r="D37" i="48"/>
  <c r="D138" i="48"/>
  <c r="C102" i="48"/>
  <c r="Y95" i="28"/>
  <c r="AC95" i="28" s="1"/>
  <c r="X86" i="28"/>
  <c r="D111" i="48"/>
  <c r="W47" i="28"/>
  <c r="Y99" i="28"/>
  <c r="AC99" i="28" s="1"/>
  <c r="X63" i="28"/>
  <c r="D35" i="48"/>
  <c r="X66" i="28"/>
  <c r="Y107" i="28"/>
  <c r="AC107" i="28" s="1"/>
  <c r="C45" i="48"/>
  <c r="C37" i="48"/>
  <c r="W81" i="28"/>
  <c r="D41" i="48"/>
  <c r="E97" i="48"/>
  <c r="D100" i="48"/>
  <c r="D45" i="48"/>
  <c r="C101" i="48"/>
  <c r="E103" i="48"/>
  <c r="X49" i="28"/>
  <c r="W101" i="28"/>
  <c r="X42" i="28"/>
  <c r="Y101" i="28"/>
  <c r="AC101" i="28" s="1"/>
  <c r="X47" i="28"/>
  <c r="Y109" i="28"/>
  <c r="AC109" i="28" s="1"/>
  <c r="D102" i="48"/>
  <c r="C104" i="48"/>
  <c r="E45" i="48"/>
  <c r="Y110" i="28"/>
  <c r="AC110" i="28" s="1"/>
  <c r="W89" i="28"/>
  <c r="C111" i="48"/>
  <c r="Y111" i="28"/>
  <c r="AC111" i="28" s="1"/>
  <c r="W60" i="28"/>
  <c r="X56" i="28"/>
  <c r="W92" i="28"/>
  <c r="Y70" i="28"/>
  <c r="AC70" i="28" s="1"/>
  <c r="E138" i="48"/>
  <c r="X41" i="28"/>
  <c r="W86" i="28"/>
  <c r="X96" i="28"/>
  <c r="E101" i="48"/>
  <c r="X76" i="28"/>
  <c r="D103" i="48"/>
  <c r="Y113" i="28"/>
  <c r="AC113" i="28" s="1"/>
  <c r="E104" i="48"/>
  <c r="C138" i="48"/>
  <c r="W49" i="28"/>
  <c r="C91" i="48"/>
  <c r="W68" i="28"/>
  <c r="D97" i="48"/>
  <c r="W41" i="28"/>
  <c r="E41" i="48"/>
  <c r="E109" i="48"/>
  <c r="E35" i="48"/>
  <c r="X98" i="28"/>
  <c r="W110" i="28"/>
  <c r="W98" i="28"/>
  <c r="E139" i="48"/>
  <c r="D99" i="48"/>
  <c r="W83" i="28"/>
  <c r="X70" i="28"/>
  <c r="W66" i="28"/>
  <c r="W42" i="28"/>
  <c r="C107" i="48"/>
  <c r="Y106" i="28"/>
  <c r="AC106" i="28" s="1"/>
  <c r="W96" i="28"/>
  <c r="X89" i="28"/>
  <c r="D91" i="48"/>
  <c r="E37" i="48"/>
  <c r="W63" i="28"/>
  <c r="E91" i="48"/>
  <c r="X68" i="28"/>
  <c r="Y105" i="28"/>
  <c r="AC105" i="28" s="1"/>
  <c r="C103" i="48"/>
  <c r="Y100" i="28"/>
  <c r="AC100" i="28" s="1"/>
  <c r="X81" i="28"/>
  <c r="E102" i="48"/>
  <c r="D109" i="48"/>
  <c r="X110" i="28"/>
  <c r="X101" i="28"/>
  <c r="Y74" i="28"/>
  <c r="AC74" i="28" s="1"/>
  <c r="Y104" i="28"/>
  <c r="AC104" i="28" s="1"/>
  <c r="X83" i="28"/>
  <c r="W70" i="28"/>
  <c r="X95" i="28"/>
  <c r="AB95" i="28" s="1"/>
  <c r="W76" i="28"/>
  <c r="D107" i="48"/>
  <c r="Y108" i="28"/>
  <c r="AC108" i="28" s="1"/>
  <c r="Y103" i="28"/>
  <c r="AC103" i="28" s="1"/>
  <c r="E98" i="48"/>
  <c r="E111" i="48"/>
  <c r="E107" i="48"/>
  <c r="X52" i="28"/>
  <c r="X92" i="28"/>
  <c r="C41" i="48"/>
  <c r="Y98" i="28"/>
  <c r="AC98" i="28" s="1"/>
  <c r="D52" i="69"/>
  <c r="C52" i="69"/>
  <c r="E1073" i="29"/>
  <c r="L69" i="69"/>
  <c r="C52" i="18" l="1"/>
  <c r="C54" i="18" s="1"/>
  <c r="S297" i="17"/>
  <c r="E306" i="17" s="1"/>
  <c r="H54" i="69"/>
  <c r="H70" i="69"/>
  <c r="L70" i="69"/>
  <c r="I70" i="69"/>
  <c r="J70" i="69"/>
  <c r="H52" i="69"/>
  <c r="H69" i="69"/>
  <c r="K69" i="69"/>
  <c r="M69" i="69" s="1"/>
  <c r="D140" i="48"/>
  <c r="L50" i="18"/>
  <c r="D153" i="69"/>
  <c r="C42" i="70" s="1"/>
  <c r="C43" i="70" s="1"/>
  <c r="O1073" i="29"/>
  <c r="O1071" i="29"/>
  <c r="H50" i="18"/>
  <c r="H52" i="18" s="1"/>
  <c r="H54" i="18" s="1"/>
  <c r="E140" i="48"/>
  <c r="K50" i="69"/>
  <c r="M50" i="69" s="1"/>
  <c r="AD95" i="28"/>
  <c r="G105" i="27"/>
  <c r="L52" i="69"/>
  <c r="J52" i="69"/>
  <c r="I52" i="69"/>
  <c r="D108" i="17"/>
  <c r="P49" i="17"/>
  <c r="M41" i="48"/>
  <c r="K41" i="48"/>
  <c r="L41" i="48"/>
  <c r="X93" i="28"/>
  <c r="AB92" i="28"/>
  <c r="X53" i="28"/>
  <c r="AB52" i="28"/>
  <c r="W77" i="28"/>
  <c r="AA76" i="28"/>
  <c r="W71" i="28"/>
  <c r="AA70" i="28"/>
  <c r="AB83" i="28"/>
  <c r="X84" i="28"/>
  <c r="AB101" i="28"/>
  <c r="X102" i="28"/>
  <c r="AB110" i="28"/>
  <c r="X111" i="28"/>
  <c r="AB81" i="28"/>
  <c r="X82" i="28"/>
  <c r="AB82" i="28" s="1"/>
  <c r="C83" i="27"/>
  <c r="K103" i="48"/>
  <c r="L103" i="48"/>
  <c r="M103" i="48"/>
  <c r="AB68" i="28"/>
  <c r="X69" i="28"/>
  <c r="AB69" i="28" s="1"/>
  <c r="AA63" i="28"/>
  <c r="W64" i="28"/>
  <c r="AB89" i="28"/>
  <c r="X90" i="28"/>
  <c r="W97" i="28"/>
  <c r="AA97" i="28" s="1"/>
  <c r="AA96" i="28"/>
  <c r="L107" i="48"/>
  <c r="M107" i="48"/>
  <c r="K107" i="48"/>
  <c r="W43" i="28"/>
  <c r="AA42" i="28"/>
  <c r="W67" i="28"/>
  <c r="AA67" i="28" s="1"/>
  <c r="AA66" i="28"/>
  <c r="AB70" i="28"/>
  <c r="X71" i="28"/>
  <c r="W84" i="28"/>
  <c r="AA83" i="28"/>
  <c r="W99" i="28"/>
  <c r="AA98" i="28"/>
  <c r="W111" i="28"/>
  <c r="AA110" i="28"/>
  <c r="X99" i="28"/>
  <c r="AB98" i="28"/>
  <c r="AA41" i="28"/>
  <c r="C61" i="48"/>
  <c r="W69" i="28"/>
  <c r="AA69" i="28" s="1"/>
  <c r="AA68" i="28"/>
  <c r="L91" i="48"/>
  <c r="K91" i="48"/>
  <c r="M91" i="48"/>
  <c r="W50" i="28"/>
  <c r="AA49" i="28"/>
  <c r="L138" i="48"/>
  <c r="K138" i="48"/>
  <c r="M138" i="48"/>
  <c r="C140" i="48"/>
  <c r="AB76" i="28"/>
  <c r="X77" i="28"/>
  <c r="X97" i="28"/>
  <c r="AB97" i="28" s="1"/>
  <c r="AB96" i="28"/>
  <c r="W87" i="28"/>
  <c r="AA86" i="28"/>
  <c r="D61" i="48"/>
  <c r="AB41" i="28"/>
  <c r="AA92" i="28"/>
  <c r="W93" i="28"/>
  <c r="X57" i="28"/>
  <c r="AB56" i="28"/>
  <c r="W61" i="28"/>
  <c r="AA60" i="28"/>
  <c r="L111" i="48"/>
  <c r="K111" i="48"/>
  <c r="M111" i="48"/>
  <c r="W90" i="28"/>
  <c r="AA89" i="28"/>
  <c r="K104" i="48"/>
  <c r="M104" i="48"/>
  <c r="L104" i="48"/>
  <c r="X48" i="28"/>
  <c r="AB47" i="28"/>
  <c r="AB42" i="28"/>
  <c r="X43" i="28"/>
  <c r="W102" i="28"/>
  <c r="AA101" i="28"/>
  <c r="X50" i="28"/>
  <c r="AB49" i="28"/>
  <c r="M101" i="48"/>
  <c r="K101" i="48"/>
  <c r="L101" i="48"/>
  <c r="AA81" i="28"/>
  <c r="W82" i="28"/>
  <c r="AA82" i="28" s="1"/>
  <c r="L37" i="48"/>
  <c r="M37" i="48"/>
  <c r="K37" i="48"/>
  <c r="K45" i="48"/>
  <c r="L45" i="48"/>
  <c r="M45" i="48"/>
  <c r="X67" i="28"/>
  <c r="AB67" i="28" s="1"/>
  <c r="AB66" i="28"/>
  <c r="AB63" i="28"/>
  <c r="X64" i="28"/>
  <c r="W48" i="28"/>
  <c r="AA47" i="28"/>
  <c r="X87" i="28"/>
  <c r="AB86" i="28"/>
  <c r="K102" i="48"/>
  <c r="M102" i="48"/>
  <c r="L102" i="48"/>
  <c r="L35" i="48"/>
  <c r="M35" i="48"/>
  <c r="K35" i="48"/>
  <c r="W53" i="28"/>
  <c r="AA52" i="28"/>
  <c r="X106" i="28"/>
  <c r="AB105" i="28"/>
  <c r="M99" i="48"/>
  <c r="K99" i="48"/>
  <c r="L99" i="48"/>
  <c r="AA56" i="28"/>
  <c r="W57" i="28"/>
  <c r="L97" i="48"/>
  <c r="K97" i="48"/>
  <c r="M97" i="48"/>
  <c r="L98" i="48"/>
  <c r="M98" i="48"/>
  <c r="K98" i="48"/>
  <c r="L100" i="48"/>
  <c r="M100" i="48"/>
  <c r="K100" i="48"/>
  <c r="K109" i="48"/>
  <c r="L109" i="48"/>
  <c r="M109" i="48"/>
  <c r="X61" i="28"/>
  <c r="AB60" i="28"/>
  <c r="W106" i="28"/>
  <c r="AA105" i="28"/>
  <c r="L139" i="48"/>
  <c r="M139" i="48"/>
  <c r="K139" i="48"/>
  <c r="K474" i="4"/>
  <c r="K476" i="4" s="1"/>
  <c r="C44" i="70" s="1"/>
  <c r="F59" i="17"/>
  <c r="F61" i="17" s="1"/>
  <c r="F108" i="17"/>
  <c r="F110" i="17" s="1"/>
  <c r="F474" i="4"/>
  <c r="F476" i="4" s="1"/>
  <c r="J54" i="69"/>
  <c r="I54" i="69"/>
  <c r="G35" i="56" l="1"/>
  <c r="C20" i="77" s="1"/>
  <c r="C21" i="77" s="1"/>
  <c r="C27" i="77" s="1"/>
  <c r="M50" i="18"/>
  <c r="AD105" i="28"/>
  <c r="G83" i="27"/>
  <c r="AD110" i="28"/>
  <c r="AD101" i="28"/>
  <c r="H94" i="43"/>
  <c r="D110" i="17"/>
  <c r="C45" i="70"/>
  <c r="K70" i="69"/>
  <c r="M70" i="69" s="1"/>
  <c r="K54" i="69"/>
  <c r="M54" i="69" s="1"/>
  <c r="K140" i="48"/>
  <c r="L140" i="48"/>
  <c r="K52" i="69"/>
  <c r="M52" i="69" s="1"/>
  <c r="M140" i="48"/>
  <c r="AD98" i="28"/>
  <c r="W107" i="28"/>
  <c r="AA106" i="28"/>
  <c r="AB61" i="28"/>
  <c r="X62" i="28"/>
  <c r="AB62" i="28" s="1"/>
  <c r="W58" i="28"/>
  <c r="AA57" i="28"/>
  <c r="X107" i="28"/>
  <c r="AB106" i="28"/>
  <c r="W54" i="28"/>
  <c r="AA53" i="28"/>
  <c r="AB87" i="28"/>
  <c r="X88" i="28"/>
  <c r="AB88" i="28" s="1"/>
  <c r="AA48" i="28"/>
  <c r="X65" i="28"/>
  <c r="AB65" i="28" s="1"/>
  <c r="AB64" i="28"/>
  <c r="AB50" i="28"/>
  <c r="X51" i="28"/>
  <c r="AB51" i="28" s="1"/>
  <c r="W103" i="28"/>
  <c r="AA102" i="28"/>
  <c r="X44" i="28"/>
  <c r="AB43" i="28"/>
  <c r="D64" i="48"/>
  <c r="AB48" i="28"/>
  <c r="W91" i="28"/>
  <c r="AA91" i="28" s="1"/>
  <c r="AA90" i="28"/>
  <c r="W62" i="28"/>
  <c r="AA62" i="28" s="1"/>
  <c r="AA61" i="28"/>
  <c r="X58" i="28"/>
  <c r="AB57" i="28"/>
  <c r="W94" i="28"/>
  <c r="AA94" i="28" s="1"/>
  <c r="AA93" i="28"/>
  <c r="W88" i="28"/>
  <c r="AA88" i="28" s="1"/>
  <c r="AA87" i="28"/>
  <c r="X78" i="28"/>
  <c r="AB77" i="28"/>
  <c r="W51" i="28"/>
  <c r="AA51" i="28" s="1"/>
  <c r="AA50" i="28"/>
  <c r="AB99" i="28"/>
  <c r="X100" i="28"/>
  <c r="W112" i="28"/>
  <c r="AA111" i="28"/>
  <c r="W100" i="28"/>
  <c r="AA99" i="28"/>
  <c r="W85" i="28"/>
  <c r="AA85" i="28" s="1"/>
  <c r="AA84" i="28"/>
  <c r="X72" i="28"/>
  <c r="AB71" i="28"/>
  <c r="W44" i="28"/>
  <c r="AA43" i="28"/>
  <c r="C64" i="48"/>
  <c r="AB90" i="28"/>
  <c r="X91" i="28"/>
  <c r="AB91" i="28" s="1"/>
  <c r="W65" i="28"/>
  <c r="AA65" i="28" s="1"/>
  <c r="AA64" i="28"/>
  <c r="AB111" i="28"/>
  <c r="X112" i="28"/>
  <c r="AB102" i="28"/>
  <c r="X103" i="28"/>
  <c r="AB84" i="28"/>
  <c r="X85" i="28"/>
  <c r="AB85" i="28" s="1"/>
  <c r="W72" i="28"/>
  <c r="AA71" i="28"/>
  <c r="W78" i="28"/>
  <c r="AA77" i="28"/>
  <c r="AB53" i="28"/>
  <c r="X54" i="28"/>
  <c r="X94" i="28"/>
  <c r="AB93" i="28"/>
  <c r="L153" i="69"/>
  <c r="L173" i="69" s="1"/>
  <c r="L175" i="69" s="1"/>
  <c r="L178" i="69" s="1"/>
  <c r="D94" i="43" l="1"/>
  <c r="C94" i="43"/>
  <c r="P48" i="17"/>
  <c r="G94" i="43"/>
  <c r="E94" i="43"/>
  <c r="S303" i="17"/>
  <c r="S296" i="17"/>
  <c r="H96" i="43"/>
  <c r="H98" i="43" s="1"/>
  <c r="H143" i="43"/>
  <c r="H145" i="43" s="1"/>
  <c r="H147" i="43" s="1"/>
  <c r="F94" i="43"/>
  <c r="C128" i="17"/>
  <c r="C130" i="17" s="1"/>
  <c r="C112" i="17" s="1"/>
  <c r="M153" i="69"/>
  <c r="L42" i="70" s="1"/>
  <c r="L43" i="70" s="1"/>
  <c r="K153" i="69"/>
  <c r="AD106" i="28"/>
  <c r="C65" i="48"/>
  <c r="AD99" i="28"/>
  <c r="D73" i="48"/>
  <c r="AD111" i="28"/>
  <c r="C73" i="48"/>
  <c r="C66" i="48"/>
  <c r="D65" i="48"/>
  <c r="M177" i="69"/>
  <c r="AD102" i="28"/>
  <c r="B21" i="68"/>
  <c r="B22" i="68" s="1"/>
  <c r="B34" i="68" s="1"/>
  <c r="B36" i="68" s="1"/>
  <c r="D66" i="48"/>
  <c r="AB94" i="28"/>
  <c r="AB54" i="28"/>
  <c r="X55" i="28"/>
  <c r="AB55" i="28" s="1"/>
  <c r="W79" i="28"/>
  <c r="AA78" i="28"/>
  <c r="W73" i="28"/>
  <c r="AA72" i="28"/>
  <c r="AB103" i="28"/>
  <c r="X104" i="28"/>
  <c r="AB104" i="28" s="1"/>
  <c r="X113" i="28"/>
  <c r="AB113" i="28" s="1"/>
  <c r="AB112" i="28"/>
  <c r="W45" i="28"/>
  <c r="AA44" i="28"/>
  <c r="AB72" i="28"/>
  <c r="X73" i="28"/>
  <c r="AA100" i="28"/>
  <c r="W113" i="28"/>
  <c r="AA113" i="28" s="1"/>
  <c r="AA112" i="28"/>
  <c r="AB100" i="28"/>
  <c r="AB78" i="28"/>
  <c r="X79" i="28"/>
  <c r="AB58" i="28"/>
  <c r="X59" i="28"/>
  <c r="AB44" i="28"/>
  <c r="X45" i="28"/>
  <c r="W104" i="28"/>
  <c r="AA104" i="28" s="1"/>
  <c r="AA103" i="28"/>
  <c r="W55" i="28"/>
  <c r="AA55" i="28" s="1"/>
  <c r="AA54" i="28"/>
  <c r="X108" i="28"/>
  <c r="AB107" i="28"/>
  <c r="W59" i="28"/>
  <c r="AA58" i="28"/>
  <c r="W108" i="28"/>
  <c r="AA107" i="28"/>
  <c r="F56" i="17"/>
  <c r="G62" i="17" s="1"/>
  <c r="G143" i="43" l="1"/>
  <c r="G145" i="43" s="1"/>
  <c r="G147" i="43" s="1"/>
  <c r="G96" i="43"/>
  <c r="G98" i="43" s="1"/>
  <c r="F96" i="43"/>
  <c r="F98" i="43" s="1"/>
  <c r="F143" i="43"/>
  <c r="F145" i="43" s="1"/>
  <c r="F147" i="43" s="1"/>
  <c r="E143" i="43"/>
  <c r="E145" i="43" s="1"/>
  <c r="E147" i="43" s="1"/>
  <c r="E96" i="43"/>
  <c r="E98" i="43" s="1"/>
  <c r="C143" i="43"/>
  <c r="C96" i="43"/>
  <c r="C98" i="43" s="1"/>
  <c r="E305" i="17"/>
  <c r="S302" i="17"/>
  <c r="D96" i="43"/>
  <c r="D98" i="43" s="1"/>
  <c r="D143" i="43"/>
  <c r="D145" i="43" s="1"/>
  <c r="D147" i="43" s="1"/>
  <c r="L179" i="69"/>
  <c r="J53" i="70"/>
  <c r="J55" i="70" s="1"/>
  <c r="K186" i="69"/>
  <c r="K188" i="69" s="1"/>
  <c r="AD104" i="28"/>
  <c r="D67" i="48"/>
  <c r="AD103" i="28"/>
  <c r="C67" i="48"/>
  <c r="D22" i="68"/>
  <c r="K53" i="70" s="1"/>
  <c r="I29" i="68"/>
  <c r="I30" i="68"/>
  <c r="I27" i="68"/>
  <c r="I31" i="68"/>
  <c r="I26" i="68"/>
  <c r="D32" i="68"/>
  <c r="F30" i="68" s="1"/>
  <c r="I28" i="68"/>
  <c r="AD100" i="28"/>
  <c r="AD107" i="28"/>
  <c r="AD112" i="28"/>
  <c r="AD113" i="28"/>
  <c r="W109" i="28"/>
  <c r="AA109" i="28" s="1"/>
  <c r="AA108" i="28"/>
  <c r="AA59" i="28"/>
  <c r="AB108" i="28"/>
  <c r="X109" i="28"/>
  <c r="AB109" i="28" s="1"/>
  <c r="AB45" i="28"/>
  <c r="X46" i="28"/>
  <c r="AB59" i="28"/>
  <c r="AB79" i="28"/>
  <c r="X80" i="28"/>
  <c r="AB80" i="28" s="1"/>
  <c r="X74" i="28"/>
  <c r="AB73" i="28"/>
  <c r="W46" i="28"/>
  <c r="AA45" i="28"/>
  <c r="W74" i="28"/>
  <c r="AA73" i="28"/>
  <c r="W80" i="28"/>
  <c r="AA80" i="28" s="1"/>
  <c r="AA79" i="28"/>
  <c r="C145" i="43" l="1"/>
  <c r="C147" i="43" s="1"/>
  <c r="AD108" i="28"/>
  <c r="AD109" i="28"/>
  <c r="L186" i="69"/>
  <c r="N143" i="69" s="1"/>
  <c r="L187" i="69"/>
  <c r="J30" i="68"/>
  <c r="F31" i="68"/>
  <c r="J31" i="68" s="1"/>
  <c r="F28" i="68"/>
  <c r="J28" i="68" s="1"/>
  <c r="K54" i="70"/>
  <c r="N9" i="70" s="1"/>
  <c r="F29" i="68"/>
  <c r="J29" i="68" s="1"/>
  <c r="F27" i="68"/>
  <c r="J27" i="68" s="1"/>
  <c r="F26" i="68"/>
  <c r="J26" i="68" s="1"/>
  <c r="W75" i="28"/>
  <c r="AA74" i="28"/>
  <c r="AA46" i="28"/>
  <c r="C69" i="48"/>
  <c r="AB74" i="28"/>
  <c r="X75" i="28"/>
  <c r="D69" i="48"/>
  <c r="AB46" i="28"/>
  <c r="N86" i="69" l="1"/>
  <c r="N139" i="69"/>
  <c r="N42" i="69"/>
  <c r="N111" i="69"/>
  <c r="N14" i="69"/>
  <c r="F20" i="68" s="1"/>
  <c r="N5" i="69"/>
  <c r="F16" i="68" s="1"/>
  <c r="N119" i="69"/>
  <c r="N69" i="69"/>
  <c r="N134" i="69"/>
  <c r="N125" i="69"/>
  <c r="N9" i="69"/>
  <c r="F18" i="68" s="1"/>
  <c r="N13" i="69"/>
  <c r="F19" i="68" s="1"/>
  <c r="N146" i="69"/>
  <c r="N40" i="69"/>
  <c r="N78" i="69"/>
  <c r="N72" i="69"/>
  <c r="N62" i="69"/>
  <c r="N145" i="69"/>
  <c r="N32" i="69"/>
  <c r="N100" i="69"/>
  <c r="N76" i="69"/>
  <c r="N52" i="69"/>
  <c r="N82" i="69"/>
  <c r="N24" i="69"/>
  <c r="N51" i="69"/>
  <c r="N49" i="69"/>
  <c r="N23" i="69"/>
  <c r="N19" i="69"/>
  <c r="N177" i="69"/>
  <c r="N109" i="69"/>
  <c r="N137" i="69"/>
  <c r="N103" i="69"/>
  <c r="N57" i="69"/>
  <c r="N148" i="69"/>
  <c r="N80" i="69"/>
  <c r="N26" i="69"/>
  <c r="N37" i="69"/>
  <c r="N123" i="69"/>
  <c r="N81" i="69"/>
  <c r="N132" i="69"/>
  <c r="N68" i="69"/>
  <c r="N33" i="69"/>
  <c r="N89" i="69"/>
  <c r="N127" i="69"/>
  <c r="N104" i="69"/>
  <c r="N38" i="69"/>
  <c r="N27" i="69"/>
  <c r="N118" i="69"/>
  <c r="N135" i="69"/>
  <c r="N150" i="69"/>
  <c r="N149" i="69"/>
  <c r="N102" i="69"/>
  <c r="N131" i="69"/>
  <c r="N74" i="69"/>
  <c r="N133" i="69"/>
  <c r="N112" i="69"/>
  <c r="N93" i="69"/>
  <c r="N73" i="69"/>
  <c r="N77" i="69"/>
  <c r="N22" i="69"/>
  <c r="N7" i="69"/>
  <c r="O7" i="69" s="1"/>
  <c r="N48" i="69"/>
  <c r="N84" i="69"/>
  <c r="N67" i="69"/>
  <c r="N46" i="69"/>
  <c r="N71" i="69"/>
  <c r="N144" i="69"/>
  <c r="N58" i="69"/>
  <c r="N20" i="69"/>
  <c r="N28" i="69"/>
  <c r="N85" i="69"/>
  <c r="N21" i="69"/>
  <c r="N105" i="69"/>
  <c r="N128" i="69"/>
  <c r="N88" i="69"/>
  <c r="N65" i="69"/>
  <c r="N66" i="69"/>
  <c r="N140" i="69"/>
  <c r="N70" i="69"/>
  <c r="N4" i="69"/>
  <c r="F15" i="68" s="1"/>
  <c r="N122" i="69"/>
  <c r="N17" i="69"/>
  <c r="N98" i="69"/>
  <c r="N120" i="69"/>
  <c r="N142" i="69"/>
  <c r="N115" i="69"/>
  <c r="N34" i="69"/>
  <c r="N30" i="69"/>
  <c r="N18" i="69"/>
  <c r="N79" i="69"/>
  <c r="N41" i="69"/>
  <c r="N43" i="69"/>
  <c r="N75" i="69"/>
  <c r="N130" i="69"/>
  <c r="N136" i="69"/>
  <c r="N45" i="69"/>
  <c r="N113" i="69"/>
  <c r="N10" i="69"/>
  <c r="N87" i="69"/>
  <c r="N141" i="69"/>
  <c r="N147" i="69"/>
  <c r="N50" i="69"/>
  <c r="N94" i="69"/>
  <c r="N138" i="69"/>
  <c r="N63" i="69"/>
  <c r="N64" i="69"/>
  <c r="N54" i="69"/>
  <c r="N61" i="69"/>
  <c r="N53" i="69"/>
  <c r="N55" i="69"/>
  <c r="N107" i="69"/>
  <c r="N106" i="69"/>
  <c r="N11" i="69"/>
  <c r="N96" i="69"/>
  <c r="N92" i="69"/>
  <c r="N99" i="69"/>
  <c r="N114" i="69"/>
  <c r="N31" i="70"/>
  <c r="P31" i="70" s="1"/>
  <c r="N18" i="70"/>
  <c r="P18" i="70" s="1"/>
  <c r="N11" i="70"/>
  <c r="P12" i="70" s="1"/>
  <c r="N4" i="70"/>
  <c r="N27" i="70"/>
  <c r="N5" i="70"/>
  <c r="N14" i="70"/>
  <c r="P14" i="70" s="1"/>
  <c r="N23" i="70"/>
  <c r="P23" i="70" s="1"/>
  <c r="F32" i="68"/>
  <c r="AB75" i="28"/>
  <c r="D70" i="48"/>
  <c r="AA75" i="28"/>
  <c r="C70" i="48"/>
  <c r="P111" i="69" l="1"/>
  <c r="Q111" i="69" s="1"/>
  <c r="R111" i="69" s="1"/>
  <c r="AD70" i="28"/>
  <c r="P32" i="69"/>
  <c r="Q32" i="69" s="1"/>
  <c r="R32" i="69" s="1"/>
  <c r="P84" i="69"/>
  <c r="S84" i="69" s="1"/>
  <c r="U84" i="69" s="1"/>
  <c r="P136" i="69"/>
  <c r="Q136" i="69" s="1"/>
  <c r="R136" i="69" s="1"/>
  <c r="P100" i="69"/>
  <c r="Q100" i="69" s="1"/>
  <c r="R100" i="69" s="1"/>
  <c r="P85" i="69"/>
  <c r="Q85" i="69" s="1"/>
  <c r="R85" i="69" s="1"/>
  <c r="P34" i="69"/>
  <c r="S34" i="69" s="1"/>
  <c r="U34" i="69" s="1"/>
  <c r="P88" i="69"/>
  <c r="S88" i="69" s="1"/>
  <c r="U88" i="69" s="1"/>
  <c r="P120" i="69"/>
  <c r="S120" i="69" s="1"/>
  <c r="U120" i="69" s="1"/>
  <c r="P98" i="69"/>
  <c r="S98" i="69" s="1"/>
  <c r="U98" i="69" s="1"/>
  <c r="P118" i="69"/>
  <c r="Q118" i="69" s="1"/>
  <c r="R118" i="69" s="1"/>
  <c r="P103" i="69"/>
  <c r="S103" i="69" s="1"/>
  <c r="U103" i="69" s="1"/>
  <c r="P106" i="69"/>
  <c r="Q106" i="69" s="1"/>
  <c r="R106" i="69" s="1"/>
  <c r="P107" i="69"/>
  <c r="Q107" i="69" s="1"/>
  <c r="R107" i="69" s="1"/>
  <c r="P21" i="69"/>
  <c r="Q21" i="69" s="1"/>
  <c r="R21" i="69" s="1"/>
  <c r="P112" i="69"/>
  <c r="Q112" i="69" s="1"/>
  <c r="R112" i="69" s="1"/>
  <c r="P89" i="69"/>
  <c r="S89" i="69" s="1"/>
  <c r="U89" i="69" s="1"/>
  <c r="P137" i="69"/>
  <c r="S137" i="69" s="1"/>
  <c r="U137" i="69" s="1"/>
  <c r="P64" i="69"/>
  <c r="Q64" i="69" s="1"/>
  <c r="R64" i="69" s="1"/>
  <c r="P115" i="69"/>
  <c r="S115" i="69" s="1"/>
  <c r="U115" i="69" s="1"/>
  <c r="P33" i="69"/>
  <c r="S33" i="69" s="1"/>
  <c r="U33" i="69" s="1"/>
  <c r="P102" i="69"/>
  <c r="S102" i="69" s="1"/>
  <c r="U102" i="69" s="1"/>
  <c r="P143" i="69"/>
  <c r="Q143" i="69" s="1"/>
  <c r="R143" i="69" s="1"/>
  <c r="O14" i="69"/>
  <c r="Q14" i="69" s="1"/>
  <c r="R14" i="69" s="1"/>
  <c r="P133" i="69"/>
  <c r="S133" i="69" s="1"/>
  <c r="U133" i="69" s="1"/>
  <c r="P78" i="69"/>
  <c r="S78" i="69" s="1"/>
  <c r="U78" i="69" s="1"/>
  <c r="P132" i="69"/>
  <c r="S132" i="69" s="1"/>
  <c r="U132" i="69" s="1"/>
  <c r="P119" i="69"/>
  <c r="Q119" i="69" s="1"/>
  <c r="R119" i="69" s="1"/>
  <c r="P45" i="69"/>
  <c r="Q45" i="69" s="1"/>
  <c r="R45" i="69" s="1"/>
  <c r="P28" i="69"/>
  <c r="Q28" i="69" s="1"/>
  <c r="R28" i="69" s="1"/>
  <c r="P43" i="69"/>
  <c r="S43" i="69" s="1"/>
  <c r="U43" i="69" s="1"/>
  <c r="P53" i="69"/>
  <c r="S53" i="69" s="1"/>
  <c r="U53" i="69" s="1"/>
  <c r="P79" i="69"/>
  <c r="Q79" i="69" s="1"/>
  <c r="R79" i="69" s="1"/>
  <c r="P130" i="69"/>
  <c r="Q130" i="69" s="1"/>
  <c r="R130" i="69" s="1"/>
  <c r="P49" i="69"/>
  <c r="Q49" i="69" s="1"/>
  <c r="R49" i="69" s="1"/>
  <c r="P32" i="70"/>
  <c r="S32" i="70" s="1"/>
  <c r="U32" i="70" s="1"/>
  <c r="P147" i="69"/>
  <c r="Q147" i="69" s="1"/>
  <c r="R147" i="69" s="1"/>
  <c r="P18" i="69"/>
  <c r="Q18" i="69" s="1"/>
  <c r="R18" i="69" s="1"/>
  <c r="P24" i="69"/>
  <c r="Q24" i="69" s="1"/>
  <c r="R24" i="69" s="1"/>
  <c r="P26" i="69"/>
  <c r="Q26" i="69" s="1"/>
  <c r="R26" i="69" s="1"/>
  <c r="P86" i="69"/>
  <c r="Q86" i="69" s="1"/>
  <c r="R86" i="69" s="1"/>
  <c r="P99" i="69"/>
  <c r="Q99" i="69" s="1"/>
  <c r="R99" i="69" s="1"/>
  <c r="P69" i="69"/>
  <c r="Q69" i="69" s="1"/>
  <c r="R69" i="69" s="1"/>
  <c r="O9" i="69"/>
  <c r="S9" i="69" s="1"/>
  <c r="U9" i="69" s="1"/>
  <c r="P148" i="69"/>
  <c r="S148" i="69" s="1"/>
  <c r="U148" i="69" s="1"/>
  <c r="P71" i="69"/>
  <c r="S71" i="69" s="1"/>
  <c r="U71" i="69" s="1"/>
  <c r="P114" i="69"/>
  <c r="Q114" i="69" s="1"/>
  <c r="R114" i="69" s="1"/>
  <c r="P144" i="69"/>
  <c r="Q144" i="69" s="1"/>
  <c r="R144" i="69" s="1"/>
  <c r="P141" i="69"/>
  <c r="Q141" i="69" s="1"/>
  <c r="R141" i="69" s="1"/>
  <c r="P135" i="69"/>
  <c r="S135" i="69" s="1"/>
  <c r="U135" i="69" s="1"/>
  <c r="P105" i="69"/>
  <c r="S105" i="69" s="1"/>
  <c r="U105" i="69" s="1"/>
  <c r="P92" i="69"/>
  <c r="S92" i="69" s="1"/>
  <c r="U92" i="69" s="1"/>
  <c r="P33" i="70"/>
  <c r="Q33" i="70" s="1"/>
  <c r="P37" i="69"/>
  <c r="S37" i="69" s="1"/>
  <c r="U37" i="69" s="1"/>
  <c r="P30" i="69"/>
  <c r="Q30" i="69" s="1"/>
  <c r="R30" i="69" s="1"/>
  <c r="P57" i="69"/>
  <c r="S57" i="69" s="1"/>
  <c r="U57" i="69" s="1"/>
  <c r="P87" i="69"/>
  <c r="S87" i="69" s="1"/>
  <c r="U87" i="69" s="1"/>
  <c r="P109" i="69"/>
  <c r="Q109" i="69" s="1"/>
  <c r="R109" i="69" s="1"/>
  <c r="P75" i="69"/>
  <c r="S75" i="69" s="1"/>
  <c r="U75" i="69" s="1"/>
  <c r="P62" i="69"/>
  <c r="S62" i="69" s="1"/>
  <c r="U62" i="69" s="1"/>
  <c r="P140" i="69"/>
  <c r="S140" i="69" s="1"/>
  <c r="U140" i="69" s="1"/>
  <c r="P146" i="69"/>
  <c r="S146" i="69" s="1"/>
  <c r="U146" i="69" s="1"/>
  <c r="P96" i="69"/>
  <c r="Q96" i="69" s="1"/>
  <c r="R96" i="69" s="1"/>
  <c r="O5" i="69"/>
  <c r="Q5" i="69" s="1"/>
  <c r="R5" i="69" s="1"/>
  <c r="O4" i="69"/>
  <c r="Q4" i="69" s="1"/>
  <c r="N153" i="69"/>
  <c r="M155" i="69" s="1"/>
  <c r="P52" i="69"/>
  <c r="Q52" i="69" s="1"/>
  <c r="R52" i="69" s="1"/>
  <c r="P23" i="69"/>
  <c r="Q23" i="69" s="1"/>
  <c r="R23" i="69" s="1"/>
  <c r="P149" i="69"/>
  <c r="S149" i="69" s="1"/>
  <c r="U149" i="69" s="1"/>
  <c r="P42" i="69"/>
  <c r="S42" i="69" s="1"/>
  <c r="U42" i="69" s="1"/>
  <c r="P50" i="69"/>
  <c r="S50" i="69" s="1"/>
  <c r="U50" i="69" s="1"/>
  <c r="P142" i="69"/>
  <c r="S142" i="69" s="1"/>
  <c r="U142" i="69" s="1"/>
  <c r="P145" i="69"/>
  <c r="S145" i="69" s="1"/>
  <c r="U145" i="69" s="1"/>
  <c r="P104" i="69"/>
  <c r="Q104" i="69" s="1"/>
  <c r="R104" i="69" s="1"/>
  <c r="P93" i="69"/>
  <c r="S93" i="69" s="1"/>
  <c r="U93" i="69" s="1"/>
  <c r="P123" i="69"/>
  <c r="S123" i="69" s="1"/>
  <c r="U123" i="69" s="1"/>
  <c r="P68" i="69"/>
  <c r="Q68" i="69" s="1"/>
  <c r="R68" i="69" s="1"/>
  <c r="P74" i="69"/>
  <c r="S74" i="69" s="1"/>
  <c r="U74" i="69" s="1"/>
  <c r="P70" i="69"/>
  <c r="Q70" i="69" s="1"/>
  <c r="R70" i="69" s="1"/>
  <c r="P65" i="69"/>
  <c r="S65" i="69" s="1"/>
  <c r="U65" i="69" s="1"/>
  <c r="P67" i="69"/>
  <c r="S67" i="69" s="1"/>
  <c r="U67" i="69" s="1"/>
  <c r="P82" i="69"/>
  <c r="S82" i="69" s="1"/>
  <c r="U82" i="69" s="1"/>
  <c r="P17" i="69"/>
  <c r="S17" i="69" s="1"/>
  <c r="U17" i="69" s="1"/>
  <c r="P41" i="69"/>
  <c r="S41" i="69" s="1"/>
  <c r="U41" i="69" s="1"/>
  <c r="P127" i="69"/>
  <c r="S127" i="69" s="1"/>
  <c r="U127" i="69" s="1"/>
  <c r="P40" i="69"/>
  <c r="S40" i="69" s="1"/>
  <c r="U40" i="69" s="1"/>
  <c r="O13" i="69"/>
  <c r="Q13" i="69" s="1"/>
  <c r="R13" i="69" s="1"/>
  <c r="O10" i="69"/>
  <c r="S10" i="69" s="1"/>
  <c r="U10" i="69" s="1"/>
  <c r="P22" i="69"/>
  <c r="Q22" i="69" s="1"/>
  <c r="R22" i="69" s="1"/>
  <c r="P27" i="69"/>
  <c r="S27" i="69" s="1"/>
  <c r="U27" i="69" s="1"/>
  <c r="P54" i="69"/>
  <c r="Q54" i="69" s="1"/>
  <c r="R54" i="69" s="1"/>
  <c r="P55" i="69"/>
  <c r="Q55" i="69" s="1"/>
  <c r="R55" i="69" s="1"/>
  <c r="P38" i="69"/>
  <c r="S38" i="69" s="1"/>
  <c r="U38" i="69" s="1"/>
  <c r="P128" i="69"/>
  <c r="S128" i="69" s="1"/>
  <c r="U128" i="69" s="1"/>
  <c r="P58" i="69"/>
  <c r="Q58" i="69" s="1"/>
  <c r="R58" i="69" s="1"/>
  <c r="P51" i="69"/>
  <c r="S51" i="69" s="1"/>
  <c r="U51" i="69" s="1"/>
  <c r="P125" i="69"/>
  <c r="Q125" i="69" s="1"/>
  <c r="R125" i="69" s="1"/>
  <c r="P138" i="69"/>
  <c r="Q138" i="69" s="1"/>
  <c r="R138" i="69" s="1"/>
  <c r="P131" i="69"/>
  <c r="S131" i="69" s="1"/>
  <c r="U131" i="69" s="1"/>
  <c r="P76" i="69"/>
  <c r="S76" i="69" s="1"/>
  <c r="U76" i="69" s="1"/>
  <c r="P73" i="69"/>
  <c r="Q73" i="69" s="1"/>
  <c r="R73" i="69" s="1"/>
  <c r="P61" i="69"/>
  <c r="S61" i="69" s="1"/>
  <c r="U61" i="69" s="1"/>
  <c r="P80" i="69"/>
  <c r="S80" i="69" s="1"/>
  <c r="U80" i="69" s="1"/>
  <c r="P63" i="69"/>
  <c r="Q63" i="69" s="1"/>
  <c r="R63" i="69" s="1"/>
  <c r="P113" i="69"/>
  <c r="Q113" i="69" s="1"/>
  <c r="R113" i="69" s="1"/>
  <c r="F17" i="68"/>
  <c r="P139" i="69"/>
  <c r="S139" i="69" s="1"/>
  <c r="U139" i="69" s="1"/>
  <c r="F21" i="68"/>
  <c r="P48" i="69"/>
  <c r="Q48" i="69" s="1"/>
  <c r="R48" i="69" s="1"/>
  <c r="O11" i="69"/>
  <c r="Q11" i="69" s="1"/>
  <c r="R11" i="69" s="1"/>
  <c r="P134" i="69"/>
  <c r="S134" i="69" s="1"/>
  <c r="U134" i="69" s="1"/>
  <c r="P94" i="69"/>
  <c r="S94" i="69" s="1"/>
  <c r="U94" i="69" s="1"/>
  <c r="P19" i="69"/>
  <c r="Q19" i="69" s="1"/>
  <c r="R19" i="69" s="1"/>
  <c r="P46" i="69"/>
  <c r="S46" i="69" s="1"/>
  <c r="U46" i="69" s="1"/>
  <c r="P20" i="69"/>
  <c r="S20" i="69" s="1"/>
  <c r="U20" i="69" s="1"/>
  <c r="P122" i="69"/>
  <c r="S122" i="69" s="1"/>
  <c r="U122" i="69" s="1"/>
  <c r="P77" i="69"/>
  <c r="S77" i="69" s="1"/>
  <c r="U77" i="69" s="1"/>
  <c r="P150" i="69"/>
  <c r="S150" i="69" s="1"/>
  <c r="U150" i="69" s="1"/>
  <c r="P72" i="69"/>
  <c r="Q72" i="69" s="1"/>
  <c r="R72" i="69" s="1"/>
  <c r="P66" i="69"/>
  <c r="Q66" i="69" s="1"/>
  <c r="R66" i="69" s="1"/>
  <c r="P81" i="69"/>
  <c r="S81" i="69" s="1"/>
  <c r="U81" i="69" s="1"/>
  <c r="P20" i="70"/>
  <c r="Q20" i="70" s="1"/>
  <c r="P11" i="70"/>
  <c r="S11" i="70" s="1"/>
  <c r="U11" i="70" s="1"/>
  <c r="P10" i="70"/>
  <c r="S10" i="70" s="1"/>
  <c r="U10" i="70" s="1"/>
  <c r="P16" i="70"/>
  <c r="Q16" i="70" s="1"/>
  <c r="P9" i="70"/>
  <c r="S9" i="70" s="1"/>
  <c r="U9" i="70" s="1"/>
  <c r="P24" i="70"/>
  <c r="S24" i="70" s="1"/>
  <c r="U24" i="70" s="1"/>
  <c r="P19" i="70"/>
  <c r="S19" i="70" s="1"/>
  <c r="U19" i="70" s="1"/>
  <c r="P15" i="70"/>
  <c r="Q15" i="70" s="1"/>
  <c r="P25" i="70"/>
  <c r="Q25" i="70" s="1"/>
  <c r="O5" i="70"/>
  <c r="S5" i="70" s="1"/>
  <c r="U5" i="70" s="1"/>
  <c r="N38" i="70"/>
  <c r="O4" i="70"/>
  <c r="S4" i="70" s="1"/>
  <c r="U4" i="70" s="1"/>
  <c r="Q18" i="70"/>
  <c r="S18" i="70"/>
  <c r="U18" i="70" s="1"/>
  <c r="S12" i="70"/>
  <c r="U12" i="70" s="1"/>
  <c r="Q12" i="70"/>
  <c r="Q31" i="70"/>
  <c r="P27" i="70"/>
  <c r="S31" i="70"/>
  <c r="U31" i="70" s="1"/>
  <c r="S14" i="70"/>
  <c r="U14" i="70" s="1"/>
  <c r="Q14" i="70"/>
  <c r="S23" i="70"/>
  <c r="U23" i="70" s="1"/>
  <c r="Q23" i="70"/>
  <c r="S7" i="69"/>
  <c r="U7" i="69" s="1"/>
  <c r="Q7" i="69"/>
  <c r="R7" i="69" s="1"/>
  <c r="S100" i="69" l="1"/>
  <c r="U100" i="69" s="1"/>
  <c r="S106" i="69"/>
  <c r="U106" i="69" s="1"/>
  <c r="Q120" i="69"/>
  <c r="R120" i="69" s="1"/>
  <c r="S32" i="69"/>
  <c r="U32" i="69" s="1"/>
  <c r="S86" i="69"/>
  <c r="U86" i="69" s="1"/>
  <c r="S111" i="69"/>
  <c r="U111" i="69" s="1"/>
  <c r="Q38" i="69"/>
  <c r="R38" i="69" s="1"/>
  <c r="Q67" i="69"/>
  <c r="R67" i="69" s="1"/>
  <c r="Q89" i="69"/>
  <c r="R89" i="69" s="1"/>
  <c r="S143" i="69"/>
  <c r="U143" i="69" s="1"/>
  <c r="Q78" i="69"/>
  <c r="R78" i="69" s="1"/>
  <c r="Q98" i="69"/>
  <c r="R98" i="69" s="1"/>
  <c r="Q135" i="69"/>
  <c r="R135" i="69" s="1"/>
  <c r="S24" i="69"/>
  <c r="U24" i="69" s="1"/>
  <c r="S118" i="69"/>
  <c r="U118" i="69" s="1"/>
  <c r="S64" i="69"/>
  <c r="U64" i="69" s="1"/>
  <c r="S85" i="69"/>
  <c r="U85" i="69" s="1"/>
  <c r="Q75" i="69"/>
  <c r="R75" i="69" s="1"/>
  <c r="Q84" i="69"/>
  <c r="R84" i="69" s="1"/>
  <c r="S114" i="69"/>
  <c r="U114" i="69" s="1"/>
  <c r="Q37" i="69"/>
  <c r="R37" i="69" s="1"/>
  <c r="S69" i="69"/>
  <c r="U69" i="69" s="1"/>
  <c r="Q43" i="69"/>
  <c r="R43" i="69" s="1"/>
  <c r="S96" i="69"/>
  <c r="U96" i="69" s="1"/>
  <c r="Q103" i="69"/>
  <c r="R103" i="69" s="1"/>
  <c r="Q88" i="69"/>
  <c r="R88" i="69" s="1"/>
  <c r="S136" i="69"/>
  <c r="U136" i="69" s="1"/>
  <c r="Q9" i="69"/>
  <c r="R9" i="69" s="1"/>
  <c r="Q105" i="69"/>
  <c r="R105" i="69" s="1"/>
  <c r="S13" i="69"/>
  <c r="U13" i="69" s="1"/>
  <c r="S21" i="69"/>
  <c r="U21" i="69" s="1"/>
  <c r="Q34" i="69"/>
  <c r="R34" i="69" s="1"/>
  <c r="S49" i="69"/>
  <c r="U49" i="69" s="1"/>
  <c r="Q132" i="69"/>
  <c r="R132" i="69" s="1"/>
  <c r="Q50" i="69"/>
  <c r="R50" i="69" s="1"/>
  <c r="Q71" i="69"/>
  <c r="R71" i="69" s="1"/>
  <c r="S18" i="69"/>
  <c r="U18" i="69" s="1"/>
  <c r="Q102" i="69"/>
  <c r="R102" i="69" s="1"/>
  <c r="Q128" i="69"/>
  <c r="R128" i="69" s="1"/>
  <c r="Q82" i="69"/>
  <c r="R82" i="69" s="1"/>
  <c r="Q146" i="69"/>
  <c r="R146" i="69" s="1"/>
  <c r="S109" i="69"/>
  <c r="U109" i="69" s="1"/>
  <c r="S70" i="69"/>
  <c r="U70" i="69" s="1"/>
  <c r="Q93" i="69"/>
  <c r="R93" i="69" s="1"/>
  <c r="Q74" i="69"/>
  <c r="R74" i="69" s="1"/>
  <c r="S104" i="69"/>
  <c r="U104" i="69" s="1"/>
  <c r="S22" i="69"/>
  <c r="U22" i="69" s="1"/>
  <c r="Q33" i="69"/>
  <c r="R33" i="69" s="1"/>
  <c r="Q40" i="69"/>
  <c r="R40" i="69" s="1"/>
  <c r="S79" i="69"/>
  <c r="U79" i="69" s="1"/>
  <c r="Q148" i="69"/>
  <c r="R148" i="69" s="1"/>
  <c r="S138" i="69"/>
  <c r="U138" i="69" s="1"/>
  <c r="S130" i="69"/>
  <c r="U130" i="69" s="1"/>
  <c r="S107" i="69"/>
  <c r="U107" i="69" s="1"/>
  <c r="Q145" i="69"/>
  <c r="R145" i="69" s="1"/>
  <c r="S20" i="70"/>
  <c r="U20" i="70" s="1"/>
  <c r="Q27" i="69"/>
  <c r="R27" i="69" s="1"/>
  <c r="Q61" i="69"/>
  <c r="R61" i="69" s="1"/>
  <c r="S99" i="69"/>
  <c r="U99" i="69" s="1"/>
  <c r="S125" i="69"/>
  <c r="U125" i="69" s="1"/>
  <c r="S28" i="69"/>
  <c r="U28" i="69" s="1"/>
  <c r="Q42" i="69"/>
  <c r="R42" i="69" s="1"/>
  <c r="Q137" i="69"/>
  <c r="R137" i="69" s="1"/>
  <c r="Q149" i="69"/>
  <c r="R149" i="69" s="1"/>
  <c r="S147" i="69"/>
  <c r="U147" i="69" s="1"/>
  <c r="S45" i="69"/>
  <c r="U45" i="69" s="1"/>
  <c r="S144" i="69"/>
  <c r="U144" i="69" s="1"/>
  <c r="Q53" i="69"/>
  <c r="R53" i="69" s="1"/>
  <c r="S112" i="69"/>
  <c r="U112" i="69" s="1"/>
  <c r="Q80" i="69"/>
  <c r="R80" i="69" s="1"/>
  <c r="Q32" i="70"/>
  <c r="R31" i="70" s="1"/>
  <c r="S14" i="69"/>
  <c r="U14" i="69" s="1"/>
  <c r="Q92" i="69"/>
  <c r="R92" i="69" s="1"/>
  <c r="S55" i="69"/>
  <c r="U55" i="69" s="1"/>
  <c r="Q10" i="69"/>
  <c r="R10" i="69" s="1"/>
  <c r="Q57" i="69"/>
  <c r="R57" i="69" s="1"/>
  <c r="S23" i="69"/>
  <c r="U23" i="69" s="1"/>
  <c r="Q122" i="69"/>
  <c r="R122" i="69" s="1"/>
  <c r="Q62" i="69"/>
  <c r="R62" i="69" s="1"/>
  <c r="Q139" i="69"/>
  <c r="R139" i="69" s="1"/>
  <c r="Q87" i="69"/>
  <c r="R87" i="69" s="1"/>
  <c r="S141" i="69"/>
  <c r="U141" i="69" s="1"/>
  <c r="Q127" i="69"/>
  <c r="R127" i="69" s="1"/>
  <c r="S4" i="69"/>
  <c r="U4" i="69" s="1"/>
  <c r="Q81" i="69"/>
  <c r="R81" i="69" s="1"/>
  <c r="Q115" i="69"/>
  <c r="R115" i="69" s="1"/>
  <c r="S73" i="69"/>
  <c r="U73" i="69" s="1"/>
  <c r="S119" i="69"/>
  <c r="U119" i="69" s="1"/>
  <c r="Q133" i="69"/>
  <c r="R133" i="69" s="1"/>
  <c r="S5" i="69"/>
  <c r="U5" i="69" s="1"/>
  <c r="S68" i="69"/>
  <c r="U68" i="69" s="1"/>
  <c r="S26" i="69"/>
  <c r="U26" i="69" s="1"/>
  <c r="S33" i="70"/>
  <c r="U33" i="70" s="1"/>
  <c r="Q140" i="69"/>
  <c r="R140" i="69" s="1"/>
  <c r="Q65" i="69"/>
  <c r="R65" i="69" s="1"/>
  <c r="Q94" i="69"/>
  <c r="R94" i="69" s="1"/>
  <c r="Q17" i="69"/>
  <c r="R17" i="69" s="1"/>
  <c r="S52" i="69"/>
  <c r="U52" i="69" s="1"/>
  <c r="S58" i="69"/>
  <c r="U58" i="69" s="1"/>
  <c r="S30" i="69"/>
  <c r="U30" i="69" s="1"/>
  <c r="S54" i="69"/>
  <c r="U54" i="69" s="1"/>
  <c r="Q131" i="69"/>
  <c r="R131" i="69" s="1"/>
  <c r="Q150" i="69"/>
  <c r="R150" i="69" s="1"/>
  <c r="Q9" i="70"/>
  <c r="Q46" i="69"/>
  <c r="R46" i="69" s="1"/>
  <c r="S11" i="69"/>
  <c r="U11" i="69" s="1"/>
  <c r="S72" i="69"/>
  <c r="U72" i="69" s="1"/>
  <c r="S48" i="69"/>
  <c r="U48" i="69" s="1"/>
  <c r="Q134" i="69"/>
  <c r="R134" i="69" s="1"/>
  <c r="Q11" i="70"/>
  <c r="R11" i="70" s="1"/>
  <c r="Q20" i="69"/>
  <c r="R20" i="69" s="1"/>
  <c r="S113" i="69"/>
  <c r="U113" i="69" s="1"/>
  <c r="S25" i="70"/>
  <c r="U25" i="70" s="1"/>
  <c r="F22" i="68"/>
  <c r="Q77" i="69"/>
  <c r="R77" i="69" s="1"/>
  <c r="S19" i="69"/>
  <c r="U19" i="69" s="1"/>
  <c r="Q24" i="70"/>
  <c r="R23" i="70" s="1"/>
  <c r="Q51" i="69"/>
  <c r="R51" i="69" s="1"/>
  <c r="S66" i="69"/>
  <c r="U66" i="69" s="1"/>
  <c r="Q142" i="69"/>
  <c r="R142" i="69" s="1"/>
  <c r="S63" i="69"/>
  <c r="U63" i="69" s="1"/>
  <c r="Q76" i="69"/>
  <c r="R76" i="69" s="1"/>
  <c r="Q41" i="69"/>
  <c r="R41" i="69" s="1"/>
  <c r="Q123" i="69"/>
  <c r="R123" i="69" s="1"/>
  <c r="Q19" i="70"/>
  <c r="R18" i="70" s="1"/>
  <c r="Q10" i="70"/>
  <c r="S16" i="70"/>
  <c r="U16" i="70" s="1"/>
  <c r="S15" i="70"/>
  <c r="U15" i="70" s="1"/>
  <c r="Q5" i="70"/>
  <c r="R5" i="70" s="1"/>
  <c r="Q4" i="70"/>
  <c r="R14" i="70"/>
  <c r="R4" i="69"/>
  <c r="S27" i="70"/>
  <c r="U27" i="70" s="1"/>
  <c r="P28" i="70"/>
  <c r="Q27" i="70"/>
  <c r="Q153" i="69" l="1"/>
  <c r="L180" i="69" s="1"/>
  <c r="L181" i="69" s="1"/>
  <c r="L182" i="69" s="1"/>
  <c r="R9" i="70"/>
  <c r="R153" i="69"/>
  <c r="Q38" i="70"/>
  <c r="K47" i="70" s="1"/>
  <c r="K48" i="70" s="1"/>
  <c r="K49" i="70" s="1"/>
  <c r="R4" i="70"/>
  <c r="S28" i="70"/>
  <c r="U28" i="70" s="1"/>
  <c r="P29" i="70"/>
  <c r="Q28" i="70"/>
  <c r="R38" i="70" l="1"/>
  <c r="R39" i="70" s="1"/>
  <c r="S29" i="70"/>
  <c r="U29" i="70" s="1"/>
  <c r="Q29" i="70"/>
  <c r="R27" i="70" s="1"/>
  <c r="S295" i="17" l="1"/>
  <c r="E302" i="17" s="1"/>
  <c r="S287" i="17"/>
  <c r="E289" i="17" s="1"/>
  <c r="S283" i="17"/>
  <c r="S284" i="17"/>
  <c r="S291" i="17"/>
  <c r="E296" i="17" s="1"/>
  <c r="S294" i="17"/>
  <c r="E300" i="17" s="1"/>
  <c r="S293" i="17"/>
  <c r="P26" i="17"/>
  <c r="P19" i="17"/>
  <c r="P18" i="17"/>
  <c r="P13" i="17"/>
  <c r="P24" i="17"/>
  <c r="K289" i="17" s="1"/>
  <c r="I90" i="17" s="1"/>
  <c r="J90" i="17" s="1"/>
  <c r="K90" i="17" s="1"/>
  <c r="P30" i="17"/>
  <c r="P14" i="17"/>
  <c r="P44" i="17"/>
  <c r="P42" i="17"/>
  <c r="P5" i="17"/>
  <c r="P32" i="17"/>
  <c r="P39" i="17"/>
  <c r="P35" i="17"/>
  <c r="P10" i="17"/>
  <c r="P6" i="17"/>
  <c r="E286" i="17" l="1"/>
  <c r="K286" i="17" s="1"/>
  <c r="I87" i="17" s="1"/>
  <c r="J87" i="17" s="1"/>
  <c r="K87" i="17" s="1"/>
  <c r="E285" i="17"/>
  <c r="K285" i="17" s="1"/>
  <c r="I86" i="17" s="1"/>
  <c r="J86" i="17" s="1"/>
  <c r="K86" i="17" s="1"/>
  <c r="T5" i="17"/>
  <c r="P52" i="17"/>
  <c r="K296" i="17"/>
  <c r="I97" i="17" s="1"/>
  <c r="K300" i="17"/>
  <c r="I101" i="17" s="1"/>
  <c r="J101" i="17" s="1"/>
  <c r="K101" i="17" s="1"/>
  <c r="K302" i="17"/>
  <c r="I103" i="17" s="1"/>
  <c r="J103" i="17" s="1"/>
  <c r="K103" i="17" s="1"/>
  <c r="S289" i="17" l="1"/>
  <c r="E293" i="17" s="1"/>
  <c r="K293" i="17" s="1"/>
  <c r="I94" i="17" s="1"/>
  <c r="S290" i="17" l="1"/>
  <c r="E294" i="17" s="1"/>
  <c r="K294" i="17" s="1"/>
  <c r="I95" i="17" s="1"/>
  <c r="J81" i="17"/>
  <c r="J85" i="17"/>
  <c r="K81" i="17"/>
  <c r="K85" i="17"/>
  <c r="S288" i="17" l="1"/>
  <c r="E290" i="17" s="1"/>
  <c r="K290" i="17" s="1"/>
  <c r="I91" i="17" s="1"/>
  <c r="J91" i="17" s="1"/>
  <c r="K91" i="17" s="1"/>
  <c r="S280" i="17"/>
  <c r="E282" i="17" s="1"/>
  <c r="K282" i="17" s="1"/>
  <c r="I83" i="17" s="1"/>
  <c r="J83" i="17" s="1"/>
  <c r="K83" i="17" s="1"/>
  <c r="S279" i="17" l="1"/>
  <c r="E281" i="17" s="1"/>
  <c r="K281" i="17" s="1"/>
  <c r="I82" i="17" s="1"/>
  <c r="J82" i="17" s="1"/>
  <c r="K82" i="17" s="1"/>
  <c r="N576" i="29" l="1"/>
  <c r="N577" i="29"/>
  <c r="N578" i="29"/>
  <c r="V578" i="29" s="1"/>
  <c r="W578" i="29" s="1"/>
  <c r="N579" i="29"/>
  <c r="N580" i="29"/>
  <c r="V580" i="29" s="1"/>
  <c r="W580" i="29" s="1"/>
  <c r="N581" i="29"/>
  <c r="V581" i="29" s="1"/>
  <c r="W581" i="29" s="1"/>
  <c r="N582" i="29"/>
  <c r="V582" i="29" s="1"/>
  <c r="W582" i="29" s="1"/>
  <c r="N583" i="29"/>
  <c r="V583" i="29" s="1"/>
  <c r="W583" i="29" s="1"/>
  <c r="N584" i="29"/>
  <c r="V584" i="29" s="1"/>
  <c r="W584" i="29" s="1"/>
  <c r="N585" i="29"/>
  <c r="V585" i="29" s="1"/>
  <c r="W585" i="29" s="1"/>
  <c r="N586" i="29"/>
  <c r="V586" i="29" s="1"/>
  <c r="W586" i="29" s="1"/>
  <c r="N587" i="29"/>
  <c r="V587" i="29" s="1"/>
  <c r="W587" i="29" s="1"/>
  <c r="N588" i="29"/>
  <c r="V588" i="29" s="1"/>
  <c r="W588" i="29" s="1"/>
  <c r="N589" i="29"/>
  <c r="V589" i="29" s="1"/>
  <c r="W589" i="29" s="1"/>
  <c r="N590" i="29"/>
  <c r="V590" i="29" s="1"/>
  <c r="W590" i="29" s="1"/>
  <c r="N591" i="29"/>
  <c r="V591" i="29" s="1"/>
  <c r="W591" i="29" s="1"/>
  <c r="N592" i="29"/>
  <c r="V592" i="29" s="1"/>
  <c r="W592" i="29" s="1"/>
  <c r="N593" i="29"/>
  <c r="V593" i="29" s="1"/>
  <c r="W593" i="29" s="1"/>
  <c r="N594" i="29"/>
  <c r="V594" i="29" s="1"/>
  <c r="W594" i="29" s="1"/>
  <c r="N595" i="29"/>
  <c r="V595" i="29" s="1"/>
  <c r="W595" i="29" s="1"/>
  <c r="N596" i="29"/>
  <c r="V596" i="29" s="1"/>
  <c r="W596" i="29" s="1"/>
  <c r="N597" i="29"/>
  <c r="V597" i="29" s="1"/>
  <c r="W597" i="29" s="1"/>
  <c r="N598" i="29"/>
  <c r="V598" i="29" s="1"/>
  <c r="W598" i="29" s="1"/>
  <c r="N599" i="29"/>
  <c r="V599" i="29" s="1"/>
  <c r="W599" i="29" s="1"/>
  <c r="N600" i="29"/>
  <c r="V600" i="29" s="1"/>
  <c r="W600" i="29" s="1"/>
  <c r="N601" i="29"/>
  <c r="V601" i="29" s="1"/>
  <c r="W601" i="29" s="1"/>
  <c r="N602" i="29"/>
  <c r="V602" i="29" s="1"/>
  <c r="W602" i="29" s="1"/>
  <c r="N603" i="29"/>
  <c r="V603" i="29" s="1"/>
  <c r="W603" i="29" s="1"/>
  <c r="N604" i="29"/>
  <c r="V604" i="29" s="1"/>
  <c r="W604" i="29" s="1"/>
  <c r="N605" i="29"/>
  <c r="V605" i="29" s="1"/>
  <c r="W605" i="29" s="1"/>
  <c r="N606" i="29"/>
  <c r="V606" i="29" s="1"/>
  <c r="W606" i="29" s="1"/>
  <c r="N607" i="29"/>
  <c r="V607" i="29" s="1"/>
  <c r="W607" i="29" s="1"/>
  <c r="N608" i="29"/>
  <c r="V608" i="29" s="1"/>
  <c r="W608" i="29" s="1"/>
  <c r="N609" i="29"/>
  <c r="V609" i="29" s="1"/>
  <c r="W609" i="29" s="1"/>
  <c r="N610" i="29"/>
  <c r="V610" i="29" s="1"/>
  <c r="W610" i="29" s="1"/>
  <c r="N611" i="29"/>
  <c r="V611" i="29" s="1"/>
  <c r="W611" i="29" s="1"/>
  <c r="N612" i="29"/>
  <c r="V612" i="29" s="1"/>
  <c r="W612" i="29" s="1"/>
  <c r="N613" i="29"/>
  <c r="V613" i="29" s="1"/>
  <c r="W613" i="29" s="1"/>
  <c r="N614" i="29"/>
  <c r="V614" i="29" s="1"/>
  <c r="W614" i="29" s="1"/>
  <c r="N615" i="29"/>
  <c r="V615" i="29" s="1"/>
  <c r="W615" i="29" s="1"/>
  <c r="N616" i="29"/>
  <c r="V616" i="29" s="1"/>
  <c r="W616" i="29" s="1"/>
  <c r="N617" i="29"/>
  <c r="V577" i="29" l="1"/>
  <c r="W577" i="29" s="1"/>
  <c r="N1091" i="29"/>
  <c r="Q1091" i="29" s="1"/>
  <c r="Q1098" i="29" s="1"/>
  <c r="V617" i="29"/>
  <c r="W617" i="29" s="1"/>
  <c r="I49" i="18"/>
  <c r="S292" i="17"/>
  <c r="E298" i="17" s="1"/>
  <c r="K298" i="17" s="1"/>
  <c r="I99" i="17" s="1"/>
  <c r="J99" i="17" s="1"/>
  <c r="K99" i="17" s="1"/>
  <c r="V576" i="29"/>
  <c r="W576" i="29" s="1"/>
  <c r="V579" i="29"/>
  <c r="W579" i="29" s="1"/>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P589" i="29"/>
  <c r="P588" i="29"/>
  <c r="P587" i="29"/>
  <c r="P586" i="29"/>
  <c r="P585" i="29"/>
  <c r="P584" i="29"/>
  <c r="P583" i="29"/>
  <c r="P582" i="29"/>
  <c r="P581" i="29"/>
  <c r="P580" i="29"/>
  <c r="P579" i="29"/>
  <c r="P578" i="29"/>
  <c r="P577" i="29"/>
  <c r="P576" i="29"/>
  <c r="M155" i="48" l="1"/>
  <c r="M156" i="48" s="1"/>
  <c r="I56" i="17"/>
  <c r="S276" i="17" l="1"/>
  <c r="S277" i="17" l="1"/>
  <c r="E276" i="17" s="1"/>
  <c r="K276" i="17" s="1"/>
  <c r="I77" i="17" s="1"/>
  <c r="J77" i="17" s="1"/>
  <c r="K77" i="17" s="1"/>
  <c r="I60" i="17"/>
  <c r="S278" i="17"/>
  <c r="A11" i="3"/>
  <c r="S300" i="17" l="1"/>
  <c r="E278" i="17"/>
  <c r="S299" i="17"/>
  <c r="S305" i="17" s="1"/>
  <c r="B11" i="3"/>
  <c r="I2" i="43"/>
  <c r="A12" i="3"/>
  <c r="K278" i="17" l="1"/>
  <c r="E308" i="17"/>
  <c r="A13" i="3"/>
  <c r="J2" i="43"/>
  <c r="B12" i="3"/>
  <c r="I58" i="43"/>
  <c r="I57" i="43" s="1"/>
  <c r="I3" i="43"/>
  <c r="I7" i="43"/>
  <c r="I56" i="43" s="1"/>
  <c r="I79" i="17" l="1"/>
  <c r="I31" i="43"/>
  <c r="I36" i="43"/>
  <c r="I28" i="43"/>
  <c r="I41" i="43"/>
  <c r="I22" i="43"/>
  <c r="I21" i="43"/>
  <c r="I32" i="43"/>
  <c r="I27" i="43"/>
  <c r="I42" i="43"/>
  <c r="I78" i="43"/>
  <c r="I87" i="43"/>
  <c r="I82" i="43"/>
  <c r="I93" i="43"/>
  <c r="I72" i="43"/>
  <c r="I79" i="43"/>
  <c r="I73" i="43"/>
  <c r="I92" i="43"/>
  <c r="I83" i="43"/>
  <c r="I16" i="43"/>
  <c r="I67" i="43"/>
  <c r="I17" i="43"/>
  <c r="I68" i="43"/>
  <c r="I38" i="43"/>
  <c r="I89" i="43"/>
  <c r="I12" i="43"/>
  <c r="I63" i="43"/>
  <c r="I11" i="43"/>
  <c r="I62" i="43"/>
  <c r="I10" i="43"/>
  <c r="I61" i="43"/>
  <c r="I95" i="43"/>
  <c r="I94" i="43"/>
  <c r="I45" i="43"/>
  <c r="I23" i="43"/>
  <c r="I74" i="43"/>
  <c r="I44" i="43"/>
  <c r="I43" i="43"/>
  <c r="J58" i="43"/>
  <c r="J7" i="43"/>
  <c r="J56" i="43" s="1"/>
  <c r="J3" i="43"/>
  <c r="K2" i="43"/>
  <c r="A14" i="3"/>
  <c r="B13" i="3"/>
  <c r="J79" i="17" l="1"/>
  <c r="K79" i="17" s="1"/>
  <c r="J57" i="43"/>
  <c r="I117" i="43"/>
  <c r="L2" i="43"/>
  <c r="A15" i="3"/>
  <c r="B14" i="3"/>
  <c r="K7" i="43"/>
  <c r="K56" i="43" s="1"/>
  <c r="K3" i="43"/>
  <c r="K58" i="43"/>
  <c r="J42" i="43"/>
  <c r="J27" i="43"/>
  <c r="J21" i="43"/>
  <c r="J36" i="43"/>
  <c r="J22" i="43"/>
  <c r="J32" i="43"/>
  <c r="J28" i="43"/>
  <c r="J31" i="43"/>
  <c r="J41" i="43"/>
  <c r="J93" i="43"/>
  <c r="J73" i="43"/>
  <c r="J72" i="43"/>
  <c r="J83" i="43"/>
  <c r="J78" i="43"/>
  <c r="J79" i="43"/>
  <c r="J92" i="43"/>
  <c r="J87" i="43"/>
  <c r="J82" i="43"/>
  <c r="J16" i="43"/>
  <c r="J67" i="43"/>
  <c r="J17" i="43"/>
  <c r="J68" i="43"/>
  <c r="J38" i="43"/>
  <c r="J89" i="43"/>
  <c r="J12" i="43"/>
  <c r="J63" i="43"/>
  <c r="J11" i="43"/>
  <c r="J10" i="43"/>
  <c r="J62" i="43"/>
  <c r="J61" i="43"/>
  <c r="J95" i="43"/>
  <c r="J94" i="43"/>
  <c r="J43" i="43"/>
  <c r="J44" i="43"/>
  <c r="J45" i="43"/>
  <c r="J23" i="43"/>
  <c r="J74" i="43"/>
  <c r="I123" i="43"/>
  <c r="I143" i="43"/>
  <c r="I144" i="43"/>
  <c r="I110" i="43"/>
  <c r="I64" i="43"/>
  <c r="I13" i="43"/>
  <c r="I111" i="43"/>
  <c r="I112" i="43"/>
  <c r="I138" i="43"/>
  <c r="I18" i="43"/>
  <c r="I69" i="43"/>
  <c r="I116" i="43"/>
  <c r="I132" i="43"/>
  <c r="I141" i="43"/>
  <c r="I96" i="43"/>
  <c r="I122" i="43"/>
  <c r="I128" i="43"/>
  <c r="I121" i="43"/>
  <c r="I75" i="43"/>
  <c r="I142" i="43"/>
  <c r="I131" i="43"/>
  <c r="I84" i="43"/>
  <c r="I136" i="43"/>
  <c r="I127" i="43"/>
  <c r="I80" i="43"/>
  <c r="I29" i="43"/>
  <c r="I24" i="43"/>
  <c r="I46" i="43"/>
  <c r="I33" i="43"/>
  <c r="J128" i="43" l="1"/>
  <c r="K57" i="43"/>
  <c r="J143" i="43"/>
  <c r="J144" i="43"/>
  <c r="J123" i="43"/>
  <c r="J33" i="43"/>
  <c r="J122" i="43"/>
  <c r="J24" i="43"/>
  <c r="J112" i="43"/>
  <c r="J117" i="43"/>
  <c r="J142" i="43"/>
  <c r="J29" i="43"/>
  <c r="I98" i="43"/>
  <c r="J111" i="43"/>
  <c r="J18" i="43"/>
  <c r="J136" i="43"/>
  <c r="J132" i="43"/>
  <c r="J46" i="43"/>
  <c r="I48" i="43"/>
  <c r="J13" i="43"/>
  <c r="J138" i="43"/>
  <c r="I129" i="43"/>
  <c r="I133" i="43"/>
  <c r="I124" i="43"/>
  <c r="I118" i="43"/>
  <c r="I113" i="43"/>
  <c r="I145" i="43"/>
  <c r="J110" i="43"/>
  <c r="J64" i="43"/>
  <c r="J69" i="43"/>
  <c r="J116" i="43"/>
  <c r="J131" i="43"/>
  <c r="J84" i="43"/>
  <c r="J141" i="43"/>
  <c r="J96" i="43"/>
  <c r="J80" i="43"/>
  <c r="J127" i="43"/>
  <c r="J129" i="43" s="1"/>
  <c r="J75" i="43"/>
  <c r="J121" i="43"/>
  <c r="K27" i="43"/>
  <c r="K31" i="43"/>
  <c r="K21" i="43"/>
  <c r="K32" i="43"/>
  <c r="K42" i="43"/>
  <c r="K41" i="43"/>
  <c r="K36" i="43"/>
  <c r="K22" i="43"/>
  <c r="K28" i="43"/>
  <c r="K82" i="43"/>
  <c r="K73" i="43"/>
  <c r="K72" i="43"/>
  <c r="K83" i="43"/>
  <c r="K79" i="43"/>
  <c r="K92" i="43"/>
  <c r="K78" i="43"/>
  <c r="K93" i="43"/>
  <c r="K87" i="43"/>
  <c r="K16" i="43"/>
  <c r="K67" i="43"/>
  <c r="K17" i="43"/>
  <c r="K68" i="43"/>
  <c r="K38" i="43"/>
  <c r="K89" i="43"/>
  <c r="K12" i="43"/>
  <c r="K11" i="43"/>
  <c r="K63" i="43"/>
  <c r="K10" i="43"/>
  <c r="K62" i="43"/>
  <c r="K61" i="43"/>
  <c r="K95" i="43"/>
  <c r="K94" i="43"/>
  <c r="K74" i="43"/>
  <c r="K23" i="43"/>
  <c r="K45" i="43"/>
  <c r="K43" i="43"/>
  <c r="K44" i="43"/>
  <c r="A16" i="3"/>
  <c r="A18" i="3" s="1"/>
  <c r="B18" i="3" s="1"/>
  <c r="B15" i="3"/>
  <c r="M2" i="43"/>
  <c r="L58" i="43"/>
  <c r="L7" i="43"/>
  <c r="L56" i="43" s="1"/>
  <c r="L3" i="43"/>
  <c r="J118" i="43" l="1"/>
  <c r="J124" i="43"/>
  <c r="I147" i="43"/>
  <c r="J133" i="43"/>
  <c r="J113" i="43"/>
  <c r="L57" i="43"/>
  <c r="K123" i="43"/>
  <c r="K112" i="43"/>
  <c r="K122" i="43"/>
  <c r="K24" i="43"/>
  <c r="J145" i="43"/>
  <c r="K143" i="43"/>
  <c r="K117" i="43"/>
  <c r="K136" i="43"/>
  <c r="K128" i="43"/>
  <c r="K46" i="43"/>
  <c r="K33" i="43"/>
  <c r="K111" i="43"/>
  <c r="K18" i="43"/>
  <c r="K142" i="43"/>
  <c r="K132" i="43"/>
  <c r="K29" i="43"/>
  <c r="K144" i="43"/>
  <c r="K13" i="43"/>
  <c r="K138" i="43"/>
  <c r="J98" i="43"/>
  <c r="J48" i="43"/>
  <c r="L27" i="43"/>
  <c r="L28" i="43"/>
  <c r="L41" i="43"/>
  <c r="L22" i="43"/>
  <c r="L31" i="43"/>
  <c r="L32" i="43"/>
  <c r="L36" i="43"/>
  <c r="L21" i="43"/>
  <c r="L42" i="43"/>
  <c r="L93" i="43"/>
  <c r="L78" i="43"/>
  <c r="L87" i="43"/>
  <c r="L82" i="43"/>
  <c r="L79" i="43"/>
  <c r="L128" i="43" s="1"/>
  <c r="L73" i="43"/>
  <c r="L92" i="43"/>
  <c r="L83" i="43"/>
  <c r="L72" i="43"/>
  <c r="L16" i="43"/>
  <c r="L67" i="43"/>
  <c r="L17" i="43"/>
  <c r="L68" i="43"/>
  <c r="L38" i="43"/>
  <c r="L89" i="43"/>
  <c r="L12" i="43"/>
  <c r="L11" i="43"/>
  <c r="L63" i="43"/>
  <c r="L10" i="43"/>
  <c r="L62" i="43"/>
  <c r="L61" i="43"/>
  <c r="L95" i="43"/>
  <c r="L94" i="43"/>
  <c r="L23" i="43"/>
  <c r="L45" i="43"/>
  <c r="L44" i="43"/>
  <c r="L43" i="43"/>
  <c r="L74" i="43"/>
  <c r="M7" i="43"/>
  <c r="M56" i="43" s="1"/>
  <c r="M3" i="43"/>
  <c r="M58" i="43"/>
  <c r="M57" i="43" s="1"/>
  <c r="B16" i="3"/>
  <c r="N2" i="43"/>
  <c r="K110" i="43"/>
  <c r="K64" i="43"/>
  <c r="K116" i="43"/>
  <c r="K69" i="43"/>
  <c r="K80" i="43"/>
  <c r="K127" i="43"/>
  <c r="K141" i="43"/>
  <c r="K96" i="43"/>
  <c r="K121" i="43"/>
  <c r="K75" i="43"/>
  <c r="K84" i="43"/>
  <c r="K131" i="43"/>
  <c r="K133" i="43" s="1"/>
  <c r="K113" i="43" l="1"/>
  <c r="K118" i="43"/>
  <c r="L143" i="43"/>
  <c r="L132" i="43"/>
  <c r="J147" i="43"/>
  <c r="L117" i="43"/>
  <c r="L13" i="43"/>
  <c r="L142" i="43"/>
  <c r="K48" i="43"/>
  <c r="L138" i="43"/>
  <c r="L136" i="43"/>
  <c r="K129" i="43"/>
  <c r="M101" i="43"/>
  <c r="L123" i="43"/>
  <c r="L112" i="43"/>
  <c r="L122" i="43"/>
  <c r="L46" i="43"/>
  <c r="K145" i="43"/>
  <c r="K124" i="43"/>
  <c r="K98" i="43"/>
  <c r="L111" i="43"/>
  <c r="L18" i="43"/>
  <c r="L33" i="43"/>
  <c r="L29" i="43"/>
  <c r="L144" i="43"/>
  <c r="L24" i="43"/>
  <c r="N7" i="43"/>
  <c r="N56" i="43" s="1"/>
  <c r="N58" i="43"/>
  <c r="N3" i="43"/>
  <c r="M27" i="43"/>
  <c r="M21" i="43"/>
  <c r="M41" i="43"/>
  <c r="M42" i="43"/>
  <c r="M31" i="43"/>
  <c r="M36" i="43"/>
  <c r="M32" i="43"/>
  <c r="M22" i="43"/>
  <c r="M28" i="43"/>
  <c r="M78" i="43"/>
  <c r="M73" i="43"/>
  <c r="M92" i="43"/>
  <c r="M93" i="43"/>
  <c r="M79" i="43"/>
  <c r="M82" i="43"/>
  <c r="M83" i="43"/>
  <c r="M72" i="43"/>
  <c r="M87" i="43"/>
  <c r="M136" i="43" s="1"/>
  <c r="M16" i="43"/>
  <c r="M67" i="43"/>
  <c r="M17" i="43"/>
  <c r="M68" i="43"/>
  <c r="M38" i="43"/>
  <c r="M89" i="43"/>
  <c r="M12" i="43"/>
  <c r="M11" i="43"/>
  <c r="M63" i="43"/>
  <c r="M62" i="43"/>
  <c r="M10" i="43"/>
  <c r="M61" i="43"/>
  <c r="M95" i="43"/>
  <c r="M94" i="43"/>
  <c r="M43" i="43"/>
  <c r="M23" i="43"/>
  <c r="M44" i="43"/>
  <c r="M74" i="43"/>
  <c r="M45" i="43"/>
  <c r="L64" i="43"/>
  <c r="L110" i="43"/>
  <c r="L113" i="43" s="1"/>
  <c r="L116" i="43"/>
  <c r="L69" i="43"/>
  <c r="L75" i="43"/>
  <c r="L121" i="43"/>
  <c r="L141" i="43"/>
  <c r="L96" i="43"/>
  <c r="L84" i="43"/>
  <c r="L131" i="43"/>
  <c r="L80" i="43"/>
  <c r="L127" i="43"/>
  <c r="L129" i="43" s="1"/>
  <c r="L133" i="43" l="1"/>
  <c r="L124" i="43"/>
  <c r="N57" i="43"/>
  <c r="L145" i="43"/>
  <c r="L118" i="43"/>
  <c r="M143" i="43"/>
  <c r="M144" i="43"/>
  <c r="M112" i="43"/>
  <c r="M122" i="43"/>
  <c r="M46" i="43"/>
  <c r="M142" i="43"/>
  <c r="L48" i="43"/>
  <c r="M117" i="43"/>
  <c r="M128" i="43"/>
  <c r="M111" i="43"/>
  <c r="M138" i="43"/>
  <c r="M132" i="43"/>
  <c r="M24" i="43"/>
  <c r="M123" i="43"/>
  <c r="M13" i="43"/>
  <c r="M18" i="43"/>
  <c r="M33" i="43"/>
  <c r="M29" i="43"/>
  <c r="K147" i="43"/>
  <c r="L101" i="43"/>
  <c r="L98" i="43"/>
  <c r="H101" i="43"/>
  <c r="E101" i="43"/>
  <c r="K101" i="43"/>
  <c r="I101" i="43"/>
  <c r="D101" i="43"/>
  <c r="M100" i="43"/>
  <c r="M102" i="43" s="1"/>
  <c r="O49" i="17"/>
  <c r="J101" i="43"/>
  <c r="G101" i="43"/>
  <c r="F101" i="43"/>
  <c r="O30" i="17"/>
  <c r="T30" i="17" s="1"/>
  <c r="O6" i="17"/>
  <c r="O26" i="17"/>
  <c r="T26" i="17" s="1"/>
  <c r="O24" i="17"/>
  <c r="T24" i="17" s="1"/>
  <c r="I100" i="43"/>
  <c r="H100" i="43"/>
  <c r="O42" i="17"/>
  <c r="T42" i="17" s="1"/>
  <c r="O19" i="17"/>
  <c r="T19" i="17" s="1"/>
  <c r="L100" i="43"/>
  <c r="O14" i="17"/>
  <c r="T14" i="17" s="1"/>
  <c r="O48" i="17"/>
  <c r="C101" i="43"/>
  <c r="O10" i="17"/>
  <c r="T10" i="17" s="1"/>
  <c r="O44" i="17"/>
  <c r="T44" i="17" s="1"/>
  <c r="O35" i="17"/>
  <c r="T35" i="17" s="1"/>
  <c r="C100" i="43"/>
  <c r="D100" i="43"/>
  <c r="O32" i="17"/>
  <c r="T32" i="17" s="1"/>
  <c r="O13" i="17"/>
  <c r="T13" i="17" s="1"/>
  <c r="O39" i="17"/>
  <c r="T39" i="17" s="1"/>
  <c r="E100" i="43"/>
  <c r="K100" i="43"/>
  <c r="F100" i="43"/>
  <c r="J100" i="43"/>
  <c r="O18" i="17"/>
  <c r="T18" i="17" s="1"/>
  <c r="G100" i="43"/>
  <c r="M64" i="43"/>
  <c r="M110" i="43"/>
  <c r="M116" i="43"/>
  <c r="M69" i="43"/>
  <c r="M75" i="43"/>
  <c r="M121" i="43"/>
  <c r="M131" i="43"/>
  <c r="M84" i="43"/>
  <c r="M141" i="43"/>
  <c r="M96" i="43"/>
  <c r="M127" i="43"/>
  <c r="M80" i="43"/>
  <c r="N83" i="43"/>
  <c r="O83" i="43" s="1"/>
  <c r="N22" i="43"/>
  <c r="O22" i="43" s="1"/>
  <c r="N28" i="43"/>
  <c r="O28" i="43" s="1"/>
  <c r="N31" i="43"/>
  <c r="N42" i="43"/>
  <c r="O42" i="43" s="1"/>
  <c r="N21" i="43"/>
  <c r="N32" i="43"/>
  <c r="N27" i="43"/>
  <c r="N41" i="43"/>
  <c r="N36" i="43"/>
  <c r="O36" i="43" s="1"/>
  <c r="N72" i="43"/>
  <c r="O72" i="43" s="1"/>
  <c r="N93" i="43"/>
  <c r="N78" i="43"/>
  <c r="O78" i="43" s="1"/>
  <c r="N73" i="43"/>
  <c r="N82" i="43"/>
  <c r="O82" i="43" s="1"/>
  <c r="N92" i="43"/>
  <c r="O92" i="43" s="1"/>
  <c r="N87" i="43"/>
  <c r="N79" i="43"/>
  <c r="N16" i="43"/>
  <c r="N67" i="43"/>
  <c r="O67" i="43" s="1"/>
  <c r="N17" i="43"/>
  <c r="O17" i="43" s="1"/>
  <c r="N68" i="43"/>
  <c r="N38" i="43"/>
  <c r="O38" i="43" s="1"/>
  <c r="N89" i="43"/>
  <c r="N12" i="43"/>
  <c r="O12" i="43" s="1"/>
  <c r="N11" i="43"/>
  <c r="O11" i="43" s="1"/>
  <c r="N63" i="43"/>
  <c r="N10" i="43"/>
  <c r="N62" i="43"/>
  <c r="N61" i="43"/>
  <c r="N100" i="43"/>
  <c r="N95" i="43"/>
  <c r="N101" i="43"/>
  <c r="N94" i="43"/>
  <c r="N74" i="43"/>
  <c r="N43" i="43"/>
  <c r="O43" i="43" s="1"/>
  <c r="N44" i="43"/>
  <c r="O44" i="43" s="1"/>
  <c r="N45" i="43"/>
  <c r="O45" i="43" s="1"/>
  <c r="N23" i="43"/>
  <c r="O23" i="43" s="1"/>
  <c r="H102" i="43" l="1"/>
  <c r="H103" i="43" s="1"/>
  <c r="K102" i="43"/>
  <c r="K103" i="43" s="1"/>
  <c r="E102" i="43"/>
  <c r="E103" i="43" s="1"/>
  <c r="D102" i="43"/>
  <c r="D103" i="43" s="1"/>
  <c r="G102" i="43"/>
  <c r="G103" i="43" s="1"/>
  <c r="L147" i="43"/>
  <c r="J102" i="43"/>
  <c r="J103" i="43" s="1"/>
  <c r="N102" i="43"/>
  <c r="M48" i="43"/>
  <c r="O84" i="43"/>
  <c r="F102" i="43"/>
  <c r="F103" i="43" s="1"/>
  <c r="C102" i="43"/>
  <c r="C103" i="43" s="1"/>
  <c r="L102" i="43"/>
  <c r="L103" i="43" s="1"/>
  <c r="I102" i="43"/>
  <c r="I103" i="43" s="1"/>
  <c r="N144" i="43"/>
  <c r="O144" i="43" s="1"/>
  <c r="O95" i="43"/>
  <c r="N138" i="43"/>
  <c r="O138" i="43" s="1"/>
  <c r="O89" i="43"/>
  <c r="N123" i="43"/>
  <c r="O123" i="43" s="1"/>
  <c r="O74" i="43"/>
  <c r="N112" i="43"/>
  <c r="O112" i="43" s="1"/>
  <c r="O63" i="43"/>
  <c r="N18" i="43"/>
  <c r="O16" i="43"/>
  <c r="O18" i="43" s="1"/>
  <c r="N132" i="43"/>
  <c r="O132" i="43" s="1"/>
  <c r="O32" i="43"/>
  <c r="M129" i="43"/>
  <c r="M133" i="43"/>
  <c r="M118" i="43"/>
  <c r="N143" i="43"/>
  <c r="O94" i="43"/>
  <c r="N128" i="43"/>
  <c r="O79" i="43"/>
  <c r="N122" i="43"/>
  <c r="O122" i="43" s="1"/>
  <c r="O73" i="43"/>
  <c r="N24" i="43"/>
  <c r="O21" i="43"/>
  <c r="O24" i="43" s="1"/>
  <c r="M98" i="43"/>
  <c r="M103" i="43" s="1"/>
  <c r="M124" i="43"/>
  <c r="M113" i="43"/>
  <c r="N13" i="43"/>
  <c r="O10" i="43"/>
  <c r="O13" i="43" s="1"/>
  <c r="N142" i="43"/>
  <c r="O142" i="43" s="1"/>
  <c r="O93" i="43"/>
  <c r="N29" i="43"/>
  <c r="O27" i="43"/>
  <c r="O29" i="43" s="1"/>
  <c r="N33" i="43"/>
  <c r="O31" i="43"/>
  <c r="N111" i="43"/>
  <c r="O111" i="43" s="1"/>
  <c r="O62" i="43"/>
  <c r="N136" i="43"/>
  <c r="O136" i="43" s="1"/>
  <c r="O87" i="43"/>
  <c r="N46" i="43"/>
  <c r="O41" i="43"/>
  <c r="O46" i="43" s="1"/>
  <c r="M145" i="43"/>
  <c r="I58" i="17"/>
  <c r="T6" i="17"/>
  <c r="O52" i="17"/>
  <c r="O61" i="43"/>
  <c r="N64" i="43"/>
  <c r="N110" i="43"/>
  <c r="O68" i="43"/>
  <c r="O69" i="43" s="1"/>
  <c r="N117" i="43"/>
  <c r="N116" i="43"/>
  <c r="O116" i="43" s="1"/>
  <c r="N69" i="43"/>
  <c r="N141" i="43"/>
  <c r="O141" i="43" s="1"/>
  <c r="N96" i="43"/>
  <c r="N131" i="43"/>
  <c r="O131" i="43" s="1"/>
  <c r="N84" i="43"/>
  <c r="N127" i="43"/>
  <c r="O127" i="43" s="1"/>
  <c r="N80" i="43"/>
  <c r="N121" i="43"/>
  <c r="O121" i="43" s="1"/>
  <c r="N75" i="43"/>
  <c r="O133" i="43" l="1"/>
  <c r="N113" i="43"/>
  <c r="O96" i="43"/>
  <c r="O124" i="43"/>
  <c r="O64" i="43"/>
  <c r="O75" i="43"/>
  <c r="N133" i="43"/>
  <c r="M147" i="43"/>
  <c r="N98" i="43"/>
  <c r="N103" i="43" s="1"/>
  <c r="N118" i="43"/>
  <c r="O117" i="43"/>
  <c r="O118" i="43" s="1"/>
  <c r="N129" i="43"/>
  <c r="O128" i="43"/>
  <c r="O129" i="43" s="1"/>
  <c r="N48" i="43"/>
  <c r="O110" i="43"/>
  <c r="O113" i="43" s="1"/>
  <c r="N145" i="43"/>
  <c r="O143" i="43"/>
  <c r="O145" i="43" s="1"/>
  <c r="N124" i="43"/>
  <c r="O33" i="43"/>
  <c r="O48" i="43" s="1"/>
  <c r="O80" i="43"/>
  <c r="O98" i="43" l="1"/>
  <c r="N147" i="43"/>
  <c r="O147" i="43"/>
  <c r="K789" i="29" l="1"/>
  <c r="K737" i="29"/>
  <c r="K742" i="29"/>
  <c r="K734" i="29"/>
  <c r="K769" i="29"/>
  <c r="K792" i="29"/>
  <c r="K710" i="29"/>
  <c r="K727" i="29"/>
  <c r="K752" i="29"/>
  <c r="K758" i="29"/>
  <c r="K755" i="29"/>
  <c r="K751" i="29"/>
  <c r="K767" i="29"/>
  <c r="K791" i="29"/>
  <c r="K724" i="29"/>
  <c r="K765" i="29"/>
  <c r="K782" i="29"/>
  <c r="K781" i="29"/>
  <c r="K785" i="29"/>
  <c r="K716" i="29"/>
  <c r="K741" i="29"/>
  <c r="K750" i="29"/>
  <c r="K759" i="29"/>
  <c r="K768" i="29"/>
  <c r="K772" i="29"/>
  <c r="K777" i="29"/>
  <c r="K721" i="29"/>
  <c r="K711" i="29"/>
  <c r="K722" i="29"/>
  <c r="K720" i="29"/>
  <c r="K718" i="29"/>
  <c r="K757" i="29"/>
  <c r="K775" i="29"/>
  <c r="K747" i="29"/>
  <c r="K753" i="29"/>
  <c r="K764" i="29"/>
  <c r="K733" i="29"/>
  <c r="K754" i="29"/>
  <c r="K771" i="29"/>
  <c r="K745" i="29"/>
  <c r="K714" i="29"/>
  <c r="K763" i="29"/>
  <c r="K762" i="29"/>
  <c r="K787" i="29"/>
  <c r="K719" i="29"/>
  <c r="K723" i="29"/>
  <c r="K736" i="29"/>
  <c r="K783" i="29"/>
  <c r="K776" i="29"/>
  <c r="K740" i="29"/>
  <c r="K773" i="29"/>
  <c r="K786" i="29"/>
  <c r="K729" i="29"/>
  <c r="K774" i="29"/>
  <c r="K735" i="29"/>
  <c r="K749" i="29"/>
  <c r="K788" i="29"/>
  <c r="K780" i="29"/>
  <c r="K784" i="29"/>
  <c r="K715" i="29"/>
  <c r="K760" i="29"/>
  <c r="K743" i="29"/>
  <c r="K713" i="29"/>
  <c r="K746" i="29"/>
  <c r="K766" i="29"/>
  <c r="K712" i="29"/>
  <c r="K717" i="29"/>
  <c r="K731" i="29"/>
  <c r="K778" i="29"/>
  <c r="K730" i="29"/>
  <c r="K728" i="29"/>
  <c r="K744" i="29"/>
  <c r="K732" i="29"/>
  <c r="K726" i="29"/>
  <c r="K779" i="29"/>
  <c r="K748" i="29"/>
  <c r="K756" i="29"/>
  <c r="K709" i="29"/>
  <c r="K770" i="29"/>
  <c r="K725" i="29"/>
  <c r="K738" i="29"/>
  <c r="K790" i="29"/>
  <c r="K739" i="29"/>
  <c r="K708" i="29"/>
  <c r="K761" i="29"/>
  <c r="N727" i="29" l="1"/>
  <c r="N778" i="29"/>
  <c r="N718" i="29"/>
  <c r="N711" i="29"/>
  <c r="N777" i="29"/>
  <c r="N709" i="29"/>
  <c r="N717" i="29"/>
  <c r="N760" i="29"/>
  <c r="N756" i="29"/>
  <c r="N730" i="29"/>
  <c r="N712" i="29"/>
  <c r="N746" i="29"/>
  <c r="N715" i="29"/>
  <c r="N780" i="29"/>
  <c r="N774" i="29"/>
  <c r="N783" i="29"/>
  <c r="N723" i="29"/>
  <c r="N745" i="29"/>
  <c r="N764" i="29"/>
  <c r="N757" i="29"/>
  <c r="N720" i="29"/>
  <c r="N785" i="29"/>
  <c r="N734" i="29"/>
  <c r="N737" i="29"/>
  <c r="N769" i="29"/>
  <c r="N722" i="29"/>
  <c r="N772" i="29"/>
  <c r="N750" i="29"/>
  <c r="N716" i="29"/>
  <c r="N765" i="29"/>
  <c r="P727" i="29"/>
  <c r="V727" i="29"/>
  <c r="W727" i="29" s="1"/>
  <c r="N751" i="29" l="1"/>
  <c r="N776" i="29"/>
  <c r="N790" i="29"/>
  <c r="N714" i="29"/>
  <c r="V714" i="29" s="1"/>
  <c r="W714" i="29" s="1"/>
  <c r="N726" i="29"/>
  <c r="N789" i="29"/>
  <c r="N775" i="29"/>
  <c r="V772" i="29"/>
  <c r="W772" i="29" s="1"/>
  <c r="P772" i="29"/>
  <c r="N792" i="29"/>
  <c r="P734" i="29"/>
  <c r="V734" i="29"/>
  <c r="W734" i="29" s="1"/>
  <c r="V785" i="29"/>
  <c r="W785" i="29" s="1"/>
  <c r="P785" i="29"/>
  <c r="P730" i="29"/>
  <c r="V730" i="29"/>
  <c r="W730" i="29" s="1"/>
  <c r="N773" i="29"/>
  <c r="P717" i="29"/>
  <c r="V717" i="29"/>
  <c r="W717" i="29" s="1"/>
  <c r="P709" i="29"/>
  <c r="V709" i="29"/>
  <c r="W709" i="29" s="1"/>
  <c r="P711" i="29"/>
  <c r="V711" i="29"/>
  <c r="W711" i="29" s="1"/>
  <c r="V764" i="29"/>
  <c r="W764" i="29" s="1"/>
  <c r="P764" i="29"/>
  <c r="P745" i="29"/>
  <c r="V745" i="29"/>
  <c r="W745" i="29" s="1"/>
  <c r="P716" i="29"/>
  <c r="V716" i="29"/>
  <c r="W716" i="29" s="1"/>
  <c r="V722" i="29"/>
  <c r="W722" i="29" s="1"/>
  <c r="P722" i="29"/>
  <c r="P720" i="29"/>
  <c r="V720" i="29"/>
  <c r="W720" i="29" s="1"/>
  <c r="V757" i="29"/>
  <c r="W757" i="29" s="1"/>
  <c r="P757" i="29"/>
  <c r="N758" i="29"/>
  <c r="N755" i="29"/>
  <c r="P723" i="29"/>
  <c r="V723" i="29"/>
  <c r="W723" i="29" s="1"/>
  <c r="P774" i="29"/>
  <c r="V774" i="29"/>
  <c r="W774" i="29" s="1"/>
  <c r="V780" i="29"/>
  <c r="W780" i="29" s="1"/>
  <c r="P780" i="29"/>
  <c r="P712" i="29"/>
  <c r="V712" i="29"/>
  <c r="W712" i="29" s="1"/>
  <c r="P756" i="29"/>
  <c r="V756" i="29"/>
  <c r="W756" i="29" s="1"/>
  <c r="P760" i="29"/>
  <c r="V760" i="29"/>
  <c r="W760" i="29" s="1"/>
  <c r="N739" i="29"/>
  <c r="N733" i="29"/>
  <c r="N763" i="29"/>
  <c r="N735" i="29"/>
  <c r="V726" i="29"/>
  <c r="W726" i="29" s="1"/>
  <c r="N766" i="29"/>
  <c r="N725" i="29"/>
  <c r="V765" i="29"/>
  <c r="W765" i="29" s="1"/>
  <c r="P765" i="29"/>
  <c r="P750" i="29"/>
  <c r="V750" i="29"/>
  <c r="W750" i="29" s="1"/>
  <c r="P769" i="29"/>
  <c r="V769" i="29"/>
  <c r="W769" i="29" s="1"/>
  <c r="N767" i="29"/>
  <c r="V737" i="29"/>
  <c r="W737" i="29" s="1"/>
  <c r="P737" i="29"/>
  <c r="P751" i="29"/>
  <c r="V751" i="29"/>
  <c r="W751" i="29" s="1"/>
  <c r="V715" i="29"/>
  <c r="W715" i="29" s="1"/>
  <c r="P715" i="29"/>
  <c r="P776" i="29"/>
  <c r="V776" i="29"/>
  <c r="W776" i="29" s="1"/>
  <c r="V775" i="29"/>
  <c r="W775" i="29" s="1"/>
  <c r="P775" i="29"/>
  <c r="V790" i="29"/>
  <c r="W790" i="29" s="1"/>
  <c r="P790" i="29"/>
  <c r="P718" i="29"/>
  <c r="V718" i="29"/>
  <c r="W718" i="29" s="1"/>
  <c r="P714" i="29"/>
  <c r="N729" i="29"/>
  <c r="N738" i="29"/>
  <c r="P783" i="29"/>
  <c r="V783" i="29"/>
  <c r="W783" i="29" s="1"/>
  <c r="P746" i="29"/>
  <c r="V746" i="29"/>
  <c r="W746" i="29" s="1"/>
  <c r="P777" i="29"/>
  <c r="V777" i="29"/>
  <c r="W777" i="29" s="1"/>
  <c r="N747" i="29"/>
  <c r="N762" i="29"/>
  <c r="N744" i="29"/>
  <c r="N741" i="29"/>
  <c r="N787" i="29"/>
  <c r="P778" i="29"/>
  <c r="V778" i="29"/>
  <c r="W778" i="29" s="1"/>
  <c r="P726" i="29" l="1"/>
  <c r="N768" i="29"/>
  <c r="V768" i="29" s="1"/>
  <c r="W768" i="29" s="1"/>
  <c r="N791" i="29"/>
  <c r="P791" i="29" s="1"/>
  <c r="N736" i="29"/>
  <c r="P736" i="29" s="1"/>
  <c r="V789" i="29"/>
  <c r="W789" i="29" s="1"/>
  <c r="P789" i="29"/>
  <c r="N759" i="29"/>
  <c r="V759" i="29" s="1"/>
  <c r="W759" i="29" s="1"/>
  <c r="N770" i="29"/>
  <c r="V770" i="29" s="1"/>
  <c r="W770" i="29" s="1"/>
  <c r="N721" i="29"/>
  <c r="V721" i="29" s="1"/>
  <c r="W721" i="29" s="1"/>
  <c r="N740" i="29"/>
  <c r="P740" i="29" s="1"/>
  <c r="N781" i="29"/>
  <c r="P781" i="29" s="1"/>
  <c r="N724" i="29"/>
  <c r="P724" i="29" s="1"/>
  <c r="N784" i="29"/>
  <c r="V784" i="29" s="1"/>
  <c r="W784" i="29" s="1"/>
  <c r="N743" i="29"/>
  <c r="N779" i="29"/>
  <c r="N728" i="29"/>
  <c r="V787" i="29"/>
  <c r="W787" i="29" s="1"/>
  <c r="P787" i="29"/>
  <c r="P744" i="29"/>
  <c r="V744" i="29"/>
  <c r="W744" i="29" s="1"/>
  <c r="P747" i="29"/>
  <c r="V747" i="29"/>
  <c r="W747" i="29" s="1"/>
  <c r="P766" i="29"/>
  <c r="V766" i="29"/>
  <c r="W766" i="29" s="1"/>
  <c r="N742" i="29"/>
  <c r="V792" i="29"/>
  <c r="W792" i="29" s="1"/>
  <c r="P792" i="29"/>
  <c r="P738" i="29"/>
  <c r="V738" i="29"/>
  <c r="W738" i="29" s="1"/>
  <c r="N761" i="29"/>
  <c r="N788" i="29"/>
  <c r="P768" i="29"/>
  <c r="N708" i="29"/>
  <c r="N749" i="29"/>
  <c r="P773" i="29"/>
  <c r="V773" i="29"/>
  <c r="W773" i="29" s="1"/>
  <c r="N731" i="29"/>
  <c r="N732" i="29"/>
  <c r="P729" i="29"/>
  <c r="V729" i="29"/>
  <c r="W729" i="29" s="1"/>
  <c r="P767" i="29"/>
  <c r="V767" i="29"/>
  <c r="W767" i="29" s="1"/>
  <c r="V735" i="29"/>
  <c r="W735" i="29" s="1"/>
  <c r="P735" i="29"/>
  <c r="P763" i="29"/>
  <c r="V763" i="29"/>
  <c r="W763" i="29" s="1"/>
  <c r="N754" i="29"/>
  <c r="P755" i="29"/>
  <c r="V755" i="29"/>
  <c r="W755" i="29" s="1"/>
  <c r="N748" i="29"/>
  <c r="N719" i="29"/>
  <c r="N713" i="29"/>
  <c r="P741" i="29"/>
  <c r="V741" i="29"/>
  <c r="W741" i="29" s="1"/>
  <c r="P762" i="29"/>
  <c r="V762" i="29"/>
  <c r="W762" i="29" s="1"/>
  <c r="N710" i="29"/>
  <c r="P725" i="29"/>
  <c r="V725" i="29"/>
  <c r="W725" i="29" s="1"/>
  <c r="N752" i="29"/>
  <c r="P733" i="29"/>
  <c r="V733" i="29"/>
  <c r="W733" i="29" s="1"/>
  <c r="P739" i="29"/>
  <c r="V739" i="29"/>
  <c r="W739" i="29" s="1"/>
  <c r="P758" i="29"/>
  <c r="V758" i="29"/>
  <c r="W758" i="29" s="1"/>
  <c r="N782" i="29"/>
  <c r="N786" i="29"/>
  <c r="N771" i="29"/>
  <c r="N753" i="29"/>
  <c r="P784" i="29" l="1"/>
  <c r="P770" i="29"/>
  <c r="V724" i="29"/>
  <c r="W724" i="29" s="1"/>
  <c r="P759" i="29"/>
  <c r="V781" i="29"/>
  <c r="W781" i="29" s="1"/>
  <c r="V736" i="29"/>
  <c r="W736" i="29" s="1"/>
  <c r="V791" i="29"/>
  <c r="W791" i="29" s="1"/>
  <c r="P721" i="29"/>
  <c r="V740" i="29"/>
  <c r="W740" i="29" s="1"/>
  <c r="P743" i="29"/>
  <c r="V743" i="29"/>
  <c r="W743" i="29" s="1"/>
  <c r="P779" i="29"/>
  <c r="V779" i="29"/>
  <c r="W779" i="29" s="1"/>
  <c r="V728" i="29"/>
  <c r="W728" i="29" s="1"/>
  <c r="P728" i="29"/>
  <c r="P731" i="29"/>
  <c r="V731" i="29"/>
  <c r="W731" i="29" s="1"/>
  <c r="P708" i="29"/>
  <c r="V708" i="29"/>
  <c r="P788" i="29"/>
  <c r="V788" i="29"/>
  <c r="W788" i="29" s="1"/>
  <c r="P742" i="29"/>
  <c r="V742" i="29"/>
  <c r="W742" i="29" s="1"/>
  <c r="P754" i="29"/>
  <c r="V754" i="29"/>
  <c r="W754" i="29" s="1"/>
  <c r="P771" i="29"/>
  <c r="V771" i="29"/>
  <c r="W771" i="29" s="1"/>
  <c r="P786" i="29"/>
  <c r="V786" i="29"/>
  <c r="W786" i="29" s="1"/>
  <c r="P752" i="29"/>
  <c r="V752" i="29"/>
  <c r="W752" i="29" s="1"/>
  <c r="P761" i="29"/>
  <c r="V761" i="29"/>
  <c r="W761" i="29" s="1"/>
  <c r="P782" i="29"/>
  <c r="V782" i="29"/>
  <c r="W782" i="29" s="1"/>
  <c r="P719" i="29"/>
  <c r="V719" i="29"/>
  <c r="W719" i="29" s="1"/>
  <c r="P748" i="29"/>
  <c r="V748" i="29"/>
  <c r="W748" i="29" s="1"/>
  <c r="P753" i="29"/>
  <c r="V753" i="29"/>
  <c r="W753" i="29" s="1"/>
  <c r="P710" i="29"/>
  <c r="V710" i="29"/>
  <c r="W710" i="29" s="1"/>
  <c r="V713" i="29"/>
  <c r="W713" i="29" s="1"/>
  <c r="P713" i="29"/>
  <c r="V732" i="29"/>
  <c r="W732" i="29" s="1"/>
  <c r="P732" i="29"/>
  <c r="P749" i="29"/>
  <c r="V749" i="29"/>
  <c r="W749" i="29" s="1"/>
  <c r="W708" i="29" l="1"/>
  <c r="N796" i="29"/>
  <c r="N797" i="29"/>
  <c r="V797" i="29" s="1"/>
  <c r="W797" i="29" s="1"/>
  <c r="N798" i="29"/>
  <c r="V798" i="29" s="1"/>
  <c r="W798" i="29" s="1"/>
  <c r="N799" i="29"/>
  <c r="V799" i="29" s="1"/>
  <c r="W799" i="29" s="1"/>
  <c r="N800" i="29"/>
  <c r="V800" i="29" s="1"/>
  <c r="W800" i="29" s="1"/>
  <c r="N801" i="29"/>
  <c r="V801" i="29" s="1"/>
  <c r="W801" i="29" s="1"/>
  <c r="N802" i="29"/>
  <c r="V802" i="29" s="1"/>
  <c r="W802" i="29" s="1"/>
  <c r="N803" i="29"/>
  <c r="P803" i="29" s="1"/>
  <c r="N804" i="29"/>
  <c r="V804" i="29" s="1"/>
  <c r="N805" i="29"/>
  <c r="V805" i="29" s="1"/>
  <c r="W805" i="29" s="1"/>
  <c r="N806" i="29"/>
  <c r="V806" i="29" s="1"/>
  <c r="W806" i="29" s="1"/>
  <c r="N807" i="29"/>
  <c r="P807" i="29" s="1"/>
  <c r="N808" i="29"/>
  <c r="V808" i="29" s="1"/>
  <c r="W808" i="29" s="1"/>
  <c r="N809" i="29"/>
  <c r="V809" i="29" s="1"/>
  <c r="W809" i="29" s="1"/>
  <c r="N810" i="29"/>
  <c r="V810" i="29" s="1"/>
  <c r="W810" i="29" s="1"/>
  <c r="N811" i="29"/>
  <c r="P811" i="29" s="1"/>
  <c r="N812" i="29"/>
  <c r="V812" i="29" s="1"/>
  <c r="W812" i="29" s="1"/>
  <c r="N813" i="29"/>
  <c r="V813" i="29" s="1"/>
  <c r="W813" i="29" s="1"/>
  <c r="N814" i="29"/>
  <c r="N815" i="29"/>
  <c r="V815" i="29" s="1"/>
  <c r="W815" i="29" s="1"/>
  <c r="N816" i="29"/>
  <c r="V816" i="29" s="1"/>
  <c r="W816" i="29" s="1"/>
  <c r="N817" i="29"/>
  <c r="V817" i="29" s="1"/>
  <c r="W817" i="29" s="1"/>
  <c r="N818" i="29"/>
  <c r="V818" i="29" s="1"/>
  <c r="W818" i="29" s="1"/>
  <c r="N819" i="29"/>
  <c r="V819" i="29" s="1"/>
  <c r="W819" i="29" s="1"/>
  <c r="N820" i="29"/>
  <c r="V820" i="29" s="1"/>
  <c r="W820" i="29" s="1"/>
  <c r="N821" i="29"/>
  <c r="P821" i="29" s="1"/>
  <c r="N822" i="29"/>
  <c r="P822" i="29" s="1"/>
  <c r="N823" i="29"/>
  <c r="V823" i="29" s="1"/>
  <c r="W823" i="29" s="1"/>
  <c r="N824" i="29"/>
  <c r="V824" i="29" s="1"/>
  <c r="W824" i="29" s="1"/>
  <c r="N825" i="29"/>
  <c r="P825" i="29" s="1"/>
  <c r="N826" i="29"/>
  <c r="V826" i="29" s="1"/>
  <c r="W826" i="29" s="1"/>
  <c r="N827" i="29"/>
  <c r="V827" i="29" s="1"/>
  <c r="W827" i="29" s="1"/>
  <c r="N828" i="29"/>
  <c r="P828" i="29" s="1"/>
  <c r="N829" i="29"/>
  <c r="P829" i="29" s="1"/>
  <c r="N830" i="29"/>
  <c r="V830" i="29" s="1"/>
  <c r="W830" i="29" s="1"/>
  <c r="N831" i="29"/>
  <c r="V831" i="29" s="1"/>
  <c r="W831" i="29" s="1"/>
  <c r="N832" i="29"/>
  <c r="P832" i="29" s="1"/>
  <c r="N833" i="29"/>
  <c r="P833" i="29" s="1"/>
  <c r="N834" i="29"/>
  <c r="V834" i="29" s="1"/>
  <c r="W834" i="29" s="1"/>
  <c r="N835" i="29"/>
  <c r="V835" i="29" s="1"/>
  <c r="W835" i="29" s="1"/>
  <c r="N836" i="29"/>
  <c r="P836" i="29" s="1"/>
  <c r="N837" i="29"/>
  <c r="P837" i="29" s="1"/>
  <c r="N838" i="29"/>
  <c r="V838" i="29" s="1"/>
  <c r="W838" i="29" s="1"/>
  <c r="N839" i="29"/>
  <c r="V839" i="29" s="1"/>
  <c r="W839" i="29" s="1"/>
  <c r="N840" i="29"/>
  <c r="P840" i="29" s="1"/>
  <c r="N841" i="29"/>
  <c r="P841" i="29" s="1"/>
  <c r="N842" i="29"/>
  <c r="V842" i="29" s="1"/>
  <c r="W842" i="29" s="1"/>
  <c r="N843" i="29"/>
  <c r="V843" i="29" s="1"/>
  <c r="W843" i="29" s="1"/>
  <c r="N844" i="29"/>
  <c r="P844" i="29" s="1"/>
  <c r="N845" i="29"/>
  <c r="P845" i="29" s="1"/>
  <c r="N846" i="29"/>
  <c r="V846" i="29" s="1"/>
  <c r="W846" i="29" s="1"/>
  <c r="N847" i="29"/>
  <c r="V847" i="29" s="1"/>
  <c r="W847" i="29" s="1"/>
  <c r="N848" i="29"/>
  <c r="P848" i="29" s="1"/>
  <c r="N849" i="29"/>
  <c r="P849" i="29" s="1"/>
  <c r="N850" i="29"/>
  <c r="V850" i="29" s="1"/>
  <c r="W850" i="29" s="1"/>
  <c r="N851" i="29"/>
  <c r="V851" i="29" s="1"/>
  <c r="W851" i="29" s="1"/>
  <c r="N852" i="29"/>
  <c r="P852" i="29" s="1"/>
  <c r="N853" i="29"/>
  <c r="V853" i="29" s="1"/>
  <c r="W853" i="29" s="1"/>
  <c r="N854" i="29"/>
  <c r="V854" i="29" s="1"/>
  <c r="W854" i="29" s="1"/>
  <c r="N855" i="29"/>
  <c r="V855" i="29" s="1"/>
  <c r="W855" i="29" s="1"/>
  <c r="N856" i="29"/>
  <c r="P856" i="29" s="1"/>
  <c r="N857" i="29"/>
  <c r="V857" i="29" s="1"/>
  <c r="W857" i="29" s="1"/>
  <c r="N858" i="29"/>
  <c r="V858" i="29" s="1"/>
  <c r="W858" i="29" s="1"/>
  <c r="N859" i="29"/>
  <c r="V859" i="29" s="1"/>
  <c r="W859" i="29" s="1"/>
  <c r="N860" i="29"/>
  <c r="P860" i="29" s="1"/>
  <c r="N861" i="29"/>
  <c r="V861" i="29" s="1"/>
  <c r="W861" i="29" s="1"/>
  <c r="N862" i="29"/>
  <c r="V862" i="29" s="1"/>
  <c r="W862" i="29" s="1"/>
  <c r="N863" i="29"/>
  <c r="V863" i="29" s="1"/>
  <c r="W863" i="29" s="1"/>
  <c r="N864" i="29"/>
  <c r="P864" i="29" s="1"/>
  <c r="N865" i="29"/>
  <c r="V865" i="29" s="1"/>
  <c r="W865" i="29" s="1"/>
  <c r="N866" i="29"/>
  <c r="V866" i="29" s="1"/>
  <c r="W866" i="29" s="1"/>
  <c r="N867" i="29"/>
  <c r="V867" i="29" s="1"/>
  <c r="W867" i="29" s="1"/>
  <c r="N868" i="29"/>
  <c r="P868" i="29" s="1"/>
  <c r="N869" i="29"/>
  <c r="V869" i="29" s="1"/>
  <c r="W869" i="29" s="1"/>
  <c r="N870" i="29"/>
  <c r="V870" i="29" s="1"/>
  <c r="W870" i="29" s="1"/>
  <c r="N871" i="29"/>
  <c r="V871" i="29" s="1"/>
  <c r="W871" i="29" s="1"/>
  <c r="N872" i="29"/>
  <c r="P872" i="29" s="1"/>
  <c r="N873" i="29"/>
  <c r="V873" i="29" s="1"/>
  <c r="W873" i="29" s="1"/>
  <c r="N874" i="29"/>
  <c r="V874" i="29" s="1"/>
  <c r="W874" i="29" s="1"/>
  <c r="N875" i="29"/>
  <c r="V875" i="29" s="1"/>
  <c r="W875" i="29" s="1"/>
  <c r="N876" i="29"/>
  <c r="P876" i="29" s="1"/>
  <c r="N877" i="29"/>
  <c r="V877" i="29" s="1"/>
  <c r="W877" i="29" s="1"/>
  <c r="N878" i="29"/>
  <c r="V878" i="29" s="1"/>
  <c r="W878" i="29" s="1"/>
  <c r="N879" i="29"/>
  <c r="P879" i="29" s="1"/>
  <c r="N880" i="29"/>
  <c r="P880" i="29" s="1"/>
  <c r="M1073" i="29"/>
  <c r="M1074" i="29"/>
  <c r="V814" i="29" l="1"/>
  <c r="W814" i="29" s="1"/>
  <c r="V796" i="29"/>
  <c r="W796" i="29" s="1"/>
  <c r="V880" i="29"/>
  <c r="W880" i="29" s="1"/>
  <c r="V868" i="29"/>
  <c r="W868" i="29" s="1"/>
  <c r="V849" i="29"/>
  <c r="W849" i="29" s="1"/>
  <c r="V841" i="29"/>
  <c r="W841" i="29" s="1"/>
  <c r="V845" i="29"/>
  <c r="W845" i="29" s="1"/>
  <c r="V872" i="29"/>
  <c r="W872" i="29" s="1"/>
  <c r="V837" i="29"/>
  <c r="W837" i="29" s="1"/>
  <c r="V864" i="29"/>
  <c r="W864" i="29" s="1"/>
  <c r="V833" i="29"/>
  <c r="W833" i="29" s="1"/>
  <c r="V876" i="29"/>
  <c r="W876" i="29" s="1"/>
  <c r="V860" i="29"/>
  <c r="W860" i="29" s="1"/>
  <c r="V829" i="29"/>
  <c r="W829" i="29" s="1"/>
  <c r="V825" i="29"/>
  <c r="W825" i="29" s="1"/>
  <c r="V879" i="29"/>
  <c r="W879" i="29" s="1"/>
  <c r="P877" i="29"/>
  <c r="P875" i="29"/>
  <c r="P873" i="29"/>
  <c r="P871" i="29"/>
  <c r="P869" i="29"/>
  <c r="P867" i="29"/>
  <c r="P865" i="29"/>
  <c r="P863" i="29"/>
  <c r="P861" i="29"/>
  <c r="P859" i="29"/>
  <c r="P855" i="29"/>
  <c r="V822" i="29"/>
  <c r="W822" i="29" s="1"/>
  <c r="P814" i="29"/>
  <c r="P810" i="29"/>
  <c r="P806" i="29"/>
  <c r="V856" i="29"/>
  <c r="W856" i="29" s="1"/>
  <c r="V852" i="29"/>
  <c r="W852" i="29" s="1"/>
  <c r="V848" i="29"/>
  <c r="W848" i="29" s="1"/>
  <c r="V844" i="29"/>
  <c r="W844" i="29" s="1"/>
  <c r="V840" i="29"/>
  <c r="W840" i="29" s="1"/>
  <c r="V836" i="29"/>
  <c r="W836" i="29" s="1"/>
  <c r="V832" i="29"/>
  <c r="W832" i="29" s="1"/>
  <c r="V828" i="29"/>
  <c r="W828" i="29" s="1"/>
  <c r="P824" i="29"/>
  <c r="V811" i="29"/>
  <c r="W811" i="29" s="1"/>
  <c r="V807" i="29"/>
  <c r="W807" i="29" s="1"/>
  <c r="V803" i="29"/>
  <c r="W803" i="29" s="1"/>
  <c r="P857" i="29"/>
  <c r="P853" i="29"/>
  <c r="P851" i="29"/>
  <c r="P847" i="29"/>
  <c r="P843" i="29"/>
  <c r="P839" i="29"/>
  <c r="P835" i="29"/>
  <c r="P831" i="29"/>
  <c r="P827" i="29"/>
  <c r="V821" i="29"/>
  <c r="W821" i="29" s="1"/>
  <c r="P812" i="29"/>
  <c r="P808" i="29"/>
  <c r="P804" i="29"/>
  <c r="W804" i="29"/>
  <c r="P878" i="29"/>
  <c r="P874" i="29"/>
  <c r="P870" i="29"/>
  <c r="P866" i="29"/>
  <c r="P862" i="29"/>
  <c r="P858" i="29"/>
  <c r="P854" i="29"/>
  <c r="P850" i="29"/>
  <c r="P846" i="29"/>
  <c r="P842" i="29"/>
  <c r="P838" i="29"/>
  <c r="P834" i="29"/>
  <c r="P830" i="29"/>
  <c r="P826" i="29"/>
  <c r="P823" i="29"/>
  <c r="P820" i="29"/>
  <c r="P818" i="29"/>
  <c r="P816" i="29"/>
  <c r="P813" i="29"/>
  <c r="P809" i="29"/>
  <c r="P805" i="29"/>
  <c r="P802" i="29"/>
  <c r="P800" i="29"/>
  <c r="P798" i="29"/>
  <c r="P796" i="29"/>
  <c r="P819" i="29"/>
  <c r="P817" i="29"/>
  <c r="P815" i="29"/>
  <c r="P801" i="29"/>
  <c r="P799" i="29"/>
  <c r="P797" i="29"/>
  <c r="K884" i="29" l="1"/>
  <c r="N884" i="29" s="1"/>
  <c r="K885" i="29"/>
  <c r="K886" i="29"/>
  <c r="N886" i="29" s="1"/>
  <c r="P886" i="29" s="1"/>
  <c r="K887" i="29"/>
  <c r="K888" i="29"/>
  <c r="N888" i="29" s="1"/>
  <c r="K889" i="29"/>
  <c r="K890" i="29"/>
  <c r="N890" i="29" s="1"/>
  <c r="K891" i="29"/>
  <c r="Y41" i="28"/>
  <c r="AC41" i="28" s="1"/>
  <c r="AD41" i="28" s="1"/>
  <c r="Y42" i="28"/>
  <c r="AC42" i="28" s="1"/>
  <c r="Y43" i="28"/>
  <c r="AC43" i="28" s="1"/>
  <c r="Y44" i="28"/>
  <c r="AC44" i="28" s="1"/>
  <c r="Y45" i="28"/>
  <c r="AC45" i="28" s="1"/>
  <c r="Y46" i="28"/>
  <c r="AC46" i="28" s="1"/>
  <c r="Y47" i="28"/>
  <c r="AC47" i="28" s="1"/>
  <c r="Y48" i="28"/>
  <c r="AC48" i="28" s="1"/>
  <c r="Y49" i="28"/>
  <c r="AC49" i="28" s="1"/>
  <c r="Y50" i="28"/>
  <c r="AC50" i="28" s="1"/>
  <c r="Y51" i="28"/>
  <c r="AC51" i="28" s="1"/>
  <c r="Y52" i="28"/>
  <c r="AC52" i="28" s="1"/>
  <c r="Y53" i="28"/>
  <c r="AC53" i="28" s="1"/>
  <c r="Y54" i="28"/>
  <c r="AC54" i="28" s="1"/>
  <c r="Y55" i="28"/>
  <c r="AC55" i="28" s="1"/>
  <c r="Y56" i="28"/>
  <c r="AC56" i="28" s="1"/>
  <c r="Y57" i="28"/>
  <c r="AC57" i="28" s="1"/>
  <c r="Y58" i="28"/>
  <c r="AC58" i="28" s="1"/>
  <c r="Y59" i="28"/>
  <c r="AC59" i="28" s="1"/>
  <c r="Y60" i="28"/>
  <c r="AC60" i="28" s="1"/>
  <c r="Y61" i="28"/>
  <c r="AC61" i="28" s="1"/>
  <c r="Y62" i="28"/>
  <c r="AC62" i="28" s="1"/>
  <c r="Y63" i="28"/>
  <c r="AC63" i="28" s="1"/>
  <c r="Y64" i="28"/>
  <c r="AC64" i="28" s="1"/>
  <c r="Y65" i="28"/>
  <c r="AC65" i="28" s="1"/>
  <c r="C77" i="27"/>
  <c r="G77" i="27" s="1"/>
  <c r="E67" i="48" l="1"/>
  <c r="L67" i="48" s="1"/>
  <c r="AD49" i="28"/>
  <c r="AD47" i="28"/>
  <c r="AD60" i="28"/>
  <c r="AD52" i="28"/>
  <c r="M67" i="48"/>
  <c r="K67" i="48"/>
  <c r="AD56" i="28"/>
  <c r="AD42" i="28"/>
  <c r="AD63" i="28"/>
  <c r="P890" i="29"/>
  <c r="V890" i="29"/>
  <c r="W890" i="29" s="1"/>
  <c r="P884" i="29"/>
  <c r="V884" i="29"/>
  <c r="P888" i="29"/>
  <c r="V888" i="29"/>
  <c r="W888" i="29" s="1"/>
  <c r="N891" i="29"/>
  <c r="N889" i="29"/>
  <c r="N887" i="29"/>
  <c r="V886" i="29"/>
  <c r="W886" i="29" s="1"/>
  <c r="N885" i="29"/>
  <c r="P887" i="29" l="1"/>
  <c r="V887" i="29"/>
  <c r="W887" i="29" s="1"/>
  <c r="P889" i="29"/>
  <c r="V889" i="29"/>
  <c r="W889" i="29" s="1"/>
  <c r="W884" i="29"/>
  <c r="P891" i="29"/>
  <c r="V891" i="29"/>
  <c r="W891" i="29" s="1"/>
  <c r="P885" i="29"/>
  <c r="V885" i="29"/>
  <c r="W885" i="29" s="1"/>
  <c r="K892" i="29"/>
  <c r="K893" i="29"/>
  <c r="N893" i="29" s="1"/>
  <c r="K894" i="29"/>
  <c r="K895" i="29"/>
  <c r="K896" i="29"/>
  <c r="K897" i="29"/>
  <c r="N897" i="29" s="1"/>
  <c r="K898" i="29"/>
  <c r="K899" i="29"/>
  <c r="N899" i="29" s="1"/>
  <c r="K900" i="29"/>
  <c r="K901" i="29"/>
  <c r="N901" i="29" s="1"/>
  <c r="K902" i="29"/>
  <c r="K903" i="29"/>
  <c r="K904" i="29"/>
  <c r="K905" i="29"/>
  <c r="K906" i="29"/>
  <c r="K907" i="29"/>
  <c r="N907" i="29" s="1"/>
  <c r="K908" i="29"/>
  <c r="K909" i="29"/>
  <c r="N909" i="29" s="1"/>
  <c r="K910" i="29"/>
  <c r="K911" i="29"/>
  <c r="N911" i="29" s="1"/>
  <c r="K912" i="29"/>
  <c r="K913" i="29"/>
  <c r="N913" i="29" s="1"/>
  <c r="K914" i="29"/>
  <c r="K915" i="29"/>
  <c r="N915" i="29" s="1"/>
  <c r="K916" i="29"/>
  <c r="K917" i="29"/>
  <c r="N917" i="29" s="1"/>
  <c r="K918" i="29"/>
  <c r="K919" i="29"/>
  <c r="N919" i="29" s="1"/>
  <c r="K920" i="29"/>
  <c r="Y66" i="28"/>
  <c r="AC66" i="28" s="1"/>
  <c r="Y67" i="28"/>
  <c r="AC67" i="28" s="1"/>
  <c r="Y68" i="28"/>
  <c r="AC68" i="28" s="1"/>
  <c r="Y69" i="28"/>
  <c r="AC69" i="28" s="1"/>
  <c r="Y76" i="28"/>
  <c r="AC76" i="28" s="1"/>
  <c r="Y77" i="28"/>
  <c r="AC77" i="28" s="1"/>
  <c r="Y78" i="28"/>
  <c r="AC78" i="28" s="1"/>
  <c r="Y79" i="28"/>
  <c r="AC79" i="28" s="1"/>
  <c r="Y80" i="28"/>
  <c r="AC80" i="28" s="1"/>
  <c r="Y81" i="28"/>
  <c r="AC81" i="28" s="1"/>
  <c r="Y82" i="28"/>
  <c r="AC82" i="28" s="1"/>
  <c r="Y83" i="28"/>
  <c r="AC83" i="28" s="1"/>
  <c r="Y84" i="28"/>
  <c r="AC84" i="28" s="1"/>
  <c r="Y85" i="28"/>
  <c r="AC85" i="28" s="1"/>
  <c r="Y86" i="28"/>
  <c r="AC86" i="28" s="1"/>
  <c r="Y87" i="28"/>
  <c r="AC87" i="28" s="1"/>
  <c r="Y88" i="28"/>
  <c r="AC88" i="28" s="1"/>
  <c r="Y89" i="28"/>
  <c r="AC89" i="28" s="1"/>
  <c r="Y90" i="28"/>
  <c r="AC90" i="28" s="1"/>
  <c r="Y91" i="28"/>
  <c r="AC91" i="28" s="1"/>
  <c r="Y92" i="28"/>
  <c r="AC92" i="28" s="1"/>
  <c r="Y93" i="28"/>
  <c r="AC93" i="28" s="1"/>
  <c r="Y94" i="28"/>
  <c r="AC94" i="28" s="1"/>
  <c r="Y96" i="28"/>
  <c r="AC96" i="28" s="1"/>
  <c r="AD96" i="28" s="1"/>
  <c r="Y97" i="28"/>
  <c r="AC97" i="28" s="1"/>
  <c r="AD97" i="28" s="1"/>
  <c r="C24" i="27"/>
  <c r="G24" i="27" s="1"/>
  <c r="C44" i="27"/>
  <c r="G44" i="27" s="1"/>
  <c r="C45" i="27"/>
  <c r="G45" i="27" s="1"/>
  <c r="C46" i="27"/>
  <c r="G46" i="27" s="1"/>
  <c r="C47" i="27"/>
  <c r="G47" i="27" s="1"/>
  <c r="C49" i="27"/>
  <c r="G49" i="27" s="1"/>
  <c r="C50" i="27"/>
  <c r="G50" i="27" s="1"/>
  <c r="C76" i="27"/>
  <c r="G76" i="27" s="1"/>
  <c r="C120" i="27"/>
  <c r="G120" i="27" s="1"/>
  <c r="C122" i="27"/>
  <c r="G122" i="27" s="1"/>
  <c r="C137" i="27"/>
  <c r="G137" i="27" s="1"/>
  <c r="C140" i="27"/>
  <c r="G140" i="27" s="1"/>
  <c r="C141" i="27"/>
  <c r="G141" i="27" s="1"/>
  <c r="C142" i="27"/>
  <c r="G142" i="27" s="1"/>
  <c r="C144" i="27"/>
  <c r="G144" i="27" s="1"/>
  <c r="C161" i="27"/>
  <c r="G161" i="27" s="1"/>
  <c r="C165" i="27"/>
  <c r="C166" i="27"/>
  <c r="G166" i="27" s="1"/>
  <c r="C34" i="48"/>
  <c r="D34" i="48"/>
  <c r="E34" i="48"/>
  <c r="C36" i="48"/>
  <c r="D36" i="48"/>
  <c r="E36" i="48"/>
  <c r="C38" i="48"/>
  <c r="D38" i="48"/>
  <c r="E38" i="48"/>
  <c r="C40" i="48"/>
  <c r="D40" i="48"/>
  <c r="E40" i="48"/>
  <c r="C46" i="48"/>
  <c r="D46" i="48"/>
  <c r="E46" i="48"/>
  <c r="C47" i="48"/>
  <c r="D47" i="48"/>
  <c r="E47" i="48"/>
  <c r="C48" i="48"/>
  <c r="D48" i="48"/>
  <c r="E48" i="48"/>
  <c r="C49" i="48"/>
  <c r="D49" i="48"/>
  <c r="E49" i="48"/>
  <c r="C50" i="48"/>
  <c r="D50" i="48"/>
  <c r="E50" i="48"/>
  <c r="C54" i="48"/>
  <c r="D54" i="48"/>
  <c r="E54" i="48"/>
  <c r="C55" i="48"/>
  <c r="D55" i="48"/>
  <c r="E55" i="48"/>
  <c r="E70" i="48"/>
  <c r="M70" i="48" s="1"/>
  <c r="E73" i="48"/>
  <c r="M73" i="48" s="1"/>
  <c r="C80" i="48"/>
  <c r="D80" i="48"/>
  <c r="E80" i="48"/>
  <c r="C81" i="48"/>
  <c r="D81" i="48"/>
  <c r="E81" i="48"/>
  <c r="C85" i="48"/>
  <c r="D85" i="48"/>
  <c r="E85" i="48"/>
  <c r="C86" i="48"/>
  <c r="D86" i="48"/>
  <c r="E86" i="48"/>
  <c r="C88" i="48"/>
  <c r="D88" i="48"/>
  <c r="E88" i="48"/>
  <c r="C89" i="48"/>
  <c r="D89" i="48"/>
  <c r="E89" i="48"/>
  <c r="C92" i="48"/>
  <c r="D92" i="48"/>
  <c r="E92" i="48"/>
  <c r="C105" i="48"/>
  <c r="D105" i="48"/>
  <c r="E105" i="48"/>
  <c r="C106" i="48"/>
  <c r="D106" i="48"/>
  <c r="E106" i="48"/>
  <c r="C75" i="27" l="1"/>
  <c r="G75" i="27" s="1"/>
  <c r="E66" i="48"/>
  <c r="M66" i="48" s="1"/>
  <c r="E65" i="48"/>
  <c r="M65" i="48" s="1"/>
  <c r="E64" i="48"/>
  <c r="M64" i="48" s="1"/>
  <c r="C82" i="27"/>
  <c r="E69" i="48"/>
  <c r="M69" i="48" s="1"/>
  <c r="E61" i="48"/>
  <c r="M61" i="48" s="1"/>
  <c r="C80" i="27"/>
  <c r="G80" i="27" s="1"/>
  <c r="C74" i="27"/>
  <c r="C79" i="27"/>
  <c r="G79" i="27" s="1"/>
  <c r="C72" i="27"/>
  <c r="G72" i="27" s="1"/>
  <c r="L92" i="48"/>
  <c r="M40" i="48"/>
  <c r="K46" i="48"/>
  <c r="N895" i="29"/>
  <c r="P895" i="29" s="1"/>
  <c r="L106" i="48"/>
  <c r="K54" i="48"/>
  <c r="K36" i="48"/>
  <c r="AD68" i="28"/>
  <c r="L49" i="48"/>
  <c r="M34" i="48"/>
  <c r="L89" i="48"/>
  <c r="M55" i="48"/>
  <c r="L50" i="48"/>
  <c r="M38" i="48"/>
  <c r="L34" i="48"/>
  <c r="L70" i="48"/>
  <c r="AD66" i="28"/>
  <c r="L105" i="48"/>
  <c r="L86" i="48"/>
  <c r="L73" i="48"/>
  <c r="L69" i="48"/>
  <c r="L65" i="48"/>
  <c r="L48" i="48"/>
  <c r="G165" i="27"/>
  <c r="AD92" i="28"/>
  <c r="AD83" i="28"/>
  <c r="AD81" i="28"/>
  <c r="AD76" i="28"/>
  <c r="N896" i="29"/>
  <c r="P896" i="29" s="1"/>
  <c r="N894" i="29"/>
  <c r="V894" i="29" s="1"/>
  <c r="W894" i="29" s="1"/>
  <c r="N892" i="29"/>
  <c r="L55" i="48"/>
  <c r="L54" i="48"/>
  <c r="K48" i="48"/>
  <c r="M47" i="48"/>
  <c r="L40" i="48"/>
  <c r="L38" i="48"/>
  <c r="L36" i="48"/>
  <c r="AD86" i="28"/>
  <c r="L88" i="48"/>
  <c r="L85" i="48"/>
  <c r="K50" i="48"/>
  <c r="M49" i="48"/>
  <c r="L47" i="48"/>
  <c r="L46" i="48"/>
  <c r="M106" i="48"/>
  <c r="K106" i="48"/>
  <c r="K105" i="48"/>
  <c r="M105" i="48"/>
  <c r="K81" i="48"/>
  <c r="M81" i="48"/>
  <c r="M80" i="48"/>
  <c r="K80" i="48"/>
  <c r="L81" i="48"/>
  <c r="L80" i="48"/>
  <c r="K92" i="48"/>
  <c r="M92" i="48"/>
  <c r="M89" i="48"/>
  <c r="K89" i="48"/>
  <c r="K88" i="48"/>
  <c r="M88" i="48"/>
  <c r="M86" i="48"/>
  <c r="K86" i="48"/>
  <c r="K85" i="48"/>
  <c r="M85" i="48"/>
  <c r="AD89" i="28"/>
  <c r="K73" i="48"/>
  <c r="K70" i="48"/>
  <c r="K69" i="48"/>
  <c r="K66" i="48"/>
  <c r="K65" i="48"/>
  <c r="K64" i="48"/>
  <c r="K61" i="48"/>
  <c r="K55" i="48"/>
  <c r="M54" i="48"/>
  <c r="M50" i="48"/>
  <c r="K49" i="48"/>
  <c r="M48" i="48"/>
  <c r="K47" i="48"/>
  <c r="M46" i="48"/>
  <c r="K40" i="48"/>
  <c r="K38" i="48"/>
  <c r="M36" i="48"/>
  <c r="K34" i="48"/>
  <c r="V893" i="29"/>
  <c r="W893" i="29" s="1"/>
  <c r="P893" i="29"/>
  <c r="V919" i="29"/>
  <c r="W919" i="29" s="1"/>
  <c r="P919" i="29"/>
  <c r="V915" i="29"/>
  <c r="W915" i="29" s="1"/>
  <c r="P915" i="29"/>
  <c r="V911" i="29"/>
  <c r="W911" i="29" s="1"/>
  <c r="P911" i="29"/>
  <c r="V907" i="29"/>
  <c r="W907" i="29" s="1"/>
  <c r="P907" i="29"/>
  <c r="V899" i="29"/>
  <c r="W899" i="29" s="1"/>
  <c r="P899" i="29"/>
  <c r="V917" i="29"/>
  <c r="W917" i="29" s="1"/>
  <c r="P917" i="29"/>
  <c r="V913" i="29"/>
  <c r="W913" i="29" s="1"/>
  <c r="P913" i="29"/>
  <c r="V909" i="29"/>
  <c r="W909" i="29" s="1"/>
  <c r="P909" i="29"/>
  <c r="V901" i="29"/>
  <c r="W901" i="29" s="1"/>
  <c r="P901" i="29"/>
  <c r="V897" i="29"/>
  <c r="W897" i="29" s="1"/>
  <c r="P897" i="29"/>
  <c r="N912" i="29"/>
  <c r="N908" i="29"/>
  <c r="N905" i="29"/>
  <c r="N903" i="29"/>
  <c r="P892" i="29" l="1"/>
  <c r="L61" i="48"/>
  <c r="L66" i="48"/>
  <c r="L64" i="48"/>
  <c r="V895" i="29"/>
  <c r="W895" i="29" s="1"/>
  <c r="G74" i="27"/>
  <c r="G82" i="27"/>
  <c r="V892" i="29"/>
  <c r="W892" i="29" s="1"/>
  <c r="P894" i="29"/>
  <c r="V896" i="29"/>
  <c r="W896" i="29" s="1"/>
  <c r="P908" i="29"/>
  <c r="V908" i="29"/>
  <c r="W908" i="29" s="1"/>
  <c r="P912" i="29"/>
  <c r="V912" i="29"/>
  <c r="W912" i="29" s="1"/>
  <c r="N898" i="29"/>
  <c r="N914" i="29"/>
  <c r="V903" i="29"/>
  <c r="W903" i="29" s="1"/>
  <c r="P903" i="29"/>
  <c r="N900" i="29"/>
  <c r="N916" i="29"/>
  <c r="N902" i="29"/>
  <c r="N918" i="29"/>
  <c r="V905" i="29"/>
  <c r="W905" i="29" s="1"/>
  <c r="P905" i="29"/>
  <c r="N904" i="29"/>
  <c r="N920" i="29"/>
  <c r="N906" i="29"/>
  <c r="N910" i="29"/>
  <c r="P920" i="29" l="1"/>
  <c r="V920" i="29"/>
  <c r="W920" i="29" s="1"/>
  <c r="P900" i="29"/>
  <c r="V900" i="29"/>
  <c r="W900" i="29" s="1"/>
  <c r="P914" i="29"/>
  <c r="V914" i="29"/>
  <c r="W914" i="29" s="1"/>
  <c r="P902" i="29"/>
  <c r="V902" i="29"/>
  <c r="W902" i="29" s="1"/>
  <c r="P906" i="29"/>
  <c r="V906" i="29"/>
  <c r="W906" i="29" s="1"/>
  <c r="P916" i="29"/>
  <c r="V916" i="29"/>
  <c r="W916" i="29" s="1"/>
  <c r="P910" i="29"/>
  <c r="V910" i="29"/>
  <c r="W910" i="29" s="1"/>
  <c r="P904" i="29"/>
  <c r="V904" i="29"/>
  <c r="W904" i="29" s="1"/>
  <c r="P918" i="29"/>
  <c r="V918" i="29"/>
  <c r="W918" i="29" s="1"/>
  <c r="P898" i="29"/>
  <c r="V898" i="29"/>
  <c r="W898" i="29" l="1"/>
  <c r="K921" i="29" l="1"/>
  <c r="K922" i="29"/>
  <c r="K923" i="29"/>
  <c r="N923" i="29" s="1"/>
  <c r="K924" i="29"/>
  <c r="K925" i="29"/>
  <c r="N925" i="29" s="1"/>
  <c r="K926" i="29"/>
  <c r="K927" i="29"/>
  <c r="N927" i="29" s="1"/>
  <c r="K928" i="29"/>
  <c r="K929" i="29"/>
  <c r="N929" i="29" s="1"/>
  <c r="K930" i="29"/>
  <c r="K931" i="29"/>
  <c r="N931" i="29" s="1"/>
  <c r="K932" i="29"/>
  <c r="K933" i="29"/>
  <c r="N933" i="29" s="1"/>
  <c r="K934" i="29"/>
  <c r="K935" i="29"/>
  <c r="N935" i="29" s="1"/>
  <c r="K936" i="29"/>
  <c r="K937" i="29"/>
  <c r="N937" i="29" s="1"/>
  <c r="K938" i="29"/>
  <c r="K939" i="29"/>
  <c r="N939" i="29" s="1"/>
  <c r="K940" i="29"/>
  <c r="K941" i="29"/>
  <c r="N941" i="29" s="1"/>
  <c r="K942" i="29"/>
  <c r="K943" i="29"/>
  <c r="N943" i="29" s="1"/>
  <c r="K944" i="29"/>
  <c r="K945" i="29"/>
  <c r="N945" i="29" s="1"/>
  <c r="K946" i="29"/>
  <c r="K947" i="29"/>
  <c r="N947" i="29" s="1"/>
  <c r="K948" i="29"/>
  <c r="K949" i="29"/>
  <c r="N949" i="29" s="1"/>
  <c r="K950" i="29"/>
  <c r="K951" i="29"/>
  <c r="N951" i="29" s="1"/>
  <c r="K952" i="29"/>
  <c r="K953" i="29"/>
  <c r="N953" i="29" s="1"/>
  <c r="K954" i="29"/>
  <c r="K955" i="29"/>
  <c r="K956" i="29"/>
  <c r="N956" i="29" s="1"/>
  <c r="K957" i="29"/>
  <c r="K958" i="29"/>
  <c r="N958" i="29" s="1"/>
  <c r="K959" i="29"/>
  <c r="K960" i="29"/>
  <c r="N960" i="29" s="1"/>
  <c r="K961" i="29"/>
  <c r="K962" i="29"/>
  <c r="N962" i="29" s="1"/>
  <c r="K963" i="29"/>
  <c r="K964" i="29"/>
  <c r="N964" i="29" s="1"/>
  <c r="K965" i="29"/>
  <c r="K966" i="29"/>
  <c r="N966" i="29" s="1"/>
  <c r="K967" i="29"/>
  <c r="K968" i="29"/>
  <c r="N968" i="29" s="1"/>
  <c r="F1071" i="29"/>
  <c r="G474" i="4" s="1"/>
  <c r="G476" i="4" s="1"/>
  <c r="F1073" i="29"/>
  <c r="F1076" i="29" s="1"/>
  <c r="F1074" i="29"/>
  <c r="F1077" i="29" s="1"/>
  <c r="C11" i="27"/>
  <c r="C12" i="27"/>
  <c r="G12" i="27" s="1"/>
  <c r="C13" i="27"/>
  <c r="C14" i="27"/>
  <c r="G14" i="27" s="1"/>
  <c r="C15" i="27"/>
  <c r="C16" i="27"/>
  <c r="G16" i="27" s="1"/>
  <c r="C17" i="27"/>
  <c r="C18" i="27"/>
  <c r="G18" i="27" s="1"/>
  <c r="C20" i="27"/>
  <c r="C21" i="27"/>
  <c r="G21" i="27" s="1"/>
  <c r="C22" i="27"/>
  <c r="C27" i="27"/>
  <c r="G27" i="27" s="1"/>
  <c r="C28" i="27"/>
  <c r="C29" i="27"/>
  <c r="G29" i="27" s="1"/>
  <c r="C41" i="27"/>
  <c r="C42" i="27"/>
  <c r="G42" i="27" s="1"/>
  <c r="C52" i="27"/>
  <c r="G52" i="27" s="1"/>
  <c r="C53" i="27"/>
  <c r="G53" i="27" s="1"/>
  <c r="C54" i="27"/>
  <c r="G54" i="27" s="1"/>
  <c r="C55" i="27"/>
  <c r="G55" i="27" s="1"/>
  <c r="C56" i="27"/>
  <c r="G56" i="27" s="1"/>
  <c r="C57" i="27"/>
  <c r="G57" i="27" s="1"/>
  <c r="C58" i="27"/>
  <c r="G58" i="27" s="1"/>
  <c r="C59" i="27"/>
  <c r="G59" i="27" s="1"/>
  <c r="C86" i="27"/>
  <c r="G86" i="27" s="1"/>
  <c r="C87" i="27"/>
  <c r="G87" i="27" s="1"/>
  <c r="C88" i="27"/>
  <c r="G88" i="27" s="1"/>
  <c r="C89" i="27"/>
  <c r="G89" i="27" s="1"/>
  <c r="C90" i="27"/>
  <c r="G90" i="27" s="1"/>
  <c r="C91" i="27"/>
  <c r="G91" i="27" s="1"/>
  <c r="C118" i="27"/>
  <c r="G118" i="27" s="1"/>
  <c r="C119" i="27"/>
  <c r="G119" i="27" s="1"/>
  <c r="C125" i="27"/>
  <c r="G125" i="27" s="1"/>
  <c r="C126" i="27"/>
  <c r="G126" i="27" s="1"/>
  <c r="C127" i="27"/>
  <c r="G127" i="27" s="1"/>
  <c r="C130" i="27"/>
  <c r="G130" i="27" s="1"/>
  <c r="C131" i="27"/>
  <c r="G131" i="27" s="1"/>
  <c r="C132" i="27"/>
  <c r="G132" i="27" s="1"/>
  <c r="C133" i="27"/>
  <c r="C134" i="27"/>
  <c r="G134" i="27" s="1"/>
  <c r="C135" i="27"/>
  <c r="C143" i="27"/>
  <c r="G143" i="27" s="1"/>
  <c r="C155" i="27"/>
  <c r="G155" i="27" s="1"/>
  <c r="C156" i="27"/>
  <c r="C157" i="27"/>
  <c r="C160" i="27"/>
  <c r="G160" i="27" s="1"/>
  <c r="C163" i="27"/>
  <c r="C16" i="48"/>
  <c r="D16" i="48"/>
  <c r="E16" i="48"/>
  <c r="C17" i="48"/>
  <c r="D17" i="48"/>
  <c r="E17" i="48"/>
  <c r="C18" i="48"/>
  <c r="D18" i="48"/>
  <c r="E18" i="48"/>
  <c r="C19" i="48"/>
  <c r="D19" i="48"/>
  <c r="E19" i="48"/>
  <c r="C20" i="48"/>
  <c r="D20" i="48"/>
  <c r="E20" i="48"/>
  <c r="C21" i="48"/>
  <c r="D21" i="48"/>
  <c r="E21" i="48"/>
  <c r="C22" i="48"/>
  <c r="D22" i="48"/>
  <c r="E22" i="48"/>
  <c r="C23" i="48"/>
  <c r="D23" i="48"/>
  <c r="E23" i="48"/>
  <c r="C24" i="48"/>
  <c r="D24" i="48"/>
  <c r="E24" i="48"/>
  <c r="C25" i="48"/>
  <c r="D25" i="48"/>
  <c r="E25" i="48"/>
  <c r="C27" i="48"/>
  <c r="D27" i="48"/>
  <c r="E27" i="48"/>
  <c r="C28" i="48"/>
  <c r="D28" i="48"/>
  <c r="E28" i="48"/>
  <c r="C29" i="48"/>
  <c r="D29" i="48"/>
  <c r="E29" i="48"/>
  <c r="C30" i="48"/>
  <c r="D30" i="48"/>
  <c r="E30" i="48"/>
  <c r="C31" i="48"/>
  <c r="D31" i="48"/>
  <c r="E31" i="48"/>
  <c r="C32" i="48"/>
  <c r="D32" i="48"/>
  <c r="E32" i="48"/>
  <c r="C39" i="48"/>
  <c r="D39" i="48"/>
  <c r="E39" i="48"/>
  <c r="C51" i="48"/>
  <c r="D51" i="48"/>
  <c r="E51" i="48"/>
  <c r="C52" i="48"/>
  <c r="D52" i="48"/>
  <c r="E52" i="48"/>
  <c r="C53" i="48"/>
  <c r="D53" i="48"/>
  <c r="E53" i="48"/>
  <c r="C56" i="48"/>
  <c r="D56" i="48"/>
  <c r="E56" i="48"/>
  <c r="C57" i="48"/>
  <c r="D57" i="48"/>
  <c r="E57" i="48"/>
  <c r="C58" i="48"/>
  <c r="D58" i="48"/>
  <c r="E58" i="48"/>
  <c r="C59" i="48"/>
  <c r="D59" i="48"/>
  <c r="E59" i="48"/>
  <c r="C82" i="48"/>
  <c r="D82" i="48"/>
  <c r="E82" i="48"/>
  <c r="C83" i="48"/>
  <c r="D83" i="48"/>
  <c r="E83" i="48"/>
  <c r="C84" i="48"/>
  <c r="D84" i="48"/>
  <c r="E84" i="48"/>
  <c r="C96" i="48"/>
  <c r="D96" i="48"/>
  <c r="E96" i="48"/>
  <c r="C108" i="48"/>
  <c r="D108" i="48"/>
  <c r="E108" i="48"/>
  <c r="C110" i="48"/>
  <c r="D110" i="48"/>
  <c r="E110" i="48"/>
  <c r="C112" i="48"/>
  <c r="D112" i="48"/>
  <c r="E112" i="48"/>
  <c r="C113" i="48"/>
  <c r="D113" i="48"/>
  <c r="E113" i="48"/>
  <c r="C114" i="48"/>
  <c r="D114" i="48"/>
  <c r="E114" i="48"/>
  <c r="C115" i="48"/>
  <c r="D115" i="48"/>
  <c r="E115" i="48"/>
  <c r="C117" i="48"/>
  <c r="D117" i="48"/>
  <c r="E117" i="48"/>
  <c r="C118" i="48"/>
  <c r="D118" i="48"/>
  <c r="E118" i="48"/>
  <c r="C119" i="48"/>
  <c r="D119" i="48"/>
  <c r="E119" i="48"/>
  <c r="C120" i="48"/>
  <c r="D120" i="48"/>
  <c r="E120" i="48"/>
  <c r="C121" i="48"/>
  <c r="D121" i="48"/>
  <c r="E121" i="48"/>
  <c r="C122" i="48"/>
  <c r="D122" i="48"/>
  <c r="E122" i="48"/>
  <c r="C123" i="48"/>
  <c r="D123" i="48"/>
  <c r="E123" i="48"/>
  <c r="C124" i="48"/>
  <c r="D124" i="48"/>
  <c r="E124" i="48"/>
  <c r="C125" i="48"/>
  <c r="D125" i="48"/>
  <c r="E125" i="48"/>
  <c r="C126" i="48"/>
  <c r="D126" i="48"/>
  <c r="E126" i="48"/>
  <c r="C127" i="48"/>
  <c r="D127" i="48"/>
  <c r="E127" i="48"/>
  <c r="C128" i="48"/>
  <c r="D128" i="48"/>
  <c r="E128" i="48"/>
  <c r="C129" i="48"/>
  <c r="D129" i="48"/>
  <c r="E129" i="48"/>
  <c r="C130" i="48"/>
  <c r="D130" i="48"/>
  <c r="E130" i="48"/>
  <c r="C131" i="48"/>
  <c r="D131" i="48"/>
  <c r="E131" i="48"/>
  <c r="B59" i="17"/>
  <c r="B61" i="17" s="1"/>
  <c r="R255" i="17"/>
  <c r="C106" i="17" s="1"/>
  <c r="R256" i="17"/>
  <c r="C107" i="17" s="1"/>
  <c r="E107" i="17" s="1"/>
  <c r="R262" i="17"/>
  <c r="C95" i="27" l="1"/>
  <c r="K1073" i="29"/>
  <c r="K1079" i="29" s="1"/>
  <c r="C265" i="17"/>
  <c r="F265" i="17" s="1"/>
  <c r="G265" i="17" s="1"/>
  <c r="C264" i="17"/>
  <c r="F264" i="17" s="1"/>
  <c r="G264" i="17" s="1"/>
  <c r="K1074" i="29"/>
  <c r="M121" i="48"/>
  <c r="L21" i="48"/>
  <c r="M23" i="48"/>
  <c r="K24" i="48"/>
  <c r="L22" i="48"/>
  <c r="K130" i="48"/>
  <c r="M118" i="48"/>
  <c r="K122" i="48"/>
  <c r="K115" i="48"/>
  <c r="M113" i="48"/>
  <c r="L53" i="48"/>
  <c r="L30" i="48"/>
  <c r="G135" i="27"/>
  <c r="M123" i="48"/>
  <c r="K120" i="48"/>
  <c r="M84" i="48"/>
  <c r="D75" i="48"/>
  <c r="K58" i="48"/>
  <c r="L56" i="48"/>
  <c r="L25" i="48"/>
  <c r="K118" i="48"/>
  <c r="M115" i="48"/>
  <c r="M120" i="48"/>
  <c r="K113" i="48"/>
  <c r="K96" i="48"/>
  <c r="L83" i="48"/>
  <c r="L32" i="48"/>
  <c r="L29" i="48"/>
  <c r="K18" i="48"/>
  <c r="G163" i="27"/>
  <c r="L52" i="48"/>
  <c r="L31" i="48"/>
  <c r="M20" i="48"/>
  <c r="M16" i="48"/>
  <c r="M119" i="48"/>
  <c r="L128" i="48"/>
  <c r="L126" i="48"/>
  <c r="L124" i="48"/>
  <c r="L122" i="48"/>
  <c r="M82" i="48"/>
  <c r="M59" i="48"/>
  <c r="K52" i="48"/>
  <c r="M51" i="48"/>
  <c r="M28" i="48"/>
  <c r="L28" i="48"/>
  <c r="L24" i="48"/>
  <c r="K20" i="48"/>
  <c r="C170" i="27"/>
  <c r="D35" i="56" s="1"/>
  <c r="H35" i="56" s="1"/>
  <c r="G28" i="27"/>
  <c r="G15" i="27"/>
  <c r="L130" i="48"/>
  <c r="M126" i="48"/>
  <c r="M124" i="48"/>
  <c r="M122" i="48"/>
  <c r="L120" i="48"/>
  <c r="M114" i="48"/>
  <c r="L96" i="48"/>
  <c r="K83" i="48"/>
  <c r="E75" i="48"/>
  <c r="L58" i="48"/>
  <c r="K56" i="48"/>
  <c r="M53" i="48"/>
  <c r="L51" i="48"/>
  <c r="L39" i="48"/>
  <c r="K29" i="48"/>
  <c r="G156" i="27"/>
  <c r="G41" i="27"/>
  <c r="G17" i="27"/>
  <c r="K128" i="48"/>
  <c r="K126" i="48"/>
  <c r="K124" i="48"/>
  <c r="L118" i="48"/>
  <c r="L115" i="48"/>
  <c r="L113" i="48"/>
  <c r="M57" i="48"/>
  <c r="M17" i="48"/>
  <c r="G20" i="27"/>
  <c r="G11" i="27"/>
  <c r="N921" i="29"/>
  <c r="K39" i="48"/>
  <c r="M32" i="48"/>
  <c r="K27" i="48"/>
  <c r="M25" i="48"/>
  <c r="L23" i="48"/>
  <c r="L20" i="48"/>
  <c r="M19" i="48"/>
  <c r="L19" i="48"/>
  <c r="L17" i="48"/>
  <c r="G157" i="27"/>
  <c r="G133" i="27"/>
  <c r="G22" i="27"/>
  <c r="G13" i="27"/>
  <c r="K1071" i="29"/>
  <c r="K31" i="48"/>
  <c r="M30" i="48"/>
  <c r="L27" i="48"/>
  <c r="K22" i="48"/>
  <c r="M21" i="48"/>
  <c r="M18" i="48"/>
  <c r="K16" i="48"/>
  <c r="K129" i="48"/>
  <c r="L129" i="48"/>
  <c r="K127" i="48"/>
  <c r="L127" i="48"/>
  <c r="K119" i="48"/>
  <c r="L119" i="48"/>
  <c r="K117" i="48"/>
  <c r="L117" i="48"/>
  <c r="D133" i="48"/>
  <c r="K125" i="48"/>
  <c r="L125" i="48"/>
  <c r="K123" i="48"/>
  <c r="L123" i="48"/>
  <c r="K114" i="48"/>
  <c r="L114" i="48"/>
  <c r="K131" i="48"/>
  <c r="L131" i="48"/>
  <c r="B62" i="17"/>
  <c r="C62" i="17"/>
  <c r="C108" i="17"/>
  <c r="M131" i="48"/>
  <c r="M129" i="48"/>
  <c r="M127" i="48"/>
  <c r="E106" i="17"/>
  <c r="M125" i="48"/>
  <c r="K121" i="48"/>
  <c r="L121" i="48"/>
  <c r="M117" i="48"/>
  <c r="L84" i="48"/>
  <c r="L82" i="48"/>
  <c r="L59" i="48"/>
  <c r="L57" i="48"/>
  <c r="R261" i="17"/>
  <c r="E133" i="48"/>
  <c r="M96" i="48"/>
  <c r="K84" i="48"/>
  <c r="M83" i="48"/>
  <c r="K82" i="48"/>
  <c r="K59" i="48"/>
  <c r="M58" i="48"/>
  <c r="K57" i="48"/>
  <c r="M56" i="48"/>
  <c r="K53" i="48"/>
  <c r="M52" i="48"/>
  <c r="K51" i="48"/>
  <c r="M39" i="48"/>
  <c r="K32" i="48"/>
  <c r="M31" i="48"/>
  <c r="K30" i="48"/>
  <c r="M29" i="48"/>
  <c r="K28" i="48"/>
  <c r="M27" i="48"/>
  <c r="K25" i="48"/>
  <c r="M24" i="48"/>
  <c r="K23" i="48"/>
  <c r="M22" i="48"/>
  <c r="K21" i="48"/>
  <c r="K19" i="48"/>
  <c r="K17" i="48"/>
  <c r="M130" i="48"/>
  <c r="C75" i="48"/>
  <c r="L18" i="48"/>
  <c r="L16" i="48"/>
  <c r="M128" i="48"/>
  <c r="C133" i="48"/>
  <c r="P966" i="29"/>
  <c r="V966" i="29"/>
  <c r="W966" i="29" s="1"/>
  <c r="P962" i="29"/>
  <c r="V962" i="29"/>
  <c r="W962" i="29" s="1"/>
  <c r="P958" i="29"/>
  <c r="V958" i="29"/>
  <c r="W958" i="29" s="1"/>
  <c r="P968" i="29"/>
  <c r="V968" i="29"/>
  <c r="W968" i="29" s="1"/>
  <c r="P964" i="29"/>
  <c r="V964" i="29"/>
  <c r="W964" i="29" s="1"/>
  <c r="P960" i="29"/>
  <c r="V960" i="29"/>
  <c r="W960" i="29" s="1"/>
  <c r="P956" i="29"/>
  <c r="V956" i="29"/>
  <c r="W956" i="29" s="1"/>
  <c r="P951" i="29"/>
  <c r="V951" i="29"/>
  <c r="W951" i="29" s="1"/>
  <c r="P947" i="29"/>
  <c r="V947" i="29"/>
  <c r="W947" i="29" s="1"/>
  <c r="P943" i="29"/>
  <c r="V943" i="29"/>
  <c r="W943" i="29" s="1"/>
  <c r="P939" i="29"/>
  <c r="V939" i="29"/>
  <c r="W939" i="29" s="1"/>
  <c r="P935" i="29"/>
  <c r="V935" i="29"/>
  <c r="W935" i="29" s="1"/>
  <c r="P931" i="29"/>
  <c r="V931" i="29"/>
  <c r="W931" i="29" s="1"/>
  <c r="P927" i="29"/>
  <c r="V927" i="29"/>
  <c r="W927" i="29" s="1"/>
  <c r="P923" i="29"/>
  <c r="V923" i="29"/>
  <c r="W923" i="29" s="1"/>
  <c r="L1073" i="29"/>
  <c r="L1074" i="29"/>
  <c r="L1071" i="29"/>
  <c r="P953" i="29"/>
  <c r="V953" i="29"/>
  <c r="W953" i="29" s="1"/>
  <c r="P949" i="29"/>
  <c r="V949" i="29"/>
  <c r="W949" i="29" s="1"/>
  <c r="P945" i="29"/>
  <c r="V945" i="29"/>
  <c r="W945" i="29" s="1"/>
  <c r="P941" i="29"/>
  <c r="V941" i="29"/>
  <c r="W941" i="29" s="1"/>
  <c r="P937" i="29"/>
  <c r="V937" i="29"/>
  <c r="W937" i="29" s="1"/>
  <c r="P933" i="29"/>
  <c r="V933" i="29"/>
  <c r="W933" i="29" s="1"/>
  <c r="P929" i="29"/>
  <c r="V929" i="29"/>
  <c r="W929" i="29" s="1"/>
  <c r="P925" i="29"/>
  <c r="V925" i="29"/>
  <c r="W925" i="29" s="1"/>
  <c r="N967" i="29"/>
  <c r="N965" i="29"/>
  <c r="N963" i="29"/>
  <c r="N961" i="29"/>
  <c r="N959" i="29"/>
  <c r="N957" i="29"/>
  <c r="N955" i="29"/>
  <c r="N954" i="29"/>
  <c r="N952" i="29"/>
  <c r="N950" i="29"/>
  <c r="N948" i="29"/>
  <c r="N946" i="29"/>
  <c r="N944" i="29"/>
  <c r="N942" i="29"/>
  <c r="N940" i="29"/>
  <c r="N938" i="29"/>
  <c r="N936" i="29"/>
  <c r="N934" i="29"/>
  <c r="N932" i="29"/>
  <c r="N930" i="29"/>
  <c r="N928" i="29"/>
  <c r="N926" i="29"/>
  <c r="N924" i="29"/>
  <c r="N922" i="29"/>
  <c r="F35" i="56" l="1"/>
  <c r="E142" i="48"/>
  <c r="D142" i="48"/>
  <c r="C267" i="17"/>
  <c r="F267" i="17"/>
  <c r="G95" i="27"/>
  <c r="G170" i="27"/>
  <c r="C142" i="48"/>
  <c r="M133" i="48"/>
  <c r="K75" i="48"/>
  <c r="L133" i="48"/>
  <c r="P921" i="29"/>
  <c r="V921" i="29"/>
  <c r="W921" i="29" s="1"/>
  <c r="L75" i="48"/>
  <c r="K133" i="48"/>
  <c r="M75" i="48"/>
  <c r="N1071" i="29"/>
  <c r="N1074" i="29"/>
  <c r="P922" i="29"/>
  <c r="V922" i="29"/>
  <c r="Q297" i="17"/>
  <c r="C306" i="17" s="1"/>
  <c r="K306" i="17" s="1"/>
  <c r="I107" i="17" s="1"/>
  <c r="I51" i="18"/>
  <c r="P930" i="29"/>
  <c r="V930" i="29"/>
  <c r="W930" i="29" s="1"/>
  <c r="P938" i="29"/>
  <c r="V938" i="29"/>
  <c r="W938" i="29" s="1"/>
  <c r="P946" i="29"/>
  <c r="V946" i="29"/>
  <c r="W946" i="29" s="1"/>
  <c r="P954" i="29"/>
  <c r="V954" i="29"/>
  <c r="W954" i="29" s="1"/>
  <c r="P961" i="29"/>
  <c r="V961" i="29"/>
  <c r="W961" i="29" s="1"/>
  <c r="P924" i="29"/>
  <c r="V924" i="29"/>
  <c r="W924" i="29" s="1"/>
  <c r="P932" i="29"/>
  <c r="V932" i="29"/>
  <c r="W932" i="29" s="1"/>
  <c r="P940" i="29"/>
  <c r="V940" i="29"/>
  <c r="W940" i="29" s="1"/>
  <c r="P948" i="29"/>
  <c r="V948" i="29"/>
  <c r="W948" i="29" s="1"/>
  <c r="P955" i="29"/>
  <c r="V955" i="29"/>
  <c r="W955" i="29" s="1"/>
  <c r="P963" i="29"/>
  <c r="V963" i="29"/>
  <c r="W963" i="29" s="1"/>
  <c r="N48" i="17"/>
  <c r="N1073" i="29"/>
  <c r="P926" i="29"/>
  <c r="V926" i="29"/>
  <c r="W926" i="29" s="1"/>
  <c r="I50" i="18"/>
  <c r="I52" i="18" s="1"/>
  <c r="I54" i="18" s="1"/>
  <c r="Q296" i="17"/>
  <c r="P934" i="29"/>
  <c r="V934" i="29"/>
  <c r="W934" i="29" s="1"/>
  <c r="P942" i="29"/>
  <c r="V942" i="29"/>
  <c r="W942" i="29" s="1"/>
  <c r="P950" i="29"/>
  <c r="V950" i="29"/>
  <c r="W950" i="29" s="1"/>
  <c r="P957" i="29"/>
  <c r="V957" i="29"/>
  <c r="W957" i="29" s="1"/>
  <c r="P965" i="29"/>
  <c r="V965" i="29"/>
  <c r="W965" i="29" s="1"/>
  <c r="P928" i="29"/>
  <c r="V928" i="29"/>
  <c r="W928" i="29" s="1"/>
  <c r="P936" i="29"/>
  <c r="V936" i="29"/>
  <c r="W936" i="29" s="1"/>
  <c r="P944" i="29"/>
  <c r="V944" i="29"/>
  <c r="W944" i="29" s="1"/>
  <c r="P952" i="29"/>
  <c r="V952" i="29"/>
  <c r="W952" i="29" s="1"/>
  <c r="P959" i="29"/>
  <c r="V959" i="29"/>
  <c r="W959" i="29" s="1"/>
  <c r="P967" i="29"/>
  <c r="V967" i="29"/>
  <c r="W967" i="29" s="1"/>
  <c r="N49" i="17"/>
  <c r="T49" i="17" s="1"/>
  <c r="E108" i="17"/>
  <c r="G108" i="17"/>
  <c r="C110" i="17"/>
  <c r="M142" i="48" l="1"/>
  <c r="L142" i="48"/>
  <c r="K142" i="48"/>
  <c r="C305" i="17"/>
  <c r="Q302" i="17"/>
  <c r="Q305" i="17" s="1"/>
  <c r="J50" i="18"/>
  <c r="J51" i="18"/>
  <c r="Q303" i="17"/>
  <c r="T48" i="17"/>
  <c r="T52" i="17" s="1"/>
  <c r="N52" i="17"/>
  <c r="H108" i="17"/>
  <c r="I59" i="17"/>
  <c r="I61" i="17" s="1"/>
  <c r="W922" i="29"/>
  <c r="V1071" i="29"/>
  <c r="K143" i="48" l="1"/>
  <c r="J62" i="17"/>
  <c r="I62" i="17"/>
  <c r="I64" i="17" s="1"/>
  <c r="J52" i="18"/>
  <c r="K305" i="17"/>
  <c r="C308" i="17"/>
  <c r="G97" i="27" l="1"/>
  <c r="G99" i="27" s="1"/>
  <c r="G107" i="27" s="1"/>
  <c r="G172" i="27"/>
  <c r="G174" i="27" s="1"/>
  <c r="G182" i="27" s="1"/>
  <c r="I106" i="17"/>
  <c r="I108" i="17" s="1"/>
  <c r="K308" i="17"/>
  <c r="K144" i="48"/>
  <c r="J54" i="18"/>
  <c r="L144" i="48" l="1"/>
  <c r="L146" i="48" s="1"/>
  <c r="M144" i="48"/>
  <c r="M146" i="48" s="1"/>
  <c r="K146" i="48"/>
  <c r="K147" i="48" s="1"/>
  <c r="I110" i="17"/>
  <c r="J108" i="17"/>
  <c r="K108" i="17" s="1"/>
  <c r="K110" i="17" s="1"/>
  <c r="M148" i="48" l="1"/>
  <c r="M158" i="48"/>
  <c r="L148" i="48"/>
  <c r="K112" i="17"/>
  <c r="K114" i="17" s="1"/>
  <c r="M7" i="7" l="1"/>
  <c r="M8" i="7" s="1"/>
  <c r="L83" i="7" l="1"/>
  <c r="L79" i="7"/>
  <c r="L75" i="7"/>
  <c r="L85" i="7"/>
  <c r="L80" i="7"/>
  <c r="L74" i="7"/>
  <c r="L70" i="7"/>
  <c r="L66" i="7"/>
  <c r="L62" i="7"/>
  <c r="L58" i="7"/>
  <c r="L54" i="7"/>
  <c r="L50" i="7"/>
  <c r="L46" i="7"/>
  <c r="L42" i="7"/>
  <c r="L38" i="7"/>
  <c r="L34" i="7"/>
  <c r="L30" i="7"/>
  <c r="L26" i="7"/>
  <c r="L22" i="7"/>
  <c r="L18" i="7"/>
  <c r="L14" i="7"/>
  <c r="L10" i="7"/>
  <c r="L6" i="7"/>
  <c r="J83" i="7"/>
  <c r="K83" i="7" s="1"/>
  <c r="J79" i="7"/>
  <c r="J75" i="7"/>
  <c r="J71" i="7"/>
  <c r="K71" i="7" s="1"/>
  <c r="J67" i="7"/>
  <c r="K67" i="7" s="1"/>
  <c r="J63" i="7"/>
  <c r="J59" i="7"/>
  <c r="K59" i="7" s="1"/>
  <c r="J55" i="7"/>
  <c r="K55" i="7" s="1"/>
  <c r="J51" i="7"/>
  <c r="K51" i="7" s="1"/>
  <c r="J47" i="7"/>
  <c r="J43" i="7"/>
  <c r="J39" i="7"/>
  <c r="K39" i="7" s="1"/>
  <c r="J35" i="7"/>
  <c r="K35" i="7" s="1"/>
  <c r="J31" i="7"/>
  <c r="J27" i="7"/>
  <c r="K27" i="7" s="1"/>
  <c r="J23" i="7"/>
  <c r="K23" i="7" s="1"/>
  <c r="J19" i="7"/>
  <c r="K19" i="7" s="1"/>
  <c r="J15" i="7"/>
  <c r="J11" i="7"/>
  <c r="K11" i="7" s="1"/>
  <c r="J7" i="7"/>
  <c r="K7" i="7" s="1"/>
  <c r="L82" i="7"/>
  <c r="L77" i="7"/>
  <c r="L72" i="7"/>
  <c r="L68" i="7"/>
  <c r="L64" i="7"/>
  <c r="L60" i="7"/>
  <c r="L56" i="7"/>
  <c r="L52" i="7"/>
  <c r="L48" i="7"/>
  <c r="L44" i="7"/>
  <c r="L40" i="7"/>
  <c r="L36" i="7"/>
  <c r="L32" i="7"/>
  <c r="L28" i="7"/>
  <c r="L24" i="7"/>
  <c r="L20" i="7"/>
  <c r="L16" i="7"/>
  <c r="L12" i="7"/>
  <c r="L8" i="7"/>
  <c r="J85" i="7"/>
  <c r="K85" i="7" s="1"/>
  <c r="J81" i="7"/>
  <c r="K81" i="7" s="1"/>
  <c r="J77" i="7"/>
  <c r="J73" i="7"/>
  <c r="K73" i="7" s="1"/>
  <c r="J69" i="7"/>
  <c r="K69" i="7" s="1"/>
  <c r="J65" i="7"/>
  <c r="K65" i="7" s="1"/>
  <c r="J61" i="7"/>
  <c r="J57" i="7"/>
  <c r="J53" i="7"/>
  <c r="K53" i="7" s="1"/>
  <c r="J49" i="7"/>
  <c r="K49" i="7" s="1"/>
  <c r="J45" i="7"/>
  <c r="J41" i="7"/>
  <c r="K41" i="7" s="1"/>
  <c r="J37" i="7"/>
  <c r="K37" i="7" s="1"/>
  <c r="J33" i="7"/>
  <c r="K33" i="7" s="1"/>
  <c r="J29" i="7"/>
  <c r="J25" i="7"/>
  <c r="K25" i="7" s="1"/>
  <c r="J21" i="7"/>
  <c r="K21" i="7" s="1"/>
  <c r="J17" i="7"/>
  <c r="K17" i="7" s="1"/>
  <c r="J13" i="7"/>
  <c r="J9" i="7"/>
  <c r="K9" i="7" s="1"/>
  <c r="J5" i="7"/>
  <c r="L78" i="7"/>
  <c r="L69" i="7"/>
  <c r="L61" i="7"/>
  <c r="L53" i="7"/>
  <c r="L45" i="7"/>
  <c r="L37" i="7"/>
  <c r="L29" i="7"/>
  <c r="L21" i="7"/>
  <c r="L13" i="7"/>
  <c r="L5" i="7"/>
  <c r="J78" i="7"/>
  <c r="K78" i="7" s="1"/>
  <c r="J70" i="7"/>
  <c r="K70" i="7" s="1"/>
  <c r="J62" i="7"/>
  <c r="K62" i="7" s="1"/>
  <c r="J54" i="7"/>
  <c r="K54" i="7" s="1"/>
  <c r="J46" i="7"/>
  <c r="J38" i="7"/>
  <c r="K38" i="7" s="1"/>
  <c r="J30" i="7"/>
  <c r="K30" i="7" s="1"/>
  <c r="J22" i="7"/>
  <c r="K22" i="7" s="1"/>
  <c r="J14" i="7"/>
  <c r="K14" i="7" s="1"/>
  <c r="J6" i="7"/>
  <c r="K6" i="7" s="1"/>
  <c r="L76" i="7"/>
  <c r="L67" i="7"/>
  <c r="L59" i="7"/>
  <c r="L51" i="7"/>
  <c r="L43" i="7"/>
  <c r="L35" i="7"/>
  <c r="L27" i="7"/>
  <c r="L19" i="7"/>
  <c r="L11" i="7"/>
  <c r="J84" i="7"/>
  <c r="J76" i="7"/>
  <c r="K76" i="7" s="1"/>
  <c r="J68" i="7"/>
  <c r="K68" i="7" s="1"/>
  <c r="J60" i="7"/>
  <c r="K60" i="7" s="1"/>
  <c r="J52" i="7"/>
  <c r="K52" i="7" s="1"/>
  <c r="J44" i="7"/>
  <c r="K44" i="7" s="1"/>
  <c r="J36" i="7"/>
  <c r="K36" i="7" s="1"/>
  <c r="J28" i="7"/>
  <c r="K28" i="7" s="1"/>
  <c r="J20" i="7"/>
  <c r="J12" i="7"/>
  <c r="K12" i="7" s="1"/>
  <c r="L84" i="7"/>
  <c r="L73" i="7"/>
  <c r="L65" i="7"/>
  <c r="L57" i="7"/>
  <c r="L49" i="7"/>
  <c r="L41" i="7"/>
  <c r="L33" i="7"/>
  <c r="L25" i="7"/>
  <c r="L17" i="7"/>
  <c r="L9" i="7"/>
  <c r="J82" i="7"/>
  <c r="K82" i="7" s="1"/>
  <c r="J74" i="7"/>
  <c r="K74" i="7" s="1"/>
  <c r="J66" i="7"/>
  <c r="K66" i="7" s="1"/>
  <c r="J58" i="7"/>
  <c r="K58" i="7" s="1"/>
  <c r="J50" i="7"/>
  <c r="J42" i="7"/>
  <c r="K42" i="7" s="1"/>
  <c r="J34" i="7"/>
  <c r="K34" i="7" s="1"/>
  <c r="J26" i="7"/>
  <c r="K26" i="7" s="1"/>
  <c r="J18" i="7"/>
  <c r="J10" i="7"/>
  <c r="K10" i="7" s="1"/>
  <c r="L81" i="7"/>
  <c r="L71" i="7"/>
  <c r="L63" i="7"/>
  <c r="L55" i="7"/>
  <c r="L47" i="7"/>
  <c r="L39" i="7"/>
  <c r="L31" i="7"/>
  <c r="L23" i="7"/>
  <c r="L15" i="7"/>
  <c r="L7" i="7"/>
  <c r="J80" i="7"/>
  <c r="K80" i="7" s="1"/>
  <c r="J72" i="7"/>
  <c r="K72" i="7" s="1"/>
  <c r="J64" i="7"/>
  <c r="K64" i="7" s="1"/>
  <c r="J56" i="7"/>
  <c r="K56" i="7" s="1"/>
  <c r="J48" i="7"/>
  <c r="K48" i="7" s="1"/>
  <c r="J40" i="7"/>
  <c r="K40" i="7" s="1"/>
  <c r="J32" i="7"/>
  <c r="K32" i="7" s="1"/>
  <c r="J24" i="7"/>
  <c r="K24" i="7" s="1"/>
  <c r="J16" i="7"/>
  <c r="K16" i="7" s="1"/>
  <c r="J8" i="7"/>
  <c r="K8" i="7" s="1"/>
  <c r="K45" i="7"/>
  <c r="K20" i="7"/>
  <c r="K77" i="7"/>
  <c r="K13" i="7"/>
  <c r="K61" i="7"/>
  <c r="K29" i="7"/>
  <c r="K50" i="7"/>
  <c r="K75" i="7"/>
  <c r="K43" i="7"/>
  <c r="K46" i="7"/>
  <c r="K18" i="7"/>
  <c r="K57" i="7"/>
  <c r="K84" i="7"/>
  <c r="K79" i="7"/>
  <c r="K63" i="7"/>
  <c r="K47" i="7"/>
  <c r="K31" i="7"/>
  <c r="K15" i="7"/>
  <c r="K5" i="7" l="1"/>
  <c r="K86" i="7" s="1"/>
  <c r="J86" i="7"/>
  <c r="H147" i="27"/>
  <c r="N110" i="27"/>
  <c r="H110" i="27" s="1"/>
  <c r="N33" i="27"/>
  <c r="H33" i="27"/>
  <c r="N66" i="27"/>
  <c r="H66" i="27" s="1"/>
  <c r="N2" i="19"/>
  <c r="N353" i="19" s="1"/>
  <c r="I353" i="19" s="1"/>
  <c r="N3" i="27"/>
  <c r="H3" i="27" s="1"/>
  <c r="N105" i="19" l="1"/>
  <c r="I105" i="19" s="1"/>
  <c r="I2" i="19"/>
  <c r="N318" i="19"/>
  <c r="I318" i="19" s="1"/>
  <c r="N248" i="19"/>
  <c r="I248" i="19" s="1"/>
  <c r="N40" i="19"/>
  <c r="I40" i="19" s="1"/>
  <c r="N73" i="19"/>
  <c r="I73" i="19" s="1"/>
  <c r="N175" i="19"/>
  <c r="I175" i="19" s="1"/>
  <c r="N381" i="19"/>
  <c r="I381" i="19" s="1"/>
  <c r="N140" i="19"/>
  <c r="I140" i="19" s="1"/>
  <c r="N212" i="19"/>
  <c r="I212" i="19" s="1"/>
  <c r="N283" i="19"/>
  <c r="I283" i="19" s="1"/>
</calcChain>
</file>

<file path=xl/comments1.xml><?xml version="1.0" encoding="utf-8"?>
<comments xmlns="http://schemas.openxmlformats.org/spreadsheetml/2006/main">
  <authors>
    <author>Foxworthy, Carol</author>
  </authors>
  <commentList>
    <comment ref="B360" authorId="0">
      <text>
        <r>
          <rPr>
            <b/>
            <sz val="9"/>
            <color indexed="81"/>
            <rFont val="Tahoma"/>
            <family val="2"/>
          </rPr>
          <t>Foxworthy, Carol:</t>
        </r>
        <r>
          <rPr>
            <sz val="9"/>
            <color indexed="81"/>
            <rFont val="Tahoma"/>
            <family val="2"/>
          </rPr>
          <t xml:space="preserve">
S/B 465</t>
        </r>
      </text>
    </comment>
    <comment ref="B374" authorId="0">
      <text>
        <r>
          <rPr>
            <b/>
            <sz val="9"/>
            <color indexed="81"/>
            <rFont val="Tahoma"/>
            <family val="2"/>
          </rPr>
          <t>Foxworthy, Carol:</t>
        </r>
        <r>
          <rPr>
            <sz val="9"/>
            <color indexed="81"/>
            <rFont val="Tahoma"/>
            <family val="2"/>
          </rPr>
          <t xml:space="preserve">
S/B 464</t>
        </r>
      </text>
    </comment>
  </commentList>
</comments>
</file>

<file path=xl/sharedStrings.xml><?xml version="1.0" encoding="utf-8"?>
<sst xmlns="http://schemas.openxmlformats.org/spreadsheetml/2006/main" count="19052" uniqueCount="1559">
  <si>
    <t>Revenue Period</t>
  </si>
  <si>
    <t xml:space="preserve"> # Billed  Contracts</t>
  </si>
  <si>
    <t xml:space="preserve"> Total  KWH</t>
  </si>
  <si>
    <t>Energy Amount</t>
  </si>
  <si>
    <t>Power Factor Adj</t>
  </si>
  <si>
    <t>Company Code Group</t>
  </si>
  <si>
    <t>Rate Category</t>
  </si>
  <si>
    <t>KWH</t>
  </si>
  <si>
    <t>$</t>
  </si>
  <si>
    <t>Result</t>
  </si>
  <si>
    <t>Date Block</t>
  </si>
  <si>
    <t>Tariff</t>
  </si>
  <si>
    <t>Lookup Code</t>
  </si>
  <si>
    <t>Energy Rate-ECR Only</t>
  </si>
  <si>
    <t>Energy Rate-FAC Only</t>
  </si>
  <si>
    <t>RS</t>
  </si>
  <si>
    <t>RSNM</t>
  </si>
  <si>
    <t>RSVFD</t>
  </si>
  <si>
    <t>GS3</t>
  </si>
  <si>
    <t>RTS</t>
  </si>
  <si>
    <t>LE</t>
  </si>
  <si>
    <t>TE</t>
  </si>
  <si>
    <t>Base</t>
  </si>
  <si>
    <t>Intermediate</t>
  </si>
  <si>
    <t>Peak</t>
  </si>
  <si>
    <t>PSS</t>
  </si>
  <si>
    <t>PSP</t>
  </si>
  <si>
    <t>FLSP</t>
  </si>
  <si>
    <t>FLST</t>
  </si>
  <si>
    <t>Customer Charge/Per Light Unit Charge</t>
  </si>
  <si>
    <t>End</t>
  </si>
  <si>
    <t>Date Ranges for Rate Changes and Block Definitions</t>
  </si>
  <si>
    <t>Beginning</t>
  </si>
  <si>
    <t>Ending</t>
  </si>
  <si>
    <t>PK</t>
  </si>
  <si>
    <t xml:space="preserve"> RateClass </t>
  </si>
  <si>
    <t xml:space="preserve"> Energy </t>
  </si>
  <si>
    <t xml:space="preserve"> CustChrg </t>
  </si>
  <si>
    <t xml:space="preserve"> CustRevenue </t>
  </si>
  <si>
    <t xml:space="preserve"> Basic Demand Rev </t>
  </si>
  <si>
    <t xml:space="preserve"> Intermediate Demand Revenue </t>
  </si>
  <si>
    <t xml:space="preserve"> Peak Demand Revenue </t>
  </si>
  <si>
    <t xml:space="preserve"> Total Calculated Demand Revenue </t>
  </si>
  <si>
    <t xml:space="preserve"> Calculated Base Revenue (including power factor adjustment) </t>
  </si>
  <si>
    <t xml:space="preserve"> Actual Base Revenue </t>
  </si>
  <si>
    <t xml:space="preserve"> Correction Factor </t>
  </si>
  <si>
    <t xml:space="preserve"> FACRev </t>
  </si>
  <si>
    <t xml:space="preserve"> DSMRev </t>
  </si>
  <si>
    <t xml:space="preserve"> ECRRev </t>
  </si>
  <si>
    <t xml:space="preserve"> MSCRev </t>
  </si>
  <si>
    <t xml:space="preserve"> Curtailable Serv Rider </t>
  </si>
  <si>
    <t>RateCategory</t>
  </si>
  <si>
    <t xml:space="preserve"> ContractCnt </t>
  </si>
  <si>
    <t>Color Code on 12MonResults tab:</t>
  </si>
  <si>
    <t>No data existing until new rates go into effect</t>
  </si>
  <si>
    <t>Values linked from Rates tab</t>
  </si>
  <si>
    <t>Calculations performed on 12MonResults tab</t>
  </si>
  <si>
    <t>Formula must be adjusted specifically for designated cells</t>
  </si>
  <si>
    <t>Retail Transmission Service</t>
  </si>
  <si>
    <t>Traffic Energy Service</t>
  </si>
  <si>
    <t>Total</t>
  </si>
  <si>
    <t>DSM</t>
  </si>
  <si>
    <t>FAC</t>
  </si>
  <si>
    <t>ECR</t>
  </si>
  <si>
    <t>General Service Three Phase</t>
  </si>
  <si>
    <t># Lights at start of Period</t>
  </si>
  <si>
    <t>KWH Lights</t>
  </si>
  <si>
    <t>Values linked from "1051" tab (lighting poles and bases charges)</t>
  </si>
  <si>
    <t>Values linked from "1040" tab (billing factor details)</t>
  </si>
  <si>
    <t>Values linked from "1022" tab (statistics and revenue by rate category)</t>
  </si>
  <si>
    <t>Difference</t>
  </si>
  <si>
    <t># Prorated Lights</t>
  </si>
  <si>
    <t>MSC</t>
  </si>
  <si>
    <t>Taxes &amp; Fees</t>
  </si>
  <si>
    <t>Total Utility Amount</t>
  </si>
  <si>
    <t>Group Company Code</t>
  </si>
  <si>
    <t>Values linked from "1055" tab (lighting details)</t>
  </si>
  <si>
    <t>Revenue Month</t>
  </si>
  <si>
    <t>CSR</t>
  </si>
  <si>
    <t>ODL</t>
  </si>
  <si>
    <t>Test Year Date Range:</t>
  </si>
  <si>
    <t>Begin</t>
  </si>
  <si>
    <t>Year End Customers</t>
  </si>
  <si>
    <t>Exhibit to Testimony</t>
  </si>
  <si>
    <t>Exh. Number for Footers</t>
  </si>
  <si>
    <t>Power Service</t>
  </si>
  <si>
    <t>Secondary</t>
  </si>
  <si>
    <t>Primary</t>
  </si>
  <si>
    <t>Industrial Time of Day</t>
  </si>
  <si>
    <t>Retail Transmisison Service</t>
  </si>
  <si>
    <t>Traffic Energy</t>
  </si>
  <si>
    <t>Lighting Service</t>
  </si>
  <si>
    <t>Lighting Energy</t>
  </si>
  <si>
    <t>Year-End Over / (Under) 13-Month Average</t>
  </si>
  <si>
    <t>Actual kWh</t>
  </si>
  <si>
    <t>Average kWh per Customer per Year</t>
  </si>
  <si>
    <t>Year-End kWh Adjustment</t>
  </si>
  <si>
    <t>Average Revenue per kWh</t>
  </si>
  <si>
    <t>Revenue Adjustment</t>
  </si>
  <si>
    <t>Ranges for Date Lookups</t>
  </si>
  <si>
    <t>Customers</t>
  </si>
  <si>
    <t>Checks</t>
  </si>
  <si>
    <t>Per 13th Month Tab</t>
  </si>
  <si>
    <t>Per 12MonResults Tab</t>
  </si>
  <si>
    <t>Per Year End Customers Tab</t>
  </si>
  <si>
    <t>Sponsoring Witness</t>
  </si>
  <si>
    <t>Seelye</t>
  </si>
  <si>
    <t>Reconstruction of Test Year Revenues-Summary</t>
  </si>
  <si>
    <t>Rate Class Lookup Key - Do Not Print this column!!</t>
  </si>
  <si>
    <t>Residential Rate</t>
  </si>
  <si>
    <t>Total Residential Service</t>
  </si>
  <si>
    <t>Residential Service</t>
  </si>
  <si>
    <t>General Service</t>
  </si>
  <si>
    <t>Power Service Rate</t>
  </si>
  <si>
    <t>Fluctuating Load Service</t>
  </si>
  <si>
    <t>Revenue As Billed</t>
  </si>
  <si>
    <t>FAC Billings</t>
  </si>
  <si>
    <t>DSM Billings</t>
  </si>
  <si>
    <t>ECR Billings</t>
  </si>
  <si>
    <t>CSR Billings</t>
  </si>
  <si>
    <t>Actual Net Revenue at Base Rates</t>
  </si>
  <si>
    <t>Calculated Net Revenue at Base Rates</t>
  </si>
  <si>
    <t>Calculated Divided by Actual</t>
  </si>
  <si>
    <t>Bill Frequency Poles and Bases Report by Month -- provides a count of billed poles and bases by rate category</t>
  </si>
  <si>
    <t>Bill Frequency Lighting Report including billing factor revenues -- provides count, energy, and revenue by installed light using rate category</t>
  </si>
  <si>
    <t>Bill Frequency Billing Factor Revenues by Month -- provides monthly FAC, DSM, ECR, and CSR revenues by rate category</t>
  </si>
  <si>
    <t>Bill Frequency Summary by Month -- provides following billed data:  customer count, energy, demand by period, customer revenues, energy revenues, demand revenues and total revenues</t>
  </si>
  <si>
    <t>Rates</t>
  </si>
  <si>
    <t>provides, by rate category and rate component, as billed tariff rates in total and in ECR &amp; FAC components, for each rate change applicable in the test year</t>
  </si>
  <si>
    <t>Reconciliation</t>
  </si>
  <si>
    <t>ties bill frequency and 12MonResults totals to Sales by Rates, Revenue Volume Analysis, and General Ledger by month</t>
  </si>
  <si>
    <t>MiscData</t>
  </si>
  <si>
    <t>Contains relevant keys to the Indirect Functions in the 12MonResults tab.</t>
  </si>
  <si>
    <t>Counts the number of rows for each month for each source tab described above, and determines the beginning and ending row for each month's data.</t>
  </si>
  <si>
    <t>This information is used to establish the ranges used in the SUMIF function to bring the monthly statistics and revenue amounts into the 12MonResults tab to reconstruct the billings</t>
  </si>
  <si>
    <t>Also contains the specification of the test year period so date ranges do not have to be updated in multiple locations</t>
  </si>
  <si>
    <t>Contains a list of exhibits produced by the Billing determinants spreadsheet along with sponsoring witness to facilitate updating and printing final exhibits.</t>
  </si>
  <si>
    <t xml:space="preserve">Contains the date of each rate change and the start and end dates for rates in effect in the test year.  This table establishes the lookup keys that allow the correct rate to be retreived from </t>
  </si>
  <si>
    <t>the Rates tab and inserted into the 12MonResults tab automatically.</t>
  </si>
  <si>
    <t>Contains a 'color' key to identify the source tabs for the data in the 12MonResults tab</t>
  </si>
  <si>
    <t>Reconstruction of Test Year Revenues-Detail</t>
  </si>
  <si>
    <t>Effects of Base Rate Changes</t>
  </si>
  <si>
    <t>Conroy</t>
  </si>
  <si>
    <t>FAC Roll-in</t>
  </si>
  <si>
    <t xml:space="preserve">Unit </t>
  </si>
  <si>
    <t>Calculated</t>
  </si>
  <si>
    <t>Demand</t>
  </si>
  <si>
    <t>kWh's</t>
  </si>
  <si>
    <t>Charges</t>
  </si>
  <si>
    <t>Revenue</t>
  </si>
  <si>
    <t>Minimum and Partial Month Billings</t>
  </si>
  <si>
    <t>TOTAL</t>
  </si>
  <si>
    <t xml:space="preserve"> </t>
  </si>
  <si>
    <t>TOTAL RESIDENTIAL</t>
  </si>
  <si>
    <t>Correction Factor -</t>
  </si>
  <si>
    <t xml:space="preserve">           TOTAL AFTER APPLICATION OF CORRECTION FACTOR</t>
  </si>
  <si>
    <t>PRO FORMA REVENUE ADJUSTMENTS:</t>
  </si>
  <si>
    <t>Fuel Adjustment Clause Billings</t>
  </si>
  <si>
    <t>Demand Side Management Billings</t>
  </si>
  <si>
    <t>Environmental Cost Recovery Surcharge Billings</t>
  </si>
  <si>
    <t>Temperature Normalization Revenue Adjustment</t>
  </si>
  <si>
    <t>Year End Customer Revenue Adjustment</t>
  </si>
  <si>
    <t>Total Pro Forma Revenue Adjustments</t>
  </si>
  <si>
    <t xml:space="preserve">Total Test Year Adjusted Revenues </t>
  </si>
  <si>
    <t xml:space="preserve">kWh billed at </t>
  </si>
  <si>
    <t>Start of TY to 1st rate change:</t>
  </si>
  <si>
    <t>1st change to 2nd change:</t>
  </si>
  <si>
    <t>2nd change to end of TY:</t>
  </si>
  <si>
    <t>KUCIE550</t>
  </si>
  <si>
    <t>KUCIE561</t>
  </si>
  <si>
    <t>KUCIE562</t>
  </si>
  <si>
    <t>KUCIE563</t>
  </si>
  <si>
    <t>KUCIE566</t>
  </si>
  <si>
    <t>KUCIE568</t>
  </si>
  <si>
    <t>KUCIE571</t>
  </si>
  <si>
    <t>KUCIE572</t>
  </si>
  <si>
    <t>KUCIE717</t>
  </si>
  <si>
    <t>KUCME110</t>
  </si>
  <si>
    <t>KUCME112</t>
  </si>
  <si>
    <t>KUCME113</t>
  </si>
  <si>
    <t>KUCME220</t>
  </si>
  <si>
    <t>KUCME221</t>
  </si>
  <si>
    <t>KUCME223</t>
  </si>
  <si>
    <t>KUCME224</t>
  </si>
  <si>
    <t>KUCME295</t>
  </si>
  <si>
    <t>KUCME710</t>
  </si>
  <si>
    <t>KUCME713</t>
  </si>
  <si>
    <t>KUCSR760</t>
  </si>
  <si>
    <t>KUCSR761</t>
  </si>
  <si>
    <t>KUINE730</t>
  </si>
  <si>
    <t>KURSE010</t>
  </si>
  <si>
    <t>KURSE020</t>
  </si>
  <si>
    <t>KURSE025</t>
  </si>
  <si>
    <t>KURSE080</t>
  </si>
  <si>
    <t>KURSE715</t>
  </si>
  <si>
    <t>0110</t>
  </si>
  <si>
    <t>Power Service Primary</t>
  </si>
  <si>
    <t>Power Service Secondary</t>
  </si>
  <si>
    <t>Time-of-Day Primary Service</t>
  </si>
  <si>
    <t>Power Service Primary - PF Adjusted</t>
  </si>
  <si>
    <t>Power Service - Secondary  Pf Adj</t>
  </si>
  <si>
    <t>Time-of-Day Service - Primary</t>
  </si>
  <si>
    <t>Time-of-Day Secondary Service</t>
  </si>
  <si>
    <t>Power Service Secondary - Net Metering</t>
  </si>
  <si>
    <t>All Electric School Single Ph Secondary</t>
  </si>
  <si>
    <t>All Electric School Single Phase Primary</t>
  </si>
  <si>
    <t>All Electric School 3-Phase Secondary</t>
  </si>
  <si>
    <t>All Electric School 3-Phase Primary</t>
  </si>
  <si>
    <t>Fluctuating Load Service - Transmission</t>
  </si>
  <si>
    <t>KUMNE902</t>
  </si>
  <si>
    <t>Wholesale Power Sales - Primary</t>
  </si>
  <si>
    <t>KUMNE903</t>
  </si>
  <si>
    <t>Wholesale Power Sales - Transmission</t>
  </si>
  <si>
    <t>KUMNE934</t>
  </si>
  <si>
    <t>Wholesale Power Sales, Paris Transmis</t>
  </si>
  <si>
    <t>Residential Service - All Electric</t>
  </si>
  <si>
    <t>Residential Service - Three Phase</t>
  </si>
  <si>
    <t>Volunteer Fire Department</t>
  </si>
  <si>
    <t>Residential Service - Net Metering</t>
  </si>
  <si>
    <t>AES</t>
  </si>
  <si>
    <t>TODS</t>
  </si>
  <si>
    <t>TODP</t>
  </si>
  <si>
    <t>RSLEV</t>
  </si>
  <si>
    <t>RS3</t>
  </si>
  <si>
    <t>GS</t>
  </si>
  <si>
    <t>GSNM</t>
  </si>
  <si>
    <t>GS3NM</t>
  </si>
  <si>
    <t>AESP</t>
  </si>
  <si>
    <t>AES3</t>
  </si>
  <si>
    <t>AES3P</t>
  </si>
  <si>
    <t>PSSNM</t>
  </si>
  <si>
    <t>KUINE731</t>
  </si>
  <si>
    <t>KUCME291</t>
  </si>
  <si>
    <t>KUCME290</t>
  </si>
  <si>
    <t>KUCME292</t>
  </si>
  <si>
    <t>1,000 Lumen Incand Std</t>
  </si>
  <si>
    <t>10,000 Lumen MV Ormtl</t>
  </si>
  <si>
    <t>10,000 Lumen MV Std</t>
  </si>
  <si>
    <t>107,800L Fix With M Pole Cont-MH</t>
  </si>
  <si>
    <t>107,800L Fix With M Pole Dir-MH</t>
  </si>
  <si>
    <t>107,800L Fix With W Pole Dir-MH</t>
  </si>
  <si>
    <t>107,800L Fixture Only Cont-MH RC-493</t>
  </si>
  <si>
    <t>107,800L Fixture Only Dir-MH</t>
  </si>
  <si>
    <t>12,000L Fix With M Pole Cont-MH</t>
  </si>
  <si>
    <t>12,000L Fix With M Pole Dir-MH</t>
  </si>
  <si>
    <t>12,000L Fix with W Pole Dir-MH RC-454</t>
  </si>
  <si>
    <t>12,000L Fixture Only Cont-MH RC-490</t>
  </si>
  <si>
    <t>12,000L Fixture Only Dir-MH RC-450</t>
  </si>
  <si>
    <t>16,000L Granville( Config A) UG RC-360</t>
  </si>
  <si>
    <t>16,000L Granville( Config A) UG RC-395</t>
  </si>
  <si>
    <t>16,000L Granville( Config A1) UG RC-370</t>
  </si>
  <si>
    <t>16,000L Granville( Config A2) UG RC-373</t>
  </si>
  <si>
    <t>16,000L Granville( Config A3) UG RC-377</t>
  </si>
  <si>
    <t>16,000L Granville( Config B) UG RC-361</t>
  </si>
  <si>
    <t>16,000L Granville( Config B2) UG RC-376</t>
  </si>
  <si>
    <t>16,000L Granville( Config B3) UG</t>
  </si>
  <si>
    <t>16,000L Granville( Config C) UG RC-362</t>
  </si>
  <si>
    <t>16,000L Granville( Config D) UG RC-363</t>
  </si>
  <si>
    <t>16,000L Granville( Config E) UG RC-364</t>
  </si>
  <si>
    <t>16,000L Granville( Config E1) UG RC-372</t>
  </si>
  <si>
    <t>16,000L Granville( Config F) UG RC-365</t>
  </si>
  <si>
    <t>16,000L Granville( Config G) UG RC-366</t>
  </si>
  <si>
    <t>16,000L Granville( Config G1) UG RC-375</t>
  </si>
  <si>
    <t>16,000L Granville( Config H) UG RC-367</t>
  </si>
  <si>
    <t>16,000L Granville( Config I) UG RC-368</t>
  </si>
  <si>
    <t>2,500 Lumen Incand Std</t>
  </si>
  <si>
    <t>20,000 Lumen MV Ormtl</t>
  </si>
  <si>
    <t>20,000L Cobra Head M V Std RC-405</t>
  </si>
  <si>
    <t>20,000L MV Special Lighting RC-408</t>
  </si>
  <si>
    <t>22,000 Lumen HPS Ormtl RC-474</t>
  </si>
  <si>
    <t>22,000 Lumen HPS Std</t>
  </si>
  <si>
    <t>22,000L Cobra Head HPS Std</t>
  </si>
  <si>
    <t>22,000L Contemp Decor UG RC-485</t>
  </si>
  <si>
    <t>22,000L Contemporary HPS UG RC-478</t>
  </si>
  <si>
    <t>22,000L Directional HPS RC-488</t>
  </si>
  <si>
    <t>32,000L Fix with M Pole Cont-MH RC-495</t>
  </si>
  <si>
    <t>32,000L Fix With M Pole Dir-MH</t>
  </si>
  <si>
    <t>32,000L Fix with W Pole Dir-MH</t>
  </si>
  <si>
    <t>32,000L Fixture Only Cont-MH  RC-491</t>
  </si>
  <si>
    <t>32,000L Fixture Only Dir-MH RC-451</t>
  </si>
  <si>
    <t>4,000 Lumen HPS Ormtl RC-471</t>
  </si>
  <si>
    <t>4,000 Lumen HPS Std RC-461</t>
  </si>
  <si>
    <t>4,000 Lumen Incand Ormtl</t>
  </si>
  <si>
    <t>4,000 Lumen Incand Std RC-424</t>
  </si>
  <si>
    <t>4,000L Acorn (Decorative Pole) UG RC-440</t>
  </si>
  <si>
    <t>4,000L Acorn (Hist Pole) HPS UG RC-410</t>
  </si>
  <si>
    <t>4,000L Acorn (Historic Pole) UG RC-444</t>
  </si>
  <si>
    <t>4,000L Colonial Decor UG RC-480</t>
  </si>
  <si>
    <t>4,000L Colonial HPS UG RC-466</t>
  </si>
  <si>
    <t>5,800 Lumen HPS Ormtl</t>
  </si>
  <si>
    <t>5,800 Lumen HPS Std RC-462</t>
  </si>
  <si>
    <t>5,800L Acorn (D Pole) HPS UG</t>
  </si>
  <si>
    <t>5,800L Acorn (Decorative Pole) UG RC-441</t>
  </si>
  <si>
    <t>5,800L Acorn (Hist Pole) HPS UG</t>
  </si>
  <si>
    <t>5,800L Acorn (Historic Pole) UG RC-445</t>
  </si>
  <si>
    <t>5,800L Coach Decor UG RC-412</t>
  </si>
  <si>
    <t>5,800L Coach HPS UG</t>
  </si>
  <si>
    <t>5,800L Colonial Decor UG RC-481</t>
  </si>
  <si>
    <t>5,800L Colonial HPS UG RC-467</t>
  </si>
  <si>
    <t>5,800L Contemporary HPS UG RC-476</t>
  </si>
  <si>
    <t>5,800L Open Bottom HPS Std RC-426</t>
  </si>
  <si>
    <t>50,000 Lumen HPS Ormtl  RC-475</t>
  </si>
  <si>
    <t>50,000 Lumen HPS Std</t>
  </si>
  <si>
    <t>50,000L Cobra Head HPS Std RC-407</t>
  </si>
  <si>
    <t>50,000L Contemp Decor UG RC-486</t>
  </si>
  <si>
    <t>50,000L Contemporary HPS UG RC-479</t>
  </si>
  <si>
    <t>50,000L Directional HPS RC-489</t>
  </si>
  <si>
    <t>50,000L HPS Special Lighting RC-409</t>
  </si>
  <si>
    <t>6,000 Lumen Incand Std</t>
  </si>
  <si>
    <t>7,000 Lumen MV Ormtl</t>
  </si>
  <si>
    <t>7,000 Lumen MV Std RC-446</t>
  </si>
  <si>
    <t>7,000L Open Bottom M V Std RC-404</t>
  </si>
  <si>
    <t>9,500 Lumen HPS Ormtl RC-473</t>
  </si>
  <si>
    <t>9,500 Lumen HPS Std</t>
  </si>
  <si>
    <t>9,500L Acorn (D Pole) HPS UG RC-420</t>
  </si>
  <si>
    <t>9,500L Acorn (Decorative Pole) UG RC-442</t>
  </si>
  <si>
    <t>9,500L Acorn (Hist Pole) HPS UG</t>
  </si>
  <si>
    <t>9,500L Acorn (Historic Pole) UG RC-449</t>
  </si>
  <si>
    <t>9,500L Coach Decor UG RC-413</t>
  </si>
  <si>
    <t>9,500L Coach HPS UG RC-415</t>
  </si>
  <si>
    <t>9,500L Colonial Decor UG RC-482</t>
  </si>
  <si>
    <t>9,500L Colonial HPS UG RC-468</t>
  </si>
  <si>
    <t>9,500L Contemp Decor UG RC-484</t>
  </si>
  <si>
    <t>9,500L Contemporary HPS UG RC-477</t>
  </si>
  <si>
    <t>9,500L Directional HPS RC-487</t>
  </si>
  <si>
    <t>9,500L Open Bottom HPS Std RC-428</t>
  </si>
  <si>
    <t>KUUM_421</t>
  </si>
  <si>
    <t>KUUM_457</t>
  </si>
  <si>
    <t>KUUM_447</t>
  </si>
  <si>
    <t>KUUM_496</t>
  </si>
  <si>
    <t>KUUM_470</t>
  </si>
  <si>
    <t>KUUM_459</t>
  </si>
  <si>
    <t>KUUM_493</t>
  </si>
  <si>
    <t>KUUM_452</t>
  </si>
  <si>
    <t>KUUM_494</t>
  </si>
  <si>
    <t>KUUM_460</t>
  </si>
  <si>
    <t>KUUM_454</t>
  </si>
  <si>
    <t>KUUM_490</t>
  </si>
  <si>
    <t>KUUM_450</t>
  </si>
  <si>
    <t>KUUM_360</t>
  </si>
  <si>
    <t>KUUM_395</t>
  </si>
  <si>
    <t>KUUM_370</t>
  </si>
  <si>
    <t>KUUM_373</t>
  </si>
  <si>
    <t>KUUM_377</t>
  </si>
  <si>
    <t>KUUM_361</t>
  </si>
  <si>
    <t>KUUM_376</t>
  </si>
  <si>
    <t>KUUM_374</t>
  </si>
  <si>
    <t>KUUM_362</t>
  </si>
  <si>
    <t>KUUM_363</t>
  </si>
  <si>
    <t>KUUM_364</t>
  </si>
  <si>
    <t>KUUM_372</t>
  </si>
  <si>
    <t>KUUM_365</t>
  </si>
  <si>
    <t>KUUM_366</t>
  </si>
  <si>
    <t>KUUM_375</t>
  </si>
  <si>
    <t>KUUM_367</t>
  </si>
  <si>
    <t>KUUM_368</t>
  </si>
  <si>
    <t>KUUM_422</t>
  </si>
  <si>
    <t>KUUM_458</t>
  </si>
  <si>
    <t>KUUM_405</t>
  </si>
  <si>
    <t>KUUM_408</t>
  </si>
  <si>
    <t>KUUM_474</t>
  </si>
  <si>
    <t>KUUM_464</t>
  </si>
  <si>
    <t>KUUM_429</t>
  </si>
  <si>
    <t>KUUM_485</t>
  </si>
  <si>
    <t>KUUM_478</t>
  </si>
  <si>
    <t>KUUM_488</t>
  </si>
  <si>
    <t>KUUM_495</t>
  </si>
  <si>
    <t>KUUM_469</t>
  </si>
  <si>
    <t>KUUM_455</t>
  </si>
  <si>
    <t>KUUM_491</t>
  </si>
  <si>
    <t>KUUM_451</t>
  </si>
  <si>
    <t>KUUM_471</t>
  </si>
  <si>
    <t>KUUM_461</t>
  </si>
  <si>
    <t>KUUM_434</t>
  </si>
  <si>
    <t>KUUM_424</t>
  </si>
  <si>
    <t>KUUM_440</t>
  </si>
  <si>
    <t>KUUM_410</t>
  </si>
  <si>
    <t>KUUM_444</t>
  </si>
  <si>
    <t>KUUM_480</t>
  </si>
  <si>
    <t>KUUM_466</t>
  </si>
  <si>
    <t>KUUM_472</t>
  </si>
  <si>
    <t>KUUM_462</t>
  </si>
  <si>
    <t>KUUM_401</t>
  </si>
  <si>
    <t>KUUM_441</t>
  </si>
  <si>
    <t>KUUM_411</t>
  </si>
  <si>
    <t>KUUM_445</t>
  </si>
  <si>
    <t>KUUM_412</t>
  </si>
  <si>
    <t>KUUM_414</t>
  </si>
  <si>
    <t>KUUM_481</t>
  </si>
  <si>
    <t>KUUM_467</t>
  </si>
  <si>
    <t>KUUM_476</t>
  </si>
  <si>
    <t>KUUM_426</t>
  </si>
  <si>
    <t>KUUM_475</t>
  </si>
  <si>
    <t>KUUM_465</t>
  </si>
  <si>
    <t>KUUM_407</t>
  </si>
  <si>
    <t>KUUM_486</t>
  </si>
  <si>
    <t>KUUM_479</t>
  </si>
  <si>
    <t>KUUM_489</t>
  </si>
  <si>
    <t>KUUM_409</t>
  </si>
  <si>
    <t>KUUM_425</t>
  </si>
  <si>
    <t>KUUM_456</t>
  </si>
  <si>
    <t>KUUM_446</t>
  </si>
  <si>
    <t>KUUM_404</t>
  </si>
  <si>
    <t>KUUM_473</t>
  </si>
  <si>
    <t>KUUM_463</t>
  </si>
  <si>
    <t>KUUM_420</t>
  </si>
  <si>
    <t>KUUM_442</t>
  </si>
  <si>
    <t>KUUM_430</t>
  </si>
  <si>
    <t>KUUM_449</t>
  </si>
  <si>
    <t>KUUM_413</t>
  </si>
  <si>
    <t>KUUM_415</t>
  </si>
  <si>
    <t>KUUM_482</t>
  </si>
  <si>
    <t>KUUM_468</t>
  </si>
  <si>
    <t>KUUM_484</t>
  </si>
  <si>
    <t>KUUM_477</t>
  </si>
  <si>
    <t>KUUM_487</t>
  </si>
  <si>
    <t>KUUM_428</t>
  </si>
  <si>
    <t>5,800L UG HPS Contemporary</t>
  </si>
  <si>
    <t>KUUM_431</t>
  </si>
  <si>
    <t>1,000 Lumen Incand Ormtl</t>
  </si>
  <si>
    <t>KUUM_432</t>
  </si>
  <si>
    <t>2,500 Lumen Incand Ormtl</t>
  </si>
  <si>
    <t>KUUM_433</t>
  </si>
  <si>
    <t>16,000L Granville( Config A) UG RC-433</t>
  </si>
  <si>
    <t>KUUM_435</t>
  </si>
  <si>
    <t>6,000 Lumen Incand Ormtl</t>
  </si>
  <si>
    <t>KUUM_400</t>
  </si>
  <si>
    <t>4,000L Acorn (Decorative Pole) UG RC-400</t>
  </si>
  <si>
    <t>KUUM_484.1</t>
  </si>
  <si>
    <t>9,500L Contemp Decor UG Fixture Only</t>
  </si>
  <si>
    <t>50,000L Contemp Decor UG  Fixture Only</t>
  </si>
  <si>
    <t>22,000L Contemp Decor UG Fixture Only</t>
  </si>
  <si>
    <t>KUUM_300</t>
  </si>
  <si>
    <t>KUUM_301</t>
  </si>
  <si>
    <t>4,000L HPS DSK Lantern</t>
  </si>
  <si>
    <t>9,500L HPS DSK Lantern</t>
  </si>
  <si>
    <t>KU</t>
  </si>
  <si>
    <t>KUUM_448</t>
  </si>
  <si>
    <t>20,000 Lumen MV Std RC-448</t>
  </si>
  <si>
    <t>KUUM_483</t>
  </si>
  <si>
    <t>KTRSE020</t>
  </si>
  <si>
    <t>KTRSE030</t>
  </si>
  <si>
    <t>Direct Assign</t>
  </si>
  <si>
    <t>KUUM_827</t>
  </si>
  <si>
    <t>ODL Facility Charge</t>
  </si>
  <si>
    <t>KUUM_820</t>
  </si>
  <si>
    <t>9,500 Lumen Open Bottom HP Sodium</t>
  </si>
  <si>
    <t>KTUM_428</t>
  </si>
  <si>
    <t>7,000 Lumen Open Bottom Mercury Vapor</t>
  </si>
  <si>
    <t>KTUM_406</t>
  </si>
  <si>
    <t>ODRSE020</t>
  </si>
  <si>
    <t>Customer Charge</t>
  </si>
  <si>
    <t>Demand Charge</t>
  </si>
  <si>
    <t>MSR</t>
  </si>
  <si>
    <t>Curtailable Serv. Rider</t>
  </si>
  <si>
    <t>Rate Category Description</t>
  </si>
  <si>
    <t>Tariffs</t>
  </si>
  <si>
    <t>CSR10 Option A - Transmission</t>
  </si>
  <si>
    <t>CSR10 Option A - Primary</t>
  </si>
  <si>
    <t>WPS</t>
  </si>
  <si>
    <t>TN All Electric Residential Service</t>
  </si>
  <si>
    <t>TN Residential Electric Service</t>
  </si>
  <si>
    <t>All Electric School</t>
  </si>
  <si>
    <t>KUUM_498</t>
  </si>
  <si>
    <t xml:space="preserve"> Energy / Lighting Revenue </t>
  </si>
  <si>
    <t>Totals</t>
  </si>
  <si>
    <t>FAC Revenue</t>
  </si>
  <si>
    <t>Adjustment to Contract Accts to reflect CCS multiple bills</t>
  </si>
  <si>
    <t>Adjustment to Customer Revenues to Reflect Partial Month, Proration, and Bill Corrections</t>
  </si>
  <si>
    <t>Adjustment to Energy/Lighting Revenues to Reflect Partial Month, Proration, and Bill Corrections</t>
  </si>
  <si>
    <t>Minimum Demand Revenues</t>
  </si>
  <si>
    <t>16,000L Granville( Config J) UG RC-378</t>
  </si>
  <si>
    <t>KUUM_378</t>
  </si>
  <si>
    <t>Electric Excess Facilities</t>
  </si>
  <si>
    <t>KUUM_825</t>
  </si>
  <si>
    <t>Electric Excess Facilities CIAC</t>
  </si>
  <si>
    <t>KUUM_826</t>
  </si>
  <si>
    <t>KURSE040</t>
  </si>
  <si>
    <t>Total Energy Charge/ Period 1 Charge (LEV)</t>
  </si>
  <si>
    <t>Period 2 Charge (LEV)</t>
  </si>
  <si>
    <t>Period 3 Charge (LEV)</t>
  </si>
  <si>
    <t>Energy Rate-Bundled Balance &amp; Period 1</t>
  </si>
  <si>
    <t>Period 2 Bundled</t>
  </si>
  <si>
    <t>Period 3 Bundled</t>
  </si>
  <si>
    <t>Demand Rates</t>
  </si>
  <si>
    <t>ECR in Demand</t>
  </si>
  <si>
    <t>Net Demand</t>
  </si>
  <si>
    <t>KW/KVA Base Qty</t>
  </si>
  <si>
    <t>KW/KVA Int Qty</t>
  </si>
  <si>
    <t>KW/KVA Peak Qty</t>
  </si>
  <si>
    <t>Residential Service -- Electric Vehicle Only</t>
  </si>
  <si>
    <t>Rate AES</t>
  </si>
  <si>
    <t>All Electric School Three Phase</t>
  </si>
  <si>
    <t>Partial month, prorated and corrected billings</t>
  </si>
  <si>
    <t>General Service Single Phase</t>
  </si>
  <si>
    <t>kW billed at Summer rates</t>
  </si>
  <si>
    <t>kW billed at Winter rates</t>
  </si>
  <si>
    <t>Peak / Summer</t>
  </si>
  <si>
    <t>Partial Month and Prorated Billings</t>
  </si>
  <si>
    <t>TIME OF DAY SECONDARY SERVICE</t>
  </si>
  <si>
    <t>Demand Billings</t>
  </si>
  <si>
    <t>Base Demand Period</t>
  </si>
  <si>
    <t xml:space="preserve">kW billed </t>
  </si>
  <si>
    <t>Intermediate Demand Period</t>
  </si>
  <si>
    <t>Peak Demand Period</t>
  </si>
  <si>
    <t>Power Factor Demand Revenue</t>
  </si>
  <si>
    <t>TIME OF DAY PRIMARY SERVICE</t>
  </si>
  <si>
    <t>RETAIL TRANSMISSION SERVICE</t>
  </si>
  <si>
    <t>LIGHTING ENERGY RATE LE</t>
  </si>
  <si>
    <t>STREET LIGHTING SERVICE</t>
  </si>
  <si>
    <t xml:space="preserve">Lights at </t>
  </si>
  <si>
    <t xml:space="preserve">for 12 Months </t>
  </si>
  <si>
    <t>Reflecting</t>
  </si>
  <si>
    <t>FAC Rollin</t>
  </si>
  <si>
    <t>High Pressure Sodium</t>
  </si>
  <si>
    <t>4,000 Lumen Standard</t>
  </si>
  <si>
    <t>4,000 Lumen Ornamental</t>
  </si>
  <si>
    <t>5,800 Lumen Standard</t>
  </si>
  <si>
    <t>5,800 Lumen Ornamental</t>
  </si>
  <si>
    <t>9,500 Lumen Standard</t>
  </si>
  <si>
    <t>9,500 Lumen Ornamental</t>
  </si>
  <si>
    <t>22,000 Lumen Standard</t>
  </si>
  <si>
    <t>22,000 Lumen Ornamental</t>
  </si>
  <si>
    <t>50,000 Lumen Standard</t>
  </si>
  <si>
    <t>50,000 Lumen Ornamental</t>
  </si>
  <si>
    <t>7,000 Lumen Standard</t>
  </si>
  <si>
    <t>7,000 Lumen Ornamental</t>
  </si>
  <si>
    <t>10,000 Lumen Standard</t>
  </si>
  <si>
    <t>10,000 Lumen Ornamental</t>
  </si>
  <si>
    <t>20,000 Lumen Standard</t>
  </si>
  <si>
    <t>20,000 Lumen Ornamental</t>
  </si>
  <si>
    <t>Mercury Vapor</t>
  </si>
  <si>
    <t>Incandescent</t>
  </si>
  <si>
    <t>1,000 Lumen Standard</t>
  </si>
  <si>
    <t>1,000 Lumen Ornamental</t>
  </si>
  <si>
    <t>2,500 Lumen Standard</t>
  </si>
  <si>
    <t>2,500 Lumen Ornamental</t>
  </si>
  <si>
    <t>6,000 Lumen Standard</t>
  </si>
  <si>
    <t>6,000 Lumen Ornamental</t>
  </si>
  <si>
    <t>Overhead Service</t>
  </si>
  <si>
    <t>Underground Service</t>
  </si>
  <si>
    <t>4,000 Lumen Acorn (Decorative Pole)</t>
  </si>
  <si>
    <t>4,000 Lumen Acorn (Historic Pole)</t>
  </si>
  <si>
    <t>5,800 Lumen Acorn (Decorative Pole)</t>
  </si>
  <si>
    <t>5,800 Lumen Acorn (Historic Pole)</t>
  </si>
  <si>
    <t>9,500 Lumen Acorn (Decorative Pole)</t>
  </si>
  <si>
    <t>9,500 Lumen Acorn (Historic Pole)</t>
  </si>
  <si>
    <t>4,000 Lumen Colonial</t>
  </si>
  <si>
    <t>5,800 Lumen Colonial</t>
  </si>
  <si>
    <t>9,500 Lumen Colonial</t>
  </si>
  <si>
    <t>5,800 Lumen Coach</t>
  </si>
  <si>
    <t>9,500 Lumen Coach</t>
  </si>
  <si>
    <t>5,800 Lumen Contemporary</t>
  </si>
  <si>
    <t>9,500 Lumen Contemporary</t>
  </si>
  <si>
    <t>22,000 Lumen Contemporary</t>
  </si>
  <si>
    <t>50,000 Lumen Contemporary</t>
  </si>
  <si>
    <t>Granville Lights</t>
  </si>
  <si>
    <t>Total Street Lighting</t>
  </si>
  <si>
    <t>PRIVATE OUTDOOR LIGHTING</t>
  </si>
  <si>
    <t>Overhead Service (Fixture Only)</t>
  </si>
  <si>
    <t>22,000 Lumen Cobra Head</t>
  </si>
  <si>
    <t>9,500 Lumen Directional</t>
  </si>
  <si>
    <t>22,000 Lumen Directional</t>
  </si>
  <si>
    <t>50,000 Lumen Directional</t>
  </si>
  <si>
    <t>5,800 Lumen Open Bottom</t>
  </si>
  <si>
    <t>9,500 Lumen Open Bottom</t>
  </si>
  <si>
    <t>20,000 Lumen Cobra Head</t>
  </si>
  <si>
    <t>7,000 Lumen Open Bottom</t>
  </si>
  <si>
    <t>Additional Fixture</t>
  </si>
  <si>
    <t>Total Private Outdoor Lighting</t>
  </si>
  <si>
    <t>TOTAL OUTDOOR LIGHTING</t>
  </si>
  <si>
    <t>DARK SKY FRIENDLY LIGHTING SERVICE</t>
  </si>
  <si>
    <t>4,000 Lumen DSK Lantern</t>
  </si>
  <si>
    <t>9,500 Lumen DSK Lantern</t>
  </si>
  <si>
    <t>Total Outdoor Lighting Partial Month and Prorated Bills</t>
  </si>
  <si>
    <t>50,000 Lumen Cobra Head</t>
  </si>
  <si>
    <t>Metal Halide</t>
  </si>
  <si>
    <t>12,000 Lumen Directional Fixture Only</t>
  </si>
  <si>
    <t>12,000 Lumen Directional Fixture with Wood Pole</t>
  </si>
  <si>
    <t>12,000 Lumen Directional Fixture with Metal Pole</t>
  </si>
  <si>
    <t>32,000 Lumen Directional Fixture Only</t>
  </si>
  <si>
    <t>32,000 Lumen Directional Fixture with Wood Pole</t>
  </si>
  <si>
    <t>32,000 Lumen Directional Fixture with Metal Pole</t>
  </si>
  <si>
    <t>107,800 Lumen Directional Fixture Only</t>
  </si>
  <si>
    <t>107,800 Lumen Directional Fixture with Wood Pole</t>
  </si>
  <si>
    <t>107,800 Lumen Directional Fixture with Metal Pole</t>
  </si>
  <si>
    <t>12,000 Lumen Contemporary Fixture Only</t>
  </si>
  <si>
    <t>12,000 Lumen Contemporary Fixture With Direct Buried Metal Pole</t>
  </si>
  <si>
    <t>32,000 Lumen Contemporary Fixture Only</t>
  </si>
  <si>
    <t>32,000 Lumen Contemporary Fixture With Metal Pole</t>
  </si>
  <si>
    <t>107,800 Lumen Contemporary Fixture Only</t>
  </si>
  <si>
    <t>107,800 Lumen Contemporary Fixture With Metal Pole</t>
  </si>
  <si>
    <t>22,000 Lumen Contemporary with additional fixture</t>
  </si>
  <si>
    <t>Total Dark Sky Friendly Lighting</t>
  </si>
  <si>
    <t>Restricted Special Lighting</t>
  </si>
  <si>
    <t>20,000 Lumen Cobra Head (Mercury Vapor)</t>
  </si>
  <si>
    <t>50,000 Lumen Cobra Head (High Pressure Sodium)</t>
  </si>
  <si>
    <t>Pole &amp; Fixture SL</t>
  </si>
  <si>
    <t>Single Crossarm Bracket (incl. extra fixture)</t>
  </si>
  <si>
    <t>Twin Crossarm Bracket (incl.extra fixture)</t>
  </si>
  <si>
    <t>24" Banner Arm (each)</t>
  </si>
  <si>
    <t>24" Clamp Banner Arm</t>
  </si>
  <si>
    <t>18" Banner Arm (each)</t>
  </si>
  <si>
    <t>Flagpole Holder</t>
  </si>
  <si>
    <t>18" Clamp On Banner Arm</t>
  </si>
  <si>
    <t>Post-Mounted Receptacle</t>
  </si>
  <si>
    <t>Base-Mounted Receptacle</t>
  </si>
  <si>
    <t>Additional Receptacle</t>
  </si>
  <si>
    <t>Planter</t>
  </si>
  <si>
    <t>Clamp On Planter</t>
  </si>
  <si>
    <t>Pole &amp; Fixture</t>
  </si>
  <si>
    <t>Pole + 2 + 5 + 5 + 6</t>
  </si>
  <si>
    <t>Pole + 11</t>
  </si>
  <si>
    <t>Pole + 3 + 3</t>
  </si>
  <si>
    <t>Pole + 3 + 3 + 6</t>
  </si>
  <si>
    <t>Pole +3 + 3 + 8</t>
  </si>
  <si>
    <t>Pole + 8 + 11</t>
  </si>
  <si>
    <t>Pole + 5 + 5</t>
  </si>
  <si>
    <t>Pole + 6</t>
  </si>
  <si>
    <t>Pole + 8</t>
  </si>
  <si>
    <t>Pole + 2 + 5 + 5 + 6 + 8</t>
  </si>
  <si>
    <t>Pole + 3 + 3 + 6 + 8</t>
  </si>
  <si>
    <t>Pole + 6 + 8</t>
  </si>
  <si>
    <t>Pole + 2 + 6</t>
  </si>
  <si>
    <t>Pole + 4 + 4</t>
  </si>
  <si>
    <t>Pole &amp; Fixture Only</t>
  </si>
  <si>
    <t>New Rate Revenue</t>
  </si>
  <si>
    <t>Current Rates</t>
  </si>
  <si>
    <t>Fixture Count</t>
  </si>
  <si>
    <t>Revenue Totals</t>
  </si>
  <si>
    <t>Pole and Fixture</t>
  </si>
  <si>
    <t>KUUM_371</t>
  </si>
  <si>
    <t>Granville Accessories</t>
  </si>
  <si>
    <t>Single Crossarm Bracket</t>
  </si>
  <si>
    <t>Twin Crossarm Bracket (includes 1 fixture)</t>
  </si>
  <si>
    <t>24 Inch Banner Arm</t>
  </si>
  <si>
    <t>24 Inch Clamp Banner Arm</t>
  </si>
  <si>
    <t>18 Inch Banner Arm</t>
  </si>
  <si>
    <t>18 Inch Clamp On Banner Arm</t>
  </si>
  <si>
    <t>Additional Receptacles</t>
  </si>
  <si>
    <t>TRAFFIC LIGHTING SERVICE RATE TE</t>
  </si>
  <si>
    <t>Pole + 2</t>
  </si>
  <si>
    <t>Pole + 2 + 12</t>
  </si>
  <si>
    <t>Pole + 2 + 4 + 4</t>
  </si>
  <si>
    <t>Pole + 2 + 4 + 4 + 6</t>
  </si>
  <si>
    <t>KUUM_379</t>
  </si>
  <si>
    <t>KUUM_380</t>
  </si>
  <si>
    <t>KUUM_381</t>
  </si>
  <si>
    <t>KUUM_382</t>
  </si>
  <si>
    <t>Pole + 2 + 7 + 7</t>
  </si>
  <si>
    <t>OUTDOOR LIGHTING INCREASE IN BASE RATES REVENUE</t>
  </si>
  <si>
    <t>Lighting Energy Service</t>
  </si>
  <si>
    <t>KUCME297</t>
  </si>
  <si>
    <t>KUUM_499</t>
  </si>
  <si>
    <t>DO NOT DELETE OR MOVE THESE COLUMNS!!!</t>
  </si>
  <si>
    <t>Energy-P1</t>
  </si>
  <si>
    <t>Energy-P2</t>
  </si>
  <si>
    <t>Energy-P3</t>
  </si>
  <si>
    <t>Demand Adj to Reflect Base Minimum</t>
  </si>
  <si>
    <t>Demand Adj to Reflect Interm Minimum</t>
  </si>
  <si>
    <t>Demand Adj to Reflect Peak Minimum</t>
  </si>
  <si>
    <t xml:space="preserve"> Energy Rate / Period 1 Energy Rate</t>
  </si>
  <si>
    <t>Period 2 Energy Rate</t>
  </si>
  <si>
    <t>Period 3 Energy Rate</t>
  </si>
  <si>
    <t>Adjustment to Demand Revenues to Reflect Partial Month, Prorations and Bill Corrections</t>
  </si>
  <si>
    <t xml:space="preserve"> Total Billed Revenue, Sales By Rates or CCS</t>
  </si>
  <si>
    <t xml:space="preserve"> Total Billed Revenue, Calculated </t>
  </si>
  <si>
    <t xml:space="preserve"> Difference </t>
  </si>
  <si>
    <t>RevMon</t>
  </si>
  <si>
    <t>TariffRateCategory</t>
  </si>
  <si>
    <t>TariffRateClass</t>
  </si>
  <si>
    <t>Rate Period</t>
  </si>
  <si>
    <t>Per Light Charge</t>
  </si>
  <si>
    <t>LightingRevenue</t>
  </si>
  <si>
    <t xml:space="preserve"> Total Billed Revenue, Sales By Rates</t>
  </si>
  <si>
    <t>FLS</t>
  </si>
  <si>
    <t>Traffic Energy Service - WiFi Receiver</t>
  </si>
  <si>
    <t xml:space="preserve"> KWH   P1</t>
  </si>
  <si>
    <t xml:space="preserve"> KWH   P2</t>
  </si>
  <si>
    <t xml:space="preserve"> KWH   P3</t>
  </si>
  <si>
    <t>22,000L UG HPS Contemporary (Add Fixture)</t>
  </si>
  <si>
    <t>5,800L UG HPS Contemporary Fixture Only</t>
  </si>
  <si>
    <t>Peak Demand or Summer Peak Demand</t>
  </si>
  <si>
    <t>KUUM_497</t>
  </si>
  <si>
    <t xml:space="preserve"> Power Factor Demand Revenue</t>
  </si>
  <si>
    <t>Rate Categories</t>
  </si>
  <si>
    <t>W</t>
  </si>
  <si>
    <t>Redundance Capacity Rider Revenue Included in Demand Revenue on G/L</t>
  </si>
  <si>
    <t>Redundant Capacity Rider</t>
  </si>
  <si>
    <t>Power Factor Revenue Adjustment</t>
  </si>
  <si>
    <t>Kentucky Utilities Company</t>
  </si>
  <si>
    <t>FAC Revenues</t>
  </si>
  <si>
    <t>Actual</t>
  </si>
  <si>
    <t xml:space="preserve">TOTAL   </t>
  </si>
  <si>
    <t>12 Mos. Ended</t>
  </si>
  <si>
    <t>FAC RATE CHARGED:</t>
  </si>
  <si>
    <t>Residential Rate RS</t>
  </si>
  <si>
    <t>General Service Secondary</t>
  </si>
  <si>
    <t>Time of Day Power Rate</t>
  </si>
  <si>
    <t xml:space="preserve">Time-of-Day Service - TODS Secondary </t>
  </si>
  <si>
    <t xml:space="preserve">Time-of-Day Service - TODP Primary  </t>
  </si>
  <si>
    <t>Lighting Rates</t>
  </si>
  <si>
    <t>SL</t>
  </si>
  <si>
    <t>POL</t>
  </si>
  <si>
    <t xml:space="preserve">FUEL ADJUSTMENT CLAUSE BILLINGS REFLECTING BASE RATE ROLL-IN FOR A FULL YEAR   </t>
  </si>
  <si>
    <t>FAC Rate Rolled in:</t>
  </si>
  <si>
    <t>FAC Rate After Roll-in:</t>
  </si>
  <si>
    <t>included with LPTOD Primary</t>
  </si>
  <si>
    <t>REDUCED FUEL ADJUSTMENT CLAUSE BILLINGS REFLECTING BASE RATE ROLL-IN FOR A FULL YEAR</t>
  </si>
  <si>
    <t>FAC Rate</t>
  </si>
  <si>
    <t>KUUM_828</t>
  </si>
  <si>
    <t>Excess Facilities ODL</t>
  </si>
  <si>
    <t>Per Light Unit Charge</t>
  </si>
  <si>
    <t>Annual Load per Light</t>
  </si>
  <si>
    <t>16,000L Granville( Config A3) UG RC-378</t>
  </si>
  <si>
    <t>KUUM_492</t>
  </si>
  <si>
    <t>16,000L Granville( Config J1) UG RC-379</t>
  </si>
  <si>
    <t>16,000L Granville( Config J2) UG RC-380</t>
  </si>
  <si>
    <t>16,000L Granville( Config J3) UG RC-381</t>
  </si>
  <si>
    <t>16,000L Granville( Config J4) UG RC-382</t>
  </si>
  <si>
    <t>KUCME225</t>
  </si>
  <si>
    <t>KUCME226</t>
  </si>
  <si>
    <t>KUCME227</t>
  </si>
  <si>
    <t>All Electric School 3-ph Secondary   PSS</t>
  </si>
  <si>
    <t>All Electric School Single Ph Sec    PSS</t>
  </si>
  <si>
    <t>All Electric School 3-ph Secondary   TDS</t>
  </si>
  <si>
    <t>SQF: Small Cap Co-gen (Rate A)</t>
  </si>
  <si>
    <t>SQF</t>
  </si>
  <si>
    <t>KUCME705</t>
  </si>
  <si>
    <t>7,000L Mercury Vapor - Residential</t>
  </si>
  <si>
    <t>KUUM_406</t>
  </si>
  <si>
    <t>Revised FAC</t>
  </si>
  <si>
    <t>ab112</t>
  </si>
  <si>
    <t>Per 12MonLights tab</t>
  </si>
  <si>
    <t>Current Rates Net Revenue (Base Rates + FAC - Base ECR)</t>
  </si>
  <si>
    <t>12 Month Base ECR Revenues</t>
  </si>
  <si>
    <t>13th Month Base Revenues</t>
  </si>
  <si>
    <t>13th Month FAC Revenues</t>
  </si>
  <si>
    <t>13th Month Base ECR Revenues</t>
  </si>
  <si>
    <t>13 Month Total Revenues</t>
  </si>
  <si>
    <t>ECR in Base Rates</t>
  </si>
  <si>
    <t>Net of</t>
  </si>
  <si>
    <t>Base ECR</t>
  </si>
  <si>
    <t>Base Net of ECR</t>
  </si>
  <si>
    <t>AESPSS</t>
  </si>
  <si>
    <t>DSK</t>
  </si>
  <si>
    <t>Customer  Charge</t>
  </si>
  <si>
    <t>EF</t>
  </si>
  <si>
    <t>Load Reduction Incentive</t>
  </si>
  <si>
    <t>LRI</t>
  </si>
  <si>
    <t>KUCME841</t>
  </si>
  <si>
    <t>16,000L Granville( Config J-1) UG RC-379</t>
  </si>
  <si>
    <t>16,000L Granville( Config J-2) UG RC-380</t>
  </si>
  <si>
    <t>16,000L Granville( Config J-3) UG RC-381</t>
  </si>
  <si>
    <t>16,000L Granville( Config J-4) UG RC-382</t>
  </si>
  <si>
    <t>P</t>
  </si>
  <si>
    <t>CU</t>
  </si>
  <si>
    <t>AES3TODS</t>
  </si>
  <si>
    <t>Customer-Month Count Rate Switching OUT of Rate</t>
  </si>
  <si>
    <t>Customer-Month Count Rate Switching IN to Rate</t>
  </si>
  <si>
    <t>TNRS</t>
  </si>
  <si>
    <t>BASE RATE ACTUAL FUEL ADJUSTMENT CLAUSE BILLINGS</t>
  </si>
  <si>
    <t>Volunteer Fire Department Rate VFD</t>
  </si>
  <si>
    <t>Low Emission Vehicle Rate LEV</t>
  </si>
  <si>
    <t>AES Three Phase</t>
  </si>
  <si>
    <t>AES Time of Day</t>
  </si>
  <si>
    <t>AESTOD</t>
  </si>
  <si>
    <t>Power Service Rate PS - Secondary</t>
  </si>
  <si>
    <t>Power Service Rate PS - Primary</t>
  </si>
  <si>
    <t>Fluctuating Load Service Rate FLS</t>
  </si>
  <si>
    <t>Retail Transmission Service Rate RTS</t>
  </si>
  <si>
    <t>Street Lighting - St. Lt.</t>
  </si>
  <si>
    <t>Private Outdoor Lighting - P. O. Lt.</t>
  </si>
  <si>
    <t>Lighting Energy Service -- LE</t>
  </si>
  <si>
    <t>Traffic Energy Service -- TE</t>
  </si>
  <si>
    <t>ties to Form A page 5 line 3 FAC revenue</t>
  </si>
  <si>
    <t>DO NOT PRINT THESE ROWS</t>
  </si>
  <si>
    <t>From recalculated FACResults tab</t>
  </si>
  <si>
    <t>From recalculated FACLights tab</t>
  </si>
  <si>
    <t>Rate RS</t>
  </si>
  <si>
    <t>GSS</t>
  </si>
  <si>
    <t>Electric Service Revenues</t>
  </si>
  <si>
    <t>Rent from Electric Property</t>
  </si>
  <si>
    <t>Correction Factor</t>
  </si>
  <si>
    <t>12 Month Base Revenues at Current Rates</t>
  </si>
  <si>
    <t>12 Month FAC Revenues (rollin rates)</t>
  </si>
  <si>
    <t>KWH Rate Switching OUT of Rate</t>
  </si>
  <si>
    <t>KWH Rate Switching IN to Rate</t>
  </si>
  <si>
    <t>Base Revenue + FAC OUT of Rate</t>
  </si>
  <si>
    <t>Base Revenue + FAC IN to Rate</t>
  </si>
  <si>
    <t>Test Year Billing Determinants</t>
  </si>
  <si>
    <t>Revenue Decrease to Report for Previous Tariff Due to Reduction in Customers From Rate Switching</t>
  </si>
  <si>
    <t>Revenue Increase to Report for Current Tariff Due to Additonal Customers From Rate Switching</t>
  </si>
  <si>
    <t>Rate Switch To:</t>
  </si>
  <si>
    <t>From Rate Category:</t>
  </si>
  <si>
    <t>Customer-Months</t>
  </si>
  <si>
    <t>Basic Service Charge Revenues</t>
  </si>
  <si>
    <t>Energy Revenues</t>
  </si>
  <si>
    <t>Demand Revenues</t>
  </si>
  <si>
    <t>Base Rate Component of ECR</t>
  </si>
  <si>
    <t>Total Base Revenues Net of ECR</t>
  </si>
  <si>
    <t>Total Base Revenues Net of ECR Including FAC</t>
  </si>
  <si>
    <t>GS 3 Phase</t>
  </si>
  <si>
    <t>Prorated and corrected billings</t>
  </si>
  <si>
    <t>Base Minimum Demands</t>
  </si>
  <si>
    <t>Intermediate Minimum Demands</t>
  </si>
  <si>
    <t>Minimum Peak Demands, Total Minimum Demand Billings</t>
  </si>
  <si>
    <t>LEV</t>
  </si>
  <si>
    <t>Revenue through Billing Factor</t>
  </si>
  <si>
    <t>less Roll-in</t>
  </si>
  <si>
    <t>VFD</t>
  </si>
  <si>
    <t>Billing Factor Revenues, Continuing Mechanisms</t>
  </si>
  <si>
    <t>Rate Schedule</t>
  </si>
  <si>
    <t>ECR in Base Rates, 2009 Plan Roll-in</t>
  </si>
  <si>
    <t>13th Month</t>
  </si>
  <si>
    <t>ok</t>
  </si>
  <si>
    <t>rate switching</t>
  </si>
  <si>
    <t>ECR Revenue</t>
  </si>
  <si>
    <t>Rate</t>
  </si>
  <si>
    <t>CALCULATION OF ELECTRIC OPERATING RATIO</t>
  </si>
  <si>
    <t>Total Electric Operating Expenses</t>
  </si>
  <si>
    <t>Less Wages and Salaries</t>
  </si>
  <si>
    <t>Less Pensions and Benefits</t>
  </si>
  <si>
    <t>Less Regulatory Commission Expense</t>
  </si>
  <si>
    <t>Net Expenses</t>
  </si>
  <si>
    <t>Total Electric Operating Revenues (As Billed)</t>
  </si>
  <si>
    <t>Operating Ratio</t>
  </si>
  <si>
    <t>(see page 2)</t>
  </si>
  <si>
    <t>Number of Lights</t>
  </si>
  <si>
    <t xml:space="preserve">Calculation of Year End Adjustment for Time of Day Secondary Rate </t>
  </si>
  <si>
    <t xml:space="preserve">Workpaper section -- not to be printed.  </t>
  </si>
  <si>
    <t>Print Range below:  A86:K350, 5 pages total</t>
  </si>
  <si>
    <t>Customer #1</t>
  </si>
  <si>
    <t>Left the System</t>
  </si>
  <si>
    <t>Test Year Billing Data</t>
  </si>
  <si>
    <t>kWh</t>
  </si>
  <si>
    <t>kW or kVa-Base</t>
  </si>
  <si>
    <t>kw or kVa-Intermediate</t>
  </si>
  <si>
    <t>kW or kVa-Peak</t>
  </si>
  <si>
    <t>Customer #2</t>
  </si>
  <si>
    <t>New in June 2011</t>
  </si>
  <si>
    <t>Test Year Billing Data Annualized for 12 months</t>
  </si>
  <si>
    <t>Customer #3</t>
  </si>
  <si>
    <t>Customer #4</t>
  </si>
  <si>
    <t>Customer #5</t>
  </si>
  <si>
    <t>Customer #6</t>
  </si>
  <si>
    <t>Customer #7</t>
  </si>
  <si>
    <t>Customer #8</t>
  </si>
  <si>
    <t>Customer #9</t>
  </si>
  <si>
    <t>Customer #10</t>
  </si>
  <si>
    <t>New in July 2011</t>
  </si>
  <si>
    <t>New in May 2011</t>
  </si>
  <si>
    <t>New in October 2011</t>
  </si>
  <si>
    <t>New in November 2011</t>
  </si>
  <si>
    <t xml:space="preserve">Calculation of Year End Adjustment for Time of Day Primary Rate </t>
  </si>
  <si>
    <t xml:space="preserve">Calculation of Year End Adjustment for Retail Transmission Service Rate </t>
  </si>
  <si>
    <t>Test Year Billing Data at Current Rates</t>
  </si>
  <si>
    <t>New in August 2011</t>
  </si>
  <si>
    <t>Impact of Customers Switching Rates on the Calculation of the Year End Customer Revenue Adjustment</t>
  </si>
  <si>
    <t>Adjusted 13-Month Customer Count to Reflect Rate Switching</t>
  </si>
  <si>
    <t>Energy Used by Customers Switching TO the Rate Before the Rate Switch</t>
  </si>
  <si>
    <t>Energy Used by Customers Switching FROM the Rate Before the Rate Switch</t>
  </si>
  <si>
    <t>Impact of the ECR Elimination and Customer Rate Switching on Test Year Revenues Used in the Year End Customer Adjustment</t>
  </si>
  <si>
    <t>Test Year Base Revenues At Current Rates</t>
  </si>
  <si>
    <t>Test Year FAC Revenues At Current Rates</t>
  </si>
  <si>
    <t>Adjusted Revenue Totals Used to Calculate Average Cost per kWh</t>
  </si>
  <si>
    <t>AES 3 Phase</t>
  </si>
  <si>
    <t>Workpaper Section Only -- Printed Exhbit Format below</t>
  </si>
  <si>
    <t>(a)  See page 3 of 7 for supporting calculations</t>
  </si>
  <si>
    <t>(b)  See page 4 of 7 for supporting calculations</t>
  </si>
  <si>
    <t>(c)  See page 5 of 7 for supporting calculations</t>
  </si>
  <si>
    <t>See Col (9), pg 7 of 7</t>
  </si>
  <si>
    <t>Customers leaving the system:</t>
  </si>
  <si>
    <t>Customers joinging the system:</t>
  </si>
  <si>
    <t>Net secondary time of day revenue adjustment for change in customers:</t>
  </si>
  <si>
    <t>Net primary time of day revenue adjustment for change in customers:</t>
  </si>
  <si>
    <t>Retail transmission service revenue adjustment for change in customers:</t>
  </si>
  <si>
    <t>Actual Energy Delivered for the 13-month period</t>
  </si>
  <si>
    <t>Adjusted Energy Usage to Reflect Rate Switching</t>
  </si>
  <si>
    <t xml:space="preserve">               Expenses at an Operating Ratio of</t>
  </si>
  <si>
    <t>Exhibit below</t>
  </si>
  <si>
    <t>Test Year Billing Determinants at Original Rates</t>
  </si>
  <si>
    <t>GS 3 phase</t>
  </si>
  <si>
    <t>Rate GS</t>
  </si>
  <si>
    <t>PS Secondary</t>
  </si>
  <si>
    <t>Rate GS 3 Phase</t>
  </si>
  <si>
    <t>PS Primary</t>
  </si>
  <si>
    <t>Rate AES 3 Phase</t>
  </si>
  <si>
    <t>Customer-Months on the Old Rate</t>
  </si>
  <si>
    <t>Summer or Peak Demand, kW or kVa on Old Rate</t>
  </si>
  <si>
    <t>Winter or Intermediate Demand, kW or kVa on Old Rate</t>
  </si>
  <si>
    <t>Basic Demand, kW or kVa on Old Rate</t>
  </si>
  <si>
    <t>Energy -- kWh on Old Rate</t>
  </si>
  <si>
    <t>TOD Primary</t>
  </si>
  <si>
    <t>TOD Secondary</t>
  </si>
  <si>
    <t>Rate Switch From</t>
  </si>
  <si>
    <t>To Rate Category:</t>
  </si>
  <si>
    <t>Revenue Decrease to Report for Previous Tariff Due to Additonal Customers From Rate Switching</t>
  </si>
  <si>
    <t>Rate VFD</t>
  </si>
  <si>
    <t>Total  Moving From Previous Rates</t>
  </si>
  <si>
    <t>Total  Moving to New Rates</t>
  </si>
  <si>
    <t>Net Change From Previous Rate to Current Rate</t>
  </si>
  <si>
    <t>Adjustment to Operating Revenues Due to Customers Switching Rates During the Test Year</t>
  </si>
  <si>
    <t>POWER SERVICE RATE PS -- SECONDARY DELIVERY</t>
  </si>
  <si>
    <t>POWER SERVICE RATE PS -- PRIMARY DELIVERY</t>
  </si>
  <si>
    <t>FLUCTUATING LOAD SERVICE -- PRIMARY DELIVERY</t>
  </si>
  <si>
    <t>FLUCTUATING LOAD SERVICE -- TRANSMISSION DELIVERY</t>
  </si>
  <si>
    <t>Contemporary, 12000 Lumen, Fixture Only</t>
  </si>
  <si>
    <t>Contemporary, 107800 Lumen, Fixture Only</t>
  </si>
  <si>
    <t>Open Bottom, 5800 Lumen, Fixture Only</t>
  </si>
  <si>
    <t>Cobra Head, 4000 Lumen, Fixture Only</t>
  </si>
  <si>
    <t>Cobra Head, 50000 Lumen, Fixture Only</t>
  </si>
  <si>
    <t>Cobra Head, 7000 Lumen, Fixture Only</t>
  </si>
  <si>
    <t>Cobra Head, 10000 Lumen, Fixture Only</t>
  </si>
  <si>
    <t>Cobra Head, 20000 Lumen, Fixture Only</t>
  </si>
  <si>
    <t>Open Bottom, 7000 Lumen, Fixture Only</t>
  </si>
  <si>
    <t>Tear Drop, 1000 Lumen, Fixture Only</t>
  </si>
  <si>
    <t>Tear Drop, 2500 Lumen, Fixture Only</t>
  </si>
  <si>
    <t>Tear Drop, 4000 Lumen, Fixture Only</t>
  </si>
  <si>
    <t>Tear Drop, 6000 Lumen, Fixture Only</t>
  </si>
  <si>
    <t>Actual kWh Adjusted for Rate Switching</t>
  </si>
  <si>
    <t>See Col(8), pg 6 of 7</t>
  </si>
  <si>
    <t>Street and Private Outdoor Lighting Service, Including Dark Sky</t>
  </si>
  <si>
    <t>Net Revenue</t>
  </si>
  <si>
    <t>Dark Sky Lighting -- DSK</t>
  </si>
  <si>
    <t>February 2011 ECR Revenue Requirement, 2009 Plan Only</t>
  </si>
  <si>
    <t>See Blake Exhibit 1, schedule 1.03</t>
  </si>
  <si>
    <t xml:space="preserve">   Adjustment to Net Operating Income Before Taxes</t>
  </si>
  <si>
    <t>Contemporary, 32000 Lumen, Fixture Only</t>
  </si>
  <si>
    <t>Current</t>
  </si>
  <si>
    <t>Three Phase</t>
  </si>
  <si>
    <t>Single Phase</t>
  </si>
  <si>
    <t>Net change in time of day primary customers:</t>
  </si>
  <si>
    <t>Net change in time of day secondary customers:</t>
  </si>
  <si>
    <t>Net change in retail transmission customers:</t>
  </si>
  <si>
    <t>Non-Fuel ECR</t>
  </si>
  <si>
    <t>Demand  Charge</t>
  </si>
  <si>
    <t>Base Energy  Non-Fuel</t>
  </si>
  <si>
    <t xml:space="preserve"> Base Energy   ECR</t>
  </si>
  <si>
    <t>Demand ECR</t>
  </si>
  <si>
    <t>Base Energy FAC</t>
  </si>
  <si>
    <t>Revenue Amount</t>
  </si>
  <si>
    <t>KUCIE000</t>
  </si>
  <si>
    <t>Temporary Suspension</t>
  </si>
  <si>
    <t>KUCME000</t>
  </si>
  <si>
    <t>KUCUE851</t>
  </si>
  <si>
    <t>Informational Meter</t>
  </si>
  <si>
    <t>KUCUE852</t>
  </si>
  <si>
    <t>Company Use - Information</t>
  </si>
  <si>
    <t>KURSE000</t>
  </si>
  <si>
    <t>KUUM_000</t>
  </si>
  <si>
    <t>Unmetered temp suspension</t>
  </si>
  <si>
    <t>LS 360: UG HPS Granville-A 16000L</t>
  </si>
  <si>
    <t>LS 361: UG HPS Granville-B 16000L</t>
  </si>
  <si>
    <t>LS 362: UG HPS Granville-C 16000L</t>
  </si>
  <si>
    <t>LS 363: UG HPS Granville-D 16000L</t>
  </si>
  <si>
    <t>LS 364: UG HPS Granville-E 16000L</t>
  </si>
  <si>
    <t>LS 365: UG HPS Granville-F 16000L</t>
  </si>
  <si>
    <t>LS 366: UG HPS Granville-G 16000L</t>
  </si>
  <si>
    <t>LS 367: UG HPS Granville-H 16000L</t>
  </si>
  <si>
    <t>LS 368: UG HPS Granville-I 16000L</t>
  </si>
  <si>
    <t>LS 370: UG HPS Granville-A1 16000L</t>
  </si>
  <si>
    <t>LS 372: UG HPS Granville-E1 16000L</t>
  </si>
  <si>
    <t>LS 373: UG HPS Granville-A2 16000L</t>
  </si>
  <si>
    <t>LS 374: UG HPS Granville-B3 16000L</t>
  </si>
  <si>
    <t>LS 375: UG HPS Granville-G1 16000L</t>
  </si>
  <si>
    <t>LS 376: UG HPS Granville-B2 16000L</t>
  </si>
  <si>
    <t>LS 377: UG HPS Granville-A3 16000L</t>
  </si>
  <si>
    <t>LS 378: UG HPS Granville-J 16000L</t>
  </si>
  <si>
    <t>LS 401: UG HPS Acorn 5800L Decorative</t>
  </si>
  <si>
    <t>RLS 404: OH MV Open Bottom 7000L Fixture</t>
  </si>
  <si>
    <t>RLS 409: OH HPS Cobra Head 50000L Fix</t>
  </si>
  <si>
    <t>RLS 410: UG HPS Acorn 4000L Historic</t>
  </si>
  <si>
    <t>LS 411: UG HPS Acorn 5800L Historic</t>
  </si>
  <si>
    <t>RLS 412: UG HPS Coach 5800L Decorative</t>
  </si>
  <si>
    <t>RLS 413: UG HPS Coach 9500L Decorative</t>
  </si>
  <si>
    <t>LS 414: UG HPS Victorian 5800L Historic</t>
  </si>
  <si>
    <t>LS 415: UG HPS Victorian 9500L Historic</t>
  </si>
  <si>
    <t>LS 420: UG HPS Acorn 9500L Decorative</t>
  </si>
  <si>
    <t>RLS 421: OH Inc Tear Drop 1000L Fix Only</t>
  </si>
  <si>
    <t>RLS 422: OH Inc Tear Drop 2500L Fix Only</t>
  </si>
  <si>
    <t>RLS 424: OH Inc Tear Drop 4000L Fix Only</t>
  </si>
  <si>
    <t>RLS 425: OH Inc Tear Drop 6000L Fix Only</t>
  </si>
  <si>
    <t>RLS 426: OH HPS Open Bottom 5800L Fix</t>
  </si>
  <si>
    <t>LS 428: OH HPS Open Bottom 9500L Fixture</t>
  </si>
  <si>
    <t>LS 430: UG HPS Acorn 9500L Historic</t>
  </si>
  <si>
    <t>RLS 434: OH Inc Tear Drop 4000L Fix/Pole</t>
  </si>
  <si>
    <t>RLS 440: UG HPS Acorn 4000L Decorative</t>
  </si>
  <si>
    <t>RLS 446: OH MV Cobra Head 7000L Fixture</t>
  </si>
  <si>
    <t>RLS 447: OH MV Cobra Head 10000L Fixture</t>
  </si>
  <si>
    <t>RLS 448: OH MV Cobra Head 20000L Fixture</t>
  </si>
  <si>
    <t>LS 450: OH MH Directional 12000L Fixture</t>
  </si>
  <si>
    <t>LS 451: OH MH Directional 32000L Fixture</t>
  </si>
  <si>
    <t>LS 452: OH MH Directional 107800L Fix</t>
  </si>
  <si>
    <t>RLS 454: OH MH Directional 12000L Fix/Po</t>
  </si>
  <si>
    <t>RLS 455: OH MH Directional 32000L Fix/Po</t>
  </si>
  <si>
    <t>RLS 456: OH MV Cobra 7000L Fixture/Pole</t>
  </si>
  <si>
    <t>RLS 457: OH MV Cobra 10000L Fixture/Pole</t>
  </si>
  <si>
    <t>RLS 458: OH MV Cobra 20000L Fixture/Pole</t>
  </si>
  <si>
    <t>RLS 459: OH MH Directional 107800L Fix/P</t>
  </si>
  <si>
    <t>RLS 460: UG MH Directional 12000L Deco</t>
  </si>
  <si>
    <t>RLS 461: OH HPS Cobra Head 4000L Fixture</t>
  </si>
  <si>
    <t>LS 462: OH HPS Cobra Head 5800L Fixture</t>
  </si>
  <si>
    <t>LS 463: OH HPS Cobra Head 9500L Fixture</t>
  </si>
  <si>
    <t>LS 464: OH HPS Cobra Head 22000L Fixture</t>
  </si>
  <si>
    <t>LS 465: OH HPS Cobra Head 50000L Fixture</t>
  </si>
  <si>
    <t>RLS 466: UG HPS Colonial 4000L Deco</t>
  </si>
  <si>
    <t>LS 467: UG HPS Colonial 5800L Deco</t>
  </si>
  <si>
    <t>LS 468: UG HPS Colonial 9500L Deco</t>
  </si>
  <si>
    <t>RLS 469: UG MH Directional 32000L Deco</t>
  </si>
  <si>
    <t>RLS 470: UG MH Directional 107800L Deco</t>
  </si>
  <si>
    <t>RLS 471: OH HPS Cobra Hd 4000L Fix/Pole</t>
  </si>
  <si>
    <t>LS 472: OH HPS Cobra 5800L Ornamental</t>
  </si>
  <si>
    <t>LS 473: OH HPS Cobra 9500L Ornamental</t>
  </si>
  <si>
    <t>LS 474: OH HPS Cobra 22000L Ornamental</t>
  </si>
  <si>
    <t>LS 475: OH HPS Cobra 50000L Ornamental</t>
  </si>
  <si>
    <t>LS 476: UG HPS Contemporary 5800L Deco</t>
  </si>
  <si>
    <t>LS 477: UG HPS Contemporary 9500L Deco</t>
  </si>
  <si>
    <t>LS 478: UG HPS Contemporary 22000L Deco</t>
  </si>
  <si>
    <t>LS 479: UG HPS Contemporary 50000L Deco</t>
  </si>
  <si>
    <t>LS 487: OH HPS Directional 9500L Fixture</t>
  </si>
  <si>
    <t>LS 488: OH HPS Directional 22000L Fix</t>
  </si>
  <si>
    <t>LS 489: OH HPS Directional 50000L Fix</t>
  </si>
  <si>
    <t>LS 490: UG MH Contemporary 12000L Fix</t>
  </si>
  <si>
    <t>LS 491: UG MH Contemporary 32000L Fix</t>
  </si>
  <si>
    <t>LS 492: UG HPS Contemporary 5800L Fix</t>
  </si>
  <si>
    <t>LS 493: UG MH Contemporary 107800L Fix</t>
  </si>
  <si>
    <t>LS 494: UG MH Contemporary 12000L Deco</t>
  </si>
  <si>
    <t>LS 495: UG MH Contemporary 32000L Deco</t>
  </si>
  <si>
    <t>LS 496: UG MH Contemporary 107800L Deco</t>
  </si>
  <si>
    <t>LS 498: UG HPS Contemporary 22000L Fix</t>
  </si>
  <si>
    <t>LS 499: UG HPS Contemporary 50000L Fix</t>
  </si>
  <si>
    <t>Rev Period</t>
  </si>
  <si>
    <t>Base Energy Non Fuel</t>
  </si>
  <si>
    <t>Base Energy ECR</t>
  </si>
  <si>
    <t>LS</t>
  </si>
  <si>
    <t>RLS</t>
  </si>
  <si>
    <t>Energy Charge</t>
  </si>
  <si>
    <t>Intermediate / Winter</t>
  </si>
  <si>
    <t xml:space="preserve"> Basic Demand</t>
  </si>
  <si>
    <t xml:space="preserve"> Intermediate / Winter Peak Demand </t>
  </si>
  <si>
    <t>AESTODS</t>
  </si>
  <si>
    <t>TS</t>
  </si>
  <si>
    <t>KUCME707</t>
  </si>
  <si>
    <t>LQF: Large Capacity Co-gen</t>
  </si>
  <si>
    <t>KUCSR783</t>
  </si>
  <si>
    <t>CSR30 Option B - Primary</t>
  </si>
  <si>
    <t>LS 497: UG HPS Contemporary 9500L Fix</t>
  </si>
  <si>
    <t>KUUM_829</t>
  </si>
  <si>
    <t>Excess Facilities ODL CIAC</t>
  </si>
  <si>
    <t>Res Total Electric</t>
  </si>
  <si>
    <t>TNLS</t>
  </si>
  <si>
    <t>LQF</t>
  </si>
  <si>
    <t>DA</t>
  </si>
  <si>
    <t>ODRS</t>
  </si>
  <si>
    <t>PF Qty</t>
  </si>
  <si>
    <t>16,000L Granville( Config E1) UG RC-371</t>
  </si>
  <si>
    <t>Incremental ECR Roll-in, Current 2-year Review Case</t>
  </si>
  <si>
    <t>ECR Amounts Previously Rolled In</t>
  </si>
  <si>
    <t>Total ECR Revenue Requirement to Include in Base Rates:</t>
  </si>
  <si>
    <t>See attachment to response to Questions 3(a) and 3(b) to Staff Data Request at</t>
  </si>
  <si>
    <t>Technical Conference held September 28, 2011 for details supporting roll-in amounts</t>
  </si>
  <si>
    <t>Gross Roll In Amount is allocated to Group 1 and Group 2 on the basis of Total Revenue excluding previous rollin amounts:</t>
  </si>
  <si>
    <t>Total Revenue Excluding Base ECR</t>
  </si>
  <si>
    <t>ECR Roll-in By Group</t>
  </si>
  <si>
    <t>ECR Roll-in Amount</t>
  </si>
  <si>
    <t>Group 1 (ECR Rollin allocated on Total Revenue)</t>
  </si>
  <si>
    <t>Residential Service (RS)</t>
  </si>
  <si>
    <t>Volunteer File Department (VFD)</t>
  </si>
  <si>
    <t>All Electric School (AES)</t>
  </si>
  <si>
    <t>Low Emission Vehicle (LEV)</t>
  </si>
  <si>
    <t>Lighting Energy (LE)</t>
  </si>
  <si>
    <t>Traffic Energy (TE)</t>
  </si>
  <si>
    <t>Outdoor Lighting (D.S.K., ST. LT. and P.O. LT.)</t>
  </si>
  <si>
    <t>NOT PART OF EXHIBIT --</t>
  </si>
  <si>
    <t>DO NOT PRINT!</t>
  </si>
  <si>
    <t>Non-Fuel Revenues</t>
  </si>
  <si>
    <t>ECR allocation-total revenue basis</t>
  </si>
  <si>
    <t>% change - non fuel basis</t>
  </si>
  <si>
    <t>Group 2 (ECR Rollin allocated on Non-Fuel Revenue)</t>
  </si>
  <si>
    <t>General Service (GS) (Single and Three Phase)</t>
  </si>
  <si>
    <t>Power Service (PS) (Secondary and Primary)</t>
  </si>
  <si>
    <t>Time of Day Secondary (TODS)</t>
  </si>
  <si>
    <t>Time of Day Primary (TODP)</t>
  </si>
  <si>
    <t>Retail Transmisison Service (RTS)</t>
  </si>
  <si>
    <t>Fluctuating Load Service (FLS) (Primary and Transmission)</t>
  </si>
  <si>
    <t>Total Base Revenue, Group 1 and Group 2:</t>
  </si>
  <si>
    <t>Excess Facilities included in Base Revenue (not assessed ECR):</t>
  </si>
  <si>
    <t>Total Base Revenue net of previous ECR rollin amounts, Billed Basis</t>
  </si>
  <si>
    <t>Code</t>
  </si>
  <si>
    <t>Rate Class</t>
  </si>
  <si>
    <t>12-Month Lighting Installations</t>
  </si>
  <si>
    <t>12-Month Energy</t>
  </si>
  <si>
    <t>Energy Rate -- ECR</t>
  </si>
  <si>
    <t>Lighting Rate -- ECR</t>
  </si>
  <si>
    <t>Base Fuel Revenue</t>
  </si>
  <si>
    <t>ECR Energy Revenue</t>
  </si>
  <si>
    <t>ECR Lighting Revenue</t>
  </si>
  <si>
    <t>Total 12-Month ECR Revenue</t>
  </si>
  <si>
    <t>Total 12-Month Revenue</t>
  </si>
  <si>
    <t>Total Revenue Excluding ECR</t>
  </si>
  <si>
    <t>ECR Revenue to Roll-in</t>
  </si>
  <si>
    <t>Proposed ECR Component of Rates -- Energy</t>
  </si>
  <si>
    <t>ECR Component of Monthly Per Light Rates</t>
  </si>
  <si>
    <t>Proposed Base ECR Revenue</t>
  </si>
  <si>
    <t>Difference Between Allocated ECR and Revised Revenue</t>
  </si>
  <si>
    <t>Revised Rates</t>
  </si>
  <si>
    <t>Existing Rates</t>
  </si>
  <si>
    <t>Percent Change</t>
  </si>
  <si>
    <t>See Summary</t>
  </si>
  <si>
    <t>Residential Service (except VFD)</t>
  </si>
  <si>
    <t>Volunteer Fire Departments (charged at Rate RS)</t>
  </si>
  <si>
    <t>All Electric Schools</t>
  </si>
  <si>
    <t>Low Emission Vehicle, Period 1</t>
  </si>
  <si>
    <t>Low Emission Vehicle, Period 2</t>
  </si>
  <si>
    <t>Low Emission Vehicle, Period 3</t>
  </si>
  <si>
    <t>Traffic Lighting Service</t>
  </si>
  <si>
    <t>Sheet No. 35</t>
  </si>
  <si>
    <t>Total Base Revenues, Group 2:</t>
  </si>
  <si>
    <t>Total Base Revenues, 12 months ending September 30, 2011</t>
  </si>
  <si>
    <t>12-month revenues excluding ECR</t>
  </si>
  <si>
    <t>ECR Revenue proposed for inclusion:</t>
  </si>
  <si>
    <t>12-month revenues including proposed ECR revenues</t>
  </si>
  <si>
    <t>increased revenue</t>
  </si>
  <si>
    <t>Total Revenue</t>
  </si>
  <si>
    <t>Group 1</t>
  </si>
  <si>
    <t>Group 2</t>
  </si>
  <si>
    <t>NOT PART OF EXHIBIT -- DO NOT PRINT!!!!!</t>
  </si>
  <si>
    <t>12-Month Demand</t>
  </si>
  <si>
    <t>Demand Rate -- ECR</t>
  </si>
  <si>
    <t>ECR Demand Revenue</t>
  </si>
  <si>
    <t>Total Revenue Excluding ECR and Fuel</t>
  </si>
  <si>
    <t>Proposed ECR Component of Demand Rates</t>
  </si>
  <si>
    <t>Increased ECR Revenue</t>
  </si>
  <si>
    <t>SEASONAL ENERGY LOOK UP TABLES</t>
  </si>
  <si>
    <t>SEASONAL DEMAND LOOK UP TABLES</t>
  </si>
  <si>
    <t>Test Year:</t>
  </si>
  <si>
    <t>Month</t>
  </si>
  <si>
    <t>PS Summer</t>
  </si>
  <si>
    <t>PS Winter</t>
  </si>
  <si>
    <t>Power Service -- Secondary Summer Demand and Energy</t>
  </si>
  <si>
    <t>Power Service -- Secondary Winter Demand and Energy</t>
  </si>
  <si>
    <t>Power Service -- Primary Summer Demand and Energy</t>
  </si>
  <si>
    <t>Power Service -- Primary Winter Demand and Energy</t>
  </si>
  <si>
    <t>Time of Day Secondary Service -- Peak Demand</t>
  </si>
  <si>
    <t>Time of Day Secondary Service --Intermediate Demand</t>
  </si>
  <si>
    <t>Time of Day Secondary Service -- Basic Demand</t>
  </si>
  <si>
    <t>Time of Day Primary Service -- Peak Demand</t>
  </si>
  <si>
    <t>Time of Day Primary Service --Intermediate Demand</t>
  </si>
  <si>
    <t>Time of Day Primary Service -- Basic Demand</t>
  </si>
  <si>
    <t>Retail Transmission Service -- Peak Demand</t>
  </si>
  <si>
    <t>Retail Transmission Service --Intermediate Demand</t>
  </si>
  <si>
    <t>Retail Transmission Service -- Basic Demand</t>
  </si>
  <si>
    <t>Fluctuating Load Primary Service -- Peak Demand</t>
  </si>
  <si>
    <t>Fluctuating Load Primary Service --Intermediate Demand</t>
  </si>
  <si>
    <t>Fluctuating Load Primary Service -- Basic Demand</t>
  </si>
  <si>
    <t>Fluctuating Load Transmission Service -- Peak Demand</t>
  </si>
  <si>
    <t>Fluctuating Load Transmission Service --Intermediate Demand</t>
  </si>
  <si>
    <t>Fluctuating Load Transmission Service -- Basic Demand</t>
  </si>
  <si>
    <t>Total from 12MonthResults and from 12MonthLights</t>
  </si>
  <si>
    <t>12-month revenues excluding ECR:</t>
  </si>
  <si>
    <t>Increased Revenue</t>
  </si>
  <si>
    <t>Base Fuel</t>
  </si>
  <si>
    <t>Non-Fuel Energy</t>
  </si>
  <si>
    <t>Summary of ECR Roll-in Calculations, Twleve Months Ending February 28, 2013</t>
  </si>
  <si>
    <t>Case No. 2013-00242</t>
  </si>
  <si>
    <t>HPS Cobra Head, 5800 Lumen, Fixture Only</t>
  </si>
  <si>
    <t>HPS Cobra Head, 5800 Lumen, Fixture with Ornamental Pole</t>
  </si>
  <si>
    <t>HPS Cobra Head, 9500 Lumen, Fixture Only</t>
  </si>
  <si>
    <t>HPS Cobra Head, 9500 Lumen, Fixture with Ornamental Pole</t>
  </si>
  <si>
    <t>HPS Cobra Head, 22000 Lumen, Fixture Only</t>
  </si>
  <si>
    <t>HPS Cobra Head, 22000 Lumen, Fixture with Ornamental Pole</t>
  </si>
  <si>
    <t>HPS Cobra Head, 50000 Lumen, Fixture Only</t>
  </si>
  <si>
    <t>HPS Cobra Head, 50000 Lumen, Fixture with Ornamental Pole</t>
  </si>
  <si>
    <t>HPS Directional, 9500 Lumen, Fixture Only</t>
  </si>
  <si>
    <t>HPS Directional, 22000 Lumen, Fixture Only</t>
  </si>
  <si>
    <t>HPS Directional, 50000 Lumen, Fixture Only</t>
  </si>
  <si>
    <t>HPS Open Bottom, 9500 Lumen, Fixture Only</t>
  </si>
  <si>
    <t>MH Directional, 12000 Lumen, Fixture Only</t>
  </si>
  <si>
    <t>MH Directional, 32000 Lumen, Fixture Only</t>
  </si>
  <si>
    <t>MH Directional, 107800 Lumen, Fixture Only</t>
  </si>
  <si>
    <t>Sheet 35.1</t>
  </si>
  <si>
    <t>HPS Colonial, 5800 Lumen, Decorative Smooth Pole</t>
  </si>
  <si>
    <t>HPS Colonial, 9500 Lumen, Decorative Smooth Pole</t>
  </si>
  <si>
    <t>HPS Acorn, 5800 Lumen, Decorative Smooth Pole</t>
  </si>
  <si>
    <t>HPS Acorn, 5800 Lumen, Historic Fluted Pole</t>
  </si>
  <si>
    <t>HPS Acorn, 9500 Lumen, Decorative Smooth Pole</t>
  </si>
  <si>
    <t>HPS Acorn, 9500 Lumen, Historic Fluted Pole</t>
  </si>
  <si>
    <t>HPS Victorian, 5800 Lumen, Historic Fluted Pole</t>
  </si>
  <si>
    <t>HPS Victorian, 9500 Lumen, Historic Fluted Pole</t>
  </si>
  <si>
    <t>HPS Contemporary, 5800 Lumen, Decorative Smooth Pole</t>
  </si>
  <si>
    <t>HPS Contemporary, 5800 Lumen, Fixture Only</t>
  </si>
  <si>
    <t>HPS Contemporary, 9500 Lumen, Fixture Only</t>
  </si>
  <si>
    <t>HPS Contemporary, 9500 Lumen, Decorative Smooth Pole</t>
  </si>
  <si>
    <t>HPS Contemporary, 22000 Lumen, Fixture Only</t>
  </si>
  <si>
    <t>HPS Contemporary, 22000 Lumen, Decorative Smooth Pole</t>
  </si>
  <si>
    <t>HPS Contemporary, 50000 Lumen, Fixture Only</t>
  </si>
  <si>
    <t>HPS Contemporary, 50000 Lumen, Decorative Smooth Pole</t>
  </si>
  <si>
    <t>HPS Dark Sky Lantern, 4000 Lumen, Decorative Smooth Pole</t>
  </si>
  <si>
    <t>HPS Dark Sky Lantern, 9500 Lumen, Decorative Smooth Pole</t>
  </si>
  <si>
    <t>Sheet 35.2</t>
  </si>
  <si>
    <t>16,000L Granville( Config A)</t>
  </si>
  <si>
    <t>16,000L Granville( Config B)</t>
  </si>
  <si>
    <t>16,000L Granville( Config C)</t>
  </si>
  <si>
    <t>16,000L Granville( Config D)</t>
  </si>
  <si>
    <t>16,000L Granville( Config E)</t>
  </si>
  <si>
    <t>16,000L Granville( Config F)</t>
  </si>
  <si>
    <t>16,000L Granville( Config G)</t>
  </si>
  <si>
    <t>16,000L Granville( Config H)</t>
  </si>
  <si>
    <t>16,000L Granville( Config I)</t>
  </si>
  <si>
    <t>16,000L Granville( Config A1)</t>
  </si>
  <si>
    <t>16,000L Granville( Config E1)</t>
  </si>
  <si>
    <t>16,000L Granville( Config A2)</t>
  </si>
  <si>
    <t>16,000L Granville( Config B3)</t>
  </si>
  <si>
    <t>16,000L Granville( Config G1)</t>
  </si>
  <si>
    <t>16,000L Granville( Config B2)</t>
  </si>
  <si>
    <t>16,000L Granville( Config A3)</t>
  </si>
  <si>
    <t>16,000L Granville( Config J)</t>
  </si>
  <si>
    <t>16,000L Granville( Config J1)</t>
  </si>
  <si>
    <t>16,000L Granville( Config J2)</t>
  </si>
  <si>
    <t>16,000L Granville( Config J3)</t>
  </si>
  <si>
    <t>16,000L Granville( Config J4)</t>
  </si>
  <si>
    <t>MH Contemporary, 12000 Lumen, Fixture Ony</t>
  </si>
  <si>
    <t>MH Contemporary, 12000 Lumen, Decorative Smooth Pole</t>
  </si>
  <si>
    <t>MH Contemporary, 32000 Lumen, Fixture Ony</t>
  </si>
  <si>
    <t>MH Contemporary, 32000 Lumen, Decorative Smooth Pole</t>
  </si>
  <si>
    <t>MH Contemporary, 107800 Lumen, Fixture Ony</t>
  </si>
  <si>
    <t>MH Contemporary, 107800 Lumen, Decorative Smooth Pole</t>
  </si>
  <si>
    <t>Sheet 36</t>
  </si>
  <si>
    <t>HPS Cobra Head, 4000 Lumen, Fixture Only</t>
  </si>
  <si>
    <t>HPS Cobra Head, 4000 Lumen, Fixture and Pole</t>
  </si>
  <si>
    <t>HPS Open Bottom, 5800 Lumen, Fixture Only</t>
  </si>
  <si>
    <t>MH Directional, 12000 Lumen, Fixture and Pole</t>
  </si>
  <si>
    <t>MH Directional, 32000 Lumen, Fixture and Pole</t>
  </si>
  <si>
    <t>MH Directional, 107800 Lumen, Fixture and Pole</t>
  </si>
  <si>
    <t>MV Cobra Head, 7000 Lumen, Fixture Only</t>
  </si>
  <si>
    <t>MV Cobra Head, 7000 Lumen, Fixture and Pole</t>
  </si>
  <si>
    <t>MV Cobra Head, 10000 Lumen, Fixture Only</t>
  </si>
  <si>
    <t>MV Cobra Head, 10000 Lumen, Fixture and Pole</t>
  </si>
  <si>
    <t>MV Cobra Head, 20000 Lumen, Fixture Only</t>
  </si>
  <si>
    <t>MV Cobra Head, 20000 Lumen, Fixture and Pole</t>
  </si>
  <si>
    <t>MV Open Bottom, 7000 Lumen, Fixture Only</t>
  </si>
  <si>
    <t>Incandescent Tear Drop, 1000 Lumen, Fixture Only</t>
  </si>
  <si>
    <t>Incandescent Tear Drop, 2500 Lumen, Fixture Only</t>
  </si>
  <si>
    <t>Incandescent Tear Drop, 4000 Lumen, Fixture Only</t>
  </si>
  <si>
    <t>Incandescent Tear Drop, 4000 Lumen, Fixture and Pole</t>
  </si>
  <si>
    <t>Incandescent Tear Drop, 6000 Lumen, Fixture Only</t>
  </si>
  <si>
    <t>Sheet 36.1</t>
  </si>
  <si>
    <t>MH Directional, 12000 Lumen, Decorative Smooth Pole</t>
  </si>
  <si>
    <t>MH Directional, 32000 Lumen, Decorative Smooth Pole</t>
  </si>
  <si>
    <t>MH Directional, 107800 Lumen, Decorative Smooth Pole</t>
  </si>
  <si>
    <t>HPS Acorn, 4000 Lumen, Decorative Smooth Pole</t>
  </si>
  <si>
    <t>HPS Acorn, 4000 Lumen, Historic Fluted Pole</t>
  </si>
  <si>
    <t>HPS Colonial, 4000 Lumen, Decorative Smooth Pole</t>
  </si>
  <si>
    <t>HPS Coach, 5800 Lumen, Decorative Smooth Pole</t>
  </si>
  <si>
    <t>HPS Coach, 9500 Lumen, Decorative Smooth Pole</t>
  </si>
  <si>
    <t>eliminated rate categories with 2012 rate case</t>
  </si>
  <si>
    <t>kW per Light</t>
  </si>
  <si>
    <t>Non-Fuel Revenue</t>
  </si>
  <si>
    <t>LEF</t>
  </si>
  <si>
    <t>Total Group 1 and Group 2</t>
  </si>
  <si>
    <t>Total Base Revenues, 12 months ending February 28, 2013</t>
  </si>
  <si>
    <t>Group 2 Only:</t>
  </si>
  <si>
    <t>LEV: Low Emission Vehicle Service</t>
  </si>
  <si>
    <t>KW/KVA On Peak</t>
  </si>
  <si>
    <t>KW/KVA On Peak Adj</t>
  </si>
  <si>
    <t>KW/KVA Base Measured</t>
  </si>
  <si>
    <t>KW/KVA Intermed Measured</t>
  </si>
  <si>
    <t>KW/KVA Peak Measured</t>
  </si>
  <si>
    <t>KW/KVA On Peak Measured</t>
  </si>
  <si>
    <t xml:space="preserve"> kVA Demand-Intermediate Measured (Winter Peak for PS)</t>
  </si>
  <si>
    <t xml:space="preserve"> kVA Demand-Peak Measured (Summer Peak for PS)</t>
  </si>
  <si>
    <t xml:space="preserve"> kVA Demand-Base Billed</t>
  </si>
  <si>
    <t xml:space="preserve"> kVA Demand-Base Measured</t>
  </si>
  <si>
    <t xml:space="preserve"> kVA Demand-Intermediate Billed (Winter Peak for PS)</t>
  </si>
  <si>
    <t xml:space="preserve"> kVA Demand-Peak Billed (Summer Peak for PS)</t>
  </si>
  <si>
    <t>Demand Adj to Remove Base Out of Period</t>
  </si>
  <si>
    <t>Demand Adj to Remove Interm Out of Period</t>
  </si>
  <si>
    <t>Demand Adj to Remove Peak Out of Period</t>
  </si>
  <si>
    <t xml:space="preserve"> Energy  Adj to Remove Out Period Billings</t>
  </si>
  <si>
    <t>Energy/Lighting Revenue Outside of the Test Year</t>
  </si>
  <si>
    <t>Demand Revenue Outside of the Test Year</t>
  </si>
  <si>
    <t>Customer Revenue Outside of the Test Year</t>
  </si>
  <si>
    <t>Adjustment to Contract Accts to remove Out of Period Lights</t>
  </si>
  <si>
    <t>Adjustment to Energy Consumption to remove Out of Period Energy</t>
  </si>
  <si>
    <t>Adjustment to Lighting Revenues to Reflect Partial Month Proration, and Bill Corrections</t>
  </si>
  <si>
    <t>Adjustment to Lighting Revenues to Reflect Bill Corrections for Out of Period Revenue</t>
  </si>
  <si>
    <t>Restricted Lighting Service -- RLS</t>
  </si>
  <si>
    <t>Lighting Service -- LS</t>
  </si>
  <si>
    <t>LIGHTING SERVICE</t>
  </si>
  <si>
    <t>Cobra Head, 5800 Lumen, Fixture Only</t>
  </si>
  <si>
    <t>Cobra Head, 5800 Lumen, Fixture with Ornamental Pole</t>
  </si>
  <si>
    <t>Cobra Head, 9500 Lumen, Fixture Only</t>
  </si>
  <si>
    <t>Cobra Head, 9500 Lumen, Fixture with Ornamental Pole</t>
  </si>
  <si>
    <t>Cobra Head, 22000 Lumen, Fixture Only</t>
  </si>
  <si>
    <t>Cobra Head, 22000 Lumen, Fixture with Ornamental Pole</t>
  </si>
  <si>
    <t>Cobra Head, 50000 Lumen, Fixture with Ornamental Pole</t>
  </si>
  <si>
    <t>Directional, 9500 Lumen, Fixture Only</t>
  </si>
  <si>
    <t>Directional, 22000 Lumen, Fixture Only</t>
  </si>
  <si>
    <t>Directional, 50000 Lumen, Fixture Only</t>
  </si>
  <si>
    <t>Open Bottom, 9500 Lumen, Fixture Only</t>
  </si>
  <si>
    <t>Directional, 12000 Lumen, Fixture Only</t>
  </si>
  <si>
    <t>Directional, 32000 Lumen, Fixture Only</t>
  </si>
  <si>
    <t>Directional, 107800 Lumen, Fixture Only</t>
  </si>
  <si>
    <t>Colonial, 5800 Lumen, Decorative Smooth Pole</t>
  </si>
  <si>
    <t>Colonial, 9500 Lumen, Decorative Smooth Pole</t>
  </si>
  <si>
    <t>Acorn, 5800 Lumen, Decorative Smooth Pole</t>
  </si>
  <si>
    <t>Acorn, 5800 Lumen, Historic Fluted Pole</t>
  </si>
  <si>
    <t>Acorn, 9500 Lumen, Decorative Smooth Pole</t>
  </si>
  <si>
    <t>Acorn, 9500 Lumen, Historic Fluted Pole</t>
  </si>
  <si>
    <t>Victorian, 5800 Lumen, Historic Fluted Pole</t>
  </si>
  <si>
    <t>Victorian, 9500 Lumen, Historic Fluted Pole</t>
  </si>
  <si>
    <t>Overhead Service (Sheet No. 35)</t>
  </si>
  <si>
    <t>Underground Service (Sheet No. 35.1)</t>
  </si>
  <si>
    <t>Contemporary, 5800 Lumen, Fixture Only</t>
  </si>
  <si>
    <t>Contemporary, 5800 Lumen, Decorative Smooth Pole</t>
  </si>
  <si>
    <t>Contemporary, 9500 Lumen, Fixture Only</t>
  </si>
  <si>
    <t>Contemporary, 9500 Lumen, Decorative Smooth Pole</t>
  </si>
  <si>
    <t>Contemporary, 22000 Lumen, Fixture Only</t>
  </si>
  <si>
    <t>Contemporary, 22000 Lumen, Decorative Smooth Pole</t>
  </si>
  <si>
    <t>Contemporary, 50000 Lumen, Fixture Only</t>
  </si>
  <si>
    <t>Contemporary, 50000 Lumen, Decorative Smooth Pole</t>
  </si>
  <si>
    <t>Dark Sky Lantern, 4000 Lumen, Decorative Smooth Pole</t>
  </si>
  <si>
    <t>Dark Sky Lantern, 9500 Lumen, Decorative Smooth Pole</t>
  </si>
  <si>
    <t>Granville Lights (Sheet 35.2)</t>
  </si>
  <si>
    <t>Contemporary, 12000 Lumen, Decorative Smooth Pole</t>
  </si>
  <si>
    <t>Contemporary, 32000 Lumen, Decorative Smooth Pole</t>
  </si>
  <si>
    <t>Contemporary, 107800 Lumen, Decorative Smooth Pole</t>
  </si>
  <si>
    <t>Restricted Lighting Service, RLS</t>
  </si>
  <si>
    <t>Overhead Service, Sheet No. 36</t>
  </si>
  <si>
    <t>Cobra Head, 4000 Lumen, Fixture with Pole</t>
  </si>
  <si>
    <t>Directional, 12000 Lumen, Fixture with Pole</t>
  </si>
  <si>
    <t>Directional, 32000 Lumen, Fixture with Pole</t>
  </si>
  <si>
    <t>Directional, 107800 Lumen, Fixture with Pole</t>
  </si>
  <si>
    <t>Cobra Head, 7000 Lumen, Fixture with Pole</t>
  </si>
  <si>
    <t>Cobra Head, 10000 Lumen, Fixture with Pole</t>
  </si>
  <si>
    <t>Cobra Head, 20000 Lumen, Fixture with Pole</t>
  </si>
  <si>
    <t>Tear Drop, 4000 Lumen, Fixture with Pole</t>
  </si>
  <si>
    <t>Underground Service, Sheet No. 36.1</t>
  </si>
  <si>
    <t>Directional, 12000 Lumen, Decorative Smooth Pole</t>
  </si>
  <si>
    <t>Directional, 32000 Lumen, Decorative Smooth Pole</t>
  </si>
  <si>
    <t>Directional, 107800 Lumen, Decorative Smooth Pole</t>
  </si>
  <si>
    <t>Acorn, 4000 Lumen, Decorative Smooth Pole</t>
  </si>
  <si>
    <t>Acorn, 4000 Lumen, Historic Fluted Pole</t>
  </si>
  <si>
    <t>Colonial, 4000 Lumne, Decorative Smooth Pole</t>
  </si>
  <si>
    <t>Coach, 5800 Lumen, Decorative Smooth Pole</t>
  </si>
  <si>
    <t>Coach, 9500 Lumen, Decorative Smooth Pole</t>
  </si>
  <si>
    <t>Billing Month</t>
  </si>
  <si>
    <t>FAC Base Used</t>
  </si>
  <si>
    <t>Actual Test Year Number of Customers - Do Not Print this column!!</t>
  </si>
  <si>
    <t>Customers joining the system:</t>
  </si>
  <si>
    <t>New</t>
  </si>
  <si>
    <t>General Service Single Phase Unmetered</t>
  </si>
  <si>
    <t>General Service Single Phase - Net Meter</t>
  </si>
  <si>
    <t>General Service Three Phase - Net Meter</t>
  </si>
  <si>
    <t>ODRSE010</t>
  </si>
  <si>
    <t>KUUM_465CU</t>
  </si>
  <si>
    <t>LS 465CU: OH HPS Cobra Hd 50000L Fixture</t>
  </si>
  <si>
    <t>KUCSR781</t>
  </si>
  <si>
    <t>CSR30 Option A - Primary</t>
  </si>
  <si>
    <t>MAR 2014</t>
  </si>
  <si>
    <t>APR 2014</t>
  </si>
  <si>
    <t>MAY 2014</t>
  </si>
  <si>
    <t>JUN 2014</t>
  </si>
  <si>
    <t>KUCSR780</t>
  </si>
  <si>
    <t>CSR30 Option A - Transmission</t>
  </si>
  <si>
    <t>ODCME110C</t>
  </si>
  <si>
    <t>General Service - Commercial</t>
  </si>
  <si>
    <t>ODUM_428</t>
  </si>
  <si>
    <t>POLT 428: HPS Yard Type 9,500L - Res</t>
  </si>
  <si>
    <t>Energy Rate-Bundled Balance</t>
  </si>
  <si>
    <t>Appolo Fuels</t>
  </si>
  <si>
    <t>D&amp;C Mining</t>
  </si>
  <si>
    <t>Bell Co Coal Corp</t>
  </si>
  <si>
    <t>Metalsa Structural Products</t>
  </si>
  <si>
    <t>Ryder Systems</t>
  </si>
  <si>
    <t>Navistar</t>
  </si>
  <si>
    <t>Nestle</t>
  </si>
  <si>
    <t>New in January 2014</t>
  </si>
  <si>
    <t>Middlesboro Mining Operations</t>
  </si>
  <si>
    <t>New in April 2014</t>
  </si>
  <si>
    <t>EZ Pack Refuse Handling</t>
  </si>
  <si>
    <t>New in May 2014</t>
  </si>
  <si>
    <t>Fox Knob Coal Company</t>
  </si>
  <si>
    <t>Actual Number of Customer-Months for the 13-Month Period</t>
  </si>
  <si>
    <t>Customer-Months Switching TO the Rate</t>
  </si>
  <si>
    <t>Customer-Months Switching FROM the Rate</t>
  </si>
  <si>
    <t>See:  Rates/Rate Case 2014/Billing Determinants/Rate Switching/KU Rate Switch.xlsx, "Summary" for source data</t>
  </si>
  <si>
    <t>Residential Service including VFD including rate switching</t>
  </si>
  <si>
    <t>Average Number of Customers, Adjusted for Rate Switching</t>
  </si>
  <si>
    <t>End of Year count</t>
  </si>
  <si>
    <t>Test Yr Count</t>
  </si>
  <si>
    <t>Adj</t>
  </si>
  <si>
    <t>13th month count</t>
  </si>
  <si>
    <t>Time of Day</t>
  </si>
  <si>
    <t>Outdoor Lighting</t>
  </si>
  <si>
    <t>Restricted Lighting Service</t>
  </si>
  <si>
    <t>Test Yr KWH</t>
  </si>
  <si>
    <t>13th month KWH</t>
  </si>
  <si>
    <t>Rate Class total</t>
  </si>
  <si>
    <t>12 Mon Results</t>
  </si>
  <si>
    <t>Lights Total</t>
  </si>
  <si>
    <t>12 Mon Lights</t>
  </si>
  <si>
    <t>from jurisdictional separation study, page 12, line 38</t>
  </si>
  <si>
    <t>ties to jurisdictional separation study, page 12, line 34</t>
  </si>
  <si>
    <t>Test Yr Revenue</t>
  </si>
  <si>
    <t>jurisdictional 926 expense, page 12 line 24</t>
  </si>
  <si>
    <t>total labor,  jurisdiction separation study page 19, line 29 minus pensions and benefits (see below)</t>
  </si>
  <si>
    <t>13th Month FAC</t>
  </si>
  <si>
    <t>13th Month Base ECR</t>
  </si>
  <si>
    <t>June 2013 Revenues at Current Rates</t>
  </si>
  <si>
    <t>June 2013 Actual FAC Revenues</t>
  </si>
  <si>
    <t>June 2013 Base ECR Revenue</t>
  </si>
  <si>
    <t>Base + FAC Revenues From Customers Switching TO the Rate Before the Rate Switch (Current Rates)</t>
  </si>
  <si>
    <t>Base + FAC Revenues From Customers Switching FROM the Rate Before the Rate Switch (Current Rates)</t>
  </si>
  <si>
    <t>less:  Test Year ECR Base Revenues</t>
  </si>
  <si>
    <t>Ourdoor Lighting</t>
  </si>
  <si>
    <t>010</t>
  </si>
  <si>
    <t>020</t>
  </si>
  <si>
    <t>566-power factor</t>
  </si>
  <si>
    <t>025</t>
  </si>
  <si>
    <t>RS three phase</t>
  </si>
  <si>
    <t>Rate RSVFD</t>
  </si>
  <si>
    <t>GS Net Metering</t>
  </si>
  <si>
    <t>JUL 2014</t>
  </si>
  <si>
    <t>Wholesale Power Sales, Paris (T)</t>
  </si>
  <si>
    <t>base period actuals</t>
  </si>
  <si>
    <t>base period forecast</t>
  </si>
  <si>
    <t>SEP 2014</t>
  </si>
  <si>
    <t>AUG 2014</t>
  </si>
  <si>
    <t>KUMNE912</t>
  </si>
  <si>
    <t>KUMNE913</t>
  </si>
  <si>
    <t>Wholesale Power Sales - Primary (T)</t>
  </si>
  <si>
    <t>Wholesale Power Sales - Transmission (T)</t>
  </si>
  <si>
    <t>RESIDENTIAL Service, including Volunteer Fire Departments</t>
  </si>
  <si>
    <t>Rate RS, Rate VFD, Rate RS with net metering</t>
  </si>
  <si>
    <t>Primary Service-Secondary</t>
  </si>
  <si>
    <t>Primary Service-Primary</t>
  </si>
  <si>
    <t>Curtailable Service Riders</t>
  </si>
  <si>
    <t>BASE PERIOD ACTUAL</t>
  </si>
  <si>
    <t>WORK PAPER REFERENCE NO(S):</t>
  </si>
  <si>
    <t>DATA:  __X__ BASE PERIOD  ____  FORECAST PERIOD</t>
  </si>
  <si>
    <t xml:space="preserve">    Customers</t>
  </si>
  <si>
    <t xml:space="preserve">    kWh</t>
  </si>
  <si>
    <t>Tariff Effective Date</t>
  </si>
  <si>
    <t>Rate Code</t>
  </si>
  <si>
    <t xml:space="preserve">    kWh, Period 1</t>
  </si>
  <si>
    <t xml:space="preserve">    kWh, Period 2</t>
  </si>
  <si>
    <t xml:space="preserve">    kWh, Period 3</t>
  </si>
  <si>
    <t>Minimum Peak Demands</t>
  </si>
  <si>
    <t>TYPE OF FILING: __X__ ORIGINAL  _____ UPDATED  _____ REVISED</t>
  </si>
  <si>
    <t>Installed Lights</t>
  </si>
  <si>
    <t>Base Period</t>
  </si>
  <si>
    <t>Total Lighting Service Rate LS</t>
  </si>
  <si>
    <t>Correction Factor:</t>
  </si>
  <si>
    <t>CSR10T</t>
  </si>
  <si>
    <t>CSR10P</t>
  </si>
  <si>
    <t>CSR30T</t>
  </si>
  <si>
    <t>CSR30P</t>
  </si>
  <si>
    <t>CSR10</t>
  </si>
  <si>
    <t>CSR30</t>
  </si>
  <si>
    <t>Curtailable Service Rider 10</t>
  </si>
  <si>
    <t>Curtailable Service Rider 30</t>
  </si>
  <si>
    <t>Redundant Capacity Rider (not included in Total Demand)</t>
  </si>
  <si>
    <t>CSR-FLST</t>
  </si>
  <si>
    <t>OCT 2014</t>
  </si>
  <si>
    <t>NOV 2014</t>
  </si>
  <si>
    <t>DEC 2014</t>
  </si>
  <si>
    <t>JAN 2015</t>
  </si>
  <si>
    <t>FEB 2015</t>
  </si>
  <si>
    <t>Residential Service Low Emission Vehicle Service (To be designated Residential Time of Day Energy Service for a three year pilot)</t>
  </si>
  <si>
    <t xml:space="preserve">Number of </t>
  </si>
  <si>
    <t>Demand Billings, in kW</t>
  </si>
  <si>
    <t>Winter Metered Demand</t>
  </si>
  <si>
    <t>Summer Metered Demand</t>
  </si>
  <si>
    <t>Demand Billings in kW</t>
  </si>
  <si>
    <t>Base Period Metered Demand</t>
  </si>
  <si>
    <t>Base Period Billed Minimum Demand</t>
  </si>
  <si>
    <t>Intermediate Period Metered Demand</t>
  </si>
  <si>
    <t>Intermediate Period Billed Minimum Demand</t>
  </si>
  <si>
    <t>Peak Period Metered Demand</t>
  </si>
  <si>
    <t>Peak Period Billed Minimum Demand</t>
  </si>
  <si>
    <t>Summer Billed Minimum Demand</t>
  </si>
  <si>
    <t>Winter Billed Minimum Demand</t>
  </si>
  <si>
    <t>Demand Billings in kVA</t>
  </si>
  <si>
    <t>KU GS Single</t>
  </si>
  <si>
    <t>Lawson</t>
  </si>
  <si>
    <t>UI Planner Output</t>
  </si>
  <si>
    <t>KU GS 3ph</t>
  </si>
  <si>
    <t>Customer Count Discrepancy</t>
  </si>
  <si>
    <t>Forecast</t>
  </si>
  <si>
    <t>Jul 2015</t>
  </si>
  <si>
    <t>Aug 2015</t>
  </si>
  <si>
    <t>Sep 2015</t>
  </si>
  <si>
    <t>Oct 2015</t>
  </si>
  <si>
    <t>Nov 2015</t>
  </si>
  <si>
    <t>Dec 2015</t>
  </si>
  <si>
    <t>Jan 2016</t>
  </si>
  <si>
    <t>Feb 2016</t>
  </si>
  <si>
    <t>Mar 2016</t>
  </si>
  <si>
    <t>Apr 2016</t>
  </si>
  <si>
    <t>May 2016</t>
  </si>
  <si>
    <t>Jun 2016</t>
  </si>
  <si>
    <t>Customer Count-Forecast Period</t>
  </si>
  <si>
    <t>Lighting Service, including LS and RLS</t>
  </si>
  <si>
    <t>Jan 2014</t>
  </si>
  <si>
    <t>Feb 2014</t>
  </si>
  <si>
    <t>Mar 2014</t>
  </si>
  <si>
    <t>Apr 2014</t>
  </si>
  <si>
    <t>May 2014</t>
  </si>
  <si>
    <t>Jun 2014</t>
  </si>
  <si>
    <t>Jul 2014</t>
  </si>
  <si>
    <t>Aug 2014</t>
  </si>
  <si>
    <t>Sep 2013</t>
  </si>
  <si>
    <t>Oct 2013</t>
  </si>
  <si>
    <t>Nov 2013</t>
  </si>
  <si>
    <t>Dec 2013</t>
  </si>
  <si>
    <t>Used Feb 2014 actuals adjusted for actual prorated billings</t>
  </si>
  <si>
    <t>Used Jan 2014 actuals adjusted for actual prorated billings</t>
  </si>
  <si>
    <t>Used Dec 2013 actual adjusted to reflect actual adjusted and prorated billings</t>
  </si>
  <si>
    <t>Forecast lighting total</t>
  </si>
  <si>
    <t>LE forecast (forecast energy at current rate)</t>
  </si>
  <si>
    <t>TE forecast (forecast energy at current rate)</t>
  </si>
  <si>
    <t>Lighting revenue per forecast</t>
  </si>
  <si>
    <t>Calculated lighting revenue</t>
  </si>
  <si>
    <t>Used Sep 2014 actuals adjusted for actual prorated billings</t>
  </si>
  <si>
    <t>Used Oct 2013 actuals adjusted for actual prorated billings</t>
  </si>
  <si>
    <t>Used Nov 2013 actuals adjusted for actual prorated billings</t>
  </si>
  <si>
    <t>Base Revenue</t>
  </si>
  <si>
    <t>Total Lighting Service Rate RLS</t>
  </si>
  <si>
    <t>kWh Billed</t>
  </si>
  <si>
    <t>Average Consumption in kWh</t>
  </si>
  <si>
    <t>Witness:  M.J. Blake</t>
  </si>
  <si>
    <t>All Electric School Service</t>
  </si>
  <si>
    <t>Schedule M-1.2</t>
  </si>
  <si>
    <t>0</t>
  </si>
  <si>
    <t>Page 1 of 1</t>
  </si>
  <si>
    <t>Schedule M-1.1</t>
  </si>
  <si>
    <t>Total Revenue at Present Rates</t>
  </si>
  <si>
    <t>Other Operating Revenues:</t>
  </si>
  <si>
    <t>Late Payment Charge</t>
  </si>
  <si>
    <t>Other Miscellaneous Revenues</t>
  </si>
  <si>
    <t>TOTAL OPERATING REVENUES</t>
  </si>
  <si>
    <t>Total Sales to Ultimate Consumers</t>
  </si>
  <si>
    <t>Annual Revenues at Present Rates</t>
  </si>
  <si>
    <t>Average Bill at Present Rates</t>
  </si>
  <si>
    <t>Low Emission Vehicle Service (will be converted to proposed RTODE)</t>
  </si>
  <si>
    <t>Time of Day Secondary</t>
  </si>
  <si>
    <t>Time of Day Primary</t>
  </si>
  <si>
    <t>Schedule M-1.3</t>
  </si>
  <si>
    <t>GENERAL SERVICE RATE GS</t>
  </si>
  <si>
    <t>ALL ELECTRIC SCHOOL RATE AES</t>
  </si>
  <si>
    <t>AES Single Phase</t>
  </si>
  <si>
    <t>allocate ODL to LS &amp; RLS on basis of actuals</t>
  </si>
  <si>
    <t>total LS</t>
  </si>
  <si>
    <t>total RLS</t>
  </si>
  <si>
    <t xml:space="preserve">Total LS and RLS Combined Test Year Adjusted Revenues </t>
  </si>
  <si>
    <t>Low Emission Vehicle Service (proposed RTODE)</t>
  </si>
  <si>
    <t>Page 1 of 18</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</si>
</sst>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00000_);_(&quot;$&quot;* \(#,##0.00000\);_(&quot;$&quot;* &quot;-&quot;??_);_(@_)"/>
    <numFmt numFmtId="167" formatCode="_(* #,##0.000000_);_(* \(#,##0.000000\);_(* &quot;-&quot;??_);_(@_)"/>
    <numFmt numFmtId="168" formatCode="#,##0.00;\-#,##0.00;#,##0.00;@"/>
    <numFmt numFmtId="169" formatCode="#,##0;\-#,##0;#,##0;@"/>
    <numFmt numFmtId="170" formatCode="[$-409]mmm\-yy;@"/>
    <numFmt numFmtId="171" formatCode="#,##0.000;\-#,##0.000;#,##0.000;@"/>
    <numFmt numFmtId="172" formatCode="[$-409]mmmm\ d\,\ yyyy;@"/>
    <numFmt numFmtId="173" formatCode="0_);\(0\)"/>
    <numFmt numFmtId="174" formatCode="_(&quot;$&quot;* #,##0_);_(&quot;$&quot;* \(#,##0\);_(&quot;$&quot;* &quot;-&quot;??_);_(@_)"/>
    <numFmt numFmtId="175" formatCode="[$-409]mmmm\-yy;@"/>
    <numFmt numFmtId="176" formatCode="General_)"/>
    <numFmt numFmtId="177" formatCode="&quot;$&quot;#,##0.00"/>
    <numFmt numFmtId="178" formatCode="0.000000000"/>
    <numFmt numFmtId="179" formatCode="0.000000"/>
    <numFmt numFmtId="180" formatCode="mm/dd/yy;@"/>
    <numFmt numFmtId="181" formatCode="&quot;$&quot;#,##0\ ;\(&quot;$&quot;#,##0\)"/>
    <numFmt numFmtId="182" formatCode="0.0000000"/>
    <numFmt numFmtId="183" formatCode="_(* #,##0.0_);_(* \(#,##0.0\);_(* &quot;-&quot;??_);_(@_)"/>
    <numFmt numFmtId="184" formatCode="&quot;$&quot;#,##0.00000"/>
    <numFmt numFmtId="185" formatCode=";;;"/>
    <numFmt numFmtId="186" formatCode="_(* #,##0.00000_);_(* \(#,##0.00000\);_(* &quot;-&quot;_);_(@_)"/>
    <numFmt numFmtId="187" formatCode="_(* #,##0.000000000_);_(* \(#,##0.000000000\);_(* &quot;-&quot;_);_(@_)"/>
    <numFmt numFmtId="188" formatCode="0.000%"/>
    <numFmt numFmtId="189" formatCode="_(&quot;$&quot;* #,##0.000000_);_(&quot;$&quot;* \(#,##0.000000\);_(&quot;$&quot;* &quot;-&quot;??_);_(@_)"/>
    <numFmt numFmtId="190" formatCode="_(* #,##0.000_);_(* \(#,##0.000\);_(* &quot;-&quot;_);_(@_)"/>
    <numFmt numFmtId="191" formatCode="0\ 00\ 000\ 000"/>
    <numFmt numFmtId="192" formatCode="[$-409]d\-mmm\-yy;@"/>
    <numFmt numFmtId="193" formatCode="_-* #,##0.00\ [$€]_-;\-* #,##0.00\ [$€]_-;_-* &quot;-&quot;??\ [$€]_-;_-@_-"/>
    <numFmt numFmtId="194" formatCode="_([$€-2]* #,##0.00_);_([$€-2]* \(#,##0.00\);_([$€-2]* &quot;-&quot;??_)"/>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00000000"/>
    <numFmt numFmtId="200" formatCode="[$-409]d\-mmm\-yyyy;@"/>
    <numFmt numFmtId="201" formatCode="#,##0.00;[Red]\(#,##0.00\)"/>
    <numFmt numFmtId="202" formatCode="###,000"/>
    <numFmt numFmtId="203" formatCode="#,##0_);[Red]\(#,##0\);&quot; &quot;"/>
  </numFmts>
  <fonts count="187">
    <font>
      <sz val="9"/>
      <color theme="1"/>
      <name val="Times New Roman"/>
      <family val="2"/>
    </font>
    <font>
      <sz val="11"/>
      <color theme="1"/>
      <name val="Calibri"/>
      <family val="2"/>
      <scheme val="minor"/>
    </font>
    <font>
      <sz val="9"/>
      <color theme="1"/>
      <name val="Times New Roman"/>
      <family val="2"/>
    </font>
    <font>
      <sz val="8"/>
      <color rgb="FF000000"/>
      <name val="Arial"/>
      <family val="2"/>
    </font>
    <font>
      <sz val="9"/>
      <color rgb="FF0000FF"/>
      <name val="Times New Roman"/>
      <family val="2"/>
    </font>
    <font>
      <u val="singleAccounting"/>
      <sz val="9"/>
      <color theme="1"/>
      <name val="Times New Roman"/>
      <family val="2"/>
    </font>
    <font>
      <sz val="9"/>
      <name val="Times New Roman"/>
      <family val="1"/>
    </font>
    <font>
      <sz val="8"/>
      <color theme="1"/>
      <name val="Times New Roman"/>
      <family val="2"/>
    </font>
    <font>
      <u/>
      <sz val="9"/>
      <color theme="1"/>
      <name val="Times New Roman"/>
      <family val="2"/>
    </font>
    <font>
      <b/>
      <i/>
      <sz val="9"/>
      <color theme="1"/>
      <name val="Times New Roman"/>
      <family val="1"/>
    </font>
    <font>
      <sz val="10"/>
      <name val="Arial"/>
      <family val="2"/>
    </font>
    <font>
      <sz val="10"/>
      <name val="Times New Roman"/>
      <family val="1"/>
    </font>
    <font>
      <i/>
      <sz val="10"/>
      <name val="Times New Roman"/>
      <family val="1"/>
    </font>
    <font>
      <b/>
      <sz val="10"/>
      <name val="Times New Roman"/>
      <family val="1"/>
    </font>
    <font>
      <u val="singleAccounting"/>
      <sz val="10"/>
      <name val="Times New Roman"/>
      <family val="1"/>
    </font>
    <font>
      <u val="doubleAccounting"/>
      <sz val="10"/>
      <name val="Times New Roman"/>
      <family val="1"/>
    </font>
    <font>
      <b/>
      <u val="doubleAccounting"/>
      <sz val="10"/>
      <name val="Times New Roman"/>
      <family val="1"/>
    </font>
    <font>
      <sz val="9"/>
      <name val="Times New Roman"/>
      <family val="2"/>
    </font>
    <font>
      <sz val="8"/>
      <color theme="1"/>
      <name val="Calibri"/>
      <family val="2"/>
      <scheme val="minor"/>
    </font>
    <font>
      <b/>
      <sz val="8"/>
      <color theme="1"/>
      <name val="Calibri"/>
      <family val="2"/>
      <scheme val="minor"/>
    </font>
    <font>
      <sz val="11"/>
      <color theme="1"/>
      <name val="Calibri"/>
      <family val="2"/>
      <scheme val="minor"/>
    </font>
    <font>
      <sz val="7"/>
      <color theme="1"/>
      <name val="Times New Roman"/>
      <family val="2"/>
    </font>
    <font>
      <u val="doubleAccounting"/>
      <sz val="9"/>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name val="Times New Roman"/>
      <family val="2"/>
    </font>
    <font>
      <i/>
      <sz val="10"/>
      <name val="Times New Roman"/>
      <family val="2"/>
    </font>
    <font>
      <b/>
      <sz val="10"/>
      <name val="Times New Roman"/>
      <family val="2"/>
    </font>
    <font>
      <sz val="8"/>
      <name val="Times New Roman"/>
      <family val="2"/>
    </font>
    <font>
      <sz val="7"/>
      <name val="Times New Roman"/>
      <family val="2"/>
    </font>
    <font>
      <u val="singleAccounting"/>
      <sz val="10"/>
      <name val="Times New Roman"/>
      <family val="2"/>
    </font>
    <font>
      <u val="doubleAccounting"/>
      <sz val="10"/>
      <name val="Times New Roman"/>
      <family val="2"/>
    </font>
    <font>
      <b/>
      <u val="doubleAccounting"/>
      <sz val="10"/>
      <name val="Times New Roman"/>
      <family val="2"/>
    </font>
    <font>
      <sz val="10"/>
      <name val="Arial (W1)"/>
    </font>
    <font>
      <sz val="12"/>
      <name val="Times New Roman"/>
      <family val="1"/>
    </font>
    <font>
      <sz val="11"/>
      <color indexed="8"/>
      <name val="Calibri"/>
      <family val="2"/>
    </font>
    <font>
      <sz val="11"/>
      <color theme="1"/>
      <name val="Times New Roman"/>
      <family val="2"/>
    </font>
    <font>
      <sz val="11"/>
      <color indexed="9"/>
      <name val="Calibri"/>
      <family val="2"/>
    </font>
    <font>
      <sz val="11"/>
      <color theme="0"/>
      <name val="Calibri"/>
      <family val="2"/>
      <scheme val="minor"/>
    </font>
    <font>
      <sz val="11"/>
      <color theme="0"/>
      <name val="Times New Roman"/>
      <family val="2"/>
    </font>
    <font>
      <sz val="11"/>
      <color indexed="20"/>
      <name val="Calibri"/>
      <family val="2"/>
    </font>
    <font>
      <sz val="11"/>
      <color rgb="FF9C0006"/>
      <name val="Calibri"/>
      <family val="2"/>
      <scheme val="minor"/>
    </font>
    <font>
      <sz val="11"/>
      <color rgb="FF9C0006"/>
      <name val="Times New Roman"/>
      <family val="2"/>
    </font>
    <font>
      <b/>
      <sz val="11"/>
      <color indexed="52"/>
      <name val="Calibri"/>
      <family val="2"/>
    </font>
    <font>
      <b/>
      <sz val="11"/>
      <color rgb="FFFA7D00"/>
      <name val="Calibri"/>
      <family val="2"/>
      <scheme val="minor"/>
    </font>
    <font>
      <b/>
      <sz val="11"/>
      <color rgb="FFFA7D00"/>
      <name val="Times New Roman"/>
      <family val="2"/>
    </font>
    <font>
      <b/>
      <sz val="11"/>
      <color indexed="10"/>
      <name val="Calibri"/>
      <family val="2"/>
    </font>
    <font>
      <b/>
      <sz val="11"/>
      <color indexed="9"/>
      <name val="Calibri"/>
      <family val="2"/>
    </font>
    <font>
      <b/>
      <sz val="11"/>
      <color theme="0"/>
      <name val="Calibri"/>
      <family val="2"/>
      <scheme val="minor"/>
    </font>
    <font>
      <b/>
      <sz val="11"/>
      <color theme="0"/>
      <name val="Times New Roman"/>
      <family val="2"/>
    </font>
    <font>
      <i/>
      <sz val="11"/>
      <color indexed="23"/>
      <name val="Calibri"/>
      <family val="2"/>
    </font>
    <font>
      <i/>
      <sz val="11"/>
      <color rgb="FF7F7F7F"/>
      <name val="Calibri"/>
      <family val="2"/>
      <scheme val="minor"/>
    </font>
    <font>
      <i/>
      <sz val="11"/>
      <color rgb="FF7F7F7F"/>
      <name val="Times New Roman"/>
      <family val="2"/>
    </font>
    <font>
      <b/>
      <sz val="10"/>
      <name val="Arial"/>
      <family val="2"/>
    </font>
    <font>
      <b/>
      <sz val="14"/>
      <name val="Arial"/>
      <family val="2"/>
    </font>
    <font>
      <sz val="8"/>
      <name val="Arial"/>
      <family val="2"/>
    </font>
    <font>
      <sz val="6"/>
      <name val="Arial"/>
      <family val="2"/>
    </font>
    <font>
      <sz val="11"/>
      <color indexed="17"/>
      <name val="Calibri"/>
      <family val="2"/>
    </font>
    <font>
      <sz val="11"/>
      <color rgb="FF006100"/>
      <name val="Calibri"/>
      <family val="2"/>
      <scheme val="minor"/>
    </font>
    <font>
      <sz val="11"/>
      <color rgb="FF006100"/>
      <name val="Times New Roman"/>
      <family val="2"/>
    </font>
    <font>
      <b/>
      <sz val="15"/>
      <color indexed="56"/>
      <name val="Calibri"/>
      <family val="2"/>
    </font>
    <font>
      <b/>
      <sz val="15"/>
      <color theme="3"/>
      <name val="Calibri"/>
      <family val="2"/>
      <scheme val="minor"/>
    </font>
    <font>
      <b/>
      <sz val="15"/>
      <color indexed="62"/>
      <name val="Calibri"/>
      <family val="2"/>
    </font>
    <font>
      <b/>
      <sz val="18"/>
      <name val="Arial"/>
      <family val="2"/>
    </font>
    <font>
      <b/>
      <sz val="13"/>
      <color indexed="56"/>
      <name val="Calibri"/>
      <family val="2"/>
    </font>
    <font>
      <b/>
      <sz val="13"/>
      <color theme="3"/>
      <name val="Calibri"/>
      <family val="2"/>
      <scheme val="minor"/>
    </font>
    <font>
      <b/>
      <sz val="13"/>
      <color indexed="62"/>
      <name val="Calibri"/>
      <family val="2"/>
    </font>
    <font>
      <b/>
      <sz val="12"/>
      <name val="Arial"/>
      <family val="2"/>
    </font>
    <font>
      <b/>
      <sz val="11"/>
      <color indexed="56"/>
      <name val="Calibri"/>
      <family val="2"/>
    </font>
    <font>
      <b/>
      <sz val="11"/>
      <color theme="3"/>
      <name val="Calibri"/>
      <family val="2"/>
      <scheme val="minor"/>
    </font>
    <font>
      <b/>
      <sz val="11"/>
      <color indexed="62"/>
      <name val="Calibri"/>
      <family val="2"/>
    </font>
    <font>
      <sz val="11"/>
      <color indexed="62"/>
      <name val="Calibri"/>
      <family val="2"/>
    </font>
    <font>
      <sz val="11"/>
      <color rgb="FF3F3F76"/>
      <name val="Calibri"/>
      <family val="2"/>
      <scheme val="minor"/>
    </font>
    <font>
      <sz val="11"/>
      <color rgb="FF3F3F76"/>
      <name val="Times New Roman"/>
      <family val="2"/>
    </font>
    <font>
      <sz val="11"/>
      <color indexed="52"/>
      <name val="Calibri"/>
      <family val="2"/>
    </font>
    <font>
      <sz val="11"/>
      <color rgb="FFFA7D00"/>
      <name val="Calibri"/>
      <family val="2"/>
      <scheme val="minor"/>
    </font>
    <font>
      <sz val="11"/>
      <color rgb="FFFA7D00"/>
      <name val="Times New Roman"/>
      <family val="2"/>
    </font>
    <font>
      <sz val="11"/>
      <color indexed="10"/>
      <name val="Calibri"/>
      <family val="2"/>
    </font>
    <font>
      <sz val="11"/>
      <color indexed="60"/>
      <name val="Calibri"/>
      <family val="2"/>
    </font>
    <font>
      <sz val="11"/>
      <color rgb="FF9C6500"/>
      <name val="Calibri"/>
      <family val="2"/>
      <scheme val="minor"/>
    </font>
    <font>
      <sz val="11"/>
      <color rgb="FF9C6500"/>
      <name val="Times New Roman"/>
      <family val="2"/>
    </font>
    <font>
      <sz val="11"/>
      <color indexed="19"/>
      <name val="Calibri"/>
      <family val="2"/>
    </font>
    <font>
      <sz val="10"/>
      <name val="MS Sans Serif"/>
      <family val="2"/>
    </font>
    <font>
      <sz val="10"/>
      <color indexed="8"/>
      <name val="Arial"/>
      <family val="2"/>
    </font>
    <font>
      <sz val="11"/>
      <color indexed="8"/>
      <name val="Times New Roman"/>
      <family val="2"/>
    </font>
    <font>
      <b/>
      <sz val="11"/>
      <color indexed="63"/>
      <name val="Calibri"/>
      <family val="2"/>
    </font>
    <font>
      <b/>
      <sz val="11"/>
      <color rgb="FF3F3F3F"/>
      <name val="Calibri"/>
      <family val="2"/>
      <scheme val="minor"/>
    </font>
    <font>
      <b/>
      <sz val="11"/>
      <color rgb="FF3F3F3F"/>
      <name val="Times New Roman"/>
      <family val="2"/>
    </font>
    <font>
      <b/>
      <i/>
      <sz val="10"/>
      <color indexed="8"/>
      <name val="Arial"/>
      <family val="2"/>
    </font>
    <font>
      <b/>
      <sz val="10"/>
      <color indexed="8"/>
      <name val="Arial"/>
      <family val="2"/>
    </font>
    <font>
      <b/>
      <i/>
      <sz val="22"/>
      <color indexed="8"/>
      <name val="Times New Roman"/>
      <family val="1"/>
    </font>
    <font>
      <b/>
      <sz val="18"/>
      <color indexed="56"/>
      <name val="Cambria"/>
      <family val="2"/>
    </font>
    <font>
      <b/>
      <sz val="18"/>
      <color indexed="62"/>
      <name val="Cambria"/>
      <family val="2"/>
    </font>
    <font>
      <b/>
      <sz val="11"/>
      <color indexed="8"/>
      <name val="Calibri"/>
      <family val="2"/>
    </font>
    <font>
      <b/>
      <sz val="11"/>
      <color theme="1"/>
      <name val="Calibri"/>
      <family val="2"/>
      <scheme val="minor"/>
    </font>
    <font>
      <b/>
      <sz val="11"/>
      <color theme="1"/>
      <name val="Times New Roman"/>
      <family val="2"/>
    </font>
    <font>
      <sz val="11"/>
      <color rgb="FFFF0000"/>
      <name val="Calibri"/>
      <family val="2"/>
      <scheme val="minor"/>
    </font>
    <font>
      <sz val="11"/>
      <color rgb="FFFF0000"/>
      <name val="Times New Roman"/>
      <family val="2"/>
    </font>
    <font>
      <sz val="9"/>
      <color theme="1"/>
      <name val="Times New Roman"/>
      <family val="1"/>
    </font>
    <font>
      <sz val="12"/>
      <name val="Times New Roman"/>
      <family val="1"/>
    </font>
    <font>
      <sz val="8"/>
      <name val="Times New Roman"/>
      <family val="1"/>
    </font>
    <font>
      <i/>
      <u val="singleAccounting"/>
      <sz val="10"/>
      <name val="Times New Roman"/>
      <family val="1"/>
    </font>
    <font>
      <sz val="9"/>
      <color theme="1"/>
      <name val="Wingdings 2"/>
      <family val="1"/>
      <charset val="2"/>
    </font>
    <font>
      <sz val="10"/>
      <name val="Wingdings 2"/>
      <family val="1"/>
      <charset val="2"/>
    </font>
    <font>
      <sz val="9"/>
      <color rgb="FF000000"/>
      <name val="Times New Roman"/>
      <family val="1"/>
    </font>
    <font>
      <u val="singleAccounting"/>
      <sz val="9"/>
      <color theme="1"/>
      <name val="Times New Roman"/>
      <family val="1"/>
    </font>
    <font>
      <sz val="9"/>
      <color indexed="81"/>
      <name val="Tahoma"/>
      <family val="2"/>
    </font>
    <font>
      <b/>
      <sz val="9"/>
      <color indexed="81"/>
      <name val="Tahoma"/>
      <family val="2"/>
    </font>
    <font>
      <u val="doubleAccounting"/>
      <sz val="9"/>
      <color theme="1"/>
      <name val="Times New Roman"/>
      <family val="1"/>
    </font>
    <font>
      <b/>
      <sz val="9"/>
      <color theme="1"/>
      <name val="Times New Roman"/>
      <family val="1"/>
    </font>
    <font>
      <b/>
      <sz val="14"/>
      <color theme="1"/>
      <name val="Times New Roman"/>
      <family val="1"/>
    </font>
    <font>
      <sz val="10"/>
      <color theme="1"/>
      <name val="Times New Roman"/>
      <family val="2"/>
    </font>
    <font>
      <sz val="7"/>
      <color theme="1"/>
      <name val="Calibri"/>
      <family val="2"/>
      <scheme val="minor"/>
    </font>
    <font>
      <sz val="9"/>
      <color theme="1"/>
      <name val="Calibri"/>
      <family val="2"/>
      <scheme val="minor"/>
    </font>
    <font>
      <b/>
      <sz val="16"/>
      <color rgb="FFFF0000"/>
      <name val="Calibri"/>
      <family val="2"/>
      <scheme val="minor"/>
    </font>
    <font>
      <sz val="9"/>
      <color rgb="FF0000FF"/>
      <name val="Calibri"/>
      <family val="2"/>
      <scheme val="minor"/>
    </font>
    <font>
      <sz val="9"/>
      <name val="Calibri"/>
      <family val="2"/>
      <scheme val="minor"/>
    </font>
    <font>
      <sz val="7"/>
      <name val="Calibri"/>
      <family val="2"/>
      <scheme val="minor"/>
    </font>
    <font>
      <sz val="8"/>
      <color rgb="FF000000"/>
      <name val="Calibri"/>
      <family val="2"/>
      <scheme val="minor"/>
    </font>
    <font>
      <b/>
      <sz val="8"/>
      <color rgb="FF000000"/>
      <name val="Calibri"/>
      <family val="2"/>
      <scheme val="minor"/>
    </font>
    <font>
      <u val="singleAccounting"/>
      <sz val="9"/>
      <color theme="1"/>
      <name val="Calibri"/>
      <family val="2"/>
      <scheme val="minor"/>
    </font>
    <font>
      <sz val="10"/>
      <name val="Calibri"/>
      <family val="2"/>
      <scheme val="minor"/>
    </font>
    <font>
      <i/>
      <sz val="10"/>
      <name val="Calibri"/>
      <family val="2"/>
      <scheme val="minor"/>
    </font>
    <font>
      <b/>
      <sz val="10"/>
      <name val="Calibri"/>
      <family val="2"/>
      <scheme val="minor"/>
    </font>
    <font>
      <sz val="8"/>
      <name val="Calibri"/>
      <family val="2"/>
      <scheme val="minor"/>
    </font>
    <font>
      <u val="singleAccounting"/>
      <sz val="10"/>
      <name val="Calibri"/>
      <family val="2"/>
      <scheme val="minor"/>
    </font>
    <font>
      <u val="doubleAccounting"/>
      <sz val="10"/>
      <name val="Calibri"/>
      <family val="2"/>
      <scheme val="minor"/>
    </font>
    <font>
      <b/>
      <u val="doubleAccounting"/>
      <sz val="10"/>
      <name val="Calibri"/>
      <family val="2"/>
      <scheme val="minor"/>
    </font>
    <font>
      <sz val="8"/>
      <color rgb="FF0000FF"/>
      <name val="Calibri"/>
      <family val="2"/>
      <scheme val="minor"/>
    </font>
    <font>
      <u/>
      <sz val="10"/>
      <name val="Calibri"/>
      <family val="2"/>
      <scheme val="minor"/>
    </font>
    <font>
      <u val="double"/>
      <sz val="10"/>
      <name val="Calibri"/>
      <family val="2"/>
      <scheme val="minor"/>
    </font>
    <font>
      <sz val="9"/>
      <color rgb="FF000000"/>
      <name val="Calibri"/>
      <family val="2"/>
      <scheme val="minor"/>
    </font>
    <font>
      <u/>
      <sz val="9"/>
      <color theme="1"/>
      <name val="Calibri"/>
      <family val="2"/>
      <scheme val="minor"/>
    </font>
    <font>
      <u val="doubleAccounting"/>
      <sz val="9"/>
      <color theme="1"/>
      <name val="Calibri"/>
      <family val="2"/>
      <scheme val="minor"/>
    </font>
    <font>
      <sz val="12"/>
      <name val="Helv"/>
    </font>
    <font>
      <sz val="10"/>
      <name val="Helv"/>
    </font>
    <font>
      <b/>
      <sz val="10"/>
      <color indexed="52"/>
      <name val="Arial"/>
      <family val="2"/>
    </font>
    <font>
      <sz val="10"/>
      <color indexed="17"/>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Tahoma"/>
      <family val="2"/>
    </font>
    <font>
      <sz val="11"/>
      <name val="Times New Roman"/>
      <family val="1"/>
    </font>
    <font>
      <sz val="10"/>
      <color rgb="FF000000"/>
      <name val="Times New Roman"/>
      <family val="1"/>
    </font>
    <font>
      <sz val="12"/>
      <name val="Arial"/>
      <family val="2"/>
    </font>
    <font>
      <sz val="12"/>
      <name val="Tms Rmn"/>
    </font>
    <font>
      <sz val="18"/>
      <name val="Arial"/>
      <family val="2"/>
    </font>
    <font>
      <b/>
      <sz val="15"/>
      <color indexed="62"/>
      <name val="Arial"/>
      <family val="2"/>
    </font>
    <font>
      <b/>
      <sz val="13"/>
      <color indexed="62"/>
      <name val="Arial"/>
      <family val="2"/>
    </font>
    <font>
      <u/>
      <sz val="10"/>
      <color indexed="12"/>
      <name val="Arial"/>
      <family val="2"/>
    </font>
    <font>
      <sz val="10"/>
      <color indexed="62"/>
      <name val="Arial"/>
      <family val="2"/>
    </font>
    <font>
      <b/>
      <sz val="12"/>
      <name val="Tms Rmn"/>
    </font>
    <font>
      <sz val="10"/>
      <name val="Courier"/>
      <family val="3"/>
    </font>
    <font>
      <sz val="11"/>
      <color indexed="8"/>
      <name val="Times New Roman"/>
      <family val="1"/>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16"/>
      <color indexed="13"/>
      <name val="Arial"/>
      <family val="2"/>
    </font>
    <font>
      <b/>
      <sz val="22"/>
      <color indexed="8"/>
      <name val="Times New Roman"/>
      <family val="1"/>
    </font>
    <font>
      <sz val="12"/>
      <color indexed="10"/>
      <name val="Times New Roman"/>
      <family val="1"/>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sz val="8"/>
      <color indexed="8"/>
      <name val="Wingdings"/>
      <charset val="2"/>
    </font>
    <font>
      <sz val="10"/>
      <color theme="1"/>
      <name val="Calibri"/>
      <family val="2"/>
      <scheme val="minor"/>
    </font>
    <font>
      <b/>
      <u val="singleAccounting"/>
      <sz val="10"/>
      <name val="Calibri"/>
      <family val="2"/>
      <scheme val="minor"/>
    </font>
    <font>
      <b/>
      <sz val="9"/>
      <color theme="1"/>
      <name val="Calibri"/>
      <family val="2"/>
      <scheme val="minor"/>
    </font>
    <font>
      <b/>
      <sz val="10"/>
      <color theme="1"/>
      <name val="Calibri"/>
      <family val="2"/>
      <scheme val="minor"/>
    </font>
    <font>
      <u val="singleAccounting"/>
      <sz val="10"/>
      <color theme="1"/>
      <name val="Calibri"/>
      <family val="2"/>
      <scheme val="minor"/>
    </font>
    <font>
      <u/>
      <sz val="10"/>
      <color theme="1"/>
      <name val="Calibri"/>
      <family val="2"/>
      <scheme val="minor"/>
    </font>
    <font>
      <u val="doubleAccounting"/>
      <sz val="10"/>
      <color theme="1"/>
      <name val="Calibri"/>
      <family val="2"/>
      <scheme val="minor"/>
    </font>
    <font>
      <u val="singleAccounting"/>
      <sz val="8"/>
      <color rgb="FF000000"/>
      <name val="Calibri"/>
      <family val="2"/>
      <scheme val="minor"/>
    </font>
    <font>
      <sz val="11"/>
      <name val="Calibri"/>
      <family val="2"/>
      <scheme val="minor"/>
    </font>
  </fonts>
  <fills count="102">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C6C4C4"/>
        <bgColor indexed="64"/>
      </patternFill>
    </fill>
    <fill>
      <patternFill patternType="solid">
        <fgColor rgb="FFFFFFFF"/>
        <bgColor indexed="64"/>
      </patternFill>
    </fill>
    <fill>
      <patternFill patternType="solid">
        <fgColor rgb="FFE9EEF4"/>
        <bgColor indexed="64"/>
      </patternFill>
    </fill>
    <fill>
      <patternFill patternType="solid">
        <fgColor rgb="FFFFF843"/>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solid">
        <fgColor theme="8" tint="0.59999389629810485"/>
        <bgColor indexed="64"/>
      </patternFill>
    </fill>
    <fill>
      <patternFill patternType="solid">
        <fgColor rgb="FF0000FF"/>
        <bgColor indexed="64"/>
      </patternFill>
    </fill>
    <fill>
      <patternFill patternType="solid">
        <fgColor theme="6" tint="0.39997558519241921"/>
        <bgColor indexed="64"/>
      </patternFill>
    </fill>
    <fill>
      <patternFill patternType="solid">
        <fgColor indexed="22"/>
        <bgColor indexed="64"/>
      </patternFill>
    </fill>
    <fill>
      <patternFill patternType="solid">
        <fgColor indexed="32"/>
      </patternFill>
    </fill>
    <fill>
      <patternFill patternType="solid">
        <fgColor indexed="12"/>
      </patternFill>
    </fill>
    <fill>
      <patternFill patternType="solid">
        <fgColor indexed="9"/>
        <bgColor indexed="9"/>
      </patternFill>
    </fill>
    <fill>
      <patternFill patternType="solid">
        <fgColor indexed="13"/>
      </patternFill>
    </fill>
    <fill>
      <patternFill patternType="solid">
        <fgColor indexed="17"/>
      </patternFill>
    </fill>
    <fill>
      <patternFill patternType="solid">
        <fgColor indexed="26"/>
        <bgColor indexed="14"/>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s>
  <borders count="77">
    <border>
      <left/>
      <right/>
      <top/>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top style="medium">
        <color rgb="FFAEAEAE"/>
      </top>
      <bottom style="medium">
        <color rgb="FFAEAEAE"/>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rgb="FFAEAEAE"/>
      </left>
      <right/>
      <top style="medium">
        <color rgb="FFAEAEAE"/>
      </top>
      <bottom/>
      <diagonal/>
    </border>
    <border>
      <left/>
      <right/>
      <top style="medium">
        <color rgb="FFAEAEAE"/>
      </top>
      <bottom/>
      <diagonal/>
    </border>
    <border>
      <left/>
      <right style="medium">
        <color rgb="FFAEAEAE"/>
      </right>
      <top style="medium">
        <color rgb="FFAEAEAE"/>
      </top>
      <bottom/>
      <diagonal/>
    </border>
    <border>
      <left style="medium">
        <color rgb="FFAEAEAE"/>
      </left>
      <right/>
      <top/>
      <bottom/>
      <diagonal/>
    </border>
    <border>
      <left/>
      <right/>
      <top/>
      <bottom style="medium">
        <color rgb="FFAEAEAE"/>
      </bottom>
      <diagonal/>
    </border>
    <border>
      <left/>
      <right style="medium">
        <color rgb="FFAEAEAE"/>
      </right>
      <top/>
      <bottom style="medium">
        <color rgb="FFAEAEAE"/>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double">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top/>
      <bottom style="thick">
        <color indexed="49"/>
      </bottom>
      <diagonal/>
    </border>
    <border>
      <left/>
      <right/>
      <top/>
      <bottom style="thick">
        <color indexed="25"/>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s>
  <cellStyleXfs count="15121">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75" fontId="10" fillId="0" borderId="0"/>
    <xf numFmtId="0" fontId="18" fillId="0" borderId="0"/>
    <xf numFmtId="0" fontId="10" fillId="0" borderId="0"/>
    <xf numFmtId="43" fontId="18" fillId="0" borderId="0" applyFont="0" applyFill="0" applyBorder="0" applyAlignment="0" applyProtection="0"/>
    <xf numFmtId="0" fontId="20" fillId="0" borderId="0"/>
    <xf numFmtId="0" fontId="20" fillId="0" borderId="0"/>
    <xf numFmtId="0" fontId="20"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20"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7" fillId="50" borderId="0" applyNumberFormat="0" applyBorder="0" applyAlignment="0" applyProtection="0"/>
    <xf numFmtId="175" fontId="38" fillId="26" borderId="0" applyNumberFormat="0" applyBorder="0" applyAlignment="0" applyProtection="0"/>
    <xf numFmtId="175" fontId="37" fillId="50"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0" fontId="20" fillId="26"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7" fillId="50"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8" fillId="26" borderId="0" applyNumberFormat="0" applyBorder="0" applyAlignment="0" applyProtection="0"/>
    <xf numFmtId="175" fontId="37" fillId="50"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49"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20"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7" fillId="52" borderId="0" applyNumberFormat="0" applyBorder="0" applyAlignment="0" applyProtection="0"/>
    <xf numFmtId="175" fontId="38" fillId="30" borderId="0" applyNumberFormat="0" applyBorder="0" applyAlignment="0" applyProtection="0"/>
    <xf numFmtId="175" fontId="37" fillId="52"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0" fontId="20" fillId="30"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7" fillId="52"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8" fillId="30" borderId="0" applyNumberFormat="0" applyBorder="0" applyAlignment="0" applyProtection="0"/>
    <xf numFmtId="175" fontId="37" fillId="52"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20"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7" fillId="54" borderId="0" applyNumberFormat="0" applyBorder="0" applyAlignment="0" applyProtection="0"/>
    <xf numFmtId="175" fontId="38" fillId="34" borderId="0" applyNumberFormat="0" applyBorder="0" applyAlignment="0" applyProtection="0"/>
    <xf numFmtId="175" fontId="37" fillId="5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0" fontId="20" fillId="3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7" fillId="5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8" fillId="34" borderId="0" applyNumberFormat="0" applyBorder="0" applyAlignment="0" applyProtection="0"/>
    <xf numFmtId="175" fontId="37" fillId="54"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3"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20"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7" fillId="56" borderId="0" applyNumberFormat="0" applyBorder="0" applyAlignment="0" applyProtection="0"/>
    <xf numFmtId="175" fontId="38" fillId="38" borderId="0" applyNumberFormat="0" applyBorder="0" applyAlignment="0" applyProtection="0"/>
    <xf numFmtId="175" fontId="37" fillId="56"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0" fontId="20" fillId="38"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7" fillId="56"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8" fillId="38" borderId="0" applyNumberFormat="0" applyBorder="0" applyAlignment="0" applyProtection="0"/>
    <xf numFmtId="175" fontId="37" fillId="56"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20"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7" fillId="57" borderId="0" applyNumberFormat="0" applyBorder="0" applyAlignment="0" applyProtection="0"/>
    <xf numFmtId="175" fontId="38" fillId="42" borderId="0" applyNumberFormat="0" applyBorder="0" applyAlignment="0" applyProtection="0"/>
    <xf numFmtId="175" fontId="37" fillId="57"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0" fontId="20" fillId="42"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7" fillId="57"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8" fillId="42"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20"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7" fillId="54" borderId="0" applyNumberFormat="0" applyBorder="0" applyAlignment="0" applyProtection="0"/>
    <xf numFmtId="175" fontId="38" fillId="46" borderId="0" applyNumberFormat="0" applyBorder="0" applyAlignment="0" applyProtection="0"/>
    <xf numFmtId="175" fontId="37" fillId="54"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0" fontId="20" fillId="46"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7" fillId="54"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8" fillId="46" borderId="0" applyNumberFormat="0" applyBorder="0" applyAlignment="0" applyProtection="0"/>
    <xf numFmtId="175" fontId="37" fillId="54"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6"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20"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7" fillId="57" borderId="0" applyNumberFormat="0" applyBorder="0" applyAlignment="0" applyProtection="0"/>
    <xf numFmtId="175" fontId="38" fillId="27" borderId="0" applyNumberFormat="0" applyBorder="0" applyAlignment="0" applyProtection="0"/>
    <xf numFmtId="175" fontId="37" fillId="5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0" fontId="20" fillId="2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7" fillId="5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8" fillId="27" borderId="0" applyNumberFormat="0" applyBorder="0" applyAlignment="0" applyProtection="0"/>
    <xf numFmtId="175" fontId="37" fillId="57"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20"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7" fillId="52" borderId="0" applyNumberFormat="0" applyBorder="0" applyAlignment="0" applyProtection="0"/>
    <xf numFmtId="175" fontId="38" fillId="31" borderId="0" applyNumberFormat="0" applyBorder="0" applyAlignment="0" applyProtection="0"/>
    <xf numFmtId="175" fontId="37" fillId="52"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0" fontId="20" fillId="31"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7" fillId="52"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8" fillId="31"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2"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20"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7" fillId="59" borderId="0" applyNumberFormat="0" applyBorder="0" applyAlignment="0" applyProtection="0"/>
    <xf numFmtId="175" fontId="38" fillId="35" borderId="0" applyNumberFormat="0" applyBorder="0" applyAlignment="0" applyProtection="0"/>
    <xf numFmtId="175" fontId="37" fillId="59"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175" fontId="37" fillId="59" borderId="0" applyNumberFormat="0" applyBorder="0" applyAlignment="0" applyProtection="0"/>
    <xf numFmtId="175" fontId="37" fillId="59" borderId="0" applyNumberFormat="0" applyBorder="0" applyAlignment="0" applyProtection="0"/>
    <xf numFmtId="175" fontId="37" fillId="59" borderId="0" applyNumberFormat="0" applyBorder="0" applyAlignment="0" applyProtection="0"/>
    <xf numFmtId="0" fontId="20" fillId="35" borderId="0" applyNumberFormat="0" applyBorder="0" applyAlignment="0" applyProtection="0"/>
    <xf numFmtId="175" fontId="37" fillId="59" borderId="0" applyNumberFormat="0" applyBorder="0" applyAlignment="0" applyProtection="0"/>
    <xf numFmtId="175" fontId="37" fillId="59" borderId="0" applyNumberFormat="0" applyBorder="0" applyAlignment="0" applyProtection="0"/>
    <xf numFmtId="175" fontId="37" fillId="59"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7" fillId="59"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8" fillId="35" borderId="0" applyNumberFormat="0" applyBorder="0" applyAlignment="0" applyProtection="0"/>
    <xf numFmtId="175" fontId="37" fillId="59"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8"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20"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7" fillId="51" borderId="0" applyNumberFormat="0" applyBorder="0" applyAlignment="0" applyProtection="0"/>
    <xf numFmtId="175" fontId="38" fillId="39" borderId="0" applyNumberFormat="0" applyBorder="0" applyAlignment="0" applyProtection="0"/>
    <xf numFmtId="175" fontId="37" fillId="51"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0" fontId="20" fillId="39"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7" fillId="51"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7" fillId="51"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8" fillId="39" borderId="0" applyNumberFormat="0" applyBorder="0" applyAlignment="0" applyProtection="0"/>
    <xf numFmtId="175" fontId="37" fillId="51"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5"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20"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7" fillId="57" borderId="0" applyNumberFormat="0" applyBorder="0" applyAlignment="0" applyProtection="0"/>
    <xf numFmtId="175" fontId="38" fillId="43" borderId="0" applyNumberFormat="0" applyBorder="0" applyAlignment="0" applyProtection="0"/>
    <xf numFmtId="175" fontId="37" fillId="57"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0" fontId="20" fillId="43"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7" fillId="57"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7" fillId="57"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8" fillId="43" borderId="0" applyNumberFormat="0" applyBorder="0" applyAlignment="0" applyProtection="0"/>
    <xf numFmtId="175" fontId="37" fillId="57"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5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20"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7" fillId="54" borderId="0" applyNumberFormat="0" applyBorder="0" applyAlignment="0" applyProtection="0"/>
    <xf numFmtId="175" fontId="38" fillId="47" borderId="0" applyNumberFormat="0" applyBorder="0" applyAlignment="0" applyProtection="0"/>
    <xf numFmtId="175" fontId="37" fillId="54"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0" fontId="20" fillId="47"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7" fillId="54"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7" fillId="54"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8" fillId="47" borderId="0" applyNumberFormat="0" applyBorder="0" applyAlignment="0" applyProtection="0"/>
    <xf numFmtId="175" fontId="37" fillId="54"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7" fillId="60"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40" fillId="28" borderId="0" applyNumberFormat="0" applyBorder="0" applyAlignment="0" applyProtection="0"/>
    <xf numFmtId="175" fontId="40" fillId="28" borderId="0" applyNumberFormat="0" applyBorder="0" applyAlignment="0" applyProtection="0"/>
    <xf numFmtId="175" fontId="40" fillId="28"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39" fillId="57" borderId="0" applyNumberFormat="0" applyBorder="0" applyAlignment="0" applyProtection="0"/>
    <xf numFmtId="175" fontId="41" fillId="28" borderId="0" applyNumberFormat="0" applyBorder="0" applyAlignment="0" applyProtection="0"/>
    <xf numFmtId="175" fontId="39" fillId="5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0" fontId="40" fillId="28"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41" fillId="28"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40" fillId="32" borderId="0" applyNumberFormat="0" applyBorder="0" applyAlignment="0" applyProtection="0"/>
    <xf numFmtId="175" fontId="40" fillId="32" borderId="0" applyNumberFormat="0" applyBorder="0" applyAlignment="0" applyProtection="0"/>
    <xf numFmtId="175" fontId="40" fillId="3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39" fillId="62" borderId="0" applyNumberFormat="0" applyBorder="0" applyAlignment="0" applyProtection="0"/>
    <xf numFmtId="175" fontId="41" fillId="32" borderId="0" applyNumberFormat="0" applyBorder="0" applyAlignment="0" applyProtection="0"/>
    <xf numFmtId="175" fontId="39" fillId="6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0" fontId="40" fillId="3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41" fillId="3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40" fillId="36" borderId="0" applyNumberFormat="0" applyBorder="0" applyAlignment="0" applyProtection="0"/>
    <xf numFmtId="175" fontId="40" fillId="36" borderId="0" applyNumberFormat="0" applyBorder="0" applyAlignment="0" applyProtection="0"/>
    <xf numFmtId="175" fontId="40" fillId="36"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39" fillId="60" borderId="0" applyNumberFormat="0" applyBorder="0" applyAlignment="0" applyProtection="0"/>
    <xf numFmtId="175" fontId="41" fillId="36" borderId="0" applyNumberFormat="0" applyBorder="0" applyAlignment="0" applyProtection="0"/>
    <xf numFmtId="175" fontId="39" fillId="60"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0" fontId="40" fillId="36"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41" fillId="36"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40" fillId="40" borderId="0" applyNumberFormat="0" applyBorder="0" applyAlignment="0" applyProtection="0"/>
    <xf numFmtId="175" fontId="40" fillId="40" borderId="0" applyNumberFormat="0" applyBorder="0" applyAlignment="0" applyProtection="0"/>
    <xf numFmtId="175" fontId="40" fillId="40"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39" fillId="51" borderId="0" applyNumberFormat="0" applyBorder="0" applyAlignment="0" applyProtection="0"/>
    <xf numFmtId="175" fontId="41" fillId="40" borderId="0" applyNumberFormat="0" applyBorder="0" applyAlignment="0" applyProtection="0"/>
    <xf numFmtId="175" fontId="39" fillId="5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175" fontId="39" fillId="51" borderId="0" applyNumberFormat="0" applyBorder="0" applyAlignment="0" applyProtection="0"/>
    <xf numFmtId="175" fontId="39" fillId="51" borderId="0" applyNumberFormat="0" applyBorder="0" applyAlignment="0" applyProtection="0"/>
    <xf numFmtId="175" fontId="39" fillId="51" borderId="0" applyNumberFormat="0" applyBorder="0" applyAlignment="0" applyProtection="0"/>
    <xf numFmtId="0" fontId="40" fillId="40" borderId="0" applyNumberFormat="0" applyBorder="0" applyAlignment="0" applyProtection="0"/>
    <xf numFmtId="175" fontId="39" fillId="51" borderId="0" applyNumberFormat="0" applyBorder="0" applyAlignment="0" applyProtection="0"/>
    <xf numFmtId="175" fontId="39" fillId="51" borderId="0" applyNumberFormat="0" applyBorder="0" applyAlignment="0" applyProtection="0"/>
    <xf numFmtId="175" fontId="39" fillId="51"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41" fillId="40" borderId="0" applyNumberFormat="0" applyBorder="0" applyAlignment="0" applyProtection="0"/>
    <xf numFmtId="175" fontId="39" fillId="51" borderId="0" applyNumberFormat="0" applyBorder="0" applyAlignment="0" applyProtection="0"/>
    <xf numFmtId="175" fontId="39" fillId="51"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40" fillId="44" borderId="0" applyNumberFormat="0" applyBorder="0" applyAlignment="0" applyProtection="0"/>
    <xf numFmtId="175" fontId="40" fillId="44" borderId="0" applyNumberFormat="0" applyBorder="0" applyAlignment="0" applyProtection="0"/>
    <xf numFmtId="175" fontId="40" fillId="44"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39" fillId="57" borderId="0" applyNumberFormat="0" applyBorder="0" applyAlignment="0" applyProtection="0"/>
    <xf numFmtId="175" fontId="41" fillId="44" borderId="0" applyNumberFormat="0" applyBorder="0" applyAlignment="0" applyProtection="0"/>
    <xf numFmtId="175" fontId="39" fillId="57"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0" fontId="40" fillId="44"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41" fillId="44" borderId="0" applyNumberFormat="0" applyBorder="0" applyAlignment="0" applyProtection="0"/>
    <xf numFmtId="175" fontId="39" fillId="57" borderId="0" applyNumberFormat="0" applyBorder="0" applyAlignment="0" applyProtection="0"/>
    <xf numFmtId="175" fontId="39" fillId="57"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40" fillId="48" borderId="0" applyNumberFormat="0" applyBorder="0" applyAlignment="0" applyProtection="0"/>
    <xf numFmtId="175" fontId="40" fillId="48" borderId="0" applyNumberFormat="0" applyBorder="0" applyAlignment="0" applyProtection="0"/>
    <xf numFmtId="175" fontId="40" fillId="48"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39" fillId="52" borderId="0" applyNumberFormat="0" applyBorder="0" applyAlignment="0" applyProtection="0"/>
    <xf numFmtId="175" fontId="41" fillId="48" borderId="0" applyNumberFormat="0" applyBorder="0" applyAlignment="0" applyProtection="0"/>
    <xf numFmtId="175" fontId="39" fillId="52"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0" fontId="40" fillId="48"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41" fillId="48"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40" fillId="25" borderId="0" applyNumberFormat="0" applyBorder="0" applyAlignment="0" applyProtection="0"/>
    <xf numFmtId="175" fontId="40" fillId="25" borderId="0" applyNumberFormat="0" applyBorder="0" applyAlignment="0" applyProtection="0"/>
    <xf numFmtId="175" fontId="40" fillId="25"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39" fillId="67" borderId="0" applyNumberFormat="0" applyBorder="0" applyAlignment="0" applyProtection="0"/>
    <xf numFmtId="175" fontId="41" fillId="25" borderId="0" applyNumberFormat="0" applyBorder="0" applyAlignment="0" applyProtection="0"/>
    <xf numFmtId="175" fontId="39" fillId="67"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175" fontId="39" fillId="67" borderId="0" applyNumberFormat="0" applyBorder="0" applyAlignment="0" applyProtection="0"/>
    <xf numFmtId="175" fontId="39" fillId="67" borderId="0" applyNumberFormat="0" applyBorder="0" applyAlignment="0" applyProtection="0"/>
    <xf numFmtId="175" fontId="39" fillId="67" borderId="0" applyNumberFormat="0" applyBorder="0" applyAlignment="0" applyProtection="0"/>
    <xf numFmtId="0" fontId="40" fillId="25" borderId="0" applyNumberFormat="0" applyBorder="0" applyAlignment="0" applyProtection="0"/>
    <xf numFmtId="175" fontId="39" fillId="67" borderId="0" applyNumberFormat="0" applyBorder="0" applyAlignment="0" applyProtection="0"/>
    <xf numFmtId="175" fontId="39" fillId="67" borderId="0" applyNumberFormat="0" applyBorder="0" applyAlignment="0" applyProtection="0"/>
    <xf numFmtId="175" fontId="39" fillId="67"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41" fillId="25" borderId="0" applyNumberFormat="0" applyBorder="0" applyAlignment="0" applyProtection="0"/>
    <xf numFmtId="175" fontId="39" fillId="67" borderId="0" applyNumberFormat="0" applyBorder="0" applyAlignment="0" applyProtection="0"/>
    <xf numFmtId="175" fontId="39" fillId="67"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40" fillId="29" borderId="0" applyNumberFormat="0" applyBorder="0" applyAlignment="0" applyProtection="0"/>
    <xf numFmtId="175" fontId="40" fillId="29" borderId="0" applyNumberFormat="0" applyBorder="0" applyAlignment="0" applyProtection="0"/>
    <xf numFmtId="175" fontId="40" fillId="29"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39" fillId="62" borderId="0" applyNumberFormat="0" applyBorder="0" applyAlignment="0" applyProtection="0"/>
    <xf numFmtId="175" fontId="41" fillId="29" borderId="0" applyNumberFormat="0" applyBorder="0" applyAlignment="0" applyProtection="0"/>
    <xf numFmtId="175" fontId="39" fillId="6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0" fontId="40" fillId="29"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41" fillId="29"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40" fillId="33" borderId="0" applyNumberFormat="0" applyBorder="0" applyAlignment="0" applyProtection="0"/>
    <xf numFmtId="175" fontId="40" fillId="33" borderId="0" applyNumberFormat="0" applyBorder="0" applyAlignment="0" applyProtection="0"/>
    <xf numFmtId="175" fontId="40" fillId="33"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39" fillId="60" borderId="0" applyNumberFormat="0" applyBorder="0" applyAlignment="0" applyProtection="0"/>
    <xf numFmtId="175" fontId="41" fillId="33" borderId="0" applyNumberFormat="0" applyBorder="0" applyAlignment="0" applyProtection="0"/>
    <xf numFmtId="175" fontId="39" fillId="60"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0" fontId="40" fillId="33"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41" fillId="33" borderId="0" applyNumberFormat="0" applyBorder="0" applyAlignment="0" applyProtection="0"/>
    <xf numFmtId="175" fontId="39" fillId="60" borderId="0" applyNumberFormat="0" applyBorder="0" applyAlignment="0" applyProtection="0"/>
    <xf numFmtId="175" fontId="39" fillId="60"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40" fillId="37" borderId="0" applyNumberFormat="0" applyBorder="0" applyAlignment="0" applyProtection="0"/>
    <xf numFmtId="175" fontId="40" fillId="37" borderId="0" applyNumberFormat="0" applyBorder="0" applyAlignment="0" applyProtection="0"/>
    <xf numFmtId="175" fontId="40" fillId="37"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39" fillId="70" borderId="0" applyNumberFormat="0" applyBorder="0" applyAlignment="0" applyProtection="0"/>
    <xf numFmtId="175" fontId="41" fillId="37" borderId="0" applyNumberFormat="0" applyBorder="0" applyAlignment="0" applyProtection="0"/>
    <xf numFmtId="175" fontId="39" fillId="70"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5" fontId="39" fillId="70" borderId="0" applyNumberFormat="0" applyBorder="0" applyAlignment="0" applyProtection="0"/>
    <xf numFmtId="175" fontId="39" fillId="70" borderId="0" applyNumberFormat="0" applyBorder="0" applyAlignment="0" applyProtection="0"/>
    <xf numFmtId="175" fontId="39" fillId="70" borderId="0" applyNumberFormat="0" applyBorder="0" applyAlignment="0" applyProtection="0"/>
    <xf numFmtId="0" fontId="40" fillId="37" borderId="0" applyNumberFormat="0" applyBorder="0" applyAlignment="0" applyProtection="0"/>
    <xf numFmtId="175" fontId="39" fillId="70" borderId="0" applyNumberFormat="0" applyBorder="0" applyAlignment="0" applyProtection="0"/>
    <xf numFmtId="175" fontId="39" fillId="70" borderId="0" applyNumberFormat="0" applyBorder="0" applyAlignment="0" applyProtection="0"/>
    <xf numFmtId="175" fontId="39" fillId="70"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41" fillId="37" borderId="0" applyNumberFormat="0" applyBorder="0" applyAlignment="0" applyProtection="0"/>
    <xf numFmtId="175" fontId="39" fillId="70" borderId="0" applyNumberFormat="0" applyBorder="0" applyAlignment="0" applyProtection="0"/>
    <xf numFmtId="175" fontId="39" fillId="70"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40" fillId="41" borderId="0" applyNumberFormat="0" applyBorder="0" applyAlignment="0" applyProtection="0"/>
    <xf numFmtId="175" fontId="40" fillId="41" borderId="0" applyNumberFormat="0" applyBorder="0" applyAlignment="0" applyProtection="0"/>
    <xf numFmtId="175" fontId="40" fillId="41"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39" fillId="64" borderId="0" applyNumberFormat="0" applyBorder="0" applyAlignment="0" applyProtection="0"/>
    <xf numFmtId="175" fontId="41" fillId="41" borderId="0" applyNumberFormat="0" applyBorder="0" applyAlignment="0" applyProtection="0"/>
    <xf numFmtId="175" fontId="39" fillId="64"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0" fontId="40" fillId="41"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41" fillId="41"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40" fillId="45" borderId="0" applyNumberFormat="0" applyBorder="0" applyAlignment="0" applyProtection="0"/>
    <xf numFmtId="175" fontId="40" fillId="45" borderId="0" applyNumberFormat="0" applyBorder="0" applyAlignment="0" applyProtection="0"/>
    <xf numFmtId="175" fontId="40" fillId="45"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39" fillId="68" borderId="0" applyNumberFormat="0" applyBorder="0" applyAlignment="0" applyProtection="0"/>
    <xf numFmtId="175" fontId="41" fillId="45" borderId="0" applyNumberFormat="0" applyBorder="0" applyAlignment="0" applyProtection="0"/>
    <xf numFmtId="175" fontId="39" fillId="68"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0" fontId="40" fillId="45"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41" fillId="45"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3" fillId="19" borderId="0" applyNumberFormat="0" applyBorder="0" applyAlignment="0" applyProtection="0"/>
    <xf numFmtId="175" fontId="43" fillId="19" borderId="0" applyNumberFormat="0" applyBorder="0" applyAlignment="0" applyProtection="0"/>
    <xf numFmtId="175" fontId="43" fillId="19"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2" fillId="55" borderId="0" applyNumberFormat="0" applyBorder="0" applyAlignment="0" applyProtection="0"/>
    <xf numFmtId="175" fontId="44" fillId="19" borderId="0" applyNumberFormat="0" applyBorder="0" applyAlignment="0" applyProtection="0"/>
    <xf numFmtId="175" fontId="42" fillId="55"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175" fontId="42" fillId="55" borderId="0" applyNumberFormat="0" applyBorder="0" applyAlignment="0" applyProtection="0"/>
    <xf numFmtId="175" fontId="42" fillId="55" borderId="0" applyNumberFormat="0" applyBorder="0" applyAlignment="0" applyProtection="0"/>
    <xf numFmtId="175" fontId="42" fillId="55" borderId="0" applyNumberFormat="0" applyBorder="0" applyAlignment="0" applyProtection="0"/>
    <xf numFmtId="0" fontId="43" fillId="19" borderId="0" applyNumberFormat="0" applyBorder="0" applyAlignment="0" applyProtection="0"/>
    <xf numFmtId="175" fontId="42" fillId="55" borderId="0" applyNumberFormat="0" applyBorder="0" applyAlignment="0" applyProtection="0"/>
    <xf numFmtId="175" fontId="42" fillId="55" borderId="0" applyNumberFormat="0" applyBorder="0" applyAlignment="0" applyProtection="0"/>
    <xf numFmtId="175" fontId="42" fillId="55"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4" fillId="19" borderId="0" applyNumberFormat="0" applyBorder="0" applyAlignment="0" applyProtection="0"/>
    <xf numFmtId="175" fontId="42" fillId="55" borderId="0" applyNumberFormat="0" applyBorder="0" applyAlignment="0" applyProtection="0"/>
    <xf numFmtId="175" fontId="42" fillId="55"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2" fillId="51" borderId="0" applyNumberFormat="0" applyBorder="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6" fillId="22" borderId="28" applyNumberFormat="0" applyAlignment="0" applyProtection="0"/>
    <xf numFmtId="175" fontId="46" fillId="22" borderId="28" applyNumberFormat="0" applyAlignment="0" applyProtection="0"/>
    <xf numFmtId="175" fontId="46" fillId="22" borderId="28" applyNumberFormat="0" applyAlignment="0" applyProtection="0"/>
    <xf numFmtId="175" fontId="47" fillId="22" borderId="28" applyNumberFormat="0" applyAlignment="0" applyProtection="0"/>
    <xf numFmtId="175" fontId="47" fillId="22" borderId="28" applyNumberFormat="0" applyAlignment="0" applyProtection="0"/>
    <xf numFmtId="175" fontId="48" fillId="72" borderId="34" applyNumberFormat="0" applyAlignment="0" applyProtection="0"/>
    <xf numFmtId="175" fontId="47" fillId="22" borderId="28" applyNumberFormat="0" applyAlignment="0" applyProtection="0"/>
    <xf numFmtId="175" fontId="48" fillId="72" borderId="34" applyNumberFormat="0" applyAlignment="0" applyProtection="0"/>
    <xf numFmtId="0" fontId="46" fillId="22" borderId="28" applyNumberFormat="0" applyAlignment="0" applyProtection="0"/>
    <xf numFmtId="0" fontId="46" fillId="22" borderId="28" applyNumberFormat="0" applyAlignment="0" applyProtection="0"/>
    <xf numFmtId="0" fontId="46" fillId="22" borderId="28" applyNumberFormat="0" applyAlignment="0" applyProtection="0"/>
    <xf numFmtId="0" fontId="46" fillId="22" borderId="28" applyNumberFormat="0" applyAlignment="0" applyProtection="0"/>
    <xf numFmtId="175" fontId="48" fillId="72" borderId="34" applyNumberFormat="0" applyAlignment="0" applyProtection="0"/>
    <xf numFmtId="175" fontId="48" fillId="72" borderId="34" applyNumberFormat="0" applyAlignment="0" applyProtection="0"/>
    <xf numFmtId="175" fontId="48" fillId="72" borderId="34" applyNumberFormat="0" applyAlignment="0" applyProtection="0"/>
    <xf numFmtId="0" fontId="46" fillId="22" borderId="28" applyNumberFormat="0" applyAlignment="0" applyProtection="0"/>
    <xf numFmtId="175" fontId="48" fillId="72" borderId="34" applyNumberFormat="0" applyAlignment="0" applyProtection="0"/>
    <xf numFmtId="175" fontId="48" fillId="72" borderId="34" applyNumberFormat="0" applyAlignment="0" applyProtection="0"/>
    <xf numFmtId="175" fontId="48" fillId="72" borderId="34" applyNumberFormat="0" applyAlignment="0" applyProtection="0"/>
    <xf numFmtId="175" fontId="47" fillId="22" borderId="28" applyNumberFormat="0" applyAlignment="0" applyProtection="0"/>
    <xf numFmtId="175" fontId="47" fillId="22" borderId="28" applyNumberFormat="0" applyAlignment="0" applyProtection="0"/>
    <xf numFmtId="175" fontId="47" fillId="22" borderId="28" applyNumberFormat="0" applyAlignment="0" applyProtection="0"/>
    <xf numFmtId="175" fontId="47" fillId="22" borderId="28" applyNumberFormat="0" applyAlignment="0" applyProtection="0"/>
    <xf numFmtId="175" fontId="47" fillId="22" borderId="28" applyNumberFormat="0" applyAlignment="0" applyProtection="0"/>
    <xf numFmtId="175" fontId="47" fillId="22" borderId="28" applyNumberFormat="0" applyAlignment="0" applyProtection="0"/>
    <xf numFmtId="175" fontId="48" fillId="72" borderId="34" applyNumberFormat="0" applyAlignment="0" applyProtection="0"/>
    <xf numFmtId="175" fontId="48" fillId="72" borderId="34" applyNumberFormat="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5" fillId="71" borderId="34"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50" fillId="23" borderId="31" applyNumberFormat="0" applyAlignment="0" applyProtection="0"/>
    <xf numFmtId="175" fontId="50" fillId="23" borderId="31" applyNumberFormat="0" applyAlignment="0" applyProtection="0"/>
    <xf numFmtId="175" fontId="50" fillId="23" borderId="31" applyNumberFormat="0" applyAlignment="0" applyProtection="0"/>
    <xf numFmtId="175" fontId="51" fillId="23" borderId="31" applyNumberFormat="0" applyAlignment="0" applyProtection="0"/>
    <xf numFmtId="175" fontId="51" fillId="23" borderId="31" applyNumberFormat="0" applyAlignment="0" applyProtection="0"/>
    <xf numFmtId="175" fontId="49" fillId="73" borderId="35" applyNumberFormat="0" applyAlignment="0" applyProtection="0"/>
    <xf numFmtId="175" fontId="51" fillId="23" borderId="31" applyNumberFormat="0" applyAlignment="0" applyProtection="0"/>
    <xf numFmtId="175" fontId="49" fillId="73" borderId="35" applyNumberFormat="0" applyAlignment="0" applyProtection="0"/>
    <xf numFmtId="0" fontId="50" fillId="23" borderId="31" applyNumberFormat="0" applyAlignment="0" applyProtection="0"/>
    <xf numFmtId="0" fontId="50" fillId="23" borderId="31" applyNumberFormat="0" applyAlignment="0" applyProtection="0"/>
    <xf numFmtId="0" fontId="50" fillId="23" borderId="31" applyNumberFormat="0" applyAlignment="0" applyProtection="0"/>
    <xf numFmtId="0" fontId="50" fillId="23" borderId="31"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0" fontId="50" fillId="23" borderId="31"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51" fillId="23" borderId="31" applyNumberFormat="0" applyAlignment="0" applyProtection="0"/>
    <xf numFmtId="175" fontId="51" fillId="23" borderId="31" applyNumberFormat="0" applyAlignment="0" applyProtection="0"/>
    <xf numFmtId="175" fontId="51" fillId="23" borderId="31" applyNumberFormat="0" applyAlignment="0" applyProtection="0"/>
    <xf numFmtId="175" fontId="51" fillId="23" borderId="31" applyNumberFormat="0" applyAlignment="0" applyProtection="0"/>
    <xf numFmtId="175" fontId="51" fillId="23" borderId="31" applyNumberFormat="0" applyAlignment="0" applyProtection="0"/>
    <xf numFmtId="175" fontId="51" fillId="23" borderId="31"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175" fontId="49" fillId="73" borderId="3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75" fontId="10" fillId="0" borderId="0" applyFon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3"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2" fillId="0" borderId="0" applyNumberFormat="0" applyFill="0" applyBorder="0" applyAlignment="0" applyProtection="0"/>
    <xf numFmtId="175" fontId="54" fillId="0" borderId="0" applyNumberFormat="0" applyFill="0" applyBorder="0" applyAlignment="0" applyProtection="0"/>
    <xf numFmtId="175"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0" fontId="53"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2" fillId="0" borderId="0" applyNumberFormat="0" applyFill="0" applyBorder="0" applyAlignment="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11" fillId="0" borderId="0" applyProtection="0"/>
    <xf numFmtId="175" fontId="11" fillId="0" borderId="0" applyProtection="0"/>
    <xf numFmtId="175" fontId="11" fillId="0" borderId="0" applyProtection="0"/>
    <xf numFmtId="175" fontId="11" fillId="0" borderId="0" applyProtection="0"/>
    <xf numFmtId="175" fontId="11" fillId="0" borderId="0" applyProtection="0"/>
    <xf numFmtId="175" fontId="11" fillId="0" borderId="0" applyProtection="0"/>
    <xf numFmtId="175" fontId="11" fillId="0" borderId="0" applyProtection="0"/>
    <xf numFmtId="175" fontId="56" fillId="0" borderId="0" applyProtection="0"/>
    <xf numFmtId="175" fontId="56" fillId="0" borderId="0" applyProtection="0"/>
    <xf numFmtId="175" fontId="56" fillId="0" borderId="0" applyProtection="0"/>
    <xf numFmtId="175" fontId="56" fillId="0" borderId="0" applyProtection="0"/>
    <xf numFmtId="175" fontId="56" fillId="0" borderId="0" applyProtection="0"/>
    <xf numFmtId="175" fontId="56" fillId="0" borderId="0" applyProtection="0"/>
    <xf numFmtId="175" fontId="56" fillId="0" borderId="0" applyProtection="0"/>
    <xf numFmtId="175" fontId="57" fillId="0" borderId="0" applyProtection="0"/>
    <xf numFmtId="175" fontId="57" fillId="0" borderId="0" applyProtection="0"/>
    <xf numFmtId="175" fontId="57" fillId="0" borderId="0" applyProtection="0"/>
    <xf numFmtId="175" fontId="57" fillId="0" borderId="0" applyProtection="0"/>
    <xf numFmtId="175" fontId="57" fillId="0" borderId="0" applyProtection="0"/>
    <xf numFmtId="175" fontId="57" fillId="0" borderId="0" applyProtection="0"/>
    <xf numFmtId="175" fontId="57" fillId="0" borderId="0" applyProtection="0"/>
    <xf numFmtId="175" fontId="10" fillId="0" borderId="0" applyProtection="0"/>
    <xf numFmtId="175" fontId="10" fillId="0" borderId="0" applyProtection="0"/>
    <xf numFmtId="175" fontId="10" fillId="0" borderId="0" applyProtection="0"/>
    <xf numFmtId="175" fontId="10" fillId="0" borderId="0" applyProtection="0"/>
    <xf numFmtId="175" fontId="10" fillId="0" borderId="0" applyProtection="0"/>
    <xf numFmtId="175" fontId="10" fillId="0" borderId="0" applyProtection="0"/>
    <xf numFmtId="175" fontId="10"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5" fillId="0" borderId="0" applyProtection="0"/>
    <xf numFmtId="175" fontId="58" fillId="0" borderId="0" applyProtection="0"/>
    <xf numFmtId="175" fontId="58" fillId="0" borderId="0" applyProtection="0"/>
    <xf numFmtId="175" fontId="58" fillId="0" borderId="0" applyProtection="0"/>
    <xf numFmtId="175" fontId="58" fillId="0" borderId="0" applyProtection="0"/>
    <xf numFmtId="175" fontId="58" fillId="0" borderId="0" applyProtection="0"/>
    <xf numFmtId="175" fontId="58" fillId="0" borderId="0" applyProtection="0"/>
    <xf numFmtId="175" fontId="58" fillId="0" borderId="0" applyProtection="0"/>
    <xf numFmtId="2" fontId="10" fillId="0" borderId="0" applyFont="0" applyFill="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60" fillId="18" borderId="0" applyNumberFormat="0" applyBorder="0" applyAlignment="0" applyProtection="0"/>
    <xf numFmtId="175" fontId="60" fillId="18" borderId="0" applyNumberFormat="0" applyBorder="0" applyAlignment="0" applyProtection="0"/>
    <xf numFmtId="175" fontId="60" fillId="18"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59" fillId="57" borderId="0" applyNumberFormat="0" applyBorder="0" applyAlignment="0" applyProtection="0"/>
    <xf numFmtId="175" fontId="61" fillId="18" borderId="0" applyNumberFormat="0" applyBorder="0" applyAlignment="0" applyProtection="0"/>
    <xf numFmtId="175" fontId="59" fillId="5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175" fontId="59" fillId="57" borderId="0" applyNumberFormat="0" applyBorder="0" applyAlignment="0" applyProtection="0"/>
    <xf numFmtId="175" fontId="59" fillId="57" borderId="0" applyNumberFormat="0" applyBorder="0" applyAlignment="0" applyProtection="0"/>
    <xf numFmtId="175" fontId="59" fillId="57" borderId="0" applyNumberFormat="0" applyBorder="0" applyAlignment="0" applyProtection="0"/>
    <xf numFmtId="0" fontId="60" fillId="18" borderId="0" applyNumberFormat="0" applyBorder="0" applyAlignment="0" applyProtection="0"/>
    <xf numFmtId="175" fontId="59" fillId="57" borderId="0" applyNumberFormat="0" applyBorder="0" applyAlignment="0" applyProtection="0"/>
    <xf numFmtId="175" fontId="59" fillId="57" borderId="0" applyNumberFormat="0" applyBorder="0" applyAlignment="0" applyProtection="0"/>
    <xf numFmtId="175" fontId="59" fillId="57"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61" fillId="18" borderId="0" applyNumberFormat="0" applyBorder="0" applyAlignment="0" applyProtection="0"/>
    <xf numFmtId="175" fontId="59" fillId="57" borderId="0" applyNumberFormat="0" applyBorder="0" applyAlignment="0" applyProtection="0"/>
    <xf numFmtId="175" fontId="59" fillId="57"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59" fillId="53" borderId="0" applyNumberFormat="0" applyBorder="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3" fillId="0" borderId="25" applyNumberFormat="0" applyFill="0" applyAlignment="0" applyProtection="0"/>
    <xf numFmtId="175" fontId="63" fillId="0" borderId="25" applyNumberFormat="0" applyFill="0" applyAlignment="0" applyProtection="0"/>
    <xf numFmtId="175" fontId="63" fillId="0" borderId="25" applyNumberFormat="0" applyFill="0" applyAlignment="0" applyProtection="0"/>
    <xf numFmtId="175" fontId="24" fillId="0" borderId="25" applyNumberFormat="0" applyFill="0" applyAlignment="0" applyProtection="0"/>
    <xf numFmtId="175" fontId="24" fillId="0" borderId="25" applyNumberFormat="0" applyFill="0" applyAlignment="0" applyProtection="0"/>
    <xf numFmtId="175" fontId="64" fillId="0" borderId="37" applyNumberFormat="0" applyFill="0" applyAlignment="0" applyProtection="0"/>
    <xf numFmtId="175" fontId="24" fillId="0" borderId="25" applyNumberFormat="0" applyFill="0" applyAlignment="0" applyProtection="0"/>
    <xf numFmtId="175" fontId="64" fillId="0" borderId="37" applyNumberFormat="0" applyFill="0" applyAlignment="0" applyProtection="0"/>
    <xf numFmtId="0" fontId="63" fillId="0" borderId="25" applyNumberFormat="0" applyFill="0" applyAlignment="0" applyProtection="0"/>
    <xf numFmtId="0" fontId="63" fillId="0" borderId="25" applyNumberFormat="0" applyFill="0" applyAlignment="0" applyProtection="0"/>
    <xf numFmtId="0" fontId="63" fillId="0" borderId="25" applyNumberFormat="0" applyFill="0" applyAlignment="0" applyProtection="0"/>
    <xf numFmtId="0" fontId="63" fillId="0" borderId="25" applyNumberFormat="0" applyFill="0" applyAlignment="0" applyProtection="0"/>
    <xf numFmtId="175" fontId="64" fillId="0" borderId="37" applyNumberFormat="0" applyFill="0" applyAlignment="0" applyProtection="0"/>
    <xf numFmtId="175" fontId="64" fillId="0" borderId="37" applyNumberFormat="0" applyFill="0" applyAlignment="0" applyProtection="0"/>
    <xf numFmtId="175" fontId="64" fillId="0" borderId="37" applyNumberFormat="0" applyFill="0" applyAlignment="0" applyProtection="0"/>
    <xf numFmtId="0" fontId="63" fillId="0" borderId="25" applyNumberFormat="0" applyFill="0" applyAlignment="0" applyProtection="0"/>
    <xf numFmtId="175" fontId="64" fillId="0" borderId="37" applyNumberFormat="0" applyFill="0" applyAlignment="0" applyProtection="0"/>
    <xf numFmtId="175" fontId="64" fillId="0" borderId="37" applyNumberFormat="0" applyFill="0" applyAlignment="0" applyProtection="0"/>
    <xf numFmtId="175" fontId="64" fillId="0" borderId="37" applyNumberFormat="0" applyFill="0" applyAlignment="0" applyProtection="0"/>
    <xf numFmtId="175" fontId="24" fillId="0" borderId="25" applyNumberFormat="0" applyFill="0" applyAlignment="0" applyProtection="0"/>
    <xf numFmtId="175" fontId="24" fillId="0" borderId="25" applyNumberFormat="0" applyFill="0" applyAlignment="0" applyProtection="0"/>
    <xf numFmtId="175" fontId="24" fillId="0" borderId="25" applyNumberFormat="0" applyFill="0" applyAlignment="0" applyProtection="0"/>
    <xf numFmtId="175" fontId="65" fillId="0" borderId="0" applyNumberFormat="0" applyFill="0" applyBorder="0" applyAlignment="0" applyProtection="0"/>
    <xf numFmtId="175" fontId="65" fillId="0" borderId="0" applyNumberFormat="0" applyFill="0" applyBorder="0" applyAlignment="0" applyProtection="0"/>
    <xf numFmtId="175" fontId="24" fillId="0" borderId="25" applyNumberFormat="0" applyFill="0" applyAlignment="0" applyProtection="0"/>
    <xf numFmtId="175" fontId="24" fillId="0" borderId="25" applyNumberFormat="0" applyFill="0" applyAlignment="0" applyProtection="0"/>
    <xf numFmtId="175" fontId="24" fillId="0" borderId="25" applyNumberFormat="0" applyFill="0" applyAlignment="0" applyProtection="0"/>
    <xf numFmtId="175" fontId="64" fillId="0" borderId="37" applyNumberFormat="0" applyFill="0" applyAlignment="0" applyProtection="0"/>
    <xf numFmtId="175" fontId="64" fillId="0" borderId="37"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2" fillId="0" borderId="36"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7" fillId="0" borderId="26" applyNumberFormat="0" applyFill="0" applyAlignment="0" applyProtection="0"/>
    <xf numFmtId="175" fontId="67" fillId="0" borderId="26" applyNumberFormat="0" applyFill="0" applyAlignment="0" applyProtection="0"/>
    <xf numFmtId="175" fontId="67" fillId="0" borderId="26" applyNumberFormat="0" applyFill="0" applyAlignment="0" applyProtection="0"/>
    <xf numFmtId="175" fontId="25" fillId="0" borderId="26" applyNumberFormat="0" applyFill="0" applyAlignment="0" applyProtection="0"/>
    <xf numFmtId="175" fontId="25" fillId="0" borderId="26" applyNumberFormat="0" applyFill="0" applyAlignment="0" applyProtection="0"/>
    <xf numFmtId="175" fontId="68" fillId="0" borderId="39" applyNumberFormat="0" applyFill="0" applyAlignment="0" applyProtection="0"/>
    <xf numFmtId="175" fontId="25" fillId="0" borderId="26" applyNumberFormat="0" applyFill="0" applyAlignment="0" applyProtection="0"/>
    <xf numFmtId="175" fontId="68" fillId="0" borderId="39" applyNumberFormat="0" applyFill="0" applyAlignment="0" applyProtection="0"/>
    <xf numFmtId="0" fontId="67" fillId="0" borderId="26" applyNumberFormat="0" applyFill="0" applyAlignment="0" applyProtection="0"/>
    <xf numFmtId="0" fontId="67" fillId="0" borderId="26" applyNumberFormat="0" applyFill="0" applyAlignment="0" applyProtection="0"/>
    <xf numFmtId="0" fontId="67" fillId="0" borderId="26" applyNumberFormat="0" applyFill="0" applyAlignment="0" applyProtection="0"/>
    <xf numFmtId="0" fontId="67" fillId="0" borderId="26" applyNumberFormat="0" applyFill="0" applyAlignment="0" applyProtection="0"/>
    <xf numFmtId="175" fontId="68" fillId="0" borderId="39" applyNumberFormat="0" applyFill="0" applyAlignment="0" applyProtection="0"/>
    <xf numFmtId="175" fontId="68" fillId="0" borderId="39" applyNumberFormat="0" applyFill="0" applyAlignment="0" applyProtection="0"/>
    <xf numFmtId="175" fontId="68" fillId="0" borderId="39" applyNumberFormat="0" applyFill="0" applyAlignment="0" applyProtection="0"/>
    <xf numFmtId="0" fontId="67" fillId="0" borderId="26" applyNumberFormat="0" applyFill="0" applyAlignment="0" applyProtection="0"/>
    <xf numFmtId="175" fontId="68" fillId="0" borderId="39" applyNumberFormat="0" applyFill="0" applyAlignment="0" applyProtection="0"/>
    <xf numFmtId="175" fontId="68" fillId="0" borderId="39" applyNumberFormat="0" applyFill="0" applyAlignment="0" applyProtection="0"/>
    <xf numFmtId="175" fontId="68" fillId="0" borderId="39" applyNumberFormat="0" applyFill="0" applyAlignment="0" applyProtection="0"/>
    <xf numFmtId="175" fontId="25" fillId="0" borderId="26" applyNumberFormat="0" applyFill="0" applyAlignment="0" applyProtection="0"/>
    <xf numFmtId="175" fontId="25" fillId="0" borderId="26" applyNumberFormat="0" applyFill="0" applyAlignment="0" applyProtection="0"/>
    <xf numFmtId="175" fontId="25" fillId="0" borderId="26" applyNumberFormat="0" applyFill="0" applyAlignment="0" applyProtection="0"/>
    <xf numFmtId="175" fontId="69" fillId="0" borderId="0" applyNumberFormat="0" applyFill="0" applyBorder="0" applyAlignment="0" applyProtection="0"/>
    <xf numFmtId="175" fontId="69" fillId="0" borderId="0" applyNumberFormat="0" applyFill="0" applyBorder="0" applyAlignment="0" applyProtection="0"/>
    <xf numFmtId="175" fontId="25" fillId="0" borderId="26" applyNumberFormat="0" applyFill="0" applyAlignment="0" applyProtection="0"/>
    <xf numFmtId="175" fontId="25" fillId="0" borderId="26" applyNumberFormat="0" applyFill="0" applyAlignment="0" applyProtection="0"/>
    <xf numFmtId="175" fontId="25" fillId="0" borderId="26" applyNumberFormat="0" applyFill="0" applyAlignment="0" applyProtection="0"/>
    <xf numFmtId="175" fontId="68" fillId="0" borderId="39" applyNumberFormat="0" applyFill="0" applyAlignment="0" applyProtection="0"/>
    <xf numFmtId="175" fontId="68" fillId="0" borderId="39"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66" fillId="0" borderId="38"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1" fillId="0" borderId="27" applyNumberFormat="0" applyFill="0" applyAlignment="0" applyProtection="0"/>
    <xf numFmtId="175" fontId="71" fillId="0" borderId="27" applyNumberFormat="0" applyFill="0" applyAlignment="0" applyProtection="0"/>
    <xf numFmtId="175" fontId="71" fillId="0" borderId="27"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72" fillId="0" borderId="41" applyNumberFormat="0" applyFill="0" applyAlignment="0" applyProtection="0"/>
    <xf numFmtId="175" fontId="26" fillId="0" borderId="27" applyNumberFormat="0" applyFill="0" applyAlignment="0" applyProtection="0"/>
    <xf numFmtId="175" fontId="72" fillId="0" borderId="41"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175" fontId="72" fillId="0" borderId="41" applyNumberFormat="0" applyFill="0" applyAlignment="0" applyProtection="0"/>
    <xf numFmtId="175" fontId="72" fillId="0" borderId="41" applyNumberFormat="0" applyFill="0" applyAlignment="0" applyProtection="0"/>
    <xf numFmtId="175" fontId="72" fillId="0" borderId="41" applyNumberFormat="0" applyFill="0" applyAlignment="0" applyProtection="0"/>
    <xf numFmtId="0" fontId="71" fillId="0" borderId="27" applyNumberFormat="0" applyFill="0" applyAlignment="0" applyProtection="0"/>
    <xf numFmtId="175" fontId="72" fillId="0" borderId="41" applyNumberFormat="0" applyFill="0" applyAlignment="0" applyProtection="0"/>
    <xf numFmtId="175" fontId="72" fillId="0" borderId="41" applyNumberFormat="0" applyFill="0" applyAlignment="0" applyProtection="0"/>
    <xf numFmtId="175" fontId="72" fillId="0" borderId="41"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26" fillId="0" borderId="27" applyNumberFormat="0" applyFill="0" applyAlignment="0" applyProtection="0"/>
    <xf numFmtId="175" fontId="72" fillId="0" borderId="41" applyNumberFormat="0" applyFill="0" applyAlignment="0" applyProtection="0"/>
    <xf numFmtId="175" fontId="72" fillId="0" borderId="41"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40" applyNumberFormat="0" applyFill="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72" fillId="0" borderId="0" applyNumberFormat="0" applyFill="0" applyBorder="0" applyAlignment="0" applyProtection="0"/>
    <xf numFmtId="175" fontId="26" fillId="0" borderId="0" applyNumberFormat="0" applyFill="0" applyBorder="0" applyAlignment="0" applyProtection="0"/>
    <xf numFmtId="175"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0" fontId="71"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72" fillId="0" borderId="0" applyNumberFormat="0" applyFill="0" applyBorder="0" applyAlignment="0" applyProtection="0"/>
    <xf numFmtId="175" fontId="72"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0" fillId="0" borderId="0" applyNumberFormat="0" applyFill="0" applyBorder="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4" fillId="21" borderId="28" applyNumberFormat="0" applyAlignment="0" applyProtection="0"/>
    <xf numFmtId="175" fontId="74" fillId="21" borderId="28" applyNumberFormat="0" applyAlignment="0" applyProtection="0"/>
    <xf numFmtId="175" fontId="74" fillId="21" borderId="28" applyNumberFormat="0" applyAlignment="0" applyProtection="0"/>
    <xf numFmtId="175" fontId="75" fillId="21" borderId="28" applyNumberFormat="0" applyAlignment="0" applyProtection="0"/>
    <xf numFmtId="175" fontId="75" fillId="21" borderId="28" applyNumberFormat="0" applyAlignment="0" applyProtection="0"/>
    <xf numFmtId="175" fontId="73" fillId="59" borderId="34" applyNumberFormat="0" applyAlignment="0" applyProtection="0"/>
    <xf numFmtId="175" fontId="75" fillId="21" borderId="28" applyNumberFormat="0" applyAlignment="0" applyProtection="0"/>
    <xf numFmtId="175" fontId="73" fillId="59" borderId="34" applyNumberFormat="0" applyAlignment="0" applyProtection="0"/>
    <xf numFmtId="0" fontId="74" fillId="21" borderId="28" applyNumberFormat="0" applyAlignment="0" applyProtection="0"/>
    <xf numFmtId="0" fontId="74" fillId="21" borderId="28" applyNumberFormat="0" applyAlignment="0" applyProtection="0"/>
    <xf numFmtId="0" fontId="74" fillId="21" borderId="28" applyNumberFormat="0" applyAlignment="0" applyProtection="0"/>
    <xf numFmtId="0" fontId="74" fillId="21" borderId="28" applyNumberFormat="0" applyAlignment="0" applyProtection="0"/>
    <xf numFmtId="175" fontId="73" fillId="59" borderId="34" applyNumberFormat="0" applyAlignment="0" applyProtection="0"/>
    <xf numFmtId="175" fontId="73" fillId="59" borderId="34" applyNumberFormat="0" applyAlignment="0" applyProtection="0"/>
    <xf numFmtId="175" fontId="73" fillId="59" borderId="34" applyNumberFormat="0" applyAlignment="0" applyProtection="0"/>
    <xf numFmtId="0" fontId="74" fillId="21" borderId="28" applyNumberFormat="0" applyAlignment="0" applyProtection="0"/>
    <xf numFmtId="175" fontId="73" fillId="59" borderId="34" applyNumberFormat="0" applyAlignment="0" applyProtection="0"/>
    <xf numFmtId="175" fontId="73" fillId="59" borderId="34" applyNumberFormat="0" applyAlignment="0" applyProtection="0"/>
    <xf numFmtId="175" fontId="73" fillId="59" borderId="34" applyNumberFormat="0" applyAlignment="0" applyProtection="0"/>
    <xf numFmtId="175" fontId="75" fillId="21" borderId="28" applyNumberFormat="0" applyAlignment="0" applyProtection="0"/>
    <xf numFmtId="175" fontId="75" fillId="21" borderId="28" applyNumberFormat="0" applyAlignment="0" applyProtection="0"/>
    <xf numFmtId="175" fontId="75" fillId="21" borderId="28" applyNumberFormat="0" applyAlignment="0" applyProtection="0"/>
    <xf numFmtId="175" fontId="75" fillId="21" borderId="28" applyNumberFormat="0" applyAlignment="0" applyProtection="0"/>
    <xf numFmtId="175" fontId="75" fillId="21" borderId="28" applyNumberFormat="0" applyAlignment="0" applyProtection="0"/>
    <xf numFmtId="175" fontId="75" fillId="21" borderId="28" applyNumberFormat="0" applyAlignment="0" applyProtection="0"/>
    <xf numFmtId="175" fontId="73" fillId="59" borderId="34" applyNumberFormat="0" applyAlignment="0" applyProtection="0"/>
    <xf numFmtId="175" fontId="73" fillId="59" borderId="34" applyNumberFormat="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3" fillId="56" borderId="34" applyNumberFormat="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7" fillId="0" borderId="30"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9" fillId="0" borderId="43" applyNumberFormat="0" applyFill="0" applyAlignment="0" applyProtection="0"/>
    <xf numFmtId="175" fontId="78" fillId="0" borderId="30" applyNumberFormat="0" applyFill="0" applyAlignment="0" applyProtection="0"/>
    <xf numFmtId="175" fontId="79" fillId="0" borderId="43"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175" fontId="79" fillId="0" borderId="43" applyNumberFormat="0" applyFill="0" applyAlignment="0" applyProtection="0"/>
    <xf numFmtId="175" fontId="79" fillId="0" borderId="43" applyNumberFormat="0" applyFill="0" applyAlignment="0" applyProtection="0"/>
    <xf numFmtId="175" fontId="79" fillId="0" borderId="43" applyNumberFormat="0" applyFill="0" applyAlignment="0" applyProtection="0"/>
    <xf numFmtId="0" fontId="77" fillId="0" borderId="30" applyNumberFormat="0" applyFill="0" applyAlignment="0" applyProtection="0"/>
    <xf numFmtId="175" fontId="79" fillId="0" borderId="43" applyNumberFormat="0" applyFill="0" applyAlignment="0" applyProtection="0"/>
    <xf numFmtId="175" fontId="79" fillId="0" borderId="43" applyNumberFormat="0" applyFill="0" applyAlignment="0" applyProtection="0"/>
    <xf numFmtId="175" fontId="79" fillId="0" borderId="43"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8" fillId="0" borderId="30" applyNumberFormat="0" applyFill="0" applyAlignment="0" applyProtection="0"/>
    <xf numFmtId="175" fontId="79" fillId="0" borderId="43" applyNumberFormat="0" applyFill="0" applyAlignment="0" applyProtection="0"/>
    <xf numFmtId="175" fontId="79" fillId="0" borderId="43"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76" fillId="0" borderId="42" applyNumberFormat="0" applyFill="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1" fillId="20" borderId="0" applyNumberFormat="0" applyBorder="0" applyAlignment="0" applyProtection="0"/>
    <xf numFmtId="175" fontId="81" fillId="20" borderId="0" applyNumberFormat="0" applyBorder="0" applyAlignment="0" applyProtection="0"/>
    <xf numFmtId="175" fontId="81" fillId="20"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3" fillId="59" borderId="0" applyNumberFormat="0" applyBorder="0" applyAlignment="0" applyProtection="0"/>
    <xf numFmtId="175" fontId="82" fillId="20" borderId="0" applyNumberFormat="0" applyBorder="0" applyAlignment="0" applyProtection="0"/>
    <xf numFmtId="175" fontId="83" fillId="5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175" fontId="83" fillId="59" borderId="0" applyNumberFormat="0" applyBorder="0" applyAlignment="0" applyProtection="0"/>
    <xf numFmtId="175" fontId="83" fillId="59" borderId="0" applyNumberFormat="0" applyBorder="0" applyAlignment="0" applyProtection="0"/>
    <xf numFmtId="175" fontId="83" fillId="59" borderId="0" applyNumberFormat="0" applyBorder="0" applyAlignment="0" applyProtection="0"/>
    <xf numFmtId="0" fontId="81" fillId="20" borderId="0" applyNumberFormat="0" applyBorder="0" applyAlignment="0" applyProtection="0"/>
    <xf numFmtId="175" fontId="83" fillId="59" borderId="0" applyNumberFormat="0" applyBorder="0" applyAlignment="0" applyProtection="0"/>
    <xf numFmtId="175" fontId="83" fillId="59" borderId="0" applyNumberFormat="0" applyBorder="0" applyAlignment="0" applyProtection="0"/>
    <xf numFmtId="175" fontId="83" fillId="59"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2" fillId="20" borderId="0" applyNumberFormat="0" applyBorder="0" applyAlignment="0" applyProtection="0"/>
    <xf numFmtId="175" fontId="83" fillId="59" borderId="0" applyNumberFormat="0" applyBorder="0" applyAlignment="0" applyProtection="0"/>
    <xf numFmtId="175" fontId="83"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80" fillId="59" borderId="0" applyNumberFormat="0" applyBorder="0" applyAlignment="0" applyProtection="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41" fontId="36" fillId="0" borderId="0"/>
    <xf numFmtId="0" fontId="20" fillId="0" borderId="0"/>
    <xf numFmtId="0" fontId="20" fillId="0" borderId="0"/>
    <xf numFmtId="0" fontId="20" fillId="0" borderId="0"/>
    <xf numFmtId="0" fontId="20" fillId="0" borderId="0"/>
    <xf numFmtId="0" fontId="20" fillId="0" borderId="0"/>
    <xf numFmtId="175" fontId="10" fillId="0" borderId="0"/>
    <xf numFmtId="175" fontId="10" fillId="0" borderId="0"/>
    <xf numFmtId="175" fontId="10" fillId="0" borderId="0"/>
    <xf numFmtId="41" fontId="36" fillId="0" borderId="0"/>
    <xf numFmtId="41" fontId="36" fillId="0" borderId="0"/>
    <xf numFmtId="41" fontId="36"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20" fillId="0" borderId="0"/>
    <xf numFmtId="175" fontId="20" fillId="0" borderId="0"/>
    <xf numFmtId="175" fontId="20" fillId="0" borderId="0"/>
    <xf numFmtId="175" fontId="20" fillId="0" borderId="0"/>
    <xf numFmtId="175" fontId="2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38" fillId="0" borderId="0"/>
    <xf numFmtId="175" fontId="10"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84" fillId="0" borderId="0"/>
    <xf numFmtId="175" fontId="38" fillId="0" borderId="0"/>
    <xf numFmtId="41" fontId="36" fillId="0" borderId="0"/>
    <xf numFmtId="41" fontId="36" fillId="0" borderId="0"/>
    <xf numFmtId="41" fontId="36" fillId="0" borderId="0"/>
    <xf numFmtId="41" fontId="36" fillId="0" borderId="0"/>
    <xf numFmtId="41" fontId="36" fillId="0" borderId="0"/>
    <xf numFmtId="175" fontId="38" fillId="0" borderId="0"/>
    <xf numFmtId="175" fontId="38" fillId="0" borderId="0"/>
    <xf numFmtId="175" fontId="10" fillId="0" borderId="0"/>
    <xf numFmtId="41" fontId="36" fillId="0" borderId="0"/>
    <xf numFmtId="41" fontId="36" fillId="0" borderId="0"/>
    <xf numFmtId="41" fontId="36" fillId="0" borderId="0"/>
    <xf numFmtId="41" fontId="36" fillId="0" borderId="0"/>
    <xf numFmtId="41" fontId="36" fillId="0" borderId="0"/>
    <xf numFmtId="41" fontId="36"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86" fillId="54" borderId="44" applyNumberFormat="0" applyFont="0" applyAlignment="0" applyProtection="0"/>
    <xf numFmtId="175" fontId="86" fillId="54" borderId="44" applyNumberFormat="0" applyFont="0" applyAlignment="0" applyProtection="0"/>
    <xf numFmtId="175" fontId="86" fillId="54" borderId="44"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38"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20"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0" fontId="20"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38" fillId="24" borderId="32"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11" fillId="54" borderId="44" applyNumberFormat="0" applyFon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175" fontId="88" fillId="22" borderId="29" applyNumberFormat="0" applyAlignment="0" applyProtection="0"/>
    <xf numFmtId="175" fontId="88" fillId="22" borderId="29" applyNumberFormat="0" applyAlignment="0" applyProtection="0"/>
    <xf numFmtId="175" fontId="88" fillId="22" borderId="29" applyNumberFormat="0" applyAlignment="0" applyProtection="0"/>
    <xf numFmtId="175" fontId="89" fillId="22" borderId="29" applyNumberFormat="0" applyAlignment="0" applyProtection="0"/>
    <xf numFmtId="175" fontId="89" fillId="22" borderId="29" applyNumberFormat="0" applyAlignment="0" applyProtection="0"/>
    <xf numFmtId="175" fontId="87" fillId="72" borderId="45" applyNumberFormat="0" applyAlignment="0" applyProtection="0"/>
    <xf numFmtId="175" fontId="89" fillId="22" borderId="29" applyNumberFormat="0" applyAlignment="0" applyProtection="0"/>
    <xf numFmtId="175" fontId="87" fillId="72" borderId="45" applyNumberFormat="0" applyAlignment="0" applyProtection="0"/>
    <xf numFmtId="0" fontId="88" fillId="22" borderId="29" applyNumberFormat="0" applyAlignment="0" applyProtection="0"/>
    <xf numFmtId="0" fontId="88" fillId="22" borderId="29" applyNumberFormat="0" applyAlignment="0" applyProtection="0"/>
    <xf numFmtId="0" fontId="88" fillId="22" borderId="29" applyNumberFormat="0" applyAlignment="0" applyProtection="0"/>
    <xf numFmtId="0" fontId="88" fillId="22" borderId="29" applyNumberFormat="0" applyAlignment="0" applyProtection="0"/>
    <xf numFmtId="175" fontId="87" fillId="72" borderId="45" applyNumberFormat="0" applyAlignment="0" applyProtection="0"/>
    <xf numFmtId="175" fontId="87" fillId="72" borderId="45" applyNumberFormat="0" applyAlignment="0" applyProtection="0"/>
    <xf numFmtId="175" fontId="87" fillId="72" borderId="45" applyNumberFormat="0" applyAlignment="0" applyProtection="0"/>
    <xf numFmtId="0" fontId="88" fillId="22" borderId="29" applyNumberFormat="0" applyAlignment="0" applyProtection="0"/>
    <xf numFmtId="175" fontId="87" fillId="72" borderId="45" applyNumberFormat="0" applyAlignment="0" applyProtection="0"/>
    <xf numFmtId="175" fontId="87" fillId="72" borderId="45" applyNumberFormat="0" applyAlignment="0" applyProtection="0"/>
    <xf numFmtId="175" fontId="87" fillId="72" borderId="45" applyNumberFormat="0" applyAlignment="0" applyProtection="0"/>
    <xf numFmtId="175" fontId="89" fillId="22" borderId="29" applyNumberFormat="0" applyAlignment="0" applyProtection="0"/>
    <xf numFmtId="175" fontId="89" fillId="22" borderId="29" applyNumberFormat="0" applyAlignment="0" applyProtection="0"/>
    <xf numFmtId="175" fontId="89" fillId="22" borderId="29" applyNumberFormat="0" applyAlignment="0" applyProtection="0"/>
    <xf numFmtId="175" fontId="89" fillId="22" borderId="29" applyNumberFormat="0" applyAlignment="0" applyProtection="0"/>
    <xf numFmtId="175" fontId="89" fillId="22" borderId="29" applyNumberFormat="0" applyAlignment="0" applyProtection="0"/>
    <xf numFmtId="175" fontId="89" fillId="22" borderId="29" applyNumberFormat="0" applyAlignment="0" applyProtection="0"/>
    <xf numFmtId="175" fontId="87" fillId="72" borderId="45" applyNumberFormat="0" applyAlignment="0" applyProtection="0"/>
    <xf numFmtId="175" fontId="87" fillId="72" borderId="45" applyNumberForma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175" fontId="87" fillId="71" borderId="45" applyNumberFormat="0" applyAlignment="0" applyProtection="0"/>
    <xf numFmtId="4" fontId="85" fillId="74" borderId="0">
      <alignment horizontal="right"/>
    </xf>
    <xf numFmtId="175" fontId="90" fillId="74" borderId="0">
      <alignment horizontal="center" vertical="center"/>
    </xf>
    <xf numFmtId="175" fontId="90" fillId="74" borderId="0">
      <alignment horizontal="center" vertical="center"/>
    </xf>
    <xf numFmtId="175" fontId="90" fillId="74" borderId="0">
      <alignment horizontal="center" vertical="center"/>
    </xf>
    <xf numFmtId="175" fontId="90" fillId="74" borderId="0">
      <alignment horizontal="center" vertical="center"/>
    </xf>
    <xf numFmtId="175" fontId="90" fillId="74" borderId="0">
      <alignment horizontal="center" vertical="center"/>
    </xf>
    <xf numFmtId="175" fontId="90" fillId="74" borderId="0">
      <alignment horizontal="center" vertical="center"/>
    </xf>
    <xf numFmtId="175" fontId="90" fillId="74" borderId="0">
      <alignment horizontal="center" vertical="center"/>
    </xf>
    <xf numFmtId="175" fontId="91" fillId="74" borderId="5"/>
    <xf numFmtId="175" fontId="91" fillId="74" borderId="5"/>
    <xf numFmtId="175" fontId="91" fillId="74" borderId="5"/>
    <xf numFmtId="175" fontId="91" fillId="74" borderId="5"/>
    <xf numFmtId="175" fontId="91" fillId="74" borderId="5"/>
    <xf numFmtId="175" fontId="91" fillId="74" borderId="5"/>
    <xf numFmtId="175" fontId="91" fillId="74" borderId="5"/>
    <xf numFmtId="175" fontId="90" fillId="74" borderId="0" applyBorder="0">
      <alignment horizontal="centerContinuous"/>
    </xf>
    <xf numFmtId="175" fontId="90" fillId="74" borderId="0" applyBorder="0">
      <alignment horizontal="centerContinuous"/>
    </xf>
    <xf numFmtId="175" fontId="90" fillId="74" borderId="0" applyBorder="0">
      <alignment horizontal="centerContinuous"/>
    </xf>
    <xf numFmtId="175" fontId="90" fillId="74" borderId="0" applyBorder="0">
      <alignment horizontal="centerContinuous"/>
    </xf>
    <xf numFmtId="175" fontId="90" fillId="74" borderId="0" applyBorder="0">
      <alignment horizontal="centerContinuous"/>
    </xf>
    <xf numFmtId="175" fontId="90" fillId="74" borderId="0" applyBorder="0">
      <alignment horizontal="centerContinuous"/>
    </xf>
    <xf numFmtId="175" fontId="90" fillId="74" borderId="0" applyBorder="0">
      <alignment horizontal="centerContinuous"/>
    </xf>
    <xf numFmtId="175" fontId="92" fillId="74" borderId="0" applyBorder="0">
      <alignment horizontal="centerContinuous"/>
    </xf>
    <xf numFmtId="175" fontId="92" fillId="74" borderId="0" applyBorder="0">
      <alignment horizontal="centerContinuous"/>
    </xf>
    <xf numFmtId="175" fontId="92" fillId="74" borderId="0" applyBorder="0">
      <alignment horizontal="centerContinuous"/>
    </xf>
    <xf numFmtId="175" fontId="92" fillId="74" borderId="0" applyBorder="0">
      <alignment horizontal="centerContinuous"/>
    </xf>
    <xf numFmtId="175" fontId="92" fillId="74" borderId="0" applyBorder="0">
      <alignment horizontal="centerContinuous"/>
    </xf>
    <xf numFmtId="175" fontId="92" fillId="74" borderId="0" applyBorder="0">
      <alignment horizontal="centerContinuous"/>
    </xf>
    <xf numFmtId="175" fontId="92" fillId="74" borderId="0" applyBorder="0">
      <alignment horizontal="centerContinuous"/>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0"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94" fillId="0" borderId="0" applyNumberFormat="0" applyFill="0" applyBorder="0" applyAlignment="0" applyProtection="0"/>
    <xf numFmtId="175" fontId="23"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175"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3" fillId="0" borderId="0" applyNumberFormat="0" applyFill="0" applyBorder="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6" fillId="0" borderId="33" applyNumberFormat="0" applyFill="0" applyAlignment="0" applyProtection="0"/>
    <xf numFmtId="175" fontId="96" fillId="0" borderId="33" applyNumberFormat="0" applyFill="0" applyAlignment="0" applyProtection="0"/>
    <xf numFmtId="175" fontId="96" fillId="0" borderId="33" applyNumberFormat="0" applyFill="0" applyAlignment="0" applyProtection="0"/>
    <xf numFmtId="175" fontId="97" fillId="0" borderId="33" applyNumberFormat="0" applyFill="0" applyAlignment="0" applyProtection="0"/>
    <xf numFmtId="175" fontId="97" fillId="0" borderId="33" applyNumberFormat="0" applyFill="0" applyAlignment="0" applyProtection="0"/>
    <xf numFmtId="175" fontId="95" fillId="0" borderId="47" applyNumberFormat="0" applyFill="0" applyAlignment="0" applyProtection="0"/>
    <xf numFmtId="175" fontId="97" fillId="0" borderId="33" applyNumberFormat="0" applyFill="0" applyAlignment="0" applyProtection="0"/>
    <xf numFmtId="175" fontId="95" fillId="0" borderId="47"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175" fontId="95" fillId="0" borderId="47" applyNumberFormat="0" applyFill="0" applyAlignment="0" applyProtection="0"/>
    <xf numFmtId="175" fontId="95" fillId="0" borderId="47" applyNumberFormat="0" applyFill="0" applyAlignment="0" applyProtection="0"/>
    <xf numFmtId="175" fontId="95" fillId="0" borderId="47" applyNumberFormat="0" applyFill="0" applyAlignment="0" applyProtection="0"/>
    <xf numFmtId="0" fontId="96" fillId="0" borderId="33" applyNumberFormat="0" applyFill="0" applyAlignment="0" applyProtection="0"/>
    <xf numFmtId="175" fontId="95" fillId="0" borderId="47" applyNumberFormat="0" applyFill="0" applyAlignment="0" applyProtection="0"/>
    <xf numFmtId="175" fontId="95" fillId="0" borderId="47" applyNumberFormat="0" applyFill="0" applyAlignment="0" applyProtection="0"/>
    <xf numFmtId="175" fontId="95" fillId="0" borderId="47" applyNumberFormat="0" applyFill="0" applyAlignment="0" applyProtection="0"/>
    <xf numFmtId="175" fontId="97" fillId="0" borderId="33" applyNumberFormat="0" applyFill="0" applyAlignment="0" applyProtection="0"/>
    <xf numFmtId="175" fontId="97" fillId="0" borderId="33" applyNumberFormat="0" applyFill="0" applyAlignment="0" applyProtection="0"/>
    <xf numFmtId="175" fontId="97" fillId="0" borderId="33" applyNumberFormat="0" applyFill="0" applyAlignment="0" applyProtection="0"/>
    <xf numFmtId="175" fontId="10" fillId="0" borderId="48" applyNumberFormat="0" applyFont="0" applyFill="0" applyAlignment="0" applyProtection="0"/>
    <xf numFmtId="175" fontId="10" fillId="0" borderId="48" applyNumberFormat="0" applyFont="0" applyFill="0" applyAlignment="0" applyProtection="0"/>
    <xf numFmtId="175" fontId="97" fillId="0" borderId="33" applyNumberFormat="0" applyFill="0" applyAlignment="0" applyProtection="0"/>
    <xf numFmtId="175" fontId="97" fillId="0" borderId="33" applyNumberFormat="0" applyFill="0" applyAlignment="0" applyProtection="0"/>
    <xf numFmtId="175" fontId="97" fillId="0" borderId="33" applyNumberFormat="0" applyFill="0" applyAlignment="0" applyProtection="0"/>
    <xf numFmtId="175" fontId="95" fillId="0" borderId="47" applyNumberFormat="0" applyFill="0" applyAlignment="0" applyProtection="0"/>
    <xf numFmtId="175" fontId="95" fillId="0" borderId="47"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95" fillId="0" borderId="46" applyNumberFormat="0" applyFill="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98" fillId="0" borderId="0" applyNumberFormat="0" applyFill="0" applyBorder="0" applyAlignment="0" applyProtection="0"/>
    <xf numFmtId="175" fontId="98" fillId="0" borderId="0" applyNumberFormat="0" applyFill="0" applyBorder="0" applyAlignment="0" applyProtection="0"/>
    <xf numFmtId="175" fontId="98"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79" fillId="0" borderId="0" applyNumberFormat="0" applyFill="0" applyBorder="0" applyAlignment="0" applyProtection="0"/>
    <xf numFmtId="175" fontId="99" fillId="0" borderId="0" applyNumberFormat="0" applyFill="0" applyBorder="0" applyAlignment="0" applyProtection="0"/>
    <xf numFmtId="175" fontId="7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0" fontId="98"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9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175" fontId="79" fillId="0" borderId="0" applyNumberFormat="0" applyFill="0" applyBorder="0" applyAlignment="0" applyProtection="0"/>
    <xf numFmtId="41" fontId="36" fillId="0" borderId="0"/>
    <xf numFmtId="9" fontId="57" fillId="0" borderId="0" applyFont="0" applyFill="0" applyBorder="0" applyAlignment="0" applyProtection="0"/>
    <xf numFmtId="41" fontId="101" fillId="0" borderId="0"/>
    <xf numFmtId="0" fontId="20" fillId="0" borderId="0"/>
    <xf numFmtId="0" fontId="20"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10" fillId="0" borderId="0"/>
    <xf numFmtId="0" fontId="10" fillId="79" borderId="0"/>
    <xf numFmtId="0" fontId="10" fillId="79" borderId="0"/>
    <xf numFmtId="175" fontId="10" fillId="0" borderId="0"/>
    <xf numFmtId="175" fontId="10" fillId="0" borderId="0"/>
    <xf numFmtId="175" fontId="10" fillId="0" borderId="0"/>
    <xf numFmtId="175" fontId="10" fillId="0" borderId="0"/>
    <xf numFmtId="0" fontId="1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5" fontId="37"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51" borderId="0" applyNumberFormat="0" applyBorder="0" applyAlignment="0" applyProtection="0"/>
    <xf numFmtId="0" fontId="1" fillId="3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3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3" borderId="0" applyNumberFormat="0" applyBorder="0" applyAlignment="0" applyProtection="0"/>
    <xf numFmtId="0" fontId="1" fillId="34"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37" fillId="5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5" borderId="0" applyNumberFormat="0" applyBorder="0" applyAlignment="0" applyProtection="0"/>
    <xf numFmtId="0" fontId="1" fillId="38"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7" fillId="56"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37"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57" borderId="0" applyNumberFormat="0" applyBorder="0" applyAlignment="0" applyProtection="0"/>
    <xf numFmtId="0" fontId="1" fillId="42"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37" fillId="5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5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7" fillId="56" borderId="0" applyNumberFormat="0" applyBorder="0" applyAlignment="0" applyProtection="0"/>
    <xf numFmtId="0" fontId="1" fillId="4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7" fillId="5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37" fillId="5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5"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8" borderId="0" applyNumberFormat="0" applyBorder="0" applyAlignment="0" applyProtection="0"/>
    <xf numFmtId="0" fontId="1" fillId="35"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37"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5" borderId="0" applyNumberFormat="0" applyBorder="0" applyAlignment="0" applyProtection="0"/>
    <xf numFmtId="0" fontId="1" fillId="39"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37"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0" borderId="0" applyNumberFormat="0" applyBorder="0" applyAlignment="0" applyProtection="0"/>
    <xf numFmtId="0" fontId="1" fillId="43"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37"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60" borderId="0" applyNumberFormat="0" applyBorder="0" applyAlignment="0" applyProtection="0"/>
    <xf numFmtId="0" fontId="1" fillId="47"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37" fillId="6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60" borderId="0" applyNumberFormat="0" applyBorder="0" applyAlignment="0" applyProtection="0"/>
    <xf numFmtId="0" fontId="39" fillId="61" borderId="0" applyNumberFormat="0" applyBorder="0" applyAlignment="0" applyProtection="0"/>
    <xf numFmtId="175" fontId="39" fillId="61" borderId="0" applyNumberFormat="0" applyBorder="0" applyAlignment="0" applyProtection="0"/>
    <xf numFmtId="175" fontId="39" fillId="61" borderId="0" applyNumberFormat="0" applyBorder="0" applyAlignment="0" applyProtection="0"/>
    <xf numFmtId="0" fontId="39" fillId="52" borderId="0" applyNumberFormat="0" applyBorder="0" applyAlignment="0" applyProtection="0"/>
    <xf numFmtId="175" fontId="39" fillId="52" borderId="0" applyNumberFormat="0" applyBorder="0" applyAlignment="0" applyProtection="0"/>
    <xf numFmtId="175" fontId="39" fillId="52" borderId="0" applyNumberFormat="0" applyBorder="0" applyAlignment="0" applyProtection="0"/>
    <xf numFmtId="0" fontId="39" fillId="58" borderId="0" applyNumberFormat="0" applyBorder="0" applyAlignment="0" applyProtection="0"/>
    <xf numFmtId="175" fontId="39" fillId="58" borderId="0" applyNumberFormat="0" applyBorder="0" applyAlignment="0" applyProtection="0"/>
    <xf numFmtId="175" fontId="39" fillId="58" borderId="0" applyNumberFormat="0" applyBorder="0" applyAlignment="0" applyProtection="0"/>
    <xf numFmtId="0"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0" fontId="39" fillId="64"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0" fontId="39" fillId="65" borderId="0" applyNumberFormat="0" applyBorder="0" applyAlignment="0" applyProtection="0"/>
    <xf numFmtId="175" fontId="39" fillId="65" borderId="0" applyNumberFormat="0" applyBorder="0" applyAlignment="0" applyProtection="0"/>
    <xf numFmtId="175" fontId="39" fillId="65" borderId="0" applyNumberFormat="0" applyBorder="0" applyAlignment="0" applyProtection="0"/>
    <xf numFmtId="0" fontId="136" fillId="0" borderId="6" applyBorder="0"/>
    <xf numFmtId="0" fontId="39" fillId="66" borderId="0" applyNumberFormat="0" applyBorder="0" applyAlignment="0" applyProtection="0"/>
    <xf numFmtId="175" fontId="39" fillId="66" borderId="0" applyNumberFormat="0" applyBorder="0" applyAlignment="0" applyProtection="0"/>
    <xf numFmtId="175" fontId="39" fillId="66" borderId="0" applyNumberFormat="0" applyBorder="0" applyAlignment="0" applyProtection="0"/>
    <xf numFmtId="0" fontId="39" fillId="68" borderId="0" applyNumberFormat="0" applyBorder="0" applyAlignment="0" applyProtection="0"/>
    <xf numFmtId="175" fontId="39" fillId="68" borderId="0" applyNumberFormat="0" applyBorder="0" applyAlignment="0" applyProtection="0"/>
    <xf numFmtId="175" fontId="39" fillId="68" borderId="0" applyNumberFormat="0" applyBorder="0" applyAlignment="0" applyProtection="0"/>
    <xf numFmtId="0" fontId="39" fillId="69" borderId="0" applyNumberFormat="0" applyBorder="0" applyAlignment="0" applyProtection="0"/>
    <xf numFmtId="175" fontId="39" fillId="69" borderId="0" applyNumberFormat="0" applyBorder="0" applyAlignment="0" applyProtection="0"/>
    <xf numFmtId="175" fontId="39" fillId="69" borderId="0" applyNumberFormat="0" applyBorder="0" applyAlignment="0" applyProtection="0"/>
    <xf numFmtId="0" fontId="39" fillId="63" borderId="0" applyNumberFormat="0" applyBorder="0" applyAlignment="0" applyProtection="0"/>
    <xf numFmtId="175" fontId="39" fillId="63" borderId="0" applyNumberFormat="0" applyBorder="0" applyAlignment="0" applyProtection="0"/>
    <xf numFmtId="175" fontId="39" fillId="63" borderId="0" applyNumberFormat="0" applyBorder="0" applyAlignment="0" applyProtection="0"/>
    <xf numFmtId="175" fontId="39" fillId="64" borderId="0" applyNumberFormat="0" applyBorder="0" applyAlignment="0" applyProtection="0"/>
    <xf numFmtId="175" fontId="39" fillId="64" borderId="0" applyNumberFormat="0" applyBorder="0" applyAlignment="0" applyProtection="0"/>
    <xf numFmtId="0" fontId="39" fillId="62" borderId="0" applyNumberFormat="0" applyBorder="0" applyAlignment="0" applyProtection="0"/>
    <xf numFmtId="175" fontId="39" fillId="62" borderId="0" applyNumberFormat="0" applyBorder="0" applyAlignment="0" applyProtection="0"/>
    <xf numFmtId="175" fontId="39" fillId="62" borderId="0" applyNumberFormat="0" applyBorder="0" applyAlignment="0" applyProtection="0"/>
    <xf numFmtId="0" fontId="42" fillId="51" borderId="0" applyNumberFormat="0" applyBorder="0" applyAlignment="0" applyProtection="0"/>
    <xf numFmtId="175" fontId="42" fillId="51" borderId="0" applyNumberFormat="0" applyBorder="0" applyAlignment="0" applyProtection="0"/>
    <xf numFmtId="165" fontId="137" fillId="0" borderId="5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0" fontId="47" fillId="22" borderId="2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0" fontId="47" fillId="22" borderId="2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6" fillId="22" borderId="28" applyNumberFormat="0" applyAlignment="0" applyProtection="0"/>
    <xf numFmtId="172" fontId="138" fillId="80" borderId="58" applyNumberFormat="0" applyAlignment="0" applyProtection="0"/>
    <xf numFmtId="0" fontId="46" fillId="22" borderId="2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2" fontId="138" fillId="80" borderId="58" applyNumberFormat="0" applyAlignment="0" applyProtection="0"/>
    <xf numFmtId="175" fontId="45" fillId="71" borderId="58" applyNumberFormat="0" applyAlignment="0" applyProtection="0"/>
    <xf numFmtId="0" fontId="48" fillId="72" borderId="58" applyNumberFormat="0" applyAlignment="0" applyProtection="0"/>
    <xf numFmtId="172" fontId="138" fillId="80"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5" fillId="71"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0" fontId="48" fillId="72" borderId="58" applyNumberFormat="0" applyAlignment="0" applyProtection="0"/>
    <xf numFmtId="175" fontId="49" fillId="73" borderId="35" applyNumberFormat="0" applyAlignment="0" applyProtection="0"/>
    <xf numFmtId="191" fontId="139" fillId="0" borderId="5" applyBorder="0">
      <alignment horizontal="center" vertical="center"/>
    </xf>
    <xf numFmtId="192" fontId="140" fillId="81" borderId="0">
      <alignment horizontal="left"/>
    </xf>
    <xf numFmtId="0" fontId="140" fillId="81" borderId="0">
      <alignment horizontal="left"/>
    </xf>
    <xf numFmtId="0" fontId="140" fillId="81" borderId="0">
      <alignment horizontal="left"/>
    </xf>
    <xf numFmtId="192" fontId="140" fillId="81" borderId="0">
      <alignment horizontal="left"/>
    </xf>
    <xf numFmtId="172" fontId="140" fillId="81" borderId="0">
      <alignment horizontal="left"/>
    </xf>
    <xf numFmtId="192" fontId="141" fillId="81" borderId="0">
      <alignment horizontal="right"/>
    </xf>
    <xf numFmtId="0" fontId="141" fillId="81" borderId="0">
      <alignment horizontal="right"/>
    </xf>
    <xf numFmtId="0" fontId="141" fillId="81" borderId="0">
      <alignment horizontal="right"/>
    </xf>
    <xf numFmtId="192" fontId="141" fillId="81" borderId="0">
      <alignment horizontal="right"/>
    </xf>
    <xf numFmtId="172" fontId="141" fillId="81" borderId="0">
      <alignment horizontal="right"/>
    </xf>
    <xf numFmtId="192" fontId="142" fillId="72" borderId="0">
      <alignment horizontal="center"/>
    </xf>
    <xf numFmtId="0" fontId="142" fillId="72" borderId="0">
      <alignment horizontal="center"/>
    </xf>
    <xf numFmtId="0" fontId="142" fillId="72" borderId="0">
      <alignment horizontal="center"/>
    </xf>
    <xf numFmtId="192" fontId="142" fillId="72" borderId="0">
      <alignment horizontal="center"/>
    </xf>
    <xf numFmtId="172" fontId="142" fillId="72" borderId="0">
      <alignment horizontal="center"/>
    </xf>
    <xf numFmtId="192" fontId="141" fillId="81" borderId="0">
      <alignment horizontal="right"/>
    </xf>
    <xf numFmtId="0" fontId="141" fillId="81" borderId="0">
      <alignment horizontal="right"/>
    </xf>
    <xf numFmtId="0" fontId="141" fillId="81" borderId="0">
      <alignment horizontal="right"/>
    </xf>
    <xf numFmtId="192" fontId="141" fillId="81" borderId="0">
      <alignment horizontal="right"/>
    </xf>
    <xf numFmtId="172" fontId="141" fillId="81" borderId="0">
      <alignment horizontal="right"/>
    </xf>
    <xf numFmtId="192" fontId="143" fillId="72" borderId="0">
      <alignment horizontal="left"/>
    </xf>
    <xf numFmtId="0" fontId="143" fillId="72" borderId="0">
      <alignment horizontal="left"/>
    </xf>
    <xf numFmtId="192" fontId="143" fillId="72" borderId="0">
      <alignment horizontal="left"/>
    </xf>
    <xf numFmtId="172" fontId="143" fillId="72" borderId="0">
      <alignment horizontal="left"/>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4" fillId="0" borderId="0" applyFont="0" applyFill="0" applyBorder="0" applyAlignment="0" applyProtection="0"/>
    <xf numFmtId="3" fontId="147"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82" borderId="0"/>
    <xf numFmtId="3" fontId="10" fillId="0" borderId="0" applyFont="0" applyFill="0" applyBorder="0" applyAlignment="0" applyProtection="0"/>
    <xf numFmtId="3" fontId="10" fillId="82" borderId="0"/>
    <xf numFmtId="3" fontId="10" fillId="0" borderId="0" applyFont="0" applyFill="0" applyBorder="0" applyAlignment="0" applyProtection="0"/>
    <xf numFmtId="3" fontId="147" fillId="0" borderId="0" applyFont="0" applyFill="0" applyBorder="0" applyAlignment="0" applyProtection="0"/>
    <xf numFmtId="3" fontId="10" fillId="0" borderId="0" applyFont="0" applyFill="0" applyBorder="0" applyAlignment="0" applyProtection="0"/>
    <xf numFmtId="3" fontId="10" fillId="82" borderId="0"/>
    <xf numFmtId="3" fontId="10" fillId="82"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5"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0" fontId="148" fillId="0" borderId="0"/>
    <xf numFmtId="0" fontId="148" fillId="0" borderId="59"/>
    <xf numFmtId="17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58" borderId="60" applyNumberFormat="0" applyFont="0" applyAlignment="0">
      <protection locked="0"/>
    </xf>
    <xf numFmtId="0" fontId="10" fillId="58" borderId="60" applyNumberFormat="0" applyFont="0" applyAlignment="0">
      <protection locked="0"/>
    </xf>
    <xf numFmtId="193" fontId="10" fillId="0" borderId="0" applyFont="0" applyFill="0" applyBorder="0" applyAlignment="0" applyProtection="0"/>
    <xf numFmtId="193" fontId="10" fillId="0" borderId="0" applyFont="0" applyFill="0" applyBorder="0" applyAlignment="0" applyProtection="0"/>
    <xf numFmtId="172"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2"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5" fontId="52" fillId="0" borderId="0" applyNumberFormat="0" applyFill="0" applyBorder="0" applyAlignment="0" applyProtection="0"/>
    <xf numFmtId="0" fontId="55" fillId="0" borderId="0" applyProtection="0"/>
    <xf numFmtId="0" fontId="55" fillId="0" borderId="0" applyProtection="0"/>
    <xf numFmtId="170" fontId="55" fillId="0" borderId="0" applyProtection="0"/>
    <xf numFmtId="170" fontId="55" fillId="0" borderId="0" applyProtection="0"/>
    <xf numFmtId="0" fontId="55" fillId="0" borderId="0" applyProtection="0"/>
    <xf numFmtId="0" fontId="11" fillId="0" borderId="0" applyProtection="0"/>
    <xf numFmtId="0" fontId="11" fillId="0" borderId="0" applyProtection="0"/>
    <xf numFmtId="170" fontId="11" fillId="0" borderId="0" applyProtection="0"/>
    <xf numFmtId="170" fontId="11" fillId="0" borderId="0" applyProtection="0"/>
    <xf numFmtId="0" fontId="11" fillId="0" borderId="0" applyProtection="0"/>
    <xf numFmtId="0" fontId="56" fillId="0" borderId="0" applyProtection="0"/>
    <xf numFmtId="0" fontId="56" fillId="0" borderId="0" applyProtection="0"/>
    <xf numFmtId="170" fontId="56" fillId="0" borderId="0" applyProtection="0"/>
    <xf numFmtId="170" fontId="56" fillId="0" borderId="0" applyProtection="0"/>
    <xf numFmtId="0" fontId="56" fillId="0" borderId="0" applyProtection="0"/>
    <xf numFmtId="0" fontId="57" fillId="0" borderId="0" applyProtection="0"/>
    <xf numFmtId="0" fontId="57" fillId="0" borderId="0" applyProtection="0"/>
    <xf numFmtId="170" fontId="57" fillId="0" borderId="0" applyProtection="0"/>
    <xf numFmtId="170" fontId="57" fillId="0" borderId="0" applyProtection="0"/>
    <xf numFmtId="0" fontId="57" fillId="0" borderId="0" applyProtection="0"/>
    <xf numFmtId="0" fontId="10" fillId="0" borderId="0" applyProtection="0"/>
    <xf numFmtId="0" fontId="10" fillId="0" borderId="0" applyProtection="0"/>
    <xf numFmtId="0" fontId="10" fillId="0" borderId="0" applyProtection="0"/>
    <xf numFmtId="172" fontId="10" fillId="0" borderId="0" applyProtection="0"/>
    <xf numFmtId="0" fontId="10" fillId="0" borderId="0" applyProtection="0"/>
    <xf numFmtId="0" fontId="10" fillId="0" borderId="0" applyProtection="0"/>
    <xf numFmtId="170" fontId="10" fillId="0" borderId="0" applyProtection="0"/>
    <xf numFmtId="170" fontId="10" fillId="0" borderId="0" applyProtection="0"/>
    <xf numFmtId="0" fontId="10" fillId="0" borderId="0" applyProtection="0"/>
    <xf numFmtId="0" fontId="55" fillId="0" borderId="0" applyProtection="0"/>
    <xf numFmtId="0" fontId="55" fillId="0" borderId="0" applyProtection="0"/>
    <xf numFmtId="170" fontId="55" fillId="0" borderId="0" applyProtection="0"/>
    <xf numFmtId="170" fontId="55" fillId="0" borderId="0" applyProtection="0"/>
    <xf numFmtId="0" fontId="55" fillId="0" borderId="0" applyProtection="0"/>
    <xf numFmtId="0" fontId="58" fillId="0" borderId="0" applyProtection="0"/>
    <xf numFmtId="0" fontId="58" fillId="0" borderId="0" applyProtection="0"/>
    <xf numFmtId="170" fontId="58" fillId="0" borderId="0" applyProtection="0"/>
    <xf numFmtId="170" fontId="58" fillId="0" borderId="0" applyProtection="0"/>
    <xf numFmtId="0" fontId="58" fillId="0" borderId="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59" fillId="53" borderId="0" applyNumberFormat="0" applyBorder="0" applyAlignment="0" applyProtection="0"/>
    <xf numFmtId="175" fontId="59" fillId="53" borderId="0" applyNumberFormat="0" applyBorder="0" applyAlignment="0" applyProtection="0"/>
    <xf numFmtId="0" fontId="65" fillId="0" borderId="0" applyNumberFormat="0" applyFill="0" applyBorder="0" applyAlignment="0" applyProtection="0"/>
    <xf numFmtId="192" fontId="149" fillId="0" borderId="0" applyNumberFormat="0" applyFont="0" applyFill="0" applyAlignment="0" applyProtection="0"/>
    <xf numFmtId="0" fontId="62" fillId="0" borderId="36" applyNumberFormat="0" applyFill="0" applyAlignment="0" applyProtection="0"/>
    <xf numFmtId="172" fontId="150" fillId="0" borderId="61" applyNumberFormat="0" applyFill="0" applyAlignment="0" applyProtection="0"/>
    <xf numFmtId="0" fontId="65" fillId="0" borderId="0" applyNumberFormat="0" applyFill="0" applyBorder="0" applyAlignment="0" applyProtection="0"/>
    <xf numFmtId="0" fontId="69" fillId="0" borderId="0" applyNumberFormat="0" applyFill="0" applyBorder="0" applyAlignment="0" applyProtection="0"/>
    <xf numFmtId="192" fontId="57" fillId="0" borderId="0" applyNumberFormat="0" applyFont="0" applyFill="0" applyAlignment="0" applyProtection="0"/>
    <xf numFmtId="0" fontId="66" fillId="0" borderId="38" applyNumberFormat="0" applyFill="0" applyAlignment="0" applyProtection="0"/>
    <xf numFmtId="172" fontId="151" fillId="0" borderId="62" applyNumberFormat="0" applyFill="0" applyAlignment="0" applyProtection="0"/>
    <xf numFmtId="0" fontId="69" fillId="0" borderId="0" applyNumberFormat="0" applyFill="0" applyBorder="0" applyAlignment="0" applyProtection="0"/>
    <xf numFmtId="0" fontId="70" fillId="0" borderId="63" applyNumberFormat="0" applyFill="0" applyAlignment="0" applyProtection="0"/>
    <xf numFmtId="175" fontId="70" fillId="0" borderId="63" applyNumberFormat="0" applyFill="0" applyAlignment="0" applyProtection="0"/>
    <xf numFmtId="175" fontId="70" fillId="0" borderId="63" applyNumberFormat="0" applyFill="0" applyAlignment="0" applyProtection="0"/>
    <xf numFmtId="175" fontId="70" fillId="0" borderId="63" applyNumberFormat="0" applyFill="0" applyAlignment="0" applyProtection="0"/>
    <xf numFmtId="0" fontId="70" fillId="0" borderId="0" applyNumberFormat="0" applyFill="0" applyBorder="0" applyAlignment="0" applyProtection="0"/>
    <xf numFmtId="175" fontId="70" fillId="0" borderId="0" applyNumberFormat="0" applyFill="0" applyBorder="0" applyAlignment="0" applyProtection="0"/>
    <xf numFmtId="192" fontId="152" fillId="0" borderId="0" applyNumberFormat="0" applyFill="0" applyBorder="0" applyAlignment="0" applyProtection="0">
      <alignment vertical="top"/>
      <protection locked="0"/>
    </xf>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0" fontId="75" fillId="21" borderId="2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0" fontId="75" fillId="21" borderId="2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4" fillId="21" borderId="28" applyNumberFormat="0" applyAlignment="0" applyProtection="0"/>
    <xf numFmtId="172" fontId="153" fillId="56" borderId="58" applyNumberFormat="0" applyAlignment="0" applyProtection="0"/>
    <xf numFmtId="0" fontId="74" fillId="21" borderId="2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2" fontId="153" fillId="56" borderId="58" applyNumberFormat="0" applyAlignment="0" applyProtection="0"/>
    <xf numFmtId="175" fontId="73" fillId="56" borderId="58" applyNumberFormat="0" applyAlignment="0" applyProtection="0"/>
    <xf numFmtId="0" fontId="73" fillId="59" borderId="58" applyNumberFormat="0" applyAlignment="0" applyProtection="0"/>
    <xf numFmtId="172" fontId="15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5"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5"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5"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5"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175"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6"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73" fillId="59" borderId="58" applyNumberFormat="0" applyAlignment="0" applyProtection="0"/>
    <xf numFmtId="0" fontId="154" fillId="83" borderId="59"/>
    <xf numFmtId="192" fontId="140" fillId="81" borderId="0">
      <alignment horizontal="left"/>
    </xf>
    <xf numFmtId="0" fontId="140" fillId="81" borderId="0">
      <alignment horizontal="left"/>
    </xf>
    <xf numFmtId="0" fontId="140" fillId="81" borderId="0">
      <alignment horizontal="left"/>
    </xf>
    <xf numFmtId="192" fontId="140" fillId="81" borderId="0">
      <alignment horizontal="left"/>
    </xf>
    <xf numFmtId="172" fontId="140" fillId="81" borderId="0">
      <alignment horizontal="left"/>
    </xf>
    <xf numFmtId="192" fontId="91" fillId="72" borderId="0">
      <alignment horizontal="left"/>
    </xf>
    <xf numFmtId="0" fontId="91" fillId="72" borderId="0">
      <alignment horizontal="left"/>
    </xf>
    <xf numFmtId="0" fontId="91" fillId="72" borderId="0">
      <alignment horizontal="left"/>
    </xf>
    <xf numFmtId="192" fontId="91" fillId="72" borderId="0">
      <alignment horizontal="left"/>
    </xf>
    <xf numFmtId="0" fontId="91" fillId="72" borderId="0">
      <alignment horizontal="left"/>
    </xf>
    <xf numFmtId="172" fontId="91" fillId="72" borderId="0">
      <alignment horizontal="left"/>
    </xf>
    <xf numFmtId="0" fontId="76" fillId="0" borderId="42" applyNumberFormat="0" applyFill="0" applyAlignment="0" applyProtection="0"/>
    <xf numFmtId="175" fontId="76" fillId="0" borderId="42" applyNumberFormat="0" applyFill="0" applyAlignment="0" applyProtection="0"/>
    <xf numFmtId="195" fontId="10" fillId="0" borderId="0" applyFont="0" applyFill="0" applyBorder="0" applyAlignment="0" applyProtection="0"/>
    <xf numFmtId="196"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Alignment="0" applyProtection="0"/>
    <xf numFmtId="0" fontId="80" fillId="59" borderId="0" applyNumberFormat="0" applyBorder="0" applyAlignment="0" applyProtection="0"/>
    <xf numFmtId="175" fontId="80" fillId="59" borderId="0" applyNumberFormat="0" applyBorder="0" applyAlignment="0" applyProtection="0"/>
    <xf numFmtId="199" fontId="10"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0" fillId="0" borderId="0"/>
    <xf numFmtId="172"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5" fontId="10" fillId="0" borderId="0"/>
    <xf numFmtId="0" fontId="1" fillId="0" borderId="0"/>
    <xf numFmtId="0" fontId="1" fillId="0" borderId="0"/>
    <xf numFmtId="175" fontId="10" fillId="0" borderId="0"/>
    <xf numFmtId="175" fontId="10" fillId="0" borderId="0"/>
    <xf numFmtId="0" fontId="145" fillId="0" borderId="0"/>
    <xf numFmtId="0" fontId="145" fillId="0" borderId="0"/>
    <xf numFmtId="192" fontId="10" fillId="0" borderId="0"/>
    <xf numFmtId="0" fontId="145" fillId="0" borderId="0"/>
    <xf numFmtId="172"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0" fontId="10" fillId="0" borderId="0"/>
    <xf numFmtId="175"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45" fillId="0" borderId="0"/>
    <xf numFmtId="172" fontId="10" fillId="0" borderId="0"/>
    <xf numFmtId="175" fontId="10" fillId="0" borderId="0"/>
    <xf numFmtId="0" fontId="10"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5" fontId="10" fillId="0" borderId="0"/>
    <xf numFmtId="175" fontId="10" fillId="0" borderId="0"/>
    <xf numFmtId="175" fontId="10" fillId="0" borderId="0"/>
    <xf numFmtId="0" fontId="10" fillId="0" borderId="0"/>
    <xf numFmtId="175" fontId="10" fillId="0" borderId="0"/>
    <xf numFmtId="175" fontId="10" fillId="0" borderId="0"/>
    <xf numFmtId="175" fontId="10" fillId="0" borderId="0"/>
    <xf numFmtId="175" fontId="10" fillId="0" borderId="0"/>
    <xf numFmtId="175"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5" fontId="10" fillId="0" borderId="0"/>
    <xf numFmtId="175" fontId="10" fillId="0" borderId="0"/>
    <xf numFmtId="192"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175"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0" fillId="0" borderId="0"/>
    <xf numFmtId="175" fontId="10" fillId="0" borderId="0"/>
    <xf numFmtId="0" fontId="36" fillId="0" borderId="0"/>
    <xf numFmtId="0" fontId="10" fillId="0" borderId="0"/>
    <xf numFmtId="0" fontId="10"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175" fontId="10" fillId="0" borderId="0"/>
    <xf numFmtId="0" fontId="38" fillId="0" borderId="0"/>
    <xf numFmtId="0" fontId="1" fillId="0" borderId="0"/>
    <xf numFmtId="0" fontId="1" fillId="0" borderId="0"/>
    <xf numFmtId="0" fontId="1" fillId="0" borderId="0"/>
    <xf numFmtId="175" fontId="84" fillId="0" borderId="0"/>
    <xf numFmtId="175" fontId="10" fillId="0" borderId="0"/>
    <xf numFmtId="0" fontId="1" fillId="0" borderId="0"/>
    <xf numFmtId="0" fontId="1" fillId="0" borderId="0"/>
    <xf numFmtId="0" fontId="1" fillId="0" borderId="0"/>
    <xf numFmtId="175" fontId="84" fillId="0" borderId="0"/>
    <xf numFmtId="175" fontId="84" fillId="0" borderId="0"/>
    <xf numFmtId="175" fontId="84"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37" fontId="155"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37" fontId="155" fillId="0" borderId="0"/>
    <xf numFmtId="0" fontId="1" fillId="0" borderId="0"/>
    <xf numFmtId="0" fontId="1" fillId="0" borderId="0"/>
    <xf numFmtId="0" fontId="10" fillId="0" borderId="0"/>
    <xf numFmtId="0" fontId="1" fillId="0" borderId="0"/>
    <xf numFmtId="0" fontId="1" fillId="0" borderId="0"/>
    <xf numFmtId="37" fontId="155"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45" fillId="0" borderId="0"/>
    <xf numFmtId="0" fontId="145" fillId="0" borderId="0"/>
    <xf numFmtId="0" fontId="1" fillId="0" borderId="0"/>
    <xf numFmtId="200" fontId="10" fillId="0" borderId="0"/>
    <xf numFmtId="0" fontId="1" fillId="0" borderId="0"/>
    <xf numFmtId="0" fontId="1" fillId="0" borderId="0"/>
    <xf numFmtId="37" fontId="155"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0" fillId="0" borderId="0"/>
    <xf numFmtId="200" fontId="1" fillId="0" borderId="0"/>
    <xf numFmtId="175" fontId="1" fillId="0" borderId="0"/>
    <xf numFmtId="175" fontId="1" fillId="0" borderId="0"/>
    <xf numFmtId="200" fontId="1" fillId="0" borderId="0"/>
    <xf numFmtId="175" fontId="1" fillId="0" borderId="0"/>
    <xf numFmtId="200"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200"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175" fontId="10" fillId="0" borderId="0"/>
    <xf numFmtId="200" fontId="1" fillId="0" borderId="0"/>
    <xf numFmtId="200" fontId="1" fillId="0" borderId="0"/>
    <xf numFmtId="200" fontId="1" fillId="0" borderId="0"/>
    <xf numFmtId="200" fontId="1" fillId="0" borderId="0"/>
    <xf numFmtId="200" fontId="1" fillId="0" borderId="0"/>
    <xf numFmtId="200" fontId="1" fillId="0" borderId="0"/>
    <xf numFmtId="200" fontId="1" fillId="0" borderId="0"/>
    <xf numFmtId="170" fontId="38" fillId="0" borderId="0"/>
    <xf numFmtId="200" fontId="1" fillId="0" borderId="0"/>
    <xf numFmtId="200" fontId="1" fillId="0" borderId="0"/>
    <xf numFmtId="200" fontId="1" fillId="0" borderId="0"/>
    <xf numFmtId="200" fontId="1" fillId="0" borderId="0"/>
    <xf numFmtId="0" fontId="1" fillId="0" borderId="0"/>
    <xf numFmtId="200" fontId="1" fillId="0" borderId="0"/>
    <xf numFmtId="0" fontId="1" fillId="0" borderId="0"/>
    <xf numFmtId="200" fontId="1" fillId="0" borderId="0"/>
    <xf numFmtId="200" fontId="1" fillId="0" borderId="0"/>
    <xf numFmtId="0" fontId="1" fillId="0" borderId="0"/>
    <xf numFmtId="200" fontId="1" fillId="0" borderId="0"/>
    <xf numFmtId="0" fontId="1" fillId="0" borderId="0"/>
    <xf numFmtId="0" fontId="1" fillId="0" borderId="0"/>
    <xf numFmtId="0" fontId="10" fillId="0" borderId="0"/>
    <xf numFmtId="200" fontId="1" fillId="0" borderId="0"/>
    <xf numFmtId="200" fontId="1" fillId="0" borderId="0"/>
    <xf numFmtId="200" fontId="1" fillId="0" borderId="0"/>
    <xf numFmtId="0" fontId="1" fillId="0" borderId="0"/>
    <xf numFmtId="200" fontId="1" fillId="0" borderId="0"/>
    <xf numFmtId="175" fontId="10" fillId="0" borderId="0"/>
    <xf numFmtId="200" fontId="1" fillId="0" borderId="0"/>
    <xf numFmtId="200" fontId="1" fillId="0" borderId="0"/>
    <xf numFmtId="0" fontId="1" fillId="0" borderId="0"/>
    <xf numFmtId="200" fontId="1" fillId="0" borderId="0"/>
    <xf numFmtId="0" fontId="1" fillId="0" borderId="0"/>
    <xf numFmtId="20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0" fillId="0" borderId="0"/>
    <xf numFmtId="172" fontId="1" fillId="0" borderId="0"/>
    <xf numFmtId="170" fontId="3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5" fontId="1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0" fontId="3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0" fillId="0" borderId="0"/>
    <xf numFmtId="172" fontId="1" fillId="0" borderId="0"/>
    <xf numFmtId="170" fontId="38"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0"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5" fillId="0" borderId="0"/>
    <xf numFmtId="0" fontId="145" fillId="0" borderId="0"/>
    <xf numFmtId="0" fontId="10" fillId="0" borderId="0"/>
    <xf numFmtId="0" fontId="10" fillId="0" borderId="0"/>
    <xf numFmtId="0" fontId="10" fillId="0" borderId="0"/>
    <xf numFmtId="0" fontId="10" fillId="0" borderId="0"/>
    <xf numFmtId="0" fontId="145"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45" fillId="0" borderId="0"/>
    <xf numFmtId="37" fontId="155" fillId="0" borderId="0"/>
    <xf numFmtId="37" fontId="155" fillId="0" borderId="0"/>
    <xf numFmtId="0" fontId="10" fillId="0" borderId="0"/>
    <xf numFmtId="0" fontId="10" fillId="0" borderId="0"/>
    <xf numFmtId="0" fontId="145" fillId="0" borderId="0"/>
    <xf numFmtId="0" fontId="145" fillId="0" borderId="0"/>
    <xf numFmtId="0" fontId="145" fillId="0" borderId="0"/>
    <xf numFmtId="37"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55" fillId="0" borderId="0"/>
    <xf numFmtId="37" fontId="155"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0"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24" borderId="32" applyNumberFormat="0" applyFont="0" applyAlignment="0" applyProtection="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1" fillId="0" borderId="0"/>
    <xf numFmtId="0" fontId="1" fillId="0" borderId="0"/>
    <xf numFmtId="0" fontId="1" fillId="0" borderId="0"/>
    <xf numFmtId="0" fontId="1" fillId="24" borderId="32" applyNumberFormat="0" applyFont="0" applyAlignment="0" applyProtection="0"/>
    <xf numFmtId="0" fontId="1" fillId="0" borderId="0"/>
    <xf numFmtId="0" fontId="1" fillId="0" borderId="0"/>
    <xf numFmtId="0" fontId="1" fillId="0" borderId="0"/>
    <xf numFmtId="0" fontId="1" fillId="0" borderId="0"/>
    <xf numFmtId="0" fontId="1" fillId="24" borderId="32" applyNumberFormat="0" applyFont="0" applyAlignment="0" applyProtection="0"/>
    <xf numFmtId="0" fontId="1" fillId="24" borderId="32" applyNumberFormat="0" applyFont="0" applyAlignment="0" applyProtection="0"/>
    <xf numFmtId="0" fontId="1" fillId="0" borderId="0"/>
    <xf numFmtId="0" fontId="1" fillId="0" borderId="0"/>
    <xf numFmtId="0" fontId="1" fillId="0" borderId="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24" borderId="32"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1" fillId="0" borderId="0"/>
    <xf numFmtId="0" fontId="1" fillId="0" borderId="0"/>
    <xf numFmtId="0" fontId="1" fillId="24" borderId="32" applyNumberFormat="0" applyFont="0" applyAlignment="0" applyProtection="0"/>
    <xf numFmtId="0" fontId="1" fillId="0" borderId="0"/>
    <xf numFmtId="0" fontId="1" fillId="24" borderId="32"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1" fillId="54" borderId="64" applyNumberFormat="0" applyFont="0" applyAlignment="0" applyProtection="0"/>
    <xf numFmtId="0" fontId="1" fillId="0" borderId="0"/>
    <xf numFmtId="0" fontId="1" fillId="0" borderId="0"/>
    <xf numFmtId="0" fontId="1" fillId="24" borderId="32" applyNumberFormat="0" applyFont="0" applyAlignment="0" applyProtection="0"/>
    <xf numFmtId="0" fontId="36" fillId="54" borderId="64"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1" fillId="0" borderId="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1" fillId="24" borderId="32"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5"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1" fillId="0" borderId="0"/>
    <xf numFmtId="0" fontId="1" fillId="0" borderId="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5"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5"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5"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5" fontId="8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170" fontId="86" fillId="24" borderId="32"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86" fillId="54" borderId="64"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1" fillId="0" borderId="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36" fillId="54" borderId="64" applyNumberFormat="0" applyFont="0" applyAlignment="0" applyProtection="0"/>
    <xf numFmtId="0" fontId="87" fillId="71" borderId="65" applyNumberFormat="0" applyAlignment="0" applyProtection="0"/>
    <xf numFmtId="0" fontId="87" fillId="72" borderId="65" applyNumberFormat="0" applyAlignment="0" applyProtection="0"/>
    <xf numFmtId="0" fontId="87" fillId="72" borderId="65" applyNumberFormat="0" applyAlignment="0" applyProtection="0"/>
    <xf numFmtId="0" fontId="87" fillId="72" borderId="65" applyNumberFormat="0" applyAlignment="0" applyProtection="0"/>
    <xf numFmtId="0" fontId="87" fillId="72" borderId="65" applyNumberFormat="0" applyAlignment="0" applyProtection="0"/>
    <xf numFmtId="0" fontId="1" fillId="0" borderId="0"/>
    <xf numFmtId="175" fontId="87" fillId="71" borderId="65" applyNumberFormat="0" applyAlignment="0" applyProtection="0"/>
    <xf numFmtId="201" fontId="85" fillId="72" borderId="0">
      <alignment horizontal="right"/>
    </xf>
    <xf numFmtId="4" fontId="85" fillId="74" borderId="0">
      <alignment horizontal="right"/>
    </xf>
    <xf numFmtId="40" fontId="156" fillId="74" borderId="0">
      <alignment horizontal="right"/>
    </xf>
    <xf numFmtId="40" fontId="156" fillId="74" borderId="0">
      <alignment horizontal="right"/>
    </xf>
    <xf numFmtId="201" fontId="85" fillId="72" borderId="0">
      <alignment horizontal="right"/>
    </xf>
    <xf numFmtId="201" fontId="85" fillId="72" borderId="0">
      <alignment horizontal="right"/>
    </xf>
    <xf numFmtId="201" fontId="85" fillId="72" borderId="0">
      <alignment horizontal="right"/>
    </xf>
    <xf numFmtId="40" fontId="156" fillId="74" borderId="0">
      <alignment horizontal="right"/>
    </xf>
    <xf numFmtId="4" fontId="85" fillId="74" borderId="0">
      <alignment horizontal="right"/>
    </xf>
    <xf numFmtId="40" fontId="156" fillId="74" borderId="0">
      <alignment horizontal="right"/>
    </xf>
    <xf numFmtId="40" fontId="156" fillId="74" borderId="0">
      <alignment horizontal="right"/>
    </xf>
    <xf numFmtId="4" fontId="85" fillId="74" borderId="0">
      <alignment horizontal="right"/>
    </xf>
    <xf numFmtId="4" fontId="85" fillId="74" borderId="0">
      <alignment horizontal="right"/>
    </xf>
    <xf numFmtId="4" fontId="85" fillId="74" borderId="0">
      <alignment horizontal="right"/>
    </xf>
    <xf numFmtId="4" fontId="85" fillId="74" borderId="0">
      <alignment horizontal="right"/>
    </xf>
    <xf numFmtId="201" fontId="85" fillId="72" borderId="0">
      <alignment horizontal="right"/>
    </xf>
    <xf numFmtId="4" fontId="85" fillId="74" borderId="0">
      <alignment horizontal="right"/>
    </xf>
    <xf numFmtId="4" fontId="85" fillId="74" borderId="0">
      <alignment horizontal="right"/>
    </xf>
    <xf numFmtId="4" fontId="85" fillId="74" borderId="0">
      <alignment horizontal="right"/>
    </xf>
    <xf numFmtId="4" fontId="85" fillId="74" borderId="0">
      <alignment horizontal="right"/>
    </xf>
    <xf numFmtId="4" fontId="85" fillId="74" borderId="0">
      <alignment horizontal="right"/>
    </xf>
    <xf numFmtId="4" fontId="85" fillId="74" borderId="0">
      <alignment horizontal="right"/>
    </xf>
    <xf numFmtId="4" fontId="85" fillId="74" borderId="0">
      <alignment horizontal="right"/>
    </xf>
    <xf numFmtId="0" fontId="1" fillId="0" borderId="0"/>
    <xf numFmtId="201" fontId="85" fillId="72" borderId="0">
      <alignment horizontal="right"/>
    </xf>
    <xf numFmtId="201" fontId="85" fillId="72" borderId="0">
      <alignment horizontal="right"/>
    </xf>
    <xf numFmtId="201" fontId="85" fillId="72" borderId="0">
      <alignment horizontal="right"/>
    </xf>
    <xf numFmtId="201" fontId="85" fillId="72" borderId="0">
      <alignment horizontal="right"/>
    </xf>
    <xf numFmtId="201" fontId="85" fillId="72" borderId="0">
      <alignment horizontal="right"/>
    </xf>
    <xf numFmtId="40" fontId="156" fillId="74" borderId="0">
      <alignment horizontal="right"/>
    </xf>
    <xf numFmtId="0" fontId="90" fillId="83" borderId="0">
      <alignment horizontal="center"/>
    </xf>
    <xf numFmtId="0" fontId="90" fillId="83" borderId="0">
      <alignment horizontal="center"/>
    </xf>
    <xf numFmtId="192" fontId="90" fillId="83" borderId="0">
      <alignment horizontal="center"/>
    </xf>
    <xf numFmtId="0" fontId="90" fillId="74" borderId="0">
      <alignment horizontal="center" vertical="center"/>
    </xf>
    <xf numFmtId="0" fontId="1" fillId="0" borderId="0"/>
    <xf numFmtId="0" fontId="90" fillId="83" borderId="0">
      <alignment horizontal="center"/>
    </xf>
    <xf numFmtId="0" fontId="157" fillId="74" borderId="0">
      <alignment horizontal="right"/>
    </xf>
    <xf numFmtId="0" fontId="157" fillId="74" borderId="0">
      <alignment horizontal="right"/>
    </xf>
    <xf numFmtId="0" fontId="157" fillId="74" borderId="0">
      <alignment horizontal="right"/>
    </xf>
    <xf numFmtId="0" fontId="157" fillId="74" borderId="0">
      <alignment horizontal="right"/>
    </xf>
    <xf numFmtId="0" fontId="157" fillId="74" borderId="0">
      <alignment horizontal="right"/>
    </xf>
    <xf numFmtId="0" fontId="90" fillId="83" borderId="0">
      <alignment horizontal="center"/>
    </xf>
    <xf numFmtId="192" fontId="90" fillId="83" borderId="0">
      <alignment horizontal="center"/>
    </xf>
    <xf numFmtId="0" fontId="157" fillId="74" borderId="0">
      <alignment horizontal="right"/>
    </xf>
    <xf numFmtId="0" fontId="157" fillId="74" borderId="0">
      <alignment horizontal="right"/>
    </xf>
    <xf numFmtId="0" fontId="90" fillId="74" borderId="0">
      <alignment horizontal="center" vertical="center"/>
    </xf>
    <xf numFmtId="0" fontId="90" fillId="74" borderId="0">
      <alignment horizontal="center" vertical="center"/>
    </xf>
    <xf numFmtId="170" fontId="90" fillId="74" borderId="0">
      <alignment horizontal="center" vertical="center"/>
    </xf>
    <xf numFmtId="170" fontId="90" fillId="74" borderId="0">
      <alignment horizontal="center" vertical="center"/>
    </xf>
    <xf numFmtId="0" fontId="157" fillId="74" borderId="0">
      <alignment horizontal="right"/>
    </xf>
    <xf numFmtId="0" fontId="140" fillId="84" borderId="0"/>
    <xf numFmtId="0" fontId="140" fillId="84" borderId="0"/>
    <xf numFmtId="192" fontId="140" fillId="84" borderId="0"/>
    <xf numFmtId="0" fontId="91" fillId="74" borderId="5"/>
    <xf numFmtId="0" fontId="91" fillId="74" borderId="5"/>
    <xf numFmtId="175" fontId="158" fillId="74" borderId="5"/>
    <xf numFmtId="0" fontId="91" fillId="74" borderId="5"/>
    <xf numFmtId="0" fontId="1" fillId="0" borderId="0"/>
    <xf numFmtId="0" fontId="140" fillId="84" borderId="0"/>
    <xf numFmtId="0" fontId="158" fillId="74" borderId="5"/>
    <xf numFmtId="0" fontId="158" fillId="74" borderId="5"/>
    <xf numFmtId="0" fontId="158" fillId="74" borderId="5"/>
    <xf numFmtId="0" fontId="158" fillId="74" borderId="5"/>
    <xf numFmtId="0" fontId="158" fillId="74" borderId="5"/>
    <xf numFmtId="0" fontId="140" fillId="84" borderId="0"/>
    <xf numFmtId="175" fontId="158" fillId="74" borderId="5"/>
    <xf numFmtId="0" fontId="158" fillId="74" borderId="5"/>
    <xf numFmtId="0" fontId="158" fillId="74" borderId="5"/>
    <xf numFmtId="0" fontId="91" fillId="74" borderId="5"/>
    <xf numFmtId="170" fontId="91" fillId="74" borderId="5"/>
    <xf numFmtId="170" fontId="91" fillId="74" borderId="5"/>
    <xf numFmtId="0" fontId="158" fillId="74" borderId="5"/>
    <xf numFmtId="0" fontId="159" fillId="72" borderId="0" applyBorder="0">
      <alignment horizontal="centerContinuous"/>
    </xf>
    <xf numFmtId="0" fontId="159" fillId="72" borderId="0" applyBorder="0">
      <alignment horizontal="centerContinuous"/>
    </xf>
    <xf numFmtId="192" fontId="159" fillId="72" borderId="0" applyBorder="0">
      <alignment horizontal="centerContinuous"/>
    </xf>
    <xf numFmtId="0" fontId="90" fillId="74" borderId="0" applyBorder="0">
      <alignment horizontal="centerContinuous"/>
    </xf>
    <xf numFmtId="0" fontId="1" fillId="0" borderId="0"/>
    <xf numFmtId="0" fontId="159" fillId="72" borderId="0" applyBorder="0">
      <alignment horizontal="centerContinuous"/>
    </xf>
    <xf numFmtId="0" fontId="158" fillId="0" borderId="0" applyBorder="0">
      <alignment horizontal="centerContinuous"/>
    </xf>
    <xf numFmtId="0" fontId="158" fillId="0" borderId="0" applyBorder="0">
      <alignment horizontal="centerContinuous"/>
    </xf>
    <xf numFmtId="0" fontId="158" fillId="0" borderId="0" applyBorder="0">
      <alignment horizontal="centerContinuous"/>
    </xf>
    <xf numFmtId="0" fontId="158" fillId="0" borderId="0" applyBorder="0">
      <alignment horizontal="centerContinuous"/>
    </xf>
    <xf numFmtId="0" fontId="158" fillId="0" borderId="0" applyBorder="0">
      <alignment horizontal="centerContinuous"/>
    </xf>
    <xf numFmtId="0" fontId="159" fillId="72" borderId="0" applyBorder="0">
      <alignment horizontal="centerContinuous"/>
    </xf>
    <xf numFmtId="192" fontId="159" fillId="72" borderId="0" applyBorder="0">
      <alignment horizontal="centerContinuous"/>
    </xf>
    <xf numFmtId="0" fontId="158" fillId="0" borderId="0" applyBorder="0">
      <alignment horizontal="centerContinuous"/>
    </xf>
    <xf numFmtId="0" fontId="158" fillId="0" borderId="0" applyBorder="0">
      <alignment horizontal="centerContinuous"/>
    </xf>
    <xf numFmtId="0" fontId="90" fillId="74" borderId="0" applyBorder="0">
      <alignment horizontal="centerContinuous"/>
    </xf>
    <xf numFmtId="0" fontId="90" fillId="74" borderId="0" applyBorder="0">
      <alignment horizontal="centerContinuous"/>
    </xf>
    <xf numFmtId="170" fontId="90" fillId="74" borderId="0" applyBorder="0">
      <alignment horizontal="centerContinuous"/>
    </xf>
    <xf numFmtId="170" fontId="90" fillId="74" borderId="0" applyBorder="0">
      <alignment horizontal="centerContinuous"/>
    </xf>
    <xf numFmtId="0" fontId="158" fillId="0" borderId="0" applyBorder="0">
      <alignment horizontal="centerContinuous"/>
    </xf>
    <xf numFmtId="0" fontId="160" fillId="84" borderId="0" applyBorder="0">
      <alignment horizontal="centerContinuous"/>
    </xf>
    <xf numFmtId="0" fontId="160" fillId="84" borderId="0" applyBorder="0">
      <alignment horizontal="centerContinuous"/>
    </xf>
    <xf numFmtId="192" fontId="160" fillId="84" borderId="0" applyBorder="0">
      <alignment horizontal="centerContinuous"/>
    </xf>
    <xf numFmtId="0" fontId="161" fillId="84" borderId="0" applyBorder="0">
      <alignment horizontal="centerContinuous"/>
    </xf>
    <xf numFmtId="0" fontId="92" fillId="74" borderId="0" applyBorder="0">
      <alignment horizontal="centerContinuous"/>
    </xf>
    <xf numFmtId="0" fontId="1" fillId="0" borderId="0"/>
    <xf numFmtId="0" fontId="160" fillId="84" borderId="0" applyBorder="0">
      <alignment horizontal="centerContinuous"/>
    </xf>
    <xf numFmtId="0" fontId="162" fillId="0" borderId="0" applyBorder="0">
      <alignment horizontal="centerContinuous"/>
    </xf>
    <xf numFmtId="0" fontId="162" fillId="0" borderId="0" applyBorder="0">
      <alignment horizontal="centerContinuous"/>
    </xf>
    <xf numFmtId="0" fontId="162" fillId="0" borderId="0" applyBorder="0">
      <alignment horizontal="centerContinuous"/>
    </xf>
    <xf numFmtId="0" fontId="162" fillId="0" borderId="0" applyBorder="0">
      <alignment horizontal="centerContinuous"/>
    </xf>
    <xf numFmtId="0" fontId="162" fillId="0" borderId="0" applyBorder="0">
      <alignment horizontal="centerContinuous"/>
    </xf>
    <xf numFmtId="0" fontId="160" fillId="84" borderId="0" applyBorder="0">
      <alignment horizontal="centerContinuous"/>
    </xf>
    <xf numFmtId="192" fontId="160" fillId="84" borderId="0" applyBorder="0">
      <alignment horizontal="centerContinuous"/>
    </xf>
    <xf numFmtId="0" fontId="162" fillId="0" borderId="0" applyBorder="0">
      <alignment horizontal="centerContinuous"/>
    </xf>
    <xf numFmtId="0" fontId="162" fillId="0" borderId="0" applyBorder="0">
      <alignment horizontal="centerContinuous"/>
    </xf>
    <xf numFmtId="0" fontId="92" fillId="74" borderId="0" applyBorder="0">
      <alignment horizontal="centerContinuous"/>
    </xf>
    <xf numFmtId="0" fontId="92" fillId="74" borderId="0" applyBorder="0">
      <alignment horizontal="centerContinuous"/>
    </xf>
    <xf numFmtId="170" fontId="92" fillId="74" borderId="0" applyBorder="0">
      <alignment horizontal="centerContinuous"/>
    </xf>
    <xf numFmtId="170" fontId="92" fillId="74" borderId="0" applyBorder="0">
      <alignment horizontal="centerContinuous"/>
    </xf>
    <xf numFmtId="0" fontId="162" fillId="0" borderId="0" applyBorder="0">
      <alignment horizontal="centerContinuous"/>
    </xf>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5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73" fontId="163" fillId="85" borderId="54">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4" fillId="0" borderId="57">
      <alignment horizontal="center"/>
    </xf>
    <xf numFmtId="3" fontId="84" fillId="0" borderId="0" applyFont="0" applyFill="0" applyBorder="0" applyAlignment="0" applyProtection="0"/>
    <xf numFmtId="0" fontId="84" fillId="86" borderId="0" applyNumberFormat="0" applyFont="0" applyBorder="0" applyAlignment="0" applyProtection="0"/>
    <xf numFmtId="192" fontId="91" fillId="59" borderId="0">
      <alignment horizontal="center"/>
    </xf>
    <xf numFmtId="0" fontId="91" fillId="59" borderId="0">
      <alignment horizontal="center"/>
    </xf>
    <xf numFmtId="0" fontId="91" fillId="59" borderId="0">
      <alignment horizontal="center"/>
    </xf>
    <xf numFmtId="192" fontId="91" fillId="59" borderId="0">
      <alignment horizontal="center"/>
    </xf>
    <xf numFmtId="0" fontId="91" fillId="59" borderId="0">
      <alignment horizontal="center"/>
    </xf>
    <xf numFmtId="0" fontId="1" fillId="0" borderId="0"/>
    <xf numFmtId="49" fontId="165" fillId="72" borderId="0">
      <alignment horizontal="center"/>
    </xf>
    <xf numFmtId="0" fontId="1" fillId="0" borderId="0"/>
    <xf numFmtId="49" fontId="165" fillId="72" borderId="0">
      <alignment horizontal="center"/>
    </xf>
    <xf numFmtId="0" fontId="148" fillId="0" borderId="0"/>
    <xf numFmtId="192" fontId="141" fillId="81" borderId="0">
      <alignment horizontal="center"/>
    </xf>
    <xf numFmtId="0" fontId="141" fillId="81" borderId="0">
      <alignment horizontal="center"/>
    </xf>
    <xf numFmtId="0" fontId="141" fillId="81" borderId="0">
      <alignment horizontal="center"/>
    </xf>
    <xf numFmtId="192" fontId="141" fillId="81" borderId="0">
      <alignment horizontal="center"/>
    </xf>
    <xf numFmtId="0" fontId="1" fillId="0" borderId="0"/>
    <xf numFmtId="192" fontId="141" fillId="81" borderId="0">
      <alignment horizontal="centerContinuous"/>
    </xf>
    <xf numFmtId="0" fontId="141" fillId="81" borderId="0">
      <alignment horizontal="centerContinuous"/>
    </xf>
    <xf numFmtId="0" fontId="141" fillId="81" borderId="0">
      <alignment horizontal="centerContinuous"/>
    </xf>
    <xf numFmtId="192" fontId="141" fillId="81" borderId="0">
      <alignment horizontal="centerContinuous"/>
    </xf>
    <xf numFmtId="0" fontId="1" fillId="0" borderId="0"/>
    <xf numFmtId="192" fontId="166" fillId="72" borderId="0">
      <alignment horizontal="left"/>
    </xf>
    <xf numFmtId="0" fontId="166" fillId="72" borderId="0">
      <alignment horizontal="left"/>
    </xf>
    <xf numFmtId="0" fontId="166" fillId="72" borderId="0">
      <alignment horizontal="left"/>
    </xf>
    <xf numFmtId="192" fontId="166" fillId="72" borderId="0">
      <alignment horizontal="left"/>
    </xf>
    <xf numFmtId="0" fontId="1" fillId="0" borderId="0"/>
    <xf numFmtId="49" fontId="166" fillId="72" borderId="0">
      <alignment horizontal="center"/>
    </xf>
    <xf numFmtId="0" fontId="1" fillId="0" borderId="0"/>
    <xf numFmtId="49" fontId="166" fillId="72" borderId="0">
      <alignment horizontal="center"/>
    </xf>
    <xf numFmtId="192" fontId="140" fillId="81" borderId="0">
      <alignment horizontal="left"/>
    </xf>
    <xf numFmtId="0" fontId="140" fillId="81" borderId="0">
      <alignment horizontal="left"/>
    </xf>
    <xf numFmtId="0" fontId="140" fillId="81" borderId="0">
      <alignment horizontal="left"/>
    </xf>
    <xf numFmtId="192" fontId="140" fillId="81" borderId="0">
      <alignment horizontal="left"/>
    </xf>
    <xf numFmtId="0" fontId="1" fillId="0" borderId="0"/>
    <xf numFmtId="49" fontId="166" fillId="72" borderId="0">
      <alignment horizontal="left"/>
    </xf>
    <xf numFmtId="0" fontId="1" fillId="0" borderId="0"/>
    <xf numFmtId="49" fontId="166" fillId="72" borderId="0">
      <alignment horizontal="left"/>
    </xf>
    <xf numFmtId="192" fontId="140" fillId="81" borderId="0">
      <alignment horizontal="centerContinuous"/>
    </xf>
    <xf numFmtId="0" fontId="140" fillId="81" borderId="0">
      <alignment horizontal="centerContinuous"/>
    </xf>
    <xf numFmtId="0" fontId="140" fillId="81" borderId="0">
      <alignment horizontal="centerContinuous"/>
    </xf>
    <xf numFmtId="192" fontId="140" fillId="81" borderId="0">
      <alignment horizontal="centerContinuous"/>
    </xf>
    <xf numFmtId="0" fontId="1" fillId="0" borderId="0"/>
    <xf numFmtId="192" fontId="140" fillId="81" borderId="0">
      <alignment horizontal="right"/>
    </xf>
    <xf numFmtId="0" fontId="140" fillId="81" borderId="0">
      <alignment horizontal="right"/>
    </xf>
    <xf numFmtId="0" fontId="140" fillId="81" borderId="0">
      <alignment horizontal="right"/>
    </xf>
    <xf numFmtId="192" fontId="140" fillId="81" borderId="0">
      <alignment horizontal="right"/>
    </xf>
    <xf numFmtId="0" fontId="1" fillId="0" borderId="0"/>
    <xf numFmtId="49" fontId="91" fillId="72" borderId="0">
      <alignment horizontal="left"/>
    </xf>
    <xf numFmtId="49" fontId="91" fillId="72" borderId="0">
      <alignment horizontal="left"/>
    </xf>
    <xf numFmtId="49" fontId="91" fillId="72" borderId="0">
      <alignment horizontal="left"/>
    </xf>
    <xf numFmtId="0" fontId="1" fillId="0" borderId="0"/>
    <xf numFmtId="192" fontId="141" fillId="81" borderId="0">
      <alignment horizontal="right"/>
    </xf>
    <xf numFmtId="0" fontId="141" fillId="81" borderId="0">
      <alignment horizontal="right"/>
    </xf>
    <xf numFmtId="0" fontId="141" fillId="81" borderId="0">
      <alignment horizontal="right"/>
    </xf>
    <xf numFmtId="192" fontId="141" fillId="81" borderId="0">
      <alignment horizontal="right"/>
    </xf>
    <xf numFmtId="0" fontId="1" fillId="0" borderId="0"/>
    <xf numFmtId="192" fontId="166" fillId="56" borderId="0">
      <alignment horizontal="center"/>
    </xf>
    <xf numFmtId="0" fontId="166" fillId="56" borderId="0">
      <alignment horizontal="center"/>
    </xf>
    <xf numFmtId="0" fontId="166" fillId="56" borderId="0">
      <alignment horizontal="center"/>
    </xf>
    <xf numFmtId="192" fontId="166" fillId="56" borderId="0">
      <alignment horizontal="center"/>
    </xf>
    <xf numFmtId="0" fontId="1" fillId="0" borderId="0"/>
    <xf numFmtId="192" fontId="167" fillId="56" borderId="0">
      <alignment horizontal="center"/>
    </xf>
    <xf numFmtId="0" fontId="167" fillId="56" borderId="0">
      <alignment horizontal="center"/>
    </xf>
    <xf numFmtId="0" fontId="167" fillId="56" borderId="0">
      <alignment horizontal="center"/>
    </xf>
    <xf numFmtId="192" fontId="167" fillId="56" borderId="0">
      <alignment horizontal="center"/>
    </xf>
    <xf numFmtId="0" fontId="1" fillId="0" borderId="0"/>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55" fillId="87" borderId="66"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168" fillId="87" borderId="67" applyNumberFormat="0" applyProtection="0">
      <alignment vertical="center"/>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4" fontId="55" fillId="87" borderId="66" applyNumberFormat="0" applyProtection="0">
      <alignment horizontal="left" vertical="center"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0" fontId="55" fillId="88" borderId="67" applyNumberFormat="0" applyProtection="0">
      <alignment horizontal="left" vertical="top" indent="1"/>
    </xf>
    <xf numFmtId="4" fontId="55" fillId="84" borderId="0" applyNumberFormat="0" applyProtection="0">
      <alignment horizontal="left" vertical="center" indent="1"/>
    </xf>
    <xf numFmtId="4" fontId="55" fillId="84" borderId="0" applyNumberFormat="0" applyProtection="0">
      <alignment horizontal="left" vertical="center" indent="1"/>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0" fillId="87"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89"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69" fillId="90"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9"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0"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0" fillId="51"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8"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69" fillId="65"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10" fillId="64" borderId="67" applyNumberFormat="0" applyProtection="0">
      <alignment horizontal="right" vertical="center"/>
    </xf>
    <xf numFmtId="4" fontId="55" fillId="91" borderId="0" applyNumberFormat="0" applyProtection="0">
      <alignment horizontal="left" vertical="center" indent="1"/>
    </xf>
    <xf numFmtId="4" fontId="55" fillId="91" borderId="0" applyNumberFormat="0" applyProtection="0">
      <alignment horizontal="left" vertical="center" indent="1"/>
    </xf>
    <xf numFmtId="4" fontId="10" fillId="62" borderId="0" applyNumberFormat="0" applyProtection="0">
      <alignment horizontal="left" vertical="center" indent="1"/>
    </xf>
    <xf numFmtId="4" fontId="10" fillId="62" borderId="0" applyNumberFormat="0" applyProtection="0">
      <alignment horizontal="left" vertical="center" indent="1"/>
    </xf>
    <xf numFmtId="4" fontId="165" fillId="92" borderId="0" applyNumberFormat="0" applyProtection="0">
      <alignment horizontal="left" vertical="center" indent="1"/>
    </xf>
    <xf numFmtId="4" fontId="165" fillId="92" borderId="0" applyNumberFormat="0" applyProtection="0">
      <alignment horizontal="left" vertical="center" indent="1"/>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66" applyNumberFormat="0" applyProtection="0">
      <alignment horizontal="right" vertical="center"/>
    </xf>
    <xf numFmtId="4" fontId="10" fillId="62" borderId="0" applyNumberFormat="0" applyProtection="0">
      <alignment horizontal="left" vertical="center" indent="1"/>
    </xf>
    <xf numFmtId="4" fontId="10" fillId="62" borderId="0" applyNumberFormat="0" applyProtection="0">
      <alignment horizontal="left" vertical="center" indent="1"/>
    </xf>
    <xf numFmtId="4" fontId="10" fillId="88" borderId="0" applyNumberFormat="0" applyProtection="0">
      <alignment horizontal="left" vertical="center" indent="1"/>
    </xf>
    <xf numFmtId="4" fontId="10" fillId="88" borderId="0"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6" applyNumberFormat="0" applyProtection="0">
      <alignment horizontal="left" vertical="center"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85"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70" fillId="93" borderId="67" applyNumberFormat="0" applyProtection="0">
      <alignment vertical="center"/>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4" fontId="10" fillId="62" borderId="67" applyNumberFormat="0" applyProtection="0">
      <alignment horizontal="left" vertical="center"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0" fontId="10" fillId="62" borderId="67" applyNumberFormat="0" applyProtection="0">
      <alignment horizontal="left" vertical="top" indent="1"/>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10"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55" fillId="94" borderId="66" applyNumberFormat="0" applyProtection="0">
      <alignment horizontal="right" vertical="center"/>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4" fontId="10" fillId="62" borderId="66" applyNumberFormat="0" applyProtection="0">
      <alignment horizontal="left" vertical="center"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0" fontId="10" fillId="62" borderId="66" applyNumberFormat="0" applyProtection="0">
      <alignment horizontal="left" vertical="top" indent="1"/>
    </xf>
    <xf numFmtId="4" fontId="171" fillId="0" borderId="0" applyNumberFormat="0" applyProtection="0">
      <alignment horizontal="left" vertical="center" indent="1"/>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4" fontId="10" fillId="0" borderId="67" applyNumberFormat="0" applyProtection="0">
      <alignment horizontal="right" vertical="center"/>
    </xf>
    <xf numFmtId="202" fontId="172" fillId="0" borderId="68" applyNumberFormat="0" applyProtection="0">
      <alignment horizontal="right" vertical="center"/>
    </xf>
    <xf numFmtId="202" fontId="173" fillId="0" borderId="69" applyNumberFormat="0" applyProtection="0">
      <alignment horizontal="right" vertical="center"/>
    </xf>
    <xf numFmtId="0" fontId="173" fillId="95" borderId="70" applyNumberFormat="0" applyAlignment="0" applyProtection="0">
      <alignment horizontal="left" vertical="center" indent="1"/>
    </xf>
    <xf numFmtId="0" fontId="174" fillId="0" borderId="71" applyNumberFormat="0" applyFill="0" applyBorder="0" applyAlignment="0" applyProtection="0"/>
    <xf numFmtId="0" fontId="175" fillId="96" borderId="70" applyNumberFormat="0" applyAlignment="0" applyProtection="0">
      <alignment horizontal="left" vertical="center" indent="1"/>
    </xf>
    <xf numFmtId="0" fontId="175" fillId="97" borderId="70" applyNumberFormat="0" applyAlignment="0" applyProtection="0">
      <alignment horizontal="left" vertical="center" indent="1"/>
    </xf>
    <xf numFmtId="0" fontId="175" fillId="98" borderId="70" applyNumberFormat="0" applyAlignment="0" applyProtection="0">
      <alignment horizontal="left" vertical="center" indent="1"/>
    </xf>
    <xf numFmtId="0" fontId="175" fillId="99" borderId="70" applyNumberFormat="0" applyAlignment="0" applyProtection="0">
      <alignment horizontal="left" vertical="center" indent="1"/>
    </xf>
    <xf numFmtId="0" fontId="175" fillId="100" borderId="69" applyNumberFormat="0" applyAlignment="0" applyProtection="0">
      <alignment horizontal="left" vertical="center" indent="1"/>
    </xf>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0" fontId="10" fillId="0" borderId="72" applyNumberFormat="0" applyFont="0" applyFill="0" applyBorder="0" applyAlignment="0" applyProtection="0"/>
    <xf numFmtId="202" fontId="172" fillId="101" borderId="70" applyNumberFormat="0" applyAlignment="0" applyProtection="0">
      <alignment horizontal="left" vertical="center" indent="1"/>
    </xf>
    <xf numFmtId="0" fontId="173" fillId="95" borderId="69" applyNumberFormat="0" applyAlignment="0" applyProtection="0">
      <alignment horizontal="left" vertical="center" indent="1"/>
    </xf>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48" fillId="0" borderId="59"/>
    <xf numFmtId="49" fontId="10" fillId="0" borderId="55">
      <alignment horizontal="center" vertical="center"/>
      <protection locked="0"/>
    </xf>
    <xf numFmtId="0" fontId="176" fillId="81" borderId="0"/>
    <xf numFmtId="175" fontId="93" fillId="0" borderId="0" applyNumberFormat="0" applyFill="0" applyBorder="0" applyAlignment="0" applyProtection="0"/>
    <xf numFmtId="0" fontId="10" fillId="0" borderId="48" applyNumberFormat="0" applyFont="0" applyFill="0" applyAlignment="0" applyProtection="0"/>
    <xf numFmtId="192" fontId="147" fillId="0" borderId="73" applyNumberFormat="0" applyFont="0" applyBorder="0" applyAlignment="0" applyProtection="0"/>
    <xf numFmtId="0" fontId="95" fillId="0" borderId="74" applyNumberFormat="0" applyFill="0" applyAlignment="0" applyProtection="0"/>
    <xf numFmtId="0" fontId="95" fillId="0" borderId="75" applyNumberFormat="0" applyFill="0" applyAlignment="0" applyProtection="0"/>
    <xf numFmtId="0" fontId="95" fillId="0" borderId="75" applyNumberFormat="0" applyFill="0" applyAlignment="0" applyProtection="0"/>
    <xf numFmtId="0" fontId="95" fillId="0" borderId="75" applyNumberFormat="0" applyFill="0" applyAlignment="0" applyProtection="0"/>
    <xf numFmtId="0" fontId="95" fillId="0" borderId="75" applyNumberFormat="0" applyFill="0" applyAlignment="0" applyProtection="0"/>
    <xf numFmtId="0" fontId="95" fillId="0" borderId="75" applyNumberFormat="0" applyFill="0" applyAlignment="0" applyProtection="0"/>
    <xf numFmtId="0" fontId="1" fillId="0" borderId="0"/>
    <xf numFmtId="0" fontId="10" fillId="0" borderId="48" applyNumberFormat="0" applyFont="0" applyFill="0" applyAlignment="0" applyProtection="0"/>
    <xf numFmtId="0" fontId="1" fillId="0" borderId="0"/>
    <xf numFmtId="192" fontId="147" fillId="0" borderId="73" applyNumberFormat="0" applyFont="0" applyBorder="0" applyAlignment="0" applyProtection="0"/>
    <xf numFmtId="0" fontId="154" fillId="0" borderId="76"/>
    <xf numFmtId="0" fontId="154" fillId="0" borderId="59"/>
    <xf numFmtId="0" fontId="155" fillId="0" borderId="0"/>
    <xf numFmtId="0" fontId="155" fillId="0" borderId="0"/>
    <xf numFmtId="192" fontId="177" fillId="72" borderId="0">
      <alignment horizontal="center"/>
    </xf>
    <xf numFmtId="0" fontId="177" fillId="72" borderId="0">
      <alignment horizontal="center"/>
    </xf>
    <xf numFmtId="192" fontId="177" fillId="72" borderId="0">
      <alignment horizontal="center"/>
    </xf>
    <xf numFmtId="0" fontId="1" fillId="0" borderId="0"/>
    <xf numFmtId="175" fontId="79" fillId="0" borderId="0" applyNumberFormat="0" applyFill="0" applyBorder="0" applyAlignment="0" applyProtection="0"/>
    <xf numFmtId="175" fontId="79" fillId="0" borderId="0" applyNumberFormat="0" applyFill="0" applyBorder="0" applyAlignment="0" applyProtection="0"/>
  </cellStyleXfs>
  <cellXfs count="1059">
    <xf numFmtId="0" fontId="0" fillId="0" borderId="0" xfId="0"/>
    <xf numFmtId="17" fontId="0" fillId="0" borderId="0" xfId="0" applyNumberFormat="1"/>
    <xf numFmtId="0" fontId="0" fillId="0" borderId="0" xfId="0" applyAlignment="1">
      <alignment horizontal="center" wrapText="1"/>
    </xf>
    <xf numFmtId="43" fontId="0" fillId="0" borderId="0" xfId="1" applyFont="1"/>
    <xf numFmtId="14" fontId="0" fillId="0" borderId="0" xfId="0" applyNumberFormat="1"/>
    <xf numFmtId="0" fontId="0" fillId="2" borderId="0" xfId="0" applyFill="1"/>
    <xf numFmtId="0" fontId="0" fillId="3" borderId="0" xfId="0" applyFill="1"/>
    <xf numFmtId="0" fontId="0" fillId="5" borderId="0" xfId="0" applyFill="1"/>
    <xf numFmtId="44" fontId="0" fillId="0" borderId="0" xfId="2" applyFont="1"/>
    <xf numFmtId="0" fontId="0" fillId="6" borderId="0" xfId="0" applyFill="1"/>
    <xf numFmtId="0" fontId="0" fillId="7" borderId="0" xfId="0" applyFill="1"/>
    <xf numFmtId="44" fontId="0" fillId="0" borderId="0" xfId="0" applyNumberFormat="1"/>
    <xf numFmtId="0" fontId="0" fillId="0" borderId="0" xfId="0" quotePrefix="1" applyAlignment="1">
      <alignment horizontal="left"/>
    </xf>
    <xf numFmtId="44" fontId="0" fillId="0" borderId="0" xfId="2" applyFont="1" applyFill="1"/>
    <xf numFmtId="0" fontId="0" fillId="0" borderId="0" xfId="0" applyFill="1"/>
    <xf numFmtId="0" fontId="0" fillId="12" borderId="0" xfId="0" applyFill="1"/>
    <xf numFmtId="0" fontId="0" fillId="13" borderId="0" xfId="0" applyFill="1"/>
    <xf numFmtId="0" fontId="0" fillId="14" borderId="0" xfId="0" applyFill="1"/>
    <xf numFmtId="0" fontId="0" fillId="2" borderId="0" xfId="0" quotePrefix="1" applyFill="1" applyAlignment="1">
      <alignment horizontal="left"/>
    </xf>
    <xf numFmtId="165" fontId="0" fillId="0" borderId="0" xfId="1" applyNumberFormat="1" applyFont="1"/>
    <xf numFmtId="165" fontId="0" fillId="0" borderId="0" xfId="0" applyNumberFormat="1"/>
    <xf numFmtId="14" fontId="0" fillId="15" borderId="0" xfId="0" applyNumberFormat="1" applyFill="1"/>
    <xf numFmtId="165" fontId="0" fillId="0" borderId="0" xfId="1" applyNumberFormat="1" applyFont="1" applyFill="1"/>
    <xf numFmtId="0" fontId="0" fillId="14" borderId="0" xfId="0" quotePrefix="1" applyFill="1" applyAlignment="1">
      <alignment horizontal="left"/>
    </xf>
    <xf numFmtId="49" fontId="3" fillId="8" borderId="3" xfId="0" applyNumberFormat="1" applyFont="1" applyFill="1" applyBorder="1" applyAlignment="1">
      <alignment horizontal="left" vertical="center"/>
    </xf>
    <xf numFmtId="0" fontId="0" fillId="0" borderId="0" xfId="0" applyNumberFormat="1"/>
    <xf numFmtId="0" fontId="0" fillId="0" borderId="0" xfId="0" applyAlignment="1"/>
    <xf numFmtId="0" fontId="0" fillId="0" borderId="0" xfId="0" applyAlignment="1">
      <alignment horizontal="center"/>
    </xf>
    <xf numFmtId="14" fontId="0" fillId="0" borderId="0" xfId="0" quotePrefix="1" applyNumberFormat="1" applyAlignment="1">
      <alignment horizontal="left"/>
    </xf>
    <xf numFmtId="173" fontId="0" fillId="0" borderId="0" xfId="1" applyNumberFormat="1" applyFont="1" applyAlignment="1">
      <alignment horizontal="center"/>
    </xf>
    <xf numFmtId="173" fontId="7" fillId="0" borderId="0" xfId="0" applyNumberFormat="1" applyFont="1" applyAlignment="1">
      <alignment horizontal="center" wrapText="1"/>
    </xf>
    <xf numFmtId="37" fontId="0" fillId="0" borderId="0" xfId="0" applyNumberFormat="1"/>
    <xf numFmtId="37" fontId="8" fillId="0" borderId="0" xfId="0" applyNumberFormat="1" applyFont="1"/>
    <xf numFmtId="0" fontId="0" fillId="0" borderId="0" xfId="0" applyBorder="1" applyAlignment="1">
      <alignment horizontal="center"/>
    </xf>
    <xf numFmtId="0" fontId="0" fillId="0" borderId="0" xfId="0" applyBorder="1"/>
    <xf numFmtId="37" fontId="0" fillId="0" borderId="0" xfId="0" applyNumberFormat="1" applyFont="1"/>
    <xf numFmtId="174" fontId="0" fillId="0" borderId="0" xfId="2" applyNumberFormat="1" applyFont="1"/>
    <xf numFmtId="174" fontId="5" fillId="0" borderId="0" xfId="2" applyNumberFormat="1" applyFont="1"/>
    <xf numFmtId="174" fontId="0" fillId="0" borderId="0" xfId="0" applyNumberFormat="1"/>
    <xf numFmtId="166" fontId="0" fillId="0" borderId="0" xfId="0" applyNumberFormat="1"/>
    <xf numFmtId="37" fontId="9" fillId="0" borderId="0" xfId="0" applyNumberFormat="1" applyFont="1"/>
    <xf numFmtId="0" fontId="9" fillId="0" borderId="0" xfId="0" applyFont="1"/>
    <xf numFmtId="0" fontId="0" fillId="0" borderId="0" xfId="0" quotePrefix="1" applyAlignment="1">
      <alignment horizontal="left" wrapText="1"/>
    </xf>
    <xf numFmtId="0" fontId="0" fillId="0" borderId="0" xfId="0" applyAlignment="1">
      <alignment horizontal="left" indent="1"/>
    </xf>
    <xf numFmtId="0" fontId="0" fillId="0" borderId="0" xfId="0" quotePrefix="1" applyAlignment="1">
      <alignment horizontal="left" indent="1"/>
    </xf>
    <xf numFmtId="0" fontId="0" fillId="0" borderId="0" xfId="0" applyAlignment="1">
      <alignment horizontal="left"/>
    </xf>
    <xf numFmtId="165" fontId="8" fillId="0" borderId="0" xfId="1" applyNumberFormat="1" applyFont="1"/>
    <xf numFmtId="165" fontId="5" fillId="0" borderId="0" xfId="1" applyNumberFormat="1" applyFont="1"/>
    <xf numFmtId="175" fontId="11" fillId="0" borderId="0" xfId="4" applyFont="1"/>
    <xf numFmtId="174" fontId="11" fillId="0" borderId="0" xfId="2" applyNumberFormat="1" applyFont="1" applyBorder="1"/>
    <xf numFmtId="174" fontId="14" fillId="0" borderId="0" xfId="2" applyNumberFormat="1" applyFont="1" applyBorder="1"/>
    <xf numFmtId="165" fontId="15" fillId="0" borderId="0" xfId="4" applyNumberFormat="1" applyFont="1" applyBorder="1"/>
    <xf numFmtId="174" fontId="16" fillId="0" borderId="0" xfId="2" applyNumberFormat="1" applyFont="1" applyBorder="1"/>
    <xf numFmtId="14" fontId="17" fillId="0" borderId="0" xfId="0" applyNumberFormat="1" applyFont="1"/>
    <xf numFmtId="0" fontId="0" fillId="15" borderId="0" xfId="0" applyFill="1"/>
    <xf numFmtId="175" fontId="11" fillId="15" borderId="0" xfId="4" applyFont="1" applyFill="1"/>
    <xf numFmtId="49" fontId="19" fillId="8" borderId="8" xfId="5" applyNumberFormat="1" applyFont="1" applyFill="1" applyBorder="1" applyAlignment="1">
      <alignment vertical="center"/>
    </xf>
    <xf numFmtId="49" fontId="19" fillId="8" borderId="9" xfId="5" applyNumberFormat="1" applyFont="1" applyFill="1" applyBorder="1" applyAlignment="1">
      <alignment vertical="center"/>
    </xf>
    <xf numFmtId="0" fontId="19" fillId="0" borderId="0" xfId="5" applyFont="1" applyBorder="1" applyAlignment="1">
      <alignment horizontal="center"/>
    </xf>
    <xf numFmtId="172" fontId="0" fillId="0" borderId="0" xfId="0" applyNumberFormat="1"/>
    <xf numFmtId="0" fontId="8" fillId="0" borderId="0" xfId="0" applyFont="1"/>
    <xf numFmtId="0" fontId="0" fillId="0" borderId="0" xfId="0" applyFont="1"/>
    <xf numFmtId="37" fontId="0" fillId="0" borderId="0" xfId="0" quotePrefix="1" applyNumberFormat="1" applyAlignment="1">
      <alignment horizontal="left"/>
    </xf>
    <xf numFmtId="174" fontId="22" fillId="0" borderId="0" xfId="0" applyNumberFormat="1" applyFont="1"/>
    <xf numFmtId="0" fontId="17" fillId="0" borderId="0" xfId="0" applyFont="1"/>
    <xf numFmtId="0" fontId="0" fillId="0" borderId="0" xfId="0" quotePrefix="1" applyAlignment="1">
      <alignment horizontal="center" wrapText="1"/>
    </xf>
    <xf numFmtId="0" fontId="17" fillId="0" borderId="0" xfId="0" applyFont="1" applyFill="1"/>
    <xf numFmtId="0" fontId="17" fillId="0" borderId="0" xfId="0" quotePrefix="1" applyFont="1" applyAlignment="1">
      <alignment horizontal="left"/>
    </xf>
    <xf numFmtId="176" fontId="27" fillId="0" borderId="0" xfId="4" quotePrefix="1" applyNumberFormat="1" applyFont="1" applyAlignment="1" applyProtection="1">
      <alignment horizontal="left"/>
    </xf>
    <xf numFmtId="175" fontId="27" fillId="0" borderId="0" xfId="4" applyFont="1" applyBorder="1"/>
    <xf numFmtId="175" fontId="27" fillId="0" borderId="0" xfId="4" applyFont="1" applyBorder="1" applyAlignment="1">
      <alignment horizontal="right"/>
    </xf>
    <xf numFmtId="176" fontId="27" fillId="0" borderId="0" xfId="4" applyNumberFormat="1" applyFont="1" applyAlignment="1" applyProtection="1">
      <alignment horizontal="right"/>
    </xf>
    <xf numFmtId="175" fontId="27" fillId="0" borderId="0" xfId="4" applyFont="1"/>
    <xf numFmtId="175" fontId="27" fillId="0" borderId="0" xfId="4" applyFont="1" applyBorder="1" applyAlignment="1">
      <alignment horizontal="center"/>
    </xf>
    <xf numFmtId="175" fontId="27" fillId="0" borderId="0" xfId="4" applyFont="1" applyFill="1" applyBorder="1" applyAlignment="1">
      <alignment horizontal="center"/>
    </xf>
    <xf numFmtId="176" fontId="27" fillId="0" borderId="0" xfId="4" applyNumberFormat="1" applyFont="1" applyProtection="1"/>
    <xf numFmtId="175" fontId="27" fillId="0" borderId="0" xfId="4" quotePrefix="1" applyFont="1" applyFill="1" applyBorder="1" applyAlignment="1">
      <alignment horizontal="center"/>
    </xf>
    <xf numFmtId="175" fontId="27" fillId="0" borderId="0" xfId="4" applyFont="1" applyAlignment="1">
      <alignment horizontal="center"/>
    </xf>
    <xf numFmtId="176" fontId="28" fillId="0" borderId="0" xfId="4" applyNumberFormat="1" applyFont="1" applyProtection="1"/>
    <xf numFmtId="16" fontId="27" fillId="0" borderId="6" xfId="4" quotePrefix="1" applyNumberFormat="1" applyFont="1" applyBorder="1" applyAlignment="1">
      <alignment horizontal="center"/>
    </xf>
    <xf numFmtId="175" fontId="27" fillId="0" borderId="6" xfId="4" applyFont="1" applyBorder="1" applyAlignment="1">
      <alignment horizontal="center"/>
    </xf>
    <xf numFmtId="16" fontId="27" fillId="0" borderId="0" xfId="4" applyNumberFormat="1" applyFont="1" applyBorder="1" applyAlignment="1">
      <alignment horizontal="right"/>
    </xf>
    <xf numFmtId="176" fontId="27" fillId="0" borderId="0" xfId="4" applyNumberFormat="1" applyFont="1" applyBorder="1" applyAlignment="1" applyProtection="1">
      <alignment horizontal="right"/>
    </xf>
    <xf numFmtId="175" fontId="27" fillId="0" borderId="0" xfId="4" applyFont="1" applyFill="1" applyBorder="1" applyAlignment="1">
      <alignment horizontal="right"/>
    </xf>
    <xf numFmtId="175" fontId="29" fillId="0" borderId="22" xfId="4" applyFont="1" applyBorder="1" applyAlignment="1">
      <alignment horizontal="left"/>
    </xf>
    <xf numFmtId="175" fontId="27" fillId="0" borderId="23" xfId="4" applyFont="1" applyBorder="1"/>
    <xf numFmtId="165" fontId="27" fillId="0" borderId="23" xfId="4" applyNumberFormat="1" applyFont="1" applyBorder="1" applyAlignment="1">
      <alignment horizontal="right"/>
    </xf>
    <xf numFmtId="165" fontId="27" fillId="0" borderId="24" xfId="4" applyNumberFormat="1" applyFont="1" applyBorder="1" applyAlignment="1">
      <alignment horizontal="right"/>
    </xf>
    <xf numFmtId="165" fontId="27" fillId="0" borderId="0" xfId="4" applyNumberFormat="1" applyFont="1" applyFill="1" applyAlignment="1">
      <alignment horizontal="right"/>
    </xf>
    <xf numFmtId="175" fontId="27" fillId="0" borderId="15" xfId="4" applyFont="1" applyBorder="1" applyAlignment="1">
      <alignment horizontal="left"/>
    </xf>
    <xf numFmtId="165" fontId="27" fillId="0" borderId="0" xfId="4" applyNumberFormat="1" applyFont="1" applyBorder="1" applyAlignment="1">
      <alignment horizontal="right"/>
    </xf>
    <xf numFmtId="165" fontId="27" fillId="0" borderId="16" xfId="4" applyNumberFormat="1" applyFont="1" applyBorder="1" applyAlignment="1">
      <alignment horizontal="right"/>
    </xf>
    <xf numFmtId="165" fontId="27" fillId="0" borderId="15" xfId="1" applyNumberFormat="1" applyFont="1" applyBorder="1" applyAlignment="1">
      <alignment horizontal="left" indent="1"/>
    </xf>
    <xf numFmtId="44" fontId="27" fillId="0" borderId="0" xfId="2" applyFont="1" applyFill="1" applyBorder="1"/>
    <xf numFmtId="174" fontId="27" fillId="0" borderId="0" xfId="2" applyNumberFormat="1" applyFont="1" applyFill="1" applyBorder="1"/>
    <xf numFmtId="175" fontId="27" fillId="0" borderId="0" xfId="4" applyFont="1" applyFill="1" applyBorder="1"/>
    <xf numFmtId="175" fontId="27" fillId="0" borderId="16" xfId="4" applyFont="1" applyBorder="1"/>
    <xf numFmtId="174" fontId="27" fillId="0" borderId="0" xfId="2" applyNumberFormat="1" applyFont="1" applyFill="1"/>
    <xf numFmtId="0" fontId="30" fillId="0" borderId="0" xfId="0" applyFont="1" applyFill="1"/>
    <xf numFmtId="165" fontId="27" fillId="0" borderId="15" xfId="1" applyNumberFormat="1" applyFont="1" applyBorder="1" applyAlignment="1">
      <alignment horizontal="left" indent="2"/>
    </xf>
    <xf numFmtId="175" fontId="31" fillId="0" borderId="0" xfId="4" applyFont="1" applyBorder="1"/>
    <xf numFmtId="165" fontId="27" fillId="0" borderId="0" xfId="4" applyNumberFormat="1" applyFont="1" applyBorder="1"/>
    <xf numFmtId="44" fontId="27" fillId="0" borderId="0" xfId="2" applyFont="1" applyBorder="1"/>
    <xf numFmtId="165" fontId="27" fillId="0" borderId="15" xfId="1" quotePrefix="1" applyNumberFormat="1" applyFont="1" applyBorder="1" applyAlignment="1">
      <alignment horizontal="left" indent="2"/>
    </xf>
    <xf numFmtId="175" fontId="31" fillId="0" borderId="0" xfId="4" quotePrefix="1" applyFont="1" applyBorder="1" applyAlignment="1">
      <alignment horizontal="left"/>
    </xf>
    <xf numFmtId="177" fontId="27" fillId="0" borderId="0" xfId="2" applyNumberFormat="1" applyFont="1" applyFill="1" applyBorder="1"/>
    <xf numFmtId="165" fontId="27" fillId="0" borderId="0" xfId="1" applyNumberFormat="1" applyFont="1" applyFill="1" applyBorder="1"/>
    <xf numFmtId="166" fontId="27" fillId="0" borderId="0" xfId="2" applyNumberFormat="1" applyFont="1" applyFill="1" applyBorder="1"/>
    <xf numFmtId="165" fontId="27" fillId="0" borderId="16" xfId="4" applyNumberFormat="1" applyFont="1" applyBorder="1"/>
    <xf numFmtId="165" fontId="27" fillId="0" borderId="0" xfId="4" applyNumberFormat="1" applyFont="1" applyFill="1" applyBorder="1"/>
    <xf numFmtId="174" fontId="32" fillId="0" borderId="0" xfId="2" applyNumberFormat="1" applyFont="1" applyFill="1" applyBorder="1"/>
    <xf numFmtId="175" fontId="27" fillId="0" borderId="0" xfId="4" applyFont="1" applyFill="1"/>
    <xf numFmtId="165" fontId="27" fillId="0" borderId="15" xfId="1" quotePrefix="1" applyNumberFormat="1" applyFont="1" applyBorder="1" applyAlignment="1">
      <alignment horizontal="left"/>
    </xf>
    <xf numFmtId="177" fontId="27" fillId="0" borderId="0" xfId="2" applyNumberFormat="1" applyFont="1" applyBorder="1"/>
    <xf numFmtId="165" fontId="27" fillId="0" borderId="0" xfId="1" applyNumberFormat="1" applyFont="1" applyBorder="1"/>
    <xf numFmtId="165" fontId="27" fillId="0" borderId="15" xfId="1" applyNumberFormat="1" applyFont="1" applyBorder="1" applyAlignment="1">
      <alignment horizontal="left"/>
    </xf>
    <xf numFmtId="0" fontId="17" fillId="0" borderId="0" xfId="0" applyFont="1" applyBorder="1"/>
    <xf numFmtId="166" fontId="27" fillId="0" borderId="0" xfId="2" applyNumberFormat="1" applyFont="1" applyBorder="1"/>
    <xf numFmtId="174" fontId="27" fillId="0" borderId="0" xfId="2" applyNumberFormat="1" applyFont="1" applyBorder="1"/>
    <xf numFmtId="43" fontId="27" fillId="0" borderId="0" xfId="1" applyFont="1" applyBorder="1"/>
    <xf numFmtId="0" fontId="17" fillId="0" borderId="0" xfId="0" quotePrefix="1" applyFont="1" applyFill="1" applyAlignment="1">
      <alignment horizontal="left"/>
    </xf>
    <xf numFmtId="175" fontId="29" fillId="0" borderId="15" xfId="4" applyFont="1" applyBorder="1" applyAlignment="1">
      <alignment horizontal="right"/>
    </xf>
    <xf numFmtId="165" fontId="32" fillId="0" borderId="0" xfId="1" applyNumberFormat="1" applyFont="1" applyBorder="1"/>
    <xf numFmtId="174" fontId="32" fillId="0" borderId="0" xfId="2" applyNumberFormat="1" applyFont="1" applyBorder="1"/>
    <xf numFmtId="0" fontId="32" fillId="0" borderId="0" xfId="2" applyNumberFormat="1" applyFont="1" applyBorder="1"/>
    <xf numFmtId="174" fontId="32" fillId="0" borderId="16" xfId="2" applyNumberFormat="1" applyFont="1" applyBorder="1"/>
    <xf numFmtId="0" fontId="27" fillId="0" borderId="0" xfId="4" applyNumberFormat="1" applyFont="1" applyBorder="1"/>
    <xf numFmtId="178" fontId="27" fillId="0" borderId="16" xfId="4" applyNumberFormat="1" applyFont="1" applyBorder="1"/>
    <xf numFmtId="178" fontId="27" fillId="0" borderId="0" xfId="4" applyNumberFormat="1" applyFont="1" applyFill="1"/>
    <xf numFmtId="178" fontId="27" fillId="0" borderId="0" xfId="4" applyNumberFormat="1" applyFont="1" applyFill="1" applyBorder="1"/>
    <xf numFmtId="175" fontId="27" fillId="0" borderId="15" xfId="4" quotePrefix="1" applyFont="1" applyBorder="1" applyAlignment="1">
      <alignment horizontal="left"/>
    </xf>
    <xf numFmtId="179" fontId="27" fillId="0" borderId="0" xfId="4" applyNumberFormat="1" applyFont="1" applyFill="1" applyBorder="1"/>
    <xf numFmtId="174" fontId="33" fillId="0" borderId="0" xfId="2" applyNumberFormat="1" applyFont="1" applyFill="1" applyBorder="1"/>
    <xf numFmtId="174" fontId="27" fillId="0" borderId="16" xfId="2" applyNumberFormat="1" applyFont="1" applyBorder="1"/>
    <xf numFmtId="165" fontId="33" fillId="0" borderId="0" xfId="4" applyNumberFormat="1" applyFont="1" applyFill="1" applyBorder="1"/>
    <xf numFmtId="174" fontId="34" fillId="0" borderId="0" xfId="2" applyNumberFormat="1" applyFont="1" applyFill="1" applyBorder="1"/>
    <xf numFmtId="165" fontId="27" fillId="0" borderId="15" xfId="1" applyNumberFormat="1" applyFont="1" applyBorder="1" applyAlignment="1">
      <alignment horizontal="left" indent="5"/>
    </xf>
    <xf numFmtId="175" fontId="29" fillId="0" borderId="15" xfId="4" quotePrefix="1" applyFont="1" applyBorder="1" applyAlignment="1">
      <alignment horizontal="right"/>
    </xf>
    <xf numFmtId="175" fontId="29" fillId="0" borderId="15" xfId="4" applyFont="1" applyBorder="1" applyAlignment="1">
      <alignment horizontal="left"/>
    </xf>
    <xf numFmtId="175" fontId="27" fillId="0" borderId="15" xfId="4" applyFont="1" applyBorder="1" applyAlignment="1">
      <alignment horizontal="right"/>
    </xf>
    <xf numFmtId="165" fontId="33" fillId="0" borderId="0" xfId="1" applyNumberFormat="1" applyFont="1" applyBorder="1"/>
    <xf numFmtId="0" fontId="27" fillId="0" borderId="0" xfId="1" applyNumberFormat="1" applyFont="1" applyBorder="1"/>
    <xf numFmtId="174" fontId="33" fillId="0" borderId="0" xfId="2" applyNumberFormat="1" applyFont="1" applyBorder="1"/>
    <xf numFmtId="41" fontId="27" fillId="0" borderId="0" xfId="4" applyNumberFormat="1" applyFont="1" applyBorder="1"/>
    <xf numFmtId="178" fontId="27" fillId="0" borderId="0" xfId="4" applyNumberFormat="1" applyFont="1" applyBorder="1"/>
    <xf numFmtId="179" fontId="27" fillId="0" borderId="0" xfId="4" applyNumberFormat="1" applyFont="1" applyBorder="1"/>
    <xf numFmtId="175" fontId="29" fillId="0" borderId="15" xfId="4" quotePrefix="1" applyFont="1" applyBorder="1" applyAlignment="1">
      <alignment horizontal="left"/>
    </xf>
    <xf numFmtId="165" fontId="33" fillId="0" borderId="0" xfId="4" applyNumberFormat="1" applyFont="1" applyBorder="1"/>
    <xf numFmtId="175" fontId="29" fillId="0" borderId="15" xfId="4" quotePrefix="1" applyFont="1" applyBorder="1" applyAlignment="1">
      <alignment horizontal="center"/>
    </xf>
    <xf numFmtId="175" fontId="29" fillId="0" borderId="17" xfId="4" quotePrefix="1" applyFont="1" applyBorder="1" applyAlignment="1">
      <alignment horizontal="left"/>
    </xf>
    <xf numFmtId="175" fontId="27" fillId="0" borderId="7" xfId="4" applyFont="1" applyBorder="1"/>
    <xf numFmtId="165" fontId="27" fillId="0" borderId="7" xfId="4" applyNumberFormat="1" applyFont="1" applyBorder="1"/>
    <xf numFmtId="175" fontId="27" fillId="0" borderId="7" xfId="4" applyFont="1" applyBorder="1" applyAlignment="1">
      <alignment horizontal="right"/>
    </xf>
    <xf numFmtId="165" fontId="33" fillId="0" borderId="7" xfId="4" applyNumberFormat="1" applyFont="1" applyBorder="1"/>
    <xf numFmtId="175" fontId="27" fillId="0" borderId="18" xfId="4" applyFont="1" applyBorder="1"/>
    <xf numFmtId="43" fontId="27" fillId="0" borderId="0" xfId="1" applyFont="1" applyAlignment="1">
      <alignment horizontal="left" indent="2"/>
    </xf>
    <xf numFmtId="0" fontId="31" fillId="0" borderId="0" xfId="4" quotePrefix="1" applyNumberFormat="1" applyFont="1" applyBorder="1" applyAlignment="1">
      <alignment horizontal="left"/>
    </xf>
    <xf numFmtId="43" fontId="100" fillId="0" borderId="0" xfId="12" applyFont="1"/>
    <xf numFmtId="0" fontId="6" fillId="0" borderId="0" xfId="11" applyFont="1"/>
    <xf numFmtId="180" fontId="6" fillId="0" borderId="0" xfId="11" applyNumberFormat="1" applyFont="1"/>
    <xf numFmtId="14" fontId="6" fillId="0" borderId="0" xfId="11" applyNumberFormat="1" applyFont="1"/>
    <xf numFmtId="0" fontId="6" fillId="0" borderId="0" xfId="11" quotePrefix="1" applyFont="1" applyAlignment="1">
      <alignment horizontal="left"/>
    </xf>
    <xf numFmtId="43" fontId="6" fillId="0" borderId="0" xfId="11" applyNumberFormat="1" applyFont="1"/>
    <xf numFmtId="43" fontId="6" fillId="0" borderId="0" xfId="13" applyFont="1"/>
    <xf numFmtId="44" fontId="0" fillId="5" borderId="0" xfId="2" applyFont="1" applyFill="1" applyBorder="1"/>
    <xf numFmtId="37" fontId="0" fillId="17" borderId="0" xfId="0" applyNumberFormat="1" applyFill="1"/>
    <xf numFmtId="174" fontId="0" fillId="17" borderId="0" xfId="2" applyNumberFormat="1" applyFont="1" applyFill="1"/>
    <xf numFmtId="37" fontId="0" fillId="0" borderId="0" xfId="0" applyNumberFormat="1" applyFill="1"/>
    <xf numFmtId="0" fontId="0" fillId="0" borderId="0" xfId="0" quotePrefix="1" applyBorder="1" applyAlignment="1">
      <alignment horizontal="left"/>
    </xf>
    <xf numFmtId="0" fontId="0" fillId="0" borderId="0" xfId="0" applyBorder="1" applyAlignment="1">
      <alignment horizontal="center" wrapText="1"/>
    </xf>
    <xf numFmtId="0" fontId="0" fillId="0" borderId="0" xfId="0" applyNumberFormat="1" applyBorder="1"/>
    <xf numFmtId="41" fontId="11" fillId="0" borderId="0" xfId="2105" applyFont="1"/>
    <xf numFmtId="41" fontId="11" fillId="0" borderId="0" xfId="2105" quotePrefix="1" applyFont="1" applyAlignment="1">
      <alignment horizontal="left"/>
    </xf>
    <xf numFmtId="175" fontId="13" fillId="0" borderId="0" xfId="4" applyFont="1" applyAlignment="1">
      <alignment horizontal="right"/>
    </xf>
    <xf numFmtId="175" fontId="13" fillId="0" borderId="7" xfId="4" quotePrefix="1" applyNumberFormat="1" applyFont="1" applyBorder="1" applyAlignment="1">
      <alignment horizontal="center"/>
    </xf>
    <xf numFmtId="15" fontId="13" fillId="0" borderId="7" xfId="4" applyNumberFormat="1" applyFont="1" applyBorder="1" applyAlignment="1">
      <alignment horizontal="right"/>
    </xf>
    <xf numFmtId="175" fontId="13" fillId="0" borderId="0" xfId="4" applyFont="1"/>
    <xf numFmtId="175" fontId="11" fillId="0" borderId="0" xfId="4" applyFont="1" applyAlignment="1">
      <alignment horizontal="right"/>
    </xf>
    <xf numFmtId="175" fontId="12" fillId="0" borderId="0" xfId="4" applyFont="1" applyAlignment="1">
      <alignment horizontal="right"/>
    </xf>
    <xf numFmtId="164" fontId="12" fillId="0" borderId="0" xfId="13" applyNumberFormat="1" applyFont="1" applyAlignment="1">
      <alignment horizontal="right"/>
    </xf>
    <xf numFmtId="184" fontId="12" fillId="0" borderId="0" xfId="1360" applyNumberFormat="1" applyFont="1" applyAlignment="1" applyProtection="1">
      <alignment horizontal="right"/>
    </xf>
    <xf numFmtId="175" fontId="11" fillId="0" borderId="0" xfId="4" quotePrefix="1" applyFont="1" applyAlignment="1">
      <alignment horizontal="left"/>
    </xf>
    <xf numFmtId="175" fontId="11" fillId="0" borderId="0" xfId="4" quotePrefix="1" applyFont="1" applyAlignment="1">
      <alignment horizontal="left" indent="2"/>
    </xf>
    <xf numFmtId="165" fontId="11" fillId="0" borderId="0" xfId="13" applyNumberFormat="1" applyFont="1"/>
    <xf numFmtId="165" fontId="11" fillId="0" borderId="0" xfId="13" applyNumberFormat="1" applyFont="1" applyFill="1"/>
    <xf numFmtId="165" fontId="14" fillId="0" borderId="0" xfId="13" applyNumberFormat="1" applyFont="1"/>
    <xf numFmtId="175" fontId="11" fillId="0" borderId="0" xfId="4" applyFont="1" applyAlignment="1">
      <alignment horizontal="left"/>
    </xf>
    <xf numFmtId="41" fontId="11" fillId="0" borderId="0" xfId="2105" applyFont="1" applyAlignment="1">
      <alignment horizontal="left" indent="1"/>
    </xf>
    <xf numFmtId="41" fontId="11" fillId="0" borderId="0" xfId="2105" quotePrefix="1" applyFont="1" applyAlignment="1">
      <alignment horizontal="left" indent="1"/>
    </xf>
    <xf numFmtId="41" fontId="11" fillId="0" borderId="0" xfId="2105" applyFont="1" applyAlignment="1">
      <alignment horizontal="left"/>
    </xf>
    <xf numFmtId="165" fontId="11" fillId="0" borderId="0" xfId="13" applyNumberFormat="1" applyFont="1" applyAlignment="1">
      <alignment horizontal="center"/>
    </xf>
    <xf numFmtId="43" fontId="102" fillId="0" borderId="0" xfId="4" applyNumberFormat="1" applyFont="1" applyFill="1" applyAlignment="1">
      <alignment horizontal="center"/>
    </xf>
    <xf numFmtId="175" fontId="102" fillId="0" borderId="0" xfId="4" applyFont="1" applyFill="1" applyAlignment="1">
      <alignment horizontal="center"/>
    </xf>
    <xf numFmtId="165" fontId="12" fillId="0" borderId="0" xfId="13" applyNumberFormat="1" applyFont="1"/>
    <xf numFmtId="165" fontId="13" fillId="0" borderId="0" xfId="13" quotePrefix="1" applyNumberFormat="1" applyFont="1" applyBorder="1" applyAlignment="1">
      <alignment horizontal="center"/>
    </xf>
    <xf numFmtId="165" fontId="13" fillId="0" borderId="0" xfId="13" applyNumberFormat="1" applyFont="1" applyBorder="1" applyAlignment="1">
      <alignment horizontal="center"/>
    </xf>
    <xf numFmtId="164" fontId="103" fillId="0" borderId="0" xfId="13" quotePrefix="1" applyNumberFormat="1" applyFont="1" applyBorder="1" applyAlignment="1">
      <alignment horizontal="center"/>
    </xf>
    <xf numFmtId="175" fontId="102" fillId="75" borderId="0" xfId="4" applyFont="1" applyFill="1" applyAlignment="1">
      <alignment horizontal="center"/>
    </xf>
    <xf numFmtId="43" fontId="102" fillId="75" borderId="0" xfId="4" applyNumberFormat="1" applyFont="1" applyFill="1" applyAlignment="1">
      <alignment horizontal="center"/>
    </xf>
    <xf numFmtId="37" fontId="0" fillId="0" borderId="0" xfId="0" applyNumberFormat="1" applyFont="1" applyFill="1"/>
    <xf numFmtId="174" fontId="5" fillId="0" borderId="0" xfId="2" applyNumberFormat="1" applyFont="1" applyFill="1"/>
    <xf numFmtId="165" fontId="100" fillId="0" borderId="0" xfId="1" applyNumberFormat="1" applyFont="1"/>
    <xf numFmtId="0" fontId="100" fillId="0" borderId="0" xfId="0" applyFont="1"/>
    <xf numFmtId="172" fontId="4" fillId="0" borderId="0" xfId="0" applyNumberFormat="1" applyFont="1" applyProtection="1">
      <protection locked="0"/>
    </xf>
    <xf numFmtId="14" fontId="4" fillId="0" borderId="0" xfId="0" applyNumberFormat="1" applyFont="1" applyProtection="1">
      <protection locked="0"/>
    </xf>
    <xf numFmtId="0" fontId="4" fillId="0" borderId="0" xfId="0" applyFont="1" applyProtection="1">
      <protection locked="0"/>
    </xf>
    <xf numFmtId="0" fontId="4" fillId="0" borderId="0" xfId="0" applyNumberFormat="1" applyFont="1" applyProtection="1">
      <protection locked="0"/>
    </xf>
    <xf numFmtId="0" fontId="4" fillId="0" borderId="0" xfId="0" quotePrefix="1" applyNumberFormat="1" applyFont="1" applyAlignment="1" applyProtection="1">
      <alignment horizontal="left"/>
      <protection locked="0"/>
    </xf>
    <xf numFmtId="0" fontId="4" fillId="0" borderId="0" xfId="0" applyNumberFormat="1" applyFont="1" applyAlignment="1" applyProtection="1">
      <alignment horizontal="left"/>
      <protection locked="0"/>
    </xf>
    <xf numFmtId="0" fontId="4" fillId="0" borderId="0" xfId="0" quotePrefix="1" applyFont="1" applyAlignment="1" applyProtection="1">
      <alignment horizontal="left"/>
      <protection locked="0"/>
    </xf>
    <xf numFmtId="0" fontId="4" fillId="5" borderId="0" xfId="0" quotePrefix="1" applyNumberFormat="1" applyFont="1" applyFill="1" applyAlignment="1" applyProtection="1">
      <alignment horizontal="left"/>
      <protection locked="0"/>
    </xf>
    <xf numFmtId="0" fontId="4" fillId="5" borderId="0" xfId="0" applyNumberFormat="1" applyFont="1" applyFill="1" applyProtection="1">
      <protection locked="0"/>
    </xf>
    <xf numFmtId="165" fontId="2" fillId="0" borderId="0" xfId="1" applyNumberFormat="1" applyFont="1"/>
    <xf numFmtId="37" fontId="104" fillId="0" borderId="0" xfId="0" applyNumberFormat="1" applyFont="1"/>
    <xf numFmtId="174" fontId="11" fillId="0" borderId="0" xfId="2" applyNumberFormat="1" applyFont="1"/>
    <xf numFmtId="185" fontId="11" fillId="0" borderId="0" xfId="4" applyNumberFormat="1" applyFont="1"/>
    <xf numFmtId="175" fontId="11" fillId="0" borderId="0" xfId="4" applyFont="1" applyAlignment="1">
      <alignment horizontal="left" indent="2"/>
    </xf>
    <xf numFmtId="174" fontId="14" fillId="0" borderId="0" xfId="2" applyNumberFormat="1" applyFont="1"/>
    <xf numFmtId="165" fontId="14" fillId="0" borderId="0" xfId="13" applyNumberFormat="1" applyFont="1" applyFill="1"/>
    <xf numFmtId="174" fontId="11" fillId="0" borderId="0" xfId="2" applyNumberFormat="1" applyFont="1" applyAlignment="1">
      <alignment horizontal="center"/>
    </xf>
    <xf numFmtId="165" fontId="105" fillId="15" borderId="0" xfId="13" applyNumberFormat="1" applyFont="1" applyFill="1" applyAlignment="1">
      <alignment horizontal="center"/>
    </xf>
    <xf numFmtId="165" fontId="11" fillId="15" borderId="0" xfId="13" applyNumberFormat="1" applyFont="1" applyFill="1"/>
    <xf numFmtId="165" fontId="11" fillId="15" borderId="0" xfId="13" quotePrefix="1" applyNumberFormat="1" applyFont="1" applyFill="1" applyAlignment="1">
      <alignment horizontal="left"/>
    </xf>
    <xf numFmtId="165" fontId="11" fillId="15" borderId="0" xfId="13" applyNumberFormat="1" applyFont="1" applyFill="1" applyAlignment="1">
      <alignment horizontal="left"/>
    </xf>
    <xf numFmtId="175" fontId="13" fillId="15" borderId="0" xfId="4" applyFont="1" applyFill="1"/>
    <xf numFmtId="41" fontId="11" fillId="15" borderId="0" xfId="2105" applyFont="1" applyFill="1" applyAlignment="1">
      <alignment horizontal="left"/>
    </xf>
    <xf numFmtId="41" fontId="11" fillId="15" borderId="0" xfId="2105" applyFont="1" applyFill="1"/>
    <xf numFmtId="165" fontId="11" fillId="15" borderId="0" xfId="13" applyNumberFormat="1" applyFont="1" applyFill="1" applyAlignment="1">
      <alignment horizontal="center"/>
    </xf>
    <xf numFmtId="41" fontId="11" fillId="0" borderId="0" xfId="1782" applyFont="1" applyFill="1"/>
    <xf numFmtId="41" fontId="11" fillId="0" borderId="0" xfId="1782" applyFont="1" applyFill="1" applyAlignment="1">
      <alignment horizontal="center"/>
    </xf>
    <xf numFmtId="41" fontId="13" fillId="0" borderId="0" xfId="1782" applyFont="1" applyFill="1" applyBorder="1" applyAlignment="1">
      <alignment horizontal="left"/>
    </xf>
    <xf numFmtId="0" fontId="100" fillId="0" borderId="0" xfId="0" applyFont="1" applyAlignment="1">
      <alignment horizontal="center" wrapText="1"/>
    </xf>
    <xf numFmtId="0" fontId="100" fillId="0" borderId="0" xfId="0" quotePrefix="1" applyFont="1" applyAlignment="1">
      <alignment horizontal="center" wrapText="1"/>
    </xf>
    <xf numFmtId="44" fontId="100" fillId="0" borderId="0" xfId="0" applyNumberFormat="1" applyFont="1"/>
    <xf numFmtId="44" fontId="100" fillId="0" borderId="0" xfId="2" applyFont="1"/>
    <xf numFmtId="0" fontId="100" fillId="0" borderId="0" xfId="0" applyFont="1" applyFill="1"/>
    <xf numFmtId="0" fontId="100" fillId="0" borderId="0" xfId="0" quotePrefix="1" applyFont="1" applyAlignment="1">
      <alignment horizontal="left"/>
    </xf>
    <xf numFmtId="165" fontId="100" fillId="0" borderId="0" xfId="0" applyNumberFormat="1" applyFont="1"/>
    <xf numFmtId="0" fontId="100" fillId="0" borderId="0" xfId="0" applyFont="1" applyAlignment="1">
      <alignment horizontal="left"/>
    </xf>
    <xf numFmtId="44" fontId="100" fillId="7" borderId="0" xfId="0" applyNumberFormat="1" applyFont="1" applyFill="1"/>
    <xf numFmtId="183" fontId="0" fillId="0" borderId="0" xfId="1" applyNumberFormat="1" applyFont="1"/>
    <xf numFmtId="166" fontId="0" fillId="0" borderId="0" xfId="2" applyNumberFormat="1" applyFont="1"/>
    <xf numFmtId="174" fontId="2" fillId="0" borderId="0" xfId="2" applyNumberFormat="1" applyFont="1"/>
    <xf numFmtId="44" fontId="2" fillId="0" borderId="0" xfId="2" applyFont="1"/>
    <xf numFmtId="41" fontId="11" fillId="0" borderId="0" xfId="1782" applyFont="1"/>
    <xf numFmtId="41" fontId="11" fillId="0" borderId="0" xfId="1782" quotePrefix="1" applyFont="1" applyAlignment="1">
      <alignment horizontal="left"/>
    </xf>
    <xf numFmtId="41" fontId="11" fillId="0" borderId="0" xfId="1782" applyFont="1" applyAlignment="1">
      <alignment horizontal="center"/>
    </xf>
    <xf numFmtId="41" fontId="11" fillId="0" borderId="0" xfId="1782" applyFont="1" applyAlignment="1">
      <alignment horizontal="left" indent="1"/>
    </xf>
    <xf numFmtId="41" fontId="14" fillId="0" borderId="0" xfId="1782" applyFont="1"/>
    <xf numFmtId="41" fontId="11" fillId="0" borderId="0" xfId="1782" applyFont="1" applyAlignment="1">
      <alignment horizontal="left"/>
    </xf>
    <xf numFmtId="41" fontId="11" fillId="0" borderId="0" xfId="1782" applyFont="1" applyAlignment="1">
      <alignment horizontal="right"/>
    </xf>
    <xf numFmtId="41" fontId="11" fillId="0" borderId="0" xfId="1782" quotePrefix="1" applyFont="1" applyAlignment="1">
      <alignment horizontal="right"/>
    </xf>
    <xf numFmtId="44" fontId="11" fillId="0" borderId="0" xfId="1360" applyFont="1" applyFill="1"/>
    <xf numFmtId="0" fontId="100" fillId="0" borderId="0" xfId="0" quotePrefix="1" applyFont="1" applyAlignment="1">
      <alignment horizontal="centerContinuous" wrapText="1"/>
    </xf>
    <xf numFmtId="0" fontId="100" fillId="0" borderId="0" xfId="0" applyFont="1" applyAlignment="1">
      <alignment horizontal="centerContinuous" wrapText="1"/>
    </xf>
    <xf numFmtId="174" fontId="5" fillId="0" borderId="0" xfId="0" applyNumberFormat="1" applyFont="1"/>
    <xf numFmtId="174" fontId="0" fillId="0" borderId="0" xfId="0" quotePrefix="1" applyNumberFormat="1" applyAlignment="1">
      <alignment horizontal="left"/>
    </xf>
    <xf numFmtId="174" fontId="0" fillId="0" borderId="0" xfId="2" applyNumberFormat="1" applyFont="1" applyFill="1"/>
    <xf numFmtId="41" fontId="13" fillId="0" borderId="0" xfId="1782" applyFont="1" applyFill="1" applyBorder="1" applyAlignment="1">
      <alignment horizontal="center"/>
    </xf>
    <xf numFmtId="174" fontId="0" fillId="0" borderId="14" xfId="2" applyNumberFormat="1" applyFont="1" applyBorder="1"/>
    <xf numFmtId="43" fontId="6" fillId="4" borderId="0" xfId="11" applyNumberFormat="1" applyFont="1" applyFill="1"/>
    <xf numFmtId="43" fontId="19" fillId="0" borderId="0" xfId="5"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165" fontId="0" fillId="0" borderId="0" xfId="1" quotePrefix="1" applyNumberFormat="1" applyFont="1" applyAlignment="1">
      <alignment horizontal="left"/>
    </xf>
    <xf numFmtId="165" fontId="0" fillId="0" borderId="0" xfId="1" applyNumberFormat="1" applyFont="1" applyAlignment="1">
      <alignment horizontal="left" indent="1"/>
    </xf>
    <xf numFmtId="174" fontId="0" fillId="0" borderId="0" xfId="2" quotePrefix="1" applyNumberFormat="1" applyFont="1" applyAlignment="1">
      <alignment horizontal="left"/>
    </xf>
    <xf numFmtId="165" fontId="0" fillId="0" borderId="0" xfId="1" applyNumberFormat="1" applyFont="1" applyAlignment="1">
      <alignment horizontal="centerContinuous"/>
    </xf>
    <xf numFmtId="166" fontId="0" fillId="0" borderId="0" xfId="2" quotePrefix="1" applyNumberFormat="1" applyFont="1" applyAlignment="1">
      <alignment horizontal="left"/>
    </xf>
    <xf numFmtId="165" fontId="100" fillId="0" borderId="0" xfId="1" applyNumberFormat="1" applyFont="1" applyFill="1"/>
    <xf numFmtId="0" fontId="100" fillId="0" borderId="0" xfId="0" quotePrefix="1" applyFont="1" applyFill="1" applyAlignment="1">
      <alignment horizontal="left"/>
    </xf>
    <xf numFmtId="168" fontId="106" fillId="0" borderId="0" xfId="0" applyNumberFormat="1" applyFont="1" applyFill="1" applyBorder="1" applyAlignment="1">
      <alignment horizontal="left" vertical="center" wrapText="1"/>
    </xf>
    <xf numFmtId="0" fontId="0" fillId="0" borderId="0" xfId="0" applyFont="1" applyAlignment="1">
      <alignment horizontal="center" wrapText="1"/>
    </xf>
    <xf numFmtId="0" fontId="0" fillId="0" borderId="0" xfId="0" quotePrefix="1" applyFont="1" applyAlignment="1">
      <alignment horizontal="center" wrapText="1"/>
    </xf>
    <xf numFmtId="0" fontId="0" fillId="0" borderId="0" xfId="0" quotePrefix="1" applyFont="1" applyAlignment="1">
      <alignment horizontal="left"/>
    </xf>
    <xf numFmtId="41" fontId="17" fillId="0" borderId="0" xfId="0" applyNumberFormat="1" applyFont="1" applyFill="1"/>
    <xf numFmtId="0" fontId="0" fillId="0" borderId="0" xfId="0" applyFont="1" applyFill="1"/>
    <xf numFmtId="173" fontId="0" fillId="0" borderId="0" xfId="0" applyNumberFormat="1" applyFont="1" applyAlignment="1">
      <alignment horizontal="center"/>
    </xf>
    <xf numFmtId="0" fontId="0" fillId="0" borderId="0" xfId="0" applyFont="1" applyAlignment="1">
      <alignment horizontal="centerContinuous"/>
    </xf>
    <xf numFmtId="0" fontId="0" fillId="0" borderId="0" xfId="0" applyFont="1" applyAlignment="1">
      <alignment horizontal="right"/>
    </xf>
    <xf numFmtId="0" fontId="0" fillId="0" borderId="0" xfId="0" applyFont="1" applyAlignment="1">
      <alignment horizontal="left"/>
    </xf>
    <xf numFmtId="174" fontId="0" fillId="0" borderId="0" xfId="0" applyNumberFormat="1" applyFont="1"/>
    <xf numFmtId="0" fontId="100" fillId="77" borderId="0" xfId="0" applyFont="1" applyFill="1"/>
    <xf numFmtId="0" fontId="0" fillId="77" borderId="0" xfId="0" applyFill="1"/>
    <xf numFmtId="37" fontId="0" fillId="77" borderId="0" xfId="0" applyNumberFormat="1" applyFill="1"/>
    <xf numFmtId="174" fontId="0" fillId="0" borderId="0" xfId="0" applyNumberFormat="1" applyFill="1"/>
    <xf numFmtId="0" fontId="4" fillId="5" borderId="0" xfId="0" applyFont="1" applyFill="1" applyProtection="1">
      <protection locked="0"/>
    </xf>
    <xf numFmtId="0" fontId="4" fillId="0" borderId="0" xfId="0" applyFont="1" applyFill="1" applyProtection="1">
      <protection locked="0"/>
    </xf>
    <xf numFmtId="43" fontId="11" fillId="0" borderId="0" xfId="13" applyFont="1"/>
    <xf numFmtId="0" fontId="11" fillId="0" borderId="0" xfId="1782" applyNumberFormat="1" applyFont="1"/>
    <xf numFmtId="41" fontId="11" fillId="0" borderId="0" xfId="1782" quotePrefix="1" applyFont="1" applyAlignment="1">
      <alignment horizontal="center"/>
    </xf>
    <xf numFmtId="0" fontId="100" fillId="0" borderId="22" xfId="0" applyFont="1" applyBorder="1"/>
    <xf numFmtId="0" fontId="100" fillId="0" borderId="15" xfId="0" quotePrefix="1" applyFont="1" applyBorder="1" applyAlignment="1">
      <alignment horizontal="center" wrapText="1"/>
    </xf>
    <xf numFmtId="0" fontId="100" fillId="0" borderId="0" xfId="0" quotePrefix="1" applyFont="1" applyBorder="1" applyAlignment="1">
      <alignment horizontal="center" wrapText="1"/>
    </xf>
    <xf numFmtId="0" fontId="100" fillId="0" borderId="16" xfId="0" quotePrefix="1" applyFont="1" applyBorder="1" applyAlignment="1">
      <alignment horizontal="center" wrapText="1"/>
    </xf>
    <xf numFmtId="0" fontId="100" fillId="0" borderId="15" xfId="0" applyFont="1" applyBorder="1"/>
    <xf numFmtId="0" fontId="100" fillId="0" borderId="0" xfId="0" applyFont="1" applyBorder="1"/>
    <xf numFmtId="0" fontId="100" fillId="0" borderId="16" xfId="0" applyFont="1" applyBorder="1"/>
    <xf numFmtId="165" fontId="100" fillId="0" borderId="15" xfId="0" applyNumberFormat="1" applyFont="1" applyBorder="1"/>
    <xf numFmtId="165" fontId="100" fillId="0" borderId="0" xfId="0" applyNumberFormat="1" applyFont="1" applyBorder="1"/>
    <xf numFmtId="165" fontId="100" fillId="0" borderId="16" xfId="0" applyNumberFormat="1" applyFont="1" applyBorder="1"/>
    <xf numFmtId="165" fontId="107" fillId="0" borderId="15" xfId="0" applyNumberFormat="1" applyFont="1" applyBorder="1"/>
    <xf numFmtId="165" fontId="107" fillId="0" borderId="0" xfId="0" applyNumberFormat="1" applyFont="1" applyBorder="1"/>
    <xf numFmtId="165" fontId="107" fillId="0" borderId="16" xfId="0" applyNumberFormat="1" applyFont="1" applyBorder="1"/>
    <xf numFmtId="165" fontId="100" fillId="0" borderId="17" xfId="0" applyNumberFormat="1" applyFont="1" applyBorder="1"/>
    <xf numFmtId="165" fontId="100" fillId="0" borderId="7" xfId="0" applyNumberFormat="1" applyFont="1" applyBorder="1"/>
    <xf numFmtId="165" fontId="100" fillId="0" borderId="18" xfId="0" applyNumberFormat="1" applyFont="1" applyBorder="1"/>
    <xf numFmtId="0" fontId="100" fillId="0" borderId="22" xfId="0" quotePrefix="1" applyFont="1" applyBorder="1" applyAlignment="1">
      <alignment horizontal="centerContinuous" wrapText="1"/>
    </xf>
    <xf numFmtId="0" fontId="100" fillId="0" borderId="23" xfId="0" applyFont="1" applyBorder="1" applyAlignment="1">
      <alignment horizontal="centerContinuous" wrapText="1"/>
    </xf>
    <xf numFmtId="0" fontId="100" fillId="0" borderId="24" xfId="0" applyFont="1" applyBorder="1" applyAlignment="1">
      <alignment horizontal="centerContinuous" wrapText="1"/>
    </xf>
    <xf numFmtId="0" fontId="100" fillId="0" borderId="0" xfId="0" applyFont="1" applyBorder="1" applyAlignment="1">
      <alignment horizontal="center" wrapText="1"/>
    </xf>
    <xf numFmtId="44" fontId="100" fillId="0" borderId="15" xfId="2" applyFont="1" applyBorder="1"/>
    <xf numFmtId="44" fontId="100" fillId="0" borderId="0" xfId="2" applyFont="1" applyBorder="1"/>
    <xf numFmtId="44" fontId="100" fillId="0" borderId="16" xfId="2" applyFont="1" applyBorder="1"/>
    <xf numFmtId="44" fontId="107" fillId="0" borderId="15" xfId="2" applyFont="1" applyBorder="1"/>
    <xf numFmtId="44" fontId="107" fillId="0" borderId="0" xfId="2" applyFont="1" applyBorder="1"/>
    <xf numFmtId="44" fontId="107" fillId="0" borderId="16" xfId="2" applyFont="1" applyBorder="1"/>
    <xf numFmtId="0" fontId="100" fillId="0" borderId="22" xfId="0" applyFont="1" applyBorder="1" applyAlignment="1">
      <alignment horizontal="centerContinuous" wrapText="1"/>
    </xf>
    <xf numFmtId="44" fontId="110" fillId="0" borderId="17" xfId="2" applyFont="1" applyBorder="1"/>
    <xf numFmtId="44" fontId="110" fillId="0" borderId="7" xfId="2" applyFont="1" applyBorder="1"/>
    <xf numFmtId="44" fontId="110" fillId="0" borderId="18" xfId="2" applyFont="1" applyBorder="1"/>
    <xf numFmtId="44" fontId="100" fillId="0" borderId="19" xfId="0" applyNumberFormat="1" applyFont="1" applyBorder="1"/>
    <xf numFmtId="44" fontId="100" fillId="0" borderId="20" xfId="0" applyNumberFormat="1" applyFont="1" applyBorder="1"/>
    <xf numFmtId="44" fontId="100" fillId="0" borderId="21" xfId="0" applyNumberFormat="1" applyFont="1" applyBorder="1"/>
    <xf numFmtId="10" fontId="11" fillId="0" borderId="0" xfId="3" applyNumberFormat="1" applyFont="1"/>
    <xf numFmtId="165" fontId="0" fillId="15" borderId="0" xfId="1" applyNumberFormat="1" applyFont="1" applyFill="1"/>
    <xf numFmtId="43" fontId="19" fillId="6" borderId="0" xfId="1" applyFont="1" applyFill="1" applyBorder="1" applyAlignment="1">
      <alignment horizontal="right"/>
    </xf>
    <xf numFmtId="43" fontId="18" fillId="0" borderId="0" xfId="1" applyFont="1" applyAlignment="1"/>
    <xf numFmtId="174" fontId="113" fillId="0" borderId="0" xfId="0" applyNumberFormat="1" applyFont="1"/>
    <xf numFmtId="174" fontId="14" fillId="0" borderId="0" xfId="1360" applyNumberFormat="1" applyFont="1"/>
    <xf numFmtId="174" fontId="11" fillId="0" borderId="0" xfId="1360" applyNumberFormat="1" applyFont="1"/>
    <xf numFmtId="0" fontId="21" fillId="0" borderId="0" xfId="0" quotePrefix="1" applyFont="1" applyAlignment="1">
      <alignment horizontal="left" indent="1"/>
    </xf>
    <xf numFmtId="0" fontId="7" fillId="0" borderId="0" xfId="0" quotePrefix="1" applyFont="1" applyAlignment="1">
      <alignment horizontal="left" indent="1"/>
    </xf>
    <xf numFmtId="173" fontId="11" fillId="0" borderId="0" xfId="1782" applyNumberFormat="1" applyFont="1" applyAlignment="1">
      <alignment horizontal="center"/>
    </xf>
    <xf numFmtId="41" fontId="0" fillId="0" borderId="0" xfId="0" applyNumberFormat="1"/>
    <xf numFmtId="189" fontId="0" fillId="0" borderId="0" xfId="0" applyNumberFormat="1"/>
    <xf numFmtId="41" fontId="5" fillId="0" borderId="0" xfId="0" applyNumberFormat="1" applyFont="1"/>
    <xf numFmtId="0" fontId="111" fillId="15" borderId="0" xfId="0" applyFont="1" applyFill="1"/>
    <xf numFmtId="0" fontId="0" fillId="15" borderId="0" xfId="0" applyFill="1" applyAlignment="1">
      <alignment wrapText="1"/>
    </xf>
    <xf numFmtId="0" fontId="0" fillId="15" borderId="0" xfId="0" applyFill="1" applyAlignment="1">
      <alignment horizontal="center" wrapText="1"/>
    </xf>
    <xf numFmtId="9" fontId="0" fillId="15" borderId="0" xfId="3" applyFont="1" applyFill="1"/>
    <xf numFmtId="0" fontId="13" fillId="0" borderId="0" xfId="1782" applyNumberFormat="1" applyFont="1" applyFill="1" applyBorder="1" applyAlignment="1">
      <alignment horizontal="center"/>
    </xf>
    <xf numFmtId="41" fontId="11" fillId="0" borderId="0" xfId="1782" applyFont="1" applyBorder="1" applyAlignment="1">
      <alignment horizontal="center" vertical="center" wrapText="1"/>
    </xf>
    <xf numFmtId="41" fontId="11" fillId="0" borderId="0" xfId="1782" applyFont="1" applyAlignment="1">
      <alignment horizontal="center" vertical="center" wrapText="1"/>
    </xf>
    <xf numFmtId="41" fontId="11" fillId="0" borderId="0" xfId="1782" quotePrefix="1" applyFont="1" applyAlignment="1">
      <alignment horizontal="center" vertical="center" wrapText="1"/>
    </xf>
    <xf numFmtId="41" fontId="11" fillId="0" borderId="0" xfId="1782" quotePrefix="1" applyFont="1" applyFill="1" applyAlignment="1">
      <alignment horizontal="center" vertical="center" wrapText="1"/>
    </xf>
    <xf numFmtId="41" fontId="11" fillId="0" borderId="0" xfId="1782" applyFont="1" applyFill="1" applyAlignment="1">
      <alignment horizontal="center" vertical="center" wrapText="1"/>
    </xf>
    <xf numFmtId="43" fontId="11" fillId="0" borderId="0" xfId="13" quotePrefix="1" applyFont="1" applyAlignment="1">
      <alignment horizontal="center" wrapText="1"/>
    </xf>
    <xf numFmtId="41" fontId="11" fillId="0" borderId="0" xfId="1782" applyFont="1" applyAlignment="1">
      <alignment horizontal="center" wrapText="1"/>
    </xf>
    <xf numFmtId="41" fontId="11" fillId="0" borderId="0" xfId="1782" applyFont="1" applyFill="1" applyAlignment="1">
      <alignment horizontal="center" wrapText="1"/>
    </xf>
    <xf numFmtId="41" fontId="11" fillId="0" borderId="0" xfId="1782" quotePrefix="1" applyFont="1" applyFill="1" applyAlignment="1">
      <alignment horizontal="center" wrapText="1"/>
    </xf>
    <xf numFmtId="0" fontId="102" fillId="0" borderId="6" xfId="1782" quotePrefix="1" applyNumberFormat="1" applyFont="1" applyBorder="1" applyAlignment="1">
      <alignment horizontal="left"/>
    </xf>
    <xf numFmtId="41" fontId="102" fillId="0" borderId="6" xfId="1782" applyFont="1" applyBorder="1"/>
    <xf numFmtId="41" fontId="102" fillId="0" borderId="6" xfId="1782" quotePrefix="1" applyFont="1" applyBorder="1" applyAlignment="1">
      <alignment horizontal="center"/>
    </xf>
    <xf numFmtId="41" fontId="102" fillId="0" borderId="6" xfId="1782" applyFont="1" applyBorder="1" applyAlignment="1">
      <alignment horizontal="center"/>
    </xf>
    <xf numFmtId="41" fontId="102" fillId="0" borderId="6" xfId="1782" applyFont="1" applyBorder="1" applyAlignment="1">
      <alignment horizontal="center" wrapText="1"/>
    </xf>
    <xf numFmtId="41" fontId="102" fillId="0" borderId="6" xfId="1782" quotePrefix="1" applyFont="1" applyBorder="1" applyAlignment="1">
      <alignment horizontal="center" wrapText="1"/>
    </xf>
    <xf numFmtId="0" fontId="11" fillId="0" borderId="0" xfId="2103" applyNumberFormat="1" applyFont="1" applyBorder="1"/>
    <xf numFmtId="166" fontId="11" fillId="0" borderId="0" xfId="1360" applyNumberFormat="1" applyFont="1"/>
    <xf numFmtId="44" fontId="11" fillId="0" borderId="0" xfId="1360" applyFont="1"/>
    <xf numFmtId="10" fontId="11" fillId="0" borderId="0" xfId="1986" applyNumberFormat="1" applyFont="1"/>
    <xf numFmtId="166" fontId="11" fillId="0" borderId="0" xfId="2" applyNumberFormat="1" applyFont="1"/>
    <xf numFmtId="0" fontId="11" fillId="0" borderId="0" xfId="2103" quotePrefix="1" applyNumberFormat="1" applyFont="1" applyBorder="1" applyAlignment="1">
      <alignment horizontal="left"/>
    </xf>
    <xf numFmtId="0" fontId="11" fillId="0" borderId="0" xfId="13" applyNumberFormat="1" applyFont="1" applyBorder="1" applyAlignment="1" applyProtection="1">
      <alignment horizontal="center"/>
    </xf>
    <xf numFmtId="44" fontId="11" fillId="0" borderId="0" xfId="2" applyFont="1"/>
    <xf numFmtId="44" fontId="11" fillId="0" borderId="0" xfId="1360" applyNumberFormat="1" applyFont="1"/>
    <xf numFmtId="43" fontId="11" fillId="0" borderId="0" xfId="1" applyFont="1"/>
    <xf numFmtId="0" fontId="0" fillId="0" borderId="0" xfId="1" applyNumberFormat="1" applyFont="1" applyFill="1"/>
    <xf numFmtId="0" fontId="0" fillId="0" borderId="0" xfId="1" quotePrefix="1" applyNumberFormat="1" applyFont="1" applyFill="1" applyAlignment="1">
      <alignment horizontal="left"/>
    </xf>
    <xf numFmtId="41" fontId="11" fillId="0" borderId="0" xfId="1782" quotePrefix="1" applyFont="1" applyAlignment="1">
      <alignment horizontal="center" wrapText="1"/>
    </xf>
    <xf numFmtId="41" fontId="11" fillId="0" borderId="0" xfId="1782" applyNumberFormat="1" applyFont="1"/>
    <xf numFmtId="0" fontId="11" fillId="0" borderId="0" xfId="1" applyNumberFormat="1" applyFont="1"/>
    <xf numFmtId="41" fontId="13" fillId="15" borderId="0" xfId="1782" applyFont="1" applyFill="1"/>
    <xf numFmtId="41" fontId="11" fillId="15" borderId="0" xfId="1782" applyFont="1" applyFill="1"/>
    <xf numFmtId="43" fontId="11" fillId="0" borderId="0" xfId="13" applyFont="1" applyAlignment="1">
      <alignment horizontal="center" wrapText="1"/>
    </xf>
    <xf numFmtId="41" fontId="11" fillId="15" borderId="0" xfId="1782" quotePrefix="1" applyFont="1" applyFill="1" applyAlignment="1">
      <alignment horizontal="left"/>
    </xf>
    <xf numFmtId="0" fontId="0" fillId="15" borderId="0" xfId="0" quotePrefix="1" applyFill="1" applyAlignment="1">
      <alignment horizontal="left"/>
    </xf>
    <xf numFmtId="188" fontId="11" fillId="0" borderId="0" xfId="3" applyNumberFormat="1" applyFont="1"/>
    <xf numFmtId="186" fontId="11" fillId="0" borderId="0" xfId="1782" applyNumberFormat="1" applyFont="1"/>
    <xf numFmtId="41" fontId="102" fillId="0" borderId="6" xfId="1782" quotePrefix="1" applyFont="1" applyBorder="1" applyAlignment="1"/>
    <xf numFmtId="0" fontId="113" fillId="0" borderId="0" xfId="0" quotePrefix="1" applyFont="1" applyAlignment="1">
      <alignment horizontal="centerContinuous"/>
    </xf>
    <xf numFmtId="0" fontId="11" fillId="0" borderId="0" xfId="13" quotePrefix="1" applyNumberFormat="1" applyFont="1" applyBorder="1" applyAlignment="1" applyProtection="1">
      <alignment horizontal="center"/>
    </xf>
    <xf numFmtId="0" fontId="0" fillId="0" borderId="0" xfId="1" applyNumberFormat="1" applyFont="1" applyFill="1" applyAlignment="1">
      <alignment horizontal="left"/>
    </xf>
    <xf numFmtId="0" fontId="11" fillId="16" borderId="0" xfId="13" applyNumberFormat="1" applyFont="1" applyFill="1" applyBorder="1" applyAlignment="1" applyProtection="1">
      <alignment horizontal="center"/>
    </xf>
    <xf numFmtId="0" fontId="0" fillId="16" borderId="0" xfId="1" quotePrefix="1" applyNumberFormat="1" applyFont="1" applyFill="1" applyAlignment="1">
      <alignment horizontal="left"/>
    </xf>
    <xf numFmtId="0" fontId="0" fillId="16" borderId="0" xfId="0" quotePrefix="1" applyFill="1" applyAlignment="1">
      <alignment horizontal="left"/>
    </xf>
    <xf numFmtId="0" fontId="0" fillId="16" borderId="0" xfId="0" applyFill="1"/>
    <xf numFmtId="0" fontId="11" fillId="0" borderId="0" xfId="13" applyNumberFormat="1" applyFont="1" applyBorder="1" applyAlignment="1" applyProtection="1">
      <alignment horizontal="left"/>
    </xf>
    <xf numFmtId="190" fontId="11" fillId="0" borderId="0" xfId="1782" applyNumberFormat="1" applyFont="1"/>
    <xf numFmtId="0" fontId="0" fillId="4" borderId="0" xfId="0" applyFill="1" applyBorder="1"/>
    <xf numFmtId="44" fontId="0" fillId="6" borderId="0" xfId="2" applyFont="1" applyFill="1" applyBorder="1"/>
    <xf numFmtId="44" fontId="0" fillId="7" borderId="0" xfId="2" applyFont="1" applyFill="1" applyBorder="1"/>
    <xf numFmtId="182" fontId="0" fillId="13" borderId="0" xfId="2" applyNumberFormat="1" applyFont="1" applyFill="1" applyBorder="1"/>
    <xf numFmtId="44" fontId="0" fillId="0" borderId="0" xfId="0" applyNumberFormat="1" applyBorder="1"/>
    <xf numFmtId="165" fontId="17" fillId="14" borderId="0" xfId="1" applyNumberFormat="1" applyFont="1" applyFill="1" applyBorder="1"/>
    <xf numFmtId="14" fontId="0" fillId="4" borderId="0" xfId="0" applyNumberFormat="1" applyFill="1" applyBorder="1"/>
    <xf numFmtId="0" fontId="4" fillId="4" borderId="0" xfId="0" applyFont="1" applyFill="1" applyBorder="1"/>
    <xf numFmtId="165" fontId="0" fillId="7" borderId="0" xfId="1" applyNumberFormat="1" applyFont="1" applyFill="1" applyBorder="1"/>
    <xf numFmtId="44" fontId="4" fillId="4" borderId="0" xfId="2" applyFont="1" applyFill="1" applyBorder="1"/>
    <xf numFmtId="44" fontId="0" fillId="14" borderId="0" xfId="2" applyFont="1" applyFill="1" applyBorder="1"/>
    <xf numFmtId="0" fontId="0" fillId="0" borderId="0" xfId="0" quotePrefix="1" applyBorder="1" applyAlignment="1">
      <alignment horizontal="center" wrapText="1"/>
    </xf>
    <xf numFmtId="0" fontId="114" fillId="4" borderId="0" xfId="0" applyFont="1" applyFill="1" applyAlignment="1">
      <alignment horizontal="center" wrapText="1"/>
    </xf>
    <xf numFmtId="0" fontId="114" fillId="0" borderId="0" xfId="0" applyFont="1" applyAlignment="1">
      <alignment horizontal="center" wrapText="1"/>
    </xf>
    <xf numFmtId="0" fontId="115" fillId="0" borderId="0" xfId="0" applyFont="1" applyFill="1"/>
    <xf numFmtId="43" fontId="115" fillId="0" borderId="0" xfId="1" applyFont="1" applyFill="1"/>
    <xf numFmtId="43" fontId="115" fillId="0" borderId="0" xfId="1" applyFont="1" applyFill="1" applyAlignment="1">
      <alignment horizontal="left"/>
    </xf>
    <xf numFmtId="167" fontId="115" fillId="0" borderId="0" xfId="1" applyNumberFormat="1" applyFont="1" applyFill="1"/>
    <xf numFmtId="0" fontId="115" fillId="0" borderId="0" xfId="0" applyFont="1"/>
    <xf numFmtId="0" fontId="114" fillId="0" borderId="0" xfId="0" applyFont="1"/>
    <xf numFmtId="165" fontId="115" fillId="0" borderId="0" xfId="0" applyNumberFormat="1" applyFont="1" applyFill="1"/>
    <xf numFmtId="0" fontId="115" fillId="0" borderId="0" xfId="0" quotePrefix="1" applyFont="1" applyFill="1" applyAlignment="1">
      <alignment horizontal="left"/>
    </xf>
    <xf numFmtId="0" fontId="115" fillId="0" borderId="0" xfId="0" applyFont="1" applyFill="1" applyAlignment="1">
      <alignment horizontal="left"/>
    </xf>
    <xf numFmtId="0" fontId="114" fillId="0" borderId="0" xfId="0" applyFont="1" applyFill="1" applyAlignment="1">
      <alignment horizontal="center" wrapText="1"/>
    </xf>
    <xf numFmtId="0" fontId="114" fillId="0" borderId="0" xfId="0" quotePrefix="1" applyFont="1" applyFill="1" applyAlignment="1">
      <alignment horizontal="center" wrapText="1"/>
    </xf>
    <xf numFmtId="43" fontId="114" fillId="0" borderId="0" xfId="1" quotePrefix="1" applyFont="1" applyFill="1" applyAlignment="1">
      <alignment horizontal="center" wrapText="1"/>
    </xf>
    <xf numFmtId="0" fontId="115" fillId="0" borderId="0" xfId="0" quotePrefix="1" applyFont="1" applyAlignment="1">
      <alignment horizontal="left"/>
    </xf>
    <xf numFmtId="0" fontId="115" fillId="4" borderId="0" xfId="0" applyFont="1" applyFill="1"/>
    <xf numFmtId="0" fontId="117" fillId="0" borderId="0" xfId="0" applyNumberFormat="1" applyFont="1"/>
    <xf numFmtId="165" fontId="118" fillId="2" borderId="0" xfId="1" applyNumberFormat="1" applyFont="1" applyFill="1"/>
    <xf numFmtId="44" fontId="115" fillId="6" borderId="0" xfId="2" applyFont="1" applyFill="1"/>
    <xf numFmtId="166" fontId="115" fillId="6" borderId="0" xfId="2" applyNumberFormat="1" applyFont="1" applyFill="1"/>
    <xf numFmtId="44" fontId="115" fillId="7" borderId="0" xfId="2" applyFont="1" applyFill="1"/>
    <xf numFmtId="44" fontId="118" fillId="2" borderId="0" xfId="2" applyFont="1" applyFill="1"/>
    <xf numFmtId="44" fontId="118" fillId="7" borderId="0" xfId="2" applyFont="1" applyFill="1"/>
    <xf numFmtId="44" fontId="115" fillId="5" borderId="0" xfId="2" applyFont="1" applyFill="1"/>
    <xf numFmtId="43" fontId="115" fillId="0" borderId="0" xfId="1" quotePrefix="1" applyFont="1" applyFill="1" applyAlignment="1">
      <alignment horizontal="left"/>
    </xf>
    <xf numFmtId="14" fontId="115" fillId="15" borderId="0" xfId="0" applyNumberFormat="1" applyFont="1" applyFill="1"/>
    <xf numFmtId="0" fontId="115" fillId="7" borderId="0" xfId="0" applyFont="1" applyFill="1"/>
    <xf numFmtId="0" fontId="115" fillId="14" borderId="0" xfId="0" applyFont="1" applyFill="1"/>
    <xf numFmtId="14" fontId="115" fillId="4" borderId="0" xfId="0" applyNumberFormat="1" applyFont="1" applyFill="1"/>
    <xf numFmtId="165" fontId="118" fillId="0" borderId="0" xfId="0" applyNumberFormat="1" applyFont="1" applyFill="1"/>
    <xf numFmtId="165" fontId="118" fillId="0" borderId="0" xfId="1" applyNumberFormat="1" applyFont="1" applyFill="1"/>
    <xf numFmtId="0" fontId="118" fillId="0" borderId="0" xfId="0" applyFont="1" applyFill="1"/>
    <xf numFmtId="165" fontId="115" fillId="0" borderId="0" xfId="0" applyNumberFormat="1" applyFont="1"/>
    <xf numFmtId="37" fontId="0" fillId="3" borderId="0" xfId="0" applyNumberFormat="1" applyFill="1"/>
    <xf numFmtId="37" fontId="0" fillId="14" borderId="0" xfId="0" applyNumberFormat="1" applyFill="1"/>
    <xf numFmtId="37" fontId="0" fillId="5" borderId="0" xfId="0" applyNumberFormat="1" applyFill="1"/>
    <xf numFmtId="0" fontId="0" fillId="7" borderId="0" xfId="0" applyFill="1" applyBorder="1"/>
    <xf numFmtId="0" fontId="0" fillId="0" borderId="0" xfId="0" applyBorder="1" applyAlignment="1">
      <alignment horizontal="right"/>
    </xf>
    <xf numFmtId="0" fontId="4" fillId="14" borderId="0" xfId="0" quotePrefix="1" applyNumberFormat="1" applyFont="1" applyFill="1" applyBorder="1" applyAlignment="1">
      <alignment horizontal="left"/>
    </xf>
    <xf numFmtId="0" fontId="115" fillId="0" borderId="0" xfId="0" applyFont="1" applyAlignment="1">
      <alignment horizontal="center" wrapText="1"/>
    </xf>
    <xf numFmtId="0" fontId="119" fillId="0" borderId="0" xfId="0" quotePrefix="1" applyFont="1" applyFill="1" applyAlignment="1">
      <alignment horizontal="center" wrapText="1"/>
    </xf>
    <xf numFmtId="0" fontId="115" fillId="0" borderId="0" xfId="0" quotePrefix="1" applyFont="1" applyAlignment="1">
      <alignment horizontal="center" wrapText="1"/>
    </xf>
    <xf numFmtId="43" fontId="118" fillId="2" borderId="0" xfId="1" applyFont="1" applyFill="1"/>
    <xf numFmtId="167" fontId="114" fillId="0" borderId="0" xfId="1" applyNumberFormat="1" applyFont="1" applyFill="1" applyAlignment="1">
      <alignment horizontal="center" wrapText="1"/>
    </xf>
    <xf numFmtId="0" fontId="114" fillId="0" borderId="0" xfId="0" quotePrefix="1" applyFont="1" applyAlignment="1">
      <alignment horizontal="center" wrapText="1"/>
    </xf>
    <xf numFmtId="0" fontId="117" fillId="4" borderId="0" xfId="0" applyFont="1" applyFill="1"/>
    <xf numFmtId="165" fontId="115" fillId="14" borderId="0" xfId="1" applyNumberFormat="1" applyFont="1" applyFill="1"/>
    <xf numFmtId="44" fontId="115" fillId="0" borderId="0" xfId="0" applyNumberFormat="1" applyFont="1"/>
    <xf numFmtId="0" fontId="115" fillId="0" borderId="0" xfId="0" applyFont="1" applyAlignment="1">
      <alignment horizontal="right"/>
    </xf>
    <xf numFmtId="0" fontId="117" fillId="14" borderId="0" xfId="0" quotePrefix="1" applyNumberFormat="1" applyFont="1" applyFill="1" applyAlignment="1">
      <alignment horizontal="left"/>
    </xf>
    <xf numFmtId="44" fontId="118" fillId="0" borderId="0" xfId="2" applyFont="1" applyFill="1"/>
    <xf numFmtId="44" fontId="115" fillId="0" borderId="0" xfId="0" applyNumberFormat="1" applyFont="1" applyFill="1"/>
    <xf numFmtId="0" fontId="114" fillId="0" borderId="0" xfId="0" quotePrefix="1" applyFont="1" applyFill="1" applyAlignment="1">
      <alignment horizontal="left"/>
    </xf>
    <xf numFmtId="44" fontId="115" fillId="7" borderId="0" xfId="2" applyFont="1" applyFill="1" applyBorder="1"/>
    <xf numFmtId="182" fontId="115" fillId="13" borderId="0" xfId="2" applyNumberFormat="1" applyFont="1" applyFill="1" applyBorder="1"/>
    <xf numFmtId="44" fontId="115" fillId="16" borderId="0" xfId="2" applyFont="1" applyFill="1"/>
    <xf numFmtId="44" fontId="115" fillId="16" borderId="0" xfId="0" applyNumberFormat="1" applyFont="1" applyFill="1"/>
    <xf numFmtId="0" fontId="115" fillId="15" borderId="0" xfId="0" applyFont="1" applyFill="1"/>
    <xf numFmtId="165" fontId="117" fillId="3" borderId="0" xfId="1" applyNumberFormat="1" applyFont="1" applyFill="1"/>
    <xf numFmtId="165" fontId="117" fillId="14" borderId="23" xfId="1" applyNumberFormat="1" applyFont="1" applyFill="1" applyBorder="1"/>
    <xf numFmtId="44" fontId="117" fillId="14" borderId="23" xfId="2" applyFont="1" applyFill="1" applyBorder="1"/>
    <xf numFmtId="44" fontId="117" fillId="3" borderId="23" xfId="2" applyFont="1" applyFill="1" applyBorder="1"/>
    <xf numFmtId="0" fontId="115" fillId="4" borderId="15" xfId="0" applyFont="1" applyFill="1" applyBorder="1"/>
    <xf numFmtId="0" fontId="115" fillId="4" borderId="0" xfId="0" applyFont="1" applyFill="1" applyBorder="1"/>
    <xf numFmtId="0" fontId="117" fillId="0" borderId="0" xfId="0" applyNumberFormat="1" applyFont="1" applyBorder="1"/>
    <xf numFmtId="165" fontId="118" fillId="2" borderId="0" xfId="1" applyNumberFormat="1" applyFont="1" applyFill="1" applyBorder="1"/>
    <xf numFmtId="165" fontId="117" fillId="14" borderId="0" xfId="1" applyNumberFormat="1" applyFont="1" applyFill="1" applyBorder="1"/>
    <xf numFmtId="165" fontId="118" fillId="3" borderId="0" xfId="1" applyNumberFormat="1" applyFont="1" applyFill="1" applyBorder="1"/>
    <xf numFmtId="43" fontId="118" fillId="2" borderId="0" xfId="1" applyFont="1" applyFill="1" applyBorder="1"/>
    <xf numFmtId="44" fontId="115" fillId="6" borderId="0" xfId="2" applyFont="1" applyFill="1" applyBorder="1"/>
    <xf numFmtId="166" fontId="115" fillId="6" borderId="0" xfId="2" applyNumberFormat="1" applyFont="1" applyFill="1" applyBorder="1"/>
    <xf numFmtId="44" fontId="117" fillId="14" borderId="0" xfId="2" applyFont="1" applyFill="1" applyBorder="1"/>
    <xf numFmtId="44" fontId="118" fillId="2" borderId="0" xfId="2" applyFont="1" applyFill="1" applyBorder="1"/>
    <xf numFmtId="44" fontId="118" fillId="7" borderId="0" xfId="2" applyFont="1" applyFill="1" applyBorder="1"/>
    <xf numFmtId="44" fontId="117" fillId="3" borderId="0" xfId="2" applyFont="1" applyFill="1" applyBorder="1"/>
    <xf numFmtId="44" fontId="115" fillId="5" borderId="0" xfId="2" applyFont="1" applyFill="1" applyBorder="1"/>
    <xf numFmtId="44" fontId="115" fillId="0" borderId="0" xfId="0" applyNumberFormat="1" applyFont="1" applyFill="1" applyBorder="1"/>
    <xf numFmtId="44" fontId="115" fillId="0" borderId="0" xfId="0" applyNumberFormat="1" applyFont="1" applyBorder="1"/>
    <xf numFmtId="44" fontId="115" fillId="16" borderId="0" xfId="2" applyFont="1" applyFill="1" applyBorder="1"/>
    <xf numFmtId="44" fontId="115" fillId="16" borderId="16" xfId="0" applyNumberFormat="1" applyFont="1" applyFill="1" applyBorder="1"/>
    <xf numFmtId="165" fontId="117" fillId="3" borderId="0" xfId="1" applyNumberFormat="1" applyFont="1" applyFill="1" applyBorder="1"/>
    <xf numFmtId="44" fontId="118" fillId="14" borderId="0" xfId="2" applyFont="1" applyFill="1" applyBorder="1"/>
    <xf numFmtId="43" fontId="117" fillId="14" borderId="23" xfId="1" applyFont="1" applyFill="1" applyBorder="1"/>
    <xf numFmtId="43" fontId="117" fillId="14" borderId="0" xfId="1" applyFont="1" applyFill="1" applyBorder="1"/>
    <xf numFmtId="44" fontId="115" fillId="16" borderId="0" xfId="0" applyNumberFormat="1" applyFont="1" applyFill="1" applyBorder="1"/>
    <xf numFmtId="0" fontId="115" fillId="0" borderId="0" xfId="0" applyFont="1" applyBorder="1"/>
    <xf numFmtId="14" fontId="115" fillId="4" borderId="0" xfId="0" applyNumberFormat="1" applyFont="1" applyFill="1" applyBorder="1"/>
    <xf numFmtId="0" fontId="115" fillId="7" borderId="0" xfId="0" applyFont="1" applyFill="1" applyBorder="1"/>
    <xf numFmtId="0" fontId="115" fillId="0" borderId="16" xfId="0" applyFont="1" applyBorder="1"/>
    <xf numFmtId="43" fontId="117" fillId="3" borderId="0" xfId="1" applyFont="1" applyFill="1" applyBorder="1"/>
    <xf numFmtId="0" fontId="115" fillId="4" borderId="57" xfId="0" applyFont="1" applyFill="1" applyBorder="1"/>
    <xf numFmtId="0" fontId="117" fillId="0" borderId="57" xfId="0" applyNumberFormat="1" applyFont="1" applyBorder="1"/>
    <xf numFmtId="165" fontId="118" fillId="2" borderId="57" xfId="1" applyNumberFormat="1" applyFont="1" applyFill="1" applyBorder="1"/>
    <xf numFmtId="165" fontId="117" fillId="14" borderId="57" xfId="1" applyNumberFormat="1" applyFont="1" applyFill="1" applyBorder="1"/>
    <xf numFmtId="165" fontId="117" fillId="3" borderId="57" xfId="1" applyNumberFormat="1" applyFont="1" applyFill="1" applyBorder="1"/>
    <xf numFmtId="43" fontId="118" fillId="2" borderId="57" xfId="1" applyFont="1" applyFill="1" applyBorder="1"/>
    <xf numFmtId="43" fontId="117" fillId="14" borderId="57" xfId="1" applyFont="1" applyFill="1" applyBorder="1"/>
    <xf numFmtId="44" fontId="115" fillId="6" borderId="57" xfId="2" applyFont="1" applyFill="1" applyBorder="1"/>
    <xf numFmtId="166" fontId="115" fillId="6" borderId="57" xfId="2" applyNumberFormat="1" applyFont="1" applyFill="1" applyBorder="1"/>
    <xf numFmtId="44" fontId="115" fillId="7" borderId="57" xfId="2" applyFont="1" applyFill="1" applyBorder="1"/>
    <xf numFmtId="44" fontId="117" fillId="14" borderId="57" xfId="2" applyFont="1" applyFill="1" applyBorder="1"/>
    <xf numFmtId="44" fontId="118" fillId="2" borderId="57" xfId="2" applyFont="1" applyFill="1" applyBorder="1"/>
    <xf numFmtId="44" fontId="118" fillId="7" borderId="57" xfId="2" applyFont="1" applyFill="1" applyBorder="1"/>
    <xf numFmtId="44" fontId="115" fillId="5" borderId="57" xfId="2" applyFont="1" applyFill="1" applyBorder="1"/>
    <xf numFmtId="44" fontId="115" fillId="0" borderId="57" xfId="0" applyNumberFormat="1" applyFont="1" applyFill="1" applyBorder="1"/>
    <xf numFmtId="44" fontId="115" fillId="0" borderId="57" xfId="0" applyNumberFormat="1" applyFont="1" applyBorder="1"/>
    <xf numFmtId="44" fontId="115" fillId="16" borderId="57" xfId="2" applyFont="1" applyFill="1" applyBorder="1"/>
    <xf numFmtId="44" fontId="115" fillId="16" borderId="57" xfId="0" applyNumberFormat="1" applyFont="1" applyFill="1" applyBorder="1"/>
    <xf numFmtId="43" fontId="115" fillId="0" borderId="0" xfId="0" applyNumberFormat="1" applyFont="1"/>
    <xf numFmtId="165" fontId="115" fillId="0" borderId="0" xfId="1" applyNumberFormat="1" applyFont="1" applyFill="1"/>
    <xf numFmtId="49" fontId="121" fillId="8" borderId="9" xfId="5" applyNumberFormat="1" applyFont="1" applyFill="1" applyBorder="1" applyAlignment="1">
      <alignment horizontal="center" vertical="center"/>
    </xf>
    <xf numFmtId="49" fontId="121" fillId="8" borderId="3" xfId="0" applyNumberFormat="1" applyFont="1" applyFill="1" applyBorder="1" applyAlignment="1">
      <alignment horizontal="left" vertical="center"/>
    </xf>
    <xf numFmtId="43" fontId="121" fillId="8" borderId="9" xfId="1" applyFont="1" applyFill="1" applyBorder="1" applyAlignment="1">
      <alignment horizontal="center" vertical="center"/>
    </xf>
    <xf numFmtId="49" fontId="121" fillId="8" borderId="10" xfId="5" applyNumberFormat="1" applyFont="1" applyFill="1" applyBorder="1" applyAlignment="1">
      <alignment horizontal="center" vertical="center"/>
    </xf>
    <xf numFmtId="49" fontId="121" fillId="8" borderId="11" xfId="5" applyNumberFormat="1" applyFont="1" applyFill="1" applyBorder="1" applyAlignment="1">
      <alignment horizontal="center" vertical="center"/>
    </xf>
    <xf numFmtId="49" fontId="121" fillId="8" borderId="0" xfId="5" applyNumberFormat="1" applyFont="1" applyFill="1" applyBorder="1" applyAlignment="1">
      <alignment vertical="center"/>
    </xf>
    <xf numFmtId="49" fontId="121" fillId="8" borderId="0" xfId="5" applyNumberFormat="1" applyFont="1" applyFill="1" applyBorder="1" applyAlignment="1">
      <alignment horizontal="center" vertical="center"/>
    </xf>
    <xf numFmtId="49" fontId="121" fillId="8" borderId="3" xfId="0" applyNumberFormat="1" applyFont="1" applyFill="1" applyBorder="1" applyAlignment="1">
      <alignment horizontal="right" vertical="center"/>
    </xf>
    <xf numFmtId="49" fontId="121" fillId="8" borderId="12" xfId="5" applyNumberFormat="1" applyFont="1" applyFill="1" applyBorder="1" applyAlignment="1">
      <alignment horizontal="center" vertical="center"/>
    </xf>
    <xf numFmtId="43" fontId="121" fillId="8" borderId="12" xfId="1" applyFont="1" applyFill="1" applyBorder="1" applyAlignment="1">
      <alignment horizontal="center" vertical="center"/>
    </xf>
    <xf numFmtId="49" fontId="121" fillId="8" borderId="13" xfId="5" applyNumberFormat="1" applyFont="1" applyFill="1" applyBorder="1" applyAlignment="1">
      <alignment horizontal="center" vertical="center"/>
    </xf>
    <xf numFmtId="49" fontId="120" fillId="8" borderId="3" xfId="0" applyNumberFormat="1" applyFont="1" applyFill="1" applyBorder="1" applyAlignment="1">
      <alignment horizontal="left" vertical="center"/>
    </xf>
    <xf numFmtId="49" fontId="120" fillId="8" borderId="0" xfId="0" applyNumberFormat="1" applyFont="1" applyFill="1" applyBorder="1" applyAlignment="1">
      <alignment horizontal="left" vertical="center"/>
    </xf>
    <xf numFmtId="169" fontId="120" fillId="9" borderId="3" xfId="0" applyNumberFormat="1" applyFont="1" applyFill="1" applyBorder="1" applyAlignment="1">
      <alignment horizontal="right" vertical="center"/>
    </xf>
    <xf numFmtId="168" fontId="120" fillId="9" borderId="3" xfId="0" applyNumberFormat="1" applyFont="1" applyFill="1" applyBorder="1" applyAlignment="1">
      <alignment horizontal="right" vertical="center"/>
    </xf>
    <xf numFmtId="49" fontId="120" fillId="9" borderId="3" xfId="0" applyNumberFormat="1" applyFont="1" applyFill="1" applyBorder="1" applyAlignment="1">
      <alignment horizontal="right" vertical="center"/>
    </xf>
    <xf numFmtId="43" fontId="120" fillId="2" borderId="3" xfId="7" applyFont="1" applyFill="1" applyBorder="1" applyAlignment="1">
      <alignment horizontal="right" vertical="center"/>
    </xf>
    <xf numFmtId="43" fontId="120" fillId="2" borderId="3" xfId="1" applyFont="1" applyFill="1" applyBorder="1" applyAlignment="1">
      <alignment horizontal="right" vertical="center"/>
    </xf>
    <xf numFmtId="0" fontId="18" fillId="0" borderId="0" xfId="5" applyFont="1" applyAlignment="1"/>
    <xf numFmtId="169" fontId="120" fillId="10" borderId="3" xfId="0" applyNumberFormat="1" applyFont="1" applyFill="1" applyBorder="1" applyAlignment="1">
      <alignment horizontal="right" vertical="center"/>
    </xf>
    <xf numFmtId="168" fontId="120" fillId="10" borderId="3" xfId="0" applyNumberFormat="1" applyFont="1" applyFill="1" applyBorder="1" applyAlignment="1">
      <alignment horizontal="right" vertical="center"/>
    </xf>
    <xf numFmtId="49" fontId="120" fillId="10" borderId="3" xfId="0" applyNumberFormat="1" applyFont="1" applyFill="1" applyBorder="1" applyAlignment="1">
      <alignment horizontal="right" vertical="center"/>
    </xf>
    <xf numFmtId="0" fontId="120" fillId="8" borderId="0" xfId="0" quotePrefix="1" applyNumberFormat="1" applyFont="1" applyFill="1" applyBorder="1" applyAlignment="1">
      <alignment horizontal="left" vertical="center"/>
    </xf>
    <xf numFmtId="0" fontId="120" fillId="8" borderId="0" xfId="9" applyNumberFormat="1" applyFont="1" applyFill="1" applyBorder="1" applyAlignment="1">
      <alignment horizontal="left" vertical="center"/>
    </xf>
    <xf numFmtId="49" fontId="120" fillId="8" borderId="0" xfId="0" quotePrefix="1" applyNumberFormat="1" applyFont="1" applyFill="1" applyBorder="1" applyAlignment="1">
      <alignment horizontal="left" vertical="center"/>
    </xf>
    <xf numFmtId="0" fontId="120" fillId="8" borderId="0" xfId="9" quotePrefix="1" applyNumberFormat="1" applyFont="1" applyFill="1" applyBorder="1" applyAlignment="1">
      <alignment horizontal="left" vertical="center"/>
    </xf>
    <xf numFmtId="49" fontId="120" fillId="11" borderId="1" xfId="0" applyNumberFormat="1" applyFont="1" applyFill="1" applyBorder="1" applyAlignment="1">
      <alignment horizontal="left" vertical="center"/>
    </xf>
    <xf numFmtId="49" fontId="120" fillId="11" borderId="2" xfId="0" applyNumberFormat="1" applyFont="1" applyFill="1" applyBorder="1" applyAlignment="1">
      <alignment horizontal="left" vertical="center"/>
    </xf>
    <xf numFmtId="169" fontId="120" fillId="11" borderId="3" xfId="0" applyNumberFormat="1" applyFont="1" applyFill="1" applyBorder="1" applyAlignment="1">
      <alignment horizontal="right" vertical="center"/>
    </xf>
    <xf numFmtId="168" fontId="120" fillId="11" borderId="3" xfId="0" applyNumberFormat="1" applyFont="1" applyFill="1" applyBorder="1" applyAlignment="1">
      <alignment horizontal="right" vertical="center"/>
    </xf>
    <xf numFmtId="49" fontId="120" fillId="8" borderId="3" xfId="0" applyNumberFormat="1" applyFont="1" applyFill="1" applyBorder="1" applyAlignment="1">
      <alignment horizontal="right" vertical="center"/>
    </xf>
    <xf numFmtId="0" fontId="120" fillId="8" borderId="0" xfId="0" applyNumberFormat="1" applyFont="1" applyFill="1" applyBorder="1" applyAlignment="1">
      <alignment horizontal="left" vertical="center"/>
    </xf>
    <xf numFmtId="49" fontId="120" fillId="11" borderId="1" xfId="0" applyNumberFormat="1" applyFont="1" applyFill="1" applyBorder="1" applyAlignment="1">
      <alignment vertical="center"/>
    </xf>
    <xf numFmtId="49" fontId="120" fillId="11" borderId="2" xfId="0" applyNumberFormat="1" applyFont="1" applyFill="1" applyBorder="1" applyAlignment="1">
      <alignment vertical="center"/>
    </xf>
    <xf numFmtId="49" fontId="120" fillId="8" borderId="9" xfId="0" applyNumberFormat="1" applyFont="1" applyFill="1" applyBorder="1" applyAlignment="1">
      <alignment horizontal="left" vertical="center"/>
    </xf>
    <xf numFmtId="43" fontId="18" fillId="0" borderId="0" xfId="5" applyNumberFormat="1" applyFont="1" applyAlignment="1"/>
    <xf numFmtId="49" fontId="120" fillId="15" borderId="3" xfId="0" applyNumberFormat="1" applyFont="1" applyFill="1" applyBorder="1" applyAlignment="1">
      <alignment horizontal="left" vertical="center"/>
    </xf>
    <xf numFmtId="49" fontId="120" fillId="11" borderId="9" xfId="0" applyNumberFormat="1" applyFont="1" applyFill="1" applyBorder="1" applyAlignment="1">
      <alignment horizontal="left" vertical="center"/>
    </xf>
    <xf numFmtId="49" fontId="18" fillId="8" borderId="1" xfId="0" applyNumberFormat="1" applyFont="1" applyFill="1" applyBorder="1" applyAlignment="1">
      <alignment vertical="center"/>
    </xf>
    <xf numFmtId="49" fontId="18" fillId="8" borderId="2" xfId="0" applyNumberFormat="1" applyFont="1" applyFill="1" applyBorder="1" applyAlignment="1">
      <alignment vertical="center"/>
    </xf>
    <xf numFmtId="43" fontId="18" fillId="0" borderId="0" xfId="7" applyFont="1" applyAlignment="1"/>
    <xf numFmtId="43" fontId="18" fillId="0" borderId="0" xfId="7" applyFont="1" applyFill="1" applyAlignment="1"/>
    <xf numFmtId="43" fontId="18" fillId="76" borderId="0" xfId="7" applyFont="1" applyFill="1" applyBorder="1" applyAlignment="1"/>
    <xf numFmtId="43" fontId="18" fillId="0" borderId="0" xfId="7" applyFont="1" applyBorder="1" applyAlignment="1"/>
    <xf numFmtId="43" fontId="18" fillId="0" borderId="0" xfId="7" applyFont="1" applyFill="1" applyBorder="1" applyAlignment="1"/>
    <xf numFmtId="43" fontId="18" fillId="76" borderId="0" xfId="7" applyFont="1" applyFill="1" applyAlignment="1"/>
    <xf numFmtId="49" fontId="18" fillId="8" borderId="3" xfId="0" applyNumberFormat="1" applyFont="1" applyFill="1" applyBorder="1" applyAlignment="1">
      <alignment horizontal="right" vertical="center"/>
    </xf>
    <xf numFmtId="0" fontId="18" fillId="0" borderId="0" xfId="1772" applyNumberFormat="1" applyFont="1" applyAlignment="1"/>
    <xf numFmtId="43" fontId="18" fillId="0" borderId="52" xfId="7" applyFont="1" applyBorder="1" applyAlignment="1"/>
    <xf numFmtId="43" fontId="18" fillId="0" borderId="53" xfId="7" applyFont="1" applyBorder="1" applyAlignment="1"/>
    <xf numFmtId="43" fontId="18" fillId="0" borderId="53" xfId="7" applyFont="1" applyFill="1" applyBorder="1" applyAlignment="1"/>
    <xf numFmtId="0" fontId="18" fillId="0" borderId="0" xfId="1858" applyNumberFormat="1" applyFont="1" applyAlignment="1"/>
    <xf numFmtId="0" fontId="18" fillId="0" borderId="0" xfId="1858" applyNumberFormat="1" applyFont="1" applyBorder="1" applyAlignment="1"/>
    <xf numFmtId="0" fontId="18" fillId="0" borderId="0" xfId="0" applyFont="1" applyAlignment="1"/>
    <xf numFmtId="49" fontId="120" fillId="8" borderId="3" xfId="0" applyNumberFormat="1" applyFont="1" applyFill="1" applyBorder="1" applyAlignment="1">
      <alignment horizontal="left" vertical="center" wrapText="1"/>
    </xf>
    <xf numFmtId="169" fontId="120" fillId="9" borderId="3" xfId="0" applyNumberFormat="1" applyFont="1" applyFill="1" applyBorder="1" applyAlignment="1">
      <alignment horizontal="right" vertical="center" wrapText="1"/>
    </xf>
    <xf numFmtId="49" fontId="120" fillId="9" borderId="3" xfId="0" applyNumberFormat="1" applyFont="1" applyFill="1" applyBorder="1" applyAlignment="1">
      <alignment horizontal="right" vertical="center" wrapText="1"/>
    </xf>
    <xf numFmtId="171" fontId="120" fillId="9" borderId="3" xfId="0" applyNumberFormat="1" applyFont="1" applyFill="1" applyBorder="1" applyAlignment="1">
      <alignment horizontal="right" vertical="center"/>
    </xf>
    <xf numFmtId="168" fontId="120" fillId="0" borderId="0" xfId="0" applyNumberFormat="1" applyFont="1" applyFill="1" applyBorder="1" applyAlignment="1">
      <alignment horizontal="right" vertical="center"/>
    </xf>
    <xf numFmtId="169" fontId="120" fillId="10" borderId="3" xfId="0" applyNumberFormat="1" applyFont="1" applyFill="1" applyBorder="1" applyAlignment="1">
      <alignment horizontal="right" vertical="center" wrapText="1"/>
    </xf>
    <xf numFmtId="49" fontId="120" fillId="10" borderId="3" xfId="0" applyNumberFormat="1" applyFont="1" applyFill="1" applyBorder="1" applyAlignment="1">
      <alignment horizontal="right" vertical="center" wrapText="1"/>
    </xf>
    <xf numFmtId="171" fontId="120" fillId="9" borderId="3" xfId="0" applyNumberFormat="1" applyFont="1" applyFill="1" applyBorder="1" applyAlignment="1">
      <alignment horizontal="right" vertical="center" wrapText="1"/>
    </xf>
    <xf numFmtId="171" fontId="120" fillId="10" borderId="3" xfId="0" applyNumberFormat="1" applyFont="1" applyFill="1" applyBorder="1" applyAlignment="1">
      <alignment horizontal="right" vertical="center" wrapText="1"/>
    </xf>
    <xf numFmtId="168" fontId="120" fillId="10" borderId="3" xfId="0" applyNumberFormat="1" applyFont="1" applyFill="1" applyBorder="1" applyAlignment="1">
      <alignment horizontal="right" vertical="center" wrapText="1"/>
    </xf>
    <xf numFmtId="171" fontId="120" fillId="10" borderId="3" xfId="0" applyNumberFormat="1" applyFont="1" applyFill="1" applyBorder="1" applyAlignment="1">
      <alignment horizontal="right" vertical="center"/>
    </xf>
    <xf numFmtId="168" fontId="120" fillId="9" borderId="3" xfId="0" applyNumberFormat="1" applyFont="1" applyFill="1" applyBorder="1" applyAlignment="1">
      <alignment horizontal="right" vertical="center" wrapText="1"/>
    </xf>
    <xf numFmtId="49" fontId="120" fillId="11" borderId="3" xfId="0" applyNumberFormat="1" applyFont="1" applyFill="1" applyBorder="1" applyAlignment="1">
      <alignment horizontal="left" vertical="center" wrapText="1"/>
    </xf>
    <xf numFmtId="169" fontId="120" fillId="11" borderId="3" xfId="0" applyNumberFormat="1" applyFont="1" applyFill="1" applyBorder="1" applyAlignment="1">
      <alignment horizontal="right" vertical="center" wrapText="1"/>
    </xf>
    <xf numFmtId="168" fontId="120" fillId="11" borderId="3" xfId="0" applyNumberFormat="1" applyFont="1" applyFill="1" applyBorder="1" applyAlignment="1">
      <alignment horizontal="right" vertical="center" wrapText="1"/>
    </xf>
    <xf numFmtId="171" fontId="120" fillId="11" borderId="3" xfId="0" applyNumberFormat="1" applyFont="1" applyFill="1" applyBorder="1" applyAlignment="1">
      <alignment horizontal="right" vertical="center" wrapText="1"/>
    </xf>
    <xf numFmtId="171" fontId="120" fillId="11" borderId="3" xfId="0" applyNumberFormat="1" applyFont="1" applyFill="1" applyBorder="1" applyAlignment="1">
      <alignment horizontal="right" vertical="center"/>
    </xf>
    <xf numFmtId="49" fontId="120" fillId="11" borderId="3" xfId="0" applyNumberFormat="1" applyFont="1" applyFill="1" applyBorder="1" applyAlignment="1">
      <alignment horizontal="left" vertical="center"/>
    </xf>
    <xf numFmtId="49" fontId="18" fillId="8" borderId="1" xfId="0" applyNumberFormat="1" applyFont="1" applyFill="1" applyBorder="1" applyAlignment="1">
      <alignment horizontal="left" vertical="center"/>
    </xf>
    <xf numFmtId="49" fontId="18" fillId="8" borderId="2" xfId="0" applyNumberFormat="1" applyFont="1" applyFill="1" applyBorder="1" applyAlignment="1">
      <alignment horizontal="left" vertical="center"/>
    </xf>
    <xf numFmtId="0" fontId="18" fillId="0" borderId="0" xfId="0" applyFont="1"/>
    <xf numFmtId="0" fontId="18" fillId="0" borderId="0" xfId="0" applyFont="1" applyFill="1" applyBorder="1"/>
    <xf numFmtId="49" fontId="120" fillId="0" borderId="0" xfId="0" applyNumberFormat="1" applyFont="1" applyFill="1" applyBorder="1" applyAlignment="1"/>
    <xf numFmtId="49" fontId="120" fillId="8" borderId="3" xfId="0" quotePrefix="1" applyNumberFormat="1" applyFont="1" applyFill="1" applyBorder="1" applyAlignment="1">
      <alignment horizontal="left" vertical="center"/>
    </xf>
    <xf numFmtId="49" fontId="18" fillId="8" borderId="4" xfId="0" applyNumberFormat="1" applyFont="1" applyFill="1" applyBorder="1" applyAlignment="1">
      <alignment vertical="center"/>
    </xf>
    <xf numFmtId="49" fontId="18" fillId="8" borderId="4" xfId="0" applyNumberFormat="1" applyFont="1" applyFill="1" applyBorder="1" applyAlignment="1">
      <alignment horizontal="left" vertical="center"/>
    </xf>
    <xf numFmtId="49" fontId="120" fillId="8" borderId="2" xfId="0" applyNumberFormat="1" applyFont="1" applyFill="1" applyBorder="1" applyAlignment="1">
      <alignment vertical="center"/>
    </xf>
    <xf numFmtId="43" fontId="117" fillId="3" borderId="57" xfId="1" applyFont="1" applyFill="1" applyBorder="1"/>
    <xf numFmtId="43" fontId="117" fillId="3" borderId="23" xfId="1" applyFont="1" applyFill="1" applyBorder="1"/>
    <xf numFmtId="43" fontId="117" fillId="3" borderId="0" xfId="1" applyFont="1" applyFill="1"/>
    <xf numFmtId="43" fontId="118" fillId="14" borderId="0" xfId="1" applyFont="1" applyFill="1" applyBorder="1"/>
    <xf numFmtId="43" fontId="118" fillId="3" borderId="0" xfId="1" applyFont="1" applyFill="1" applyBorder="1"/>
    <xf numFmtId="43" fontId="118" fillId="0" borderId="0" xfId="1" applyFont="1" applyFill="1"/>
    <xf numFmtId="0" fontId="115" fillId="0" borderId="0" xfId="0" applyNumberFormat="1" applyFont="1"/>
    <xf numFmtId="43" fontId="115" fillId="0" borderId="0" xfId="1" applyFont="1"/>
    <xf numFmtId="44" fontId="115" fillId="0" borderId="0" xfId="2" applyFont="1"/>
    <xf numFmtId="165" fontId="115" fillId="0" borderId="0" xfId="1" applyNumberFormat="1" applyFont="1"/>
    <xf numFmtId="165" fontId="122" fillId="0" borderId="0" xfId="1" applyNumberFormat="1" applyFont="1"/>
    <xf numFmtId="0" fontId="115" fillId="0" borderId="0" xfId="0" applyNumberFormat="1" applyFont="1" applyFill="1"/>
    <xf numFmtId="0" fontId="115" fillId="0" borderId="0" xfId="0" applyNumberFormat="1" applyFont="1" applyAlignment="1">
      <alignment horizontal="center" wrapText="1"/>
    </xf>
    <xf numFmtId="170" fontId="115" fillId="0" borderId="0" xfId="0" quotePrefix="1" applyNumberFormat="1" applyFont="1" applyAlignment="1">
      <alignment horizontal="center" wrapText="1"/>
    </xf>
    <xf numFmtId="170" fontId="115" fillId="0" borderId="0" xfId="0" applyNumberFormat="1" applyFont="1" applyAlignment="1">
      <alignment horizontal="center" wrapText="1"/>
    </xf>
    <xf numFmtId="170" fontId="115" fillId="0" borderId="0" xfId="0" quotePrefix="1" applyNumberFormat="1" applyFont="1" applyFill="1" applyAlignment="1">
      <alignment horizontal="center" wrapText="1"/>
    </xf>
    <xf numFmtId="0" fontId="115" fillId="0" borderId="0" xfId="0" quotePrefix="1" applyFont="1" applyAlignment="1">
      <alignment horizontal="left" wrapText="1"/>
    </xf>
    <xf numFmtId="0" fontId="118" fillId="4" borderId="0" xfId="0" applyFont="1" applyFill="1" applyAlignment="1">
      <alignment horizontal="left"/>
    </xf>
    <xf numFmtId="0" fontId="117" fillId="4" borderId="0" xfId="0" applyNumberFormat="1" applyFont="1" applyFill="1"/>
    <xf numFmtId="43" fontId="115" fillId="4" borderId="0" xfId="1" applyFont="1" applyFill="1"/>
    <xf numFmtId="164" fontId="115" fillId="0" borderId="0" xfId="1" applyNumberFormat="1" applyFont="1" applyFill="1"/>
    <xf numFmtId="164" fontId="115" fillId="4" borderId="0" xfId="1" applyNumberFormat="1" applyFont="1" applyFill="1"/>
    <xf numFmtId="0" fontId="118" fillId="4" borderId="0" xfId="0" applyFont="1" applyFill="1"/>
    <xf numFmtId="0" fontId="117" fillId="4" borderId="0" xfId="0" quotePrefix="1" applyNumberFormat="1" applyFont="1" applyFill="1" applyAlignment="1">
      <alignment horizontal="left"/>
    </xf>
    <xf numFmtId="0" fontId="118" fillId="4" borderId="0" xfId="0" quotePrefix="1" applyFont="1" applyFill="1" applyAlignment="1">
      <alignment horizontal="left"/>
    </xf>
    <xf numFmtId="0" fontId="117" fillId="4" borderId="0" xfId="0" applyNumberFormat="1" applyFont="1" applyFill="1" applyAlignment="1">
      <alignment horizontal="left"/>
    </xf>
    <xf numFmtId="0" fontId="117" fillId="17" borderId="0" xfId="0" applyFont="1" applyFill="1"/>
    <xf numFmtId="0" fontId="118" fillId="17" borderId="0" xfId="0" applyFont="1" applyFill="1" applyAlignment="1">
      <alignment horizontal="left"/>
    </xf>
    <xf numFmtId="0" fontId="117" fillId="17" borderId="0" xfId="0" applyNumberFormat="1" applyFont="1" applyFill="1"/>
    <xf numFmtId="0" fontId="115" fillId="17" borderId="0" xfId="0" applyNumberFormat="1" applyFont="1" applyFill="1"/>
    <xf numFmtId="43" fontId="115" fillId="17" borderId="0" xfId="1" applyFont="1" applyFill="1"/>
    <xf numFmtId="164" fontId="115" fillId="17" borderId="0" xfId="1" applyNumberFormat="1" applyFont="1" applyFill="1"/>
    <xf numFmtId="0" fontId="118" fillId="17" borderId="0" xfId="0" applyFont="1" applyFill="1"/>
    <xf numFmtId="0" fontId="117" fillId="17" borderId="0" xfId="0" quotePrefix="1" applyNumberFormat="1" applyFont="1" applyFill="1" applyAlignment="1">
      <alignment horizontal="left"/>
    </xf>
    <xf numFmtId="0" fontId="118" fillId="17" borderId="0" xfId="0" quotePrefix="1" applyFont="1" applyFill="1" applyAlignment="1">
      <alignment horizontal="left"/>
    </xf>
    <xf numFmtId="0" fontId="117" fillId="17" borderId="0" xfId="0" applyNumberFormat="1" applyFont="1" applyFill="1" applyAlignment="1">
      <alignment horizontal="left"/>
    </xf>
    <xf numFmtId="0" fontId="118" fillId="5" borderId="0" xfId="0" applyFont="1" applyFill="1"/>
    <xf numFmtId="0" fontId="118" fillId="5" borderId="0" xfId="0" applyFont="1" applyFill="1" applyAlignment="1">
      <alignment horizontal="left"/>
    </xf>
    <xf numFmtId="0" fontId="117" fillId="5" borderId="0" xfId="0" applyNumberFormat="1" applyFont="1" applyFill="1"/>
    <xf numFmtId="0" fontId="115" fillId="5" borderId="0" xfId="0" applyNumberFormat="1" applyFont="1" applyFill="1"/>
    <xf numFmtId="43" fontId="115" fillId="5" borderId="0" xfId="1" applyFont="1" applyFill="1"/>
    <xf numFmtId="164" fontId="115" fillId="5" borderId="0" xfId="1" applyNumberFormat="1" applyFont="1" applyFill="1"/>
    <xf numFmtId="0" fontId="117" fillId="5" borderId="0" xfId="0" quotePrefix="1" applyNumberFormat="1" applyFont="1" applyFill="1" applyAlignment="1">
      <alignment horizontal="left"/>
    </xf>
    <xf numFmtId="0" fontId="118" fillId="5" borderId="0" xfId="0" quotePrefix="1" applyFont="1" applyFill="1" applyAlignment="1">
      <alignment horizontal="left"/>
    </xf>
    <xf numFmtId="0" fontId="117" fillId="5" borderId="0" xfId="0" applyNumberFormat="1" applyFont="1" applyFill="1" applyAlignment="1">
      <alignment horizontal="left"/>
    </xf>
    <xf numFmtId="0" fontId="118" fillId="14" borderId="0" xfId="0" applyFont="1" applyFill="1" applyAlignment="1">
      <alignment horizontal="right"/>
    </xf>
    <xf numFmtId="0" fontId="118" fillId="14" borderId="0" xfId="0" applyFont="1" applyFill="1" applyAlignment="1">
      <alignment horizontal="left"/>
    </xf>
    <xf numFmtId="0" fontId="117" fillId="14" borderId="0" xfId="0" applyNumberFormat="1" applyFont="1" applyFill="1"/>
    <xf numFmtId="0" fontId="115" fillId="14" borderId="0" xfId="0" applyNumberFormat="1" applyFont="1" applyFill="1"/>
    <xf numFmtId="43" fontId="115" fillId="14" borderId="0" xfId="1" applyFont="1" applyFill="1"/>
    <xf numFmtId="164" fontId="115" fillId="14" borderId="0" xfId="1" applyNumberFormat="1" applyFont="1" applyFill="1"/>
    <xf numFmtId="0" fontId="118" fillId="14" borderId="0" xfId="0" quotePrefix="1" applyFont="1" applyFill="1" applyAlignment="1">
      <alignment horizontal="left"/>
    </xf>
    <xf numFmtId="0" fontId="117" fillId="14" borderId="0" xfId="0" applyNumberFormat="1" applyFont="1" applyFill="1" applyAlignment="1">
      <alignment horizontal="left"/>
    </xf>
    <xf numFmtId="0" fontId="118" fillId="12" borderId="0" xfId="0" applyFont="1" applyFill="1" applyAlignment="1">
      <alignment horizontal="right"/>
    </xf>
    <xf numFmtId="0" fontId="118" fillId="12" borderId="0" xfId="0" applyFont="1" applyFill="1" applyAlignment="1">
      <alignment horizontal="left"/>
    </xf>
    <xf numFmtId="0" fontId="117" fillId="12" borderId="0" xfId="0" applyNumberFormat="1" applyFont="1" applyFill="1"/>
    <xf numFmtId="0" fontId="115" fillId="12" borderId="0" xfId="0" applyNumberFormat="1" applyFont="1" applyFill="1"/>
    <xf numFmtId="43" fontId="115" fillId="12" borderId="0" xfId="1" applyFont="1" applyFill="1"/>
    <xf numFmtId="164" fontId="115" fillId="12" borderId="0" xfId="1" applyNumberFormat="1" applyFont="1" applyFill="1"/>
    <xf numFmtId="0" fontId="117" fillId="12" borderId="0" xfId="0" quotePrefix="1" applyNumberFormat="1" applyFont="1" applyFill="1" applyAlignment="1">
      <alignment horizontal="left"/>
    </xf>
    <xf numFmtId="0" fontId="118" fillId="12" borderId="0" xfId="0" quotePrefix="1" applyFont="1" applyFill="1" applyAlignment="1">
      <alignment horizontal="left"/>
    </xf>
    <xf numFmtId="0" fontId="117" fillId="12" borderId="0" xfId="0" applyNumberFormat="1" applyFont="1" applyFill="1" applyAlignment="1">
      <alignment horizontal="left"/>
    </xf>
    <xf numFmtId="0" fontId="118" fillId="3" borderId="0" xfId="0" applyFont="1" applyFill="1" applyAlignment="1">
      <alignment horizontal="right"/>
    </xf>
    <xf numFmtId="0" fontId="118" fillId="3" borderId="0" xfId="0" applyFont="1" applyFill="1" applyAlignment="1">
      <alignment horizontal="left"/>
    </xf>
    <xf numFmtId="0" fontId="117" fillId="3" borderId="0" xfId="0" applyNumberFormat="1" applyFont="1" applyFill="1"/>
    <xf numFmtId="0" fontId="115" fillId="3" borderId="0" xfId="0" applyNumberFormat="1" applyFont="1" applyFill="1"/>
    <xf numFmtId="43" fontId="115" fillId="3" borderId="0" xfId="1" applyFont="1" applyFill="1"/>
    <xf numFmtId="164" fontId="115" fillId="3" borderId="0" xfId="1" applyNumberFormat="1" applyFont="1" applyFill="1"/>
    <xf numFmtId="0" fontId="117" fillId="3" borderId="0" xfId="0" quotePrefix="1" applyNumberFormat="1" applyFont="1" applyFill="1" applyAlignment="1">
      <alignment horizontal="left"/>
    </xf>
    <xf numFmtId="0" fontId="118" fillId="3" borderId="0" xfId="0" quotePrefix="1" applyFont="1" applyFill="1" applyAlignment="1">
      <alignment horizontal="left"/>
    </xf>
    <xf numFmtId="0" fontId="117" fillId="3" borderId="0" xfId="0" applyNumberFormat="1" applyFont="1" applyFill="1" applyAlignment="1">
      <alignment horizontal="left"/>
    </xf>
    <xf numFmtId="0" fontId="115" fillId="0" borderId="0" xfId="0" quotePrefix="1" applyFont="1" applyFill="1" applyAlignment="1">
      <alignment horizontal="center"/>
    </xf>
    <xf numFmtId="0" fontId="115" fillId="0" borderId="0" xfId="0" applyFont="1" applyAlignment="1">
      <alignment horizontal="center"/>
    </xf>
    <xf numFmtId="0" fontId="115" fillId="0" borderId="0" xfId="0" applyNumberFormat="1" applyFont="1" applyFill="1" applyAlignment="1">
      <alignment horizontal="center" wrapText="1"/>
    </xf>
    <xf numFmtId="0" fontId="115" fillId="0" borderId="0" xfId="0" quotePrefix="1" applyFont="1" applyFill="1" applyAlignment="1">
      <alignment horizontal="center" wrapText="1"/>
    </xf>
    <xf numFmtId="0" fontId="115" fillId="4" borderId="0" xfId="0" applyNumberFormat="1" applyFont="1" applyFill="1"/>
    <xf numFmtId="165" fontId="115" fillId="4" borderId="0" xfId="1" applyNumberFormat="1" applyFont="1" applyFill="1"/>
    <xf numFmtId="165" fontId="115" fillId="17" borderId="0" xfId="1" applyNumberFormat="1" applyFont="1" applyFill="1"/>
    <xf numFmtId="0" fontId="115" fillId="17" borderId="0" xfId="0" applyFont="1" applyFill="1"/>
    <xf numFmtId="0" fontId="115" fillId="17" borderId="0" xfId="0" quotePrefix="1" applyFont="1" applyFill="1" applyAlignment="1">
      <alignment horizontal="left"/>
    </xf>
    <xf numFmtId="49" fontId="120" fillId="17" borderId="11" xfId="2106" applyNumberFormat="1" applyFont="1" applyFill="1" applyBorder="1" applyAlignment="1">
      <alignment horizontal="left" vertical="center"/>
    </xf>
    <xf numFmtId="43" fontId="115" fillId="17" borderId="0" xfId="1" quotePrefix="1" applyFont="1" applyFill="1" applyAlignment="1">
      <alignment horizontal="left"/>
    </xf>
    <xf numFmtId="43" fontId="118" fillId="5" borderId="0" xfId="1" applyFont="1" applyFill="1"/>
    <xf numFmtId="165" fontId="115" fillId="5" borderId="0" xfId="1" applyNumberFormat="1" applyFont="1" applyFill="1"/>
    <xf numFmtId="0" fontId="115" fillId="5" borderId="0" xfId="0" applyFont="1" applyFill="1"/>
    <xf numFmtId="0" fontId="115" fillId="5" borderId="0" xfId="0" quotePrefix="1" applyFont="1" applyFill="1" applyAlignment="1">
      <alignment horizontal="left"/>
    </xf>
    <xf numFmtId="0" fontId="115" fillId="0" borderId="0" xfId="5" applyFont="1"/>
    <xf numFmtId="0" fontId="115" fillId="0" borderId="0" xfId="5" applyNumberFormat="1" applyFont="1"/>
    <xf numFmtId="0" fontId="118" fillId="5" borderId="0" xfId="5" applyFont="1" applyFill="1"/>
    <xf numFmtId="0" fontId="117" fillId="5" borderId="0" xfId="5" applyNumberFormat="1" applyFont="1" applyFill="1"/>
    <xf numFmtId="0" fontId="117" fillId="5" borderId="0" xfId="5" quotePrefix="1" applyNumberFormat="1" applyFont="1" applyFill="1" applyAlignment="1">
      <alignment horizontal="left"/>
    </xf>
    <xf numFmtId="0" fontId="115" fillId="5" borderId="0" xfId="5" applyNumberFormat="1" applyFont="1" applyFill="1"/>
    <xf numFmtId="43" fontId="118" fillId="5" borderId="0" xfId="7" applyFont="1" applyFill="1"/>
    <xf numFmtId="165" fontId="115" fillId="5" borderId="0" xfId="7" applyNumberFormat="1" applyFont="1" applyFill="1"/>
    <xf numFmtId="43" fontId="115" fillId="5" borderId="0" xfId="7" applyFont="1" applyFill="1"/>
    <xf numFmtId="0" fontId="115" fillId="5" borderId="0" xfId="5" quotePrefix="1" applyFont="1" applyFill="1" applyAlignment="1">
      <alignment horizontal="left"/>
    </xf>
    <xf numFmtId="0" fontId="115" fillId="5" borderId="0" xfId="5" applyFont="1" applyFill="1"/>
    <xf numFmtId="43" fontId="115" fillId="5" borderId="0" xfId="1" quotePrefix="1" applyFont="1" applyFill="1" applyAlignment="1">
      <alignment horizontal="left"/>
    </xf>
    <xf numFmtId="43" fontId="118" fillId="14" borderId="0" xfId="1" applyFont="1" applyFill="1"/>
    <xf numFmtId="0" fontId="115" fillId="14" borderId="0" xfId="0" quotePrefix="1" applyFont="1" applyFill="1" applyAlignment="1">
      <alignment horizontal="left"/>
    </xf>
    <xf numFmtId="43" fontId="118" fillId="14" borderId="0" xfId="7" applyFont="1" applyFill="1"/>
    <xf numFmtId="0" fontId="117" fillId="14" borderId="0" xfId="5" quotePrefix="1" applyNumberFormat="1" applyFont="1" applyFill="1" applyAlignment="1">
      <alignment horizontal="left"/>
    </xf>
    <xf numFmtId="0" fontId="115" fillId="14" borderId="0" xfId="5" applyNumberFormat="1" applyFont="1" applyFill="1"/>
    <xf numFmtId="165" fontId="115" fillId="14" borderId="0" xfId="7" applyNumberFormat="1" applyFont="1" applyFill="1"/>
    <xf numFmtId="43" fontId="115" fillId="14" borderId="0" xfId="7" applyFont="1" applyFill="1"/>
    <xf numFmtId="0" fontId="115" fillId="14" borderId="0" xfId="5" quotePrefix="1" applyFont="1" applyFill="1" applyAlignment="1">
      <alignment horizontal="left"/>
    </xf>
    <xf numFmtId="0" fontId="115" fillId="14" borderId="0" xfId="5" applyFont="1" applyFill="1"/>
    <xf numFmtId="43" fontId="115" fillId="14" borderId="0" xfId="1" quotePrefix="1" applyFont="1" applyFill="1" applyAlignment="1">
      <alignment horizontal="left"/>
    </xf>
    <xf numFmtId="43" fontId="118" fillId="12" borderId="0" xfId="1" applyFont="1" applyFill="1"/>
    <xf numFmtId="165" fontId="115" fillId="12" borderId="0" xfId="1" applyNumberFormat="1" applyFont="1" applyFill="1"/>
    <xf numFmtId="0" fontId="115" fillId="12" borderId="0" xfId="0" applyFont="1" applyFill="1"/>
    <xf numFmtId="0" fontId="115" fillId="12" borderId="0" xfId="0" quotePrefix="1" applyFont="1" applyFill="1" applyAlignment="1">
      <alignment horizontal="left"/>
    </xf>
    <xf numFmtId="43" fontId="118" fillId="12" borderId="0" xfId="7" applyFont="1" applyFill="1"/>
    <xf numFmtId="0" fontId="117" fillId="12" borderId="0" xfId="5" quotePrefix="1" applyNumberFormat="1" applyFont="1" applyFill="1" applyAlignment="1">
      <alignment horizontal="left"/>
    </xf>
    <xf numFmtId="0" fontId="115" fillId="12" borderId="0" xfId="5" applyNumberFormat="1" applyFont="1" applyFill="1"/>
    <xf numFmtId="165" fontId="115" fillId="12" borderId="0" xfId="7" applyNumberFormat="1" applyFont="1" applyFill="1"/>
    <xf numFmtId="43" fontId="115" fillId="12" borderId="0" xfId="7" applyFont="1" applyFill="1"/>
    <xf numFmtId="0" fontId="115" fillId="12" borderId="0" xfId="5" quotePrefix="1" applyFont="1" applyFill="1" applyAlignment="1">
      <alignment horizontal="left"/>
    </xf>
    <xf numFmtId="0" fontId="115" fillId="12" borderId="0" xfId="5" applyFont="1" applyFill="1"/>
    <xf numFmtId="43" fontId="115" fillId="12" borderId="0" xfId="1" quotePrefix="1" applyFont="1" applyFill="1" applyAlignment="1">
      <alignment horizontal="left"/>
    </xf>
    <xf numFmtId="43" fontId="118" fillId="3" borderId="0" xfId="1" applyFont="1" applyFill="1"/>
    <xf numFmtId="165" fontId="115" fillId="3" borderId="0" xfId="1" applyNumberFormat="1" applyFont="1" applyFill="1"/>
    <xf numFmtId="0" fontId="115" fillId="3" borderId="0" xfId="0" applyFont="1" applyFill="1"/>
    <xf numFmtId="0" fontId="115" fillId="3" borderId="0" xfId="0" quotePrefix="1" applyFont="1" applyFill="1" applyAlignment="1">
      <alignment horizontal="left"/>
    </xf>
    <xf numFmtId="0" fontId="117" fillId="3" borderId="0" xfId="5" quotePrefix="1" applyNumberFormat="1" applyFont="1" applyFill="1" applyAlignment="1">
      <alignment horizontal="left"/>
    </xf>
    <xf numFmtId="0" fontId="115" fillId="3" borderId="0" xfId="5" applyNumberFormat="1" applyFont="1" applyFill="1"/>
    <xf numFmtId="165" fontId="115" fillId="3" borderId="0" xfId="7" applyNumberFormat="1" applyFont="1" applyFill="1"/>
    <xf numFmtId="43" fontId="115" fillId="3" borderId="0" xfId="7" applyFont="1" applyFill="1"/>
    <xf numFmtId="0" fontId="115" fillId="3" borderId="0" xfId="5" quotePrefix="1" applyFont="1" applyFill="1" applyAlignment="1">
      <alignment horizontal="left"/>
    </xf>
    <xf numFmtId="0" fontId="115" fillId="3" borderId="0" xfId="5" applyFont="1" applyFill="1"/>
    <xf numFmtId="43" fontId="115" fillId="3" borderId="0" xfId="1" quotePrefix="1" applyFont="1" applyFill="1" applyAlignment="1">
      <alignment horizontal="left"/>
    </xf>
    <xf numFmtId="0" fontId="117" fillId="0" borderId="0" xfId="0" applyNumberFormat="1" applyFont="1" applyFill="1"/>
    <xf numFmtId="0" fontId="117" fillId="0" borderId="0" xfId="0" quotePrefix="1" applyNumberFormat="1" applyFont="1" applyFill="1" applyAlignment="1">
      <alignment horizontal="left"/>
    </xf>
    <xf numFmtId="0" fontId="118" fillId="0" borderId="0" xfId="5" applyFont="1" applyFill="1"/>
    <xf numFmtId="0" fontId="117" fillId="0" borderId="0" xfId="5" applyNumberFormat="1" applyFont="1" applyFill="1"/>
    <xf numFmtId="0" fontId="117" fillId="0" borderId="0" xfId="5" quotePrefix="1" applyNumberFormat="1" applyFont="1" applyFill="1" applyAlignment="1">
      <alignment horizontal="left"/>
    </xf>
    <xf numFmtId="0" fontId="115" fillId="0" borderId="0" xfId="5" applyNumberFormat="1" applyFont="1" applyFill="1"/>
    <xf numFmtId="43" fontId="118" fillId="0" borderId="0" xfId="7" applyFont="1" applyFill="1"/>
    <xf numFmtId="165" fontId="115" fillId="0" borderId="0" xfId="7" applyNumberFormat="1" applyFont="1" applyFill="1"/>
    <xf numFmtId="43" fontId="115" fillId="0" borderId="0" xfId="7" applyFont="1" applyFill="1"/>
    <xf numFmtId="0" fontId="115" fillId="0" borderId="0" xfId="5" quotePrefix="1" applyFont="1" applyFill="1" applyAlignment="1">
      <alignment horizontal="left"/>
    </xf>
    <xf numFmtId="0" fontId="115" fillId="0" borderId="0" xfId="5" applyFont="1" applyFill="1"/>
    <xf numFmtId="0" fontId="117" fillId="0" borderId="0" xfId="0" applyNumberFormat="1" applyFont="1" applyFill="1" applyAlignment="1">
      <alignment horizontal="left"/>
    </xf>
    <xf numFmtId="183" fontId="115" fillId="0" borderId="0" xfId="1" applyNumberFormat="1" applyFont="1"/>
    <xf numFmtId="174" fontId="115" fillId="0" borderId="0" xfId="2" applyNumberFormat="1" applyFont="1"/>
    <xf numFmtId="183" fontId="0" fillId="0" borderId="0" xfId="1" applyNumberFormat="1" applyFont="1" applyFill="1"/>
    <xf numFmtId="185" fontId="115" fillId="0" borderId="0" xfId="0" applyNumberFormat="1" applyFont="1" applyFill="1"/>
    <xf numFmtId="174" fontId="115" fillId="0" borderId="0" xfId="0" applyNumberFormat="1" applyFont="1"/>
    <xf numFmtId="37" fontId="115" fillId="0" borderId="0" xfId="0" applyNumberFormat="1" applyFont="1"/>
    <xf numFmtId="37" fontId="115" fillId="17" borderId="0" xfId="0" applyNumberFormat="1" applyFont="1" applyFill="1"/>
    <xf numFmtId="0" fontId="115" fillId="0" borderId="0" xfId="0" applyFont="1" applyAlignment="1">
      <alignment horizontal="left" indent="1"/>
    </xf>
    <xf numFmtId="165" fontId="115" fillId="0" borderId="0" xfId="1" applyNumberFormat="1" applyFont="1" applyAlignment="1">
      <alignment horizontal="left" indent="1"/>
    </xf>
    <xf numFmtId="0" fontId="115" fillId="0" borderId="0" xfId="0" applyFont="1" applyAlignment="1">
      <alignment horizontal="center"/>
    </xf>
    <xf numFmtId="175" fontId="123" fillId="0" borderId="0" xfId="4" applyFont="1" applyFill="1" applyBorder="1"/>
    <xf numFmtId="175" fontId="123" fillId="0" borderId="0" xfId="4" applyFont="1" applyFill="1" applyBorder="1" applyAlignment="1">
      <alignment horizontal="right"/>
    </xf>
    <xf numFmtId="175" fontId="123" fillId="0" borderId="0" xfId="4" applyFont="1" applyFill="1" applyBorder="1" applyAlignment="1">
      <alignment horizontal="center"/>
    </xf>
    <xf numFmtId="16" fontId="123" fillId="0" borderId="6" xfId="4" quotePrefix="1" applyNumberFormat="1" applyFont="1" applyFill="1" applyBorder="1" applyAlignment="1">
      <alignment horizontal="center"/>
    </xf>
    <xf numFmtId="175" fontId="123" fillId="0" borderId="6" xfId="4" applyFont="1" applyFill="1" applyBorder="1" applyAlignment="1">
      <alignment horizontal="center"/>
    </xf>
    <xf numFmtId="165" fontId="123" fillId="0" borderId="0" xfId="4" applyNumberFormat="1" applyFont="1" applyFill="1" applyBorder="1" applyAlignment="1">
      <alignment horizontal="right"/>
    </xf>
    <xf numFmtId="44" fontId="123" fillId="0" borderId="0" xfId="2" applyFont="1" applyFill="1" applyBorder="1"/>
    <xf numFmtId="174" fontId="123" fillId="0" borderId="0" xfId="2" applyNumberFormat="1" applyFont="1" applyFill="1" applyBorder="1"/>
    <xf numFmtId="174" fontId="123" fillId="0" borderId="0" xfId="2" applyNumberFormat="1" applyFont="1" applyFill="1"/>
    <xf numFmtId="175" fontId="119" fillId="0" borderId="0" xfId="4" quotePrefix="1" applyFont="1" applyFill="1" applyBorder="1" applyAlignment="1">
      <alignment horizontal="left"/>
    </xf>
    <xf numFmtId="165" fontId="123" fillId="0" borderId="0" xfId="4" applyNumberFormat="1" applyFont="1" applyFill="1" applyBorder="1"/>
    <xf numFmtId="177" fontId="123" fillId="0" borderId="0" xfId="2" applyNumberFormat="1" applyFont="1" applyFill="1" applyBorder="1"/>
    <xf numFmtId="165" fontId="123" fillId="0" borderId="0" xfId="1" applyNumberFormat="1" applyFont="1" applyFill="1" applyBorder="1"/>
    <xf numFmtId="166" fontId="123" fillId="0" borderId="0" xfId="2" applyNumberFormat="1" applyFont="1" applyFill="1" applyBorder="1"/>
    <xf numFmtId="174" fontId="127" fillId="0" borderId="0" xfId="2" applyNumberFormat="1" applyFont="1" applyFill="1" applyBorder="1"/>
    <xf numFmtId="174" fontId="123" fillId="0" borderId="0" xfId="4" applyNumberFormat="1" applyFont="1" applyFill="1" applyBorder="1"/>
    <xf numFmtId="0" fontId="119" fillId="0" borderId="0" xfId="4" quotePrefix="1" applyNumberFormat="1" applyFont="1" applyFill="1" applyBorder="1" applyAlignment="1">
      <alignment horizontal="left"/>
    </xf>
    <xf numFmtId="165" fontId="127" fillId="0" borderId="0" xfId="1" applyNumberFormat="1" applyFont="1" applyFill="1" applyBorder="1"/>
    <xf numFmtId="41" fontId="123" fillId="0" borderId="0" xfId="4" applyNumberFormat="1" applyFont="1" applyFill="1" applyBorder="1"/>
    <xf numFmtId="0" fontId="118" fillId="0" borderId="0" xfId="0" applyFont="1" applyFill="1" applyBorder="1"/>
    <xf numFmtId="178" fontId="123" fillId="0" borderId="0" xfId="4" applyNumberFormat="1" applyFont="1" applyFill="1" applyBorder="1"/>
    <xf numFmtId="179" fontId="123" fillId="0" borderId="0" xfId="4" applyNumberFormat="1" applyFont="1" applyFill="1" applyBorder="1"/>
    <xf numFmtId="174" fontId="128" fillId="0" borderId="0" xfId="2" applyNumberFormat="1" applyFont="1" applyFill="1" applyBorder="1"/>
    <xf numFmtId="165" fontId="128" fillId="0" borderId="0" xfId="4" applyNumberFormat="1" applyFont="1" applyFill="1" applyBorder="1"/>
    <xf numFmtId="174" fontId="129" fillId="0" borderId="0" xfId="2" applyNumberFormat="1" applyFont="1" applyFill="1" applyBorder="1"/>
    <xf numFmtId="176" fontId="123" fillId="0" borderId="6" xfId="4" applyNumberFormat="1" applyFont="1" applyFill="1" applyBorder="1" applyAlignment="1" applyProtection="1">
      <alignment horizontal="center"/>
    </xf>
    <xf numFmtId="0" fontId="115" fillId="0" borderId="0" xfId="0" applyFont="1" applyFill="1" applyBorder="1"/>
    <xf numFmtId="165" fontId="127" fillId="0" borderId="0" xfId="4" applyNumberFormat="1" applyFont="1" applyFill="1" applyBorder="1"/>
    <xf numFmtId="165" fontId="131" fillId="0" borderId="0" xfId="4" applyNumberFormat="1" applyFont="1" applyFill="1" applyBorder="1"/>
    <xf numFmtId="165" fontId="132" fillId="0" borderId="0" xfId="1" applyNumberFormat="1" applyFont="1" applyFill="1" applyBorder="1"/>
    <xf numFmtId="174" fontId="132" fillId="0" borderId="0" xfId="2" applyNumberFormat="1" applyFont="1" applyFill="1" applyBorder="1"/>
    <xf numFmtId="178" fontId="123" fillId="0" borderId="0" xfId="4" applyNumberFormat="1" applyFont="1" applyFill="1" applyBorder="1" applyAlignment="1">
      <alignment horizontal="right"/>
    </xf>
    <xf numFmtId="175" fontId="125" fillId="0" borderId="0" xfId="4" quotePrefix="1" applyFont="1" applyFill="1" applyBorder="1" applyAlignment="1">
      <alignment horizontal="left"/>
    </xf>
    <xf numFmtId="165" fontId="128" fillId="0" borderId="0" xfId="1" applyNumberFormat="1" applyFont="1" applyFill="1" applyBorder="1"/>
    <xf numFmtId="165" fontId="0" fillId="17" borderId="0" xfId="0" applyNumberFormat="1" applyFill="1"/>
    <xf numFmtId="165" fontId="0" fillId="17" borderId="0" xfId="1" applyNumberFormat="1" applyFont="1" applyFill="1"/>
    <xf numFmtId="173" fontId="115" fillId="0" borderId="0" xfId="1" applyNumberFormat="1" applyFont="1" applyAlignment="1">
      <alignment horizontal="center"/>
    </xf>
    <xf numFmtId="173" fontId="18" fillId="0" borderId="0" xfId="0" applyNumberFormat="1" applyFont="1" applyAlignment="1">
      <alignment horizontal="center" wrapText="1"/>
    </xf>
    <xf numFmtId="41" fontId="118" fillId="0" borderId="6" xfId="0" applyNumberFormat="1" applyFont="1" applyFill="1" applyBorder="1"/>
    <xf numFmtId="174" fontId="118" fillId="0" borderId="56" xfId="1360" applyNumberFormat="1" applyFont="1" applyFill="1" applyBorder="1"/>
    <xf numFmtId="41" fontId="118" fillId="0" borderId="0" xfId="0" applyNumberFormat="1" applyFont="1" applyFill="1"/>
    <xf numFmtId="174" fontId="122" fillId="0" borderId="0" xfId="2" applyNumberFormat="1" applyFont="1"/>
    <xf numFmtId="0" fontId="115" fillId="0" borderId="0" xfId="0" applyFont="1" applyAlignment="1">
      <alignment horizontal="left" indent="2"/>
    </xf>
    <xf numFmtId="173" fontId="115" fillId="0" borderId="0" xfId="0" applyNumberFormat="1" applyFont="1" applyAlignment="1">
      <alignment horizontal="center"/>
    </xf>
    <xf numFmtId="165" fontId="115" fillId="0" borderId="0" xfId="1" applyNumberFormat="1" applyFont="1" applyAlignment="1">
      <alignment horizontal="centerContinuous"/>
    </xf>
    <xf numFmtId="165" fontId="122" fillId="0" borderId="0" xfId="1" applyNumberFormat="1" applyFont="1" applyAlignment="1">
      <alignment horizontal="centerContinuous"/>
    </xf>
    <xf numFmtId="187" fontId="118" fillId="0" borderId="0" xfId="0" applyNumberFormat="1" applyFont="1" applyFill="1"/>
    <xf numFmtId="41" fontId="118" fillId="0" borderId="0" xfId="0" quotePrefix="1" applyNumberFormat="1" applyFont="1" applyFill="1" applyAlignment="1">
      <alignment horizontal="left"/>
    </xf>
    <xf numFmtId="165" fontId="115" fillId="0" borderId="0" xfId="1" quotePrefix="1" applyNumberFormat="1" applyFont="1" applyAlignment="1">
      <alignment horizontal="left"/>
    </xf>
    <xf numFmtId="166" fontId="115" fillId="0" borderId="0" xfId="2" applyNumberFormat="1" applyFont="1"/>
    <xf numFmtId="0" fontId="115" fillId="0" borderId="0" xfId="0" quotePrefix="1" applyFont="1" applyFill="1" applyAlignment="1">
      <alignment horizontal="right"/>
    </xf>
    <xf numFmtId="44" fontId="115" fillId="7" borderId="0" xfId="0" applyNumberFormat="1" applyFont="1" applyFill="1"/>
    <xf numFmtId="168" fontId="133" fillId="0" borderId="0" xfId="0" applyNumberFormat="1" applyFont="1" applyFill="1" applyBorder="1" applyAlignment="1">
      <alignment horizontal="left" vertical="center" wrapText="1"/>
    </xf>
    <xf numFmtId="168" fontId="133" fillId="0" borderId="0" xfId="0" quotePrefix="1" applyNumberFormat="1" applyFont="1" applyFill="1" applyBorder="1" applyAlignment="1">
      <alignment horizontal="left" vertical="center" wrapText="1"/>
    </xf>
    <xf numFmtId="168" fontId="133" fillId="0" borderId="0" xfId="0" quotePrefix="1" applyNumberFormat="1" applyFont="1" applyFill="1" applyBorder="1" applyAlignment="1">
      <alignment horizontal="right" vertical="center" wrapText="1"/>
    </xf>
    <xf numFmtId="0" fontId="115" fillId="0" borderId="0" xfId="0" quotePrefix="1" applyFont="1" applyAlignment="1">
      <alignment horizontal="right"/>
    </xf>
    <xf numFmtId="16" fontId="115" fillId="0" borderId="0" xfId="0" applyNumberFormat="1" applyFont="1"/>
    <xf numFmtId="165" fontId="115" fillId="0" borderId="15" xfId="0" applyNumberFormat="1" applyFont="1" applyBorder="1"/>
    <xf numFmtId="165" fontId="115" fillId="0" borderId="0" xfId="0" applyNumberFormat="1" applyFont="1" applyBorder="1"/>
    <xf numFmtId="165" fontId="115" fillId="0" borderId="16" xfId="0" applyNumberFormat="1" applyFont="1" applyBorder="1"/>
    <xf numFmtId="44" fontId="115" fillId="0" borderId="15" xfId="2" applyFont="1" applyBorder="1"/>
    <xf numFmtId="44" fontId="115" fillId="0" borderId="0" xfId="2" applyFont="1" applyBorder="1"/>
    <xf numFmtId="44" fontId="115" fillId="0" borderId="16" xfId="2" applyFont="1" applyBorder="1"/>
    <xf numFmtId="165" fontId="122" fillId="0" borderId="15" xfId="0" applyNumberFormat="1" applyFont="1" applyBorder="1"/>
    <xf numFmtId="165" fontId="122" fillId="0" borderId="0" xfId="0" applyNumberFormat="1" applyFont="1" applyBorder="1"/>
    <xf numFmtId="165" fontId="122" fillId="0" borderId="16" xfId="0" applyNumberFormat="1" applyFont="1" applyBorder="1"/>
    <xf numFmtId="44" fontId="122" fillId="0" borderId="15" xfId="2" applyFont="1" applyBorder="1"/>
    <xf numFmtId="44" fontId="122" fillId="0" borderId="0" xfId="2" applyFont="1" applyBorder="1"/>
    <xf numFmtId="44" fontId="122" fillId="0" borderId="16" xfId="2" applyFont="1" applyBorder="1"/>
    <xf numFmtId="44" fontId="115" fillId="0" borderId="15" xfId="2" applyFont="1" applyFill="1" applyBorder="1"/>
    <xf numFmtId="44" fontId="122" fillId="0" borderId="0" xfId="0" applyNumberFormat="1" applyFont="1"/>
    <xf numFmtId="0" fontId="115" fillId="0" borderId="15" xfId="0" applyFont="1" applyBorder="1"/>
    <xf numFmtId="0" fontId="115" fillId="7" borderId="0" xfId="0" quotePrefix="1" applyFont="1" applyFill="1" applyAlignment="1">
      <alignment horizontal="left"/>
    </xf>
    <xf numFmtId="0" fontId="115" fillId="7" borderId="0" xfId="0" applyFont="1" applyFill="1" applyAlignment="1">
      <alignment horizontal="left"/>
    </xf>
    <xf numFmtId="0" fontId="115" fillId="0" borderId="0" xfId="0" applyFont="1" applyAlignment="1">
      <alignment horizontal="left"/>
    </xf>
    <xf numFmtId="44" fontId="134" fillId="0" borderId="0" xfId="0" applyNumberFormat="1" applyFont="1"/>
    <xf numFmtId="0" fontId="115" fillId="0" borderId="15" xfId="0" applyFont="1" applyFill="1" applyBorder="1"/>
    <xf numFmtId="165" fontId="115" fillId="7" borderId="15" xfId="0" applyNumberFormat="1" applyFont="1" applyFill="1" applyBorder="1"/>
    <xf numFmtId="165" fontId="115" fillId="0" borderId="17" xfId="0" applyNumberFormat="1" applyFont="1" applyBorder="1"/>
    <xf numFmtId="165" fontId="115" fillId="0" borderId="7" xfId="0" applyNumberFormat="1" applyFont="1" applyBorder="1"/>
    <xf numFmtId="165" fontId="115" fillId="0" borderId="18" xfId="0" applyNumberFormat="1" applyFont="1" applyBorder="1"/>
    <xf numFmtId="44" fontId="135" fillId="0" borderId="17" xfId="0" applyNumberFormat="1" applyFont="1" applyBorder="1"/>
    <xf numFmtId="44" fontId="135" fillId="0" borderId="7" xfId="0" applyNumberFormat="1" applyFont="1" applyBorder="1"/>
    <xf numFmtId="44" fontId="135" fillId="0" borderId="18" xfId="0" applyNumberFormat="1" applyFont="1" applyBorder="1"/>
    <xf numFmtId="169" fontId="120" fillId="78" borderId="3" xfId="0" applyNumberFormat="1" applyFont="1" applyFill="1" applyBorder="1" applyAlignment="1">
      <alignment horizontal="right" vertical="center"/>
    </xf>
    <xf numFmtId="49" fontId="120" fillId="78" borderId="3" xfId="0" applyNumberFormat="1" applyFont="1" applyFill="1" applyBorder="1" applyAlignment="1">
      <alignment horizontal="right" vertical="center"/>
    </xf>
    <xf numFmtId="171" fontId="120" fillId="78" borderId="3" xfId="0" applyNumberFormat="1" applyFont="1" applyFill="1" applyBorder="1" applyAlignment="1">
      <alignment horizontal="right" vertical="center"/>
    </xf>
    <xf numFmtId="168" fontId="120" fillId="78" borderId="3" xfId="0" applyNumberFormat="1" applyFont="1" applyFill="1" applyBorder="1" applyAlignment="1">
      <alignment horizontal="right" vertical="center"/>
    </xf>
    <xf numFmtId="165" fontId="120" fillId="78" borderId="3" xfId="1" applyNumberFormat="1" applyFont="1" applyFill="1" applyBorder="1" applyAlignment="1">
      <alignment horizontal="right" vertical="center"/>
    </xf>
    <xf numFmtId="49" fontId="115" fillId="8" borderId="1" xfId="0" applyNumberFormat="1" applyFont="1" applyFill="1" applyBorder="1" applyAlignment="1">
      <alignment vertical="center"/>
    </xf>
    <xf numFmtId="49" fontId="115" fillId="8" borderId="2" xfId="0" applyNumberFormat="1" applyFont="1" applyFill="1" applyBorder="1" applyAlignment="1">
      <alignment vertical="center"/>
    </xf>
    <xf numFmtId="0" fontId="115" fillId="0" borderId="0" xfId="0" applyFont="1" applyAlignment="1"/>
    <xf numFmtId="0" fontId="115" fillId="4" borderId="0" xfId="0" quotePrefix="1" applyFont="1" applyFill="1" applyAlignment="1">
      <alignment horizontal="left"/>
    </xf>
    <xf numFmtId="175" fontId="125" fillId="0" borderId="0" xfId="4" quotePrefix="1" applyFont="1" applyFill="1" applyBorder="1" applyAlignment="1">
      <alignment horizontal="right"/>
    </xf>
    <xf numFmtId="175" fontId="123" fillId="0" borderId="0" xfId="4" quotePrefix="1" applyFont="1" applyFill="1" applyBorder="1" applyAlignment="1">
      <alignment horizontal="right"/>
    </xf>
    <xf numFmtId="44" fontId="18" fillId="8" borderId="1" xfId="0" applyNumberFormat="1" applyFont="1" applyFill="1" applyBorder="1" applyAlignment="1">
      <alignment horizontal="left" vertical="center"/>
    </xf>
    <xf numFmtId="44" fontId="18" fillId="8" borderId="2" xfId="0" applyNumberFormat="1" applyFont="1" applyFill="1" applyBorder="1" applyAlignment="1">
      <alignment horizontal="left" vertical="center"/>
    </xf>
    <xf numFmtId="44" fontId="120" fillId="8" borderId="3" xfId="0" applyNumberFormat="1" applyFont="1" applyFill="1" applyBorder="1" applyAlignment="1">
      <alignment horizontal="right" vertical="center"/>
    </xf>
    <xf numFmtId="44" fontId="120" fillId="8" borderId="3" xfId="0" applyNumberFormat="1" applyFont="1" applyFill="1" applyBorder="1" applyAlignment="1">
      <alignment horizontal="left" vertical="center"/>
    </xf>
    <xf numFmtId="44" fontId="18" fillId="0" borderId="0" xfId="0" applyNumberFormat="1" applyFont="1"/>
    <xf numFmtId="44" fontId="120" fillId="8" borderId="3" xfId="0" applyNumberFormat="1" applyFont="1" applyFill="1" applyBorder="1" applyAlignment="1">
      <alignment horizontal="left" vertical="center" wrapText="1"/>
    </xf>
    <xf numFmtId="44" fontId="120" fillId="0" borderId="0" xfId="0" applyNumberFormat="1" applyFont="1" applyFill="1" applyBorder="1" applyAlignment="1">
      <alignment horizontal="right" vertical="center"/>
    </xf>
    <xf numFmtId="44" fontId="18" fillId="0" borderId="0" xfId="0" applyNumberFormat="1" applyFont="1" applyAlignment="1"/>
    <xf numFmtId="44" fontId="120" fillId="8" borderId="3" xfId="0" quotePrefix="1" applyNumberFormat="1" applyFont="1" applyFill="1" applyBorder="1" applyAlignment="1">
      <alignment horizontal="left" vertical="center"/>
    </xf>
    <xf numFmtId="44" fontId="18" fillId="0" borderId="0" xfId="0" applyNumberFormat="1" applyFont="1" applyFill="1" applyBorder="1"/>
    <xf numFmtId="44" fontId="120" fillId="0" borderId="0" xfId="0" applyNumberFormat="1" applyFont="1" applyFill="1" applyBorder="1" applyAlignment="1">
      <alignment horizontal="left" vertical="center"/>
    </xf>
    <xf numFmtId="0" fontId="120" fillId="8" borderId="3" xfId="0" applyNumberFormat="1" applyFont="1" applyFill="1" applyBorder="1" applyAlignment="1">
      <alignment horizontal="left" vertical="center"/>
    </xf>
    <xf numFmtId="0" fontId="120" fillId="10" borderId="3" xfId="0" applyNumberFormat="1" applyFont="1" applyFill="1" applyBorder="1" applyAlignment="1">
      <alignment horizontal="right" vertical="center" wrapText="1"/>
    </xf>
    <xf numFmtId="0" fontId="120" fillId="9" borderId="3" xfId="0" applyNumberFormat="1" applyFont="1" applyFill="1" applyBorder="1" applyAlignment="1">
      <alignment horizontal="right" vertical="center" wrapText="1"/>
    </xf>
    <xf numFmtId="0" fontId="120" fillId="10" borderId="3" xfId="0" applyNumberFormat="1" applyFont="1" applyFill="1" applyBorder="1" applyAlignment="1">
      <alignment horizontal="right" vertical="center"/>
    </xf>
    <xf numFmtId="0" fontId="120" fillId="9" borderId="3" xfId="0" applyNumberFormat="1" applyFont="1" applyFill="1" applyBorder="1" applyAlignment="1">
      <alignment horizontal="right" vertical="center"/>
    </xf>
    <xf numFmtId="0" fontId="120" fillId="78" borderId="3" xfId="0" applyNumberFormat="1" applyFont="1" applyFill="1" applyBorder="1" applyAlignment="1">
      <alignment horizontal="right" vertical="center"/>
    </xf>
    <xf numFmtId="0" fontId="18" fillId="0" borderId="0" xfId="0" applyNumberFormat="1" applyFont="1" applyFill="1" applyBorder="1" applyAlignment="1"/>
    <xf numFmtId="0" fontId="18" fillId="0" borderId="0" xfId="0" applyNumberFormat="1" applyFont="1"/>
    <xf numFmtId="43" fontId="120" fillId="8" borderId="3" xfId="1" applyFont="1" applyFill="1" applyBorder="1" applyAlignment="1">
      <alignment horizontal="left" vertical="center"/>
    </xf>
    <xf numFmtId="43" fontId="120" fillId="10" borderId="3" xfId="1" applyFont="1" applyFill="1" applyBorder="1" applyAlignment="1">
      <alignment horizontal="right" vertical="center" wrapText="1"/>
    </xf>
    <xf numFmtId="43" fontId="120" fillId="9" borderId="3" xfId="1" applyFont="1" applyFill="1" applyBorder="1" applyAlignment="1">
      <alignment horizontal="right" vertical="center" wrapText="1"/>
    </xf>
    <xf numFmtId="43" fontId="120" fillId="10" borderId="3" xfId="1" applyFont="1" applyFill="1" applyBorder="1" applyAlignment="1">
      <alignment horizontal="right" vertical="center"/>
    </xf>
    <xf numFmtId="43" fontId="120" fillId="9" borderId="3" xfId="1" applyFont="1" applyFill="1" applyBorder="1" applyAlignment="1">
      <alignment horizontal="right" vertical="center"/>
    </xf>
    <xf numFmtId="43" fontId="120" fillId="78" borderId="3" xfId="1" applyFont="1" applyFill="1" applyBorder="1" applyAlignment="1">
      <alignment horizontal="right" vertical="center"/>
    </xf>
    <xf numFmtId="43" fontId="120" fillId="0" borderId="0" xfId="1" applyFont="1" applyFill="1" applyBorder="1" applyAlignment="1">
      <alignment horizontal="right" vertical="center"/>
    </xf>
    <xf numFmtId="43" fontId="18" fillId="0" borderId="0" xfId="1" applyFont="1"/>
    <xf numFmtId="165" fontId="120" fillId="8" borderId="3" xfId="1" applyNumberFormat="1" applyFont="1" applyFill="1" applyBorder="1" applyAlignment="1">
      <alignment horizontal="left" vertical="center"/>
    </xf>
    <xf numFmtId="165" fontId="120" fillId="10" borderId="3" xfId="1" applyNumberFormat="1" applyFont="1" applyFill="1" applyBorder="1" applyAlignment="1">
      <alignment horizontal="right" vertical="center" wrapText="1"/>
    </xf>
    <xf numFmtId="165" fontId="120" fillId="9" borderId="3" xfId="1" applyNumberFormat="1" applyFont="1" applyFill="1" applyBorder="1" applyAlignment="1">
      <alignment horizontal="right" vertical="center" wrapText="1"/>
    </xf>
    <xf numFmtId="165" fontId="120" fillId="10" borderId="3" xfId="1" applyNumberFormat="1" applyFont="1" applyFill="1" applyBorder="1" applyAlignment="1">
      <alignment horizontal="right" vertical="center"/>
    </xf>
    <xf numFmtId="165" fontId="120" fillId="9" borderId="3" xfId="1" applyNumberFormat="1" applyFont="1" applyFill="1" applyBorder="1" applyAlignment="1">
      <alignment horizontal="right" vertical="center"/>
    </xf>
    <xf numFmtId="165" fontId="120" fillId="0" borderId="0" xfId="1" applyNumberFormat="1" applyFont="1" applyFill="1" applyBorder="1" applyAlignment="1">
      <alignment horizontal="right" vertical="center"/>
    </xf>
    <xf numFmtId="165" fontId="18" fillId="0" borderId="0" xfId="1" applyNumberFormat="1" applyFont="1"/>
    <xf numFmtId="174" fontId="178" fillId="0" borderId="0" xfId="2" applyNumberFormat="1" applyFont="1"/>
    <xf numFmtId="174" fontId="123" fillId="0" borderId="0" xfId="2" applyNumberFormat="1" applyFont="1"/>
    <xf numFmtId="41" fontId="123" fillId="0" borderId="0" xfId="1782" applyFont="1"/>
    <xf numFmtId="0" fontId="118" fillId="0" borderId="0" xfId="0" quotePrefix="1" applyFont="1" applyFill="1" applyBorder="1" applyAlignment="1">
      <alignment horizontal="left"/>
    </xf>
    <xf numFmtId="0" fontId="126" fillId="0" borderId="0" xfId="0" applyFont="1" applyFill="1" applyBorder="1"/>
    <xf numFmtId="43" fontId="123" fillId="0" borderId="0" xfId="1" applyFont="1" applyFill="1" applyBorder="1" applyAlignment="1">
      <alignment horizontal="left" indent="2"/>
    </xf>
    <xf numFmtId="43" fontId="125" fillId="0" borderId="0" xfId="1" applyFont="1" applyFill="1" applyAlignment="1">
      <alignment horizontal="left"/>
    </xf>
    <xf numFmtId="0" fontId="178" fillId="0" borderId="0" xfId="0" applyFont="1"/>
    <xf numFmtId="0" fontId="181" fillId="0" borderId="0" xfId="0" quotePrefix="1" applyFont="1" applyAlignment="1">
      <alignment horizontal="right"/>
    </xf>
    <xf numFmtId="41" fontId="125" fillId="0" borderId="0" xfId="1782" applyFont="1" applyFill="1" applyAlignment="1">
      <alignment horizontal="left"/>
    </xf>
    <xf numFmtId="41" fontId="123" fillId="0" borderId="0" xfId="1782" applyFont="1" applyFill="1" applyAlignment="1">
      <alignment horizontal="left"/>
    </xf>
    <xf numFmtId="14" fontId="178" fillId="0" borderId="0" xfId="0" quotePrefix="1" applyNumberFormat="1" applyFont="1" applyAlignment="1">
      <alignment horizontal="left"/>
    </xf>
    <xf numFmtId="173" fontId="178" fillId="0" borderId="0" xfId="1" applyNumberFormat="1" applyFont="1" applyAlignment="1">
      <alignment horizontal="center"/>
    </xf>
    <xf numFmtId="0" fontId="178" fillId="0" borderId="0" xfId="0" quotePrefix="1" applyFont="1" applyAlignment="1">
      <alignment horizontal="left" wrapText="1"/>
    </xf>
    <xf numFmtId="0" fontId="178" fillId="0" borderId="0" xfId="0" applyFont="1" applyAlignment="1">
      <alignment horizontal="center" wrapText="1"/>
    </xf>
    <xf numFmtId="0" fontId="178" fillId="0" borderId="0" xfId="0" applyFont="1" applyAlignment="1">
      <alignment horizontal="center"/>
    </xf>
    <xf numFmtId="173" fontId="178" fillId="0" borderId="0" xfId="0" applyNumberFormat="1" applyFont="1" applyAlignment="1">
      <alignment horizontal="center" wrapText="1"/>
    </xf>
    <xf numFmtId="173" fontId="178" fillId="0" borderId="0" xfId="0" quotePrefix="1" applyNumberFormat="1" applyFont="1" applyAlignment="1">
      <alignment horizontal="center" wrapText="1"/>
    </xf>
    <xf numFmtId="0" fontId="178" fillId="0" borderId="0" xfId="0" applyFont="1" applyAlignment="1">
      <alignment horizontal="left" indent="1"/>
    </xf>
    <xf numFmtId="174" fontId="178" fillId="0" borderId="0" xfId="2" applyNumberFormat="1" applyFont="1" applyFill="1"/>
    <xf numFmtId="174" fontId="178" fillId="0" borderId="0" xfId="0" applyNumberFormat="1" applyFont="1"/>
    <xf numFmtId="0" fontId="178" fillId="0" borderId="0" xfId="0" quotePrefix="1" applyFont="1" applyAlignment="1">
      <alignment horizontal="left"/>
    </xf>
    <xf numFmtId="165" fontId="182" fillId="0" borderId="0" xfId="1" applyNumberFormat="1" applyFont="1"/>
    <xf numFmtId="174" fontId="182" fillId="0" borderId="0" xfId="2" applyNumberFormat="1" applyFont="1"/>
    <xf numFmtId="37" fontId="178" fillId="0" borderId="0" xfId="0" applyNumberFormat="1" applyFont="1"/>
    <xf numFmtId="165" fontId="178" fillId="0" borderId="0" xfId="1" applyNumberFormat="1" applyFont="1"/>
    <xf numFmtId="0" fontId="178" fillId="0" borderId="0" xfId="0" applyFont="1" applyAlignment="1">
      <alignment horizontal="left"/>
    </xf>
    <xf numFmtId="37" fontId="178" fillId="0" borderId="0" xfId="0" quotePrefix="1" applyNumberFormat="1" applyFont="1" applyAlignment="1">
      <alignment horizontal="left"/>
    </xf>
    <xf numFmtId="0" fontId="178" fillId="0" borderId="0" xfId="0" quotePrefix="1" applyFont="1" applyAlignment="1">
      <alignment horizontal="left" indent="1"/>
    </xf>
    <xf numFmtId="174" fontId="182" fillId="0" borderId="0" xfId="2" applyNumberFormat="1" applyFont="1" applyFill="1"/>
    <xf numFmtId="165" fontId="183" fillId="0" borderId="0" xfId="1" applyNumberFormat="1" applyFont="1"/>
    <xf numFmtId="174" fontId="184" fillId="0" borderId="0" xfId="0" applyNumberFormat="1" applyFont="1"/>
    <xf numFmtId="41" fontId="125" fillId="0" borderId="0" xfId="1782" applyFont="1"/>
    <xf numFmtId="41" fontId="125" fillId="0" borderId="0" xfId="1782" applyFont="1" applyAlignment="1">
      <alignment horizontal="left"/>
    </xf>
    <xf numFmtId="41" fontId="123" fillId="0" borderId="0" xfId="1782" applyFont="1" applyAlignment="1">
      <alignment horizontal="left"/>
    </xf>
    <xf numFmtId="41" fontId="125" fillId="0" borderId="0" xfId="1782" applyFont="1" applyAlignment="1">
      <alignment horizontal="right"/>
    </xf>
    <xf numFmtId="41" fontId="125" fillId="0" borderId="0" xfId="1782" applyFont="1" applyAlignment="1">
      <alignment horizontal="centerContinuous"/>
    </xf>
    <xf numFmtId="41" fontId="123" fillId="0" borderId="0" xfId="1782" applyFont="1" applyAlignment="1">
      <alignment horizontal="centerContinuous"/>
    </xf>
    <xf numFmtId="0" fontId="125" fillId="0" borderId="0" xfId="1782" applyNumberFormat="1" applyFont="1" applyAlignment="1">
      <alignment horizontal="center"/>
    </xf>
    <xf numFmtId="41" fontId="125" fillId="0" borderId="0" xfId="1782" quotePrefix="1" applyFont="1" applyAlignment="1">
      <alignment horizontal="left"/>
    </xf>
    <xf numFmtId="165" fontId="123" fillId="0" borderId="0" xfId="1" applyNumberFormat="1" applyFont="1" applyFill="1"/>
    <xf numFmtId="41" fontId="123" fillId="0" borderId="0" xfId="1782" applyFont="1" applyAlignment="1">
      <alignment horizontal="center"/>
    </xf>
    <xf numFmtId="41" fontId="123" fillId="0" borderId="0" xfId="1782" quotePrefix="1" applyFont="1" applyAlignment="1">
      <alignment horizontal="center"/>
    </xf>
    <xf numFmtId="41" fontId="123" fillId="0" borderId="0" xfId="1782" quotePrefix="1" applyFont="1" applyAlignment="1">
      <alignment horizontal="left"/>
    </xf>
    <xf numFmtId="41" fontId="123" fillId="0" borderId="0" xfId="1782" applyFont="1" applyAlignment="1">
      <alignment horizontal="right"/>
    </xf>
    <xf numFmtId="41" fontId="123" fillId="0" borderId="0" xfId="1782" quotePrefix="1" applyFont="1" applyAlignment="1">
      <alignment horizontal="right"/>
    </xf>
    <xf numFmtId="174" fontId="178" fillId="0" borderId="6" xfId="2" applyNumberFormat="1" applyFont="1" applyFill="1" applyBorder="1"/>
    <xf numFmtId="49" fontId="120" fillId="8" borderId="3" xfId="0" quotePrefix="1" applyNumberFormat="1" applyFont="1" applyFill="1" applyBorder="1" applyAlignment="1">
      <alignment horizontal="left" vertical="center" wrapText="1"/>
    </xf>
    <xf numFmtId="41" fontId="10" fillId="0" borderId="0" xfId="1782" applyFont="1" applyBorder="1"/>
    <xf numFmtId="41" fontId="125" fillId="0" borderId="0" xfId="1782" quotePrefix="1" applyFont="1" applyBorder="1" applyAlignment="1">
      <alignment horizontal="right"/>
    </xf>
    <xf numFmtId="41" fontId="125" fillId="0" borderId="0" xfId="1782" applyFont="1" applyBorder="1" applyAlignment="1">
      <alignment horizontal="right"/>
    </xf>
    <xf numFmtId="0" fontId="115" fillId="0" borderId="0" xfId="0" quotePrefix="1" applyFont="1" applyFill="1" applyBorder="1" applyAlignment="1">
      <alignment horizontal="left"/>
    </xf>
    <xf numFmtId="41" fontId="10" fillId="0" borderId="0" xfId="1782" applyFont="1" applyBorder="1" applyAlignment="1">
      <alignment horizontal="left"/>
    </xf>
    <xf numFmtId="176" fontId="123" fillId="0" borderId="0" xfId="4" applyNumberFormat="1" applyFont="1" applyFill="1" applyBorder="1" applyProtection="1"/>
    <xf numFmtId="176" fontId="123" fillId="0" borderId="0" xfId="4" applyNumberFormat="1" applyFont="1" applyFill="1" applyBorder="1" applyAlignment="1" applyProtection="1">
      <alignment horizontal="center"/>
    </xf>
    <xf numFmtId="175" fontId="123" fillId="0" borderId="0" xfId="4" quotePrefix="1" applyFont="1" applyFill="1" applyBorder="1" applyAlignment="1">
      <alignment horizontal="left"/>
    </xf>
    <xf numFmtId="165" fontId="125" fillId="0" borderId="0" xfId="1" quotePrefix="1" applyNumberFormat="1" applyFont="1" applyFill="1" applyBorder="1" applyAlignment="1">
      <alignment horizontal="left"/>
    </xf>
    <xf numFmtId="0" fontId="130" fillId="0" borderId="0" xfId="0" applyFont="1" applyFill="1" applyBorder="1"/>
    <xf numFmtId="165" fontId="123" fillId="0" borderId="0" xfId="1" quotePrefix="1" applyNumberFormat="1" applyFont="1" applyFill="1" applyBorder="1" applyAlignment="1">
      <alignment horizontal="left" indent="4"/>
    </xf>
    <xf numFmtId="175" fontId="123" fillId="0" borderId="0" xfId="4" quotePrefix="1" applyFont="1" applyFill="1" applyBorder="1" applyAlignment="1">
      <alignment horizontal="left" indent="4"/>
    </xf>
    <xf numFmtId="175" fontId="125" fillId="0" borderId="0" xfId="4" applyFont="1" applyFill="1" applyBorder="1" applyAlignment="1">
      <alignment horizontal="right"/>
    </xf>
    <xf numFmtId="0" fontId="117" fillId="0" borderId="0" xfId="0" applyFont="1" applyFill="1" applyBorder="1"/>
    <xf numFmtId="174" fontId="115" fillId="0" borderId="0" xfId="0" applyNumberFormat="1" applyFont="1" applyFill="1" applyBorder="1"/>
    <xf numFmtId="175" fontId="125" fillId="0" borderId="0" xfId="4" applyFont="1" applyFill="1" applyBorder="1" applyAlignment="1">
      <alignment horizontal="left"/>
    </xf>
    <xf numFmtId="175" fontId="125" fillId="0" borderId="0" xfId="4" quotePrefix="1" applyFont="1" applyFill="1" applyBorder="1" applyAlignment="1">
      <alignment horizontal="center"/>
    </xf>
    <xf numFmtId="175" fontId="123" fillId="0" borderId="0" xfId="4" applyFont="1" applyFill="1" applyBorder="1" applyAlignment="1">
      <alignment horizontal="left"/>
    </xf>
    <xf numFmtId="44" fontId="115" fillId="0" borderId="0" xfId="2" applyFont="1" applyFill="1" applyBorder="1"/>
    <xf numFmtId="37" fontId="115" fillId="0" borderId="0" xfId="0" applyNumberFormat="1" applyFont="1" applyFill="1" applyBorder="1"/>
    <xf numFmtId="37" fontId="115" fillId="0" borderId="0" xfId="0" quotePrefix="1" applyNumberFormat="1" applyFont="1" applyFill="1" applyBorder="1" applyAlignment="1">
      <alignment horizontal="left"/>
    </xf>
    <xf numFmtId="165" fontId="123" fillId="0" borderId="0" xfId="1" applyNumberFormat="1" applyFont="1" applyFill="1" applyBorder="1" applyAlignment="1">
      <alignment horizontal="left" indent="4"/>
    </xf>
    <xf numFmtId="0" fontId="115" fillId="0" borderId="0" xfId="0" applyFont="1" applyFill="1" applyBorder="1" applyAlignment="1">
      <alignment horizontal="left"/>
    </xf>
    <xf numFmtId="176" fontId="124" fillId="0" borderId="6" xfId="4" applyNumberFormat="1" applyFont="1" applyFill="1" applyBorder="1" applyProtection="1"/>
    <xf numFmtId="175" fontId="123" fillId="0" borderId="6" xfId="4" applyFont="1" applyFill="1" applyBorder="1"/>
    <xf numFmtId="175" fontId="123" fillId="0" borderId="6" xfId="4" applyFont="1" applyFill="1" applyBorder="1" applyAlignment="1">
      <alignment horizontal="right"/>
    </xf>
    <xf numFmtId="41" fontId="10" fillId="0" borderId="0" xfId="1782" applyFont="1" applyBorder="1" applyAlignment="1">
      <alignment horizontal="right"/>
    </xf>
    <xf numFmtId="174" fontId="127" fillId="0" borderId="0" xfId="2" applyNumberFormat="1" applyFont="1" applyFill="1" applyBorder="1" applyAlignment="1">
      <alignment horizontal="right"/>
    </xf>
    <xf numFmtId="0" fontId="115" fillId="0" borderId="0" xfId="0" applyFont="1" applyFill="1" applyBorder="1" applyAlignment="1">
      <alignment horizontal="right"/>
    </xf>
    <xf numFmtId="165" fontId="123" fillId="0" borderId="0" xfId="1" applyNumberFormat="1" applyFont="1" applyFill="1" applyBorder="1" applyAlignment="1">
      <alignment horizontal="left" indent="1"/>
    </xf>
    <xf numFmtId="165" fontId="123" fillId="0" borderId="0" xfId="1" applyNumberFormat="1" applyFont="1" applyFill="1" applyBorder="1" applyAlignment="1">
      <alignment horizontal="left" indent="2"/>
    </xf>
    <xf numFmtId="165" fontId="123" fillId="0" borderId="0" xfId="1" quotePrefix="1" applyNumberFormat="1" applyFont="1" applyFill="1" applyBorder="1" applyAlignment="1">
      <alignment horizontal="left" indent="2"/>
    </xf>
    <xf numFmtId="165" fontId="123" fillId="0" borderId="0" xfId="1" quotePrefix="1" applyNumberFormat="1" applyFont="1" applyFill="1" applyBorder="1" applyAlignment="1">
      <alignment horizontal="left"/>
    </xf>
    <xf numFmtId="165" fontId="123" fillId="0" borderId="0" xfId="1" quotePrefix="1" applyNumberFormat="1" applyFont="1" applyFill="1" applyBorder="1" applyAlignment="1">
      <alignment horizontal="left" indent="1"/>
    </xf>
    <xf numFmtId="174" fontId="123" fillId="0" borderId="0" xfId="1" applyNumberFormat="1" applyFont="1" applyFill="1" applyBorder="1"/>
    <xf numFmtId="165" fontId="123" fillId="0" borderId="0" xfId="1" applyNumberFormat="1" applyFont="1" applyFill="1" applyBorder="1" applyAlignment="1">
      <alignment horizontal="left" indent="5"/>
    </xf>
    <xf numFmtId="174" fontId="118" fillId="0" borderId="0" xfId="0" applyNumberFormat="1" applyFont="1" applyFill="1" applyBorder="1"/>
    <xf numFmtId="41" fontId="125" fillId="0" borderId="0" xfId="1782" applyFont="1" applyBorder="1" applyAlignment="1">
      <alignment horizontal="left"/>
    </xf>
    <xf numFmtId="169" fontId="120" fillId="76" borderId="3" xfId="0" applyNumberFormat="1" applyFont="1" applyFill="1" applyBorder="1" applyAlignment="1">
      <alignment horizontal="right" vertical="center"/>
    </xf>
    <xf numFmtId="168" fontId="120" fillId="76" borderId="3" xfId="0" applyNumberFormat="1" applyFont="1" applyFill="1" applyBorder="1" applyAlignment="1">
      <alignment horizontal="right" vertical="center"/>
    </xf>
    <xf numFmtId="49" fontId="120" fillId="76" borderId="3" xfId="0" applyNumberFormat="1" applyFont="1" applyFill="1" applyBorder="1" applyAlignment="1">
      <alignment horizontal="right" vertical="center"/>
    </xf>
    <xf numFmtId="0" fontId="115" fillId="0" borderId="0" xfId="0" applyFont="1" applyAlignment="1">
      <alignment horizontal="center"/>
    </xf>
    <xf numFmtId="0" fontId="120" fillId="0" borderId="0" xfId="1" applyNumberFormat="1" applyFont="1" applyFill="1" applyBorder="1" applyAlignment="1">
      <alignment horizontal="right" vertical="center"/>
    </xf>
    <xf numFmtId="43" fontId="115" fillId="0" borderId="0" xfId="0" applyNumberFormat="1" applyFont="1" applyFill="1"/>
    <xf numFmtId="0" fontId="18" fillId="0" borderId="0" xfId="1" applyNumberFormat="1" applyFont="1"/>
    <xf numFmtId="0" fontId="115" fillId="0" borderId="0" xfId="0" applyNumberFormat="1" applyFont="1" applyAlignment="1">
      <alignment horizontal="center"/>
    </xf>
    <xf numFmtId="203" fontId="18" fillId="0" borderId="0" xfId="5" applyNumberFormat="1" applyFont="1" applyAlignment="1"/>
    <xf numFmtId="0" fontId="21" fillId="0" borderId="0" xfId="0" applyFont="1" applyBorder="1" applyAlignment="1">
      <alignment horizontal="center" wrapText="1"/>
    </xf>
    <xf numFmtId="0" fontId="31" fillId="0" borderId="0" xfId="0" quotePrefix="1" applyFont="1" applyFill="1" applyBorder="1" applyAlignment="1">
      <alignment horizontal="center" wrapText="1"/>
    </xf>
    <xf numFmtId="0" fontId="21" fillId="0" borderId="0" xfId="0" quotePrefix="1" applyFont="1" applyFill="1" applyBorder="1" applyAlignment="1">
      <alignment horizontal="center" wrapText="1"/>
    </xf>
    <xf numFmtId="0" fontId="21" fillId="0" borderId="0" xfId="0" applyFont="1" applyFill="1" applyBorder="1" applyAlignment="1">
      <alignment horizontal="center" wrapText="1"/>
    </xf>
    <xf numFmtId="167" fontId="21" fillId="0" borderId="0" xfId="1" applyNumberFormat="1" applyFont="1" applyFill="1" applyBorder="1" applyAlignment="1">
      <alignment horizontal="center" wrapText="1"/>
    </xf>
    <xf numFmtId="0" fontId="21" fillId="0" borderId="0" xfId="0" quotePrefix="1" applyFont="1" applyBorder="1" applyAlignment="1">
      <alignment horizontal="center" wrapText="1"/>
    </xf>
    <xf numFmtId="0" fontId="21" fillId="0" borderId="0" xfId="0" applyFont="1" applyBorder="1"/>
    <xf numFmtId="2" fontId="21" fillId="0" borderId="0" xfId="0" applyNumberFormat="1" applyFont="1" applyBorder="1" applyAlignment="1">
      <alignment horizontal="right"/>
    </xf>
    <xf numFmtId="14" fontId="0" fillId="15" borderId="0" xfId="0" applyNumberFormat="1" applyFill="1" applyBorder="1"/>
    <xf numFmtId="0" fontId="0" fillId="0" borderId="0" xfId="0" applyFill="1" applyBorder="1"/>
    <xf numFmtId="0" fontId="17" fillId="0" borderId="0" xfId="0" applyFont="1" applyFill="1" applyBorder="1"/>
    <xf numFmtId="2" fontId="0" fillId="0" borderId="0" xfId="0" applyNumberFormat="1" applyBorder="1" applyAlignment="1">
      <alignment horizontal="right"/>
    </xf>
    <xf numFmtId="165" fontId="17" fillId="0" borderId="0" xfId="0" applyNumberFormat="1" applyFont="1" applyFill="1" applyBorder="1"/>
    <xf numFmtId="43" fontId="17" fillId="0" borderId="0" xfId="1" applyFont="1" applyFill="1" applyBorder="1"/>
    <xf numFmtId="165" fontId="0" fillId="0" borderId="0" xfId="1" applyNumberFormat="1" applyFont="1" applyBorder="1"/>
    <xf numFmtId="44" fontId="0" fillId="0" borderId="0" xfId="2" applyFont="1" applyBorder="1"/>
    <xf numFmtId="165" fontId="0" fillId="0" borderId="0" xfId="0" applyNumberFormat="1" applyFill="1" applyBorder="1"/>
    <xf numFmtId="44" fontId="0" fillId="0" borderId="0" xfId="0" applyNumberFormat="1" applyFill="1" applyBorder="1"/>
    <xf numFmtId="44" fontId="0" fillId="0" borderId="0" xfId="2" applyFont="1" applyFill="1" applyBorder="1"/>
    <xf numFmtId="203" fontId="18" fillId="0" borderId="0" xfId="1" applyNumberFormat="1" applyFont="1" applyAlignment="1"/>
    <xf numFmtId="43" fontId="120" fillId="76" borderId="3" xfId="1" applyFont="1" applyFill="1" applyBorder="1" applyAlignment="1">
      <alignment horizontal="right" vertical="center"/>
    </xf>
    <xf numFmtId="14" fontId="0" fillId="4" borderId="0" xfId="0" quotePrefix="1" applyNumberFormat="1" applyFill="1" applyAlignment="1">
      <alignment horizontal="left"/>
    </xf>
    <xf numFmtId="14" fontId="0" fillId="4" borderId="0" xfId="0" quotePrefix="1" applyNumberFormat="1" applyFill="1" applyBorder="1" applyAlignment="1">
      <alignment horizontal="left"/>
    </xf>
    <xf numFmtId="165" fontId="0" fillId="0" borderId="0" xfId="1" applyNumberFormat="1" applyFont="1" applyFill="1" applyBorder="1"/>
    <xf numFmtId="165" fontId="0" fillId="0" borderId="0" xfId="0" applyNumberFormat="1" applyBorder="1"/>
    <xf numFmtId="165" fontId="18" fillId="0" borderId="0" xfId="5" applyNumberFormat="1" applyFont="1" applyAlignment="1"/>
    <xf numFmtId="165" fontId="18" fillId="0" borderId="0" xfId="1" applyNumberFormat="1" applyFont="1" applyAlignment="1"/>
    <xf numFmtId="16" fontId="178" fillId="0" borderId="0" xfId="0" applyNumberFormat="1" applyFont="1"/>
    <xf numFmtId="169" fontId="18" fillId="0" borderId="0" xfId="0" applyNumberFormat="1" applyFont="1" applyAlignment="1"/>
    <xf numFmtId="0" fontId="18" fillId="0" borderId="0" xfId="0" quotePrefix="1" applyFont="1" applyAlignment="1">
      <alignment horizontal="left"/>
    </xf>
    <xf numFmtId="0" fontId="120" fillId="0" borderId="0" xfId="0" applyNumberFormat="1" applyFont="1" applyFill="1" applyBorder="1" applyAlignment="1"/>
    <xf numFmtId="0" fontId="18" fillId="8" borderId="1" xfId="0" applyNumberFormat="1" applyFont="1" applyFill="1" applyBorder="1" applyAlignment="1">
      <alignment vertical="center"/>
    </xf>
    <xf numFmtId="0" fontId="18" fillId="8" borderId="4" xfId="0" applyNumberFormat="1" applyFont="1" applyFill="1" applyBorder="1" applyAlignment="1">
      <alignment vertical="center"/>
    </xf>
    <xf numFmtId="0" fontId="18" fillId="0" borderId="0" xfId="0" applyNumberFormat="1" applyFont="1" applyAlignment="1"/>
    <xf numFmtId="0" fontId="115" fillId="0" borderId="0" xfId="0" applyNumberFormat="1" applyFont="1" applyAlignment="1"/>
    <xf numFmtId="169" fontId="120" fillId="0" borderId="0" xfId="0" quotePrefix="1" applyNumberFormat="1" applyFont="1" applyFill="1" applyBorder="1" applyAlignment="1">
      <alignment horizontal="left"/>
    </xf>
    <xf numFmtId="44" fontId="120" fillId="0" borderId="0" xfId="0" applyNumberFormat="1" applyFont="1" applyFill="1" applyBorder="1" applyAlignment="1"/>
    <xf numFmtId="49" fontId="120" fillId="0" borderId="0" xfId="0" quotePrefix="1" applyNumberFormat="1" applyFont="1" applyFill="1" applyBorder="1" applyAlignment="1">
      <alignment horizontal="left"/>
    </xf>
    <xf numFmtId="44" fontId="185" fillId="0" borderId="0" xfId="0" applyNumberFormat="1" applyFont="1" applyFill="1" applyBorder="1" applyAlignment="1"/>
    <xf numFmtId="44" fontId="120" fillId="0" borderId="0" xfId="2" applyFont="1" applyFill="1" applyBorder="1" applyAlignment="1"/>
    <xf numFmtId="0" fontId="120" fillId="9" borderId="3" xfId="0" applyFont="1" applyFill="1" applyBorder="1" applyAlignment="1">
      <alignment horizontal="right" vertical="center"/>
    </xf>
    <xf numFmtId="0" fontId="120" fillId="10" borderId="3" xfId="0" applyFont="1" applyFill="1" applyBorder="1" applyAlignment="1">
      <alignment horizontal="right" vertical="center"/>
    </xf>
    <xf numFmtId="165" fontId="120" fillId="0" borderId="0" xfId="1" applyNumberFormat="1" applyFont="1" applyFill="1" applyBorder="1" applyAlignment="1"/>
    <xf numFmtId="165" fontId="120" fillId="9" borderId="3" xfId="0" applyNumberFormat="1" applyFont="1" applyFill="1" applyBorder="1" applyAlignment="1">
      <alignment horizontal="right" vertical="center"/>
    </xf>
    <xf numFmtId="165" fontId="120" fillId="10" borderId="3" xfId="0" applyNumberFormat="1" applyFont="1" applyFill="1" applyBorder="1" applyAlignment="1">
      <alignment horizontal="right" vertical="center"/>
    </xf>
    <xf numFmtId="44" fontId="18" fillId="0" borderId="0" xfId="2" applyFont="1" applyAlignment="1"/>
    <xf numFmtId="0" fontId="123" fillId="0" borderId="0" xfId="4" applyNumberFormat="1" applyFont="1" applyFill="1" applyBorder="1"/>
    <xf numFmtId="44" fontId="19" fillId="0" borderId="0" xfId="2" applyFont="1" applyBorder="1" applyAlignment="1">
      <alignment horizontal="center"/>
    </xf>
    <xf numFmtId="0" fontId="115" fillId="0" borderId="0" xfId="0" applyFont="1" applyAlignment="1">
      <alignment horizontal="center"/>
    </xf>
    <xf numFmtId="41" fontId="186" fillId="0" borderId="0" xfId="1782" applyFont="1"/>
    <xf numFmtId="41" fontId="123" fillId="0" borderId="50" xfId="1782" applyFont="1" applyBorder="1" applyAlignment="1">
      <alignment horizontal="center" wrapText="1"/>
    </xf>
    <xf numFmtId="174" fontId="123" fillId="0" borderId="50" xfId="1360" quotePrefix="1" applyNumberFormat="1" applyFont="1" applyBorder="1" applyAlignment="1">
      <alignment horizontal="center" wrapText="1"/>
    </xf>
    <xf numFmtId="44" fontId="123" fillId="0" borderId="0" xfId="2" applyFont="1" applyAlignment="1">
      <alignment horizontal="center"/>
    </xf>
    <xf numFmtId="41" fontId="123" fillId="0" borderId="0" xfId="1782" quotePrefix="1" applyFont="1" applyAlignment="1">
      <alignment horizontal="left" indent="1"/>
    </xf>
    <xf numFmtId="41" fontId="125" fillId="0" borderId="0" xfId="1782" quotePrefix="1" applyFont="1" applyAlignment="1">
      <alignment horizontal="right"/>
    </xf>
    <xf numFmtId="174" fontId="134" fillId="0" borderId="0" xfId="2" applyNumberFormat="1" applyFont="1"/>
    <xf numFmtId="0" fontId="115" fillId="0" borderId="0" xfId="0" applyFont="1" applyAlignment="1">
      <alignment horizontal="left" indent="4"/>
    </xf>
    <xf numFmtId="41" fontId="123" fillId="0" borderId="0" xfId="1782" quotePrefix="1" applyFont="1" applyAlignment="1">
      <alignment horizontal="left" indent="4"/>
    </xf>
    <xf numFmtId="0" fontId="180" fillId="0" borderId="0" xfId="0" applyFont="1" applyAlignment="1">
      <alignment horizontal="left" indent="4"/>
    </xf>
    <xf numFmtId="0" fontId="115" fillId="0" borderId="0" xfId="0" applyFont="1" applyAlignment="1">
      <alignment horizontal="left" indent="7"/>
    </xf>
    <xf numFmtId="0" fontId="115" fillId="0" borderId="0" xfId="0" quotePrefix="1" applyFont="1" applyAlignment="1">
      <alignment horizontal="left" indent="7"/>
    </xf>
    <xf numFmtId="174" fontId="178" fillId="0" borderId="0" xfId="2" applyNumberFormat="1" applyFont="1" applyFill="1" applyBorder="1"/>
    <xf numFmtId="43" fontId="125" fillId="0" borderId="0" xfId="1782" applyNumberFormat="1" applyFont="1" applyBorder="1" applyAlignment="1">
      <alignment horizontal="left"/>
    </xf>
    <xf numFmtId="0" fontId="115" fillId="0" borderId="0" xfId="0" applyNumberFormat="1" applyFont="1" applyFill="1" applyBorder="1"/>
    <xf numFmtId="0" fontId="115" fillId="0" borderId="0" xfId="0" quotePrefix="1" applyNumberFormat="1" applyFont="1" applyFill="1" applyBorder="1" applyAlignment="1">
      <alignment horizontal="left"/>
    </xf>
    <xf numFmtId="0" fontId="0" fillId="0" borderId="0" xfId="0" quotePrefix="1" applyBorder="1" applyAlignment="1">
      <alignment horizontal="right"/>
    </xf>
    <xf numFmtId="174" fontId="179" fillId="0" borderId="0" xfId="2" applyNumberFormat="1" applyFont="1" applyFill="1" applyBorder="1"/>
    <xf numFmtId="175" fontId="13" fillId="0" borderId="49" xfId="4" quotePrefix="1" applyFont="1" applyBorder="1" applyAlignment="1">
      <alignment horizontal="center"/>
    </xf>
    <xf numFmtId="175" fontId="13" fillId="0" borderId="50" xfId="4" applyFont="1" applyBorder="1" applyAlignment="1">
      <alignment horizontal="center"/>
    </xf>
    <xf numFmtId="175" fontId="13" fillId="0" borderId="51" xfId="4" applyFont="1" applyBorder="1" applyAlignment="1">
      <alignment horizontal="center"/>
    </xf>
    <xf numFmtId="165" fontId="13" fillId="0" borderId="49" xfId="13" quotePrefix="1" applyNumberFormat="1" applyFont="1" applyBorder="1" applyAlignment="1">
      <alignment horizontal="center"/>
    </xf>
    <xf numFmtId="165" fontId="13" fillId="0" borderId="50" xfId="13" applyNumberFormat="1" applyFont="1" applyBorder="1" applyAlignment="1">
      <alignment horizontal="center"/>
    </xf>
    <xf numFmtId="165" fontId="13" fillId="0" borderId="51" xfId="13"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0" fontId="100" fillId="0" borderId="0" xfId="0" applyFont="1" applyAlignment="1">
      <alignment horizontal="center"/>
    </xf>
    <xf numFmtId="0" fontId="100" fillId="0" borderId="0" xfId="0" quotePrefix="1" applyFont="1" applyAlignment="1">
      <alignment horizontal="center"/>
    </xf>
    <xf numFmtId="0" fontId="100" fillId="0" borderId="23" xfId="0" quotePrefix="1" applyFont="1" applyBorder="1" applyAlignment="1">
      <alignment horizontal="center" wrapText="1"/>
    </xf>
    <xf numFmtId="0" fontId="100" fillId="0" borderId="23" xfId="0" applyFont="1" applyBorder="1" applyAlignment="1">
      <alignment horizontal="center" wrapText="1"/>
    </xf>
    <xf numFmtId="0" fontId="100" fillId="0" borderId="24" xfId="0" applyFont="1" applyBorder="1" applyAlignment="1">
      <alignment horizontal="center" wrapText="1"/>
    </xf>
    <xf numFmtId="0" fontId="112" fillId="0" borderId="0" xfId="0" applyFont="1" applyAlignment="1">
      <alignment horizontal="center"/>
    </xf>
    <xf numFmtId="0" fontId="113" fillId="0" borderId="0" xfId="0" quotePrefix="1" applyFont="1" applyAlignment="1">
      <alignment horizontal="center"/>
    </xf>
    <xf numFmtId="0" fontId="113" fillId="0" borderId="0" xfId="0" applyFont="1" applyAlignment="1">
      <alignment horizontal="center"/>
    </xf>
    <xf numFmtId="41" fontId="102" fillId="0" borderId="6" xfId="1782" applyFont="1" applyBorder="1" applyAlignment="1">
      <alignment horizontal="center"/>
    </xf>
    <xf numFmtId="41" fontId="102" fillId="0" borderId="6" xfId="1782" quotePrefix="1" applyFont="1" applyBorder="1" applyAlignment="1">
      <alignment horizontal="center"/>
    </xf>
    <xf numFmtId="0" fontId="116" fillId="15" borderId="0" xfId="0" quotePrefix="1" applyFont="1" applyFill="1" applyAlignment="1">
      <alignment horizontal="center" wrapText="1"/>
    </xf>
    <xf numFmtId="0" fontId="115" fillId="0" borderId="0" xfId="0" quotePrefix="1" applyFont="1" applyAlignment="1">
      <alignment horizontal="center"/>
    </xf>
    <xf numFmtId="0" fontId="115" fillId="0" borderId="0" xfId="0" applyFont="1" applyAlignment="1">
      <alignment horizontal="center"/>
    </xf>
    <xf numFmtId="0" fontId="115" fillId="0" borderId="0" xfId="0" applyFont="1" applyFill="1" applyAlignment="1">
      <alignment horizontal="center"/>
    </xf>
    <xf numFmtId="0" fontId="6" fillId="0" borderId="0" xfId="11" applyFont="1" applyAlignment="1">
      <alignment horizontal="center"/>
    </xf>
  </cellXfs>
  <cellStyles count="15121">
    <cellStyle name="_Row1" xfId="2114"/>
    <cellStyle name="_Row1 2" xfId="2115"/>
    <cellStyle name="=C:\WINNT\SYSTEM32\COMMAND.COM" xfId="2116"/>
    <cellStyle name="=C:\WINNT\SYSTEM32\COMMAND.COM 2" xfId="2117"/>
    <cellStyle name="=C:\WINNT\SYSTEM32\COMMAND.COM 2 2" xfId="2118"/>
    <cellStyle name="=C:\WINNT\SYSTEM32\COMMAND.COM 3" xfId="2119"/>
    <cellStyle name="=C:\WINNT35\SYSTEM32\COMMAND.COM" xfId="2120"/>
    <cellStyle name="20% - Accent1 10" xfId="14"/>
    <cellStyle name="20% - Accent1 10 2" xfId="2121"/>
    <cellStyle name="20% - Accent1 10 2 2" xfId="2122"/>
    <cellStyle name="20% - Accent1 10 3" xfId="2123"/>
    <cellStyle name="20% - Accent1 10 4" xfId="2124"/>
    <cellStyle name="20% - Accent1 11" xfId="15"/>
    <cellStyle name="20% - Accent1 11 2" xfId="2125"/>
    <cellStyle name="20% - Accent1 11 2 2" xfId="2126"/>
    <cellStyle name="20% - Accent1 11 3" xfId="2127"/>
    <cellStyle name="20% - Accent1 11 4" xfId="2128"/>
    <cellStyle name="20% - Accent1 12" xfId="16"/>
    <cellStyle name="20% - Accent1 12 2" xfId="2129"/>
    <cellStyle name="20% - Accent1 12 3" xfId="2130"/>
    <cellStyle name="20% - Accent1 13" xfId="17"/>
    <cellStyle name="20% - Accent1 13 2" xfId="2131"/>
    <cellStyle name="20% - Accent1 14" xfId="18"/>
    <cellStyle name="20% - Accent1 15" xfId="19"/>
    <cellStyle name="20% - Accent1 15 2" xfId="20"/>
    <cellStyle name="20% - Accent1 15 3" xfId="21"/>
    <cellStyle name="20% - Accent1 15 4" xfId="22"/>
    <cellStyle name="20% - Accent1 15 5" xfId="23"/>
    <cellStyle name="20% - Accent1 16" xfId="24"/>
    <cellStyle name="20% - Accent1 16 2" xfId="25"/>
    <cellStyle name="20% - Accent1 16 3" xfId="26"/>
    <cellStyle name="20% - Accent1 16 4" xfId="27"/>
    <cellStyle name="20% - Accent1 16 5" xfId="28"/>
    <cellStyle name="20% - Accent1 17" xfId="29"/>
    <cellStyle name="20% - Accent1 17 2" xfId="30"/>
    <cellStyle name="20% - Accent1 17 3" xfId="31"/>
    <cellStyle name="20% - Accent1 17 4" xfId="32"/>
    <cellStyle name="20% - Accent1 17 5" xfId="33"/>
    <cellStyle name="20% - Accent1 18" xfId="34"/>
    <cellStyle name="20% - Accent1 19" xfId="35"/>
    <cellStyle name="20% - Accent1 2" xfId="36"/>
    <cellStyle name="20% - Accent1 2 2" xfId="37"/>
    <cellStyle name="20% - Accent1 2 2 2" xfId="38"/>
    <cellStyle name="20% - Accent1 2 2 2 2" xfId="39"/>
    <cellStyle name="20% - Accent1 2 2 2 2 2" xfId="2132"/>
    <cellStyle name="20% - Accent1 2 2 2 2 2 2" xfId="2133"/>
    <cellStyle name="20% - Accent1 2 2 2 2 2 2 2" xfId="2134"/>
    <cellStyle name="20% - Accent1 2 2 2 2 2 3" xfId="2135"/>
    <cellStyle name="20% - Accent1 2 2 2 2 3" xfId="2136"/>
    <cellStyle name="20% - Accent1 2 2 2 2 3 2" xfId="2137"/>
    <cellStyle name="20% - Accent1 2 2 2 2 4" xfId="2138"/>
    <cellStyle name="20% - Accent1 2 2 2 2 5" xfId="2139"/>
    <cellStyle name="20% - Accent1 2 2 2 3" xfId="40"/>
    <cellStyle name="20% - Accent1 2 2 2 3 2" xfId="2140"/>
    <cellStyle name="20% - Accent1 2 2 2 3 2 2" xfId="2141"/>
    <cellStyle name="20% - Accent1 2 2 2 3 3" xfId="2142"/>
    <cellStyle name="20% - Accent1 2 2 2 4" xfId="41"/>
    <cellStyle name="20% - Accent1 2 2 2 4 2" xfId="2143"/>
    <cellStyle name="20% - Accent1 2 2 2 5" xfId="42"/>
    <cellStyle name="20% - Accent1 2 2 2 6" xfId="2144"/>
    <cellStyle name="20% - Accent1 2 2 3" xfId="43"/>
    <cellStyle name="20% - Accent1 2 2 3 2" xfId="2145"/>
    <cellStyle name="20% - Accent1 2 2 3 2 2" xfId="2146"/>
    <cellStyle name="20% - Accent1 2 2 3 2 2 2" xfId="2147"/>
    <cellStyle name="20% - Accent1 2 2 3 2 3" xfId="2148"/>
    <cellStyle name="20% - Accent1 2 2 3 3" xfId="2149"/>
    <cellStyle name="20% - Accent1 2 2 3 3 2" xfId="2150"/>
    <cellStyle name="20% - Accent1 2 2 3 4" xfId="2151"/>
    <cellStyle name="20% - Accent1 2 2 3 5" xfId="2152"/>
    <cellStyle name="20% - Accent1 2 2 4" xfId="44"/>
    <cellStyle name="20% - Accent1 2 2 4 2" xfId="2153"/>
    <cellStyle name="20% - Accent1 2 2 4 2 2" xfId="2154"/>
    <cellStyle name="20% - Accent1 2 2 4 3" xfId="2155"/>
    <cellStyle name="20% - Accent1 2 2 5" xfId="45"/>
    <cellStyle name="20% - Accent1 2 2 5 2" xfId="2156"/>
    <cellStyle name="20% - Accent1 2 2 6" xfId="2157"/>
    <cellStyle name="20% - Accent1 2 2 7" xfId="2158"/>
    <cellStyle name="20% - Accent1 2 3" xfId="46"/>
    <cellStyle name="20% - Accent1 2 3 2" xfId="2159"/>
    <cellStyle name="20% - Accent1 2 3 2 2" xfId="2160"/>
    <cellStyle name="20% - Accent1 2 3 2 2 2" xfId="2161"/>
    <cellStyle name="20% - Accent1 2 3 2 2 2 2" xfId="2162"/>
    <cellStyle name="20% - Accent1 2 3 2 2 3" xfId="2163"/>
    <cellStyle name="20% - Accent1 2 3 2 3" xfId="2164"/>
    <cellStyle name="20% - Accent1 2 3 2 3 2" xfId="2165"/>
    <cellStyle name="20% - Accent1 2 3 2 4" xfId="2166"/>
    <cellStyle name="20% - Accent1 2 3 3" xfId="2167"/>
    <cellStyle name="20% - Accent1 2 3 3 2" xfId="2168"/>
    <cellStyle name="20% - Accent1 2 3 3 2 2" xfId="2169"/>
    <cellStyle name="20% - Accent1 2 3 3 3" xfId="2170"/>
    <cellStyle name="20% - Accent1 2 3 4" xfId="2171"/>
    <cellStyle name="20% - Accent1 2 3 4 2" xfId="2172"/>
    <cellStyle name="20% - Accent1 2 3 5" xfId="2173"/>
    <cellStyle name="20% - Accent1 2 3 6" xfId="2174"/>
    <cellStyle name="20% - Accent1 2 4" xfId="47"/>
    <cellStyle name="20% - Accent1 2 4 2" xfId="2175"/>
    <cellStyle name="20% - Accent1 2 4 2 2" xfId="2176"/>
    <cellStyle name="20% - Accent1 2 4 2 2 2" xfId="2177"/>
    <cellStyle name="20% - Accent1 2 4 2 3" xfId="2178"/>
    <cellStyle name="20% - Accent1 2 4 3" xfId="2179"/>
    <cellStyle name="20% - Accent1 2 4 3 2" xfId="2180"/>
    <cellStyle name="20% - Accent1 2 4 4" xfId="2181"/>
    <cellStyle name="20% - Accent1 2 4 5" xfId="2182"/>
    <cellStyle name="20% - Accent1 2 5" xfId="48"/>
    <cellStyle name="20% - Accent1 2 5 2" xfId="2183"/>
    <cellStyle name="20% - Accent1 2 5 2 2" xfId="2184"/>
    <cellStyle name="20% - Accent1 2 5 3" xfId="2185"/>
    <cellStyle name="20% - Accent1 2 5 4" xfId="2186"/>
    <cellStyle name="20% - Accent1 2 6" xfId="49"/>
    <cellStyle name="20% - Accent1 2 6 2" xfId="2187"/>
    <cellStyle name="20% - Accent1 2 6 3" xfId="2188"/>
    <cellStyle name="20% - Accent1 2 7" xfId="50"/>
    <cellStyle name="20% - Accent1 2 8" xfId="51"/>
    <cellStyle name="20% - Accent1 2 9" xfId="52"/>
    <cellStyle name="20% - Accent1 20" xfId="53"/>
    <cellStyle name="20% - Accent1 21" xfId="54"/>
    <cellStyle name="20% - Accent1 22" xfId="55"/>
    <cellStyle name="20% - Accent1 23" xfId="56"/>
    <cellStyle name="20% - Accent1 24" xfId="57"/>
    <cellStyle name="20% - Accent1 25" xfId="58"/>
    <cellStyle name="20% - Accent1 26" xfId="59"/>
    <cellStyle name="20% - Accent1 27" xfId="60"/>
    <cellStyle name="20% - Accent1 28" xfId="61"/>
    <cellStyle name="20% - Accent1 29" xfId="62"/>
    <cellStyle name="20% - Accent1 3" xfId="63"/>
    <cellStyle name="20% - Accent1 3 2" xfId="2189"/>
    <cellStyle name="20% - Accent1 3 2 2" xfId="2190"/>
    <cellStyle name="20% - Accent1 3 2 2 2" xfId="2191"/>
    <cellStyle name="20% - Accent1 3 2 2 2 2" xfId="2192"/>
    <cellStyle name="20% - Accent1 3 2 2 2 2 2" xfId="2193"/>
    <cellStyle name="20% - Accent1 3 2 2 2 2 2 2" xfId="2194"/>
    <cellStyle name="20% - Accent1 3 2 2 2 2 3" xfId="2195"/>
    <cellStyle name="20% - Accent1 3 2 2 2 3" xfId="2196"/>
    <cellStyle name="20% - Accent1 3 2 2 2 3 2" xfId="2197"/>
    <cellStyle name="20% - Accent1 3 2 2 2 4" xfId="2198"/>
    <cellStyle name="20% - Accent1 3 2 2 3" xfId="2199"/>
    <cellStyle name="20% - Accent1 3 2 2 3 2" xfId="2200"/>
    <cellStyle name="20% - Accent1 3 2 2 3 2 2" xfId="2201"/>
    <cellStyle name="20% - Accent1 3 2 2 3 3" xfId="2202"/>
    <cellStyle name="20% - Accent1 3 2 2 4" xfId="2203"/>
    <cellStyle name="20% - Accent1 3 2 2 4 2" xfId="2204"/>
    <cellStyle name="20% - Accent1 3 2 2 5" xfId="2205"/>
    <cellStyle name="20% - Accent1 3 2 2 6" xfId="2206"/>
    <cellStyle name="20% - Accent1 3 2 3" xfId="2207"/>
    <cellStyle name="20% - Accent1 3 2 3 2" xfId="2208"/>
    <cellStyle name="20% - Accent1 3 2 3 2 2" xfId="2209"/>
    <cellStyle name="20% - Accent1 3 2 3 2 2 2" xfId="2210"/>
    <cellStyle name="20% - Accent1 3 2 3 2 3" xfId="2211"/>
    <cellStyle name="20% - Accent1 3 2 3 3" xfId="2212"/>
    <cellStyle name="20% - Accent1 3 2 3 3 2" xfId="2213"/>
    <cellStyle name="20% - Accent1 3 2 3 4" xfId="2214"/>
    <cellStyle name="20% - Accent1 3 2 4" xfId="2215"/>
    <cellStyle name="20% - Accent1 3 2 4 2" xfId="2216"/>
    <cellStyle name="20% - Accent1 3 2 4 2 2" xfId="2217"/>
    <cellStyle name="20% - Accent1 3 2 4 3" xfId="2218"/>
    <cellStyle name="20% - Accent1 3 2 5" xfId="2219"/>
    <cellStyle name="20% - Accent1 3 2 5 2" xfId="2220"/>
    <cellStyle name="20% - Accent1 3 2 6" xfId="2221"/>
    <cellStyle name="20% - Accent1 3 2 7" xfId="2222"/>
    <cellStyle name="20% - Accent1 3 3" xfId="2223"/>
    <cellStyle name="20% - Accent1 3 3 2" xfId="2224"/>
    <cellStyle name="20% - Accent1 3 3 2 2" xfId="2225"/>
    <cellStyle name="20% - Accent1 3 3 2 2 2" xfId="2226"/>
    <cellStyle name="20% - Accent1 3 3 2 2 2 2" xfId="2227"/>
    <cellStyle name="20% - Accent1 3 3 2 2 3" xfId="2228"/>
    <cellStyle name="20% - Accent1 3 3 2 3" xfId="2229"/>
    <cellStyle name="20% - Accent1 3 3 2 3 2" xfId="2230"/>
    <cellStyle name="20% - Accent1 3 3 2 4" xfId="2231"/>
    <cellStyle name="20% - Accent1 3 3 3" xfId="2232"/>
    <cellStyle name="20% - Accent1 3 3 3 2" xfId="2233"/>
    <cellStyle name="20% - Accent1 3 3 3 2 2" xfId="2234"/>
    <cellStyle name="20% - Accent1 3 3 3 3" xfId="2235"/>
    <cellStyle name="20% - Accent1 3 3 4" xfId="2236"/>
    <cellStyle name="20% - Accent1 3 3 4 2" xfId="2237"/>
    <cellStyle name="20% - Accent1 3 3 5" xfId="2238"/>
    <cellStyle name="20% - Accent1 3 3 6" xfId="2239"/>
    <cellStyle name="20% - Accent1 3 4" xfId="2240"/>
    <cellStyle name="20% - Accent1 3 4 2" xfId="2241"/>
    <cellStyle name="20% - Accent1 3 4 2 2" xfId="2242"/>
    <cellStyle name="20% - Accent1 3 4 2 2 2" xfId="2243"/>
    <cellStyle name="20% - Accent1 3 4 2 3" xfId="2244"/>
    <cellStyle name="20% - Accent1 3 4 3" xfId="2245"/>
    <cellStyle name="20% - Accent1 3 4 3 2" xfId="2246"/>
    <cellStyle name="20% - Accent1 3 4 4" xfId="2247"/>
    <cellStyle name="20% - Accent1 3 4 5" xfId="2248"/>
    <cellStyle name="20% - Accent1 3 5" xfId="2249"/>
    <cellStyle name="20% - Accent1 3 5 2" xfId="2250"/>
    <cellStyle name="20% - Accent1 3 5 2 2" xfId="2251"/>
    <cellStyle name="20% - Accent1 3 5 3" xfId="2252"/>
    <cellStyle name="20% - Accent1 3 6" xfId="2253"/>
    <cellStyle name="20% - Accent1 3 6 2" xfId="2254"/>
    <cellStyle name="20% - Accent1 3 7" xfId="2255"/>
    <cellStyle name="20% - Accent1 3 8" xfId="2256"/>
    <cellStyle name="20% - Accent1 3 9" xfId="2257"/>
    <cellStyle name="20% - Accent1 30" xfId="64"/>
    <cellStyle name="20% - Accent1 31" xfId="65"/>
    <cellStyle name="20% - Accent1 32" xfId="66"/>
    <cellStyle name="20% - Accent1 33" xfId="67"/>
    <cellStyle name="20% - Accent1 34" xfId="68"/>
    <cellStyle name="20% - Accent1 35" xfId="69"/>
    <cellStyle name="20% - Accent1 4" xfId="70"/>
    <cellStyle name="20% - Accent1 4 2" xfId="2258"/>
    <cellStyle name="20% - Accent1 4 2 2" xfId="2259"/>
    <cellStyle name="20% - Accent1 4 2 2 2" xfId="2260"/>
    <cellStyle name="20% - Accent1 4 2 2 2 2" xfId="2261"/>
    <cellStyle name="20% - Accent1 4 2 2 2 2 2" xfId="2262"/>
    <cellStyle name="20% - Accent1 4 2 2 2 3" xfId="2263"/>
    <cellStyle name="20% - Accent1 4 2 2 3" xfId="2264"/>
    <cellStyle name="20% - Accent1 4 2 2 3 2" xfId="2265"/>
    <cellStyle name="20% - Accent1 4 2 2 4" xfId="2266"/>
    <cellStyle name="20% - Accent1 4 2 3" xfId="2267"/>
    <cellStyle name="20% - Accent1 4 2 3 2" xfId="2268"/>
    <cellStyle name="20% - Accent1 4 2 3 2 2" xfId="2269"/>
    <cellStyle name="20% - Accent1 4 2 3 3" xfId="2270"/>
    <cellStyle name="20% - Accent1 4 2 4" xfId="2271"/>
    <cellStyle name="20% - Accent1 4 2 4 2" xfId="2272"/>
    <cellStyle name="20% - Accent1 4 2 5" xfId="2273"/>
    <cellStyle name="20% - Accent1 4 2 6" xfId="2274"/>
    <cellStyle name="20% - Accent1 4 3" xfId="2275"/>
    <cellStyle name="20% - Accent1 4 3 2" xfId="2276"/>
    <cellStyle name="20% - Accent1 4 3 2 2" xfId="2277"/>
    <cellStyle name="20% - Accent1 4 3 2 2 2" xfId="2278"/>
    <cellStyle name="20% - Accent1 4 3 2 3" xfId="2279"/>
    <cellStyle name="20% - Accent1 4 3 3" xfId="2280"/>
    <cellStyle name="20% - Accent1 4 3 3 2" xfId="2281"/>
    <cellStyle name="20% - Accent1 4 3 4" xfId="2282"/>
    <cellStyle name="20% - Accent1 4 3 5" xfId="2283"/>
    <cellStyle name="20% - Accent1 4 4" xfId="2284"/>
    <cellStyle name="20% - Accent1 4 4 2" xfId="2285"/>
    <cellStyle name="20% - Accent1 4 4 2 2" xfId="2286"/>
    <cellStyle name="20% - Accent1 4 4 3" xfId="2287"/>
    <cellStyle name="20% - Accent1 4 5" xfId="2288"/>
    <cellStyle name="20% - Accent1 4 5 2" xfId="2289"/>
    <cellStyle name="20% - Accent1 4 6" xfId="2290"/>
    <cellStyle name="20% - Accent1 4 7" xfId="2291"/>
    <cellStyle name="20% - Accent1 5" xfId="71"/>
    <cellStyle name="20% - Accent1 5 2" xfId="2292"/>
    <cellStyle name="20% - Accent1 5 2 2" xfId="2293"/>
    <cellStyle name="20% - Accent1 5 2 2 2" xfId="2294"/>
    <cellStyle name="20% - Accent1 5 2 2 2 2" xfId="2295"/>
    <cellStyle name="20% - Accent1 5 2 2 3" xfId="2296"/>
    <cellStyle name="20% - Accent1 5 2 3" xfId="2297"/>
    <cellStyle name="20% - Accent1 5 2 3 2" xfId="2298"/>
    <cellStyle name="20% - Accent1 5 2 4" xfId="2299"/>
    <cellStyle name="20% - Accent1 5 2 5" xfId="2300"/>
    <cellStyle name="20% - Accent1 5 3" xfId="2301"/>
    <cellStyle name="20% - Accent1 5 3 2" xfId="2302"/>
    <cellStyle name="20% - Accent1 5 3 2 2" xfId="2303"/>
    <cellStyle name="20% - Accent1 5 3 3" xfId="2304"/>
    <cellStyle name="20% - Accent1 5 4" xfId="2305"/>
    <cellStyle name="20% - Accent1 5 4 2" xfId="2306"/>
    <cellStyle name="20% - Accent1 5 5" xfId="2307"/>
    <cellStyle name="20% - Accent1 5 6" xfId="2308"/>
    <cellStyle name="20% - Accent1 6" xfId="72"/>
    <cellStyle name="20% - Accent1 6 2" xfId="2309"/>
    <cellStyle name="20% - Accent1 6 2 2" xfId="2310"/>
    <cellStyle name="20% - Accent1 6 2 2 2" xfId="2311"/>
    <cellStyle name="20% - Accent1 6 2 3" xfId="2312"/>
    <cellStyle name="20% - Accent1 6 2 4" xfId="2313"/>
    <cellStyle name="20% - Accent1 6 2 5" xfId="2314"/>
    <cellStyle name="20% - Accent1 6 3" xfId="2315"/>
    <cellStyle name="20% - Accent1 6 3 2" xfId="2316"/>
    <cellStyle name="20% - Accent1 6 4" xfId="2317"/>
    <cellStyle name="20% - Accent1 6 5" xfId="2318"/>
    <cellStyle name="20% - Accent1 7" xfId="73"/>
    <cellStyle name="20% - Accent1 7 2" xfId="2319"/>
    <cellStyle name="20% - Accent1 7 2 2" xfId="2320"/>
    <cellStyle name="20% - Accent1 7 2 2 2" xfId="2321"/>
    <cellStyle name="20% - Accent1 7 2 3" xfId="2322"/>
    <cellStyle name="20% - Accent1 7 3" xfId="2323"/>
    <cellStyle name="20% - Accent1 7 3 2" xfId="2324"/>
    <cellStyle name="20% - Accent1 7 4" xfId="2325"/>
    <cellStyle name="20% - Accent1 7 5" xfId="2326"/>
    <cellStyle name="20% - Accent1 8" xfId="74"/>
    <cellStyle name="20% - Accent1 8 2" xfId="2327"/>
    <cellStyle name="20% - Accent1 8 2 2" xfId="2328"/>
    <cellStyle name="20% - Accent1 8 2 2 2" xfId="2329"/>
    <cellStyle name="20% - Accent1 8 2 3" xfId="2330"/>
    <cellStyle name="20% - Accent1 8 3" xfId="2331"/>
    <cellStyle name="20% - Accent1 8 3 2" xfId="2332"/>
    <cellStyle name="20% - Accent1 8 4" xfId="2333"/>
    <cellStyle name="20% - Accent1 8 5" xfId="2334"/>
    <cellStyle name="20% - Accent1 9" xfId="75"/>
    <cellStyle name="20% - Accent1 9 2" xfId="2335"/>
    <cellStyle name="20% - Accent1 9 2 2" xfId="2336"/>
    <cellStyle name="20% - Accent1 9 3" xfId="2337"/>
    <cellStyle name="20% - Accent1 9 4" xfId="2338"/>
    <cellStyle name="20% - Accent2 10" xfId="76"/>
    <cellStyle name="20% - Accent2 10 2" xfId="2339"/>
    <cellStyle name="20% - Accent2 10 2 2" xfId="2340"/>
    <cellStyle name="20% - Accent2 10 3" xfId="2341"/>
    <cellStyle name="20% - Accent2 10 4" xfId="2342"/>
    <cellStyle name="20% - Accent2 11" xfId="77"/>
    <cellStyle name="20% - Accent2 11 2" xfId="2343"/>
    <cellStyle name="20% - Accent2 11 2 2" xfId="2344"/>
    <cellStyle name="20% - Accent2 11 3" xfId="2345"/>
    <cellStyle name="20% - Accent2 11 4" xfId="2346"/>
    <cellStyle name="20% - Accent2 12" xfId="78"/>
    <cellStyle name="20% - Accent2 12 2" xfId="2347"/>
    <cellStyle name="20% - Accent2 12 3" xfId="2348"/>
    <cellStyle name="20% - Accent2 13" xfId="79"/>
    <cellStyle name="20% - Accent2 13 2" xfId="2349"/>
    <cellStyle name="20% - Accent2 14" xfId="80"/>
    <cellStyle name="20% - Accent2 15" xfId="81"/>
    <cellStyle name="20% - Accent2 15 2" xfId="82"/>
    <cellStyle name="20% - Accent2 15 3" xfId="83"/>
    <cellStyle name="20% - Accent2 15 4" xfId="84"/>
    <cellStyle name="20% - Accent2 15 5" xfId="85"/>
    <cellStyle name="20% - Accent2 16" xfId="86"/>
    <cellStyle name="20% - Accent2 16 2" xfId="87"/>
    <cellStyle name="20% - Accent2 16 3" xfId="88"/>
    <cellStyle name="20% - Accent2 16 4" xfId="89"/>
    <cellStyle name="20% - Accent2 16 5" xfId="90"/>
    <cellStyle name="20% - Accent2 17" xfId="91"/>
    <cellStyle name="20% - Accent2 17 2" xfId="92"/>
    <cellStyle name="20% - Accent2 17 3" xfId="93"/>
    <cellStyle name="20% - Accent2 17 4" xfId="94"/>
    <cellStyle name="20% - Accent2 17 5" xfId="95"/>
    <cellStyle name="20% - Accent2 18" xfId="96"/>
    <cellStyle name="20% - Accent2 19" xfId="97"/>
    <cellStyle name="20% - Accent2 2" xfId="98"/>
    <cellStyle name="20% - Accent2 2 2" xfId="99"/>
    <cellStyle name="20% - Accent2 2 2 2" xfId="100"/>
    <cellStyle name="20% - Accent2 2 2 2 2" xfId="101"/>
    <cellStyle name="20% - Accent2 2 2 2 2 2" xfId="2350"/>
    <cellStyle name="20% - Accent2 2 2 2 2 2 2" xfId="2351"/>
    <cellStyle name="20% - Accent2 2 2 2 2 2 2 2" xfId="2352"/>
    <cellStyle name="20% - Accent2 2 2 2 2 2 3" xfId="2353"/>
    <cellStyle name="20% - Accent2 2 2 2 2 3" xfId="2354"/>
    <cellStyle name="20% - Accent2 2 2 2 2 3 2" xfId="2355"/>
    <cellStyle name="20% - Accent2 2 2 2 2 4" xfId="2356"/>
    <cellStyle name="20% - Accent2 2 2 2 2 5" xfId="2357"/>
    <cellStyle name="20% - Accent2 2 2 2 3" xfId="102"/>
    <cellStyle name="20% - Accent2 2 2 2 3 2" xfId="2358"/>
    <cellStyle name="20% - Accent2 2 2 2 3 2 2" xfId="2359"/>
    <cellStyle name="20% - Accent2 2 2 2 3 3" xfId="2360"/>
    <cellStyle name="20% - Accent2 2 2 2 4" xfId="103"/>
    <cellStyle name="20% - Accent2 2 2 2 4 2" xfId="2361"/>
    <cellStyle name="20% - Accent2 2 2 2 5" xfId="104"/>
    <cellStyle name="20% - Accent2 2 2 2 6" xfId="2362"/>
    <cellStyle name="20% - Accent2 2 2 3" xfId="105"/>
    <cellStyle name="20% - Accent2 2 2 3 2" xfId="2363"/>
    <cellStyle name="20% - Accent2 2 2 3 2 2" xfId="2364"/>
    <cellStyle name="20% - Accent2 2 2 3 2 2 2" xfId="2365"/>
    <cellStyle name="20% - Accent2 2 2 3 2 3" xfId="2366"/>
    <cellStyle name="20% - Accent2 2 2 3 3" xfId="2367"/>
    <cellStyle name="20% - Accent2 2 2 3 3 2" xfId="2368"/>
    <cellStyle name="20% - Accent2 2 2 3 4" xfId="2369"/>
    <cellStyle name="20% - Accent2 2 2 3 5" xfId="2370"/>
    <cellStyle name="20% - Accent2 2 2 4" xfId="106"/>
    <cellStyle name="20% - Accent2 2 2 4 2" xfId="2371"/>
    <cellStyle name="20% - Accent2 2 2 4 2 2" xfId="2372"/>
    <cellStyle name="20% - Accent2 2 2 4 3" xfId="2373"/>
    <cellStyle name="20% - Accent2 2 2 5" xfId="107"/>
    <cellStyle name="20% - Accent2 2 2 5 2" xfId="2374"/>
    <cellStyle name="20% - Accent2 2 2 6" xfId="2375"/>
    <cellStyle name="20% - Accent2 2 2 7" xfId="2376"/>
    <cellStyle name="20% - Accent2 2 3" xfId="108"/>
    <cellStyle name="20% - Accent2 2 3 2" xfId="2377"/>
    <cellStyle name="20% - Accent2 2 3 2 2" xfId="2378"/>
    <cellStyle name="20% - Accent2 2 3 2 2 2" xfId="2379"/>
    <cellStyle name="20% - Accent2 2 3 2 2 2 2" xfId="2380"/>
    <cellStyle name="20% - Accent2 2 3 2 2 3" xfId="2381"/>
    <cellStyle name="20% - Accent2 2 3 2 3" xfId="2382"/>
    <cellStyle name="20% - Accent2 2 3 2 3 2" xfId="2383"/>
    <cellStyle name="20% - Accent2 2 3 2 4" xfId="2384"/>
    <cellStyle name="20% - Accent2 2 3 3" xfId="2385"/>
    <cellStyle name="20% - Accent2 2 3 3 2" xfId="2386"/>
    <cellStyle name="20% - Accent2 2 3 3 2 2" xfId="2387"/>
    <cellStyle name="20% - Accent2 2 3 3 3" xfId="2388"/>
    <cellStyle name="20% - Accent2 2 3 4" xfId="2389"/>
    <cellStyle name="20% - Accent2 2 3 4 2" xfId="2390"/>
    <cellStyle name="20% - Accent2 2 3 5" xfId="2391"/>
    <cellStyle name="20% - Accent2 2 3 6" xfId="2392"/>
    <cellStyle name="20% - Accent2 2 4" xfId="109"/>
    <cellStyle name="20% - Accent2 2 4 2" xfId="2393"/>
    <cellStyle name="20% - Accent2 2 4 2 2" xfId="2394"/>
    <cellStyle name="20% - Accent2 2 4 2 2 2" xfId="2395"/>
    <cellStyle name="20% - Accent2 2 4 2 3" xfId="2396"/>
    <cellStyle name="20% - Accent2 2 4 3" xfId="2397"/>
    <cellStyle name="20% - Accent2 2 4 3 2" xfId="2398"/>
    <cellStyle name="20% - Accent2 2 4 4" xfId="2399"/>
    <cellStyle name="20% - Accent2 2 4 5" xfId="2400"/>
    <cellStyle name="20% - Accent2 2 5" xfId="110"/>
    <cellStyle name="20% - Accent2 2 5 2" xfId="2401"/>
    <cellStyle name="20% - Accent2 2 5 2 2" xfId="2402"/>
    <cellStyle name="20% - Accent2 2 5 3" xfId="2403"/>
    <cellStyle name="20% - Accent2 2 5 4" xfId="2404"/>
    <cellStyle name="20% - Accent2 2 6" xfId="111"/>
    <cellStyle name="20% - Accent2 2 6 2" xfId="2405"/>
    <cellStyle name="20% - Accent2 2 6 3" xfId="2406"/>
    <cellStyle name="20% - Accent2 2 7" xfId="112"/>
    <cellStyle name="20% - Accent2 2 8" xfId="113"/>
    <cellStyle name="20% - Accent2 2 9" xfId="114"/>
    <cellStyle name="20% - Accent2 20" xfId="115"/>
    <cellStyle name="20% - Accent2 21" xfId="116"/>
    <cellStyle name="20% - Accent2 22" xfId="117"/>
    <cellStyle name="20% - Accent2 23" xfId="118"/>
    <cellStyle name="20% - Accent2 24" xfId="119"/>
    <cellStyle name="20% - Accent2 25" xfId="120"/>
    <cellStyle name="20% - Accent2 26" xfId="121"/>
    <cellStyle name="20% - Accent2 27" xfId="122"/>
    <cellStyle name="20% - Accent2 28" xfId="123"/>
    <cellStyle name="20% - Accent2 29" xfId="124"/>
    <cellStyle name="20% - Accent2 3" xfId="125"/>
    <cellStyle name="20% - Accent2 3 2" xfId="2407"/>
    <cellStyle name="20% - Accent2 3 2 2" xfId="2408"/>
    <cellStyle name="20% - Accent2 3 2 2 2" xfId="2409"/>
    <cellStyle name="20% - Accent2 3 2 2 2 2" xfId="2410"/>
    <cellStyle name="20% - Accent2 3 2 2 2 2 2" xfId="2411"/>
    <cellStyle name="20% - Accent2 3 2 2 2 2 2 2" xfId="2412"/>
    <cellStyle name="20% - Accent2 3 2 2 2 2 3" xfId="2413"/>
    <cellStyle name="20% - Accent2 3 2 2 2 3" xfId="2414"/>
    <cellStyle name="20% - Accent2 3 2 2 2 3 2" xfId="2415"/>
    <cellStyle name="20% - Accent2 3 2 2 2 4" xfId="2416"/>
    <cellStyle name="20% - Accent2 3 2 2 3" xfId="2417"/>
    <cellStyle name="20% - Accent2 3 2 2 3 2" xfId="2418"/>
    <cellStyle name="20% - Accent2 3 2 2 3 2 2" xfId="2419"/>
    <cellStyle name="20% - Accent2 3 2 2 3 3" xfId="2420"/>
    <cellStyle name="20% - Accent2 3 2 2 4" xfId="2421"/>
    <cellStyle name="20% - Accent2 3 2 2 4 2" xfId="2422"/>
    <cellStyle name="20% - Accent2 3 2 2 5" xfId="2423"/>
    <cellStyle name="20% - Accent2 3 2 2 6" xfId="2424"/>
    <cellStyle name="20% - Accent2 3 2 3" xfId="2425"/>
    <cellStyle name="20% - Accent2 3 2 3 2" xfId="2426"/>
    <cellStyle name="20% - Accent2 3 2 3 2 2" xfId="2427"/>
    <cellStyle name="20% - Accent2 3 2 3 2 2 2" xfId="2428"/>
    <cellStyle name="20% - Accent2 3 2 3 2 3" xfId="2429"/>
    <cellStyle name="20% - Accent2 3 2 3 3" xfId="2430"/>
    <cellStyle name="20% - Accent2 3 2 3 3 2" xfId="2431"/>
    <cellStyle name="20% - Accent2 3 2 3 4" xfId="2432"/>
    <cellStyle name="20% - Accent2 3 2 4" xfId="2433"/>
    <cellStyle name="20% - Accent2 3 2 4 2" xfId="2434"/>
    <cellStyle name="20% - Accent2 3 2 4 2 2" xfId="2435"/>
    <cellStyle name="20% - Accent2 3 2 4 3" xfId="2436"/>
    <cellStyle name="20% - Accent2 3 2 5" xfId="2437"/>
    <cellStyle name="20% - Accent2 3 2 5 2" xfId="2438"/>
    <cellStyle name="20% - Accent2 3 2 6" xfId="2439"/>
    <cellStyle name="20% - Accent2 3 2 7" xfId="2440"/>
    <cellStyle name="20% - Accent2 3 3" xfId="2441"/>
    <cellStyle name="20% - Accent2 3 3 2" xfId="2442"/>
    <cellStyle name="20% - Accent2 3 3 2 2" xfId="2443"/>
    <cellStyle name="20% - Accent2 3 3 2 2 2" xfId="2444"/>
    <cellStyle name="20% - Accent2 3 3 2 2 2 2" xfId="2445"/>
    <cellStyle name="20% - Accent2 3 3 2 2 3" xfId="2446"/>
    <cellStyle name="20% - Accent2 3 3 2 3" xfId="2447"/>
    <cellStyle name="20% - Accent2 3 3 2 3 2" xfId="2448"/>
    <cellStyle name="20% - Accent2 3 3 2 4" xfId="2449"/>
    <cellStyle name="20% - Accent2 3 3 3" xfId="2450"/>
    <cellStyle name="20% - Accent2 3 3 3 2" xfId="2451"/>
    <cellStyle name="20% - Accent2 3 3 3 2 2" xfId="2452"/>
    <cellStyle name="20% - Accent2 3 3 3 3" xfId="2453"/>
    <cellStyle name="20% - Accent2 3 3 4" xfId="2454"/>
    <cellStyle name="20% - Accent2 3 3 4 2" xfId="2455"/>
    <cellStyle name="20% - Accent2 3 3 5" xfId="2456"/>
    <cellStyle name="20% - Accent2 3 3 6" xfId="2457"/>
    <cellStyle name="20% - Accent2 3 4" xfId="2458"/>
    <cellStyle name="20% - Accent2 3 4 2" xfId="2459"/>
    <cellStyle name="20% - Accent2 3 4 2 2" xfId="2460"/>
    <cellStyle name="20% - Accent2 3 4 2 2 2" xfId="2461"/>
    <cellStyle name="20% - Accent2 3 4 2 3" xfId="2462"/>
    <cellStyle name="20% - Accent2 3 4 3" xfId="2463"/>
    <cellStyle name="20% - Accent2 3 4 3 2" xfId="2464"/>
    <cellStyle name="20% - Accent2 3 4 4" xfId="2465"/>
    <cellStyle name="20% - Accent2 3 4 5" xfId="2466"/>
    <cellStyle name="20% - Accent2 3 5" xfId="2467"/>
    <cellStyle name="20% - Accent2 3 5 2" xfId="2468"/>
    <cellStyle name="20% - Accent2 3 5 2 2" xfId="2469"/>
    <cellStyle name="20% - Accent2 3 5 3" xfId="2470"/>
    <cellStyle name="20% - Accent2 3 6" xfId="2471"/>
    <cellStyle name="20% - Accent2 3 6 2" xfId="2472"/>
    <cellStyle name="20% - Accent2 3 7" xfId="2473"/>
    <cellStyle name="20% - Accent2 3 8" xfId="2474"/>
    <cellStyle name="20% - Accent2 3 9" xfId="2475"/>
    <cellStyle name="20% - Accent2 30" xfId="126"/>
    <cellStyle name="20% - Accent2 31" xfId="127"/>
    <cellStyle name="20% - Accent2 32" xfId="128"/>
    <cellStyle name="20% - Accent2 33" xfId="129"/>
    <cellStyle name="20% - Accent2 34" xfId="130"/>
    <cellStyle name="20% - Accent2 35" xfId="131"/>
    <cellStyle name="20% - Accent2 4" xfId="132"/>
    <cellStyle name="20% - Accent2 4 2" xfId="2476"/>
    <cellStyle name="20% - Accent2 4 2 2" xfId="2477"/>
    <cellStyle name="20% - Accent2 4 2 2 2" xfId="2478"/>
    <cellStyle name="20% - Accent2 4 2 2 2 2" xfId="2479"/>
    <cellStyle name="20% - Accent2 4 2 2 2 2 2" xfId="2480"/>
    <cellStyle name="20% - Accent2 4 2 2 2 3" xfId="2481"/>
    <cellStyle name="20% - Accent2 4 2 2 3" xfId="2482"/>
    <cellStyle name="20% - Accent2 4 2 2 3 2" xfId="2483"/>
    <cellStyle name="20% - Accent2 4 2 2 4" xfId="2484"/>
    <cellStyle name="20% - Accent2 4 2 3" xfId="2485"/>
    <cellStyle name="20% - Accent2 4 2 3 2" xfId="2486"/>
    <cellStyle name="20% - Accent2 4 2 3 2 2" xfId="2487"/>
    <cellStyle name="20% - Accent2 4 2 3 3" xfId="2488"/>
    <cellStyle name="20% - Accent2 4 2 4" xfId="2489"/>
    <cellStyle name="20% - Accent2 4 2 4 2" xfId="2490"/>
    <cellStyle name="20% - Accent2 4 2 5" xfId="2491"/>
    <cellStyle name="20% - Accent2 4 2 6" xfId="2492"/>
    <cellStyle name="20% - Accent2 4 3" xfId="2493"/>
    <cellStyle name="20% - Accent2 4 3 2" xfId="2494"/>
    <cellStyle name="20% - Accent2 4 3 2 2" xfId="2495"/>
    <cellStyle name="20% - Accent2 4 3 2 2 2" xfId="2496"/>
    <cellStyle name="20% - Accent2 4 3 2 3" xfId="2497"/>
    <cellStyle name="20% - Accent2 4 3 3" xfId="2498"/>
    <cellStyle name="20% - Accent2 4 3 3 2" xfId="2499"/>
    <cellStyle name="20% - Accent2 4 3 4" xfId="2500"/>
    <cellStyle name="20% - Accent2 4 3 5" xfId="2501"/>
    <cellStyle name="20% - Accent2 4 4" xfId="2502"/>
    <cellStyle name="20% - Accent2 4 4 2" xfId="2503"/>
    <cellStyle name="20% - Accent2 4 4 2 2" xfId="2504"/>
    <cellStyle name="20% - Accent2 4 4 3" xfId="2505"/>
    <cellStyle name="20% - Accent2 4 5" xfId="2506"/>
    <cellStyle name="20% - Accent2 4 5 2" xfId="2507"/>
    <cellStyle name="20% - Accent2 4 6" xfId="2508"/>
    <cellStyle name="20% - Accent2 4 7" xfId="2509"/>
    <cellStyle name="20% - Accent2 5" xfId="133"/>
    <cellStyle name="20% - Accent2 5 2" xfId="2510"/>
    <cellStyle name="20% - Accent2 5 2 2" xfId="2511"/>
    <cellStyle name="20% - Accent2 5 2 2 2" xfId="2512"/>
    <cellStyle name="20% - Accent2 5 2 2 2 2" xfId="2513"/>
    <cellStyle name="20% - Accent2 5 2 2 3" xfId="2514"/>
    <cellStyle name="20% - Accent2 5 2 3" xfId="2515"/>
    <cellStyle name="20% - Accent2 5 2 3 2" xfId="2516"/>
    <cellStyle name="20% - Accent2 5 2 4" xfId="2517"/>
    <cellStyle name="20% - Accent2 5 2 5" xfId="2518"/>
    <cellStyle name="20% - Accent2 5 3" xfId="2519"/>
    <cellStyle name="20% - Accent2 5 3 2" xfId="2520"/>
    <cellStyle name="20% - Accent2 5 3 2 2" xfId="2521"/>
    <cellStyle name="20% - Accent2 5 3 3" xfId="2522"/>
    <cellStyle name="20% - Accent2 5 4" xfId="2523"/>
    <cellStyle name="20% - Accent2 5 4 2" xfId="2524"/>
    <cellStyle name="20% - Accent2 5 5" xfId="2525"/>
    <cellStyle name="20% - Accent2 5 6" xfId="2526"/>
    <cellStyle name="20% - Accent2 6" xfId="134"/>
    <cellStyle name="20% - Accent2 6 2" xfId="2527"/>
    <cellStyle name="20% - Accent2 6 2 2" xfId="2528"/>
    <cellStyle name="20% - Accent2 6 2 2 2" xfId="2529"/>
    <cellStyle name="20% - Accent2 6 2 3" xfId="2530"/>
    <cellStyle name="20% - Accent2 6 2 4" xfId="2531"/>
    <cellStyle name="20% - Accent2 6 2 5" xfId="2532"/>
    <cellStyle name="20% - Accent2 6 3" xfId="2533"/>
    <cellStyle name="20% - Accent2 6 3 2" xfId="2534"/>
    <cellStyle name="20% - Accent2 6 4" xfId="2535"/>
    <cellStyle name="20% - Accent2 6 5" xfId="2536"/>
    <cellStyle name="20% - Accent2 7" xfId="135"/>
    <cellStyle name="20% - Accent2 7 2" xfId="2537"/>
    <cellStyle name="20% - Accent2 7 2 2" xfId="2538"/>
    <cellStyle name="20% - Accent2 7 2 2 2" xfId="2539"/>
    <cellStyle name="20% - Accent2 7 2 3" xfId="2540"/>
    <cellStyle name="20% - Accent2 7 3" xfId="2541"/>
    <cellStyle name="20% - Accent2 7 3 2" xfId="2542"/>
    <cellStyle name="20% - Accent2 7 4" xfId="2543"/>
    <cellStyle name="20% - Accent2 7 5" xfId="2544"/>
    <cellStyle name="20% - Accent2 8" xfId="136"/>
    <cellStyle name="20% - Accent2 8 2" xfId="2545"/>
    <cellStyle name="20% - Accent2 8 2 2" xfId="2546"/>
    <cellStyle name="20% - Accent2 8 2 2 2" xfId="2547"/>
    <cellStyle name="20% - Accent2 8 2 3" xfId="2548"/>
    <cellStyle name="20% - Accent2 8 3" xfId="2549"/>
    <cellStyle name="20% - Accent2 8 3 2" xfId="2550"/>
    <cellStyle name="20% - Accent2 8 4" xfId="2551"/>
    <cellStyle name="20% - Accent2 8 5" xfId="2552"/>
    <cellStyle name="20% - Accent2 9" xfId="137"/>
    <cellStyle name="20% - Accent2 9 2" xfId="2553"/>
    <cellStyle name="20% - Accent2 9 2 2" xfId="2554"/>
    <cellStyle name="20% - Accent2 9 3" xfId="2555"/>
    <cellStyle name="20% - Accent2 9 4" xfId="2556"/>
    <cellStyle name="20% - Accent3 10" xfId="138"/>
    <cellStyle name="20% - Accent3 10 2" xfId="2557"/>
    <cellStyle name="20% - Accent3 10 2 2" xfId="2558"/>
    <cellStyle name="20% - Accent3 10 3" xfId="2559"/>
    <cellStyle name="20% - Accent3 10 4" xfId="2560"/>
    <cellStyle name="20% - Accent3 11" xfId="139"/>
    <cellStyle name="20% - Accent3 11 2" xfId="2561"/>
    <cellStyle name="20% - Accent3 11 2 2" xfId="2562"/>
    <cellStyle name="20% - Accent3 11 3" xfId="2563"/>
    <cellStyle name="20% - Accent3 11 4" xfId="2564"/>
    <cellStyle name="20% - Accent3 12" xfId="140"/>
    <cellStyle name="20% - Accent3 12 2" xfId="2565"/>
    <cellStyle name="20% - Accent3 12 3" xfId="2566"/>
    <cellStyle name="20% - Accent3 13" xfId="141"/>
    <cellStyle name="20% - Accent3 13 2" xfId="2567"/>
    <cellStyle name="20% - Accent3 14" xfId="142"/>
    <cellStyle name="20% - Accent3 15" xfId="143"/>
    <cellStyle name="20% - Accent3 15 2" xfId="144"/>
    <cellStyle name="20% - Accent3 15 3" xfId="145"/>
    <cellStyle name="20% - Accent3 15 4" xfId="146"/>
    <cellStyle name="20% - Accent3 15 5" xfId="147"/>
    <cellStyle name="20% - Accent3 16" xfId="148"/>
    <cellStyle name="20% - Accent3 16 2" xfId="149"/>
    <cellStyle name="20% - Accent3 16 3" xfId="150"/>
    <cellStyle name="20% - Accent3 16 4" xfId="151"/>
    <cellStyle name="20% - Accent3 16 5" xfId="152"/>
    <cellStyle name="20% - Accent3 17" xfId="153"/>
    <cellStyle name="20% - Accent3 17 2" xfId="154"/>
    <cellStyle name="20% - Accent3 17 3" xfId="155"/>
    <cellStyle name="20% - Accent3 17 4" xfId="156"/>
    <cellStyle name="20% - Accent3 17 5" xfId="157"/>
    <cellStyle name="20% - Accent3 18" xfId="158"/>
    <cellStyle name="20% - Accent3 19" xfId="159"/>
    <cellStyle name="20% - Accent3 2" xfId="160"/>
    <cellStyle name="20% - Accent3 2 2" xfId="161"/>
    <cellStyle name="20% - Accent3 2 2 2" xfId="162"/>
    <cellStyle name="20% - Accent3 2 2 2 2" xfId="163"/>
    <cellStyle name="20% - Accent3 2 2 2 2 2" xfId="2568"/>
    <cellStyle name="20% - Accent3 2 2 2 2 2 2" xfId="2569"/>
    <cellStyle name="20% - Accent3 2 2 2 2 2 2 2" xfId="2570"/>
    <cellStyle name="20% - Accent3 2 2 2 2 2 3" xfId="2571"/>
    <cellStyle name="20% - Accent3 2 2 2 2 3" xfId="2572"/>
    <cellStyle name="20% - Accent3 2 2 2 2 3 2" xfId="2573"/>
    <cellStyle name="20% - Accent3 2 2 2 2 4" xfId="2574"/>
    <cellStyle name="20% - Accent3 2 2 2 2 5" xfId="2575"/>
    <cellStyle name="20% - Accent3 2 2 2 3" xfId="164"/>
    <cellStyle name="20% - Accent3 2 2 2 3 2" xfId="2576"/>
    <cellStyle name="20% - Accent3 2 2 2 3 2 2" xfId="2577"/>
    <cellStyle name="20% - Accent3 2 2 2 3 3" xfId="2578"/>
    <cellStyle name="20% - Accent3 2 2 2 4" xfId="165"/>
    <cellStyle name="20% - Accent3 2 2 2 4 2" xfId="2579"/>
    <cellStyle name="20% - Accent3 2 2 2 5" xfId="166"/>
    <cellStyle name="20% - Accent3 2 2 2 6" xfId="2580"/>
    <cellStyle name="20% - Accent3 2 2 3" xfId="167"/>
    <cellStyle name="20% - Accent3 2 2 3 2" xfId="2581"/>
    <cellStyle name="20% - Accent3 2 2 3 2 2" xfId="2582"/>
    <cellStyle name="20% - Accent3 2 2 3 2 2 2" xfId="2583"/>
    <cellStyle name="20% - Accent3 2 2 3 2 3" xfId="2584"/>
    <cellStyle name="20% - Accent3 2 2 3 3" xfId="2585"/>
    <cellStyle name="20% - Accent3 2 2 3 3 2" xfId="2586"/>
    <cellStyle name="20% - Accent3 2 2 3 4" xfId="2587"/>
    <cellStyle name="20% - Accent3 2 2 3 5" xfId="2588"/>
    <cellStyle name="20% - Accent3 2 2 4" xfId="168"/>
    <cellStyle name="20% - Accent3 2 2 4 2" xfId="2589"/>
    <cellStyle name="20% - Accent3 2 2 4 2 2" xfId="2590"/>
    <cellStyle name="20% - Accent3 2 2 4 3" xfId="2591"/>
    <cellStyle name="20% - Accent3 2 2 5" xfId="169"/>
    <cellStyle name="20% - Accent3 2 2 5 2" xfId="2592"/>
    <cellStyle name="20% - Accent3 2 2 6" xfId="2593"/>
    <cellStyle name="20% - Accent3 2 2 7" xfId="2594"/>
    <cellStyle name="20% - Accent3 2 3" xfId="170"/>
    <cellStyle name="20% - Accent3 2 3 2" xfId="2595"/>
    <cellStyle name="20% - Accent3 2 3 2 2" xfId="2596"/>
    <cellStyle name="20% - Accent3 2 3 2 2 2" xfId="2597"/>
    <cellStyle name="20% - Accent3 2 3 2 2 2 2" xfId="2598"/>
    <cellStyle name="20% - Accent3 2 3 2 2 3" xfId="2599"/>
    <cellStyle name="20% - Accent3 2 3 2 3" xfId="2600"/>
    <cellStyle name="20% - Accent3 2 3 2 3 2" xfId="2601"/>
    <cellStyle name="20% - Accent3 2 3 2 4" xfId="2602"/>
    <cellStyle name="20% - Accent3 2 3 3" xfId="2603"/>
    <cellStyle name="20% - Accent3 2 3 3 2" xfId="2604"/>
    <cellStyle name="20% - Accent3 2 3 3 2 2" xfId="2605"/>
    <cellStyle name="20% - Accent3 2 3 3 3" xfId="2606"/>
    <cellStyle name="20% - Accent3 2 3 4" xfId="2607"/>
    <cellStyle name="20% - Accent3 2 3 4 2" xfId="2608"/>
    <cellStyle name="20% - Accent3 2 3 5" xfId="2609"/>
    <cellStyle name="20% - Accent3 2 3 6" xfId="2610"/>
    <cellStyle name="20% - Accent3 2 4" xfId="171"/>
    <cellStyle name="20% - Accent3 2 4 2" xfId="2611"/>
    <cellStyle name="20% - Accent3 2 4 2 2" xfId="2612"/>
    <cellStyle name="20% - Accent3 2 4 2 2 2" xfId="2613"/>
    <cellStyle name="20% - Accent3 2 4 2 3" xfId="2614"/>
    <cellStyle name="20% - Accent3 2 4 3" xfId="2615"/>
    <cellStyle name="20% - Accent3 2 4 3 2" xfId="2616"/>
    <cellStyle name="20% - Accent3 2 4 4" xfId="2617"/>
    <cellStyle name="20% - Accent3 2 4 5" xfId="2618"/>
    <cellStyle name="20% - Accent3 2 5" xfId="172"/>
    <cellStyle name="20% - Accent3 2 5 2" xfId="2619"/>
    <cellStyle name="20% - Accent3 2 5 2 2" xfId="2620"/>
    <cellStyle name="20% - Accent3 2 5 3" xfId="2621"/>
    <cellStyle name="20% - Accent3 2 5 4" xfId="2622"/>
    <cellStyle name="20% - Accent3 2 6" xfId="173"/>
    <cellStyle name="20% - Accent3 2 6 2" xfId="2623"/>
    <cellStyle name="20% - Accent3 2 6 3" xfId="2624"/>
    <cellStyle name="20% - Accent3 2 7" xfId="174"/>
    <cellStyle name="20% - Accent3 2 8" xfId="175"/>
    <cellStyle name="20% - Accent3 2 9" xfId="176"/>
    <cellStyle name="20% - Accent3 20" xfId="177"/>
    <cellStyle name="20% - Accent3 21" xfId="178"/>
    <cellStyle name="20% - Accent3 22" xfId="179"/>
    <cellStyle name="20% - Accent3 23" xfId="180"/>
    <cellStyle name="20% - Accent3 24" xfId="181"/>
    <cellStyle name="20% - Accent3 25" xfId="182"/>
    <cellStyle name="20% - Accent3 26" xfId="183"/>
    <cellStyle name="20% - Accent3 27" xfId="184"/>
    <cellStyle name="20% - Accent3 28" xfId="185"/>
    <cellStyle name="20% - Accent3 29" xfId="186"/>
    <cellStyle name="20% - Accent3 3" xfId="187"/>
    <cellStyle name="20% - Accent3 3 2" xfId="2625"/>
    <cellStyle name="20% - Accent3 3 2 2" xfId="2626"/>
    <cellStyle name="20% - Accent3 3 2 2 2" xfId="2627"/>
    <cellStyle name="20% - Accent3 3 2 2 2 2" xfId="2628"/>
    <cellStyle name="20% - Accent3 3 2 2 2 2 2" xfId="2629"/>
    <cellStyle name="20% - Accent3 3 2 2 2 2 2 2" xfId="2630"/>
    <cellStyle name="20% - Accent3 3 2 2 2 2 3" xfId="2631"/>
    <cellStyle name="20% - Accent3 3 2 2 2 3" xfId="2632"/>
    <cellStyle name="20% - Accent3 3 2 2 2 3 2" xfId="2633"/>
    <cellStyle name="20% - Accent3 3 2 2 2 4" xfId="2634"/>
    <cellStyle name="20% - Accent3 3 2 2 3" xfId="2635"/>
    <cellStyle name="20% - Accent3 3 2 2 3 2" xfId="2636"/>
    <cellStyle name="20% - Accent3 3 2 2 3 2 2" xfId="2637"/>
    <cellStyle name="20% - Accent3 3 2 2 3 3" xfId="2638"/>
    <cellStyle name="20% - Accent3 3 2 2 4" xfId="2639"/>
    <cellStyle name="20% - Accent3 3 2 2 4 2" xfId="2640"/>
    <cellStyle name="20% - Accent3 3 2 2 5" xfId="2641"/>
    <cellStyle name="20% - Accent3 3 2 2 6" xfId="2642"/>
    <cellStyle name="20% - Accent3 3 2 3" xfId="2643"/>
    <cellStyle name="20% - Accent3 3 2 3 2" xfId="2644"/>
    <cellStyle name="20% - Accent3 3 2 3 2 2" xfId="2645"/>
    <cellStyle name="20% - Accent3 3 2 3 2 2 2" xfId="2646"/>
    <cellStyle name="20% - Accent3 3 2 3 2 3" xfId="2647"/>
    <cellStyle name="20% - Accent3 3 2 3 3" xfId="2648"/>
    <cellStyle name="20% - Accent3 3 2 3 3 2" xfId="2649"/>
    <cellStyle name="20% - Accent3 3 2 3 4" xfId="2650"/>
    <cellStyle name="20% - Accent3 3 2 4" xfId="2651"/>
    <cellStyle name="20% - Accent3 3 2 4 2" xfId="2652"/>
    <cellStyle name="20% - Accent3 3 2 4 2 2" xfId="2653"/>
    <cellStyle name="20% - Accent3 3 2 4 3" xfId="2654"/>
    <cellStyle name="20% - Accent3 3 2 5" xfId="2655"/>
    <cellStyle name="20% - Accent3 3 2 5 2" xfId="2656"/>
    <cellStyle name="20% - Accent3 3 2 6" xfId="2657"/>
    <cellStyle name="20% - Accent3 3 2 7" xfId="2658"/>
    <cellStyle name="20% - Accent3 3 3" xfId="2659"/>
    <cellStyle name="20% - Accent3 3 3 2" xfId="2660"/>
    <cellStyle name="20% - Accent3 3 3 2 2" xfId="2661"/>
    <cellStyle name="20% - Accent3 3 3 2 2 2" xfId="2662"/>
    <cellStyle name="20% - Accent3 3 3 2 2 2 2" xfId="2663"/>
    <cellStyle name="20% - Accent3 3 3 2 2 3" xfId="2664"/>
    <cellStyle name="20% - Accent3 3 3 2 3" xfId="2665"/>
    <cellStyle name="20% - Accent3 3 3 2 3 2" xfId="2666"/>
    <cellStyle name="20% - Accent3 3 3 2 4" xfId="2667"/>
    <cellStyle name="20% - Accent3 3 3 3" xfId="2668"/>
    <cellStyle name="20% - Accent3 3 3 3 2" xfId="2669"/>
    <cellStyle name="20% - Accent3 3 3 3 2 2" xfId="2670"/>
    <cellStyle name="20% - Accent3 3 3 3 3" xfId="2671"/>
    <cellStyle name="20% - Accent3 3 3 4" xfId="2672"/>
    <cellStyle name="20% - Accent3 3 3 4 2" xfId="2673"/>
    <cellStyle name="20% - Accent3 3 3 5" xfId="2674"/>
    <cellStyle name="20% - Accent3 3 3 6" xfId="2675"/>
    <cellStyle name="20% - Accent3 3 4" xfId="2676"/>
    <cellStyle name="20% - Accent3 3 4 2" xfId="2677"/>
    <cellStyle name="20% - Accent3 3 4 2 2" xfId="2678"/>
    <cellStyle name="20% - Accent3 3 4 2 2 2" xfId="2679"/>
    <cellStyle name="20% - Accent3 3 4 2 3" xfId="2680"/>
    <cellStyle name="20% - Accent3 3 4 3" xfId="2681"/>
    <cellStyle name="20% - Accent3 3 4 3 2" xfId="2682"/>
    <cellStyle name="20% - Accent3 3 4 4" xfId="2683"/>
    <cellStyle name="20% - Accent3 3 4 5" xfId="2684"/>
    <cellStyle name="20% - Accent3 3 5" xfId="2685"/>
    <cellStyle name="20% - Accent3 3 5 2" xfId="2686"/>
    <cellStyle name="20% - Accent3 3 5 2 2" xfId="2687"/>
    <cellStyle name="20% - Accent3 3 5 3" xfId="2688"/>
    <cellStyle name="20% - Accent3 3 6" xfId="2689"/>
    <cellStyle name="20% - Accent3 3 6 2" xfId="2690"/>
    <cellStyle name="20% - Accent3 3 7" xfId="2691"/>
    <cellStyle name="20% - Accent3 3 8" xfId="2692"/>
    <cellStyle name="20% - Accent3 3 9" xfId="2693"/>
    <cellStyle name="20% - Accent3 30" xfId="188"/>
    <cellStyle name="20% - Accent3 31" xfId="189"/>
    <cellStyle name="20% - Accent3 32" xfId="190"/>
    <cellStyle name="20% - Accent3 33" xfId="191"/>
    <cellStyle name="20% - Accent3 34" xfId="192"/>
    <cellStyle name="20% - Accent3 35" xfId="193"/>
    <cellStyle name="20% - Accent3 4" xfId="194"/>
    <cellStyle name="20% - Accent3 4 2" xfId="2694"/>
    <cellStyle name="20% - Accent3 4 2 2" xfId="2695"/>
    <cellStyle name="20% - Accent3 4 2 2 2" xfId="2696"/>
    <cellStyle name="20% - Accent3 4 2 2 2 2" xfId="2697"/>
    <cellStyle name="20% - Accent3 4 2 2 2 2 2" xfId="2698"/>
    <cellStyle name="20% - Accent3 4 2 2 2 3" xfId="2699"/>
    <cellStyle name="20% - Accent3 4 2 2 3" xfId="2700"/>
    <cellStyle name="20% - Accent3 4 2 2 3 2" xfId="2701"/>
    <cellStyle name="20% - Accent3 4 2 2 4" xfId="2702"/>
    <cellStyle name="20% - Accent3 4 2 3" xfId="2703"/>
    <cellStyle name="20% - Accent3 4 2 3 2" xfId="2704"/>
    <cellStyle name="20% - Accent3 4 2 3 2 2" xfId="2705"/>
    <cellStyle name="20% - Accent3 4 2 3 3" xfId="2706"/>
    <cellStyle name="20% - Accent3 4 2 4" xfId="2707"/>
    <cellStyle name="20% - Accent3 4 2 4 2" xfId="2708"/>
    <cellStyle name="20% - Accent3 4 2 5" xfId="2709"/>
    <cellStyle name="20% - Accent3 4 2 6" xfId="2710"/>
    <cellStyle name="20% - Accent3 4 3" xfId="2711"/>
    <cellStyle name="20% - Accent3 4 3 2" xfId="2712"/>
    <cellStyle name="20% - Accent3 4 3 2 2" xfId="2713"/>
    <cellStyle name="20% - Accent3 4 3 2 2 2" xfId="2714"/>
    <cellStyle name="20% - Accent3 4 3 2 3" xfId="2715"/>
    <cellStyle name="20% - Accent3 4 3 3" xfId="2716"/>
    <cellStyle name="20% - Accent3 4 3 3 2" xfId="2717"/>
    <cellStyle name="20% - Accent3 4 3 4" xfId="2718"/>
    <cellStyle name="20% - Accent3 4 3 5" xfId="2719"/>
    <cellStyle name="20% - Accent3 4 4" xfId="2720"/>
    <cellStyle name="20% - Accent3 4 4 2" xfId="2721"/>
    <cellStyle name="20% - Accent3 4 4 2 2" xfId="2722"/>
    <cellStyle name="20% - Accent3 4 4 3" xfId="2723"/>
    <cellStyle name="20% - Accent3 4 5" xfId="2724"/>
    <cellStyle name="20% - Accent3 4 5 2" xfId="2725"/>
    <cellStyle name="20% - Accent3 4 6" xfId="2726"/>
    <cellStyle name="20% - Accent3 4 7" xfId="2727"/>
    <cellStyle name="20% - Accent3 5" xfId="195"/>
    <cellStyle name="20% - Accent3 5 2" xfId="2728"/>
    <cellStyle name="20% - Accent3 5 2 2" xfId="2729"/>
    <cellStyle name="20% - Accent3 5 2 2 2" xfId="2730"/>
    <cellStyle name="20% - Accent3 5 2 2 2 2" xfId="2731"/>
    <cellStyle name="20% - Accent3 5 2 2 3" xfId="2732"/>
    <cellStyle name="20% - Accent3 5 2 3" xfId="2733"/>
    <cellStyle name="20% - Accent3 5 2 3 2" xfId="2734"/>
    <cellStyle name="20% - Accent3 5 2 4" xfId="2735"/>
    <cellStyle name="20% - Accent3 5 2 5" xfId="2736"/>
    <cellStyle name="20% - Accent3 5 3" xfId="2737"/>
    <cellStyle name="20% - Accent3 5 3 2" xfId="2738"/>
    <cellStyle name="20% - Accent3 5 3 2 2" xfId="2739"/>
    <cellStyle name="20% - Accent3 5 3 3" xfId="2740"/>
    <cellStyle name="20% - Accent3 5 4" xfId="2741"/>
    <cellStyle name="20% - Accent3 5 4 2" xfId="2742"/>
    <cellStyle name="20% - Accent3 5 5" xfId="2743"/>
    <cellStyle name="20% - Accent3 5 6" xfId="2744"/>
    <cellStyle name="20% - Accent3 6" xfId="196"/>
    <cellStyle name="20% - Accent3 6 2" xfId="2745"/>
    <cellStyle name="20% - Accent3 6 2 2" xfId="2746"/>
    <cellStyle name="20% - Accent3 6 2 2 2" xfId="2747"/>
    <cellStyle name="20% - Accent3 6 2 3" xfId="2748"/>
    <cellStyle name="20% - Accent3 6 2 4" xfId="2749"/>
    <cellStyle name="20% - Accent3 6 2 5" xfId="2750"/>
    <cellStyle name="20% - Accent3 6 3" xfId="2751"/>
    <cellStyle name="20% - Accent3 6 3 2" xfId="2752"/>
    <cellStyle name="20% - Accent3 6 4" xfId="2753"/>
    <cellStyle name="20% - Accent3 6 5" xfId="2754"/>
    <cellStyle name="20% - Accent3 7" xfId="197"/>
    <cellStyle name="20% - Accent3 7 2" xfId="2755"/>
    <cellStyle name="20% - Accent3 7 2 2" xfId="2756"/>
    <cellStyle name="20% - Accent3 7 2 2 2" xfId="2757"/>
    <cellStyle name="20% - Accent3 7 2 3" xfId="2758"/>
    <cellStyle name="20% - Accent3 7 3" xfId="2759"/>
    <cellStyle name="20% - Accent3 7 3 2" xfId="2760"/>
    <cellStyle name="20% - Accent3 7 4" xfId="2761"/>
    <cellStyle name="20% - Accent3 7 5" xfId="2762"/>
    <cellStyle name="20% - Accent3 8" xfId="198"/>
    <cellStyle name="20% - Accent3 8 2" xfId="2763"/>
    <cellStyle name="20% - Accent3 8 2 2" xfId="2764"/>
    <cellStyle name="20% - Accent3 8 2 2 2" xfId="2765"/>
    <cellStyle name="20% - Accent3 8 2 3" xfId="2766"/>
    <cellStyle name="20% - Accent3 8 3" xfId="2767"/>
    <cellStyle name="20% - Accent3 8 3 2" xfId="2768"/>
    <cellStyle name="20% - Accent3 8 4" xfId="2769"/>
    <cellStyle name="20% - Accent3 8 5" xfId="2770"/>
    <cellStyle name="20% - Accent3 9" xfId="199"/>
    <cellStyle name="20% - Accent3 9 2" xfId="2771"/>
    <cellStyle name="20% - Accent3 9 2 2" xfId="2772"/>
    <cellStyle name="20% - Accent3 9 3" xfId="2773"/>
    <cellStyle name="20% - Accent3 9 4" xfId="2774"/>
    <cellStyle name="20% - Accent4 10" xfId="200"/>
    <cellStyle name="20% - Accent4 10 2" xfId="2775"/>
    <cellStyle name="20% - Accent4 10 2 2" xfId="2776"/>
    <cellStyle name="20% - Accent4 10 3" xfId="2777"/>
    <cellStyle name="20% - Accent4 10 4" xfId="2778"/>
    <cellStyle name="20% - Accent4 11" xfId="201"/>
    <cellStyle name="20% - Accent4 11 2" xfId="2779"/>
    <cellStyle name="20% - Accent4 11 2 2" xfId="2780"/>
    <cellStyle name="20% - Accent4 11 3" xfId="2781"/>
    <cellStyle name="20% - Accent4 11 4" xfId="2782"/>
    <cellStyle name="20% - Accent4 12" xfId="202"/>
    <cellStyle name="20% - Accent4 12 2" xfId="2783"/>
    <cellStyle name="20% - Accent4 12 2 2" xfId="2784"/>
    <cellStyle name="20% - Accent4 12 3" xfId="2785"/>
    <cellStyle name="20% - Accent4 12 4" xfId="2786"/>
    <cellStyle name="20% - Accent4 13" xfId="203"/>
    <cellStyle name="20% - Accent4 13 2" xfId="2787"/>
    <cellStyle name="20% - Accent4 13 3" xfId="2788"/>
    <cellStyle name="20% - Accent4 14" xfId="204"/>
    <cellStyle name="20% - Accent4 14 2" xfId="2789"/>
    <cellStyle name="20% - Accent4 15" xfId="205"/>
    <cellStyle name="20% - Accent4 15 2" xfId="206"/>
    <cellStyle name="20% - Accent4 15 3" xfId="207"/>
    <cellStyle name="20% - Accent4 15 4" xfId="208"/>
    <cellStyle name="20% - Accent4 15 5" xfId="209"/>
    <cellStyle name="20% - Accent4 16" xfId="210"/>
    <cellStyle name="20% - Accent4 16 2" xfId="211"/>
    <cellStyle name="20% - Accent4 16 3" xfId="212"/>
    <cellStyle name="20% - Accent4 16 4" xfId="213"/>
    <cellStyle name="20% - Accent4 16 5" xfId="214"/>
    <cellStyle name="20% - Accent4 17" xfId="215"/>
    <cellStyle name="20% - Accent4 17 2" xfId="216"/>
    <cellStyle name="20% - Accent4 17 3" xfId="217"/>
    <cellStyle name="20% - Accent4 17 4" xfId="218"/>
    <cellStyle name="20% - Accent4 17 5" xfId="219"/>
    <cellStyle name="20% - Accent4 18" xfId="220"/>
    <cellStyle name="20% - Accent4 19" xfId="221"/>
    <cellStyle name="20% - Accent4 2" xfId="222"/>
    <cellStyle name="20% - Accent4 2 10" xfId="2790"/>
    <cellStyle name="20% - Accent4 2 11" xfId="2791"/>
    <cellStyle name="20% - Accent4 2 12" xfId="2792"/>
    <cellStyle name="20% - Accent4 2 13" xfId="2793"/>
    <cellStyle name="20% - Accent4 2 2" xfId="223"/>
    <cellStyle name="20% - Accent4 2 2 10" xfId="2794"/>
    <cellStyle name="20% - Accent4 2 2 2" xfId="224"/>
    <cellStyle name="20% - Accent4 2 2 2 2" xfId="225"/>
    <cellStyle name="20% - Accent4 2 2 2 2 2" xfId="2795"/>
    <cellStyle name="20% - Accent4 2 2 2 2 2 2" xfId="2796"/>
    <cellStyle name="20% - Accent4 2 2 2 2 2 2 2" xfId="2797"/>
    <cellStyle name="20% - Accent4 2 2 2 2 2 3" xfId="2798"/>
    <cellStyle name="20% - Accent4 2 2 2 2 3" xfId="2799"/>
    <cellStyle name="20% - Accent4 2 2 2 2 3 2" xfId="2800"/>
    <cellStyle name="20% - Accent4 2 2 2 2 4" xfId="2801"/>
    <cellStyle name="20% - Accent4 2 2 2 2 5" xfId="2802"/>
    <cellStyle name="20% - Accent4 2 2 2 2 6" xfId="2803"/>
    <cellStyle name="20% - Accent4 2 2 2 3" xfId="226"/>
    <cellStyle name="20% - Accent4 2 2 2 3 2" xfId="2804"/>
    <cellStyle name="20% - Accent4 2 2 2 3 2 2" xfId="2805"/>
    <cellStyle name="20% - Accent4 2 2 2 3 3" xfId="2806"/>
    <cellStyle name="20% - Accent4 2 2 2 4" xfId="227"/>
    <cellStyle name="20% - Accent4 2 2 2 4 2" xfId="2807"/>
    <cellStyle name="20% - Accent4 2 2 2 5" xfId="228"/>
    <cellStyle name="20% - Accent4 2 2 2 6" xfId="2808"/>
    <cellStyle name="20% - Accent4 2 2 2 7" xfId="2809"/>
    <cellStyle name="20% - Accent4 2 2 3" xfId="229"/>
    <cellStyle name="20% - Accent4 2 2 3 2" xfId="2810"/>
    <cellStyle name="20% - Accent4 2 2 3 2 2" xfId="2811"/>
    <cellStyle name="20% - Accent4 2 2 3 2 2 2" xfId="2812"/>
    <cellStyle name="20% - Accent4 2 2 3 2 3" xfId="2813"/>
    <cellStyle name="20% - Accent4 2 2 3 3" xfId="2814"/>
    <cellStyle name="20% - Accent4 2 2 3 3 2" xfId="2815"/>
    <cellStyle name="20% - Accent4 2 2 3 4" xfId="2816"/>
    <cellStyle name="20% - Accent4 2 2 3 5" xfId="2817"/>
    <cellStyle name="20% - Accent4 2 2 3 6" xfId="2818"/>
    <cellStyle name="20% - Accent4 2 2 4" xfId="230"/>
    <cellStyle name="20% - Accent4 2 2 4 2" xfId="2819"/>
    <cellStyle name="20% - Accent4 2 2 4 2 2" xfId="2820"/>
    <cellStyle name="20% - Accent4 2 2 4 3" xfId="2821"/>
    <cellStyle name="20% - Accent4 2 2 4 4" xfId="2822"/>
    <cellStyle name="20% - Accent4 2 2 5" xfId="231"/>
    <cellStyle name="20% - Accent4 2 2 5 2" xfId="2823"/>
    <cellStyle name="20% - Accent4 2 2 5 3" xfId="2824"/>
    <cellStyle name="20% - Accent4 2 2 6" xfId="2825"/>
    <cellStyle name="20% - Accent4 2 2 6 2" xfId="2826"/>
    <cellStyle name="20% - Accent4 2 2 7" xfId="2827"/>
    <cellStyle name="20% - Accent4 2 2 8" xfId="2828"/>
    <cellStyle name="20% - Accent4 2 2 9" xfId="2829"/>
    <cellStyle name="20% - Accent4 2 3" xfId="232"/>
    <cellStyle name="20% - Accent4 2 3 2" xfId="2830"/>
    <cellStyle name="20% - Accent4 2 3 2 2" xfId="2831"/>
    <cellStyle name="20% - Accent4 2 3 2 2 2" xfId="2832"/>
    <cellStyle name="20% - Accent4 2 3 2 2 2 2" xfId="2833"/>
    <cellStyle name="20% - Accent4 2 3 2 2 3" xfId="2834"/>
    <cellStyle name="20% - Accent4 2 3 2 2 4" xfId="2835"/>
    <cellStyle name="20% - Accent4 2 3 2 3" xfId="2836"/>
    <cellStyle name="20% - Accent4 2 3 2 3 2" xfId="2837"/>
    <cellStyle name="20% - Accent4 2 3 2 4" xfId="2838"/>
    <cellStyle name="20% - Accent4 2 3 2 5" xfId="2839"/>
    <cellStyle name="20% - Accent4 2 3 3" xfId="2840"/>
    <cellStyle name="20% - Accent4 2 3 3 2" xfId="2841"/>
    <cellStyle name="20% - Accent4 2 3 3 2 2" xfId="2842"/>
    <cellStyle name="20% - Accent4 2 3 3 3" xfId="2843"/>
    <cellStyle name="20% - Accent4 2 3 3 4" xfId="2844"/>
    <cellStyle name="20% - Accent4 2 3 4" xfId="2845"/>
    <cellStyle name="20% - Accent4 2 3 4 2" xfId="2846"/>
    <cellStyle name="20% - Accent4 2 3 5" xfId="2847"/>
    <cellStyle name="20% - Accent4 2 3 6" xfId="2848"/>
    <cellStyle name="20% - Accent4 2 3 7" xfId="2849"/>
    <cellStyle name="20% - Accent4 2 4" xfId="233"/>
    <cellStyle name="20% - Accent4 2 4 2" xfId="2850"/>
    <cellStyle name="20% - Accent4 2 4 2 2" xfId="2851"/>
    <cellStyle name="20% - Accent4 2 4 2 2 2" xfId="2852"/>
    <cellStyle name="20% - Accent4 2 4 2 2 2 2" xfId="2853"/>
    <cellStyle name="20% - Accent4 2 4 2 2 3" xfId="2854"/>
    <cellStyle name="20% - Accent4 2 4 2 2 4" xfId="2855"/>
    <cellStyle name="20% - Accent4 2 4 2 3" xfId="2856"/>
    <cellStyle name="20% - Accent4 2 4 2 3 2" xfId="2857"/>
    <cellStyle name="20% - Accent4 2 4 2 4" xfId="2858"/>
    <cellStyle name="20% - Accent4 2 4 2 5" xfId="2859"/>
    <cellStyle name="20% - Accent4 2 4 3" xfId="2860"/>
    <cellStyle name="20% - Accent4 2 4 3 2" xfId="2861"/>
    <cellStyle name="20% - Accent4 2 4 3 2 2" xfId="2862"/>
    <cellStyle name="20% - Accent4 2 4 3 3" xfId="2863"/>
    <cellStyle name="20% - Accent4 2 4 3 4" xfId="2864"/>
    <cellStyle name="20% - Accent4 2 4 4" xfId="2865"/>
    <cellStyle name="20% - Accent4 2 4 4 2" xfId="2866"/>
    <cellStyle name="20% - Accent4 2 4 5" xfId="2867"/>
    <cellStyle name="20% - Accent4 2 4 6" xfId="2868"/>
    <cellStyle name="20% - Accent4 2 4 7" xfId="2869"/>
    <cellStyle name="20% - Accent4 2 5" xfId="234"/>
    <cellStyle name="20% - Accent4 2 5 2" xfId="2870"/>
    <cellStyle name="20% - Accent4 2 5 2 2" xfId="2871"/>
    <cellStyle name="20% - Accent4 2 5 2 2 2" xfId="2872"/>
    <cellStyle name="20% - Accent4 2 5 2 3" xfId="2873"/>
    <cellStyle name="20% - Accent4 2 5 2 4" xfId="2874"/>
    <cellStyle name="20% - Accent4 2 5 3" xfId="2875"/>
    <cellStyle name="20% - Accent4 2 5 3 2" xfId="2876"/>
    <cellStyle name="20% - Accent4 2 5 4" xfId="2877"/>
    <cellStyle name="20% - Accent4 2 5 5" xfId="2878"/>
    <cellStyle name="20% - Accent4 2 5 6" xfId="2879"/>
    <cellStyle name="20% - Accent4 2 6" xfId="235"/>
    <cellStyle name="20% - Accent4 2 6 2" xfId="2880"/>
    <cellStyle name="20% - Accent4 2 6 2 2" xfId="2881"/>
    <cellStyle name="20% - Accent4 2 6 3" xfId="2882"/>
    <cellStyle name="20% - Accent4 2 6 4" xfId="2883"/>
    <cellStyle name="20% - Accent4 2 6 5" xfId="2884"/>
    <cellStyle name="20% - Accent4 2 7" xfId="236"/>
    <cellStyle name="20% - Accent4 2 7 2" xfId="2885"/>
    <cellStyle name="20% - Accent4 2 7 3" xfId="2886"/>
    <cellStyle name="20% - Accent4 2 7 4" xfId="2887"/>
    <cellStyle name="20% - Accent4 2 8" xfId="237"/>
    <cellStyle name="20% - Accent4 2 8 2" xfId="2888"/>
    <cellStyle name="20% - Accent4 2 8 3" xfId="2889"/>
    <cellStyle name="20% - Accent4 2 9" xfId="238"/>
    <cellStyle name="20% - Accent4 2 9 2" xfId="2890"/>
    <cellStyle name="20% - Accent4 20" xfId="239"/>
    <cellStyle name="20% - Accent4 21" xfId="240"/>
    <cellStyle name="20% - Accent4 22" xfId="241"/>
    <cellStyle name="20% - Accent4 23" xfId="242"/>
    <cellStyle name="20% - Accent4 24" xfId="243"/>
    <cellStyle name="20% - Accent4 25" xfId="244"/>
    <cellStyle name="20% - Accent4 26" xfId="245"/>
    <cellStyle name="20% - Accent4 27" xfId="246"/>
    <cellStyle name="20% - Accent4 28" xfId="247"/>
    <cellStyle name="20% - Accent4 29" xfId="248"/>
    <cellStyle name="20% - Accent4 3" xfId="249"/>
    <cellStyle name="20% - Accent4 3 2" xfId="2891"/>
    <cellStyle name="20% - Accent4 3 2 2" xfId="2892"/>
    <cellStyle name="20% - Accent4 3 2 2 2" xfId="2893"/>
    <cellStyle name="20% - Accent4 3 2 2 2 2" xfId="2894"/>
    <cellStyle name="20% - Accent4 3 2 2 2 2 2" xfId="2895"/>
    <cellStyle name="20% - Accent4 3 2 2 2 2 2 2" xfId="2896"/>
    <cellStyle name="20% - Accent4 3 2 2 2 2 3" xfId="2897"/>
    <cellStyle name="20% - Accent4 3 2 2 2 3" xfId="2898"/>
    <cellStyle name="20% - Accent4 3 2 2 2 3 2" xfId="2899"/>
    <cellStyle name="20% - Accent4 3 2 2 2 4" xfId="2900"/>
    <cellStyle name="20% - Accent4 3 2 2 2 5" xfId="2901"/>
    <cellStyle name="20% - Accent4 3 2 2 3" xfId="2902"/>
    <cellStyle name="20% - Accent4 3 2 2 3 2" xfId="2903"/>
    <cellStyle name="20% - Accent4 3 2 2 3 2 2" xfId="2904"/>
    <cellStyle name="20% - Accent4 3 2 2 3 3" xfId="2905"/>
    <cellStyle name="20% - Accent4 3 2 2 4" xfId="2906"/>
    <cellStyle name="20% - Accent4 3 2 2 4 2" xfId="2907"/>
    <cellStyle name="20% - Accent4 3 2 2 5" xfId="2908"/>
    <cellStyle name="20% - Accent4 3 2 2 6" xfId="2909"/>
    <cellStyle name="20% - Accent4 3 2 2 7" xfId="2910"/>
    <cellStyle name="20% - Accent4 3 2 3" xfId="2911"/>
    <cellStyle name="20% - Accent4 3 2 3 2" xfId="2912"/>
    <cellStyle name="20% - Accent4 3 2 3 2 2" xfId="2913"/>
    <cellStyle name="20% - Accent4 3 2 3 2 2 2" xfId="2914"/>
    <cellStyle name="20% - Accent4 3 2 3 2 3" xfId="2915"/>
    <cellStyle name="20% - Accent4 3 2 3 3" xfId="2916"/>
    <cellStyle name="20% - Accent4 3 2 3 3 2" xfId="2917"/>
    <cellStyle name="20% - Accent4 3 2 3 4" xfId="2918"/>
    <cellStyle name="20% - Accent4 3 2 3 5" xfId="2919"/>
    <cellStyle name="20% - Accent4 3 2 4" xfId="2920"/>
    <cellStyle name="20% - Accent4 3 2 4 2" xfId="2921"/>
    <cellStyle name="20% - Accent4 3 2 4 2 2" xfId="2922"/>
    <cellStyle name="20% - Accent4 3 2 4 3" xfId="2923"/>
    <cellStyle name="20% - Accent4 3 2 4 4" xfId="2924"/>
    <cellStyle name="20% - Accent4 3 2 5" xfId="2925"/>
    <cellStyle name="20% - Accent4 3 2 5 2" xfId="2926"/>
    <cellStyle name="20% - Accent4 3 2 6" xfId="2927"/>
    <cellStyle name="20% - Accent4 3 2 7" xfId="2928"/>
    <cellStyle name="20% - Accent4 3 2 8" xfId="2929"/>
    <cellStyle name="20% - Accent4 3 2 9" xfId="2930"/>
    <cellStyle name="20% - Accent4 3 3" xfId="2931"/>
    <cellStyle name="20% - Accent4 3 3 2" xfId="2932"/>
    <cellStyle name="20% - Accent4 3 3 2 2" xfId="2933"/>
    <cellStyle name="20% - Accent4 3 3 2 2 2" xfId="2934"/>
    <cellStyle name="20% - Accent4 3 3 2 2 2 2" xfId="2935"/>
    <cellStyle name="20% - Accent4 3 3 2 2 3" xfId="2936"/>
    <cellStyle name="20% - Accent4 3 3 2 2 4" xfId="2937"/>
    <cellStyle name="20% - Accent4 3 3 2 3" xfId="2938"/>
    <cellStyle name="20% - Accent4 3 3 2 3 2" xfId="2939"/>
    <cellStyle name="20% - Accent4 3 3 2 4" xfId="2940"/>
    <cellStyle name="20% - Accent4 3 3 2 5" xfId="2941"/>
    <cellStyle name="20% - Accent4 3 3 3" xfId="2942"/>
    <cellStyle name="20% - Accent4 3 3 3 2" xfId="2943"/>
    <cellStyle name="20% - Accent4 3 3 3 2 2" xfId="2944"/>
    <cellStyle name="20% - Accent4 3 3 3 3" xfId="2945"/>
    <cellStyle name="20% - Accent4 3 3 3 4" xfId="2946"/>
    <cellStyle name="20% - Accent4 3 3 4" xfId="2947"/>
    <cellStyle name="20% - Accent4 3 3 4 2" xfId="2948"/>
    <cellStyle name="20% - Accent4 3 3 4 3" xfId="2949"/>
    <cellStyle name="20% - Accent4 3 3 4 4" xfId="2950"/>
    <cellStyle name="20% - Accent4 3 3 5" xfId="2951"/>
    <cellStyle name="20% - Accent4 3 3 5 2" xfId="2952"/>
    <cellStyle name="20% - Accent4 3 3 6" xfId="2953"/>
    <cellStyle name="20% - Accent4 3 3 7" xfId="2954"/>
    <cellStyle name="20% - Accent4 3 3 8" xfId="2955"/>
    <cellStyle name="20% - Accent4 3 3 9" xfId="2956"/>
    <cellStyle name="20% - Accent4 3 4" xfId="2957"/>
    <cellStyle name="20% - Accent4 3 4 2" xfId="2958"/>
    <cellStyle name="20% - Accent4 3 4 2 2" xfId="2959"/>
    <cellStyle name="20% - Accent4 3 4 2 2 2" xfId="2960"/>
    <cellStyle name="20% - Accent4 3 4 2 2 2 2" xfId="2961"/>
    <cellStyle name="20% - Accent4 3 4 2 2 3" xfId="2962"/>
    <cellStyle name="20% - Accent4 3 4 2 2 4" xfId="2963"/>
    <cellStyle name="20% - Accent4 3 4 2 3" xfId="2964"/>
    <cellStyle name="20% - Accent4 3 4 2 3 2" xfId="2965"/>
    <cellStyle name="20% - Accent4 3 4 2 4" xfId="2966"/>
    <cellStyle name="20% - Accent4 3 4 2 5" xfId="2967"/>
    <cellStyle name="20% - Accent4 3 4 3" xfId="2968"/>
    <cellStyle name="20% - Accent4 3 4 3 2" xfId="2969"/>
    <cellStyle name="20% - Accent4 3 4 3 2 2" xfId="2970"/>
    <cellStyle name="20% - Accent4 3 4 3 3" xfId="2971"/>
    <cellStyle name="20% - Accent4 3 4 3 4" xfId="2972"/>
    <cellStyle name="20% - Accent4 3 4 4" xfId="2973"/>
    <cellStyle name="20% - Accent4 3 4 4 2" xfId="2974"/>
    <cellStyle name="20% - Accent4 3 4 4 3" xfId="2975"/>
    <cellStyle name="20% - Accent4 3 4 4 4" xfId="2976"/>
    <cellStyle name="20% - Accent4 3 4 5" xfId="2977"/>
    <cellStyle name="20% - Accent4 3 4 5 2" xfId="2978"/>
    <cellStyle name="20% - Accent4 3 4 6" xfId="2979"/>
    <cellStyle name="20% - Accent4 3 4 7" xfId="2980"/>
    <cellStyle name="20% - Accent4 3 4 8" xfId="2981"/>
    <cellStyle name="20% - Accent4 3 4 9" xfId="2982"/>
    <cellStyle name="20% - Accent4 3 5" xfId="2983"/>
    <cellStyle name="20% - Accent4 3 5 2" xfId="2984"/>
    <cellStyle name="20% - Accent4 3 5 2 2" xfId="2985"/>
    <cellStyle name="20% - Accent4 3 5 2 2 2" xfId="2986"/>
    <cellStyle name="20% - Accent4 3 5 2 3" xfId="2987"/>
    <cellStyle name="20% - Accent4 3 5 2 4" xfId="2988"/>
    <cellStyle name="20% - Accent4 3 5 3" xfId="2989"/>
    <cellStyle name="20% - Accent4 3 5 3 2" xfId="2990"/>
    <cellStyle name="20% - Accent4 3 5 4" xfId="2991"/>
    <cellStyle name="20% - Accent4 3 5 5" xfId="2992"/>
    <cellStyle name="20% - Accent4 3 6" xfId="2993"/>
    <cellStyle name="20% - Accent4 3 6 2" xfId="2994"/>
    <cellStyle name="20% - Accent4 3 6 2 2" xfId="2995"/>
    <cellStyle name="20% - Accent4 3 6 3" xfId="2996"/>
    <cellStyle name="20% - Accent4 3 6 4" xfId="2997"/>
    <cellStyle name="20% - Accent4 3 7" xfId="2998"/>
    <cellStyle name="20% - Accent4 3 7 2" xfId="2999"/>
    <cellStyle name="20% - Accent4 3 7 3" xfId="3000"/>
    <cellStyle name="20% - Accent4 3 7 4" xfId="3001"/>
    <cellStyle name="20% - Accent4 3 8" xfId="3002"/>
    <cellStyle name="20% - Accent4 3 9" xfId="3003"/>
    <cellStyle name="20% - Accent4 30" xfId="250"/>
    <cellStyle name="20% - Accent4 31" xfId="251"/>
    <cellStyle name="20% - Accent4 32" xfId="252"/>
    <cellStyle name="20% - Accent4 33" xfId="253"/>
    <cellStyle name="20% - Accent4 34" xfId="254"/>
    <cellStyle name="20% - Accent4 35" xfId="255"/>
    <cellStyle name="20% - Accent4 4" xfId="256"/>
    <cellStyle name="20% - Accent4 4 2" xfId="3004"/>
    <cellStyle name="20% - Accent4 4 2 2" xfId="3005"/>
    <cellStyle name="20% - Accent4 4 2 2 2" xfId="3006"/>
    <cellStyle name="20% - Accent4 4 2 2 2 2" xfId="3007"/>
    <cellStyle name="20% - Accent4 4 2 2 2 2 2" xfId="3008"/>
    <cellStyle name="20% - Accent4 4 2 2 2 2 2 2" xfId="3009"/>
    <cellStyle name="20% - Accent4 4 2 2 2 2 3" xfId="3010"/>
    <cellStyle name="20% - Accent4 4 2 2 2 3" xfId="3011"/>
    <cellStyle name="20% - Accent4 4 2 2 2 3 2" xfId="3012"/>
    <cellStyle name="20% - Accent4 4 2 2 2 4" xfId="3013"/>
    <cellStyle name="20% - Accent4 4 2 2 2 5" xfId="3014"/>
    <cellStyle name="20% - Accent4 4 2 2 3" xfId="3015"/>
    <cellStyle name="20% - Accent4 4 2 2 3 2" xfId="3016"/>
    <cellStyle name="20% - Accent4 4 2 2 3 2 2" xfId="3017"/>
    <cellStyle name="20% - Accent4 4 2 2 3 3" xfId="3018"/>
    <cellStyle name="20% - Accent4 4 2 2 4" xfId="3019"/>
    <cellStyle name="20% - Accent4 4 2 2 4 2" xfId="3020"/>
    <cellStyle name="20% - Accent4 4 2 2 5" xfId="3021"/>
    <cellStyle name="20% - Accent4 4 2 2 6" xfId="3022"/>
    <cellStyle name="20% - Accent4 4 2 3" xfId="3023"/>
    <cellStyle name="20% - Accent4 4 2 3 2" xfId="3024"/>
    <cellStyle name="20% - Accent4 4 2 3 2 2" xfId="3025"/>
    <cellStyle name="20% - Accent4 4 2 3 2 2 2" xfId="3026"/>
    <cellStyle name="20% - Accent4 4 2 3 2 3" xfId="3027"/>
    <cellStyle name="20% - Accent4 4 2 3 3" xfId="3028"/>
    <cellStyle name="20% - Accent4 4 2 3 3 2" xfId="3029"/>
    <cellStyle name="20% - Accent4 4 2 3 4" xfId="3030"/>
    <cellStyle name="20% - Accent4 4 2 3 5" xfId="3031"/>
    <cellStyle name="20% - Accent4 4 2 4" xfId="3032"/>
    <cellStyle name="20% - Accent4 4 2 4 2" xfId="3033"/>
    <cellStyle name="20% - Accent4 4 2 4 2 2" xfId="3034"/>
    <cellStyle name="20% - Accent4 4 2 4 3" xfId="3035"/>
    <cellStyle name="20% - Accent4 4 2 4 4" xfId="3036"/>
    <cellStyle name="20% - Accent4 4 2 5" xfId="3037"/>
    <cellStyle name="20% - Accent4 4 2 5 2" xfId="3038"/>
    <cellStyle name="20% - Accent4 4 2 6" xfId="3039"/>
    <cellStyle name="20% - Accent4 4 2 7" xfId="3040"/>
    <cellStyle name="20% - Accent4 4 2 8" xfId="3041"/>
    <cellStyle name="20% - Accent4 4 2 9" xfId="3042"/>
    <cellStyle name="20% - Accent4 4 3" xfId="3043"/>
    <cellStyle name="20% - Accent4 4 3 2" xfId="3044"/>
    <cellStyle name="20% - Accent4 4 3 2 2" xfId="3045"/>
    <cellStyle name="20% - Accent4 4 3 2 2 2" xfId="3046"/>
    <cellStyle name="20% - Accent4 4 3 2 2 2 2" xfId="3047"/>
    <cellStyle name="20% - Accent4 4 3 2 2 3" xfId="3048"/>
    <cellStyle name="20% - Accent4 4 3 2 2 4" xfId="3049"/>
    <cellStyle name="20% - Accent4 4 3 2 3" xfId="3050"/>
    <cellStyle name="20% - Accent4 4 3 2 3 2" xfId="3051"/>
    <cellStyle name="20% - Accent4 4 3 2 4" xfId="3052"/>
    <cellStyle name="20% - Accent4 4 3 2 5" xfId="3053"/>
    <cellStyle name="20% - Accent4 4 3 3" xfId="3054"/>
    <cellStyle name="20% - Accent4 4 3 3 2" xfId="3055"/>
    <cellStyle name="20% - Accent4 4 3 3 2 2" xfId="3056"/>
    <cellStyle name="20% - Accent4 4 3 3 3" xfId="3057"/>
    <cellStyle name="20% - Accent4 4 3 3 4" xfId="3058"/>
    <cellStyle name="20% - Accent4 4 3 4" xfId="3059"/>
    <cellStyle name="20% - Accent4 4 3 4 2" xfId="3060"/>
    <cellStyle name="20% - Accent4 4 3 4 3" xfId="3061"/>
    <cellStyle name="20% - Accent4 4 3 4 4" xfId="3062"/>
    <cellStyle name="20% - Accent4 4 3 5" xfId="3063"/>
    <cellStyle name="20% - Accent4 4 3 5 2" xfId="3064"/>
    <cellStyle name="20% - Accent4 4 3 6" xfId="3065"/>
    <cellStyle name="20% - Accent4 4 3 7" xfId="3066"/>
    <cellStyle name="20% - Accent4 4 3 8" xfId="3067"/>
    <cellStyle name="20% - Accent4 4 3 9" xfId="3068"/>
    <cellStyle name="20% - Accent4 4 4" xfId="3069"/>
    <cellStyle name="20% - Accent4 4 4 2" xfId="3070"/>
    <cellStyle name="20% - Accent4 4 4 2 2" xfId="3071"/>
    <cellStyle name="20% - Accent4 4 4 2 2 2" xfId="3072"/>
    <cellStyle name="20% - Accent4 4 4 2 2 2 2" xfId="3073"/>
    <cellStyle name="20% - Accent4 4 4 2 2 3" xfId="3074"/>
    <cellStyle name="20% - Accent4 4 4 2 2 4" xfId="3075"/>
    <cellStyle name="20% - Accent4 4 4 2 3" xfId="3076"/>
    <cellStyle name="20% - Accent4 4 4 2 3 2" xfId="3077"/>
    <cellStyle name="20% - Accent4 4 4 2 4" xfId="3078"/>
    <cellStyle name="20% - Accent4 4 4 2 5" xfId="3079"/>
    <cellStyle name="20% - Accent4 4 4 3" xfId="3080"/>
    <cellStyle name="20% - Accent4 4 4 3 2" xfId="3081"/>
    <cellStyle name="20% - Accent4 4 4 3 2 2" xfId="3082"/>
    <cellStyle name="20% - Accent4 4 4 3 3" xfId="3083"/>
    <cellStyle name="20% - Accent4 4 4 3 4" xfId="3084"/>
    <cellStyle name="20% - Accent4 4 4 4" xfId="3085"/>
    <cellStyle name="20% - Accent4 4 4 4 2" xfId="3086"/>
    <cellStyle name="20% - Accent4 4 4 5" xfId="3087"/>
    <cellStyle name="20% - Accent4 4 4 6" xfId="3088"/>
    <cellStyle name="20% - Accent4 4 5" xfId="3089"/>
    <cellStyle name="20% - Accent4 4 5 2" xfId="3090"/>
    <cellStyle name="20% - Accent4 4 5 2 2" xfId="3091"/>
    <cellStyle name="20% - Accent4 4 5 2 2 2" xfId="3092"/>
    <cellStyle name="20% - Accent4 4 5 2 3" xfId="3093"/>
    <cellStyle name="20% - Accent4 4 5 2 4" xfId="3094"/>
    <cellStyle name="20% - Accent4 4 5 3" xfId="3095"/>
    <cellStyle name="20% - Accent4 4 5 3 2" xfId="3096"/>
    <cellStyle name="20% - Accent4 4 5 4" xfId="3097"/>
    <cellStyle name="20% - Accent4 4 5 5" xfId="3098"/>
    <cellStyle name="20% - Accent4 4 6" xfId="3099"/>
    <cellStyle name="20% - Accent4 4 6 2" xfId="3100"/>
    <cellStyle name="20% - Accent4 4 6 2 2" xfId="3101"/>
    <cellStyle name="20% - Accent4 4 6 3" xfId="3102"/>
    <cellStyle name="20% - Accent4 4 6 4" xfId="3103"/>
    <cellStyle name="20% - Accent4 4 7" xfId="3104"/>
    <cellStyle name="20% - Accent4 4 7 2" xfId="3105"/>
    <cellStyle name="20% - Accent4 4 7 3" xfId="3106"/>
    <cellStyle name="20% - Accent4 4 7 4" xfId="3107"/>
    <cellStyle name="20% - Accent4 4 8" xfId="3108"/>
    <cellStyle name="20% - Accent4 4 9" xfId="3109"/>
    <cellStyle name="20% - Accent4 5" xfId="257"/>
    <cellStyle name="20% - Accent4 5 2" xfId="3110"/>
    <cellStyle name="20% - Accent4 5 2 2" xfId="3111"/>
    <cellStyle name="20% - Accent4 5 2 2 2" xfId="3112"/>
    <cellStyle name="20% - Accent4 5 2 2 2 2" xfId="3113"/>
    <cellStyle name="20% - Accent4 5 2 2 2 2 2" xfId="3114"/>
    <cellStyle name="20% - Accent4 5 2 2 2 3" xfId="3115"/>
    <cellStyle name="20% - Accent4 5 2 2 3" xfId="3116"/>
    <cellStyle name="20% - Accent4 5 2 2 3 2" xfId="3117"/>
    <cellStyle name="20% - Accent4 5 2 2 4" xfId="3118"/>
    <cellStyle name="20% - Accent4 5 2 3" xfId="3119"/>
    <cellStyle name="20% - Accent4 5 2 3 2" xfId="3120"/>
    <cellStyle name="20% - Accent4 5 2 3 2 2" xfId="3121"/>
    <cellStyle name="20% - Accent4 5 2 3 3" xfId="3122"/>
    <cellStyle name="20% - Accent4 5 2 4" xfId="3123"/>
    <cellStyle name="20% - Accent4 5 2 4 2" xfId="3124"/>
    <cellStyle name="20% - Accent4 5 2 5" xfId="3125"/>
    <cellStyle name="20% - Accent4 5 2 6" xfId="3126"/>
    <cellStyle name="20% - Accent4 5 3" xfId="3127"/>
    <cellStyle name="20% - Accent4 5 3 2" xfId="3128"/>
    <cellStyle name="20% - Accent4 5 3 2 2" xfId="3129"/>
    <cellStyle name="20% - Accent4 5 3 2 2 2" xfId="3130"/>
    <cellStyle name="20% - Accent4 5 3 2 3" xfId="3131"/>
    <cellStyle name="20% - Accent4 5 3 3" xfId="3132"/>
    <cellStyle name="20% - Accent4 5 3 3 2" xfId="3133"/>
    <cellStyle name="20% - Accent4 5 3 4" xfId="3134"/>
    <cellStyle name="20% - Accent4 5 4" xfId="3135"/>
    <cellStyle name="20% - Accent4 5 4 2" xfId="3136"/>
    <cellStyle name="20% - Accent4 5 4 2 2" xfId="3137"/>
    <cellStyle name="20% - Accent4 5 4 3" xfId="3138"/>
    <cellStyle name="20% - Accent4 5 5" xfId="3139"/>
    <cellStyle name="20% - Accent4 5 5 2" xfId="3140"/>
    <cellStyle name="20% - Accent4 5 6" xfId="3141"/>
    <cellStyle name="20% - Accent4 5 7" xfId="3142"/>
    <cellStyle name="20% - Accent4 5 8" xfId="3143"/>
    <cellStyle name="20% - Accent4 6" xfId="258"/>
    <cellStyle name="20% - Accent4 6 2" xfId="3144"/>
    <cellStyle name="20% - Accent4 6 2 2" xfId="3145"/>
    <cellStyle name="20% - Accent4 6 2 2 2" xfId="3146"/>
    <cellStyle name="20% - Accent4 6 2 2 2 2" xfId="3147"/>
    <cellStyle name="20% - Accent4 6 2 2 3" xfId="3148"/>
    <cellStyle name="20% - Accent4 6 2 3" xfId="3149"/>
    <cellStyle name="20% - Accent4 6 2 3 2" xfId="3150"/>
    <cellStyle name="20% - Accent4 6 2 4" xfId="3151"/>
    <cellStyle name="20% - Accent4 6 2 5" xfId="3152"/>
    <cellStyle name="20% - Accent4 6 3" xfId="3153"/>
    <cellStyle name="20% - Accent4 6 3 2" xfId="3154"/>
    <cellStyle name="20% - Accent4 6 3 2 2" xfId="3155"/>
    <cellStyle name="20% - Accent4 6 3 3" xfId="3156"/>
    <cellStyle name="20% - Accent4 6 4" xfId="3157"/>
    <cellStyle name="20% - Accent4 6 4 2" xfId="3158"/>
    <cellStyle name="20% - Accent4 6 5" xfId="3159"/>
    <cellStyle name="20% - Accent4 6 6" xfId="3160"/>
    <cellStyle name="20% - Accent4 7" xfId="259"/>
    <cellStyle name="20% - Accent4 7 2" xfId="3161"/>
    <cellStyle name="20% - Accent4 7 2 2" xfId="3162"/>
    <cellStyle name="20% - Accent4 7 2 2 2" xfId="3163"/>
    <cellStyle name="20% - Accent4 7 2 3" xfId="3164"/>
    <cellStyle name="20% - Accent4 7 3" xfId="3165"/>
    <cellStyle name="20% - Accent4 7 3 2" xfId="3166"/>
    <cellStyle name="20% - Accent4 7 4" xfId="3167"/>
    <cellStyle name="20% - Accent4 7 5" xfId="3168"/>
    <cellStyle name="20% - Accent4 8" xfId="260"/>
    <cellStyle name="20% - Accent4 8 2" xfId="3169"/>
    <cellStyle name="20% - Accent4 8 2 2" xfId="3170"/>
    <cellStyle name="20% - Accent4 8 2 2 2" xfId="3171"/>
    <cellStyle name="20% - Accent4 8 2 3" xfId="3172"/>
    <cellStyle name="20% - Accent4 8 3" xfId="3173"/>
    <cellStyle name="20% - Accent4 8 3 2" xfId="3174"/>
    <cellStyle name="20% - Accent4 8 4" xfId="3175"/>
    <cellStyle name="20% - Accent4 8 5" xfId="3176"/>
    <cellStyle name="20% - Accent4 9" xfId="261"/>
    <cellStyle name="20% - Accent4 9 2" xfId="3177"/>
    <cellStyle name="20% - Accent4 9 2 2" xfId="3178"/>
    <cellStyle name="20% - Accent4 9 2 2 2" xfId="3179"/>
    <cellStyle name="20% - Accent4 9 2 3" xfId="3180"/>
    <cellStyle name="20% - Accent4 9 3" xfId="3181"/>
    <cellStyle name="20% - Accent4 9 3 2" xfId="3182"/>
    <cellStyle name="20% - Accent4 9 4" xfId="3183"/>
    <cellStyle name="20% - Accent4 9 5" xfId="3184"/>
    <cellStyle name="20% - Accent5 10" xfId="262"/>
    <cellStyle name="20% - Accent5 10 2" xfId="3185"/>
    <cellStyle name="20% - Accent5 10 2 2" xfId="3186"/>
    <cellStyle name="20% - Accent5 10 3" xfId="3187"/>
    <cellStyle name="20% - Accent5 10 4" xfId="3188"/>
    <cellStyle name="20% - Accent5 11" xfId="263"/>
    <cellStyle name="20% - Accent5 11 2" xfId="3189"/>
    <cellStyle name="20% - Accent5 11 2 2" xfId="3190"/>
    <cellStyle name="20% - Accent5 11 3" xfId="3191"/>
    <cellStyle name="20% - Accent5 11 4" xfId="3192"/>
    <cellStyle name="20% - Accent5 12" xfId="264"/>
    <cellStyle name="20% - Accent5 12 2" xfId="3193"/>
    <cellStyle name="20% - Accent5 12 3" xfId="3194"/>
    <cellStyle name="20% - Accent5 13" xfId="265"/>
    <cellStyle name="20% - Accent5 13 2" xfId="3195"/>
    <cellStyle name="20% - Accent5 14" xfId="266"/>
    <cellStyle name="20% - Accent5 15" xfId="267"/>
    <cellStyle name="20% - Accent5 15 2" xfId="268"/>
    <cellStyle name="20% - Accent5 15 3" xfId="269"/>
    <cellStyle name="20% - Accent5 15 4" xfId="270"/>
    <cellStyle name="20% - Accent5 15 5" xfId="271"/>
    <cellStyle name="20% - Accent5 16" xfId="272"/>
    <cellStyle name="20% - Accent5 16 2" xfId="273"/>
    <cellStyle name="20% - Accent5 16 3" xfId="274"/>
    <cellStyle name="20% - Accent5 16 4" xfId="275"/>
    <cellStyle name="20% - Accent5 16 5" xfId="276"/>
    <cellStyle name="20% - Accent5 17" xfId="277"/>
    <cellStyle name="20% - Accent5 17 2" xfId="278"/>
    <cellStyle name="20% - Accent5 17 3" xfId="279"/>
    <cellStyle name="20% - Accent5 17 4" xfId="280"/>
    <cellStyle name="20% - Accent5 17 5" xfId="281"/>
    <cellStyle name="20% - Accent5 18" xfId="282"/>
    <cellStyle name="20% - Accent5 19" xfId="283"/>
    <cellStyle name="20% - Accent5 2" xfId="284"/>
    <cellStyle name="20% - Accent5 2 2" xfId="285"/>
    <cellStyle name="20% - Accent5 2 2 2" xfId="286"/>
    <cellStyle name="20% - Accent5 2 2 2 2" xfId="287"/>
    <cellStyle name="20% - Accent5 2 2 2 2 2" xfId="3196"/>
    <cellStyle name="20% - Accent5 2 2 2 2 2 2" xfId="3197"/>
    <cellStyle name="20% - Accent5 2 2 2 2 2 2 2" xfId="3198"/>
    <cellStyle name="20% - Accent5 2 2 2 2 2 3" xfId="3199"/>
    <cellStyle name="20% - Accent5 2 2 2 2 3" xfId="3200"/>
    <cellStyle name="20% - Accent5 2 2 2 2 3 2" xfId="3201"/>
    <cellStyle name="20% - Accent5 2 2 2 2 4" xfId="3202"/>
    <cellStyle name="20% - Accent5 2 2 2 2 5" xfId="3203"/>
    <cellStyle name="20% - Accent5 2 2 2 3" xfId="288"/>
    <cellStyle name="20% - Accent5 2 2 2 3 2" xfId="3204"/>
    <cellStyle name="20% - Accent5 2 2 2 3 2 2" xfId="3205"/>
    <cellStyle name="20% - Accent5 2 2 2 3 3" xfId="3206"/>
    <cellStyle name="20% - Accent5 2 2 2 4" xfId="289"/>
    <cellStyle name="20% - Accent5 2 2 2 4 2" xfId="3207"/>
    <cellStyle name="20% - Accent5 2 2 2 5" xfId="290"/>
    <cellStyle name="20% - Accent5 2 2 2 6" xfId="3208"/>
    <cellStyle name="20% - Accent5 2 2 3" xfId="291"/>
    <cellStyle name="20% - Accent5 2 2 3 2" xfId="3209"/>
    <cellStyle name="20% - Accent5 2 2 3 2 2" xfId="3210"/>
    <cellStyle name="20% - Accent5 2 2 3 2 2 2" xfId="3211"/>
    <cellStyle name="20% - Accent5 2 2 3 2 3" xfId="3212"/>
    <cellStyle name="20% - Accent5 2 2 3 3" xfId="3213"/>
    <cellStyle name="20% - Accent5 2 2 3 3 2" xfId="3214"/>
    <cellStyle name="20% - Accent5 2 2 3 4" xfId="3215"/>
    <cellStyle name="20% - Accent5 2 2 3 5" xfId="3216"/>
    <cellStyle name="20% - Accent5 2 2 4" xfId="292"/>
    <cellStyle name="20% - Accent5 2 2 4 2" xfId="3217"/>
    <cellStyle name="20% - Accent5 2 2 4 2 2" xfId="3218"/>
    <cellStyle name="20% - Accent5 2 2 4 3" xfId="3219"/>
    <cellStyle name="20% - Accent5 2 2 5" xfId="293"/>
    <cellStyle name="20% - Accent5 2 2 5 2" xfId="3220"/>
    <cellStyle name="20% - Accent5 2 2 6" xfId="3221"/>
    <cellStyle name="20% - Accent5 2 2 7" xfId="3222"/>
    <cellStyle name="20% - Accent5 2 3" xfId="294"/>
    <cellStyle name="20% - Accent5 2 3 2" xfId="3223"/>
    <cellStyle name="20% - Accent5 2 3 2 2" xfId="3224"/>
    <cellStyle name="20% - Accent5 2 3 2 2 2" xfId="3225"/>
    <cellStyle name="20% - Accent5 2 3 2 2 2 2" xfId="3226"/>
    <cellStyle name="20% - Accent5 2 3 2 2 3" xfId="3227"/>
    <cellStyle name="20% - Accent5 2 3 2 3" xfId="3228"/>
    <cellStyle name="20% - Accent5 2 3 2 3 2" xfId="3229"/>
    <cellStyle name="20% - Accent5 2 3 2 4" xfId="3230"/>
    <cellStyle name="20% - Accent5 2 3 3" xfId="3231"/>
    <cellStyle name="20% - Accent5 2 3 3 2" xfId="3232"/>
    <cellStyle name="20% - Accent5 2 3 3 2 2" xfId="3233"/>
    <cellStyle name="20% - Accent5 2 3 3 3" xfId="3234"/>
    <cellStyle name="20% - Accent5 2 3 4" xfId="3235"/>
    <cellStyle name="20% - Accent5 2 3 4 2" xfId="3236"/>
    <cellStyle name="20% - Accent5 2 3 5" xfId="3237"/>
    <cellStyle name="20% - Accent5 2 3 6" xfId="3238"/>
    <cellStyle name="20% - Accent5 2 4" xfId="295"/>
    <cellStyle name="20% - Accent5 2 4 2" xfId="3239"/>
    <cellStyle name="20% - Accent5 2 4 2 2" xfId="3240"/>
    <cellStyle name="20% - Accent5 2 4 2 2 2" xfId="3241"/>
    <cellStyle name="20% - Accent5 2 4 2 3" xfId="3242"/>
    <cellStyle name="20% - Accent5 2 4 3" xfId="3243"/>
    <cellStyle name="20% - Accent5 2 4 3 2" xfId="3244"/>
    <cellStyle name="20% - Accent5 2 4 4" xfId="3245"/>
    <cellStyle name="20% - Accent5 2 4 5" xfId="3246"/>
    <cellStyle name="20% - Accent5 2 5" xfId="296"/>
    <cellStyle name="20% - Accent5 2 5 2" xfId="3247"/>
    <cellStyle name="20% - Accent5 2 5 2 2" xfId="3248"/>
    <cellStyle name="20% - Accent5 2 5 3" xfId="3249"/>
    <cellStyle name="20% - Accent5 2 5 4" xfId="3250"/>
    <cellStyle name="20% - Accent5 2 6" xfId="297"/>
    <cellStyle name="20% - Accent5 2 6 2" xfId="3251"/>
    <cellStyle name="20% - Accent5 2 6 3" xfId="3252"/>
    <cellStyle name="20% - Accent5 2 7" xfId="298"/>
    <cellStyle name="20% - Accent5 2 8" xfId="299"/>
    <cellStyle name="20% - Accent5 2 9" xfId="300"/>
    <cellStyle name="20% - Accent5 20" xfId="301"/>
    <cellStyle name="20% - Accent5 21" xfId="302"/>
    <cellStyle name="20% - Accent5 22" xfId="303"/>
    <cellStyle name="20% - Accent5 23" xfId="304"/>
    <cellStyle name="20% - Accent5 24" xfId="305"/>
    <cellStyle name="20% - Accent5 25" xfId="306"/>
    <cellStyle name="20% - Accent5 26" xfId="307"/>
    <cellStyle name="20% - Accent5 27" xfId="308"/>
    <cellStyle name="20% - Accent5 28" xfId="309"/>
    <cellStyle name="20% - Accent5 29" xfId="310"/>
    <cellStyle name="20% - Accent5 3" xfId="311"/>
    <cellStyle name="20% - Accent5 3 2" xfId="3253"/>
    <cellStyle name="20% - Accent5 3 2 2" xfId="3254"/>
    <cellStyle name="20% - Accent5 3 2 2 2" xfId="3255"/>
    <cellStyle name="20% - Accent5 3 2 2 2 2" xfId="3256"/>
    <cellStyle name="20% - Accent5 3 2 2 2 2 2" xfId="3257"/>
    <cellStyle name="20% - Accent5 3 2 2 2 2 2 2" xfId="3258"/>
    <cellStyle name="20% - Accent5 3 2 2 2 2 3" xfId="3259"/>
    <cellStyle name="20% - Accent5 3 2 2 2 3" xfId="3260"/>
    <cellStyle name="20% - Accent5 3 2 2 2 3 2" xfId="3261"/>
    <cellStyle name="20% - Accent5 3 2 2 2 4" xfId="3262"/>
    <cellStyle name="20% - Accent5 3 2 2 3" xfId="3263"/>
    <cellStyle name="20% - Accent5 3 2 2 3 2" xfId="3264"/>
    <cellStyle name="20% - Accent5 3 2 2 3 2 2" xfId="3265"/>
    <cellStyle name="20% - Accent5 3 2 2 3 3" xfId="3266"/>
    <cellStyle name="20% - Accent5 3 2 2 4" xfId="3267"/>
    <cellStyle name="20% - Accent5 3 2 2 4 2" xfId="3268"/>
    <cellStyle name="20% - Accent5 3 2 2 5" xfId="3269"/>
    <cellStyle name="20% - Accent5 3 2 2 6" xfId="3270"/>
    <cellStyle name="20% - Accent5 3 2 3" xfId="3271"/>
    <cellStyle name="20% - Accent5 3 2 3 2" xfId="3272"/>
    <cellStyle name="20% - Accent5 3 2 3 2 2" xfId="3273"/>
    <cellStyle name="20% - Accent5 3 2 3 2 2 2" xfId="3274"/>
    <cellStyle name="20% - Accent5 3 2 3 2 3" xfId="3275"/>
    <cellStyle name="20% - Accent5 3 2 3 3" xfId="3276"/>
    <cellStyle name="20% - Accent5 3 2 3 3 2" xfId="3277"/>
    <cellStyle name="20% - Accent5 3 2 3 4" xfId="3278"/>
    <cellStyle name="20% - Accent5 3 2 4" xfId="3279"/>
    <cellStyle name="20% - Accent5 3 2 4 2" xfId="3280"/>
    <cellStyle name="20% - Accent5 3 2 4 2 2" xfId="3281"/>
    <cellStyle name="20% - Accent5 3 2 4 3" xfId="3282"/>
    <cellStyle name="20% - Accent5 3 2 5" xfId="3283"/>
    <cellStyle name="20% - Accent5 3 2 5 2" xfId="3284"/>
    <cellStyle name="20% - Accent5 3 2 6" xfId="3285"/>
    <cellStyle name="20% - Accent5 3 2 7" xfId="3286"/>
    <cellStyle name="20% - Accent5 3 3" xfId="3287"/>
    <cellStyle name="20% - Accent5 3 3 2" xfId="3288"/>
    <cellStyle name="20% - Accent5 3 3 2 2" xfId="3289"/>
    <cellStyle name="20% - Accent5 3 3 2 2 2" xfId="3290"/>
    <cellStyle name="20% - Accent5 3 3 2 2 2 2" xfId="3291"/>
    <cellStyle name="20% - Accent5 3 3 2 2 3" xfId="3292"/>
    <cellStyle name="20% - Accent5 3 3 2 3" xfId="3293"/>
    <cellStyle name="20% - Accent5 3 3 2 3 2" xfId="3294"/>
    <cellStyle name="20% - Accent5 3 3 2 4" xfId="3295"/>
    <cellStyle name="20% - Accent5 3 3 3" xfId="3296"/>
    <cellStyle name="20% - Accent5 3 3 3 2" xfId="3297"/>
    <cellStyle name="20% - Accent5 3 3 3 2 2" xfId="3298"/>
    <cellStyle name="20% - Accent5 3 3 3 3" xfId="3299"/>
    <cellStyle name="20% - Accent5 3 3 4" xfId="3300"/>
    <cellStyle name="20% - Accent5 3 3 4 2" xfId="3301"/>
    <cellStyle name="20% - Accent5 3 3 5" xfId="3302"/>
    <cellStyle name="20% - Accent5 3 3 6" xfId="3303"/>
    <cellStyle name="20% - Accent5 3 4" xfId="3304"/>
    <cellStyle name="20% - Accent5 3 4 2" xfId="3305"/>
    <cellStyle name="20% - Accent5 3 4 2 2" xfId="3306"/>
    <cellStyle name="20% - Accent5 3 4 2 2 2" xfId="3307"/>
    <cellStyle name="20% - Accent5 3 4 2 3" xfId="3308"/>
    <cellStyle name="20% - Accent5 3 4 3" xfId="3309"/>
    <cellStyle name="20% - Accent5 3 4 3 2" xfId="3310"/>
    <cellStyle name="20% - Accent5 3 4 4" xfId="3311"/>
    <cellStyle name="20% - Accent5 3 4 5" xfId="3312"/>
    <cellStyle name="20% - Accent5 3 5" xfId="3313"/>
    <cellStyle name="20% - Accent5 3 5 2" xfId="3314"/>
    <cellStyle name="20% - Accent5 3 5 2 2" xfId="3315"/>
    <cellStyle name="20% - Accent5 3 5 3" xfId="3316"/>
    <cellStyle name="20% - Accent5 3 6" xfId="3317"/>
    <cellStyle name="20% - Accent5 3 6 2" xfId="3318"/>
    <cellStyle name="20% - Accent5 3 7" xfId="3319"/>
    <cellStyle name="20% - Accent5 3 8" xfId="3320"/>
    <cellStyle name="20% - Accent5 3 9" xfId="3321"/>
    <cellStyle name="20% - Accent5 30" xfId="312"/>
    <cellStyle name="20% - Accent5 31" xfId="313"/>
    <cellStyle name="20% - Accent5 32" xfId="314"/>
    <cellStyle name="20% - Accent5 33" xfId="315"/>
    <cellStyle name="20% - Accent5 34" xfId="316"/>
    <cellStyle name="20% - Accent5 35" xfId="317"/>
    <cellStyle name="20% - Accent5 4" xfId="318"/>
    <cellStyle name="20% - Accent5 4 2" xfId="3322"/>
    <cellStyle name="20% - Accent5 4 2 2" xfId="3323"/>
    <cellStyle name="20% - Accent5 4 2 2 2" xfId="3324"/>
    <cellStyle name="20% - Accent5 4 2 2 2 2" xfId="3325"/>
    <cellStyle name="20% - Accent5 4 2 2 2 2 2" xfId="3326"/>
    <cellStyle name="20% - Accent5 4 2 2 2 3" xfId="3327"/>
    <cellStyle name="20% - Accent5 4 2 2 3" xfId="3328"/>
    <cellStyle name="20% - Accent5 4 2 2 3 2" xfId="3329"/>
    <cellStyle name="20% - Accent5 4 2 2 4" xfId="3330"/>
    <cellStyle name="20% - Accent5 4 2 3" xfId="3331"/>
    <cellStyle name="20% - Accent5 4 2 3 2" xfId="3332"/>
    <cellStyle name="20% - Accent5 4 2 3 2 2" xfId="3333"/>
    <cellStyle name="20% - Accent5 4 2 3 3" xfId="3334"/>
    <cellStyle name="20% - Accent5 4 2 4" xfId="3335"/>
    <cellStyle name="20% - Accent5 4 2 4 2" xfId="3336"/>
    <cellStyle name="20% - Accent5 4 2 5" xfId="3337"/>
    <cellStyle name="20% - Accent5 4 2 6" xfId="3338"/>
    <cellStyle name="20% - Accent5 4 3" xfId="3339"/>
    <cellStyle name="20% - Accent5 4 3 2" xfId="3340"/>
    <cellStyle name="20% - Accent5 4 3 2 2" xfId="3341"/>
    <cellStyle name="20% - Accent5 4 3 2 2 2" xfId="3342"/>
    <cellStyle name="20% - Accent5 4 3 2 3" xfId="3343"/>
    <cellStyle name="20% - Accent5 4 3 3" xfId="3344"/>
    <cellStyle name="20% - Accent5 4 3 3 2" xfId="3345"/>
    <cellStyle name="20% - Accent5 4 3 4" xfId="3346"/>
    <cellStyle name="20% - Accent5 4 3 5" xfId="3347"/>
    <cellStyle name="20% - Accent5 4 4" xfId="3348"/>
    <cellStyle name="20% - Accent5 4 4 2" xfId="3349"/>
    <cellStyle name="20% - Accent5 4 4 2 2" xfId="3350"/>
    <cellStyle name="20% - Accent5 4 4 3" xfId="3351"/>
    <cellStyle name="20% - Accent5 4 5" xfId="3352"/>
    <cellStyle name="20% - Accent5 4 5 2" xfId="3353"/>
    <cellStyle name="20% - Accent5 4 6" xfId="3354"/>
    <cellStyle name="20% - Accent5 4 7" xfId="3355"/>
    <cellStyle name="20% - Accent5 5" xfId="319"/>
    <cellStyle name="20% - Accent5 5 2" xfId="3356"/>
    <cellStyle name="20% - Accent5 5 2 2" xfId="3357"/>
    <cellStyle name="20% - Accent5 5 2 2 2" xfId="3358"/>
    <cellStyle name="20% - Accent5 5 2 2 2 2" xfId="3359"/>
    <cellStyle name="20% - Accent5 5 2 2 3" xfId="3360"/>
    <cellStyle name="20% - Accent5 5 2 3" xfId="3361"/>
    <cellStyle name="20% - Accent5 5 2 3 2" xfId="3362"/>
    <cellStyle name="20% - Accent5 5 2 4" xfId="3363"/>
    <cellStyle name="20% - Accent5 5 2 5" xfId="3364"/>
    <cellStyle name="20% - Accent5 5 3" xfId="3365"/>
    <cellStyle name="20% - Accent5 5 3 2" xfId="3366"/>
    <cellStyle name="20% - Accent5 5 3 2 2" xfId="3367"/>
    <cellStyle name="20% - Accent5 5 3 3" xfId="3368"/>
    <cellStyle name="20% - Accent5 5 4" xfId="3369"/>
    <cellStyle name="20% - Accent5 5 4 2" xfId="3370"/>
    <cellStyle name="20% - Accent5 5 5" xfId="3371"/>
    <cellStyle name="20% - Accent5 5 6" xfId="3372"/>
    <cellStyle name="20% - Accent5 6" xfId="320"/>
    <cellStyle name="20% - Accent5 6 2" xfId="3373"/>
    <cellStyle name="20% - Accent5 6 2 2" xfId="3374"/>
    <cellStyle name="20% - Accent5 6 2 2 2" xfId="3375"/>
    <cellStyle name="20% - Accent5 6 2 3" xfId="3376"/>
    <cellStyle name="20% - Accent5 6 2 4" xfId="3377"/>
    <cellStyle name="20% - Accent5 6 2 5" xfId="3378"/>
    <cellStyle name="20% - Accent5 6 3" xfId="3379"/>
    <cellStyle name="20% - Accent5 6 3 2" xfId="3380"/>
    <cellStyle name="20% - Accent5 6 4" xfId="3381"/>
    <cellStyle name="20% - Accent5 6 5" xfId="3382"/>
    <cellStyle name="20% - Accent5 7" xfId="321"/>
    <cellStyle name="20% - Accent5 7 2" xfId="3383"/>
    <cellStyle name="20% - Accent5 7 2 2" xfId="3384"/>
    <cellStyle name="20% - Accent5 7 2 2 2" xfId="3385"/>
    <cellStyle name="20% - Accent5 7 2 3" xfId="3386"/>
    <cellStyle name="20% - Accent5 7 3" xfId="3387"/>
    <cellStyle name="20% - Accent5 7 3 2" xfId="3388"/>
    <cellStyle name="20% - Accent5 7 4" xfId="3389"/>
    <cellStyle name="20% - Accent5 7 5" xfId="3390"/>
    <cellStyle name="20% - Accent5 8" xfId="322"/>
    <cellStyle name="20% - Accent5 8 2" xfId="3391"/>
    <cellStyle name="20% - Accent5 8 2 2" xfId="3392"/>
    <cellStyle name="20% - Accent5 8 2 2 2" xfId="3393"/>
    <cellStyle name="20% - Accent5 8 2 3" xfId="3394"/>
    <cellStyle name="20% - Accent5 8 3" xfId="3395"/>
    <cellStyle name="20% - Accent5 8 3 2" xfId="3396"/>
    <cellStyle name="20% - Accent5 8 4" xfId="3397"/>
    <cellStyle name="20% - Accent5 8 5" xfId="3398"/>
    <cellStyle name="20% - Accent5 9" xfId="323"/>
    <cellStyle name="20% - Accent5 9 2" xfId="3399"/>
    <cellStyle name="20% - Accent5 9 2 2" xfId="3400"/>
    <cellStyle name="20% - Accent5 9 3" xfId="3401"/>
    <cellStyle name="20% - Accent5 9 4" xfId="3402"/>
    <cellStyle name="20% - Accent6 10" xfId="324"/>
    <cellStyle name="20% - Accent6 10 2" xfId="3403"/>
    <cellStyle name="20% - Accent6 10 2 2" xfId="3404"/>
    <cellStyle name="20% - Accent6 10 3" xfId="3405"/>
    <cellStyle name="20% - Accent6 10 4" xfId="3406"/>
    <cellStyle name="20% - Accent6 11" xfId="325"/>
    <cellStyle name="20% - Accent6 11 2" xfId="3407"/>
    <cellStyle name="20% - Accent6 11 2 2" xfId="3408"/>
    <cellStyle name="20% - Accent6 11 3" xfId="3409"/>
    <cellStyle name="20% - Accent6 11 4" xfId="3410"/>
    <cellStyle name="20% - Accent6 12" xfId="326"/>
    <cellStyle name="20% - Accent6 12 2" xfId="3411"/>
    <cellStyle name="20% - Accent6 12 3" xfId="3412"/>
    <cellStyle name="20% - Accent6 13" xfId="327"/>
    <cellStyle name="20% - Accent6 13 2" xfId="3413"/>
    <cellStyle name="20% - Accent6 14" xfId="328"/>
    <cellStyle name="20% - Accent6 15" xfId="329"/>
    <cellStyle name="20% - Accent6 15 2" xfId="330"/>
    <cellStyle name="20% - Accent6 15 3" xfId="331"/>
    <cellStyle name="20% - Accent6 15 4" xfId="332"/>
    <cellStyle name="20% - Accent6 15 5" xfId="333"/>
    <cellStyle name="20% - Accent6 16" xfId="334"/>
    <cellStyle name="20% - Accent6 16 2" xfId="335"/>
    <cellStyle name="20% - Accent6 16 3" xfId="336"/>
    <cellStyle name="20% - Accent6 16 4" xfId="337"/>
    <cellStyle name="20% - Accent6 16 5" xfId="338"/>
    <cellStyle name="20% - Accent6 17" xfId="339"/>
    <cellStyle name="20% - Accent6 17 2" xfId="340"/>
    <cellStyle name="20% - Accent6 17 3" xfId="341"/>
    <cellStyle name="20% - Accent6 17 4" xfId="342"/>
    <cellStyle name="20% - Accent6 17 5" xfId="343"/>
    <cellStyle name="20% - Accent6 18" xfId="344"/>
    <cellStyle name="20% - Accent6 19" xfId="345"/>
    <cellStyle name="20% - Accent6 2" xfId="346"/>
    <cellStyle name="20% - Accent6 2 2" xfId="347"/>
    <cellStyle name="20% - Accent6 2 2 2" xfId="348"/>
    <cellStyle name="20% - Accent6 2 2 2 2" xfId="349"/>
    <cellStyle name="20% - Accent6 2 2 2 2 2" xfId="3414"/>
    <cellStyle name="20% - Accent6 2 2 2 2 2 2" xfId="3415"/>
    <cellStyle name="20% - Accent6 2 2 2 2 2 2 2" xfId="3416"/>
    <cellStyle name="20% - Accent6 2 2 2 2 2 3" xfId="3417"/>
    <cellStyle name="20% - Accent6 2 2 2 2 3" xfId="3418"/>
    <cellStyle name="20% - Accent6 2 2 2 2 3 2" xfId="3419"/>
    <cellStyle name="20% - Accent6 2 2 2 2 4" xfId="3420"/>
    <cellStyle name="20% - Accent6 2 2 2 2 5" xfId="3421"/>
    <cellStyle name="20% - Accent6 2 2 2 3" xfId="350"/>
    <cellStyle name="20% - Accent6 2 2 2 3 2" xfId="3422"/>
    <cellStyle name="20% - Accent6 2 2 2 3 2 2" xfId="3423"/>
    <cellStyle name="20% - Accent6 2 2 2 3 3" xfId="3424"/>
    <cellStyle name="20% - Accent6 2 2 2 4" xfId="351"/>
    <cellStyle name="20% - Accent6 2 2 2 4 2" xfId="3425"/>
    <cellStyle name="20% - Accent6 2 2 2 5" xfId="352"/>
    <cellStyle name="20% - Accent6 2 2 2 6" xfId="3426"/>
    <cellStyle name="20% - Accent6 2 2 3" xfId="353"/>
    <cellStyle name="20% - Accent6 2 2 3 2" xfId="3427"/>
    <cellStyle name="20% - Accent6 2 2 3 2 2" xfId="3428"/>
    <cellStyle name="20% - Accent6 2 2 3 2 2 2" xfId="3429"/>
    <cellStyle name="20% - Accent6 2 2 3 2 3" xfId="3430"/>
    <cellStyle name="20% - Accent6 2 2 3 3" xfId="3431"/>
    <cellStyle name="20% - Accent6 2 2 3 3 2" xfId="3432"/>
    <cellStyle name="20% - Accent6 2 2 3 4" xfId="3433"/>
    <cellStyle name="20% - Accent6 2 2 3 5" xfId="3434"/>
    <cellStyle name="20% - Accent6 2 2 4" xfId="354"/>
    <cellStyle name="20% - Accent6 2 2 4 2" xfId="3435"/>
    <cellStyle name="20% - Accent6 2 2 4 2 2" xfId="3436"/>
    <cellStyle name="20% - Accent6 2 2 4 3" xfId="3437"/>
    <cellStyle name="20% - Accent6 2 2 5" xfId="355"/>
    <cellStyle name="20% - Accent6 2 2 5 2" xfId="3438"/>
    <cellStyle name="20% - Accent6 2 2 6" xfId="3439"/>
    <cellStyle name="20% - Accent6 2 2 7" xfId="3440"/>
    <cellStyle name="20% - Accent6 2 3" xfId="356"/>
    <cellStyle name="20% - Accent6 2 3 2" xfId="3441"/>
    <cellStyle name="20% - Accent6 2 3 2 2" xfId="3442"/>
    <cellStyle name="20% - Accent6 2 3 2 2 2" xfId="3443"/>
    <cellStyle name="20% - Accent6 2 3 2 2 2 2" xfId="3444"/>
    <cellStyle name="20% - Accent6 2 3 2 2 3" xfId="3445"/>
    <cellStyle name="20% - Accent6 2 3 2 3" xfId="3446"/>
    <cellStyle name="20% - Accent6 2 3 2 3 2" xfId="3447"/>
    <cellStyle name="20% - Accent6 2 3 2 4" xfId="3448"/>
    <cellStyle name="20% - Accent6 2 3 3" xfId="3449"/>
    <cellStyle name="20% - Accent6 2 3 3 2" xfId="3450"/>
    <cellStyle name="20% - Accent6 2 3 3 2 2" xfId="3451"/>
    <cellStyle name="20% - Accent6 2 3 3 3" xfId="3452"/>
    <cellStyle name="20% - Accent6 2 3 4" xfId="3453"/>
    <cellStyle name="20% - Accent6 2 3 4 2" xfId="3454"/>
    <cellStyle name="20% - Accent6 2 3 5" xfId="3455"/>
    <cellStyle name="20% - Accent6 2 3 6" xfId="3456"/>
    <cellStyle name="20% - Accent6 2 4" xfId="357"/>
    <cellStyle name="20% - Accent6 2 4 2" xfId="3457"/>
    <cellStyle name="20% - Accent6 2 4 2 2" xfId="3458"/>
    <cellStyle name="20% - Accent6 2 4 2 2 2" xfId="3459"/>
    <cellStyle name="20% - Accent6 2 4 2 3" xfId="3460"/>
    <cellStyle name="20% - Accent6 2 4 3" xfId="3461"/>
    <cellStyle name="20% - Accent6 2 4 3 2" xfId="3462"/>
    <cellStyle name="20% - Accent6 2 4 4" xfId="3463"/>
    <cellStyle name="20% - Accent6 2 4 5" xfId="3464"/>
    <cellStyle name="20% - Accent6 2 5" xfId="358"/>
    <cellStyle name="20% - Accent6 2 5 2" xfId="3465"/>
    <cellStyle name="20% - Accent6 2 5 2 2" xfId="3466"/>
    <cellStyle name="20% - Accent6 2 5 3" xfId="3467"/>
    <cellStyle name="20% - Accent6 2 5 4" xfId="3468"/>
    <cellStyle name="20% - Accent6 2 6" xfId="359"/>
    <cellStyle name="20% - Accent6 2 6 2" xfId="3469"/>
    <cellStyle name="20% - Accent6 2 6 3" xfId="3470"/>
    <cellStyle name="20% - Accent6 2 7" xfId="360"/>
    <cellStyle name="20% - Accent6 2 8" xfId="361"/>
    <cellStyle name="20% - Accent6 2 9" xfId="362"/>
    <cellStyle name="20% - Accent6 20" xfId="363"/>
    <cellStyle name="20% - Accent6 21" xfId="364"/>
    <cellStyle name="20% - Accent6 22" xfId="365"/>
    <cellStyle name="20% - Accent6 23" xfId="366"/>
    <cellStyle name="20% - Accent6 24" xfId="367"/>
    <cellStyle name="20% - Accent6 25" xfId="368"/>
    <cellStyle name="20% - Accent6 26" xfId="369"/>
    <cellStyle name="20% - Accent6 27" xfId="370"/>
    <cellStyle name="20% - Accent6 28" xfId="371"/>
    <cellStyle name="20% - Accent6 29" xfId="372"/>
    <cellStyle name="20% - Accent6 3" xfId="373"/>
    <cellStyle name="20% - Accent6 3 2" xfId="3471"/>
    <cellStyle name="20% - Accent6 3 2 2" xfId="3472"/>
    <cellStyle name="20% - Accent6 3 2 2 2" xfId="3473"/>
    <cellStyle name="20% - Accent6 3 2 2 2 2" xfId="3474"/>
    <cellStyle name="20% - Accent6 3 2 2 2 2 2" xfId="3475"/>
    <cellStyle name="20% - Accent6 3 2 2 2 2 2 2" xfId="3476"/>
    <cellStyle name="20% - Accent6 3 2 2 2 2 3" xfId="3477"/>
    <cellStyle name="20% - Accent6 3 2 2 2 3" xfId="3478"/>
    <cellStyle name="20% - Accent6 3 2 2 2 3 2" xfId="3479"/>
    <cellStyle name="20% - Accent6 3 2 2 2 4" xfId="3480"/>
    <cellStyle name="20% - Accent6 3 2 2 3" xfId="3481"/>
    <cellStyle name="20% - Accent6 3 2 2 3 2" xfId="3482"/>
    <cellStyle name="20% - Accent6 3 2 2 3 2 2" xfId="3483"/>
    <cellStyle name="20% - Accent6 3 2 2 3 3" xfId="3484"/>
    <cellStyle name="20% - Accent6 3 2 2 4" xfId="3485"/>
    <cellStyle name="20% - Accent6 3 2 2 4 2" xfId="3486"/>
    <cellStyle name="20% - Accent6 3 2 2 5" xfId="3487"/>
    <cellStyle name="20% - Accent6 3 2 2 6" xfId="3488"/>
    <cellStyle name="20% - Accent6 3 2 3" xfId="3489"/>
    <cellStyle name="20% - Accent6 3 2 3 2" xfId="3490"/>
    <cellStyle name="20% - Accent6 3 2 3 2 2" xfId="3491"/>
    <cellStyle name="20% - Accent6 3 2 3 2 2 2" xfId="3492"/>
    <cellStyle name="20% - Accent6 3 2 3 2 3" xfId="3493"/>
    <cellStyle name="20% - Accent6 3 2 3 3" xfId="3494"/>
    <cellStyle name="20% - Accent6 3 2 3 3 2" xfId="3495"/>
    <cellStyle name="20% - Accent6 3 2 3 4" xfId="3496"/>
    <cellStyle name="20% - Accent6 3 2 4" xfId="3497"/>
    <cellStyle name="20% - Accent6 3 2 4 2" xfId="3498"/>
    <cellStyle name="20% - Accent6 3 2 4 2 2" xfId="3499"/>
    <cellStyle name="20% - Accent6 3 2 4 3" xfId="3500"/>
    <cellStyle name="20% - Accent6 3 2 5" xfId="3501"/>
    <cellStyle name="20% - Accent6 3 2 5 2" xfId="3502"/>
    <cellStyle name="20% - Accent6 3 2 6" xfId="3503"/>
    <cellStyle name="20% - Accent6 3 2 7" xfId="3504"/>
    <cellStyle name="20% - Accent6 3 3" xfId="3505"/>
    <cellStyle name="20% - Accent6 3 3 2" xfId="3506"/>
    <cellStyle name="20% - Accent6 3 3 2 2" xfId="3507"/>
    <cellStyle name="20% - Accent6 3 3 2 2 2" xfId="3508"/>
    <cellStyle name="20% - Accent6 3 3 2 2 2 2" xfId="3509"/>
    <cellStyle name="20% - Accent6 3 3 2 2 3" xfId="3510"/>
    <cellStyle name="20% - Accent6 3 3 2 3" xfId="3511"/>
    <cellStyle name="20% - Accent6 3 3 2 3 2" xfId="3512"/>
    <cellStyle name="20% - Accent6 3 3 2 4" xfId="3513"/>
    <cellStyle name="20% - Accent6 3 3 3" xfId="3514"/>
    <cellStyle name="20% - Accent6 3 3 3 2" xfId="3515"/>
    <cellStyle name="20% - Accent6 3 3 3 2 2" xfId="3516"/>
    <cellStyle name="20% - Accent6 3 3 3 3" xfId="3517"/>
    <cellStyle name="20% - Accent6 3 3 4" xfId="3518"/>
    <cellStyle name="20% - Accent6 3 3 4 2" xfId="3519"/>
    <cellStyle name="20% - Accent6 3 3 5" xfId="3520"/>
    <cellStyle name="20% - Accent6 3 3 6" xfId="3521"/>
    <cellStyle name="20% - Accent6 3 4" xfId="3522"/>
    <cellStyle name="20% - Accent6 3 4 2" xfId="3523"/>
    <cellStyle name="20% - Accent6 3 4 2 2" xfId="3524"/>
    <cellStyle name="20% - Accent6 3 4 2 2 2" xfId="3525"/>
    <cellStyle name="20% - Accent6 3 4 2 3" xfId="3526"/>
    <cellStyle name="20% - Accent6 3 4 3" xfId="3527"/>
    <cellStyle name="20% - Accent6 3 4 3 2" xfId="3528"/>
    <cellStyle name="20% - Accent6 3 4 4" xfId="3529"/>
    <cellStyle name="20% - Accent6 3 4 5" xfId="3530"/>
    <cellStyle name="20% - Accent6 3 5" xfId="3531"/>
    <cellStyle name="20% - Accent6 3 5 2" xfId="3532"/>
    <cellStyle name="20% - Accent6 3 5 2 2" xfId="3533"/>
    <cellStyle name="20% - Accent6 3 5 3" xfId="3534"/>
    <cellStyle name="20% - Accent6 3 6" xfId="3535"/>
    <cellStyle name="20% - Accent6 3 6 2" xfId="3536"/>
    <cellStyle name="20% - Accent6 3 7" xfId="3537"/>
    <cellStyle name="20% - Accent6 3 8" xfId="3538"/>
    <cellStyle name="20% - Accent6 3 9" xfId="3539"/>
    <cellStyle name="20% - Accent6 30" xfId="374"/>
    <cellStyle name="20% - Accent6 31" xfId="375"/>
    <cellStyle name="20% - Accent6 32" xfId="376"/>
    <cellStyle name="20% - Accent6 33" xfId="377"/>
    <cellStyle name="20% - Accent6 34" xfId="378"/>
    <cellStyle name="20% - Accent6 35" xfId="379"/>
    <cellStyle name="20% - Accent6 4" xfId="380"/>
    <cellStyle name="20% - Accent6 4 2" xfId="3540"/>
    <cellStyle name="20% - Accent6 4 2 2" xfId="3541"/>
    <cellStyle name="20% - Accent6 4 2 2 2" xfId="3542"/>
    <cellStyle name="20% - Accent6 4 2 2 2 2" xfId="3543"/>
    <cellStyle name="20% - Accent6 4 2 2 2 2 2" xfId="3544"/>
    <cellStyle name="20% - Accent6 4 2 2 2 3" xfId="3545"/>
    <cellStyle name="20% - Accent6 4 2 2 3" xfId="3546"/>
    <cellStyle name="20% - Accent6 4 2 2 3 2" xfId="3547"/>
    <cellStyle name="20% - Accent6 4 2 2 4" xfId="3548"/>
    <cellStyle name="20% - Accent6 4 2 3" xfId="3549"/>
    <cellStyle name="20% - Accent6 4 2 3 2" xfId="3550"/>
    <cellStyle name="20% - Accent6 4 2 3 2 2" xfId="3551"/>
    <cellStyle name="20% - Accent6 4 2 3 3" xfId="3552"/>
    <cellStyle name="20% - Accent6 4 2 4" xfId="3553"/>
    <cellStyle name="20% - Accent6 4 2 4 2" xfId="3554"/>
    <cellStyle name="20% - Accent6 4 2 5" xfId="3555"/>
    <cellStyle name="20% - Accent6 4 2 6" xfId="3556"/>
    <cellStyle name="20% - Accent6 4 3" xfId="3557"/>
    <cellStyle name="20% - Accent6 4 3 2" xfId="3558"/>
    <cellStyle name="20% - Accent6 4 3 2 2" xfId="3559"/>
    <cellStyle name="20% - Accent6 4 3 2 2 2" xfId="3560"/>
    <cellStyle name="20% - Accent6 4 3 2 3" xfId="3561"/>
    <cellStyle name="20% - Accent6 4 3 3" xfId="3562"/>
    <cellStyle name="20% - Accent6 4 3 3 2" xfId="3563"/>
    <cellStyle name="20% - Accent6 4 3 4" xfId="3564"/>
    <cellStyle name="20% - Accent6 4 3 5" xfId="3565"/>
    <cellStyle name="20% - Accent6 4 4" xfId="3566"/>
    <cellStyle name="20% - Accent6 4 4 2" xfId="3567"/>
    <cellStyle name="20% - Accent6 4 4 2 2" xfId="3568"/>
    <cellStyle name="20% - Accent6 4 4 3" xfId="3569"/>
    <cellStyle name="20% - Accent6 4 5" xfId="3570"/>
    <cellStyle name="20% - Accent6 4 5 2" xfId="3571"/>
    <cellStyle name="20% - Accent6 4 6" xfId="3572"/>
    <cellStyle name="20% - Accent6 4 7" xfId="3573"/>
    <cellStyle name="20% - Accent6 5" xfId="381"/>
    <cellStyle name="20% - Accent6 5 2" xfId="3574"/>
    <cellStyle name="20% - Accent6 5 2 2" xfId="3575"/>
    <cellStyle name="20% - Accent6 5 2 2 2" xfId="3576"/>
    <cellStyle name="20% - Accent6 5 2 2 2 2" xfId="3577"/>
    <cellStyle name="20% - Accent6 5 2 2 3" xfId="3578"/>
    <cellStyle name="20% - Accent6 5 2 3" xfId="3579"/>
    <cellStyle name="20% - Accent6 5 2 3 2" xfId="3580"/>
    <cellStyle name="20% - Accent6 5 2 4" xfId="3581"/>
    <cellStyle name="20% - Accent6 5 2 5" xfId="3582"/>
    <cellStyle name="20% - Accent6 5 3" xfId="3583"/>
    <cellStyle name="20% - Accent6 5 3 2" xfId="3584"/>
    <cellStyle name="20% - Accent6 5 3 2 2" xfId="3585"/>
    <cellStyle name="20% - Accent6 5 3 3" xfId="3586"/>
    <cellStyle name="20% - Accent6 5 4" xfId="3587"/>
    <cellStyle name="20% - Accent6 5 4 2" xfId="3588"/>
    <cellStyle name="20% - Accent6 5 5" xfId="3589"/>
    <cellStyle name="20% - Accent6 5 6" xfId="3590"/>
    <cellStyle name="20% - Accent6 6" xfId="382"/>
    <cellStyle name="20% - Accent6 6 2" xfId="3591"/>
    <cellStyle name="20% - Accent6 6 2 2" xfId="3592"/>
    <cellStyle name="20% - Accent6 6 2 2 2" xfId="3593"/>
    <cellStyle name="20% - Accent6 6 2 3" xfId="3594"/>
    <cellStyle name="20% - Accent6 6 2 4" xfId="3595"/>
    <cellStyle name="20% - Accent6 6 2 5" xfId="3596"/>
    <cellStyle name="20% - Accent6 6 3" xfId="3597"/>
    <cellStyle name="20% - Accent6 6 3 2" xfId="3598"/>
    <cellStyle name="20% - Accent6 6 4" xfId="3599"/>
    <cellStyle name="20% - Accent6 6 5" xfId="3600"/>
    <cellStyle name="20% - Accent6 7" xfId="383"/>
    <cellStyle name="20% - Accent6 7 2" xfId="3601"/>
    <cellStyle name="20% - Accent6 7 2 2" xfId="3602"/>
    <cellStyle name="20% - Accent6 7 2 2 2" xfId="3603"/>
    <cellStyle name="20% - Accent6 7 2 3" xfId="3604"/>
    <cellStyle name="20% - Accent6 7 3" xfId="3605"/>
    <cellStyle name="20% - Accent6 7 3 2" xfId="3606"/>
    <cellStyle name="20% - Accent6 7 4" xfId="3607"/>
    <cellStyle name="20% - Accent6 7 5" xfId="3608"/>
    <cellStyle name="20% - Accent6 8" xfId="384"/>
    <cellStyle name="20% - Accent6 8 2" xfId="3609"/>
    <cellStyle name="20% - Accent6 8 2 2" xfId="3610"/>
    <cellStyle name="20% - Accent6 8 2 2 2" xfId="3611"/>
    <cellStyle name="20% - Accent6 8 2 3" xfId="3612"/>
    <cellStyle name="20% - Accent6 8 3" xfId="3613"/>
    <cellStyle name="20% - Accent6 8 3 2" xfId="3614"/>
    <cellStyle name="20% - Accent6 8 4" xfId="3615"/>
    <cellStyle name="20% - Accent6 8 5" xfId="3616"/>
    <cellStyle name="20% - Accent6 9" xfId="385"/>
    <cellStyle name="20% - Accent6 9 2" xfId="3617"/>
    <cellStyle name="20% - Accent6 9 2 2" xfId="3618"/>
    <cellStyle name="20% - Accent6 9 3" xfId="3619"/>
    <cellStyle name="20% - Accent6 9 4" xfId="3620"/>
    <cellStyle name="40% - Accent1 10" xfId="386"/>
    <cellStyle name="40% - Accent1 10 2" xfId="3621"/>
    <cellStyle name="40% - Accent1 10 2 2" xfId="3622"/>
    <cellStyle name="40% - Accent1 10 3" xfId="3623"/>
    <cellStyle name="40% - Accent1 10 4" xfId="3624"/>
    <cellStyle name="40% - Accent1 11" xfId="387"/>
    <cellStyle name="40% - Accent1 11 2" xfId="3625"/>
    <cellStyle name="40% - Accent1 11 2 2" xfId="3626"/>
    <cellStyle name="40% - Accent1 11 3" xfId="3627"/>
    <cellStyle name="40% - Accent1 11 4" xfId="3628"/>
    <cellStyle name="40% - Accent1 12" xfId="388"/>
    <cellStyle name="40% - Accent1 12 2" xfId="3629"/>
    <cellStyle name="40% - Accent1 12 3" xfId="3630"/>
    <cellStyle name="40% - Accent1 13" xfId="389"/>
    <cellStyle name="40% - Accent1 13 2" xfId="3631"/>
    <cellStyle name="40% - Accent1 14" xfId="390"/>
    <cellStyle name="40% - Accent1 15" xfId="391"/>
    <cellStyle name="40% - Accent1 15 2" xfId="392"/>
    <cellStyle name="40% - Accent1 15 3" xfId="393"/>
    <cellStyle name="40% - Accent1 15 4" xfId="394"/>
    <cellStyle name="40% - Accent1 15 5" xfId="395"/>
    <cellStyle name="40% - Accent1 16" xfId="396"/>
    <cellStyle name="40% - Accent1 16 2" xfId="397"/>
    <cellStyle name="40% - Accent1 16 3" xfId="398"/>
    <cellStyle name="40% - Accent1 16 4" xfId="399"/>
    <cellStyle name="40% - Accent1 16 5" xfId="400"/>
    <cellStyle name="40% - Accent1 17" xfId="401"/>
    <cellStyle name="40% - Accent1 17 2" xfId="402"/>
    <cellStyle name="40% - Accent1 17 3" xfId="403"/>
    <cellStyle name="40% - Accent1 17 4" xfId="404"/>
    <cellStyle name="40% - Accent1 17 5" xfId="405"/>
    <cellStyle name="40% - Accent1 18" xfId="406"/>
    <cellStyle name="40% - Accent1 19" xfId="407"/>
    <cellStyle name="40% - Accent1 2" xfId="408"/>
    <cellStyle name="40% - Accent1 2 2" xfId="409"/>
    <cellStyle name="40% - Accent1 2 2 2" xfId="410"/>
    <cellStyle name="40% - Accent1 2 2 2 2" xfId="411"/>
    <cellStyle name="40% - Accent1 2 2 2 2 2" xfId="3632"/>
    <cellStyle name="40% - Accent1 2 2 2 2 2 2" xfId="3633"/>
    <cellStyle name="40% - Accent1 2 2 2 2 2 2 2" xfId="3634"/>
    <cellStyle name="40% - Accent1 2 2 2 2 2 3" xfId="3635"/>
    <cellStyle name="40% - Accent1 2 2 2 2 3" xfId="3636"/>
    <cellStyle name="40% - Accent1 2 2 2 2 3 2" xfId="3637"/>
    <cellStyle name="40% - Accent1 2 2 2 2 4" xfId="3638"/>
    <cellStyle name="40% - Accent1 2 2 2 2 5" xfId="3639"/>
    <cellStyle name="40% - Accent1 2 2 2 3" xfId="412"/>
    <cellStyle name="40% - Accent1 2 2 2 3 2" xfId="3640"/>
    <cellStyle name="40% - Accent1 2 2 2 3 2 2" xfId="3641"/>
    <cellStyle name="40% - Accent1 2 2 2 3 3" xfId="3642"/>
    <cellStyle name="40% - Accent1 2 2 2 4" xfId="413"/>
    <cellStyle name="40% - Accent1 2 2 2 4 2" xfId="3643"/>
    <cellStyle name="40% - Accent1 2 2 2 5" xfId="414"/>
    <cellStyle name="40% - Accent1 2 2 2 6" xfId="3644"/>
    <cellStyle name="40% - Accent1 2 2 3" xfId="415"/>
    <cellStyle name="40% - Accent1 2 2 3 2" xfId="3645"/>
    <cellStyle name="40% - Accent1 2 2 3 2 2" xfId="3646"/>
    <cellStyle name="40% - Accent1 2 2 3 2 2 2" xfId="3647"/>
    <cellStyle name="40% - Accent1 2 2 3 2 3" xfId="3648"/>
    <cellStyle name="40% - Accent1 2 2 3 3" xfId="3649"/>
    <cellStyle name="40% - Accent1 2 2 3 3 2" xfId="3650"/>
    <cellStyle name="40% - Accent1 2 2 3 4" xfId="3651"/>
    <cellStyle name="40% - Accent1 2 2 3 5" xfId="3652"/>
    <cellStyle name="40% - Accent1 2 2 4" xfId="416"/>
    <cellStyle name="40% - Accent1 2 2 4 2" xfId="3653"/>
    <cellStyle name="40% - Accent1 2 2 4 2 2" xfId="3654"/>
    <cellStyle name="40% - Accent1 2 2 4 3" xfId="3655"/>
    <cellStyle name="40% - Accent1 2 2 5" xfId="417"/>
    <cellStyle name="40% - Accent1 2 2 5 2" xfId="3656"/>
    <cellStyle name="40% - Accent1 2 2 6" xfId="3657"/>
    <cellStyle name="40% - Accent1 2 2 7" xfId="3658"/>
    <cellStyle name="40% - Accent1 2 3" xfId="418"/>
    <cellStyle name="40% - Accent1 2 3 2" xfId="3659"/>
    <cellStyle name="40% - Accent1 2 3 2 2" xfId="3660"/>
    <cellStyle name="40% - Accent1 2 3 2 2 2" xfId="3661"/>
    <cellStyle name="40% - Accent1 2 3 2 2 2 2" xfId="3662"/>
    <cellStyle name="40% - Accent1 2 3 2 2 3" xfId="3663"/>
    <cellStyle name="40% - Accent1 2 3 2 3" xfId="3664"/>
    <cellStyle name="40% - Accent1 2 3 2 3 2" xfId="3665"/>
    <cellStyle name="40% - Accent1 2 3 2 4" xfId="3666"/>
    <cellStyle name="40% - Accent1 2 3 3" xfId="3667"/>
    <cellStyle name="40% - Accent1 2 3 3 2" xfId="3668"/>
    <cellStyle name="40% - Accent1 2 3 3 2 2" xfId="3669"/>
    <cellStyle name="40% - Accent1 2 3 3 3" xfId="3670"/>
    <cellStyle name="40% - Accent1 2 3 4" xfId="3671"/>
    <cellStyle name="40% - Accent1 2 3 4 2" xfId="3672"/>
    <cellStyle name="40% - Accent1 2 3 5" xfId="3673"/>
    <cellStyle name="40% - Accent1 2 3 6" xfId="3674"/>
    <cellStyle name="40% - Accent1 2 4" xfId="419"/>
    <cellStyle name="40% - Accent1 2 4 2" xfId="3675"/>
    <cellStyle name="40% - Accent1 2 4 2 2" xfId="3676"/>
    <cellStyle name="40% - Accent1 2 4 2 2 2" xfId="3677"/>
    <cellStyle name="40% - Accent1 2 4 2 3" xfId="3678"/>
    <cellStyle name="40% - Accent1 2 4 3" xfId="3679"/>
    <cellStyle name="40% - Accent1 2 4 3 2" xfId="3680"/>
    <cellStyle name="40% - Accent1 2 4 4" xfId="3681"/>
    <cellStyle name="40% - Accent1 2 4 5" xfId="3682"/>
    <cellStyle name="40% - Accent1 2 5" xfId="420"/>
    <cellStyle name="40% - Accent1 2 5 2" xfId="3683"/>
    <cellStyle name="40% - Accent1 2 5 2 2" xfId="3684"/>
    <cellStyle name="40% - Accent1 2 5 3" xfId="3685"/>
    <cellStyle name="40% - Accent1 2 5 4" xfId="3686"/>
    <cellStyle name="40% - Accent1 2 6" xfId="421"/>
    <cellStyle name="40% - Accent1 2 6 2" xfId="3687"/>
    <cellStyle name="40% - Accent1 2 6 3" xfId="3688"/>
    <cellStyle name="40% - Accent1 2 7" xfId="422"/>
    <cellStyle name="40% - Accent1 2 8" xfId="423"/>
    <cellStyle name="40% - Accent1 2 9" xfId="424"/>
    <cellStyle name="40% - Accent1 20" xfId="425"/>
    <cellStyle name="40% - Accent1 21" xfId="426"/>
    <cellStyle name="40% - Accent1 22" xfId="427"/>
    <cellStyle name="40% - Accent1 23" xfId="428"/>
    <cellStyle name="40% - Accent1 24" xfId="429"/>
    <cellStyle name="40% - Accent1 25" xfId="430"/>
    <cellStyle name="40% - Accent1 26" xfId="431"/>
    <cellStyle name="40% - Accent1 27" xfId="432"/>
    <cellStyle name="40% - Accent1 28" xfId="433"/>
    <cellStyle name="40% - Accent1 29" xfId="434"/>
    <cellStyle name="40% - Accent1 3" xfId="435"/>
    <cellStyle name="40% - Accent1 3 2" xfId="3689"/>
    <cellStyle name="40% - Accent1 3 2 2" xfId="3690"/>
    <cellStyle name="40% - Accent1 3 2 2 2" xfId="3691"/>
    <cellStyle name="40% - Accent1 3 2 2 2 2" xfId="3692"/>
    <cellStyle name="40% - Accent1 3 2 2 2 2 2" xfId="3693"/>
    <cellStyle name="40% - Accent1 3 2 2 2 2 2 2" xfId="3694"/>
    <cellStyle name="40% - Accent1 3 2 2 2 2 3" xfId="3695"/>
    <cellStyle name="40% - Accent1 3 2 2 2 3" xfId="3696"/>
    <cellStyle name="40% - Accent1 3 2 2 2 3 2" xfId="3697"/>
    <cellStyle name="40% - Accent1 3 2 2 2 4" xfId="3698"/>
    <cellStyle name="40% - Accent1 3 2 2 3" xfId="3699"/>
    <cellStyle name="40% - Accent1 3 2 2 3 2" xfId="3700"/>
    <cellStyle name="40% - Accent1 3 2 2 3 2 2" xfId="3701"/>
    <cellStyle name="40% - Accent1 3 2 2 3 3" xfId="3702"/>
    <cellStyle name="40% - Accent1 3 2 2 4" xfId="3703"/>
    <cellStyle name="40% - Accent1 3 2 2 4 2" xfId="3704"/>
    <cellStyle name="40% - Accent1 3 2 2 5" xfId="3705"/>
    <cellStyle name="40% - Accent1 3 2 2 6" xfId="3706"/>
    <cellStyle name="40% - Accent1 3 2 3" xfId="3707"/>
    <cellStyle name="40% - Accent1 3 2 3 2" xfId="3708"/>
    <cellStyle name="40% - Accent1 3 2 3 2 2" xfId="3709"/>
    <cellStyle name="40% - Accent1 3 2 3 2 2 2" xfId="3710"/>
    <cellStyle name="40% - Accent1 3 2 3 2 3" xfId="3711"/>
    <cellStyle name="40% - Accent1 3 2 3 3" xfId="3712"/>
    <cellStyle name="40% - Accent1 3 2 3 3 2" xfId="3713"/>
    <cellStyle name="40% - Accent1 3 2 3 4" xfId="3714"/>
    <cellStyle name="40% - Accent1 3 2 4" xfId="3715"/>
    <cellStyle name="40% - Accent1 3 2 4 2" xfId="3716"/>
    <cellStyle name="40% - Accent1 3 2 4 2 2" xfId="3717"/>
    <cellStyle name="40% - Accent1 3 2 4 3" xfId="3718"/>
    <cellStyle name="40% - Accent1 3 2 5" xfId="3719"/>
    <cellStyle name="40% - Accent1 3 2 5 2" xfId="3720"/>
    <cellStyle name="40% - Accent1 3 2 6" xfId="3721"/>
    <cellStyle name="40% - Accent1 3 2 7" xfId="3722"/>
    <cellStyle name="40% - Accent1 3 3" xfId="3723"/>
    <cellStyle name="40% - Accent1 3 3 2" xfId="3724"/>
    <cellStyle name="40% - Accent1 3 3 2 2" xfId="3725"/>
    <cellStyle name="40% - Accent1 3 3 2 2 2" xfId="3726"/>
    <cellStyle name="40% - Accent1 3 3 2 2 2 2" xfId="3727"/>
    <cellStyle name="40% - Accent1 3 3 2 2 3" xfId="3728"/>
    <cellStyle name="40% - Accent1 3 3 2 3" xfId="3729"/>
    <cellStyle name="40% - Accent1 3 3 2 3 2" xfId="3730"/>
    <cellStyle name="40% - Accent1 3 3 2 4" xfId="3731"/>
    <cellStyle name="40% - Accent1 3 3 3" xfId="3732"/>
    <cellStyle name="40% - Accent1 3 3 3 2" xfId="3733"/>
    <cellStyle name="40% - Accent1 3 3 3 2 2" xfId="3734"/>
    <cellStyle name="40% - Accent1 3 3 3 3" xfId="3735"/>
    <cellStyle name="40% - Accent1 3 3 4" xfId="3736"/>
    <cellStyle name="40% - Accent1 3 3 4 2" xfId="3737"/>
    <cellStyle name="40% - Accent1 3 3 5" xfId="3738"/>
    <cellStyle name="40% - Accent1 3 3 6" xfId="3739"/>
    <cellStyle name="40% - Accent1 3 4" xfId="3740"/>
    <cellStyle name="40% - Accent1 3 4 2" xfId="3741"/>
    <cellStyle name="40% - Accent1 3 4 2 2" xfId="3742"/>
    <cellStyle name="40% - Accent1 3 4 2 2 2" xfId="3743"/>
    <cellStyle name="40% - Accent1 3 4 2 3" xfId="3744"/>
    <cellStyle name="40% - Accent1 3 4 3" xfId="3745"/>
    <cellStyle name="40% - Accent1 3 4 3 2" xfId="3746"/>
    <cellStyle name="40% - Accent1 3 4 4" xfId="3747"/>
    <cellStyle name="40% - Accent1 3 4 5" xfId="3748"/>
    <cellStyle name="40% - Accent1 3 5" xfId="3749"/>
    <cellStyle name="40% - Accent1 3 5 2" xfId="3750"/>
    <cellStyle name="40% - Accent1 3 5 2 2" xfId="3751"/>
    <cellStyle name="40% - Accent1 3 5 3" xfId="3752"/>
    <cellStyle name="40% - Accent1 3 6" xfId="3753"/>
    <cellStyle name="40% - Accent1 3 6 2" xfId="3754"/>
    <cellStyle name="40% - Accent1 3 7" xfId="3755"/>
    <cellStyle name="40% - Accent1 3 8" xfId="3756"/>
    <cellStyle name="40% - Accent1 3 9" xfId="3757"/>
    <cellStyle name="40% - Accent1 30" xfId="436"/>
    <cellStyle name="40% - Accent1 31" xfId="437"/>
    <cellStyle name="40% - Accent1 32" xfId="438"/>
    <cellStyle name="40% - Accent1 33" xfId="439"/>
    <cellStyle name="40% - Accent1 34" xfId="440"/>
    <cellStyle name="40% - Accent1 35" xfId="441"/>
    <cellStyle name="40% - Accent1 4" xfId="442"/>
    <cellStyle name="40% - Accent1 4 2" xfId="3758"/>
    <cellStyle name="40% - Accent1 4 2 2" xfId="3759"/>
    <cellStyle name="40% - Accent1 4 2 2 2" xfId="3760"/>
    <cellStyle name="40% - Accent1 4 2 2 2 2" xfId="3761"/>
    <cellStyle name="40% - Accent1 4 2 2 2 2 2" xfId="3762"/>
    <cellStyle name="40% - Accent1 4 2 2 2 3" xfId="3763"/>
    <cellStyle name="40% - Accent1 4 2 2 3" xfId="3764"/>
    <cellStyle name="40% - Accent1 4 2 2 3 2" xfId="3765"/>
    <cellStyle name="40% - Accent1 4 2 2 4" xfId="3766"/>
    <cellStyle name="40% - Accent1 4 2 3" xfId="3767"/>
    <cellStyle name="40% - Accent1 4 2 3 2" xfId="3768"/>
    <cellStyle name="40% - Accent1 4 2 3 2 2" xfId="3769"/>
    <cellStyle name="40% - Accent1 4 2 3 3" xfId="3770"/>
    <cellStyle name="40% - Accent1 4 2 4" xfId="3771"/>
    <cellStyle name="40% - Accent1 4 2 4 2" xfId="3772"/>
    <cellStyle name="40% - Accent1 4 2 5" xfId="3773"/>
    <cellStyle name="40% - Accent1 4 2 6" xfId="3774"/>
    <cellStyle name="40% - Accent1 4 3" xfId="3775"/>
    <cellStyle name="40% - Accent1 4 3 2" xfId="3776"/>
    <cellStyle name="40% - Accent1 4 3 2 2" xfId="3777"/>
    <cellStyle name="40% - Accent1 4 3 2 2 2" xfId="3778"/>
    <cellStyle name="40% - Accent1 4 3 2 3" xfId="3779"/>
    <cellStyle name="40% - Accent1 4 3 3" xfId="3780"/>
    <cellStyle name="40% - Accent1 4 3 3 2" xfId="3781"/>
    <cellStyle name="40% - Accent1 4 3 4" xfId="3782"/>
    <cellStyle name="40% - Accent1 4 3 5" xfId="3783"/>
    <cellStyle name="40% - Accent1 4 4" xfId="3784"/>
    <cellStyle name="40% - Accent1 4 4 2" xfId="3785"/>
    <cellStyle name="40% - Accent1 4 4 2 2" xfId="3786"/>
    <cellStyle name="40% - Accent1 4 4 3" xfId="3787"/>
    <cellStyle name="40% - Accent1 4 5" xfId="3788"/>
    <cellStyle name="40% - Accent1 4 5 2" xfId="3789"/>
    <cellStyle name="40% - Accent1 4 6" xfId="3790"/>
    <cellStyle name="40% - Accent1 4 7" xfId="3791"/>
    <cellStyle name="40% - Accent1 5" xfId="443"/>
    <cellStyle name="40% - Accent1 5 2" xfId="3792"/>
    <cellStyle name="40% - Accent1 5 2 2" xfId="3793"/>
    <cellStyle name="40% - Accent1 5 2 2 2" xfId="3794"/>
    <cellStyle name="40% - Accent1 5 2 2 2 2" xfId="3795"/>
    <cellStyle name="40% - Accent1 5 2 2 3" xfId="3796"/>
    <cellStyle name="40% - Accent1 5 2 3" xfId="3797"/>
    <cellStyle name="40% - Accent1 5 2 3 2" xfId="3798"/>
    <cellStyle name="40% - Accent1 5 2 4" xfId="3799"/>
    <cellStyle name="40% - Accent1 5 2 5" xfId="3800"/>
    <cellStyle name="40% - Accent1 5 3" xfId="3801"/>
    <cellStyle name="40% - Accent1 5 3 2" xfId="3802"/>
    <cellStyle name="40% - Accent1 5 3 2 2" xfId="3803"/>
    <cellStyle name="40% - Accent1 5 3 3" xfId="3804"/>
    <cellStyle name="40% - Accent1 5 4" xfId="3805"/>
    <cellStyle name="40% - Accent1 5 4 2" xfId="3806"/>
    <cellStyle name="40% - Accent1 5 5" xfId="3807"/>
    <cellStyle name="40% - Accent1 5 6" xfId="3808"/>
    <cellStyle name="40% - Accent1 6" xfId="444"/>
    <cellStyle name="40% - Accent1 6 2" xfId="3809"/>
    <cellStyle name="40% - Accent1 6 2 2" xfId="3810"/>
    <cellStyle name="40% - Accent1 6 2 2 2" xfId="3811"/>
    <cellStyle name="40% - Accent1 6 2 3" xfId="3812"/>
    <cellStyle name="40% - Accent1 6 2 4" xfId="3813"/>
    <cellStyle name="40% - Accent1 6 2 5" xfId="3814"/>
    <cellStyle name="40% - Accent1 6 3" xfId="3815"/>
    <cellStyle name="40% - Accent1 6 3 2" xfId="3816"/>
    <cellStyle name="40% - Accent1 6 4" xfId="3817"/>
    <cellStyle name="40% - Accent1 6 5" xfId="3818"/>
    <cellStyle name="40% - Accent1 7" xfId="445"/>
    <cellStyle name="40% - Accent1 7 2" xfId="3819"/>
    <cellStyle name="40% - Accent1 7 2 2" xfId="3820"/>
    <cellStyle name="40% - Accent1 7 2 2 2" xfId="3821"/>
    <cellStyle name="40% - Accent1 7 2 3" xfId="3822"/>
    <cellStyle name="40% - Accent1 7 3" xfId="3823"/>
    <cellStyle name="40% - Accent1 7 3 2" xfId="3824"/>
    <cellStyle name="40% - Accent1 7 4" xfId="3825"/>
    <cellStyle name="40% - Accent1 7 5" xfId="3826"/>
    <cellStyle name="40% - Accent1 8" xfId="446"/>
    <cellStyle name="40% - Accent1 8 2" xfId="3827"/>
    <cellStyle name="40% - Accent1 8 2 2" xfId="3828"/>
    <cellStyle name="40% - Accent1 8 2 2 2" xfId="3829"/>
    <cellStyle name="40% - Accent1 8 2 3" xfId="3830"/>
    <cellStyle name="40% - Accent1 8 3" xfId="3831"/>
    <cellStyle name="40% - Accent1 8 3 2" xfId="3832"/>
    <cellStyle name="40% - Accent1 8 4" xfId="3833"/>
    <cellStyle name="40% - Accent1 8 5" xfId="3834"/>
    <cellStyle name="40% - Accent1 9" xfId="447"/>
    <cellStyle name="40% - Accent1 9 2" xfId="3835"/>
    <cellStyle name="40% - Accent1 9 2 2" xfId="3836"/>
    <cellStyle name="40% - Accent1 9 3" xfId="3837"/>
    <cellStyle name="40% - Accent1 9 4" xfId="3838"/>
    <cellStyle name="40% - Accent2 10" xfId="448"/>
    <cellStyle name="40% - Accent2 10 2" xfId="3839"/>
    <cellStyle name="40% - Accent2 10 2 2" xfId="3840"/>
    <cellStyle name="40% - Accent2 10 3" xfId="3841"/>
    <cellStyle name="40% - Accent2 10 4" xfId="3842"/>
    <cellStyle name="40% - Accent2 11" xfId="449"/>
    <cellStyle name="40% - Accent2 11 2" xfId="3843"/>
    <cellStyle name="40% - Accent2 11 2 2" xfId="3844"/>
    <cellStyle name="40% - Accent2 11 3" xfId="3845"/>
    <cellStyle name="40% - Accent2 11 4" xfId="3846"/>
    <cellStyle name="40% - Accent2 12" xfId="450"/>
    <cellStyle name="40% - Accent2 12 2" xfId="3847"/>
    <cellStyle name="40% - Accent2 12 3" xfId="3848"/>
    <cellStyle name="40% - Accent2 13" xfId="451"/>
    <cellStyle name="40% - Accent2 13 2" xfId="3849"/>
    <cellStyle name="40% - Accent2 14" xfId="452"/>
    <cellStyle name="40% - Accent2 15" xfId="453"/>
    <cellStyle name="40% - Accent2 15 2" xfId="454"/>
    <cellStyle name="40% - Accent2 15 3" xfId="455"/>
    <cellStyle name="40% - Accent2 15 4" xfId="456"/>
    <cellStyle name="40% - Accent2 15 5" xfId="457"/>
    <cellStyle name="40% - Accent2 16" xfId="458"/>
    <cellStyle name="40% - Accent2 16 2" xfId="459"/>
    <cellStyle name="40% - Accent2 16 3" xfId="460"/>
    <cellStyle name="40% - Accent2 16 4" xfId="461"/>
    <cellStyle name="40% - Accent2 16 5" xfId="462"/>
    <cellStyle name="40% - Accent2 17" xfId="463"/>
    <cellStyle name="40% - Accent2 17 2" xfId="464"/>
    <cellStyle name="40% - Accent2 17 3" xfId="465"/>
    <cellStyle name="40% - Accent2 17 4" xfId="466"/>
    <cellStyle name="40% - Accent2 17 5" xfId="467"/>
    <cellStyle name="40% - Accent2 18" xfId="468"/>
    <cellStyle name="40% - Accent2 19" xfId="469"/>
    <cellStyle name="40% - Accent2 2" xfId="470"/>
    <cellStyle name="40% - Accent2 2 2" xfId="471"/>
    <cellStyle name="40% - Accent2 2 2 2" xfId="472"/>
    <cellStyle name="40% - Accent2 2 2 2 2" xfId="473"/>
    <cellStyle name="40% - Accent2 2 2 2 2 2" xfId="3850"/>
    <cellStyle name="40% - Accent2 2 2 2 2 2 2" xfId="3851"/>
    <cellStyle name="40% - Accent2 2 2 2 2 2 2 2" xfId="3852"/>
    <cellStyle name="40% - Accent2 2 2 2 2 2 3" xfId="3853"/>
    <cellStyle name="40% - Accent2 2 2 2 2 3" xfId="3854"/>
    <cellStyle name="40% - Accent2 2 2 2 2 3 2" xfId="3855"/>
    <cellStyle name="40% - Accent2 2 2 2 2 4" xfId="3856"/>
    <cellStyle name="40% - Accent2 2 2 2 2 5" xfId="3857"/>
    <cellStyle name="40% - Accent2 2 2 2 3" xfId="474"/>
    <cellStyle name="40% - Accent2 2 2 2 3 2" xfId="3858"/>
    <cellStyle name="40% - Accent2 2 2 2 3 2 2" xfId="3859"/>
    <cellStyle name="40% - Accent2 2 2 2 3 3" xfId="3860"/>
    <cellStyle name="40% - Accent2 2 2 2 4" xfId="475"/>
    <cellStyle name="40% - Accent2 2 2 2 4 2" xfId="3861"/>
    <cellStyle name="40% - Accent2 2 2 2 5" xfId="476"/>
    <cellStyle name="40% - Accent2 2 2 2 6" xfId="3862"/>
    <cellStyle name="40% - Accent2 2 2 3" xfId="477"/>
    <cellStyle name="40% - Accent2 2 2 3 2" xfId="3863"/>
    <cellStyle name="40% - Accent2 2 2 3 2 2" xfId="3864"/>
    <cellStyle name="40% - Accent2 2 2 3 2 2 2" xfId="3865"/>
    <cellStyle name="40% - Accent2 2 2 3 2 3" xfId="3866"/>
    <cellStyle name="40% - Accent2 2 2 3 3" xfId="3867"/>
    <cellStyle name="40% - Accent2 2 2 3 3 2" xfId="3868"/>
    <cellStyle name="40% - Accent2 2 2 3 4" xfId="3869"/>
    <cellStyle name="40% - Accent2 2 2 3 5" xfId="3870"/>
    <cellStyle name="40% - Accent2 2 2 4" xfId="478"/>
    <cellStyle name="40% - Accent2 2 2 4 2" xfId="3871"/>
    <cellStyle name="40% - Accent2 2 2 4 2 2" xfId="3872"/>
    <cellStyle name="40% - Accent2 2 2 4 3" xfId="3873"/>
    <cellStyle name="40% - Accent2 2 2 5" xfId="479"/>
    <cellStyle name="40% - Accent2 2 2 5 2" xfId="3874"/>
    <cellStyle name="40% - Accent2 2 2 6" xfId="3875"/>
    <cellStyle name="40% - Accent2 2 2 7" xfId="3876"/>
    <cellStyle name="40% - Accent2 2 3" xfId="480"/>
    <cellStyle name="40% - Accent2 2 3 2" xfId="3877"/>
    <cellStyle name="40% - Accent2 2 3 2 2" xfId="3878"/>
    <cellStyle name="40% - Accent2 2 3 2 2 2" xfId="3879"/>
    <cellStyle name="40% - Accent2 2 3 2 2 2 2" xfId="3880"/>
    <cellStyle name="40% - Accent2 2 3 2 2 3" xfId="3881"/>
    <cellStyle name="40% - Accent2 2 3 2 3" xfId="3882"/>
    <cellStyle name="40% - Accent2 2 3 2 3 2" xfId="3883"/>
    <cellStyle name="40% - Accent2 2 3 2 4" xfId="3884"/>
    <cellStyle name="40% - Accent2 2 3 3" xfId="3885"/>
    <cellStyle name="40% - Accent2 2 3 3 2" xfId="3886"/>
    <cellStyle name="40% - Accent2 2 3 3 2 2" xfId="3887"/>
    <cellStyle name="40% - Accent2 2 3 3 3" xfId="3888"/>
    <cellStyle name="40% - Accent2 2 3 4" xfId="3889"/>
    <cellStyle name="40% - Accent2 2 3 4 2" xfId="3890"/>
    <cellStyle name="40% - Accent2 2 3 5" xfId="3891"/>
    <cellStyle name="40% - Accent2 2 3 6" xfId="3892"/>
    <cellStyle name="40% - Accent2 2 4" xfId="481"/>
    <cellStyle name="40% - Accent2 2 4 2" xfId="3893"/>
    <cellStyle name="40% - Accent2 2 4 2 2" xfId="3894"/>
    <cellStyle name="40% - Accent2 2 4 2 2 2" xfId="3895"/>
    <cellStyle name="40% - Accent2 2 4 2 3" xfId="3896"/>
    <cellStyle name="40% - Accent2 2 4 3" xfId="3897"/>
    <cellStyle name="40% - Accent2 2 4 3 2" xfId="3898"/>
    <cellStyle name="40% - Accent2 2 4 4" xfId="3899"/>
    <cellStyle name="40% - Accent2 2 4 5" xfId="3900"/>
    <cellStyle name="40% - Accent2 2 5" xfId="482"/>
    <cellStyle name="40% - Accent2 2 5 2" xfId="3901"/>
    <cellStyle name="40% - Accent2 2 5 2 2" xfId="3902"/>
    <cellStyle name="40% - Accent2 2 5 3" xfId="3903"/>
    <cellStyle name="40% - Accent2 2 5 4" xfId="3904"/>
    <cellStyle name="40% - Accent2 2 6" xfId="483"/>
    <cellStyle name="40% - Accent2 2 6 2" xfId="3905"/>
    <cellStyle name="40% - Accent2 2 6 3" xfId="3906"/>
    <cellStyle name="40% - Accent2 2 7" xfId="484"/>
    <cellStyle name="40% - Accent2 2 8" xfId="485"/>
    <cellStyle name="40% - Accent2 2 9" xfId="486"/>
    <cellStyle name="40% - Accent2 20" xfId="487"/>
    <cellStyle name="40% - Accent2 21" xfId="488"/>
    <cellStyle name="40% - Accent2 22" xfId="489"/>
    <cellStyle name="40% - Accent2 23" xfId="490"/>
    <cellStyle name="40% - Accent2 24" xfId="491"/>
    <cellStyle name="40% - Accent2 25" xfId="492"/>
    <cellStyle name="40% - Accent2 26" xfId="493"/>
    <cellStyle name="40% - Accent2 27" xfId="494"/>
    <cellStyle name="40% - Accent2 28" xfId="495"/>
    <cellStyle name="40% - Accent2 29" xfId="496"/>
    <cellStyle name="40% - Accent2 3" xfId="497"/>
    <cellStyle name="40% - Accent2 3 2" xfId="3907"/>
    <cellStyle name="40% - Accent2 3 2 2" xfId="3908"/>
    <cellStyle name="40% - Accent2 3 2 2 2" xfId="3909"/>
    <cellStyle name="40% - Accent2 3 2 2 2 2" xfId="3910"/>
    <cellStyle name="40% - Accent2 3 2 2 2 2 2" xfId="3911"/>
    <cellStyle name="40% - Accent2 3 2 2 2 2 2 2" xfId="3912"/>
    <cellStyle name="40% - Accent2 3 2 2 2 2 3" xfId="3913"/>
    <cellStyle name="40% - Accent2 3 2 2 2 3" xfId="3914"/>
    <cellStyle name="40% - Accent2 3 2 2 2 3 2" xfId="3915"/>
    <cellStyle name="40% - Accent2 3 2 2 2 4" xfId="3916"/>
    <cellStyle name="40% - Accent2 3 2 2 3" xfId="3917"/>
    <cellStyle name="40% - Accent2 3 2 2 3 2" xfId="3918"/>
    <cellStyle name="40% - Accent2 3 2 2 3 2 2" xfId="3919"/>
    <cellStyle name="40% - Accent2 3 2 2 3 3" xfId="3920"/>
    <cellStyle name="40% - Accent2 3 2 2 4" xfId="3921"/>
    <cellStyle name="40% - Accent2 3 2 2 4 2" xfId="3922"/>
    <cellStyle name="40% - Accent2 3 2 2 5" xfId="3923"/>
    <cellStyle name="40% - Accent2 3 2 2 6" xfId="3924"/>
    <cellStyle name="40% - Accent2 3 2 3" xfId="3925"/>
    <cellStyle name="40% - Accent2 3 2 3 2" xfId="3926"/>
    <cellStyle name="40% - Accent2 3 2 3 2 2" xfId="3927"/>
    <cellStyle name="40% - Accent2 3 2 3 2 2 2" xfId="3928"/>
    <cellStyle name="40% - Accent2 3 2 3 2 3" xfId="3929"/>
    <cellStyle name="40% - Accent2 3 2 3 3" xfId="3930"/>
    <cellStyle name="40% - Accent2 3 2 3 3 2" xfId="3931"/>
    <cellStyle name="40% - Accent2 3 2 3 4" xfId="3932"/>
    <cellStyle name="40% - Accent2 3 2 4" xfId="3933"/>
    <cellStyle name="40% - Accent2 3 2 4 2" xfId="3934"/>
    <cellStyle name="40% - Accent2 3 2 4 2 2" xfId="3935"/>
    <cellStyle name="40% - Accent2 3 2 4 3" xfId="3936"/>
    <cellStyle name="40% - Accent2 3 2 5" xfId="3937"/>
    <cellStyle name="40% - Accent2 3 2 5 2" xfId="3938"/>
    <cellStyle name="40% - Accent2 3 2 6" xfId="3939"/>
    <cellStyle name="40% - Accent2 3 2 7" xfId="3940"/>
    <cellStyle name="40% - Accent2 3 3" xfId="3941"/>
    <cellStyle name="40% - Accent2 3 3 2" xfId="3942"/>
    <cellStyle name="40% - Accent2 3 3 2 2" xfId="3943"/>
    <cellStyle name="40% - Accent2 3 3 2 2 2" xfId="3944"/>
    <cellStyle name="40% - Accent2 3 3 2 2 2 2" xfId="3945"/>
    <cellStyle name="40% - Accent2 3 3 2 2 3" xfId="3946"/>
    <cellStyle name="40% - Accent2 3 3 2 3" xfId="3947"/>
    <cellStyle name="40% - Accent2 3 3 2 3 2" xfId="3948"/>
    <cellStyle name="40% - Accent2 3 3 2 4" xfId="3949"/>
    <cellStyle name="40% - Accent2 3 3 3" xfId="3950"/>
    <cellStyle name="40% - Accent2 3 3 3 2" xfId="3951"/>
    <cellStyle name="40% - Accent2 3 3 3 2 2" xfId="3952"/>
    <cellStyle name="40% - Accent2 3 3 3 3" xfId="3953"/>
    <cellStyle name="40% - Accent2 3 3 4" xfId="3954"/>
    <cellStyle name="40% - Accent2 3 3 4 2" xfId="3955"/>
    <cellStyle name="40% - Accent2 3 3 5" xfId="3956"/>
    <cellStyle name="40% - Accent2 3 3 6" xfId="3957"/>
    <cellStyle name="40% - Accent2 3 4" xfId="3958"/>
    <cellStyle name="40% - Accent2 3 4 2" xfId="3959"/>
    <cellStyle name="40% - Accent2 3 4 2 2" xfId="3960"/>
    <cellStyle name="40% - Accent2 3 4 2 2 2" xfId="3961"/>
    <cellStyle name="40% - Accent2 3 4 2 3" xfId="3962"/>
    <cellStyle name="40% - Accent2 3 4 3" xfId="3963"/>
    <cellStyle name="40% - Accent2 3 4 3 2" xfId="3964"/>
    <cellStyle name="40% - Accent2 3 4 4" xfId="3965"/>
    <cellStyle name="40% - Accent2 3 4 5" xfId="3966"/>
    <cellStyle name="40% - Accent2 3 5" xfId="3967"/>
    <cellStyle name="40% - Accent2 3 5 2" xfId="3968"/>
    <cellStyle name="40% - Accent2 3 5 2 2" xfId="3969"/>
    <cellStyle name="40% - Accent2 3 5 3" xfId="3970"/>
    <cellStyle name="40% - Accent2 3 6" xfId="3971"/>
    <cellStyle name="40% - Accent2 3 6 2" xfId="3972"/>
    <cellStyle name="40% - Accent2 3 7" xfId="3973"/>
    <cellStyle name="40% - Accent2 3 8" xfId="3974"/>
    <cellStyle name="40% - Accent2 3 9" xfId="3975"/>
    <cellStyle name="40% - Accent2 30" xfId="498"/>
    <cellStyle name="40% - Accent2 31" xfId="499"/>
    <cellStyle name="40% - Accent2 32" xfId="500"/>
    <cellStyle name="40% - Accent2 33" xfId="501"/>
    <cellStyle name="40% - Accent2 34" xfId="502"/>
    <cellStyle name="40% - Accent2 35" xfId="503"/>
    <cellStyle name="40% - Accent2 4" xfId="504"/>
    <cellStyle name="40% - Accent2 4 2" xfId="3976"/>
    <cellStyle name="40% - Accent2 4 2 2" xfId="3977"/>
    <cellStyle name="40% - Accent2 4 2 2 2" xfId="3978"/>
    <cellStyle name="40% - Accent2 4 2 2 2 2" xfId="3979"/>
    <cellStyle name="40% - Accent2 4 2 2 2 2 2" xfId="3980"/>
    <cellStyle name="40% - Accent2 4 2 2 2 3" xfId="3981"/>
    <cellStyle name="40% - Accent2 4 2 2 3" xfId="3982"/>
    <cellStyle name="40% - Accent2 4 2 2 3 2" xfId="3983"/>
    <cellStyle name="40% - Accent2 4 2 2 4" xfId="3984"/>
    <cellStyle name="40% - Accent2 4 2 3" xfId="3985"/>
    <cellStyle name="40% - Accent2 4 2 3 2" xfId="3986"/>
    <cellStyle name="40% - Accent2 4 2 3 2 2" xfId="3987"/>
    <cellStyle name="40% - Accent2 4 2 3 3" xfId="3988"/>
    <cellStyle name="40% - Accent2 4 2 4" xfId="3989"/>
    <cellStyle name="40% - Accent2 4 2 4 2" xfId="3990"/>
    <cellStyle name="40% - Accent2 4 2 5" xfId="3991"/>
    <cellStyle name="40% - Accent2 4 2 6" xfId="3992"/>
    <cellStyle name="40% - Accent2 4 3" xfId="3993"/>
    <cellStyle name="40% - Accent2 4 3 2" xfId="3994"/>
    <cellStyle name="40% - Accent2 4 3 2 2" xfId="3995"/>
    <cellStyle name="40% - Accent2 4 3 2 2 2" xfId="3996"/>
    <cellStyle name="40% - Accent2 4 3 2 3" xfId="3997"/>
    <cellStyle name="40% - Accent2 4 3 3" xfId="3998"/>
    <cellStyle name="40% - Accent2 4 3 3 2" xfId="3999"/>
    <cellStyle name="40% - Accent2 4 3 4" xfId="4000"/>
    <cellStyle name="40% - Accent2 4 3 5" xfId="4001"/>
    <cellStyle name="40% - Accent2 4 4" xfId="4002"/>
    <cellStyle name="40% - Accent2 4 4 2" xfId="4003"/>
    <cellStyle name="40% - Accent2 4 4 2 2" xfId="4004"/>
    <cellStyle name="40% - Accent2 4 4 3" xfId="4005"/>
    <cellStyle name="40% - Accent2 4 5" xfId="4006"/>
    <cellStyle name="40% - Accent2 4 5 2" xfId="4007"/>
    <cellStyle name="40% - Accent2 4 6" xfId="4008"/>
    <cellStyle name="40% - Accent2 4 7" xfId="4009"/>
    <cellStyle name="40% - Accent2 5" xfId="505"/>
    <cellStyle name="40% - Accent2 5 2" xfId="4010"/>
    <cellStyle name="40% - Accent2 5 2 2" xfId="4011"/>
    <cellStyle name="40% - Accent2 5 2 2 2" xfId="4012"/>
    <cellStyle name="40% - Accent2 5 2 2 2 2" xfId="4013"/>
    <cellStyle name="40% - Accent2 5 2 2 3" xfId="4014"/>
    <cellStyle name="40% - Accent2 5 2 3" xfId="4015"/>
    <cellStyle name="40% - Accent2 5 2 3 2" xfId="4016"/>
    <cellStyle name="40% - Accent2 5 2 4" xfId="4017"/>
    <cellStyle name="40% - Accent2 5 2 5" xfId="4018"/>
    <cellStyle name="40% - Accent2 5 3" xfId="4019"/>
    <cellStyle name="40% - Accent2 5 3 2" xfId="4020"/>
    <cellStyle name="40% - Accent2 5 3 2 2" xfId="4021"/>
    <cellStyle name="40% - Accent2 5 3 3" xfId="4022"/>
    <cellStyle name="40% - Accent2 5 4" xfId="4023"/>
    <cellStyle name="40% - Accent2 5 4 2" xfId="4024"/>
    <cellStyle name="40% - Accent2 5 5" xfId="4025"/>
    <cellStyle name="40% - Accent2 5 6" xfId="4026"/>
    <cellStyle name="40% - Accent2 6" xfId="506"/>
    <cellStyle name="40% - Accent2 6 2" xfId="4027"/>
    <cellStyle name="40% - Accent2 6 2 2" xfId="4028"/>
    <cellStyle name="40% - Accent2 6 2 2 2" xfId="4029"/>
    <cellStyle name="40% - Accent2 6 2 3" xfId="4030"/>
    <cellStyle name="40% - Accent2 6 2 4" xfId="4031"/>
    <cellStyle name="40% - Accent2 6 2 5" xfId="4032"/>
    <cellStyle name="40% - Accent2 6 3" xfId="4033"/>
    <cellStyle name="40% - Accent2 6 3 2" xfId="4034"/>
    <cellStyle name="40% - Accent2 6 4" xfId="4035"/>
    <cellStyle name="40% - Accent2 6 5" xfId="4036"/>
    <cellStyle name="40% - Accent2 7" xfId="507"/>
    <cellStyle name="40% - Accent2 7 2" xfId="4037"/>
    <cellStyle name="40% - Accent2 7 2 2" xfId="4038"/>
    <cellStyle name="40% - Accent2 7 2 2 2" xfId="4039"/>
    <cellStyle name="40% - Accent2 7 2 3" xfId="4040"/>
    <cellStyle name="40% - Accent2 7 3" xfId="4041"/>
    <cellStyle name="40% - Accent2 7 3 2" xfId="4042"/>
    <cellStyle name="40% - Accent2 7 4" xfId="4043"/>
    <cellStyle name="40% - Accent2 7 5" xfId="4044"/>
    <cellStyle name="40% - Accent2 8" xfId="508"/>
    <cellStyle name="40% - Accent2 8 2" xfId="4045"/>
    <cellStyle name="40% - Accent2 8 2 2" xfId="4046"/>
    <cellStyle name="40% - Accent2 8 2 2 2" xfId="4047"/>
    <cellStyle name="40% - Accent2 8 2 3" xfId="4048"/>
    <cellStyle name="40% - Accent2 8 3" xfId="4049"/>
    <cellStyle name="40% - Accent2 8 3 2" xfId="4050"/>
    <cellStyle name="40% - Accent2 8 4" xfId="4051"/>
    <cellStyle name="40% - Accent2 8 5" xfId="4052"/>
    <cellStyle name="40% - Accent2 9" xfId="509"/>
    <cellStyle name="40% - Accent2 9 2" xfId="4053"/>
    <cellStyle name="40% - Accent2 9 2 2" xfId="4054"/>
    <cellStyle name="40% - Accent2 9 3" xfId="4055"/>
    <cellStyle name="40% - Accent2 9 4" xfId="4056"/>
    <cellStyle name="40% - Accent3 10" xfId="510"/>
    <cellStyle name="40% - Accent3 10 2" xfId="4057"/>
    <cellStyle name="40% - Accent3 10 2 2" xfId="4058"/>
    <cellStyle name="40% - Accent3 10 3" xfId="4059"/>
    <cellStyle name="40% - Accent3 10 4" xfId="4060"/>
    <cellStyle name="40% - Accent3 11" xfId="511"/>
    <cellStyle name="40% - Accent3 11 2" xfId="4061"/>
    <cellStyle name="40% - Accent3 11 2 2" xfId="4062"/>
    <cellStyle name="40% - Accent3 11 3" xfId="4063"/>
    <cellStyle name="40% - Accent3 11 4" xfId="4064"/>
    <cellStyle name="40% - Accent3 12" xfId="512"/>
    <cellStyle name="40% - Accent3 12 2" xfId="4065"/>
    <cellStyle name="40% - Accent3 12 3" xfId="4066"/>
    <cellStyle name="40% - Accent3 13" xfId="513"/>
    <cellStyle name="40% - Accent3 13 2" xfId="4067"/>
    <cellStyle name="40% - Accent3 14" xfId="514"/>
    <cellStyle name="40% - Accent3 15" xfId="515"/>
    <cellStyle name="40% - Accent3 15 2" xfId="516"/>
    <cellStyle name="40% - Accent3 15 3" xfId="517"/>
    <cellStyle name="40% - Accent3 15 4" xfId="518"/>
    <cellStyle name="40% - Accent3 15 5" xfId="519"/>
    <cellStyle name="40% - Accent3 16" xfId="520"/>
    <cellStyle name="40% - Accent3 16 2" xfId="521"/>
    <cellStyle name="40% - Accent3 16 3" xfId="522"/>
    <cellStyle name="40% - Accent3 16 4" xfId="523"/>
    <cellStyle name="40% - Accent3 16 5" xfId="524"/>
    <cellStyle name="40% - Accent3 17" xfId="525"/>
    <cellStyle name="40% - Accent3 17 2" xfId="526"/>
    <cellStyle name="40% - Accent3 17 3" xfId="527"/>
    <cellStyle name="40% - Accent3 17 4" xfId="528"/>
    <cellStyle name="40% - Accent3 17 5" xfId="529"/>
    <cellStyle name="40% - Accent3 18" xfId="530"/>
    <cellStyle name="40% - Accent3 19" xfId="531"/>
    <cellStyle name="40% - Accent3 2" xfId="532"/>
    <cellStyle name="40% - Accent3 2 2" xfId="533"/>
    <cellStyle name="40% - Accent3 2 2 2" xfId="534"/>
    <cellStyle name="40% - Accent3 2 2 2 2" xfId="535"/>
    <cellStyle name="40% - Accent3 2 2 2 2 2" xfId="4068"/>
    <cellStyle name="40% - Accent3 2 2 2 2 2 2" xfId="4069"/>
    <cellStyle name="40% - Accent3 2 2 2 2 2 2 2" xfId="4070"/>
    <cellStyle name="40% - Accent3 2 2 2 2 2 3" xfId="4071"/>
    <cellStyle name="40% - Accent3 2 2 2 2 3" xfId="4072"/>
    <cellStyle name="40% - Accent3 2 2 2 2 3 2" xfId="4073"/>
    <cellStyle name="40% - Accent3 2 2 2 2 4" xfId="4074"/>
    <cellStyle name="40% - Accent3 2 2 2 2 5" xfId="4075"/>
    <cellStyle name="40% - Accent3 2 2 2 3" xfId="536"/>
    <cellStyle name="40% - Accent3 2 2 2 3 2" xfId="4076"/>
    <cellStyle name="40% - Accent3 2 2 2 3 2 2" xfId="4077"/>
    <cellStyle name="40% - Accent3 2 2 2 3 3" xfId="4078"/>
    <cellStyle name="40% - Accent3 2 2 2 4" xfId="537"/>
    <cellStyle name="40% - Accent3 2 2 2 4 2" xfId="4079"/>
    <cellStyle name="40% - Accent3 2 2 2 5" xfId="538"/>
    <cellStyle name="40% - Accent3 2 2 2 6" xfId="4080"/>
    <cellStyle name="40% - Accent3 2 2 3" xfId="539"/>
    <cellStyle name="40% - Accent3 2 2 3 2" xfId="4081"/>
    <cellStyle name="40% - Accent3 2 2 3 2 2" xfId="4082"/>
    <cellStyle name="40% - Accent3 2 2 3 2 2 2" xfId="4083"/>
    <cellStyle name="40% - Accent3 2 2 3 2 3" xfId="4084"/>
    <cellStyle name="40% - Accent3 2 2 3 3" xfId="4085"/>
    <cellStyle name="40% - Accent3 2 2 3 3 2" xfId="4086"/>
    <cellStyle name="40% - Accent3 2 2 3 4" xfId="4087"/>
    <cellStyle name="40% - Accent3 2 2 3 5" xfId="4088"/>
    <cellStyle name="40% - Accent3 2 2 4" xfId="540"/>
    <cellStyle name="40% - Accent3 2 2 4 2" xfId="4089"/>
    <cellStyle name="40% - Accent3 2 2 4 2 2" xfId="4090"/>
    <cellStyle name="40% - Accent3 2 2 4 3" xfId="4091"/>
    <cellStyle name="40% - Accent3 2 2 5" xfId="541"/>
    <cellStyle name="40% - Accent3 2 2 5 2" xfId="4092"/>
    <cellStyle name="40% - Accent3 2 2 6" xfId="4093"/>
    <cellStyle name="40% - Accent3 2 2 7" xfId="4094"/>
    <cellStyle name="40% - Accent3 2 3" xfId="542"/>
    <cellStyle name="40% - Accent3 2 3 2" xfId="4095"/>
    <cellStyle name="40% - Accent3 2 3 2 2" xfId="4096"/>
    <cellStyle name="40% - Accent3 2 3 2 2 2" xfId="4097"/>
    <cellStyle name="40% - Accent3 2 3 2 2 2 2" xfId="4098"/>
    <cellStyle name="40% - Accent3 2 3 2 2 3" xfId="4099"/>
    <cellStyle name="40% - Accent3 2 3 2 3" xfId="4100"/>
    <cellStyle name="40% - Accent3 2 3 2 3 2" xfId="4101"/>
    <cellStyle name="40% - Accent3 2 3 2 4" xfId="4102"/>
    <cellStyle name="40% - Accent3 2 3 3" xfId="4103"/>
    <cellStyle name="40% - Accent3 2 3 3 2" xfId="4104"/>
    <cellStyle name="40% - Accent3 2 3 3 2 2" xfId="4105"/>
    <cellStyle name="40% - Accent3 2 3 3 3" xfId="4106"/>
    <cellStyle name="40% - Accent3 2 3 4" xfId="4107"/>
    <cellStyle name="40% - Accent3 2 3 4 2" xfId="4108"/>
    <cellStyle name="40% - Accent3 2 3 5" xfId="4109"/>
    <cellStyle name="40% - Accent3 2 3 6" xfId="4110"/>
    <cellStyle name="40% - Accent3 2 4" xfId="543"/>
    <cellStyle name="40% - Accent3 2 4 2" xfId="4111"/>
    <cellStyle name="40% - Accent3 2 4 2 2" xfId="4112"/>
    <cellStyle name="40% - Accent3 2 4 2 2 2" xfId="4113"/>
    <cellStyle name="40% - Accent3 2 4 2 3" xfId="4114"/>
    <cellStyle name="40% - Accent3 2 4 3" xfId="4115"/>
    <cellStyle name="40% - Accent3 2 4 3 2" xfId="4116"/>
    <cellStyle name="40% - Accent3 2 4 4" xfId="4117"/>
    <cellStyle name="40% - Accent3 2 4 5" xfId="4118"/>
    <cellStyle name="40% - Accent3 2 5" xfId="544"/>
    <cellStyle name="40% - Accent3 2 5 2" xfId="4119"/>
    <cellStyle name="40% - Accent3 2 5 2 2" xfId="4120"/>
    <cellStyle name="40% - Accent3 2 5 3" xfId="4121"/>
    <cellStyle name="40% - Accent3 2 5 4" xfId="4122"/>
    <cellStyle name="40% - Accent3 2 6" xfId="545"/>
    <cellStyle name="40% - Accent3 2 6 2" xfId="4123"/>
    <cellStyle name="40% - Accent3 2 6 3" xfId="4124"/>
    <cellStyle name="40% - Accent3 2 7" xfId="546"/>
    <cellStyle name="40% - Accent3 2 8" xfId="547"/>
    <cellStyle name="40% - Accent3 2 9" xfId="548"/>
    <cellStyle name="40% - Accent3 20" xfId="549"/>
    <cellStyle name="40% - Accent3 21" xfId="550"/>
    <cellStyle name="40% - Accent3 22" xfId="551"/>
    <cellStyle name="40% - Accent3 23" xfId="552"/>
    <cellStyle name="40% - Accent3 24" xfId="553"/>
    <cellStyle name="40% - Accent3 25" xfId="554"/>
    <cellStyle name="40% - Accent3 26" xfId="555"/>
    <cellStyle name="40% - Accent3 27" xfId="556"/>
    <cellStyle name="40% - Accent3 28" xfId="557"/>
    <cellStyle name="40% - Accent3 29" xfId="558"/>
    <cellStyle name="40% - Accent3 3" xfId="559"/>
    <cellStyle name="40% - Accent3 3 2" xfId="4125"/>
    <cellStyle name="40% - Accent3 3 2 2" xfId="4126"/>
    <cellStyle name="40% - Accent3 3 2 2 2" xfId="4127"/>
    <cellStyle name="40% - Accent3 3 2 2 2 2" xfId="4128"/>
    <cellStyle name="40% - Accent3 3 2 2 2 2 2" xfId="4129"/>
    <cellStyle name="40% - Accent3 3 2 2 2 2 2 2" xfId="4130"/>
    <cellStyle name="40% - Accent3 3 2 2 2 2 3" xfId="4131"/>
    <cellStyle name="40% - Accent3 3 2 2 2 3" xfId="4132"/>
    <cellStyle name="40% - Accent3 3 2 2 2 3 2" xfId="4133"/>
    <cellStyle name="40% - Accent3 3 2 2 2 4" xfId="4134"/>
    <cellStyle name="40% - Accent3 3 2 2 3" xfId="4135"/>
    <cellStyle name="40% - Accent3 3 2 2 3 2" xfId="4136"/>
    <cellStyle name="40% - Accent3 3 2 2 3 2 2" xfId="4137"/>
    <cellStyle name="40% - Accent3 3 2 2 3 3" xfId="4138"/>
    <cellStyle name="40% - Accent3 3 2 2 4" xfId="4139"/>
    <cellStyle name="40% - Accent3 3 2 2 4 2" xfId="4140"/>
    <cellStyle name="40% - Accent3 3 2 2 5" xfId="4141"/>
    <cellStyle name="40% - Accent3 3 2 2 6" xfId="4142"/>
    <cellStyle name="40% - Accent3 3 2 3" xfId="4143"/>
    <cellStyle name="40% - Accent3 3 2 3 2" xfId="4144"/>
    <cellStyle name="40% - Accent3 3 2 3 2 2" xfId="4145"/>
    <cellStyle name="40% - Accent3 3 2 3 2 2 2" xfId="4146"/>
    <cellStyle name="40% - Accent3 3 2 3 2 3" xfId="4147"/>
    <cellStyle name="40% - Accent3 3 2 3 3" xfId="4148"/>
    <cellStyle name="40% - Accent3 3 2 3 3 2" xfId="4149"/>
    <cellStyle name="40% - Accent3 3 2 3 4" xfId="4150"/>
    <cellStyle name="40% - Accent3 3 2 4" xfId="4151"/>
    <cellStyle name="40% - Accent3 3 2 4 2" xfId="4152"/>
    <cellStyle name="40% - Accent3 3 2 4 2 2" xfId="4153"/>
    <cellStyle name="40% - Accent3 3 2 4 3" xfId="4154"/>
    <cellStyle name="40% - Accent3 3 2 5" xfId="4155"/>
    <cellStyle name="40% - Accent3 3 2 5 2" xfId="4156"/>
    <cellStyle name="40% - Accent3 3 2 6" xfId="4157"/>
    <cellStyle name="40% - Accent3 3 2 7" xfId="4158"/>
    <cellStyle name="40% - Accent3 3 3" xfId="4159"/>
    <cellStyle name="40% - Accent3 3 3 2" xfId="4160"/>
    <cellStyle name="40% - Accent3 3 3 2 2" xfId="4161"/>
    <cellStyle name="40% - Accent3 3 3 2 2 2" xfId="4162"/>
    <cellStyle name="40% - Accent3 3 3 2 2 2 2" xfId="4163"/>
    <cellStyle name="40% - Accent3 3 3 2 2 3" xfId="4164"/>
    <cellStyle name="40% - Accent3 3 3 2 3" xfId="4165"/>
    <cellStyle name="40% - Accent3 3 3 2 3 2" xfId="4166"/>
    <cellStyle name="40% - Accent3 3 3 2 4" xfId="4167"/>
    <cellStyle name="40% - Accent3 3 3 3" xfId="4168"/>
    <cellStyle name="40% - Accent3 3 3 3 2" xfId="4169"/>
    <cellStyle name="40% - Accent3 3 3 3 2 2" xfId="4170"/>
    <cellStyle name="40% - Accent3 3 3 3 3" xfId="4171"/>
    <cellStyle name="40% - Accent3 3 3 4" xfId="4172"/>
    <cellStyle name="40% - Accent3 3 3 4 2" xfId="4173"/>
    <cellStyle name="40% - Accent3 3 3 5" xfId="4174"/>
    <cellStyle name="40% - Accent3 3 3 6" xfId="4175"/>
    <cellStyle name="40% - Accent3 3 4" xfId="4176"/>
    <cellStyle name="40% - Accent3 3 4 2" xfId="4177"/>
    <cellStyle name="40% - Accent3 3 4 2 2" xfId="4178"/>
    <cellStyle name="40% - Accent3 3 4 2 2 2" xfId="4179"/>
    <cellStyle name="40% - Accent3 3 4 2 3" xfId="4180"/>
    <cellStyle name="40% - Accent3 3 4 3" xfId="4181"/>
    <cellStyle name="40% - Accent3 3 4 3 2" xfId="4182"/>
    <cellStyle name="40% - Accent3 3 4 4" xfId="4183"/>
    <cellStyle name="40% - Accent3 3 4 5" xfId="4184"/>
    <cellStyle name="40% - Accent3 3 5" xfId="4185"/>
    <cellStyle name="40% - Accent3 3 5 2" xfId="4186"/>
    <cellStyle name="40% - Accent3 3 5 2 2" xfId="4187"/>
    <cellStyle name="40% - Accent3 3 5 3" xfId="4188"/>
    <cellStyle name="40% - Accent3 3 6" xfId="4189"/>
    <cellStyle name="40% - Accent3 3 6 2" xfId="4190"/>
    <cellStyle name="40% - Accent3 3 7" xfId="4191"/>
    <cellStyle name="40% - Accent3 3 8" xfId="4192"/>
    <cellStyle name="40% - Accent3 3 9" xfId="4193"/>
    <cellStyle name="40% - Accent3 30" xfId="560"/>
    <cellStyle name="40% - Accent3 31" xfId="561"/>
    <cellStyle name="40% - Accent3 32" xfId="562"/>
    <cellStyle name="40% - Accent3 33" xfId="563"/>
    <cellStyle name="40% - Accent3 34" xfId="564"/>
    <cellStyle name="40% - Accent3 35" xfId="565"/>
    <cellStyle name="40% - Accent3 4" xfId="566"/>
    <cellStyle name="40% - Accent3 4 2" xfId="4194"/>
    <cellStyle name="40% - Accent3 4 2 2" xfId="4195"/>
    <cellStyle name="40% - Accent3 4 2 2 2" xfId="4196"/>
    <cellStyle name="40% - Accent3 4 2 2 2 2" xfId="4197"/>
    <cellStyle name="40% - Accent3 4 2 2 2 2 2" xfId="4198"/>
    <cellStyle name="40% - Accent3 4 2 2 2 3" xfId="4199"/>
    <cellStyle name="40% - Accent3 4 2 2 3" xfId="4200"/>
    <cellStyle name="40% - Accent3 4 2 2 3 2" xfId="4201"/>
    <cellStyle name="40% - Accent3 4 2 2 4" xfId="4202"/>
    <cellStyle name="40% - Accent3 4 2 3" xfId="4203"/>
    <cellStyle name="40% - Accent3 4 2 3 2" xfId="4204"/>
    <cellStyle name="40% - Accent3 4 2 3 2 2" xfId="4205"/>
    <cellStyle name="40% - Accent3 4 2 3 3" xfId="4206"/>
    <cellStyle name="40% - Accent3 4 2 4" xfId="4207"/>
    <cellStyle name="40% - Accent3 4 2 4 2" xfId="4208"/>
    <cellStyle name="40% - Accent3 4 2 5" xfId="4209"/>
    <cellStyle name="40% - Accent3 4 2 6" xfId="4210"/>
    <cellStyle name="40% - Accent3 4 3" xfId="4211"/>
    <cellStyle name="40% - Accent3 4 3 2" xfId="4212"/>
    <cellStyle name="40% - Accent3 4 3 2 2" xfId="4213"/>
    <cellStyle name="40% - Accent3 4 3 2 2 2" xfId="4214"/>
    <cellStyle name="40% - Accent3 4 3 2 3" xfId="4215"/>
    <cellStyle name="40% - Accent3 4 3 3" xfId="4216"/>
    <cellStyle name="40% - Accent3 4 3 3 2" xfId="4217"/>
    <cellStyle name="40% - Accent3 4 3 4" xfId="4218"/>
    <cellStyle name="40% - Accent3 4 3 5" xfId="4219"/>
    <cellStyle name="40% - Accent3 4 4" xfId="4220"/>
    <cellStyle name="40% - Accent3 4 4 2" xfId="4221"/>
    <cellStyle name="40% - Accent3 4 4 2 2" xfId="4222"/>
    <cellStyle name="40% - Accent3 4 4 3" xfId="4223"/>
    <cellStyle name="40% - Accent3 4 5" xfId="4224"/>
    <cellStyle name="40% - Accent3 4 5 2" xfId="4225"/>
    <cellStyle name="40% - Accent3 4 6" xfId="4226"/>
    <cellStyle name="40% - Accent3 4 7" xfId="4227"/>
    <cellStyle name="40% - Accent3 5" xfId="567"/>
    <cellStyle name="40% - Accent3 5 2" xfId="4228"/>
    <cellStyle name="40% - Accent3 5 2 2" xfId="4229"/>
    <cellStyle name="40% - Accent3 5 2 2 2" xfId="4230"/>
    <cellStyle name="40% - Accent3 5 2 2 2 2" xfId="4231"/>
    <cellStyle name="40% - Accent3 5 2 2 3" xfId="4232"/>
    <cellStyle name="40% - Accent3 5 2 3" xfId="4233"/>
    <cellStyle name="40% - Accent3 5 2 3 2" xfId="4234"/>
    <cellStyle name="40% - Accent3 5 2 4" xfId="4235"/>
    <cellStyle name="40% - Accent3 5 2 5" xfId="4236"/>
    <cellStyle name="40% - Accent3 5 3" xfId="4237"/>
    <cellStyle name="40% - Accent3 5 3 2" xfId="4238"/>
    <cellStyle name="40% - Accent3 5 3 2 2" xfId="4239"/>
    <cellStyle name="40% - Accent3 5 3 3" xfId="4240"/>
    <cellStyle name="40% - Accent3 5 4" xfId="4241"/>
    <cellStyle name="40% - Accent3 5 4 2" xfId="4242"/>
    <cellStyle name="40% - Accent3 5 5" xfId="4243"/>
    <cellStyle name="40% - Accent3 5 6" xfId="4244"/>
    <cellStyle name="40% - Accent3 6" xfId="568"/>
    <cellStyle name="40% - Accent3 6 2" xfId="4245"/>
    <cellStyle name="40% - Accent3 6 2 2" xfId="4246"/>
    <cellStyle name="40% - Accent3 6 2 2 2" xfId="4247"/>
    <cellStyle name="40% - Accent3 6 2 3" xfId="4248"/>
    <cellStyle name="40% - Accent3 6 2 4" xfId="4249"/>
    <cellStyle name="40% - Accent3 6 2 5" xfId="4250"/>
    <cellStyle name="40% - Accent3 6 3" xfId="4251"/>
    <cellStyle name="40% - Accent3 6 3 2" xfId="4252"/>
    <cellStyle name="40% - Accent3 6 4" xfId="4253"/>
    <cellStyle name="40% - Accent3 6 5" xfId="4254"/>
    <cellStyle name="40% - Accent3 7" xfId="569"/>
    <cellStyle name="40% - Accent3 7 2" xfId="4255"/>
    <cellStyle name="40% - Accent3 7 2 2" xfId="4256"/>
    <cellStyle name="40% - Accent3 7 2 2 2" xfId="4257"/>
    <cellStyle name="40% - Accent3 7 2 3" xfId="4258"/>
    <cellStyle name="40% - Accent3 7 3" xfId="4259"/>
    <cellStyle name="40% - Accent3 7 3 2" xfId="4260"/>
    <cellStyle name="40% - Accent3 7 4" xfId="4261"/>
    <cellStyle name="40% - Accent3 7 5" xfId="4262"/>
    <cellStyle name="40% - Accent3 8" xfId="570"/>
    <cellStyle name="40% - Accent3 8 2" xfId="4263"/>
    <cellStyle name="40% - Accent3 8 2 2" xfId="4264"/>
    <cellStyle name="40% - Accent3 8 2 2 2" xfId="4265"/>
    <cellStyle name="40% - Accent3 8 2 3" xfId="4266"/>
    <cellStyle name="40% - Accent3 8 3" xfId="4267"/>
    <cellStyle name="40% - Accent3 8 3 2" xfId="4268"/>
    <cellStyle name="40% - Accent3 8 4" xfId="4269"/>
    <cellStyle name="40% - Accent3 8 5" xfId="4270"/>
    <cellStyle name="40% - Accent3 9" xfId="571"/>
    <cellStyle name="40% - Accent3 9 2" xfId="4271"/>
    <cellStyle name="40% - Accent3 9 2 2" xfId="4272"/>
    <cellStyle name="40% - Accent3 9 3" xfId="4273"/>
    <cellStyle name="40% - Accent3 9 4" xfId="4274"/>
    <cellStyle name="40% - Accent4 10" xfId="572"/>
    <cellStyle name="40% - Accent4 10 2" xfId="4275"/>
    <cellStyle name="40% - Accent4 10 2 2" xfId="4276"/>
    <cellStyle name="40% - Accent4 10 3" xfId="4277"/>
    <cellStyle name="40% - Accent4 10 4" xfId="4278"/>
    <cellStyle name="40% - Accent4 11" xfId="573"/>
    <cellStyle name="40% - Accent4 11 2" xfId="4279"/>
    <cellStyle name="40% - Accent4 11 2 2" xfId="4280"/>
    <cellStyle name="40% - Accent4 11 3" xfId="4281"/>
    <cellStyle name="40% - Accent4 11 4" xfId="4282"/>
    <cellStyle name="40% - Accent4 12" xfId="574"/>
    <cellStyle name="40% - Accent4 12 2" xfId="4283"/>
    <cellStyle name="40% - Accent4 12 3" xfId="4284"/>
    <cellStyle name="40% - Accent4 13" xfId="575"/>
    <cellStyle name="40% - Accent4 13 2" xfId="4285"/>
    <cellStyle name="40% - Accent4 14" xfId="576"/>
    <cellStyle name="40% - Accent4 15" xfId="577"/>
    <cellStyle name="40% - Accent4 15 2" xfId="578"/>
    <cellStyle name="40% - Accent4 15 3" xfId="579"/>
    <cellStyle name="40% - Accent4 15 4" xfId="580"/>
    <cellStyle name="40% - Accent4 15 5" xfId="581"/>
    <cellStyle name="40% - Accent4 16" xfId="582"/>
    <cellStyle name="40% - Accent4 16 2" xfId="583"/>
    <cellStyle name="40% - Accent4 16 3" xfId="584"/>
    <cellStyle name="40% - Accent4 16 4" xfId="585"/>
    <cellStyle name="40% - Accent4 16 5" xfId="586"/>
    <cellStyle name="40% - Accent4 17" xfId="587"/>
    <cellStyle name="40% - Accent4 17 2" xfId="588"/>
    <cellStyle name="40% - Accent4 17 3" xfId="589"/>
    <cellStyle name="40% - Accent4 17 4" xfId="590"/>
    <cellStyle name="40% - Accent4 17 5" xfId="591"/>
    <cellStyle name="40% - Accent4 18" xfId="592"/>
    <cellStyle name="40% - Accent4 19" xfId="593"/>
    <cellStyle name="40% - Accent4 2" xfId="594"/>
    <cellStyle name="40% - Accent4 2 2" xfId="595"/>
    <cellStyle name="40% - Accent4 2 2 2" xfId="596"/>
    <cellStyle name="40% - Accent4 2 2 2 2" xfId="597"/>
    <cellStyle name="40% - Accent4 2 2 2 2 2" xfId="4286"/>
    <cellStyle name="40% - Accent4 2 2 2 2 2 2" xfId="4287"/>
    <cellStyle name="40% - Accent4 2 2 2 2 2 2 2" xfId="4288"/>
    <cellStyle name="40% - Accent4 2 2 2 2 2 3" xfId="4289"/>
    <cellStyle name="40% - Accent4 2 2 2 2 3" xfId="4290"/>
    <cellStyle name="40% - Accent4 2 2 2 2 3 2" xfId="4291"/>
    <cellStyle name="40% - Accent4 2 2 2 2 4" xfId="4292"/>
    <cellStyle name="40% - Accent4 2 2 2 2 5" xfId="4293"/>
    <cellStyle name="40% - Accent4 2 2 2 3" xfId="598"/>
    <cellStyle name="40% - Accent4 2 2 2 3 2" xfId="4294"/>
    <cellStyle name="40% - Accent4 2 2 2 3 2 2" xfId="4295"/>
    <cellStyle name="40% - Accent4 2 2 2 3 3" xfId="4296"/>
    <cellStyle name="40% - Accent4 2 2 2 4" xfId="599"/>
    <cellStyle name="40% - Accent4 2 2 2 4 2" xfId="4297"/>
    <cellStyle name="40% - Accent4 2 2 2 5" xfId="600"/>
    <cellStyle name="40% - Accent4 2 2 2 6" xfId="4298"/>
    <cellStyle name="40% - Accent4 2 2 3" xfId="601"/>
    <cellStyle name="40% - Accent4 2 2 3 2" xfId="4299"/>
    <cellStyle name="40% - Accent4 2 2 3 2 2" xfId="4300"/>
    <cellStyle name="40% - Accent4 2 2 3 2 2 2" xfId="4301"/>
    <cellStyle name="40% - Accent4 2 2 3 2 3" xfId="4302"/>
    <cellStyle name="40% - Accent4 2 2 3 3" xfId="4303"/>
    <cellStyle name="40% - Accent4 2 2 3 3 2" xfId="4304"/>
    <cellStyle name="40% - Accent4 2 2 3 4" xfId="4305"/>
    <cellStyle name="40% - Accent4 2 2 3 5" xfId="4306"/>
    <cellStyle name="40% - Accent4 2 2 4" xfId="602"/>
    <cellStyle name="40% - Accent4 2 2 4 2" xfId="4307"/>
    <cellStyle name="40% - Accent4 2 2 4 2 2" xfId="4308"/>
    <cellStyle name="40% - Accent4 2 2 4 3" xfId="4309"/>
    <cellStyle name="40% - Accent4 2 2 5" xfId="603"/>
    <cellStyle name="40% - Accent4 2 2 5 2" xfId="4310"/>
    <cellStyle name="40% - Accent4 2 2 6" xfId="4311"/>
    <cellStyle name="40% - Accent4 2 2 7" xfId="4312"/>
    <cellStyle name="40% - Accent4 2 3" xfId="604"/>
    <cellStyle name="40% - Accent4 2 3 2" xfId="4313"/>
    <cellStyle name="40% - Accent4 2 3 2 2" xfId="4314"/>
    <cellStyle name="40% - Accent4 2 3 2 2 2" xfId="4315"/>
    <cellStyle name="40% - Accent4 2 3 2 2 2 2" xfId="4316"/>
    <cellStyle name="40% - Accent4 2 3 2 2 3" xfId="4317"/>
    <cellStyle name="40% - Accent4 2 3 2 3" xfId="4318"/>
    <cellStyle name="40% - Accent4 2 3 2 3 2" xfId="4319"/>
    <cellStyle name="40% - Accent4 2 3 2 4" xfId="4320"/>
    <cellStyle name="40% - Accent4 2 3 3" xfId="4321"/>
    <cellStyle name="40% - Accent4 2 3 3 2" xfId="4322"/>
    <cellStyle name="40% - Accent4 2 3 3 2 2" xfId="4323"/>
    <cellStyle name="40% - Accent4 2 3 3 3" xfId="4324"/>
    <cellStyle name="40% - Accent4 2 3 4" xfId="4325"/>
    <cellStyle name="40% - Accent4 2 3 4 2" xfId="4326"/>
    <cellStyle name="40% - Accent4 2 3 5" xfId="4327"/>
    <cellStyle name="40% - Accent4 2 3 6" xfId="4328"/>
    <cellStyle name="40% - Accent4 2 4" xfId="605"/>
    <cellStyle name="40% - Accent4 2 4 2" xfId="4329"/>
    <cellStyle name="40% - Accent4 2 4 2 2" xfId="4330"/>
    <cellStyle name="40% - Accent4 2 4 2 2 2" xfId="4331"/>
    <cellStyle name="40% - Accent4 2 4 2 3" xfId="4332"/>
    <cellStyle name="40% - Accent4 2 4 3" xfId="4333"/>
    <cellStyle name="40% - Accent4 2 4 3 2" xfId="4334"/>
    <cellStyle name="40% - Accent4 2 4 4" xfId="4335"/>
    <cellStyle name="40% - Accent4 2 4 5" xfId="4336"/>
    <cellStyle name="40% - Accent4 2 5" xfId="606"/>
    <cellStyle name="40% - Accent4 2 5 2" xfId="4337"/>
    <cellStyle name="40% - Accent4 2 5 2 2" xfId="4338"/>
    <cellStyle name="40% - Accent4 2 5 3" xfId="4339"/>
    <cellStyle name="40% - Accent4 2 5 4" xfId="4340"/>
    <cellStyle name="40% - Accent4 2 6" xfId="607"/>
    <cellStyle name="40% - Accent4 2 6 2" xfId="4341"/>
    <cellStyle name="40% - Accent4 2 6 3" xfId="4342"/>
    <cellStyle name="40% - Accent4 2 7" xfId="608"/>
    <cellStyle name="40% - Accent4 2 8" xfId="609"/>
    <cellStyle name="40% - Accent4 2 9" xfId="610"/>
    <cellStyle name="40% - Accent4 20" xfId="611"/>
    <cellStyle name="40% - Accent4 21" xfId="612"/>
    <cellStyle name="40% - Accent4 22" xfId="613"/>
    <cellStyle name="40% - Accent4 23" xfId="614"/>
    <cellStyle name="40% - Accent4 24" xfId="615"/>
    <cellStyle name="40% - Accent4 25" xfId="616"/>
    <cellStyle name="40% - Accent4 26" xfId="617"/>
    <cellStyle name="40% - Accent4 27" xfId="618"/>
    <cellStyle name="40% - Accent4 28" xfId="619"/>
    <cellStyle name="40% - Accent4 29" xfId="620"/>
    <cellStyle name="40% - Accent4 3" xfId="621"/>
    <cellStyle name="40% - Accent4 3 2" xfId="4343"/>
    <cellStyle name="40% - Accent4 3 2 2" xfId="4344"/>
    <cellStyle name="40% - Accent4 3 2 2 2" xfId="4345"/>
    <cellStyle name="40% - Accent4 3 2 2 2 2" xfId="4346"/>
    <cellStyle name="40% - Accent4 3 2 2 2 2 2" xfId="4347"/>
    <cellStyle name="40% - Accent4 3 2 2 2 2 2 2" xfId="4348"/>
    <cellStyle name="40% - Accent4 3 2 2 2 2 3" xfId="4349"/>
    <cellStyle name="40% - Accent4 3 2 2 2 3" xfId="4350"/>
    <cellStyle name="40% - Accent4 3 2 2 2 3 2" xfId="4351"/>
    <cellStyle name="40% - Accent4 3 2 2 2 4" xfId="4352"/>
    <cellStyle name="40% - Accent4 3 2 2 3" xfId="4353"/>
    <cellStyle name="40% - Accent4 3 2 2 3 2" xfId="4354"/>
    <cellStyle name="40% - Accent4 3 2 2 3 2 2" xfId="4355"/>
    <cellStyle name="40% - Accent4 3 2 2 3 3" xfId="4356"/>
    <cellStyle name="40% - Accent4 3 2 2 4" xfId="4357"/>
    <cellStyle name="40% - Accent4 3 2 2 4 2" xfId="4358"/>
    <cellStyle name="40% - Accent4 3 2 2 5" xfId="4359"/>
    <cellStyle name="40% - Accent4 3 2 2 6" xfId="4360"/>
    <cellStyle name="40% - Accent4 3 2 3" xfId="4361"/>
    <cellStyle name="40% - Accent4 3 2 3 2" xfId="4362"/>
    <cellStyle name="40% - Accent4 3 2 3 2 2" xfId="4363"/>
    <cellStyle name="40% - Accent4 3 2 3 2 2 2" xfId="4364"/>
    <cellStyle name="40% - Accent4 3 2 3 2 3" xfId="4365"/>
    <cellStyle name="40% - Accent4 3 2 3 3" xfId="4366"/>
    <cellStyle name="40% - Accent4 3 2 3 3 2" xfId="4367"/>
    <cellStyle name="40% - Accent4 3 2 3 4" xfId="4368"/>
    <cellStyle name="40% - Accent4 3 2 4" xfId="4369"/>
    <cellStyle name="40% - Accent4 3 2 4 2" xfId="4370"/>
    <cellStyle name="40% - Accent4 3 2 4 2 2" xfId="4371"/>
    <cellStyle name="40% - Accent4 3 2 4 3" xfId="4372"/>
    <cellStyle name="40% - Accent4 3 2 5" xfId="4373"/>
    <cellStyle name="40% - Accent4 3 2 5 2" xfId="4374"/>
    <cellStyle name="40% - Accent4 3 2 6" xfId="4375"/>
    <cellStyle name="40% - Accent4 3 2 7" xfId="4376"/>
    <cellStyle name="40% - Accent4 3 3" xfId="4377"/>
    <cellStyle name="40% - Accent4 3 3 2" xfId="4378"/>
    <cellStyle name="40% - Accent4 3 3 2 2" xfId="4379"/>
    <cellStyle name="40% - Accent4 3 3 2 2 2" xfId="4380"/>
    <cellStyle name="40% - Accent4 3 3 2 2 2 2" xfId="4381"/>
    <cellStyle name="40% - Accent4 3 3 2 2 3" xfId="4382"/>
    <cellStyle name="40% - Accent4 3 3 2 3" xfId="4383"/>
    <cellStyle name="40% - Accent4 3 3 2 3 2" xfId="4384"/>
    <cellStyle name="40% - Accent4 3 3 2 4" xfId="4385"/>
    <cellStyle name="40% - Accent4 3 3 3" xfId="4386"/>
    <cellStyle name="40% - Accent4 3 3 3 2" xfId="4387"/>
    <cellStyle name="40% - Accent4 3 3 3 2 2" xfId="4388"/>
    <cellStyle name="40% - Accent4 3 3 3 3" xfId="4389"/>
    <cellStyle name="40% - Accent4 3 3 4" xfId="4390"/>
    <cellStyle name="40% - Accent4 3 3 4 2" xfId="4391"/>
    <cellStyle name="40% - Accent4 3 3 5" xfId="4392"/>
    <cellStyle name="40% - Accent4 3 3 6" xfId="4393"/>
    <cellStyle name="40% - Accent4 3 4" xfId="4394"/>
    <cellStyle name="40% - Accent4 3 4 2" xfId="4395"/>
    <cellStyle name="40% - Accent4 3 4 2 2" xfId="4396"/>
    <cellStyle name="40% - Accent4 3 4 2 2 2" xfId="4397"/>
    <cellStyle name="40% - Accent4 3 4 2 3" xfId="4398"/>
    <cellStyle name="40% - Accent4 3 4 3" xfId="4399"/>
    <cellStyle name="40% - Accent4 3 4 3 2" xfId="4400"/>
    <cellStyle name="40% - Accent4 3 4 4" xfId="4401"/>
    <cellStyle name="40% - Accent4 3 4 5" xfId="4402"/>
    <cellStyle name="40% - Accent4 3 5" xfId="4403"/>
    <cellStyle name="40% - Accent4 3 5 2" xfId="4404"/>
    <cellStyle name="40% - Accent4 3 5 2 2" xfId="4405"/>
    <cellStyle name="40% - Accent4 3 5 3" xfId="4406"/>
    <cellStyle name="40% - Accent4 3 6" xfId="4407"/>
    <cellStyle name="40% - Accent4 3 6 2" xfId="4408"/>
    <cellStyle name="40% - Accent4 3 7" xfId="4409"/>
    <cellStyle name="40% - Accent4 3 8" xfId="4410"/>
    <cellStyle name="40% - Accent4 3 9" xfId="4411"/>
    <cellStyle name="40% - Accent4 30" xfId="622"/>
    <cellStyle name="40% - Accent4 31" xfId="623"/>
    <cellStyle name="40% - Accent4 32" xfId="624"/>
    <cellStyle name="40% - Accent4 33" xfId="625"/>
    <cellStyle name="40% - Accent4 34" xfId="626"/>
    <cellStyle name="40% - Accent4 35" xfId="627"/>
    <cellStyle name="40% - Accent4 4" xfId="628"/>
    <cellStyle name="40% - Accent4 4 2" xfId="4412"/>
    <cellStyle name="40% - Accent4 4 2 2" xfId="4413"/>
    <cellStyle name="40% - Accent4 4 2 2 2" xfId="4414"/>
    <cellStyle name="40% - Accent4 4 2 2 2 2" xfId="4415"/>
    <cellStyle name="40% - Accent4 4 2 2 2 2 2" xfId="4416"/>
    <cellStyle name="40% - Accent4 4 2 2 2 3" xfId="4417"/>
    <cellStyle name="40% - Accent4 4 2 2 3" xfId="4418"/>
    <cellStyle name="40% - Accent4 4 2 2 3 2" xfId="4419"/>
    <cellStyle name="40% - Accent4 4 2 2 4" xfId="4420"/>
    <cellStyle name="40% - Accent4 4 2 3" xfId="4421"/>
    <cellStyle name="40% - Accent4 4 2 3 2" xfId="4422"/>
    <cellStyle name="40% - Accent4 4 2 3 2 2" xfId="4423"/>
    <cellStyle name="40% - Accent4 4 2 3 3" xfId="4424"/>
    <cellStyle name="40% - Accent4 4 2 4" xfId="4425"/>
    <cellStyle name="40% - Accent4 4 2 4 2" xfId="4426"/>
    <cellStyle name="40% - Accent4 4 2 5" xfId="4427"/>
    <cellStyle name="40% - Accent4 4 2 6" xfId="4428"/>
    <cellStyle name="40% - Accent4 4 3" xfId="4429"/>
    <cellStyle name="40% - Accent4 4 3 2" xfId="4430"/>
    <cellStyle name="40% - Accent4 4 3 2 2" xfId="4431"/>
    <cellStyle name="40% - Accent4 4 3 2 2 2" xfId="4432"/>
    <cellStyle name="40% - Accent4 4 3 2 3" xfId="4433"/>
    <cellStyle name="40% - Accent4 4 3 3" xfId="4434"/>
    <cellStyle name="40% - Accent4 4 3 3 2" xfId="4435"/>
    <cellStyle name="40% - Accent4 4 3 4" xfId="4436"/>
    <cellStyle name="40% - Accent4 4 3 5" xfId="4437"/>
    <cellStyle name="40% - Accent4 4 4" xfId="4438"/>
    <cellStyle name="40% - Accent4 4 4 2" xfId="4439"/>
    <cellStyle name="40% - Accent4 4 4 2 2" xfId="4440"/>
    <cellStyle name="40% - Accent4 4 4 3" xfId="4441"/>
    <cellStyle name="40% - Accent4 4 5" xfId="4442"/>
    <cellStyle name="40% - Accent4 4 5 2" xfId="4443"/>
    <cellStyle name="40% - Accent4 4 6" xfId="4444"/>
    <cellStyle name="40% - Accent4 4 7" xfId="4445"/>
    <cellStyle name="40% - Accent4 5" xfId="629"/>
    <cellStyle name="40% - Accent4 5 2" xfId="4446"/>
    <cellStyle name="40% - Accent4 5 2 2" xfId="4447"/>
    <cellStyle name="40% - Accent4 5 2 2 2" xfId="4448"/>
    <cellStyle name="40% - Accent4 5 2 2 2 2" xfId="4449"/>
    <cellStyle name="40% - Accent4 5 2 2 3" xfId="4450"/>
    <cellStyle name="40% - Accent4 5 2 3" xfId="4451"/>
    <cellStyle name="40% - Accent4 5 2 3 2" xfId="4452"/>
    <cellStyle name="40% - Accent4 5 2 4" xfId="4453"/>
    <cellStyle name="40% - Accent4 5 2 5" xfId="4454"/>
    <cellStyle name="40% - Accent4 5 3" xfId="4455"/>
    <cellStyle name="40% - Accent4 5 3 2" xfId="4456"/>
    <cellStyle name="40% - Accent4 5 3 2 2" xfId="4457"/>
    <cellStyle name="40% - Accent4 5 3 3" xfId="4458"/>
    <cellStyle name="40% - Accent4 5 4" xfId="4459"/>
    <cellStyle name="40% - Accent4 5 4 2" xfId="4460"/>
    <cellStyle name="40% - Accent4 5 5" xfId="4461"/>
    <cellStyle name="40% - Accent4 5 6" xfId="4462"/>
    <cellStyle name="40% - Accent4 6" xfId="630"/>
    <cellStyle name="40% - Accent4 6 2" xfId="4463"/>
    <cellStyle name="40% - Accent4 6 2 2" xfId="4464"/>
    <cellStyle name="40% - Accent4 6 2 2 2" xfId="4465"/>
    <cellStyle name="40% - Accent4 6 2 3" xfId="4466"/>
    <cellStyle name="40% - Accent4 6 2 4" xfId="4467"/>
    <cellStyle name="40% - Accent4 6 2 5" xfId="4468"/>
    <cellStyle name="40% - Accent4 6 3" xfId="4469"/>
    <cellStyle name="40% - Accent4 6 3 2" xfId="4470"/>
    <cellStyle name="40% - Accent4 6 4" xfId="4471"/>
    <cellStyle name="40% - Accent4 6 5" xfId="4472"/>
    <cellStyle name="40% - Accent4 7" xfId="631"/>
    <cellStyle name="40% - Accent4 7 2" xfId="4473"/>
    <cellStyle name="40% - Accent4 7 2 2" xfId="4474"/>
    <cellStyle name="40% - Accent4 7 2 2 2" xfId="4475"/>
    <cellStyle name="40% - Accent4 7 2 3" xfId="4476"/>
    <cellStyle name="40% - Accent4 7 3" xfId="4477"/>
    <cellStyle name="40% - Accent4 7 3 2" xfId="4478"/>
    <cellStyle name="40% - Accent4 7 4" xfId="4479"/>
    <cellStyle name="40% - Accent4 7 5" xfId="4480"/>
    <cellStyle name="40% - Accent4 8" xfId="632"/>
    <cellStyle name="40% - Accent4 8 2" xfId="4481"/>
    <cellStyle name="40% - Accent4 8 2 2" xfId="4482"/>
    <cellStyle name="40% - Accent4 8 2 2 2" xfId="4483"/>
    <cellStyle name="40% - Accent4 8 2 3" xfId="4484"/>
    <cellStyle name="40% - Accent4 8 3" xfId="4485"/>
    <cellStyle name="40% - Accent4 8 3 2" xfId="4486"/>
    <cellStyle name="40% - Accent4 8 4" xfId="4487"/>
    <cellStyle name="40% - Accent4 8 5" xfId="4488"/>
    <cellStyle name="40% - Accent4 9" xfId="633"/>
    <cellStyle name="40% - Accent4 9 2" xfId="4489"/>
    <cellStyle name="40% - Accent4 9 2 2" xfId="4490"/>
    <cellStyle name="40% - Accent4 9 3" xfId="4491"/>
    <cellStyle name="40% - Accent4 9 4" xfId="4492"/>
    <cellStyle name="40% - Accent5 10" xfId="634"/>
    <cellStyle name="40% - Accent5 10 2" xfId="4493"/>
    <cellStyle name="40% - Accent5 10 2 2" xfId="4494"/>
    <cellStyle name="40% - Accent5 10 3" xfId="4495"/>
    <cellStyle name="40% - Accent5 10 4" xfId="4496"/>
    <cellStyle name="40% - Accent5 11" xfId="635"/>
    <cellStyle name="40% - Accent5 11 2" xfId="4497"/>
    <cellStyle name="40% - Accent5 11 2 2" xfId="4498"/>
    <cellStyle name="40% - Accent5 11 3" xfId="4499"/>
    <cellStyle name="40% - Accent5 11 4" xfId="4500"/>
    <cellStyle name="40% - Accent5 12" xfId="636"/>
    <cellStyle name="40% - Accent5 12 2" xfId="4501"/>
    <cellStyle name="40% - Accent5 12 3" xfId="4502"/>
    <cellStyle name="40% - Accent5 13" xfId="637"/>
    <cellStyle name="40% - Accent5 13 2" xfId="4503"/>
    <cellStyle name="40% - Accent5 14" xfId="638"/>
    <cellStyle name="40% - Accent5 15" xfId="639"/>
    <cellStyle name="40% - Accent5 15 2" xfId="640"/>
    <cellStyle name="40% - Accent5 15 3" xfId="641"/>
    <cellStyle name="40% - Accent5 15 4" xfId="642"/>
    <cellStyle name="40% - Accent5 15 5" xfId="643"/>
    <cellStyle name="40% - Accent5 16" xfId="644"/>
    <cellStyle name="40% - Accent5 16 2" xfId="645"/>
    <cellStyle name="40% - Accent5 16 3" xfId="646"/>
    <cellStyle name="40% - Accent5 16 4" xfId="647"/>
    <cellStyle name="40% - Accent5 16 5" xfId="648"/>
    <cellStyle name="40% - Accent5 17" xfId="649"/>
    <cellStyle name="40% - Accent5 17 2" xfId="650"/>
    <cellStyle name="40% - Accent5 17 3" xfId="651"/>
    <cellStyle name="40% - Accent5 17 4" xfId="652"/>
    <cellStyle name="40% - Accent5 17 5" xfId="653"/>
    <cellStyle name="40% - Accent5 18" xfId="654"/>
    <cellStyle name="40% - Accent5 19" xfId="655"/>
    <cellStyle name="40% - Accent5 2" xfId="656"/>
    <cellStyle name="40% - Accent5 2 2" xfId="657"/>
    <cellStyle name="40% - Accent5 2 2 2" xfId="658"/>
    <cellStyle name="40% - Accent5 2 2 2 2" xfId="659"/>
    <cellStyle name="40% - Accent5 2 2 2 2 2" xfId="4504"/>
    <cellStyle name="40% - Accent5 2 2 2 2 2 2" xfId="4505"/>
    <cellStyle name="40% - Accent5 2 2 2 2 2 2 2" xfId="4506"/>
    <cellStyle name="40% - Accent5 2 2 2 2 2 3" xfId="4507"/>
    <cellStyle name="40% - Accent5 2 2 2 2 3" xfId="4508"/>
    <cellStyle name="40% - Accent5 2 2 2 2 3 2" xfId="4509"/>
    <cellStyle name="40% - Accent5 2 2 2 2 4" xfId="4510"/>
    <cellStyle name="40% - Accent5 2 2 2 2 5" xfId="4511"/>
    <cellStyle name="40% - Accent5 2 2 2 3" xfId="660"/>
    <cellStyle name="40% - Accent5 2 2 2 3 2" xfId="4512"/>
    <cellStyle name="40% - Accent5 2 2 2 3 2 2" xfId="4513"/>
    <cellStyle name="40% - Accent5 2 2 2 3 3" xfId="4514"/>
    <cellStyle name="40% - Accent5 2 2 2 4" xfId="661"/>
    <cellStyle name="40% - Accent5 2 2 2 4 2" xfId="4515"/>
    <cellStyle name="40% - Accent5 2 2 2 5" xfId="662"/>
    <cellStyle name="40% - Accent5 2 2 2 6" xfId="4516"/>
    <cellStyle name="40% - Accent5 2 2 3" xfId="663"/>
    <cellStyle name="40% - Accent5 2 2 3 2" xfId="4517"/>
    <cellStyle name="40% - Accent5 2 2 3 2 2" xfId="4518"/>
    <cellStyle name="40% - Accent5 2 2 3 2 2 2" xfId="4519"/>
    <cellStyle name="40% - Accent5 2 2 3 2 3" xfId="4520"/>
    <cellStyle name="40% - Accent5 2 2 3 3" xfId="4521"/>
    <cellStyle name="40% - Accent5 2 2 3 3 2" xfId="4522"/>
    <cellStyle name="40% - Accent5 2 2 3 4" xfId="4523"/>
    <cellStyle name="40% - Accent5 2 2 3 5" xfId="4524"/>
    <cellStyle name="40% - Accent5 2 2 4" xfId="664"/>
    <cellStyle name="40% - Accent5 2 2 4 2" xfId="4525"/>
    <cellStyle name="40% - Accent5 2 2 4 2 2" xfId="4526"/>
    <cellStyle name="40% - Accent5 2 2 4 3" xfId="4527"/>
    <cellStyle name="40% - Accent5 2 2 5" xfId="665"/>
    <cellStyle name="40% - Accent5 2 2 5 2" xfId="4528"/>
    <cellStyle name="40% - Accent5 2 2 6" xfId="4529"/>
    <cellStyle name="40% - Accent5 2 2 7" xfId="4530"/>
    <cellStyle name="40% - Accent5 2 3" xfId="666"/>
    <cellStyle name="40% - Accent5 2 3 2" xfId="4531"/>
    <cellStyle name="40% - Accent5 2 3 2 2" xfId="4532"/>
    <cellStyle name="40% - Accent5 2 3 2 2 2" xfId="4533"/>
    <cellStyle name="40% - Accent5 2 3 2 2 2 2" xfId="4534"/>
    <cellStyle name="40% - Accent5 2 3 2 2 3" xfId="4535"/>
    <cellStyle name="40% - Accent5 2 3 2 3" xfId="4536"/>
    <cellStyle name="40% - Accent5 2 3 2 3 2" xfId="4537"/>
    <cellStyle name="40% - Accent5 2 3 2 4" xfId="4538"/>
    <cellStyle name="40% - Accent5 2 3 3" xfId="4539"/>
    <cellStyle name="40% - Accent5 2 3 3 2" xfId="4540"/>
    <cellStyle name="40% - Accent5 2 3 3 2 2" xfId="4541"/>
    <cellStyle name="40% - Accent5 2 3 3 3" xfId="4542"/>
    <cellStyle name="40% - Accent5 2 3 4" xfId="4543"/>
    <cellStyle name="40% - Accent5 2 3 4 2" xfId="4544"/>
    <cellStyle name="40% - Accent5 2 3 5" xfId="4545"/>
    <cellStyle name="40% - Accent5 2 3 6" xfId="4546"/>
    <cellStyle name="40% - Accent5 2 4" xfId="667"/>
    <cellStyle name="40% - Accent5 2 4 2" xfId="4547"/>
    <cellStyle name="40% - Accent5 2 4 2 2" xfId="4548"/>
    <cellStyle name="40% - Accent5 2 4 2 2 2" xfId="4549"/>
    <cellStyle name="40% - Accent5 2 4 2 3" xfId="4550"/>
    <cellStyle name="40% - Accent5 2 4 3" xfId="4551"/>
    <cellStyle name="40% - Accent5 2 4 3 2" xfId="4552"/>
    <cellStyle name="40% - Accent5 2 4 4" xfId="4553"/>
    <cellStyle name="40% - Accent5 2 4 5" xfId="4554"/>
    <cellStyle name="40% - Accent5 2 5" xfId="668"/>
    <cellStyle name="40% - Accent5 2 5 2" xfId="4555"/>
    <cellStyle name="40% - Accent5 2 5 2 2" xfId="4556"/>
    <cellStyle name="40% - Accent5 2 5 3" xfId="4557"/>
    <cellStyle name="40% - Accent5 2 5 4" xfId="4558"/>
    <cellStyle name="40% - Accent5 2 6" xfId="669"/>
    <cellStyle name="40% - Accent5 2 6 2" xfId="4559"/>
    <cellStyle name="40% - Accent5 2 6 3" xfId="4560"/>
    <cellStyle name="40% - Accent5 2 7" xfId="670"/>
    <cellStyle name="40% - Accent5 2 8" xfId="671"/>
    <cellStyle name="40% - Accent5 2 9" xfId="672"/>
    <cellStyle name="40% - Accent5 20" xfId="673"/>
    <cellStyle name="40% - Accent5 21" xfId="674"/>
    <cellStyle name="40% - Accent5 22" xfId="675"/>
    <cellStyle name="40% - Accent5 23" xfId="676"/>
    <cellStyle name="40% - Accent5 24" xfId="677"/>
    <cellStyle name="40% - Accent5 25" xfId="678"/>
    <cellStyle name="40% - Accent5 26" xfId="679"/>
    <cellStyle name="40% - Accent5 27" xfId="680"/>
    <cellStyle name="40% - Accent5 28" xfId="681"/>
    <cellStyle name="40% - Accent5 29" xfId="682"/>
    <cellStyle name="40% - Accent5 3" xfId="683"/>
    <cellStyle name="40% - Accent5 3 2" xfId="4561"/>
    <cellStyle name="40% - Accent5 3 2 2" xfId="4562"/>
    <cellStyle name="40% - Accent5 3 2 2 2" xfId="4563"/>
    <cellStyle name="40% - Accent5 3 2 2 2 2" xfId="4564"/>
    <cellStyle name="40% - Accent5 3 2 2 2 2 2" xfId="4565"/>
    <cellStyle name="40% - Accent5 3 2 2 2 2 2 2" xfId="4566"/>
    <cellStyle name="40% - Accent5 3 2 2 2 2 3" xfId="4567"/>
    <cellStyle name="40% - Accent5 3 2 2 2 3" xfId="4568"/>
    <cellStyle name="40% - Accent5 3 2 2 2 3 2" xfId="4569"/>
    <cellStyle name="40% - Accent5 3 2 2 2 4" xfId="4570"/>
    <cellStyle name="40% - Accent5 3 2 2 3" xfId="4571"/>
    <cellStyle name="40% - Accent5 3 2 2 3 2" xfId="4572"/>
    <cellStyle name="40% - Accent5 3 2 2 3 2 2" xfId="4573"/>
    <cellStyle name="40% - Accent5 3 2 2 3 3" xfId="4574"/>
    <cellStyle name="40% - Accent5 3 2 2 4" xfId="4575"/>
    <cellStyle name="40% - Accent5 3 2 2 4 2" xfId="4576"/>
    <cellStyle name="40% - Accent5 3 2 2 5" xfId="4577"/>
    <cellStyle name="40% - Accent5 3 2 2 6" xfId="4578"/>
    <cellStyle name="40% - Accent5 3 2 3" xfId="4579"/>
    <cellStyle name="40% - Accent5 3 2 3 2" xfId="4580"/>
    <cellStyle name="40% - Accent5 3 2 3 2 2" xfId="4581"/>
    <cellStyle name="40% - Accent5 3 2 3 2 2 2" xfId="4582"/>
    <cellStyle name="40% - Accent5 3 2 3 2 3" xfId="4583"/>
    <cellStyle name="40% - Accent5 3 2 3 3" xfId="4584"/>
    <cellStyle name="40% - Accent5 3 2 3 3 2" xfId="4585"/>
    <cellStyle name="40% - Accent5 3 2 3 4" xfId="4586"/>
    <cellStyle name="40% - Accent5 3 2 4" xfId="4587"/>
    <cellStyle name="40% - Accent5 3 2 4 2" xfId="4588"/>
    <cellStyle name="40% - Accent5 3 2 4 2 2" xfId="4589"/>
    <cellStyle name="40% - Accent5 3 2 4 3" xfId="4590"/>
    <cellStyle name="40% - Accent5 3 2 5" xfId="4591"/>
    <cellStyle name="40% - Accent5 3 2 5 2" xfId="4592"/>
    <cellStyle name="40% - Accent5 3 2 6" xfId="4593"/>
    <cellStyle name="40% - Accent5 3 2 7" xfId="4594"/>
    <cellStyle name="40% - Accent5 3 3" xfId="4595"/>
    <cellStyle name="40% - Accent5 3 3 2" xfId="4596"/>
    <cellStyle name="40% - Accent5 3 3 2 2" xfId="4597"/>
    <cellStyle name="40% - Accent5 3 3 2 2 2" xfId="4598"/>
    <cellStyle name="40% - Accent5 3 3 2 2 2 2" xfId="4599"/>
    <cellStyle name="40% - Accent5 3 3 2 2 3" xfId="4600"/>
    <cellStyle name="40% - Accent5 3 3 2 3" xfId="4601"/>
    <cellStyle name="40% - Accent5 3 3 2 3 2" xfId="4602"/>
    <cellStyle name="40% - Accent5 3 3 2 4" xfId="4603"/>
    <cellStyle name="40% - Accent5 3 3 3" xfId="4604"/>
    <cellStyle name="40% - Accent5 3 3 3 2" xfId="4605"/>
    <cellStyle name="40% - Accent5 3 3 3 2 2" xfId="4606"/>
    <cellStyle name="40% - Accent5 3 3 3 3" xfId="4607"/>
    <cellStyle name="40% - Accent5 3 3 4" xfId="4608"/>
    <cellStyle name="40% - Accent5 3 3 4 2" xfId="4609"/>
    <cellStyle name="40% - Accent5 3 3 5" xfId="4610"/>
    <cellStyle name="40% - Accent5 3 3 6" xfId="4611"/>
    <cellStyle name="40% - Accent5 3 4" xfId="4612"/>
    <cellStyle name="40% - Accent5 3 4 2" xfId="4613"/>
    <cellStyle name="40% - Accent5 3 4 2 2" xfId="4614"/>
    <cellStyle name="40% - Accent5 3 4 2 2 2" xfId="4615"/>
    <cellStyle name="40% - Accent5 3 4 2 3" xfId="4616"/>
    <cellStyle name="40% - Accent5 3 4 3" xfId="4617"/>
    <cellStyle name="40% - Accent5 3 4 3 2" xfId="4618"/>
    <cellStyle name="40% - Accent5 3 4 4" xfId="4619"/>
    <cellStyle name="40% - Accent5 3 4 5" xfId="4620"/>
    <cellStyle name="40% - Accent5 3 5" xfId="4621"/>
    <cellStyle name="40% - Accent5 3 5 2" xfId="4622"/>
    <cellStyle name="40% - Accent5 3 5 2 2" xfId="4623"/>
    <cellStyle name="40% - Accent5 3 5 3" xfId="4624"/>
    <cellStyle name="40% - Accent5 3 6" xfId="4625"/>
    <cellStyle name="40% - Accent5 3 6 2" xfId="4626"/>
    <cellStyle name="40% - Accent5 3 7" xfId="4627"/>
    <cellStyle name="40% - Accent5 3 8" xfId="4628"/>
    <cellStyle name="40% - Accent5 3 9" xfId="4629"/>
    <cellStyle name="40% - Accent5 30" xfId="684"/>
    <cellStyle name="40% - Accent5 31" xfId="685"/>
    <cellStyle name="40% - Accent5 32" xfId="686"/>
    <cellStyle name="40% - Accent5 33" xfId="687"/>
    <cellStyle name="40% - Accent5 34" xfId="688"/>
    <cellStyle name="40% - Accent5 35" xfId="689"/>
    <cellStyle name="40% - Accent5 4" xfId="690"/>
    <cellStyle name="40% - Accent5 4 2" xfId="4630"/>
    <cellStyle name="40% - Accent5 4 2 2" xfId="4631"/>
    <cellStyle name="40% - Accent5 4 2 2 2" xfId="4632"/>
    <cellStyle name="40% - Accent5 4 2 2 2 2" xfId="4633"/>
    <cellStyle name="40% - Accent5 4 2 2 2 2 2" xfId="4634"/>
    <cellStyle name="40% - Accent5 4 2 2 2 3" xfId="4635"/>
    <cellStyle name="40% - Accent5 4 2 2 3" xfId="4636"/>
    <cellStyle name="40% - Accent5 4 2 2 3 2" xfId="4637"/>
    <cellStyle name="40% - Accent5 4 2 2 4" xfId="4638"/>
    <cellStyle name="40% - Accent5 4 2 3" xfId="4639"/>
    <cellStyle name="40% - Accent5 4 2 3 2" xfId="4640"/>
    <cellStyle name="40% - Accent5 4 2 3 2 2" xfId="4641"/>
    <cellStyle name="40% - Accent5 4 2 3 3" xfId="4642"/>
    <cellStyle name="40% - Accent5 4 2 4" xfId="4643"/>
    <cellStyle name="40% - Accent5 4 2 4 2" xfId="4644"/>
    <cellStyle name="40% - Accent5 4 2 5" xfId="4645"/>
    <cellStyle name="40% - Accent5 4 2 6" xfId="4646"/>
    <cellStyle name="40% - Accent5 4 3" xfId="4647"/>
    <cellStyle name="40% - Accent5 4 3 2" xfId="4648"/>
    <cellStyle name="40% - Accent5 4 3 2 2" xfId="4649"/>
    <cellStyle name="40% - Accent5 4 3 2 2 2" xfId="4650"/>
    <cellStyle name="40% - Accent5 4 3 2 3" xfId="4651"/>
    <cellStyle name="40% - Accent5 4 3 3" xfId="4652"/>
    <cellStyle name="40% - Accent5 4 3 3 2" xfId="4653"/>
    <cellStyle name="40% - Accent5 4 3 4" xfId="4654"/>
    <cellStyle name="40% - Accent5 4 3 5" xfId="4655"/>
    <cellStyle name="40% - Accent5 4 4" xfId="4656"/>
    <cellStyle name="40% - Accent5 4 4 2" xfId="4657"/>
    <cellStyle name="40% - Accent5 4 4 2 2" xfId="4658"/>
    <cellStyle name="40% - Accent5 4 4 3" xfId="4659"/>
    <cellStyle name="40% - Accent5 4 5" xfId="4660"/>
    <cellStyle name="40% - Accent5 4 5 2" xfId="4661"/>
    <cellStyle name="40% - Accent5 4 6" xfId="4662"/>
    <cellStyle name="40% - Accent5 4 7" xfId="4663"/>
    <cellStyle name="40% - Accent5 5" xfId="691"/>
    <cellStyle name="40% - Accent5 5 2" xfId="4664"/>
    <cellStyle name="40% - Accent5 5 2 2" xfId="4665"/>
    <cellStyle name="40% - Accent5 5 2 2 2" xfId="4666"/>
    <cellStyle name="40% - Accent5 5 2 2 2 2" xfId="4667"/>
    <cellStyle name="40% - Accent5 5 2 2 3" xfId="4668"/>
    <cellStyle name="40% - Accent5 5 2 3" xfId="4669"/>
    <cellStyle name="40% - Accent5 5 2 3 2" xfId="4670"/>
    <cellStyle name="40% - Accent5 5 2 4" xfId="4671"/>
    <cellStyle name="40% - Accent5 5 2 5" xfId="4672"/>
    <cellStyle name="40% - Accent5 5 3" xfId="4673"/>
    <cellStyle name="40% - Accent5 5 3 2" xfId="4674"/>
    <cellStyle name="40% - Accent5 5 3 2 2" xfId="4675"/>
    <cellStyle name="40% - Accent5 5 3 3" xfId="4676"/>
    <cellStyle name="40% - Accent5 5 4" xfId="4677"/>
    <cellStyle name="40% - Accent5 5 4 2" xfId="4678"/>
    <cellStyle name="40% - Accent5 5 5" xfId="4679"/>
    <cellStyle name="40% - Accent5 5 6" xfId="4680"/>
    <cellStyle name="40% - Accent5 6" xfId="692"/>
    <cellStyle name="40% - Accent5 6 2" xfId="4681"/>
    <cellStyle name="40% - Accent5 6 2 2" xfId="4682"/>
    <cellStyle name="40% - Accent5 6 2 2 2" xfId="4683"/>
    <cellStyle name="40% - Accent5 6 2 3" xfId="4684"/>
    <cellStyle name="40% - Accent5 6 2 4" xfId="4685"/>
    <cellStyle name="40% - Accent5 6 2 5" xfId="4686"/>
    <cellStyle name="40% - Accent5 6 3" xfId="4687"/>
    <cellStyle name="40% - Accent5 6 3 2" xfId="4688"/>
    <cellStyle name="40% - Accent5 6 4" xfId="4689"/>
    <cellStyle name="40% - Accent5 6 5" xfId="4690"/>
    <cellStyle name="40% - Accent5 7" xfId="693"/>
    <cellStyle name="40% - Accent5 7 2" xfId="4691"/>
    <cellStyle name="40% - Accent5 7 2 2" xfId="4692"/>
    <cellStyle name="40% - Accent5 7 2 2 2" xfId="4693"/>
    <cellStyle name="40% - Accent5 7 2 3" xfId="4694"/>
    <cellStyle name="40% - Accent5 7 3" xfId="4695"/>
    <cellStyle name="40% - Accent5 7 3 2" xfId="4696"/>
    <cellStyle name="40% - Accent5 7 4" xfId="4697"/>
    <cellStyle name="40% - Accent5 7 5" xfId="4698"/>
    <cellStyle name="40% - Accent5 8" xfId="694"/>
    <cellStyle name="40% - Accent5 8 2" xfId="4699"/>
    <cellStyle name="40% - Accent5 8 2 2" xfId="4700"/>
    <cellStyle name="40% - Accent5 8 2 2 2" xfId="4701"/>
    <cellStyle name="40% - Accent5 8 2 3" xfId="4702"/>
    <cellStyle name="40% - Accent5 8 3" xfId="4703"/>
    <cellStyle name="40% - Accent5 8 3 2" xfId="4704"/>
    <cellStyle name="40% - Accent5 8 4" xfId="4705"/>
    <cellStyle name="40% - Accent5 8 5" xfId="4706"/>
    <cellStyle name="40% - Accent5 9" xfId="695"/>
    <cellStyle name="40% - Accent5 9 2" xfId="4707"/>
    <cellStyle name="40% - Accent5 9 2 2" xfId="4708"/>
    <cellStyle name="40% - Accent5 9 3" xfId="4709"/>
    <cellStyle name="40% - Accent5 9 4" xfId="4710"/>
    <cellStyle name="40% - Accent6 10" xfId="696"/>
    <cellStyle name="40% - Accent6 10 2" xfId="4711"/>
    <cellStyle name="40% - Accent6 10 2 2" xfId="4712"/>
    <cellStyle name="40% - Accent6 10 3" xfId="4713"/>
    <cellStyle name="40% - Accent6 10 4" xfId="4714"/>
    <cellStyle name="40% - Accent6 11" xfId="697"/>
    <cellStyle name="40% - Accent6 11 2" xfId="4715"/>
    <cellStyle name="40% - Accent6 11 2 2" xfId="4716"/>
    <cellStyle name="40% - Accent6 11 3" xfId="4717"/>
    <cellStyle name="40% - Accent6 11 4" xfId="4718"/>
    <cellStyle name="40% - Accent6 12" xfId="698"/>
    <cellStyle name="40% - Accent6 12 2" xfId="4719"/>
    <cellStyle name="40% - Accent6 12 3" xfId="4720"/>
    <cellStyle name="40% - Accent6 13" xfId="699"/>
    <cellStyle name="40% - Accent6 13 2" xfId="4721"/>
    <cellStyle name="40% - Accent6 14" xfId="700"/>
    <cellStyle name="40% - Accent6 15" xfId="701"/>
    <cellStyle name="40% - Accent6 15 2" xfId="702"/>
    <cellStyle name="40% - Accent6 15 3" xfId="703"/>
    <cellStyle name="40% - Accent6 15 4" xfId="704"/>
    <cellStyle name="40% - Accent6 15 5" xfId="705"/>
    <cellStyle name="40% - Accent6 16" xfId="706"/>
    <cellStyle name="40% - Accent6 16 2" xfId="707"/>
    <cellStyle name="40% - Accent6 16 3" xfId="708"/>
    <cellStyle name="40% - Accent6 16 4" xfId="709"/>
    <cellStyle name="40% - Accent6 16 5" xfId="710"/>
    <cellStyle name="40% - Accent6 17" xfId="711"/>
    <cellStyle name="40% - Accent6 17 2" xfId="712"/>
    <cellStyle name="40% - Accent6 17 3" xfId="713"/>
    <cellStyle name="40% - Accent6 17 4" xfId="714"/>
    <cellStyle name="40% - Accent6 17 5" xfId="715"/>
    <cellStyle name="40% - Accent6 18" xfId="716"/>
    <cellStyle name="40% - Accent6 19" xfId="717"/>
    <cellStyle name="40% - Accent6 2" xfId="718"/>
    <cellStyle name="40% - Accent6 2 2" xfId="719"/>
    <cellStyle name="40% - Accent6 2 2 2" xfId="720"/>
    <cellStyle name="40% - Accent6 2 2 2 2" xfId="721"/>
    <cellStyle name="40% - Accent6 2 2 2 2 2" xfId="4722"/>
    <cellStyle name="40% - Accent6 2 2 2 2 2 2" xfId="4723"/>
    <cellStyle name="40% - Accent6 2 2 2 2 2 2 2" xfId="4724"/>
    <cellStyle name="40% - Accent6 2 2 2 2 2 3" xfId="4725"/>
    <cellStyle name="40% - Accent6 2 2 2 2 3" xfId="4726"/>
    <cellStyle name="40% - Accent6 2 2 2 2 3 2" xfId="4727"/>
    <cellStyle name="40% - Accent6 2 2 2 2 4" xfId="4728"/>
    <cellStyle name="40% - Accent6 2 2 2 2 5" xfId="4729"/>
    <cellStyle name="40% - Accent6 2 2 2 3" xfId="722"/>
    <cellStyle name="40% - Accent6 2 2 2 3 2" xfId="4730"/>
    <cellStyle name="40% - Accent6 2 2 2 3 2 2" xfId="4731"/>
    <cellStyle name="40% - Accent6 2 2 2 3 3" xfId="4732"/>
    <cellStyle name="40% - Accent6 2 2 2 4" xfId="723"/>
    <cellStyle name="40% - Accent6 2 2 2 4 2" xfId="4733"/>
    <cellStyle name="40% - Accent6 2 2 2 5" xfId="724"/>
    <cellStyle name="40% - Accent6 2 2 2 6" xfId="4734"/>
    <cellStyle name="40% - Accent6 2 2 3" xfId="725"/>
    <cellStyle name="40% - Accent6 2 2 3 2" xfId="4735"/>
    <cellStyle name="40% - Accent6 2 2 3 2 2" xfId="4736"/>
    <cellStyle name="40% - Accent6 2 2 3 2 2 2" xfId="4737"/>
    <cellStyle name="40% - Accent6 2 2 3 2 3" xfId="4738"/>
    <cellStyle name="40% - Accent6 2 2 3 3" xfId="4739"/>
    <cellStyle name="40% - Accent6 2 2 3 3 2" xfId="4740"/>
    <cellStyle name="40% - Accent6 2 2 3 4" xfId="4741"/>
    <cellStyle name="40% - Accent6 2 2 3 5" xfId="4742"/>
    <cellStyle name="40% - Accent6 2 2 4" xfId="726"/>
    <cellStyle name="40% - Accent6 2 2 4 2" xfId="4743"/>
    <cellStyle name="40% - Accent6 2 2 4 2 2" xfId="4744"/>
    <cellStyle name="40% - Accent6 2 2 4 3" xfId="4745"/>
    <cellStyle name="40% - Accent6 2 2 5" xfId="727"/>
    <cellStyle name="40% - Accent6 2 2 5 2" xfId="4746"/>
    <cellStyle name="40% - Accent6 2 2 6" xfId="4747"/>
    <cellStyle name="40% - Accent6 2 2 7" xfId="4748"/>
    <cellStyle name="40% - Accent6 2 3" xfId="728"/>
    <cellStyle name="40% - Accent6 2 3 2" xfId="4749"/>
    <cellStyle name="40% - Accent6 2 3 2 2" xfId="4750"/>
    <cellStyle name="40% - Accent6 2 3 2 2 2" xfId="4751"/>
    <cellStyle name="40% - Accent6 2 3 2 2 2 2" xfId="4752"/>
    <cellStyle name="40% - Accent6 2 3 2 2 3" xfId="4753"/>
    <cellStyle name="40% - Accent6 2 3 2 3" xfId="4754"/>
    <cellStyle name="40% - Accent6 2 3 2 3 2" xfId="4755"/>
    <cellStyle name="40% - Accent6 2 3 2 4" xfId="4756"/>
    <cellStyle name="40% - Accent6 2 3 3" xfId="4757"/>
    <cellStyle name="40% - Accent6 2 3 3 2" xfId="4758"/>
    <cellStyle name="40% - Accent6 2 3 3 2 2" xfId="4759"/>
    <cellStyle name="40% - Accent6 2 3 3 3" xfId="4760"/>
    <cellStyle name="40% - Accent6 2 3 4" xfId="4761"/>
    <cellStyle name="40% - Accent6 2 3 4 2" xfId="4762"/>
    <cellStyle name="40% - Accent6 2 3 5" xfId="4763"/>
    <cellStyle name="40% - Accent6 2 3 6" xfId="4764"/>
    <cellStyle name="40% - Accent6 2 4" xfId="729"/>
    <cellStyle name="40% - Accent6 2 4 2" xfId="4765"/>
    <cellStyle name="40% - Accent6 2 4 2 2" xfId="4766"/>
    <cellStyle name="40% - Accent6 2 4 2 2 2" xfId="4767"/>
    <cellStyle name="40% - Accent6 2 4 2 3" xfId="4768"/>
    <cellStyle name="40% - Accent6 2 4 3" xfId="4769"/>
    <cellStyle name="40% - Accent6 2 4 3 2" xfId="4770"/>
    <cellStyle name="40% - Accent6 2 4 4" xfId="4771"/>
    <cellStyle name="40% - Accent6 2 4 5" xfId="4772"/>
    <cellStyle name="40% - Accent6 2 5" xfId="730"/>
    <cellStyle name="40% - Accent6 2 5 2" xfId="4773"/>
    <cellStyle name="40% - Accent6 2 5 2 2" xfId="4774"/>
    <cellStyle name="40% - Accent6 2 5 3" xfId="4775"/>
    <cellStyle name="40% - Accent6 2 5 4" xfId="4776"/>
    <cellStyle name="40% - Accent6 2 6" xfId="731"/>
    <cellStyle name="40% - Accent6 2 6 2" xfId="4777"/>
    <cellStyle name="40% - Accent6 2 6 3" xfId="4778"/>
    <cellStyle name="40% - Accent6 2 7" xfId="732"/>
    <cellStyle name="40% - Accent6 2 8" xfId="733"/>
    <cellStyle name="40% - Accent6 2 9" xfId="734"/>
    <cellStyle name="40% - Accent6 20" xfId="735"/>
    <cellStyle name="40% - Accent6 21" xfId="736"/>
    <cellStyle name="40% - Accent6 22" xfId="737"/>
    <cellStyle name="40% - Accent6 23" xfId="738"/>
    <cellStyle name="40% - Accent6 24" xfId="739"/>
    <cellStyle name="40% - Accent6 25" xfId="740"/>
    <cellStyle name="40% - Accent6 26" xfId="741"/>
    <cellStyle name="40% - Accent6 27" xfId="742"/>
    <cellStyle name="40% - Accent6 28" xfId="743"/>
    <cellStyle name="40% - Accent6 29" xfId="744"/>
    <cellStyle name="40% - Accent6 3" xfId="745"/>
    <cellStyle name="40% - Accent6 3 2" xfId="4779"/>
    <cellStyle name="40% - Accent6 3 2 2" xfId="4780"/>
    <cellStyle name="40% - Accent6 3 2 2 2" xfId="4781"/>
    <cellStyle name="40% - Accent6 3 2 2 2 2" xfId="4782"/>
    <cellStyle name="40% - Accent6 3 2 2 2 2 2" xfId="4783"/>
    <cellStyle name="40% - Accent6 3 2 2 2 2 2 2" xfId="4784"/>
    <cellStyle name="40% - Accent6 3 2 2 2 2 3" xfId="4785"/>
    <cellStyle name="40% - Accent6 3 2 2 2 3" xfId="4786"/>
    <cellStyle name="40% - Accent6 3 2 2 2 3 2" xfId="4787"/>
    <cellStyle name="40% - Accent6 3 2 2 2 4" xfId="4788"/>
    <cellStyle name="40% - Accent6 3 2 2 3" xfId="4789"/>
    <cellStyle name="40% - Accent6 3 2 2 3 2" xfId="4790"/>
    <cellStyle name="40% - Accent6 3 2 2 3 2 2" xfId="4791"/>
    <cellStyle name="40% - Accent6 3 2 2 3 3" xfId="4792"/>
    <cellStyle name="40% - Accent6 3 2 2 4" xfId="4793"/>
    <cellStyle name="40% - Accent6 3 2 2 4 2" xfId="4794"/>
    <cellStyle name="40% - Accent6 3 2 2 5" xfId="4795"/>
    <cellStyle name="40% - Accent6 3 2 2 6" xfId="4796"/>
    <cellStyle name="40% - Accent6 3 2 3" xfId="4797"/>
    <cellStyle name="40% - Accent6 3 2 3 2" xfId="4798"/>
    <cellStyle name="40% - Accent6 3 2 3 2 2" xfId="4799"/>
    <cellStyle name="40% - Accent6 3 2 3 2 2 2" xfId="4800"/>
    <cellStyle name="40% - Accent6 3 2 3 2 3" xfId="4801"/>
    <cellStyle name="40% - Accent6 3 2 3 3" xfId="4802"/>
    <cellStyle name="40% - Accent6 3 2 3 3 2" xfId="4803"/>
    <cellStyle name="40% - Accent6 3 2 3 4" xfId="4804"/>
    <cellStyle name="40% - Accent6 3 2 4" xfId="4805"/>
    <cellStyle name="40% - Accent6 3 2 4 2" xfId="4806"/>
    <cellStyle name="40% - Accent6 3 2 4 2 2" xfId="4807"/>
    <cellStyle name="40% - Accent6 3 2 4 3" xfId="4808"/>
    <cellStyle name="40% - Accent6 3 2 5" xfId="4809"/>
    <cellStyle name="40% - Accent6 3 2 5 2" xfId="4810"/>
    <cellStyle name="40% - Accent6 3 2 6" xfId="4811"/>
    <cellStyle name="40% - Accent6 3 2 7" xfId="4812"/>
    <cellStyle name="40% - Accent6 3 3" xfId="4813"/>
    <cellStyle name="40% - Accent6 3 3 2" xfId="4814"/>
    <cellStyle name="40% - Accent6 3 3 2 2" xfId="4815"/>
    <cellStyle name="40% - Accent6 3 3 2 2 2" xfId="4816"/>
    <cellStyle name="40% - Accent6 3 3 2 2 2 2" xfId="4817"/>
    <cellStyle name="40% - Accent6 3 3 2 2 3" xfId="4818"/>
    <cellStyle name="40% - Accent6 3 3 2 3" xfId="4819"/>
    <cellStyle name="40% - Accent6 3 3 2 3 2" xfId="4820"/>
    <cellStyle name="40% - Accent6 3 3 2 4" xfId="4821"/>
    <cellStyle name="40% - Accent6 3 3 3" xfId="4822"/>
    <cellStyle name="40% - Accent6 3 3 3 2" xfId="4823"/>
    <cellStyle name="40% - Accent6 3 3 3 2 2" xfId="4824"/>
    <cellStyle name="40% - Accent6 3 3 3 3" xfId="4825"/>
    <cellStyle name="40% - Accent6 3 3 4" xfId="4826"/>
    <cellStyle name="40% - Accent6 3 3 4 2" xfId="4827"/>
    <cellStyle name="40% - Accent6 3 3 5" xfId="4828"/>
    <cellStyle name="40% - Accent6 3 3 6" xfId="4829"/>
    <cellStyle name="40% - Accent6 3 4" xfId="4830"/>
    <cellStyle name="40% - Accent6 3 4 2" xfId="4831"/>
    <cellStyle name="40% - Accent6 3 4 2 2" xfId="4832"/>
    <cellStyle name="40% - Accent6 3 4 2 2 2" xfId="4833"/>
    <cellStyle name="40% - Accent6 3 4 2 3" xfId="4834"/>
    <cellStyle name="40% - Accent6 3 4 3" xfId="4835"/>
    <cellStyle name="40% - Accent6 3 4 3 2" xfId="4836"/>
    <cellStyle name="40% - Accent6 3 4 4" xfId="4837"/>
    <cellStyle name="40% - Accent6 3 4 5" xfId="4838"/>
    <cellStyle name="40% - Accent6 3 5" xfId="4839"/>
    <cellStyle name="40% - Accent6 3 5 2" xfId="4840"/>
    <cellStyle name="40% - Accent6 3 5 2 2" xfId="4841"/>
    <cellStyle name="40% - Accent6 3 5 3" xfId="4842"/>
    <cellStyle name="40% - Accent6 3 6" xfId="4843"/>
    <cellStyle name="40% - Accent6 3 6 2" xfId="4844"/>
    <cellStyle name="40% - Accent6 3 7" xfId="4845"/>
    <cellStyle name="40% - Accent6 3 8" xfId="4846"/>
    <cellStyle name="40% - Accent6 3 9" xfId="4847"/>
    <cellStyle name="40% - Accent6 30" xfId="746"/>
    <cellStyle name="40% - Accent6 31" xfId="747"/>
    <cellStyle name="40% - Accent6 32" xfId="748"/>
    <cellStyle name="40% - Accent6 33" xfId="749"/>
    <cellStyle name="40% - Accent6 34" xfId="750"/>
    <cellStyle name="40% - Accent6 35" xfId="751"/>
    <cellStyle name="40% - Accent6 4" xfId="752"/>
    <cellStyle name="40% - Accent6 4 2" xfId="4848"/>
    <cellStyle name="40% - Accent6 4 2 2" xfId="4849"/>
    <cellStyle name="40% - Accent6 4 2 2 2" xfId="4850"/>
    <cellStyle name="40% - Accent6 4 2 2 2 2" xfId="4851"/>
    <cellStyle name="40% - Accent6 4 2 2 2 2 2" xfId="4852"/>
    <cellStyle name="40% - Accent6 4 2 2 2 3" xfId="4853"/>
    <cellStyle name="40% - Accent6 4 2 2 3" xfId="4854"/>
    <cellStyle name="40% - Accent6 4 2 2 3 2" xfId="4855"/>
    <cellStyle name="40% - Accent6 4 2 2 4" xfId="4856"/>
    <cellStyle name="40% - Accent6 4 2 3" xfId="4857"/>
    <cellStyle name="40% - Accent6 4 2 3 2" xfId="4858"/>
    <cellStyle name="40% - Accent6 4 2 3 2 2" xfId="4859"/>
    <cellStyle name="40% - Accent6 4 2 3 3" xfId="4860"/>
    <cellStyle name="40% - Accent6 4 2 4" xfId="4861"/>
    <cellStyle name="40% - Accent6 4 2 4 2" xfId="4862"/>
    <cellStyle name="40% - Accent6 4 2 5" xfId="4863"/>
    <cellStyle name="40% - Accent6 4 2 6" xfId="4864"/>
    <cellStyle name="40% - Accent6 4 3" xfId="4865"/>
    <cellStyle name="40% - Accent6 4 3 2" xfId="4866"/>
    <cellStyle name="40% - Accent6 4 3 2 2" xfId="4867"/>
    <cellStyle name="40% - Accent6 4 3 2 2 2" xfId="4868"/>
    <cellStyle name="40% - Accent6 4 3 2 3" xfId="4869"/>
    <cellStyle name="40% - Accent6 4 3 3" xfId="4870"/>
    <cellStyle name="40% - Accent6 4 3 3 2" xfId="4871"/>
    <cellStyle name="40% - Accent6 4 3 4" xfId="4872"/>
    <cellStyle name="40% - Accent6 4 3 5" xfId="4873"/>
    <cellStyle name="40% - Accent6 4 4" xfId="4874"/>
    <cellStyle name="40% - Accent6 4 4 2" xfId="4875"/>
    <cellStyle name="40% - Accent6 4 4 2 2" xfId="4876"/>
    <cellStyle name="40% - Accent6 4 4 3" xfId="4877"/>
    <cellStyle name="40% - Accent6 4 5" xfId="4878"/>
    <cellStyle name="40% - Accent6 4 5 2" xfId="4879"/>
    <cellStyle name="40% - Accent6 4 6" xfId="4880"/>
    <cellStyle name="40% - Accent6 4 7" xfId="4881"/>
    <cellStyle name="40% - Accent6 5" xfId="753"/>
    <cellStyle name="40% - Accent6 5 2" xfId="4882"/>
    <cellStyle name="40% - Accent6 5 2 2" xfId="4883"/>
    <cellStyle name="40% - Accent6 5 2 2 2" xfId="4884"/>
    <cellStyle name="40% - Accent6 5 2 2 2 2" xfId="4885"/>
    <cellStyle name="40% - Accent6 5 2 2 3" xfId="4886"/>
    <cellStyle name="40% - Accent6 5 2 3" xfId="4887"/>
    <cellStyle name="40% - Accent6 5 2 3 2" xfId="4888"/>
    <cellStyle name="40% - Accent6 5 2 4" xfId="4889"/>
    <cellStyle name="40% - Accent6 5 2 5" xfId="4890"/>
    <cellStyle name="40% - Accent6 5 3" xfId="4891"/>
    <cellStyle name="40% - Accent6 5 3 2" xfId="4892"/>
    <cellStyle name="40% - Accent6 5 3 2 2" xfId="4893"/>
    <cellStyle name="40% - Accent6 5 3 3" xfId="4894"/>
    <cellStyle name="40% - Accent6 5 4" xfId="4895"/>
    <cellStyle name="40% - Accent6 5 4 2" xfId="4896"/>
    <cellStyle name="40% - Accent6 5 5" xfId="4897"/>
    <cellStyle name="40% - Accent6 5 6" xfId="4898"/>
    <cellStyle name="40% - Accent6 6" xfId="754"/>
    <cellStyle name="40% - Accent6 6 2" xfId="4899"/>
    <cellStyle name="40% - Accent6 6 2 2" xfId="4900"/>
    <cellStyle name="40% - Accent6 6 2 2 2" xfId="4901"/>
    <cellStyle name="40% - Accent6 6 2 3" xfId="4902"/>
    <cellStyle name="40% - Accent6 6 2 4" xfId="4903"/>
    <cellStyle name="40% - Accent6 6 2 5" xfId="4904"/>
    <cellStyle name="40% - Accent6 6 3" xfId="4905"/>
    <cellStyle name="40% - Accent6 6 3 2" xfId="4906"/>
    <cellStyle name="40% - Accent6 6 4" xfId="4907"/>
    <cellStyle name="40% - Accent6 6 5" xfId="4908"/>
    <cellStyle name="40% - Accent6 7" xfId="755"/>
    <cellStyle name="40% - Accent6 7 2" xfId="4909"/>
    <cellStyle name="40% - Accent6 7 2 2" xfId="4910"/>
    <cellStyle name="40% - Accent6 7 2 2 2" xfId="4911"/>
    <cellStyle name="40% - Accent6 7 2 3" xfId="4912"/>
    <cellStyle name="40% - Accent6 7 3" xfId="4913"/>
    <cellStyle name="40% - Accent6 7 3 2" xfId="4914"/>
    <cellStyle name="40% - Accent6 7 4" xfId="4915"/>
    <cellStyle name="40% - Accent6 7 5" xfId="4916"/>
    <cellStyle name="40% - Accent6 8" xfId="756"/>
    <cellStyle name="40% - Accent6 8 2" xfId="4917"/>
    <cellStyle name="40% - Accent6 8 2 2" xfId="4918"/>
    <cellStyle name="40% - Accent6 8 2 2 2" xfId="4919"/>
    <cellStyle name="40% - Accent6 8 2 3" xfId="4920"/>
    <cellStyle name="40% - Accent6 8 3" xfId="4921"/>
    <cellStyle name="40% - Accent6 8 3 2" xfId="4922"/>
    <cellStyle name="40% - Accent6 8 4" xfId="4923"/>
    <cellStyle name="40% - Accent6 8 5" xfId="4924"/>
    <cellStyle name="40% - Accent6 9" xfId="757"/>
    <cellStyle name="40% - Accent6 9 2" xfId="4925"/>
    <cellStyle name="40% - Accent6 9 2 2" xfId="4926"/>
    <cellStyle name="40% - Accent6 9 3" xfId="4927"/>
    <cellStyle name="40% - Accent6 9 4" xfId="4928"/>
    <cellStyle name="60% - Accent1 10" xfId="758"/>
    <cellStyle name="60% - Accent1 11" xfId="759"/>
    <cellStyle name="60% - Accent1 12" xfId="760"/>
    <cellStyle name="60% - Accent1 13" xfId="761"/>
    <cellStyle name="60% - Accent1 14" xfId="762"/>
    <cellStyle name="60% - Accent1 15" xfId="763"/>
    <cellStyle name="60% - Accent1 16" xfId="764"/>
    <cellStyle name="60% - Accent1 17" xfId="765"/>
    <cellStyle name="60% - Accent1 17 2" xfId="4929"/>
    <cellStyle name="60% - Accent1 18" xfId="766"/>
    <cellStyle name="60% - Accent1 19" xfId="767"/>
    <cellStyle name="60% - Accent1 2" xfId="768"/>
    <cellStyle name="60% - Accent1 2 2" xfId="769"/>
    <cellStyle name="60% - Accent1 2 2 2" xfId="770"/>
    <cellStyle name="60% - Accent1 2 2 2 2" xfId="771"/>
    <cellStyle name="60% - Accent1 2 2 2 3" xfId="772"/>
    <cellStyle name="60% - Accent1 2 2 2 4" xfId="773"/>
    <cellStyle name="60% - Accent1 2 2 2 5" xfId="774"/>
    <cellStyle name="60% - Accent1 2 2 3" xfId="775"/>
    <cellStyle name="60% - Accent1 2 2 4" xfId="776"/>
    <cellStyle name="60% - Accent1 2 2 5" xfId="777"/>
    <cellStyle name="60% - Accent1 2 3" xfId="778"/>
    <cellStyle name="60% - Accent1 2 4" xfId="779"/>
    <cellStyle name="60% - Accent1 2 5" xfId="780"/>
    <cellStyle name="60% - Accent1 2 6" xfId="781"/>
    <cellStyle name="60% - Accent1 2 7" xfId="782"/>
    <cellStyle name="60% - Accent1 2 8" xfId="783"/>
    <cellStyle name="60% - Accent1 2 9" xfId="784"/>
    <cellStyle name="60% - Accent1 20" xfId="785"/>
    <cellStyle name="60% - Accent1 21" xfId="786"/>
    <cellStyle name="60% - Accent1 22" xfId="787"/>
    <cellStyle name="60% - Accent1 3" xfId="788"/>
    <cellStyle name="60% - Accent1 3 2" xfId="4930"/>
    <cellStyle name="60% - Accent1 4" xfId="789"/>
    <cellStyle name="60% - Accent1 4 2" xfId="4931"/>
    <cellStyle name="60% - Accent1 5" xfId="790"/>
    <cellStyle name="60% - Accent1 6" xfId="791"/>
    <cellStyle name="60% - Accent1 7" xfId="792"/>
    <cellStyle name="60% - Accent1 8" xfId="793"/>
    <cellStyle name="60% - Accent1 9" xfId="794"/>
    <cellStyle name="60% - Accent2 10" xfId="795"/>
    <cellStyle name="60% - Accent2 11" xfId="796"/>
    <cellStyle name="60% - Accent2 12" xfId="797"/>
    <cellStyle name="60% - Accent2 13" xfId="798"/>
    <cellStyle name="60% - Accent2 14" xfId="799"/>
    <cellStyle name="60% - Accent2 15" xfId="800"/>
    <cellStyle name="60% - Accent2 16" xfId="801"/>
    <cellStyle name="60% - Accent2 17" xfId="802"/>
    <cellStyle name="60% - Accent2 17 2" xfId="4932"/>
    <cellStyle name="60% - Accent2 18" xfId="803"/>
    <cellStyle name="60% - Accent2 19" xfId="804"/>
    <cellStyle name="60% - Accent2 2" xfId="805"/>
    <cellStyle name="60% - Accent2 2 2" xfId="806"/>
    <cellStyle name="60% - Accent2 2 2 2" xfId="807"/>
    <cellStyle name="60% - Accent2 2 2 2 2" xfId="808"/>
    <cellStyle name="60% - Accent2 2 2 2 3" xfId="809"/>
    <cellStyle name="60% - Accent2 2 2 2 4" xfId="810"/>
    <cellStyle name="60% - Accent2 2 2 2 5" xfId="811"/>
    <cellStyle name="60% - Accent2 2 2 3" xfId="812"/>
    <cellStyle name="60% - Accent2 2 2 4" xfId="813"/>
    <cellStyle name="60% - Accent2 2 2 5" xfId="814"/>
    <cellStyle name="60% - Accent2 2 3" xfId="815"/>
    <cellStyle name="60% - Accent2 2 4" xfId="816"/>
    <cellStyle name="60% - Accent2 2 5" xfId="817"/>
    <cellStyle name="60% - Accent2 2 6" xfId="818"/>
    <cellStyle name="60% - Accent2 2 7" xfId="819"/>
    <cellStyle name="60% - Accent2 2 8" xfId="820"/>
    <cellStyle name="60% - Accent2 2 9" xfId="821"/>
    <cellStyle name="60% - Accent2 20" xfId="822"/>
    <cellStyle name="60% - Accent2 21" xfId="823"/>
    <cellStyle name="60% - Accent2 22" xfId="824"/>
    <cellStyle name="60% - Accent2 3" xfId="825"/>
    <cellStyle name="60% - Accent2 3 2" xfId="4933"/>
    <cellStyle name="60% - Accent2 4" xfId="826"/>
    <cellStyle name="60% - Accent2 4 2" xfId="4934"/>
    <cellStyle name="60% - Accent2 5" xfId="827"/>
    <cellStyle name="60% - Accent2 6" xfId="828"/>
    <cellStyle name="60% - Accent2 7" xfId="829"/>
    <cellStyle name="60% - Accent2 8" xfId="830"/>
    <cellStyle name="60% - Accent2 9" xfId="831"/>
    <cellStyle name="60% - Accent3 10" xfId="832"/>
    <cellStyle name="60% - Accent3 11" xfId="833"/>
    <cellStyle name="60% - Accent3 12" xfId="834"/>
    <cellStyle name="60% - Accent3 13" xfId="835"/>
    <cellStyle name="60% - Accent3 14" xfId="836"/>
    <cellStyle name="60% - Accent3 15" xfId="837"/>
    <cellStyle name="60% - Accent3 16" xfId="838"/>
    <cellStyle name="60% - Accent3 17" xfId="839"/>
    <cellStyle name="60% - Accent3 17 2" xfId="4935"/>
    <cellStyle name="60% - Accent3 18" xfId="840"/>
    <cellStyle name="60% - Accent3 19" xfId="841"/>
    <cellStyle name="60% - Accent3 2" xfId="842"/>
    <cellStyle name="60% - Accent3 2 2" xfId="843"/>
    <cellStyle name="60% - Accent3 2 2 2" xfId="844"/>
    <cellStyle name="60% - Accent3 2 2 2 2" xfId="845"/>
    <cellStyle name="60% - Accent3 2 2 2 3" xfId="846"/>
    <cellStyle name="60% - Accent3 2 2 2 4" xfId="847"/>
    <cellStyle name="60% - Accent3 2 2 2 5" xfId="848"/>
    <cellStyle name="60% - Accent3 2 2 3" xfId="849"/>
    <cellStyle name="60% - Accent3 2 2 4" xfId="850"/>
    <cellStyle name="60% - Accent3 2 2 5" xfId="851"/>
    <cellStyle name="60% - Accent3 2 3" xfId="852"/>
    <cellStyle name="60% - Accent3 2 4" xfId="853"/>
    <cellStyle name="60% - Accent3 2 5" xfId="854"/>
    <cellStyle name="60% - Accent3 2 6" xfId="855"/>
    <cellStyle name="60% - Accent3 2 7" xfId="856"/>
    <cellStyle name="60% - Accent3 2 8" xfId="857"/>
    <cellStyle name="60% - Accent3 2 9" xfId="858"/>
    <cellStyle name="60% - Accent3 20" xfId="859"/>
    <cellStyle name="60% - Accent3 21" xfId="860"/>
    <cellStyle name="60% - Accent3 22" xfId="861"/>
    <cellStyle name="60% - Accent3 3" xfId="862"/>
    <cellStyle name="60% - Accent3 3 2" xfId="4936"/>
    <cellStyle name="60% - Accent3 4" xfId="863"/>
    <cellStyle name="60% - Accent3 4 2" xfId="4937"/>
    <cellStyle name="60% - Accent3 5" xfId="864"/>
    <cellStyle name="60% - Accent3 6" xfId="865"/>
    <cellStyle name="60% - Accent3 7" xfId="866"/>
    <cellStyle name="60% - Accent3 8" xfId="867"/>
    <cellStyle name="60% - Accent3 9" xfId="868"/>
    <cellStyle name="60% - Accent4 10" xfId="869"/>
    <cellStyle name="60% - Accent4 11" xfId="870"/>
    <cellStyle name="60% - Accent4 12" xfId="871"/>
    <cellStyle name="60% - Accent4 13" xfId="872"/>
    <cellStyle name="60% - Accent4 14" xfId="873"/>
    <cellStyle name="60% - Accent4 15" xfId="874"/>
    <cellStyle name="60% - Accent4 16" xfId="875"/>
    <cellStyle name="60% - Accent4 17" xfId="876"/>
    <cellStyle name="60% - Accent4 17 2" xfId="4938"/>
    <cellStyle name="60% - Accent4 18" xfId="877"/>
    <cellStyle name="60% - Accent4 19" xfId="878"/>
    <cellStyle name="60% - Accent4 2" xfId="879"/>
    <cellStyle name="60% - Accent4 2 2" xfId="880"/>
    <cellStyle name="60% - Accent4 2 2 2" xfId="881"/>
    <cellStyle name="60% - Accent4 2 2 2 2" xfId="882"/>
    <cellStyle name="60% - Accent4 2 2 2 3" xfId="883"/>
    <cellStyle name="60% - Accent4 2 2 2 4" xfId="884"/>
    <cellStyle name="60% - Accent4 2 2 2 5" xfId="885"/>
    <cellStyle name="60% - Accent4 2 2 3" xfId="886"/>
    <cellStyle name="60% - Accent4 2 2 4" xfId="887"/>
    <cellStyle name="60% - Accent4 2 2 5" xfId="888"/>
    <cellStyle name="60% - Accent4 2 3" xfId="889"/>
    <cellStyle name="60% - Accent4 2 4" xfId="890"/>
    <cellStyle name="60% - Accent4 2 5" xfId="891"/>
    <cellStyle name="60% - Accent4 2 6" xfId="892"/>
    <cellStyle name="60% - Accent4 2 7" xfId="893"/>
    <cellStyle name="60% - Accent4 2 8" xfId="894"/>
    <cellStyle name="60% - Accent4 2 9" xfId="895"/>
    <cellStyle name="60% - Accent4 20" xfId="896"/>
    <cellStyle name="60% - Accent4 21" xfId="897"/>
    <cellStyle name="60% - Accent4 22" xfId="898"/>
    <cellStyle name="60% - Accent4 3" xfId="899"/>
    <cellStyle name="60% - Accent4 3 2" xfId="4939"/>
    <cellStyle name="60% - Accent4 4" xfId="900"/>
    <cellStyle name="60% - Accent4 4 2" xfId="4940"/>
    <cellStyle name="60% - Accent4 5" xfId="901"/>
    <cellStyle name="60% - Accent4 6" xfId="902"/>
    <cellStyle name="60% - Accent4 7" xfId="903"/>
    <cellStyle name="60% - Accent4 8" xfId="904"/>
    <cellStyle name="60% - Accent4 9" xfId="905"/>
    <cellStyle name="60% - Accent5 10" xfId="906"/>
    <cellStyle name="60% - Accent5 11" xfId="907"/>
    <cellStyle name="60% - Accent5 12" xfId="908"/>
    <cellStyle name="60% - Accent5 13" xfId="909"/>
    <cellStyle name="60% - Accent5 14" xfId="910"/>
    <cellStyle name="60% - Accent5 15" xfId="911"/>
    <cellStyle name="60% - Accent5 16" xfId="912"/>
    <cellStyle name="60% - Accent5 17" xfId="913"/>
    <cellStyle name="60% - Accent5 17 2" xfId="4941"/>
    <cellStyle name="60% - Accent5 18" xfId="914"/>
    <cellStyle name="60% - Accent5 19" xfId="915"/>
    <cellStyle name="60% - Accent5 2" xfId="916"/>
    <cellStyle name="60% - Accent5 2 2" xfId="917"/>
    <cellStyle name="60% - Accent5 2 2 2" xfId="918"/>
    <cellStyle name="60% - Accent5 2 2 2 2" xfId="919"/>
    <cellStyle name="60% - Accent5 2 2 2 3" xfId="920"/>
    <cellStyle name="60% - Accent5 2 2 2 4" xfId="921"/>
    <cellStyle name="60% - Accent5 2 2 2 5" xfId="922"/>
    <cellStyle name="60% - Accent5 2 2 3" xfId="923"/>
    <cellStyle name="60% - Accent5 2 2 4" xfId="924"/>
    <cellStyle name="60% - Accent5 2 2 5" xfId="925"/>
    <cellStyle name="60% - Accent5 2 3" xfId="926"/>
    <cellStyle name="60% - Accent5 2 4" xfId="927"/>
    <cellStyle name="60% - Accent5 2 5" xfId="928"/>
    <cellStyle name="60% - Accent5 2 6" xfId="929"/>
    <cellStyle name="60% - Accent5 2 7" xfId="930"/>
    <cellStyle name="60% - Accent5 2 8" xfId="931"/>
    <cellStyle name="60% - Accent5 2 9" xfId="932"/>
    <cellStyle name="60% - Accent5 20" xfId="933"/>
    <cellStyle name="60% - Accent5 21" xfId="934"/>
    <cellStyle name="60% - Accent5 22" xfId="935"/>
    <cellStyle name="60% - Accent5 3" xfId="936"/>
    <cellStyle name="60% - Accent5 3 2" xfId="4942"/>
    <cellStyle name="60% - Accent5 4" xfId="937"/>
    <cellStyle name="60% - Accent5 4 2" xfId="4943"/>
    <cellStyle name="60% - Accent5 5" xfId="938"/>
    <cellStyle name="60% - Accent5 6" xfId="939"/>
    <cellStyle name="60% - Accent5 7" xfId="940"/>
    <cellStyle name="60% - Accent5 8" xfId="941"/>
    <cellStyle name="60% - Accent5 9" xfId="942"/>
    <cellStyle name="60% - Accent6 10" xfId="943"/>
    <cellStyle name="60% - Accent6 11" xfId="944"/>
    <cellStyle name="60% - Accent6 12" xfId="945"/>
    <cellStyle name="60% - Accent6 13" xfId="946"/>
    <cellStyle name="60% - Accent6 14" xfId="947"/>
    <cellStyle name="60% - Accent6 15" xfId="948"/>
    <cellStyle name="60% - Accent6 16" xfId="949"/>
    <cellStyle name="60% - Accent6 17" xfId="950"/>
    <cellStyle name="60% - Accent6 17 2" xfId="4944"/>
    <cellStyle name="60% - Accent6 18" xfId="951"/>
    <cellStyle name="60% - Accent6 19" xfId="952"/>
    <cellStyle name="60% - Accent6 2" xfId="953"/>
    <cellStyle name="60% - Accent6 2 2" xfId="954"/>
    <cellStyle name="60% - Accent6 2 2 2" xfId="955"/>
    <cellStyle name="60% - Accent6 2 2 2 2" xfId="956"/>
    <cellStyle name="60% - Accent6 2 2 2 3" xfId="957"/>
    <cellStyle name="60% - Accent6 2 2 2 4" xfId="958"/>
    <cellStyle name="60% - Accent6 2 2 2 5" xfId="959"/>
    <cellStyle name="60% - Accent6 2 2 3" xfId="960"/>
    <cellStyle name="60% - Accent6 2 2 4" xfId="961"/>
    <cellStyle name="60% - Accent6 2 2 5" xfId="962"/>
    <cellStyle name="60% - Accent6 2 3" xfId="963"/>
    <cellStyle name="60% - Accent6 2 4" xfId="964"/>
    <cellStyle name="60% - Accent6 2 5" xfId="965"/>
    <cellStyle name="60% - Accent6 2 6" xfId="966"/>
    <cellStyle name="60% - Accent6 2 7" xfId="967"/>
    <cellStyle name="60% - Accent6 2 8" xfId="968"/>
    <cellStyle name="60% - Accent6 2 9" xfId="969"/>
    <cellStyle name="60% - Accent6 20" xfId="970"/>
    <cellStyle name="60% - Accent6 21" xfId="971"/>
    <cellStyle name="60% - Accent6 22" xfId="972"/>
    <cellStyle name="60% - Accent6 3" xfId="973"/>
    <cellStyle name="60% - Accent6 3 2" xfId="4945"/>
    <cellStyle name="60% - Accent6 4" xfId="974"/>
    <cellStyle name="60% - Accent6 4 2" xfId="4946"/>
    <cellStyle name="60% - Accent6 5" xfId="975"/>
    <cellStyle name="60% - Accent6 6" xfId="976"/>
    <cellStyle name="60% - Accent6 7" xfId="977"/>
    <cellStyle name="60% - Accent6 8" xfId="978"/>
    <cellStyle name="60% - Accent6 9" xfId="979"/>
    <cellStyle name="ac" xfId="4947"/>
    <cellStyle name="Accent1 10" xfId="980"/>
    <cellStyle name="Accent1 11" xfId="981"/>
    <cellStyle name="Accent1 12" xfId="982"/>
    <cellStyle name="Accent1 13" xfId="983"/>
    <cellStyle name="Accent1 14" xfId="984"/>
    <cellStyle name="Accent1 15" xfId="985"/>
    <cellStyle name="Accent1 16" xfId="986"/>
    <cellStyle name="Accent1 17" xfId="987"/>
    <cellStyle name="Accent1 17 2" xfId="4948"/>
    <cellStyle name="Accent1 18" xfId="988"/>
    <cellStyle name="Accent1 19" xfId="989"/>
    <cellStyle name="Accent1 2" xfId="990"/>
    <cellStyle name="Accent1 2 2" xfId="991"/>
    <cellStyle name="Accent1 2 2 2" xfId="992"/>
    <cellStyle name="Accent1 2 2 2 2" xfId="993"/>
    <cellStyle name="Accent1 2 2 2 3" xfId="994"/>
    <cellStyle name="Accent1 2 2 2 4" xfId="995"/>
    <cellStyle name="Accent1 2 2 2 5" xfId="996"/>
    <cellStyle name="Accent1 2 2 3" xfId="997"/>
    <cellStyle name="Accent1 2 2 4" xfId="998"/>
    <cellStyle name="Accent1 2 2 5" xfId="999"/>
    <cellStyle name="Accent1 2 3" xfId="1000"/>
    <cellStyle name="Accent1 2 4" xfId="1001"/>
    <cellStyle name="Accent1 2 5" xfId="1002"/>
    <cellStyle name="Accent1 2 6" xfId="1003"/>
    <cellStyle name="Accent1 2 7" xfId="1004"/>
    <cellStyle name="Accent1 2 8" xfId="1005"/>
    <cellStyle name="Accent1 2 9" xfId="1006"/>
    <cellStyle name="Accent1 20" xfId="1007"/>
    <cellStyle name="Accent1 21" xfId="1008"/>
    <cellStyle name="Accent1 22" xfId="1009"/>
    <cellStyle name="Accent1 3" xfId="1010"/>
    <cellStyle name="Accent1 3 2" xfId="4949"/>
    <cellStyle name="Accent1 4" xfId="1011"/>
    <cellStyle name="Accent1 4 2" xfId="4950"/>
    <cellStyle name="Accent1 5" xfId="1012"/>
    <cellStyle name="Accent1 6" xfId="1013"/>
    <cellStyle name="Accent1 7" xfId="1014"/>
    <cellStyle name="Accent1 8" xfId="1015"/>
    <cellStyle name="Accent1 9" xfId="1016"/>
    <cellStyle name="Accent2 10" xfId="1017"/>
    <cellStyle name="Accent2 11" xfId="1018"/>
    <cellStyle name="Accent2 12" xfId="1019"/>
    <cellStyle name="Accent2 13" xfId="1020"/>
    <cellStyle name="Accent2 14" xfId="1021"/>
    <cellStyle name="Accent2 15" xfId="1022"/>
    <cellStyle name="Accent2 16" xfId="1023"/>
    <cellStyle name="Accent2 17" xfId="1024"/>
    <cellStyle name="Accent2 17 2" xfId="4951"/>
    <cellStyle name="Accent2 18" xfId="1025"/>
    <cellStyle name="Accent2 19" xfId="1026"/>
    <cellStyle name="Accent2 2" xfId="1027"/>
    <cellStyle name="Accent2 2 2" xfId="1028"/>
    <cellStyle name="Accent2 2 2 2" xfId="1029"/>
    <cellStyle name="Accent2 2 2 2 2" xfId="1030"/>
    <cellStyle name="Accent2 2 2 2 3" xfId="1031"/>
    <cellStyle name="Accent2 2 2 2 4" xfId="1032"/>
    <cellStyle name="Accent2 2 2 2 5" xfId="1033"/>
    <cellStyle name="Accent2 2 2 3" xfId="1034"/>
    <cellStyle name="Accent2 2 2 4" xfId="1035"/>
    <cellStyle name="Accent2 2 2 5" xfId="1036"/>
    <cellStyle name="Accent2 2 3" xfId="1037"/>
    <cellStyle name="Accent2 2 4" xfId="1038"/>
    <cellStyle name="Accent2 2 5" xfId="1039"/>
    <cellStyle name="Accent2 2 6" xfId="1040"/>
    <cellStyle name="Accent2 2 7" xfId="1041"/>
    <cellStyle name="Accent2 2 8" xfId="1042"/>
    <cellStyle name="Accent2 2 9" xfId="1043"/>
    <cellStyle name="Accent2 20" xfId="1044"/>
    <cellStyle name="Accent2 21" xfId="1045"/>
    <cellStyle name="Accent2 22" xfId="1046"/>
    <cellStyle name="Accent2 3" xfId="1047"/>
    <cellStyle name="Accent2 3 2" xfId="4952"/>
    <cellStyle name="Accent2 4" xfId="1048"/>
    <cellStyle name="Accent2 4 2" xfId="4953"/>
    <cellStyle name="Accent2 5" xfId="1049"/>
    <cellStyle name="Accent2 6" xfId="1050"/>
    <cellStyle name="Accent2 7" xfId="1051"/>
    <cellStyle name="Accent2 8" xfId="1052"/>
    <cellStyle name="Accent2 9" xfId="1053"/>
    <cellStyle name="Accent3 10" xfId="1054"/>
    <cellStyle name="Accent3 11" xfId="1055"/>
    <cellStyle name="Accent3 12" xfId="1056"/>
    <cellStyle name="Accent3 13" xfId="1057"/>
    <cellStyle name="Accent3 14" xfId="1058"/>
    <cellStyle name="Accent3 15" xfId="1059"/>
    <cellStyle name="Accent3 16" xfId="1060"/>
    <cellStyle name="Accent3 17" xfId="1061"/>
    <cellStyle name="Accent3 17 2" xfId="4954"/>
    <cellStyle name="Accent3 18" xfId="1062"/>
    <cellStyle name="Accent3 19" xfId="1063"/>
    <cellStyle name="Accent3 2" xfId="1064"/>
    <cellStyle name="Accent3 2 2" xfId="1065"/>
    <cellStyle name="Accent3 2 2 2" xfId="1066"/>
    <cellStyle name="Accent3 2 2 2 2" xfId="1067"/>
    <cellStyle name="Accent3 2 2 2 3" xfId="1068"/>
    <cellStyle name="Accent3 2 2 2 4" xfId="1069"/>
    <cellStyle name="Accent3 2 2 2 5" xfId="1070"/>
    <cellStyle name="Accent3 2 2 3" xfId="1071"/>
    <cellStyle name="Accent3 2 2 4" xfId="1072"/>
    <cellStyle name="Accent3 2 2 5" xfId="1073"/>
    <cellStyle name="Accent3 2 3" xfId="1074"/>
    <cellStyle name="Accent3 2 4" xfId="1075"/>
    <cellStyle name="Accent3 2 5" xfId="1076"/>
    <cellStyle name="Accent3 2 6" xfId="1077"/>
    <cellStyle name="Accent3 2 7" xfId="1078"/>
    <cellStyle name="Accent3 2 8" xfId="1079"/>
    <cellStyle name="Accent3 2 9" xfId="1080"/>
    <cellStyle name="Accent3 20" xfId="1081"/>
    <cellStyle name="Accent3 21" xfId="1082"/>
    <cellStyle name="Accent3 22" xfId="1083"/>
    <cellStyle name="Accent3 3" xfId="1084"/>
    <cellStyle name="Accent3 3 2" xfId="4955"/>
    <cellStyle name="Accent3 4" xfId="1085"/>
    <cellStyle name="Accent3 4 2" xfId="4956"/>
    <cellStyle name="Accent3 5" xfId="1086"/>
    <cellStyle name="Accent3 6" xfId="1087"/>
    <cellStyle name="Accent3 7" xfId="1088"/>
    <cellStyle name="Accent3 8" xfId="1089"/>
    <cellStyle name="Accent3 9" xfId="1090"/>
    <cellStyle name="Accent4 10" xfId="1091"/>
    <cellStyle name="Accent4 11" xfId="1092"/>
    <cellStyle name="Accent4 12" xfId="1093"/>
    <cellStyle name="Accent4 13" xfId="1094"/>
    <cellStyle name="Accent4 14" xfId="1095"/>
    <cellStyle name="Accent4 15" xfId="1096"/>
    <cellStyle name="Accent4 16" xfId="1097"/>
    <cellStyle name="Accent4 17" xfId="1098"/>
    <cellStyle name="Accent4 17 2" xfId="4957"/>
    <cellStyle name="Accent4 18" xfId="1099"/>
    <cellStyle name="Accent4 19" xfId="1100"/>
    <cellStyle name="Accent4 2" xfId="1101"/>
    <cellStyle name="Accent4 2 2" xfId="1102"/>
    <cellStyle name="Accent4 2 2 2" xfId="1103"/>
    <cellStyle name="Accent4 2 2 2 2" xfId="1104"/>
    <cellStyle name="Accent4 2 2 2 3" xfId="1105"/>
    <cellStyle name="Accent4 2 2 2 4" xfId="1106"/>
    <cellStyle name="Accent4 2 2 2 5" xfId="1107"/>
    <cellStyle name="Accent4 2 2 3" xfId="1108"/>
    <cellStyle name="Accent4 2 2 4" xfId="1109"/>
    <cellStyle name="Accent4 2 2 5" xfId="1110"/>
    <cellStyle name="Accent4 2 3" xfId="1111"/>
    <cellStyle name="Accent4 2 4" xfId="1112"/>
    <cellStyle name="Accent4 2 5" xfId="1113"/>
    <cellStyle name="Accent4 2 6" xfId="1114"/>
    <cellStyle name="Accent4 2 7" xfId="1115"/>
    <cellStyle name="Accent4 2 8" xfId="1116"/>
    <cellStyle name="Accent4 2 9" xfId="1117"/>
    <cellStyle name="Accent4 20" xfId="1118"/>
    <cellStyle name="Accent4 21" xfId="1119"/>
    <cellStyle name="Accent4 22" xfId="1120"/>
    <cellStyle name="Accent4 3" xfId="1121"/>
    <cellStyle name="Accent4 3 2" xfId="4958"/>
    <cellStyle name="Accent4 4" xfId="1122"/>
    <cellStyle name="Accent4 4 2" xfId="4959"/>
    <cellStyle name="Accent4 5" xfId="1123"/>
    <cellStyle name="Accent4 6" xfId="1124"/>
    <cellStyle name="Accent4 7" xfId="1125"/>
    <cellStyle name="Accent4 8" xfId="1126"/>
    <cellStyle name="Accent4 9" xfId="1127"/>
    <cellStyle name="Accent5 10" xfId="1128"/>
    <cellStyle name="Accent5 11" xfId="1129"/>
    <cellStyle name="Accent5 12" xfId="1130"/>
    <cellStyle name="Accent5 13" xfId="1131"/>
    <cellStyle name="Accent5 14" xfId="1132"/>
    <cellStyle name="Accent5 15" xfId="1133"/>
    <cellStyle name="Accent5 16" xfId="1134"/>
    <cellStyle name="Accent5 17" xfId="1135"/>
    <cellStyle name="Accent5 18" xfId="1136"/>
    <cellStyle name="Accent5 19" xfId="1137"/>
    <cellStyle name="Accent5 2" xfId="1138"/>
    <cellStyle name="Accent5 2 2" xfId="1139"/>
    <cellStyle name="Accent5 2 2 2" xfId="1140"/>
    <cellStyle name="Accent5 2 2 2 2" xfId="1141"/>
    <cellStyle name="Accent5 2 2 2 3" xfId="1142"/>
    <cellStyle name="Accent5 2 2 2 4" xfId="1143"/>
    <cellStyle name="Accent5 2 2 2 5" xfId="1144"/>
    <cellStyle name="Accent5 2 2 3" xfId="1145"/>
    <cellStyle name="Accent5 2 2 4" xfId="1146"/>
    <cellStyle name="Accent5 2 2 5" xfId="1147"/>
    <cellStyle name="Accent5 2 3" xfId="1148"/>
    <cellStyle name="Accent5 2 4" xfId="1149"/>
    <cellStyle name="Accent5 2 5" xfId="1150"/>
    <cellStyle name="Accent5 2 6" xfId="1151"/>
    <cellStyle name="Accent5 2 7" xfId="1152"/>
    <cellStyle name="Accent5 2 8" xfId="1153"/>
    <cellStyle name="Accent5 2 9" xfId="1154"/>
    <cellStyle name="Accent5 20" xfId="1155"/>
    <cellStyle name="Accent5 21" xfId="1156"/>
    <cellStyle name="Accent5 22" xfId="1157"/>
    <cellStyle name="Accent5 3" xfId="1158"/>
    <cellStyle name="Accent5 3 2" xfId="4960"/>
    <cellStyle name="Accent5 4" xfId="1159"/>
    <cellStyle name="Accent5 4 2" xfId="4961"/>
    <cellStyle name="Accent5 5" xfId="1160"/>
    <cellStyle name="Accent5 6" xfId="1161"/>
    <cellStyle name="Accent5 7" xfId="1162"/>
    <cellStyle name="Accent5 8" xfId="1163"/>
    <cellStyle name="Accent5 9" xfId="1164"/>
    <cellStyle name="Accent6 10" xfId="1165"/>
    <cellStyle name="Accent6 11" xfId="1166"/>
    <cellStyle name="Accent6 12" xfId="1167"/>
    <cellStyle name="Accent6 13" xfId="1168"/>
    <cellStyle name="Accent6 14" xfId="1169"/>
    <cellStyle name="Accent6 15" xfId="1170"/>
    <cellStyle name="Accent6 16" xfId="1171"/>
    <cellStyle name="Accent6 17" xfId="1172"/>
    <cellStyle name="Accent6 17 2" xfId="4962"/>
    <cellStyle name="Accent6 18" xfId="1173"/>
    <cellStyle name="Accent6 19" xfId="1174"/>
    <cellStyle name="Accent6 2" xfId="1175"/>
    <cellStyle name="Accent6 2 2" xfId="1176"/>
    <cellStyle name="Accent6 2 2 2" xfId="1177"/>
    <cellStyle name="Accent6 2 2 2 2" xfId="1178"/>
    <cellStyle name="Accent6 2 2 2 3" xfId="1179"/>
    <cellStyle name="Accent6 2 2 2 4" xfId="1180"/>
    <cellStyle name="Accent6 2 2 2 5" xfId="1181"/>
    <cellStyle name="Accent6 2 2 3" xfId="1182"/>
    <cellStyle name="Accent6 2 2 4" xfId="1183"/>
    <cellStyle name="Accent6 2 2 5" xfId="1184"/>
    <cellStyle name="Accent6 2 3" xfId="1185"/>
    <cellStyle name="Accent6 2 4" xfId="1186"/>
    <cellStyle name="Accent6 2 5" xfId="1187"/>
    <cellStyle name="Accent6 2 6" xfId="1188"/>
    <cellStyle name="Accent6 2 7" xfId="1189"/>
    <cellStyle name="Accent6 2 8" xfId="1190"/>
    <cellStyle name="Accent6 2 9" xfId="1191"/>
    <cellStyle name="Accent6 20" xfId="1192"/>
    <cellStyle name="Accent6 21" xfId="1193"/>
    <cellStyle name="Accent6 22" xfId="1194"/>
    <cellStyle name="Accent6 3" xfId="1195"/>
    <cellStyle name="Accent6 3 2" xfId="4963"/>
    <cellStyle name="Accent6 4" xfId="1196"/>
    <cellStyle name="Accent6 4 2" xfId="4964"/>
    <cellStyle name="Accent6 5" xfId="1197"/>
    <cellStyle name="Accent6 6" xfId="1198"/>
    <cellStyle name="Accent6 7" xfId="1199"/>
    <cellStyle name="Accent6 8" xfId="1200"/>
    <cellStyle name="Accent6 9" xfId="1201"/>
    <cellStyle name="Bad 10" xfId="1202"/>
    <cellStyle name="Bad 11" xfId="1203"/>
    <cellStyle name="Bad 12" xfId="1204"/>
    <cellStyle name="Bad 13" xfId="1205"/>
    <cellStyle name="Bad 14" xfId="1206"/>
    <cellStyle name="Bad 15" xfId="1207"/>
    <cellStyle name="Bad 16" xfId="1208"/>
    <cellStyle name="Bad 17" xfId="1209"/>
    <cellStyle name="Bad 17 2" xfId="4965"/>
    <cellStyle name="Bad 18" xfId="1210"/>
    <cellStyle name="Bad 19" xfId="1211"/>
    <cellStyle name="Bad 2" xfId="1212"/>
    <cellStyle name="Bad 2 2" xfId="1213"/>
    <cellStyle name="Bad 2 2 2" xfId="1214"/>
    <cellStyle name="Bad 2 2 2 2" xfId="1215"/>
    <cellStyle name="Bad 2 2 2 3" xfId="1216"/>
    <cellStyle name="Bad 2 2 2 4" xfId="1217"/>
    <cellStyle name="Bad 2 2 2 5" xfId="1218"/>
    <cellStyle name="Bad 2 2 3" xfId="1219"/>
    <cellStyle name="Bad 2 2 4" xfId="1220"/>
    <cellStyle name="Bad 2 2 5" xfId="1221"/>
    <cellStyle name="Bad 2 3" xfId="1222"/>
    <cellStyle name="Bad 2 4" xfId="1223"/>
    <cellStyle name="Bad 2 5" xfId="1224"/>
    <cellStyle name="Bad 2 6" xfId="1225"/>
    <cellStyle name="Bad 2 7" xfId="1226"/>
    <cellStyle name="Bad 2 8" xfId="1227"/>
    <cellStyle name="Bad 2 9" xfId="1228"/>
    <cellStyle name="Bad 20" xfId="1229"/>
    <cellStyle name="Bad 21" xfId="1230"/>
    <cellStyle name="Bad 22" xfId="1231"/>
    <cellStyle name="Bad 3" xfId="1232"/>
    <cellStyle name="Bad 3 2" xfId="4966"/>
    <cellStyle name="Bad 4" xfId="1233"/>
    <cellStyle name="Bad 5" xfId="1234"/>
    <cellStyle name="Bad 6" xfId="1235"/>
    <cellStyle name="Bad 7" xfId="1236"/>
    <cellStyle name="Bad 8" xfId="1237"/>
    <cellStyle name="Bad 9" xfId="1238"/>
    <cellStyle name="c" xfId="4967"/>
    <cellStyle name="Calculation 10" xfId="1239"/>
    <cellStyle name="Calculation 10 10" xfId="4968"/>
    <cellStyle name="Calculation 10 11" xfId="4969"/>
    <cellStyle name="Calculation 10 12" xfId="4970"/>
    <cellStyle name="Calculation 10 2" xfId="4971"/>
    <cellStyle name="Calculation 10 2 2" xfId="4972"/>
    <cellStyle name="Calculation 10 2 2 2" xfId="4973"/>
    <cellStyle name="Calculation 10 2 3" xfId="4974"/>
    <cellStyle name="Calculation 10 2 3 2" xfId="4975"/>
    <cellStyle name="Calculation 10 2 4" xfId="4976"/>
    <cellStyle name="Calculation 10 2 4 2" xfId="4977"/>
    <cellStyle name="Calculation 10 2 5" xfId="4978"/>
    <cellStyle name="Calculation 10 2 5 2" xfId="4979"/>
    <cellStyle name="Calculation 10 2 6" xfId="4980"/>
    <cellStyle name="Calculation 10 2 6 2" xfId="4981"/>
    <cellStyle name="Calculation 10 2 7" xfId="4982"/>
    <cellStyle name="Calculation 10 2 7 2" xfId="4983"/>
    <cellStyle name="Calculation 10 2 8" xfId="4984"/>
    <cellStyle name="Calculation 10 2 8 2" xfId="4985"/>
    <cellStyle name="Calculation 10 2 9" xfId="4986"/>
    <cellStyle name="Calculation 10 3" xfId="4987"/>
    <cellStyle name="Calculation 10 3 2" xfId="4988"/>
    <cellStyle name="Calculation 10 4" xfId="4989"/>
    <cellStyle name="Calculation 10 4 2" xfId="4990"/>
    <cellStyle name="Calculation 10 5" xfId="4991"/>
    <cellStyle name="Calculation 10 5 2" xfId="4992"/>
    <cellStyle name="Calculation 10 6" xfId="4993"/>
    <cellStyle name="Calculation 10 6 2" xfId="4994"/>
    <cellStyle name="Calculation 10 7" xfId="4995"/>
    <cellStyle name="Calculation 10 7 2" xfId="4996"/>
    <cellStyle name="Calculation 10 8" xfId="4997"/>
    <cellStyle name="Calculation 10 8 2" xfId="4998"/>
    <cellStyle name="Calculation 10 9" xfId="4999"/>
    <cellStyle name="Calculation 10 9 2" xfId="5000"/>
    <cellStyle name="Calculation 11" xfId="1240"/>
    <cellStyle name="Calculation 11 10" xfId="5001"/>
    <cellStyle name="Calculation 11 11" xfId="5002"/>
    <cellStyle name="Calculation 11 12" xfId="5003"/>
    <cellStyle name="Calculation 11 2" xfId="5004"/>
    <cellStyle name="Calculation 11 2 2" xfId="5005"/>
    <cellStyle name="Calculation 11 2 2 2" xfId="5006"/>
    <cellStyle name="Calculation 11 2 3" xfId="5007"/>
    <cellStyle name="Calculation 11 2 3 2" xfId="5008"/>
    <cellStyle name="Calculation 11 2 4" xfId="5009"/>
    <cellStyle name="Calculation 11 2 4 2" xfId="5010"/>
    <cellStyle name="Calculation 11 2 5" xfId="5011"/>
    <cellStyle name="Calculation 11 2 5 2" xfId="5012"/>
    <cellStyle name="Calculation 11 2 6" xfId="5013"/>
    <cellStyle name="Calculation 11 2 6 2" xfId="5014"/>
    <cellStyle name="Calculation 11 2 7" xfId="5015"/>
    <cellStyle name="Calculation 11 2 7 2" xfId="5016"/>
    <cellStyle name="Calculation 11 2 8" xfId="5017"/>
    <cellStyle name="Calculation 11 2 8 2" xfId="5018"/>
    <cellStyle name="Calculation 11 2 9" xfId="5019"/>
    <cellStyle name="Calculation 11 3" xfId="5020"/>
    <cellStyle name="Calculation 11 3 2" xfId="5021"/>
    <cellStyle name="Calculation 11 4" xfId="5022"/>
    <cellStyle name="Calculation 11 4 2" xfId="5023"/>
    <cellStyle name="Calculation 11 5" xfId="5024"/>
    <cellStyle name="Calculation 11 5 2" xfId="5025"/>
    <cellStyle name="Calculation 11 6" xfId="5026"/>
    <cellStyle name="Calculation 11 6 2" xfId="5027"/>
    <cellStyle name="Calculation 11 7" xfId="5028"/>
    <cellStyle name="Calculation 11 7 2" xfId="5029"/>
    <cellStyle name="Calculation 11 8" xfId="5030"/>
    <cellStyle name="Calculation 11 8 2" xfId="5031"/>
    <cellStyle name="Calculation 11 9" xfId="5032"/>
    <cellStyle name="Calculation 11 9 2" xfId="5033"/>
    <cellStyle name="Calculation 12" xfId="1241"/>
    <cellStyle name="Calculation 12 10" xfId="5034"/>
    <cellStyle name="Calculation 12 11" xfId="5035"/>
    <cellStyle name="Calculation 12 12" xfId="5036"/>
    <cellStyle name="Calculation 12 2" xfId="5037"/>
    <cellStyle name="Calculation 12 2 2" xfId="5038"/>
    <cellStyle name="Calculation 12 2 2 2" xfId="5039"/>
    <cellStyle name="Calculation 12 2 3" xfId="5040"/>
    <cellStyle name="Calculation 12 2 3 2" xfId="5041"/>
    <cellStyle name="Calculation 12 2 4" xfId="5042"/>
    <cellStyle name="Calculation 12 2 4 2" xfId="5043"/>
    <cellStyle name="Calculation 12 2 5" xfId="5044"/>
    <cellStyle name="Calculation 12 2 5 2" xfId="5045"/>
    <cellStyle name="Calculation 12 2 6" xfId="5046"/>
    <cellStyle name="Calculation 12 2 6 2" xfId="5047"/>
    <cellStyle name="Calculation 12 2 7" xfId="5048"/>
    <cellStyle name="Calculation 12 2 7 2" xfId="5049"/>
    <cellStyle name="Calculation 12 2 8" xfId="5050"/>
    <cellStyle name="Calculation 12 2 8 2" xfId="5051"/>
    <cellStyle name="Calculation 12 2 9" xfId="5052"/>
    <cellStyle name="Calculation 12 3" xfId="5053"/>
    <cellStyle name="Calculation 12 3 2" xfId="5054"/>
    <cellStyle name="Calculation 12 4" xfId="5055"/>
    <cellStyle name="Calculation 12 4 2" xfId="5056"/>
    <cellStyle name="Calculation 12 5" xfId="5057"/>
    <cellStyle name="Calculation 12 5 2" xfId="5058"/>
    <cellStyle name="Calculation 12 6" xfId="5059"/>
    <cellStyle name="Calculation 12 6 2" xfId="5060"/>
    <cellStyle name="Calculation 12 7" xfId="5061"/>
    <cellStyle name="Calculation 12 7 2" xfId="5062"/>
    <cellStyle name="Calculation 12 8" xfId="5063"/>
    <cellStyle name="Calculation 12 8 2" xfId="5064"/>
    <cellStyle name="Calculation 12 9" xfId="5065"/>
    <cellStyle name="Calculation 12 9 2" xfId="5066"/>
    <cellStyle name="Calculation 13" xfId="1242"/>
    <cellStyle name="Calculation 13 10" xfId="5067"/>
    <cellStyle name="Calculation 13 11" xfId="5068"/>
    <cellStyle name="Calculation 13 12" xfId="5069"/>
    <cellStyle name="Calculation 13 2" xfId="5070"/>
    <cellStyle name="Calculation 13 2 2" xfId="5071"/>
    <cellStyle name="Calculation 13 2 2 2" xfId="5072"/>
    <cellStyle name="Calculation 13 2 3" xfId="5073"/>
    <cellStyle name="Calculation 13 2 3 2" xfId="5074"/>
    <cellStyle name="Calculation 13 2 4" xfId="5075"/>
    <cellStyle name="Calculation 13 2 4 2" xfId="5076"/>
    <cellStyle name="Calculation 13 2 5" xfId="5077"/>
    <cellStyle name="Calculation 13 2 5 2" xfId="5078"/>
    <cellStyle name="Calculation 13 2 6" xfId="5079"/>
    <cellStyle name="Calculation 13 2 6 2" xfId="5080"/>
    <cellStyle name="Calculation 13 2 7" xfId="5081"/>
    <cellStyle name="Calculation 13 2 7 2" xfId="5082"/>
    <cellStyle name="Calculation 13 2 8" xfId="5083"/>
    <cellStyle name="Calculation 13 2 8 2" xfId="5084"/>
    <cellStyle name="Calculation 13 2 9" xfId="5085"/>
    <cellStyle name="Calculation 13 3" xfId="5086"/>
    <cellStyle name="Calculation 13 3 2" xfId="5087"/>
    <cellStyle name="Calculation 13 4" xfId="5088"/>
    <cellStyle name="Calculation 13 4 2" xfId="5089"/>
    <cellStyle name="Calculation 13 5" xfId="5090"/>
    <cellStyle name="Calculation 13 5 2" xfId="5091"/>
    <cellStyle name="Calculation 13 6" xfId="5092"/>
    <cellStyle name="Calculation 13 6 2" xfId="5093"/>
    <cellStyle name="Calculation 13 7" xfId="5094"/>
    <cellStyle name="Calculation 13 7 2" xfId="5095"/>
    <cellStyle name="Calculation 13 8" xfId="5096"/>
    <cellStyle name="Calculation 13 8 2" xfId="5097"/>
    <cellStyle name="Calculation 13 9" xfId="5098"/>
    <cellStyle name="Calculation 13 9 2" xfId="5099"/>
    <cellStyle name="Calculation 14" xfId="1243"/>
    <cellStyle name="Calculation 14 10" xfId="5100"/>
    <cellStyle name="Calculation 14 11" xfId="5101"/>
    <cellStyle name="Calculation 14 12" xfId="5102"/>
    <cellStyle name="Calculation 14 2" xfId="5103"/>
    <cellStyle name="Calculation 14 2 2" xfId="5104"/>
    <cellStyle name="Calculation 14 2 2 2" xfId="5105"/>
    <cellStyle name="Calculation 14 2 3" xfId="5106"/>
    <cellStyle name="Calculation 14 2 3 2" xfId="5107"/>
    <cellStyle name="Calculation 14 2 4" xfId="5108"/>
    <cellStyle name="Calculation 14 2 4 2" xfId="5109"/>
    <cellStyle name="Calculation 14 2 5" xfId="5110"/>
    <cellStyle name="Calculation 14 2 5 2" xfId="5111"/>
    <cellStyle name="Calculation 14 2 6" xfId="5112"/>
    <cellStyle name="Calculation 14 2 6 2" xfId="5113"/>
    <cellStyle name="Calculation 14 2 7" xfId="5114"/>
    <cellStyle name="Calculation 14 2 7 2" xfId="5115"/>
    <cellStyle name="Calculation 14 2 8" xfId="5116"/>
    <cellStyle name="Calculation 14 2 8 2" xfId="5117"/>
    <cellStyle name="Calculation 14 2 9" xfId="5118"/>
    <cellStyle name="Calculation 14 3" xfId="5119"/>
    <cellStyle name="Calculation 14 3 2" xfId="5120"/>
    <cellStyle name="Calculation 14 4" xfId="5121"/>
    <cellStyle name="Calculation 14 4 2" xfId="5122"/>
    <cellStyle name="Calculation 14 5" xfId="5123"/>
    <cellStyle name="Calculation 14 5 2" xfId="5124"/>
    <cellStyle name="Calculation 14 6" xfId="5125"/>
    <cellStyle name="Calculation 14 6 2" xfId="5126"/>
    <cellStyle name="Calculation 14 7" xfId="5127"/>
    <cellStyle name="Calculation 14 7 2" xfId="5128"/>
    <cellStyle name="Calculation 14 8" xfId="5129"/>
    <cellStyle name="Calculation 14 8 2" xfId="5130"/>
    <cellStyle name="Calculation 14 9" xfId="5131"/>
    <cellStyle name="Calculation 14 9 2" xfId="5132"/>
    <cellStyle name="Calculation 15" xfId="1244"/>
    <cellStyle name="Calculation 15 10" xfId="5133"/>
    <cellStyle name="Calculation 15 11" xfId="5134"/>
    <cellStyle name="Calculation 15 12" xfId="5135"/>
    <cellStyle name="Calculation 15 2" xfId="5136"/>
    <cellStyle name="Calculation 15 2 2" xfId="5137"/>
    <cellStyle name="Calculation 15 2 2 2" xfId="5138"/>
    <cellStyle name="Calculation 15 2 3" xfId="5139"/>
    <cellStyle name="Calculation 15 2 3 2" xfId="5140"/>
    <cellStyle name="Calculation 15 2 4" xfId="5141"/>
    <cellStyle name="Calculation 15 2 4 2" xfId="5142"/>
    <cellStyle name="Calculation 15 2 5" xfId="5143"/>
    <cellStyle name="Calculation 15 2 5 2" xfId="5144"/>
    <cellStyle name="Calculation 15 2 6" xfId="5145"/>
    <cellStyle name="Calculation 15 2 6 2" xfId="5146"/>
    <cellStyle name="Calculation 15 2 7" xfId="5147"/>
    <cellStyle name="Calculation 15 2 7 2" xfId="5148"/>
    <cellStyle name="Calculation 15 2 8" xfId="5149"/>
    <cellStyle name="Calculation 15 2 8 2" xfId="5150"/>
    <cellStyle name="Calculation 15 2 9" xfId="5151"/>
    <cellStyle name="Calculation 15 3" xfId="5152"/>
    <cellStyle name="Calculation 15 3 2" xfId="5153"/>
    <cellStyle name="Calculation 15 4" xfId="5154"/>
    <cellStyle name="Calculation 15 4 2" xfId="5155"/>
    <cellStyle name="Calculation 15 5" xfId="5156"/>
    <cellStyle name="Calculation 15 5 2" xfId="5157"/>
    <cellStyle name="Calculation 15 6" xfId="5158"/>
    <cellStyle name="Calculation 15 6 2" xfId="5159"/>
    <cellStyle name="Calculation 15 7" xfId="5160"/>
    <cellStyle name="Calculation 15 7 2" xfId="5161"/>
    <cellStyle name="Calculation 15 8" xfId="5162"/>
    <cellStyle name="Calculation 15 8 2" xfId="5163"/>
    <cellStyle name="Calculation 15 9" xfId="5164"/>
    <cellStyle name="Calculation 15 9 2" xfId="5165"/>
    <cellStyle name="Calculation 16" xfId="1245"/>
    <cellStyle name="Calculation 16 10" xfId="5166"/>
    <cellStyle name="Calculation 16 11" xfId="5167"/>
    <cellStyle name="Calculation 16 12" xfId="5168"/>
    <cellStyle name="Calculation 16 2" xfId="5169"/>
    <cellStyle name="Calculation 16 2 2" xfId="5170"/>
    <cellStyle name="Calculation 16 2 2 2" xfId="5171"/>
    <cellStyle name="Calculation 16 2 3" xfId="5172"/>
    <cellStyle name="Calculation 16 2 3 2" xfId="5173"/>
    <cellStyle name="Calculation 16 2 4" xfId="5174"/>
    <cellStyle name="Calculation 16 2 4 2" xfId="5175"/>
    <cellStyle name="Calculation 16 2 5" xfId="5176"/>
    <cellStyle name="Calculation 16 2 5 2" xfId="5177"/>
    <cellStyle name="Calculation 16 2 6" xfId="5178"/>
    <cellStyle name="Calculation 16 2 6 2" xfId="5179"/>
    <cellStyle name="Calculation 16 2 7" xfId="5180"/>
    <cellStyle name="Calculation 16 2 7 2" xfId="5181"/>
    <cellStyle name="Calculation 16 2 8" xfId="5182"/>
    <cellStyle name="Calculation 16 2 8 2" xfId="5183"/>
    <cellStyle name="Calculation 16 2 9" xfId="5184"/>
    <cellStyle name="Calculation 16 3" xfId="5185"/>
    <cellStyle name="Calculation 16 3 2" xfId="5186"/>
    <cellStyle name="Calculation 16 4" xfId="5187"/>
    <cellStyle name="Calculation 16 4 2" xfId="5188"/>
    <cellStyle name="Calculation 16 5" xfId="5189"/>
    <cellStyle name="Calculation 16 5 2" xfId="5190"/>
    <cellStyle name="Calculation 16 6" xfId="5191"/>
    <cellStyle name="Calculation 16 6 2" xfId="5192"/>
    <cellStyle name="Calculation 16 7" xfId="5193"/>
    <cellStyle name="Calculation 16 7 2" xfId="5194"/>
    <cellStyle name="Calculation 16 8" xfId="5195"/>
    <cellStyle name="Calculation 16 8 2" xfId="5196"/>
    <cellStyle name="Calculation 16 9" xfId="5197"/>
    <cellStyle name="Calculation 16 9 2" xfId="5198"/>
    <cellStyle name="Calculation 17" xfId="1246"/>
    <cellStyle name="Calculation 17 10" xfId="5199"/>
    <cellStyle name="Calculation 17 11" xfId="5200"/>
    <cellStyle name="Calculation 17 2" xfId="5201"/>
    <cellStyle name="Calculation 17 2 2" xfId="5202"/>
    <cellStyle name="Calculation 17 2 2 2" xfId="5203"/>
    <cellStyle name="Calculation 17 2 3" xfId="5204"/>
    <cellStyle name="Calculation 17 2 3 2" xfId="5205"/>
    <cellStyle name="Calculation 17 2 4" xfId="5206"/>
    <cellStyle name="Calculation 17 2 4 2" xfId="5207"/>
    <cellStyle name="Calculation 17 2 5" xfId="5208"/>
    <cellStyle name="Calculation 17 2 5 2" xfId="5209"/>
    <cellStyle name="Calculation 17 2 6" xfId="5210"/>
    <cellStyle name="Calculation 17 2 6 2" xfId="5211"/>
    <cellStyle name="Calculation 17 2 7" xfId="5212"/>
    <cellStyle name="Calculation 17 2 7 2" xfId="5213"/>
    <cellStyle name="Calculation 17 2 8" xfId="5214"/>
    <cellStyle name="Calculation 17 2 8 2" xfId="5215"/>
    <cellStyle name="Calculation 17 2 9" xfId="5216"/>
    <cellStyle name="Calculation 17 3" xfId="5217"/>
    <cellStyle name="Calculation 17 3 2" xfId="5218"/>
    <cellStyle name="Calculation 17 4" xfId="5219"/>
    <cellStyle name="Calculation 17 4 2" xfId="5220"/>
    <cellStyle name="Calculation 17 5" xfId="5221"/>
    <cellStyle name="Calculation 17 5 2" xfId="5222"/>
    <cellStyle name="Calculation 17 6" xfId="5223"/>
    <cellStyle name="Calculation 17 6 2" xfId="5224"/>
    <cellStyle name="Calculation 17 7" xfId="5225"/>
    <cellStyle name="Calculation 17 7 2" xfId="5226"/>
    <cellStyle name="Calculation 17 8" xfId="5227"/>
    <cellStyle name="Calculation 17 8 2" xfId="5228"/>
    <cellStyle name="Calculation 17 9" xfId="5229"/>
    <cellStyle name="Calculation 17 9 2" xfId="5230"/>
    <cellStyle name="Calculation 18" xfId="1247"/>
    <cellStyle name="Calculation 18 10" xfId="5231"/>
    <cellStyle name="Calculation 18 2" xfId="5232"/>
    <cellStyle name="Calculation 18 2 2" xfId="5233"/>
    <cellStyle name="Calculation 18 2 2 2" xfId="5234"/>
    <cellStyle name="Calculation 18 2 3" xfId="5235"/>
    <cellStyle name="Calculation 18 2 3 2" xfId="5236"/>
    <cellStyle name="Calculation 18 2 4" xfId="5237"/>
    <cellStyle name="Calculation 18 2 4 2" xfId="5238"/>
    <cellStyle name="Calculation 18 2 5" xfId="5239"/>
    <cellStyle name="Calculation 18 2 5 2" xfId="5240"/>
    <cellStyle name="Calculation 18 2 6" xfId="5241"/>
    <cellStyle name="Calculation 18 2 6 2" xfId="5242"/>
    <cellStyle name="Calculation 18 2 7" xfId="5243"/>
    <cellStyle name="Calculation 18 2 7 2" xfId="5244"/>
    <cellStyle name="Calculation 18 2 8" xfId="5245"/>
    <cellStyle name="Calculation 18 2 8 2" xfId="5246"/>
    <cellStyle name="Calculation 18 2 9" xfId="5247"/>
    <cellStyle name="Calculation 18 3" xfId="5248"/>
    <cellStyle name="Calculation 18 3 2" xfId="5249"/>
    <cellStyle name="Calculation 18 4" xfId="5250"/>
    <cellStyle name="Calculation 18 4 2" xfId="5251"/>
    <cellStyle name="Calculation 18 5" xfId="5252"/>
    <cellStyle name="Calculation 18 5 2" xfId="5253"/>
    <cellStyle name="Calculation 18 6" xfId="5254"/>
    <cellStyle name="Calculation 18 6 2" xfId="5255"/>
    <cellStyle name="Calculation 18 7" xfId="5256"/>
    <cellStyle name="Calculation 18 7 2" xfId="5257"/>
    <cellStyle name="Calculation 18 8" xfId="5258"/>
    <cellStyle name="Calculation 18 8 2" xfId="5259"/>
    <cellStyle name="Calculation 18 9" xfId="5260"/>
    <cellStyle name="Calculation 18 9 2" xfId="5261"/>
    <cellStyle name="Calculation 19" xfId="1248"/>
    <cellStyle name="Calculation 19 10" xfId="5262"/>
    <cellStyle name="Calculation 19 2" xfId="5263"/>
    <cellStyle name="Calculation 19 2 2" xfId="5264"/>
    <cellStyle name="Calculation 19 2 2 2" xfId="5265"/>
    <cellStyle name="Calculation 19 2 3" xfId="5266"/>
    <cellStyle name="Calculation 19 2 3 2" xfId="5267"/>
    <cellStyle name="Calculation 19 2 4" xfId="5268"/>
    <cellStyle name="Calculation 19 2 4 2" xfId="5269"/>
    <cellStyle name="Calculation 19 2 5" xfId="5270"/>
    <cellStyle name="Calculation 19 2 5 2" xfId="5271"/>
    <cellStyle name="Calculation 19 2 6" xfId="5272"/>
    <cellStyle name="Calculation 19 2 6 2" xfId="5273"/>
    <cellStyle name="Calculation 19 2 7" xfId="5274"/>
    <cellStyle name="Calculation 19 2 7 2" xfId="5275"/>
    <cellStyle name="Calculation 19 2 8" xfId="5276"/>
    <cellStyle name="Calculation 19 2 8 2" xfId="5277"/>
    <cellStyle name="Calculation 19 2 9" xfId="5278"/>
    <cellStyle name="Calculation 19 3" xfId="5279"/>
    <cellStyle name="Calculation 19 3 2" xfId="5280"/>
    <cellStyle name="Calculation 19 4" xfId="5281"/>
    <cellStyle name="Calculation 19 4 2" xfId="5282"/>
    <cellStyle name="Calculation 19 5" xfId="5283"/>
    <cellStyle name="Calculation 19 5 2" xfId="5284"/>
    <cellStyle name="Calculation 19 6" xfId="5285"/>
    <cellStyle name="Calculation 19 6 2" xfId="5286"/>
    <cellStyle name="Calculation 19 7" xfId="5287"/>
    <cellStyle name="Calculation 19 7 2" xfId="5288"/>
    <cellStyle name="Calculation 19 8" xfId="5289"/>
    <cellStyle name="Calculation 19 8 2" xfId="5290"/>
    <cellStyle name="Calculation 19 9" xfId="5291"/>
    <cellStyle name="Calculation 19 9 2" xfId="5292"/>
    <cellStyle name="Calculation 2" xfId="1249"/>
    <cellStyle name="Calculation 2 10" xfId="5293"/>
    <cellStyle name="Calculation 2 2" xfId="1250"/>
    <cellStyle name="Calculation 2 2 10" xfId="5294"/>
    <cellStyle name="Calculation 2 2 11" xfId="5295"/>
    <cellStyle name="Calculation 2 2 2" xfId="1251"/>
    <cellStyle name="Calculation 2 2 2 2" xfId="1252"/>
    <cellStyle name="Calculation 2 2 2 3" xfId="1253"/>
    <cellStyle name="Calculation 2 2 2 4" xfId="1254"/>
    <cellStyle name="Calculation 2 2 2 5" xfId="1255"/>
    <cellStyle name="Calculation 2 2 3" xfId="1256"/>
    <cellStyle name="Calculation 2 2 3 2" xfId="5296"/>
    <cellStyle name="Calculation 2 2 4" xfId="1257"/>
    <cellStyle name="Calculation 2 2 4 2" xfId="5297"/>
    <cellStyle name="Calculation 2 2 5" xfId="1258"/>
    <cellStyle name="Calculation 2 2 5 2" xfId="5298"/>
    <cellStyle name="Calculation 2 2 6" xfId="5299"/>
    <cellStyle name="Calculation 2 2 6 2" xfId="5300"/>
    <cellStyle name="Calculation 2 2 7" xfId="5301"/>
    <cellStyle name="Calculation 2 2 7 2" xfId="5302"/>
    <cellStyle name="Calculation 2 2 8" xfId="5303"/>
    <cellStyle name="Calculation 2 2 8 2" xfId="5304"/>
    <cellStyle name="Calculation 2 2 9" xfId="5305"/>
    <cellStyle name="Calculation 2 3" xfId="1259"/>
    <cellStyle name="Calculation 2 3 2" xfId="5306"/>
    <cellStyle name="Calculation 2 4" xfId="1260"/>
    <cellStyle name="Calculation 2 4 2" xfId="5307"/>
    <cellStyle name="Calculation 2 5" xfId="1261"/>
    <cellStyle name="Calculation 2 5 2" xfId="5308"/>
    <cellStyle name="Calculation 2 6" xfId="1262"/>
    <cellStyle name="Calculation 2 6 2" xfId="5309"/>
    <cellStyle name="Calculation 2 7" xfId="1263"/>
    <cellStyle name="Calculation 2 7 2" xfId="5310"/>
    <cellStyle name="Calculation 2 8" xfId="1264"/>
    <cellStyle name="Calculation 2 8 2" xfId="5311"/>
    <cellStyle name="Calculation 2 9" xfId="1265"/>
    <cellStyle name="Calculation 20" xfId="1266"/>
    <cellStyle name="Calculation 20 10" xfId="5312"/>
    <cellStyle name="Calculation 20 2" xfId="5313"/>
    <cellStyle name="Calculation 20 2 2" xfId="5314"/>
    <cellStyle name="Calculation 20 2 2 2" xfId="5315"/>
    <cellStyle name="Calculation 20 2 3" xfId="5316"/>
    <cellStyle name="Calculation 20 2 3 2" xfId="5317"/>
    <cellStyle name="Calculation 20 2 4" xfId="5318"/>
    <cellStyle name="Calculation 20 2 4 2" xfId="5319"/>
    <cellStyle name="Calculation 20 2 5" xfId="5320"/>
    <cellStyle name="Calculation 20 2 5 2" xfId="5321"/>
    <cellStyle name="Calculation 20 2 6" xfId="5322"/>
    <cellStyle name="Calculation 20 2 6 2" xfId="5323"/>
    <cellStyle name="Calculation 20 2 7" xfId="5324"/>
    <cellStyle name="Calculation 20 2 7 2" xfId="5325"/>
    <cellStyle name="Calculation 20 2 8" xfId="5326"/>
    <cellStyle name="Calculation 20 2 8 2" xfId="5327"/>
    <cellStyle name="Calculation 20 2 9" xfId="5328"/>
    <cellStyle name="Calculation 20 3" xfId="5329"/>
    <cellStyle name="Calculation 20 3 2" xfId="5330"/>
    <cellStyle name="Calculation 20 4" xfId="5331"/>
    <cellStyle name="Calculation 20 4 2" xfId="5332"/>
    <cellStyle name="Calculation 20 5" xfId="5333"/>
    <cellStyle name="Calculation 20 5 2" xfId="5334"/>
    <cellStyle name="Calculation 20 6" xfId="5335"/>
    <cellStyle name="Calculation 20 6 2" xfId="5336"/>
    <cellStyle name="Calculation 20 7" xfId="5337"/>
    <cellStyle name="Calculation 20 7 2" xfId="5338"/>
    <cellStyle name="Calculation 20 8" xfId="5339"/>
    <cellStyle name="Calculation 20 8 2" xfId="5340"/>
    <cellStyle name="Calculation 20 9" xfId="5341"/>
    <cellStyle name="Calculation 20 9 2" xfId="5342"/>
    <cellStyle name="Calculation 21" xfId="1267"/>
    <cellStyle name="Calculation 21 10" xfId="5343"/>
    <cellStyle name="Calculation 21 2" xfId="5344"/>
    <cellStyle name="Calculation 21 2 2" xfId="5345"/>
    <cellStyle name="Calculation 21 2 2 2" xfId="5346"/>
    <cellStyle name="Calculation 21 2 3" xfId="5347"/>
    <cellStyle name="Calculation 21 2 3 2" xfId="5348"/>
    <cellStyle name="Calculation 21 2 4" xfId="5349"/>
    <cellStyle name="Calculation 21 2 4 2" xfId="5350"/>
    <cellStyle name="Calculation 21 2 5" xfId="5351"/>
    <cellStyle name="Calculation 21 2 5 2" xfId="5352"/>
    <cellStyle name="Calculation 21 2 6" xfId="5353"/>
    <cellStyle name="Calculation 21 2 6 2" xfId="5354"/>
    <cellStyle name="Calculation 21 2 7" xfId="5355"/>
    <cellStyle name="Calculation 21 2 7 2" xfId="5356"/>
    <cellStyle name="Calculation 21 2 8" xfId="5357"/>
    <cellStyle name="Calculation 21 2 8 2" xfId="5358"/>
    <cellStyle name="Calculation 21 2 9" xfId="5359"/>
    <cellStyle name="Calculation 21 3" xfId="5360"/>
    <cellStyle name="Calculation 21 3 2" xfId="5361"/>
    <cellStyle name="Calculation 21 4" xfId="5362"/>
    <cellStyle name="Calculation 21 4 2" xfId="5363"/>
    <cellStyle name="Calculation 21 5" xfId="5364"/>
    <cellStyle name="Calculation 21 5 2" xfId="5365"/>
    <cellStyle name="Calculation 21 6" xfId="5366"/>
    <cellStyle name="Calculation 21 6 2" xfId="5367"/>
    <cellStyle name="Calculation 21 7" xfId="5368"/>
    <cellStyle name="Calculation 21 7 2" xfId="5369"/>
    <cellStyle name="Calculation 21 8" xfId="5370"/>
    <cellStyle name="Calculation 21 8 2" xfId="5371"/>
    <cellStyle name="Calculation 21 9" xfId="5372"/>
    <cellStyle name="Calculation 21 9 2" xfId="5373"/>
    <cellStyle name="Calculation 22" xfId="1268"/>
    <cellStyle name="Calculation 22 2" xfId="5374"/>
    <cellStyle name="Calculation 22 2 2" xfId="5375"/>
    <cellStyle name="Calculation 22 3" xfId="5376"/>
    <cellStyle name="Calculation 22 3 2" xfId="5377"/>
    <cellStyle name="Calculation 22 4" xfId="5378"/>
    <cellStyle name="Calculation 22 4 2" xfId="5379"/>
    <cellStyle name="Calculation 22 5" xfId="5380"/>
    <cellStyle name="Calculation 22 5 2" xfId="5381"/>
    <cellStyle name="Calculation 22 6" xfId="5382"/>
    <cellStyle name="Calculation 22 6 2" xfId="5383"/>
    <cellStyle name="Calculation 22 7" xfId="5384"/>
    <cellStyle name="Calculation 22 7 2" xfId="5385"/>
    <cellStyle name="Calculation 22 8" xfId="5386"/>
    <cellStyle name="Calculation 22 8 2" xfId="5387"/>
    <cellStyle name="Calculation 22 9" xfId="5388"/>
    <cellStyle name="Calculation 3" xfId="1269"/>
    <cellStyle name="Calculation 3 10" xfId="5389"/>
    <cellStyle name="Calculation 3 11" xfId="5390"/>
    <cellStyle name="Calculation 3 2" xfId="5391"/>
    <cellStyle name="Calculation 3 2 10" xfId="5392"/>
    <cellStyle name="Calculation 3 2 2" xfId="5393"/>
    <cellStyle name="Calculation 3 2 2 2" xfId="5394"/>
    <cellStyle name="Calculation 3 2 3" xfId="5395"/>
    <cellStyle name="Calculation 3 2 3 2" xfId="5396"/>
    <cellStyle name="Calculation 3 2 4" xfId="5397"/>
    <cellStyle name="Calculation 3 2 4 2" xfId="5398"/>
    <cellStyle name="Calculation 3 2 5" xfId="5399"/>
    <cellStyle name="Calculation 3 2 5 2" xfId="5400"/>
    <cellStyle name="Calculation 3 2 6" xfId="5401"/>
    <cellStyle name="Calculation 3 2 6 2" xfId="5402"/>
    <cellStyle name="Calculation 3 2 7" xfId="5403"/>
    <cellStyle name="Calculation 3 2 7 2" xfId="5404"/>
    <cellStyle name="Calculation 3 2 8" xfId="5405"/>
    <cellStyle name="Calculation 3 2 8 2" xfId="5406"/>
    <cellStyle name="Calculation 3 2 9" xfId="5407"/>
    <cellStyle name="Calculation 3 3" xfId="5408"/>
    <cellStyle name="Calculation 3 3 2" xfId="5409"/>
    <cellStyle name="Calculation 3 4" xfId="5410"/>
    <cellStyle name="Calculation 3 4 2" xfId="5411"/>
    <cellStyle name="Calculation 3 5" xfId="5412"/>
    <cellStyle name="Calculation 3 5 2" xfId="5413"/>
    <cellStyle name="Calculation 3 6" xfId="5414"/>
    <cellStyle name="Calculation 3 6 2" xfId="5415"/>
    <cellStyle name="Calculation 3 7" xfId="5416"/>
    <cellStyle name="Calculation 3 7 2" xfId="5417"/>
    <cellStyle name="Calculation 3 8" xfId="5418"/>
    <cellStyle name="Calculation 3 8 2" xfId="5419"/>
    <cellStyle name="Calculation 3 9" xfId="5420"/>
    <cellStyle name="Calculation 3 9 2" xfId="5421"/>
    <cellStyle name="Calculation 4" xfId="1270"/>
    <cellStyle name="Calculation 4 10" xfId="5422"/>
    <cellStyle name="Calculation 4 11" xfId="5423"/>
    <cellStyle name="Calculation 4 12" xfId="5424"/>
    <cellStyle name="Calculation 4 2" xfId="5425"/>
    <cellStyle name="Calculation 4 2 2" xfId="5426"/>
    <cellStyle name="Calculation 4 2 2 2" xfId="5427"/>
    <cellStyle name="Calculation 4 2 3" xfId="5428"/>
    <cellStyle name="Calculation 4 2 3 2" xfId="5429"/>
    <cellStyle name="Calculation 4 2 4" xfId="5430"/>
    <cellStyle name="Calculation 4 2 4 2" xfId="5431"/>
    <cellStyle name="Calculation 4 2 5" xfId="5432"/>
    <cellStyle name="Calculation 4 2 5 2" xfId="5433"/>
    <cellStyle name="Calculation 4 2 6" xfId="5434"/>
    <cellStyle name="Calculation 4 2 6 2" xfId="5435"/>
    <cellStyle name="Calculation 4 2 7" xfId="5436"/>
    <cellStyle name="Calculation 4 2 7 2" xfId="5437"/>
    <cellStyle name="Calculation 4 2 8" xfId="5438"/>
    <cellStyle name="Calculation 4 2 8 2" xfId="5439"/>
    <cellStyle name="Calculation 4 2 9" xfId="5440"/>
    <cellStyle name="Calculation 4 3" xfId="5441"/>
    <cellStyle name="Calculation 4 3 2" xfId="5442"/>
    <cellStyle name="Calculation 4 4" xfId="5443"/>
    <cellStyle name="Calculation 4 4 2" xfId="5444"/>
    <cellStyle name="Calculation 4 5" xfId="5445"/>
    <cellStyle name="Calculation 4 5 2" xfId="5446"/>
    <cellStyle name="Calculation 4 6" xfId="5447"/>
    <cellStyle name="Calculation 4 6 2" xfId="5448"/>
    <cellStyle name="Calculation 4 7" xfId="5449"/>
    <cellStyle name="Calculation 4 7 2" xfId="5450"/>
    <cellStyle name="Calculation 4 8" xfId="5451"/>
    <cellStyle name="Calculation 4 8 2" xfId="5452"/>
    <cellStyle name="Calculation 4 9" xfId="5453"/>
    <cellStyle name="Calculation 4 9 2" xfId="5454"/>
    <cellStyle name="Calculation 5" xfId="1271"/>
    <cellStyle name="Calculation 5 10" xfId="5455"/>
    <cellStyle name="Calculation 5 11" xfId="5456"/>
    <cellStyle name="Calculation 5 12" xfId="5457"/>
    <cellStyle name="Calculation 5 2" xfId="5458"/>
    <cellStyle name="Calculation 5 2 2" xfId="5459"/>
    <cellStyle name="Calculation 5 2 2 2" xfId="5460"/>
    <cellStyle name="Calculation 5 2 3" xfId="5461"/>
    <cellStyle name="Calculation 5 2 3 2" xfId="5462"/>
    <cellStyle name="Calculation 5 2 4" xfId="5463"/>
    <cellStyle name="Calculation 5 2 4 2" xfId="5464"/>
    <cellStyle name="Calculation 5 2 5" xfId="5465"/>
    <cellStyle name="Calculation 5 2 5 2" xfId="5466"/>
    <cellStyle name="Calculation 5 2 6" xfId="5467"/>
    <cellStyle name="Calculation 5 2 6 2" xfId="5468"/>
    <cellStyle name="Calculation 5 2 7" xfId="5469"/>
    <cellStyle name="Calculation 5 2 7 2" xfId="5470"/>
    <cellStyle name="Calculation 5 2 8" xfId="5471"/>
    <cellStyle name="Calculation 5 2 8 2" xfId="5472"/>
    <cellStyle name="Calculation 5 2 9" xfId="5473"/>
    <cellStyle name="Calculation 5 3" xfId="5474"/>
    <cellStyle name="Calculation 5 3 2" xfId="5475"/>
    <cellStyle name="Calculation 5 4" xfId="5476"/>
    <cellStyle name="Calculation 5 4 2" xfId="5477"/>
    <cellStyle name="Calculation 5 5" xfId="5478"/>
    <cellStyle name="Calculation 5 5 2" xfId="5479"/>
    <cellStyle name="Calculation 5 6" xfId="5480"/>
    <cellStyle name="Calculation 5 6 2" xfId="5481"/>
    <cellStyle name="Calculation 5 7" xfId="5482"/>
    <cellStyle name="Calculation 5 7 2" xfId="5483"/>
    <cellStyle name="Calculation 5 8" xfId="5484"/>
    <cellStyle name="Calculation 5 8 2" xfId="5485"/>
    <cellStyle name="Calculation 5 9" xfId="5486"/>
    <cellStyle name="Calculation 5 9 2" xfId="5487"/>
    <cellStyle name="Calculation 6" xfId="1272"/>
    <cellStyle name="Calculation 6 10" xfId="5488"/>
    <cellStyle name="Calculation 6 11" xfId="5489"/>
    <cellStyle name="Calculation 6 12" xfId="5490"/>
    <cellStyle name="Calculation 6 2" xfId="5491"/>
    <cellStyle name="Calculation 6 2 2" xfId="5492"/>
    <cellStyle name="Calculation 6 2 2 2" xfId="5493"/>
    <cellStyle name="Calculation 6 2 3" xfId="5494"/>
    <cellStyle name="Calculation 6 2 3 2" xfId="5495"/>
    <cellStyle name="Calculation 6 2 4" xfId="5496"/>
    <cellStyle name="Calculation 6 2 4 2" xfId="5497"/>
    <cellStyle name="Calculation 6 2 5" xfId="5498"/>
    <cellStyle name="Calculation 6 2 5 2" xfId="5499"/>
    <cellStyle name="Calculation 6 2 6" xfId="5500"/>
    <cellStyle name="Calculation 6 2 6 2" xfId="5501"/>
    <cellStyle name="Calculation 6 2 7" xfId="5502"/>
    <cellStyle name="Calculation 6 2 7 2" xfId="5503"/>
    <cellStyle name="Calculation 6 2 8" xfId="5504"/>
    <cellStyle name="Calculation 6 2 8 2" xfId="5505"/>
    <cellStyle name="Calculation 6 2 9" xfId="5506"/>
    <cellStyle name="Calculation 6 3" xfId="5507"/>
    <cellStyle name="Calculation 6 3 2" xfId="5508"/>
    <cellStyle name="Calculation 6 4" xfId="5509"/>
    <cellStyle name="Calculation 6 4 2" xfId="5510"/>
    <cellStyle name="Calculation 6 5" xfId="5511"/>
    <cellStyle name="Calculation 6 5 2" xfId="5512"/>
    <cellStyle name="Calculation 6 6" xfId="5513"/>
    <cellStyle name="Calculation 6 6 2" xfId="5514"/>
    <cellStyle name="Calculation 6 7" xfId="5515"/>
    <cellStyle name="Calculation 6 7 2" xfId="5516"/>
    <cellStyle name="Calculation 6 8" xfId="5517"/>
    <cellStyle name="Calculation 6 8 2" xfId="5518"/>
    <cellStyle name="Calculation 6 9" xfId="5519"/>
    <cellStyle name="Calculation 6 9 2" xfId="5520"/>
    <cellStyle name="Calculation 7" xfId="1273"/>
    <cellStyle name="Calculation 7 10" xfId="5521"/>
    <cellStyle name="Calculation 7 11" xfId="5522"/>
    <cellStyle name="Calculation 7 12" xfId="5523"/>
    <cellStyle name="Calculation 7 2" xfId="5524"/>
    <cellStyle name="Calculation 7 2 2" xfId="5525"/>
    <cellStyle name="Calculation 7 2 2 2" xfId="5526"/>
    <cellStyle name="Calculation 7 2 3" xfId="5527"/>
    <cellStyle name="Calculation 7 2 3 2" xfId="5528"/>
    <cellStyle name="Calculation 7 2 4" xfId="5529"/>
    <cellStyle name="Calculation 7 2 4 2" xfId="5530"/>
    <cellStyle name="Calculation 7 2 5" xfId="5531"/>
    <cellStyle name="Calculation 7 2 5 2" xfId="5532"/>
    <cellStyle name="Calculation 7 2 6" xfId="5533"/>
    <cellStyle name="Calculation 7 2 6 2" xfId="5534"/>
    <cellStyle name="Calculation 7 2 7" xfId="5535"/>
    <cellStyle name="Calculation 7 2 7 2" xfId="5536"/>
    <cellStyle name="Calculation 7 2 8" xfId="5537"/>
    <cellStyle name="Calculation 7 2 8 2" xfId="5538"/>
    <cellStyle name="Calculation 7 2 9" xfId="5539"/>
    <cellStyle name="Calculation 7 3" xfId="5540"/>
    <cellStyle name="Calculation 7 3 2" xfId="5541"/>
    <cellStyle name="Calculation 7 4" xfId="5542"/>
    <cellStyle name="Calculation 7 4 2" xfId="5543"/>
    <cellStyle name="Calculation 7 5" xfId="5544"/>
    <cellStyle name="Calculation 7 5 2" xfId="5545"/>
    <cellStyle name="Calculation 7 6" xfId="5546"/>
    <cellStyle name="Calculation 7 6 2" xfId="5547"/>
    <cellStyle name="Calculation 7 7" xfId="5548"/>
    <cellStyle name="Calculation 7 7 2" xfId="5549"/>
    <cellStyle name="Calculation 7 8" xfId="5550"/>
    <cellStyle name="Calculation 7 8 2" xfId="5551"/>
    <cellStyle name="Calculation 7 9" xfId="5552"/>
    <cellStyle name="Calculation 7 9 2" xfId="5553"/>
    <cellStyle name="Calculation 8" xfId="1274"/>
    <cellStyle name="Calculation 8 10" xfId="5554"/>
    <cellStyle name="Calculation 8 11" xfId="5555"/>
    <cellStyle name="Calculation 8 12" xfId="5556"/>
    <cellStyle name="Calculation 8 2" xfId="5557"/>
    <cellStyle name="Calculation 8 2 2" xfId="5558"/>
    <cellStyle name="Calculation 8 2 2 2" xfId="5559"/>
    <cellStyle name="Calculation 8 2 3" xfId="5560"/>
    <cellStyle name="Calculation 8 2 3 2" xfId="5561"/>
    <cellStyle name="Calculation 8 2 4" xfId="5562"/>
    <cellStyle name="Calculation 8 2 4 2" xfId="5563"/>
    <cellStyle name="Calculation 8 2 5" xfId="5564"/>
    <cellStyle name="Calculation 8 2 5 2" xfId="5565"/>
    <cellStyle name="Calculation 8 2 6" xfId="5566"/>
    <cellStyle name="Calculation 8 2 6 2" xfId="5567"/>
    <cellStyle name="Calculation 8 2 7" xfId="5568"/>
    <cellStyle name="Calculation 8 2 7 2" xfId="5569"/>
    <cellStyle name="Calculation 8 2 8" xfId="5570"/>
    <cellStyle name="Calculation 8 2 8 2" xfId="5571"/>
    <cellStyle name="Calculation 8 2 9" xfId="5572"/>
    <cellStyle name="Calculation 8 3" xfId="5573"/>
    <cellStyle name="Calculation 8 3 2" xfId="5574"/>
    <cellStyle name="Calculation 8 4" xfId="5575"/>
    <cellStyle name="Calculation 8 4 2" xfId="5576"/>
    <cellStyle name="Calculation 8 5" xfId="5577"/>
    <cellStyle name="Calculation 8 5 2" xfId="5578"/>
    <cellStyle name="Calculation 8 6" xfId="5579"/>
    <cellStyle name="Calculation 8 6 2" xfId="5580"/>
    <cellStyle name="Calculation 8 7" xfId="5581"/>
    <cellStyle name="Calculation 8 7 2" xfId="5582"/>
    <cellStyle name="Calculation 8 8" xfId="5583"/>
    <cellStyle name="Calculation 8 8 2" xfId="5584"/>
    <cellStyle name="Calculation 8 9" xfId="5585"/>
    <cellStyle name="Calculation 8 9 2" xfId="5586"/>
    <cellStyle name="Calculation 9" xfId="1275"/>
    <cellStyle name="Calculation 9 10" xfId="5587"/>
    <cellStyle name="Calculation 9 11" xfId="5588"/>
    <cellStyle name="Calculation 9 12" xfId="5589"/>
    <cellStyle name="Calculation 9 2" xfId="5590"/>
    <cellStyle name="Calculation 9 2 2" xfId="5591"/>
    <cellStyle name="Calculation 9 2 2 2" xfId="5592"/>
    <cellStyle name="Calculation 9 2 3" xfId="5593"/>
    <cellStyle name="Calculation 9 2 3 2" xfId="5594"/>
    <cellStyle name="Calculation 9 2 4" xfId="5595"/>
    <cellStyle name="Calculation 9 2 4 2" xfId="5596"/>
    <cellStyle name="Calculation 9 2 5" xfId="5597"/>
    <cellStyle name="Calculation 9 2 5 2" xfId="5598"/>
    <cellStyle name="Calculation 9 2 6" xfId="5599"/>
    <cellStyle name="Calculation 9 2 6 2" xfId="5600"/>
    <cellStyle name="Calculation 9 2 7" xfId="5601"/>
    <cellStyle name="Calculation 9 2 7 2" xfId="5602"/>
    <cellStyle name="Calculation 9 2 8" xfId="5603"/>
    <cellStyle name="Calculation 9 2 8 2" xfId="5604"/>
    <cellStyle name="Calculation 9 2 9" xfId="5605"/>
    <cellStyle name="Calculation 9 3" xfId="5606"/>
    <cellStyle name="Calculation 9 3 2" xfId="5607"/>
    <cellStyle name="Calculation 9 4" xfId="5608"/>
    <cellStyle name="Calculation 9 4 2" xfId="5609"/>
    <cellStyle name="Calculation 9 5" xfId="5610"/>
    <cellStyle name="Calculation 9 5 2" xfId="5611"/>
    <cellStyle name="Calculation 9 6" xfId="5612"/>
    <cellStyle name="Calculation 9 6 2" xfId="5613"/>
    <cellStyle name="Calculation 9 7" xfId="5614"/>
    <cellStyle name="Calculation 9 7 2" xfId="5615"/>
    <cellStyle name="Calculation 9 8" xfId="5616"/>
    <cellStyle name="Calculation 9 8 2" xfId="5617"/>
    <cellStyle name="Calculation 9 9" xfId="5618"/>
    <cellStyle name="Calculation 9 9 2" xfId="5619"/>
    <cellStyle name="Check Cell 10" xfId="1276"/>
    <cellStyle name="Check Cell 11" xfId="1277"/>
    <cellStyle name="Check Cell 12" xfId="1278"/>
    <cellStyle name="Check Cell 13" xfId="1279"/>
    <cellStyle name="Check Cell 14" xfId="1280"/>
    <cellStyle name="Check Cell 15" xfId="1281"/>
    <cellStyle name="Check Cell 16" xfId="1282"/>
    <cellStyle name="Check Cell 17" xfId="1283"/>
    <cellStyle name="Check Cell 18" xfId="1284"/>
    <cellStyle name="Check Cell 19" xfId="1285"/>
    <cellStyle name="Check Cell 2" xfId="1286"/>
    <cellStyle name="Check Cell 2 2" xfId="1287"/>
    <cellStyle name="Check Cell 2 2 2" xfId="1288"/>
    <cellStyle name="Check Cell 2 2 2 2" xfId="1289"/>
    <cellStyle name="Check Cell 2 2 2 3" xfId="1290"/>
    <cellStyle name="Check Cell 2 2 2 4" xfId="1291"/>
    <cellStyle name="Check Cell 2 2 2 5" xfId="1292"/>
    <cellStyle name="Check Cell 2 2 3" xfId="1293"/>
    <cellStyle name="Check Cell 2 2 4" xfId="1294"/>
    <cellStyle name="Check Cell 2 2 5" xfId="1295"/>
    <cellStyle name="Check Cell 2 3" xfId="1296"/>
    <cellStyle name="Check Cell 2 4" xfId="1297"/>
    <cellStyle name="Check Cell 2 5" xfId="1298"/>
    <cellStyle name="Check Cell 2 6" xfId="1299"/>
    <cellStyle name="Check Cell 2 7" xfId="1300"/>
    <cellStyle name="Check Cell 2 8" xfId="1301"/>
    <cellStyle name="Check Cell 2 9" xfId="1302"/>
    <cellStyle name="Check Cell 20" xfId="1303"/>
    <cellStyle name="Check Cell 21" xfId="1304"/>
    <cellStyle name="Check Cell 22" xfId="1305"/>
    <cellStyle name="Check Cell 3" xfId="1306"/>
    <cellStyle name="Check Cell 3 2" xfId="5620"/>
    <cellStyle name="Check Cell 4" xfId="1307"/>
    <cellStyle name="Check Cell 5" xfId="1308"/>
    <cellStyle name="Check Cell 6" xfId="1309"/>
    <cellStyle name="Check Cell 7" xfId="1310"/>
    <cellStyle name="Check Cell 8" xfId="1311"/>
    <cellStyle name="Check Cell 9" xfId="1312"/>
    <cellStyle name="CodeEingabe" xfId="5621"/>
    <cellStyle name="ColumnAttributeAbovePrompt" xfId="5622"/>
    <cellStyle name="ColumnAttributeAbovePrompt 2" xfId="5623"/>
    <cellStyle name="ColumnAttributeAbovePrompt 2 2" xfId="5624"/>
    <cellStyle name="ColumnAttributeAbovePrompt 2 3" xfId="5625"/>
    <cellStyle name="ColumnAttributeAbovePrompt 3" xfId="5626"/>
    <cellStyle name="ColumnAttributePrompt" xfId="5627"/>
    <cellStyle name="ColumnAttributePrompt 2" xfId="5628"/>
    <cellStyle name="ColumnAttributePrompt 2 2" xfId="5629"/>
    <cellStyle name="ColumnAttributePrompt 2 3" xfId="5630"/>
    <cellStyle name="ColumnAttributePrompt 3" xfId="5631"/>
    <cellStyle name="ColumnAttributeValue" xfId="5632"/>
    <cellStyle name="ColumnAttributeValue 2" xfId="5633"/>
    <cellStyle name="ColumnAttributeValue 2 2" xfId="5634"/>
    <cellStyle name="ColumnAttributeValue 2 3" xfId="5635"/>
    <cellStyle name="ColumnAttributeValue 3" xfId="5636"/>
    <cellStyle name="ColumnHeadingPrompt" xfId="5637"/>
    <cellStyle name="ColumnHeadingPrompt 2" xfId="5638"/>
    <cellStyle name="ColumnHeadingPrompt 2 2" xfId="5639"/>
    <cellStyle name="ColumnHeadingPrompt 2 3" xfId="5640"/>
    <cellStyle name="ColumnHeadingPrompt 3" xfId="5641"/>
    <cellStyle name="ColumnHeadingValue" xfId="5642"/>
    <cellStyle name="ColumnHeadingValue 2" xfId="5643"/>
    <cellStyle name="ColumnHeadingValue 2 2" xfId="5644"/>
    <cellStyle name="ColumnHeadingValue 3" xfId="5645"/>
    <cellStyle name="Comma" xfId="1" builtinId="3"/>
    <cellStyle name="Comma [0] 2" xfId="5646"/>
    <cellStyle name="Comma [0] 2 2" xfId="5647"/>
    <cellStyle name="Comma [0] 3" xfId="5648"/>
    <cellStyle name="Comma [0] 3 2" xfId="5649"/>
    <cellStyle name="Comma [0] 3 2 2" xfId="5650"/>
    <cellStyle name="Comma [0] 3 2 2 2" xfId="5651"/>
    <cellStyle name="Comma [0] 3 2 3" xfId="5652"/>
    <cellStyle name="Comma [0] 3 2 4" xfId="5653"/>
    <cellStyle name="Comma [0] 3 3" xfId="5654"/>
    <cellStyle name="Comma [0] 3 4" xfId="5655"/>
    <cellStyle name="Comma [0] 3 4 2" xfId="5656"/>
    <cellStyle name="Comma [0] 3 5" xfId="5657"/>
    <cellStyle name="Comma [0] 4" xfId="5658"/>
    <cellStyle name="Comma [0] 4 2" xfId="5659"/>
    <cellStyle name="Comma [0] 5" xfId="5660"/>
    <cellStyle name="Comma [0] 5 2" xfId="5661"/>
    <cellStyle name="Comma [0] 5 2 2" xfId="5662"/>
    <cellStyle name="Comma [0] 5 2 3" xfId="5663"/>
    <cellStyle name="Comma [0] 5 3" xfId="5664"/>
    <cellStyle name="Comma [0] 5 4" xfId="5665"/>
    <cellStyle name="Comma [0] 6" xfId="5666"/>
    <cellStyle name="Comma [0] 6 2" xfId="5667"/>
    <cellStyle name="Comma [0] 6 2 2" xfId="5668"/>
    <cellStyle name="Comma [0] 6 3" xfId="5669"/>
    <cellStyle name="Comma 10" xfId="1313"/>
    <cellStyle name="Comma 10 2" xfId="5670"/>
    <cellStyle name="Comma 10 2 2" xfId="5671"/>
    <cellStyle name="Comma 10 2 2 2" xfId="5672"/>
    <cellStyle name="Comma 10 2 2 2 2" xfId="5673"/>
    <cellStyle name="Comma 10 2 2 2 2 2" xfId="5674"/>
    <cellStyle name="Comma 10 2 2 2 2 2 2" xfId="5675"/>
    <cellStyle name="Comma 10 2 2 2 2 3" xfId="5676"/>
    <cellStyle name="Comma 10 2 2 2 3" xfId="5677"/>
    <cellStyle name="Comma 10 2 2 2 3 2" xfId="5678"/>
    <cellStyle name="Comma 10 2 2 2 4" xfId="5679"/>
    <cellStyle name="Comma 10 2 2 3" xfId="5680"/>
    <cellStyle name="Comma 10 2 2 3 2" xfId="5681"/>
    <cellStyle name="Comma 10 2 2 3 2 2" xfId="5682"/>
    <cellStyle name="Comma 10 2 2 3 3" xfId="5683"/>
    <cellStyle name="Comma 10 2 2 4" xfId="5684"/>
    <cellStyle name="Comma 10 2 2 4 2" xfId="5685"/>
    <cellStyle name="Comma 10 2 2 5" xfId="5686"/>
    <cellStyle name="Comma 10 2 2 6" xfId="5687"/>
    <cellStyle name="Comma 10 2 3" xfId="5688"/>
    <cellStyle name="Comma 10 2 3 2" xfId="5689"/>
    <cellStyle name="Comma 10 2 3 2 2" xfId="5690"/>
    <cellStyle name="Comma 10 2 3 2 2 2" xfId="5691"/>
    <cellStyle name="Comma 10 2 3 2 3" xfId="5692"/>
    <cellStyle name="Comma 10 2 3 3" xfId="5693"/>
    <cellStyle name="Comma 10 2 3 3 2" xfId="5694"/>
    <cellStyle name="Comma 10 2 3 4" xfId="5695"/>
    <cellStyle name="Comma 10 2 4" xfId="5696"/>
    <cellStyle name="Comma 10 2 4 2" xfId="5697"/>
    <cellStyle name="Comma 10 2 4 2 2" xfId="5698"/>
    <cellStyle name="Comma 10 2 4 3" xfId="5699"/>
    <cellStyle name="Comma 10 2 5" xfId="5700"/>
    <cellStyle name="Comma 10 2 5 2" xfId="5701"/>
    <cellStyle name="Comma 10 2 6" xfId="5702"/>
    <cellStyle name="Comma 10 2 7" xfId="5703"/>
    <cellStyle name="Comma 10 3" xfId="5704"/>
    <cellStyle name="Comma 10 3 2" xfId="5705"/>
    <cellStyle name="Comma 10 3 2 2" xfId="5706"/>
    <cellStyle name="Comma 10 3 2 2 2" xfId="5707"/>
    <cellStyle name="Comma 10 3 2 2 2 2" xfId="5708"/>
    <cellStyle name="Comma 10 3 2 2 3" xfId="5709"/>
    <cellStyle name="Comma 10 3 2 3" xfId="5710"/>
    <cellStyle name="Comma 10 3 2 3 2" xfId="5711"/>
    <cellStyle name="Comma 10 3 2 4" xfId="5712"/>
    <cellStyle name="Comma 10 3 3" xfId="5713"/>
    <cellStyle name="Comma 10 3 3 2" xfId="5714"/>
    <cellStyle name="Comma 10 3 3 2 2" xfId="5715"/>
    <cellStyle name="Comma 10 3 3 3" xfId="5716"/>
    <cellStyle name="Comma 10 3 4" xfId="5717"/>
    <cellStyle name="Comma 10 3 4 2" xfId="5718"/>
    <cellStyle name="Comma 10 3 5" xfId="5719"/>
    <cellStyle name="Comma 10 3 6" xfId="5720"/>
    <cellStyle name="Comma 10 4" xfId="5721"/>
    <cellStyle name="Comma 10 4 2" xfId="5722"/>
    <cellStyle name="Comma 10 4 2 2" xfId="5723"/>
    <cellStyle name="Comma 10 4 2 2 2" xfId="5724"/>
    <cellStyle name="Comma 10 4 2 3" xfId="5725"/>
    <cellStyle name="Comma 10 4 3" xfId="5726"/>
    <cellStyle name="Comma 10 4 3 2" xfId="5727"/>
    <cellStyle name="Comma 10 4 4" xfId="5728"/>
    <cellStyle name="Comma 10 5" xfId="5729"/>
    <cellStyle name="Comma 10 5 2" xfId="5730"/>
    <cellStyle name="Comma 10 5 2 2" xfId="5731"/>
    <cellStyle name="Comma 10 5 3" xfId="5732"/>
    <cellStyle name="Comma 10 6" xfId="5733"/>
    <cellStyle name="Comma 10 6 2" xfId="5734"/>
    <cellStyle name="Comma 10 7" xfId="5735"/>
    <cellStyle name="Comma 10 8" xfId="5736"/>
    <cellStyle name="Comma 10 9" xfId="5737"/>
    <cellStyle name="Comma 11" xfId="1314"/>
    <cellStyle name="Comma 11 10" xfId="5738"/>
    <cellStyle name="Comma 11 2" xfId="5739"/>
    <cellStyle name="Comma 11 2 2" xfId="5740"/>
    <cellStyle name="Comma 11 2 2 2" xfId="5741"/>
    <cellStyle name="Comma 11 2 2 2 2" xfId="5742"/>
    <cellStyle name="Comma 11 2 2 2 3" xfId="5743"/>
    <cellStyle name="Comma 11 2 2 3" xfId="5744"/>
    <cellStyle name="Comma 11 2 2 3 2" xfId="5745"/>
    <cellStyle name="Comma 11 2 2 4" xfId="5746"/>
    <cellStyle name="Comma 11 2 2 5" xfId="5747"/>
    <cellStyle name="Comma 11 2 3" xfId="5748"/>
    <cellStyle name="Comma 11 2 3 2" xfId="5749"/>
    <cellStyle name="Comma 11 2 3 3" xfId="5750"/>
    <cellStyle name="Comma 11 2 4" xfId="5751"/>
    <cellStyle name="Comma 11 2 4 2" xfId="5752"/>
    <cellStyle name="Comma 11 2 5" xfId="5753"/>
    <cellStyle name="Comma 11 2 6" xfId="5754"/>
    <cellStyle name="Comma 11 3" xfId="5755"/>
    <cellStyle name="Comma 11 3 2" xfId="5756"/>
    <cellStyle name="Comma 11 3 2 2" xfId="5757"/>
    <cellStyle name="Comma 11 3 2 2 2" xfId="5758"/>
    <cellStyle name="Comma 11 3 2 3" xfId="5759"/>
    <cellStyle name="Comma 11 3 2 4" xfId="5760"/>
    <cellStyle name="Comma 11 3 2 5" xfId="5761"/>
    <cellStyle name="Comma 11 3 3" xfId="5762"/>
    <cellStyle name="Comma 11 3 3 2" xfId="5763"/>
    <cellStyle name="Comma 11 3 4" xfId="5764"/>
    <cellStyle name="Comma 11 3 5" xfId="5765"/>
    <cellStyle name="Comma 11 3 6" xfId="5766"/>
    <cellStyle name="Comma 11 4" xfId="5767"/>
    <cellStyle name="Comma 11 4 2" xfId="5768"/>
    <cellStyle name="Comma 11 4 2 2" xfId="5769"/>
    <cellStyle name="Comma 11 4 3" xfId="5770"/>
    <cellStyle name="Comma 11 4 4" xfId="5771"/>
    <cellStyle name="Comma 11 4 5" xfId="5772"/>
    <cellStyle name="Comma 11 5" xfId="5773"/>
    <cellStyle name="Comma 11 5 2" xfId="5774"/>
    <cellStyle name="Comma 11 5 2 2" xfId="5775"/>
    <cellStyle name="Comma 11 5 3" xfId="5776"/>
    <cellStyle name="Comma 11 5 4" xfId="5777"/>
    <cellStyle name="Comma 11 5 5" xfId="5778"/>
    <cellStyle name="Comma 11 6" xfId="5779"/>
    <cellStyle name="Comma 11 6 2" xfId="5780"/>
    <cellStyle name="Comma 11 6 3" xfId="5781"/>
    <cellStyle name="Comma 11 7" xfId="5782"/>
    <cellStyle name="Comma 11 7 2" xfId="5783"/>
    <cellStyle name="Comma 11 8" xfId="5784"/>
    <cellStyle name="Comma 11 9" xfId="5785"/>
    <cellStyle name="Comma 12" xfId="1315"/>
    <cellStyle name="Comma 12 2" xfId="5786"/>
    <cellStyle name="Comma 12 2 2" xfId="5787"/>
    <cellStyle name="Comma 12 2 3" xfId="5788"/>
    <cellStyle name="Comma 12 3" xfId="5789"/>
    <cellStyle name="Comma 12 3 2" xfId="5790"/>
    <cellStyle name="Comma 12 4" xfId="5791"/>
    <cellStyle name="Comma 12 5" xfId="5792"/>
    <cellStyle name="Comma 12 6" xfId="5793"/>
    <cellStyle name="Comma 13" xfId="1316"/>
    <cellStyle name="Comma 13 2" xfId="5794"/>
    <cellStyle name="Comma 13 2 2" xfId="5795"/>
    <cellStyle name="Comma 13 2 3" xfId="5796"/>
    <cellStyle name="Comma 13 2 4" xfId="5797"/>
    <cellStyle name="Comma 13 3" xfId="5798"/>
    <cellStyle name="Comma 13 3 2" xfId="5799"/>
    <cellStyle name="Comma 13 4" xfId="5800"/>
    <cellStyle name="Comma 13 5" xfId="5801"/>
    <cellStyle name="Comma 13 6" xfId="5802"/>
    <cellStyle name="Comma 14" xfId="1317"/>
    <cellStyle name="Comma 14 2" xfId="5803"/>
    <cellStyle name="Comma 14 2 2" xfId="5804"/>
    <cellStyle name="Comma 14 3" xfId="5805"/>
    <cellStyle name="Comma 14 4" xfId="5806"/>
    <cellStyle name="Comma 14 5" xfId="5807"/>
    <cellStyle name="Comma 15" xfId="1318"/>
    <cellStyle name="Comma 15 2" xfId="5808"/>
    <cellStyle name="Comma 15 2 2" xfId="5809"/>
    <cellStyle name="Comma 15 3" xfId="5810"/>
    <cellStyle name="Comma 15 4" xfId="5811"/>
    <cellStyle name="Comma 15 5" xfId="5812"/>
    <cellStyle name="Comma 16" xfId="12"/>
    <cellStyle name="Comma 16 2" xfId="5813"/>
    <cellStyle name="Comma 16 2 2" xfId="5814"/>
    <cellStyle name="Comma 16 3" xfId="5815"/>
    <cellStyle name="Comma 16 4" xfId="5816"/>
    <cellStyle name="Comma 16 5" xfId="5817"/>
    <cellStyle name="Comma 17" xfId="1319"/>
    <cellStyle name="Comma 17 2" xfId="5818"/>
    <cellStyle name="Comma 17 2 2" xfId="5819"/>
    <cellStyle name="Comma 17 3" xfId="5820"/>
    <cellStyle name="Comma 17 4" xfId="5821"/>
    <cellStyle name="Comma 17 5" xfId="5822"/>
    <cellStyle name="Comma 18" xfId="2110"/>
    <cellStyle name="Comma 18 2" xfId="5823"/>
    <cellStyle name="Comma 18 2 2" xfId="5824"/>
    <cellStyle name="Comma 18 3" xfId="5825"/>
    <cellStyle name="Comma 18 4" xfId="5826"/>
    <cellStyle name="Comma 18 5" xfId="5827"/>
    <cellStyle name="Comma 19" xfId="5828"/>
    <cellStyle name="Comma 19 2" xfId="5829"/>
    <cellStyle name="Comma 2" xfId="7"/>
    <cellStyle name="Comma 2 10" xfId="1320"/>
    <cellStyle name="Comma 2 10 2" xfId="5830"/>
    <cellStyle name="Comma 2 10 2 2" xfId="5831"/>
    <cellStyle name="Comma 2 10 2 2 2" xfId="5832"/>
    <cellStyle name="Comma 2 10 2 3" xfId="5833"/>
    <cellStyle name="Comma 2 10 2 4" xfId="5834"/>
    <cellStyle name="Comma 2 10 2 5" xfId="5835"/>
    <cellStyle name="Comma 2 10 3" xfId="5836"/>
    <cellStyle name="Comma 2 10 3 2" xfId="5837"/>
    <cellStyle name="Comma 2 10 3 2 2" xfId="5838"/>
    <cellStyle name="Comma 2 10 3 3" xfId="5839"/>
    <cellStyle name="Comma 2 10 3 4" xfId="5840"/>
    <cellStyle name="Comma 2 10 3 5" xfId="5841"/>
    <cellStyle name="Comma 2 10 4" xfId="5842"/>
    <cellStyle name="Comma 2 11" xfId="1321"/>
    <cellStyle name="Comma 2 11 2" xfId="5843"/>
    <cellStyle name="Comma 2 11 2 2" xfId="5844"/>
    <cellStyle name="Comma 2 11 2 2 2" xfId="5845"/>
    <cellStyle name="Comma 2 11 2 3" xfId="5846"/>
    <cellStyle name="Comma 2 11 2 4" xfId="5847"/>
    <cellStyle name="Comma 2 11 2 5" xfId="5848"/>
    <cellStyle name="Comma 2 11 2 6" xfId="5849"/>
    <cellStyle name="Comma 2 11 3" xfId="5850"/>
    <cellStyle name="Comma 2 12" xfId="1322"/>
    <cellStyle name="Comma 2 12 2" xfId="5851"/>
    <cellStyle name="Comma 2 12 3" xfId="5852"/>
    <cellStyle name="Comma 2 13" xfId="1323"/>
    <cellStyle name="Comma 2 13 2" xfId="5853"/>
    <cellStyle name="Comma 2 14" xfId="1324"/>
    <cellStyle name="Comma 2 14 2" xfId="5854"/>
    <cellStyle name="Comma 2 15" xfId="1325"/>
    <cellStyle name="Comma 2 15 2" xfId="5855"/>
    <cellStyle name="Comma 2 16" xfId="1326"/>
    <cellStyle name="Comma 2 17" xfId="1327"/>
    <cellStyle name="Comma 2 18" xfId="1328"/>
    <cellStyle name="Comma 2 19" xfId="1329"/>
    <cellStyle name="Comma 2 2" xfId="1330"/>
    <cellStyle name="Comma 2 2 2" xfId="5856"/>
    <cellStyle name="Comma 2 2 2 2" xfId="5857"/>
    <cellStyle name="Comma 2 2 2 2 2" xfId="5858"/>
    <cellStyle name="Comma 2 2 2 2 2 2" xfId="5859"/>
    <cellStyle name="Comma 2 2 2 2 2 2 2" xfId="5860"/>
    <cellStyle name="Comma 2 2 2 2 2 3" xfId="5861"/>
    <cellStyle name="Comma 2 2 2 2 2 4" xfId="5862"/>
    <cellStyle name="Comma 2 2 2 2 3" xfId="5863"/>
    <cellStyle name="Comma 2 2 2 2 3 2" xfId="5864"/>
    <cellStyle name="Comma 2 2 2 2 4" xfId="5865"/>
    <cellStyle name="Comma 2 2 2 2 5" xfId="5866"/>
    <cellStyle name="Comma 2 2 2 2 6" xfId="5867"/>
    <cellStyle name="Comma 2 2 2 3" xfId="5868"/>
    <cellStyle name="Comma 2 2 2 3 2" xfId="5869"/>
    <cellStyle name="Comma 2 2 2 3 2 2" xfId="5870"/>
    <cellStyle name="Comma 2 2 2 3 3" xfId="5871"/>
    <cellStyle name="Comma 2 2 2 3 4" xfId="5872"/>
    <cellStyle name="Comma 2 2 2 4" xfId="5873"/>
    <cellStyle name="Comma 2 2 2 4 2" xfId="5874"/>
    <cellStyle name="Comma 2 2 2 5" xfId="5875"/>
    <cellStyle name="Comma 2 2 2 5 2" xfId="5876"/>
    <cellStyle name="Comma 2 2 2 6" xfId="5877"/>
    <cellStyle name="Comma 2 2 2 7" xfId="5878"/>
    <cellStyle name="Comma 2 2 2 8" xfId="5879"/>
    <cellStyle name="Comma 2 2 3" xfId="5880"/>
    <cellStyle name="Comma 2 2 3 2" xfId="5881"/>
    <cellStyle name="Comma 2 2 3 3" xfId="5882"/>
    <cellStyle name="Comma 2 2 4" xfId="5883"/>
    <cellStyle name="Comma 2 2 5" xfId="5884"/>
    <cellStyle name="Comma 2 20" xfId="1331"/>
    <cellStyle name="Comma 2 21" xfId="1332"/>
    <cellStyle name="Comma 2 3" xfId="1333"/>
    <cellStyle name="Comma 2 3 2" xfId="5885"/>
    <cellStyle name="Comma 2 3 2 2" xfId="5886"/>
    <cellStyle name="Comma 2 3 2 2 2" xfId="5887"/>
    <cellStyle name="Comma 2 3 2 2 2 2" xfId="5888"/>
    <cellStyle name="Comma 2 3 2 2 2 2 2" xfId="5889"/>
    <cellStyle name="Comma 2 3 2 2 2 3" xfId="5890"/>
    <cellStyle name="Comma 2 3 2 2 3" xfId="5891"/>
    <cellStyle name="Comma 2 3 2 2 3 2" xfId="5892"/>
    <cellStyle name="Comma 2 3 2 2 4" xfId="5893"/>
    <cellStyle name="Comma 2 3 2 2 5" xfId="5894"/>
    <cellStyle name="Comma 2 3 2 2 6" xfId="5895"/>
    <cellStyle name="Comma 2 3 2 3" xfId="5896"/>
    <cellStyle name="Comma 2 3 2 3 2" xfId="5897"/>
    <cellStyle name="Comma 2 3 2 3 2 2" xfId="5898"/>
    <cellStyle name="Comma 2 3 2 3 3" xfId="5899"/>
    <cellStyle name="Comma 2 3 2 3 4" xfId="5900"/>
    <cellStyle name="Comma 2 3 2 4" xfId="5901"/>
    <cellStyle name="Comma 2 3 2 4 2" xfId="5902"/>
    <cellStyle name="Comma 2 3 2 5" xfId="5903"/>
    <cellStyle name="Comma 2 3 2 5 2" xfId="5904"/>
    <cellStyle name="Comma 2 3 2 6" xfId="5905"/>
    <cellStyle name="Comma 2 3 2 7" xfId="5906"/>
    <cellStyle name="Comma 2 3 2 8" xfId="5907"/>
    <cellStyle name="Comma 2 3 3" xfId="5908"/>
    <cellStyle name="Comma 2 3 3 2" xfId="5909"/>
    <cellStyle name="Comma 2 3 3 2 2" xfId="5910"/>
    <cellStyle name="Comma 2 3 3 2 2 2" xfId="5911"/>
    <cellStyle name="Comma 2 3 3 2 3" xfId="5912"/>
    <cellStyle name="Comma 2 3 3 3" xfId="5913"/>
    <cellStyle name="Comma 2 3 3 3 2" xfId="5914"/>
    <cellStyle name="Comma 2 3 3 4" xfId="5915"/>
    <cellStyle name="Comma 2 3 3 5" xfId="5916"/>
    <cellStyle name="Comma 2 3 3 6" xfId="5917"/>
    <cellStyle name="Comma 2 3 4" xfId="5918"/>
    <cellStyle name="Comma 2 3 4 2" xfId="5919"/>
    <cellStyle name="Comma 2 3 4 2 2" xfId="5920"/>
    <cellStyle name="Comma 2 3 4 3" xfId="5921"/>
    <cellStyle name="Comma 2 3 4 4" xfId="5922"/>
    <cellStyle name="Comma 2 3 5" xfId="5923"/>
    <cellStyle name="Comma 2 3 5 2" xfId="5924"/>
    <cellStyle name="Comma 2 3 6" xfId="5925"/>
    <cellStyle name="Comma 2 3 7" xfId="5926"/>
    <cellStyle name="Comma 2 4" xfId="1334"/>
    <cellStyle name="Comma 2 4 2" xfId="5927"/>
    <cellStyle name="Comma 2 4 2 10" xfId="5928"/>
    <cellStyle name="Comma 2 4 2 2" xfId="5929"/>
    <cellStyle name="Comma 2 4 2 2 2" xfId="5930"/>
    <cellStyle name="Comma 2 4 2 2 2 2" xfId="5931"/>
    <cellStyle name="Comma 2 4 2 2 2 2 2" xfId="5932"/>
    <cellStyle name="Comma 2 4 2 2 2 2 2 2" xfId="5933"/>
    <cellStyle name="Comma 2 4 2 2 2 2 2 3" xfId="5934"/>
    <cellStyle name="Comma 2 4 2 2 2 2 3" xfId="5935"/>
    <cellStyle name="Comma 2 4 2 2 2 2 3 2" xfId="5936"/>
    <cellStyle name="Comma 2 4 2 2 2 2 4" xfId="5937"/>
    <cellStyle name="Comma 2 4 2 2 2 2 5" xfId="5938"/>
    <cellStyle name="Comma 2 4 2 2 2 3" xfId="5939"/>
    <cellStyle name="Comma 2 4 2 2 2 3 2" xfId="5940"/>
    <cellStyle name="Comma 2 4 2 2 2 3 3" xfId="5941"/>
    <cellStyle name="Comma 2 4 2 2 2 4" xfId="5942"/>
    <cellStyle name="Comma 2 4 2 2 2 4 2" xfId="5943"/>
    <cellStyle name="Comma 2 4 2 2 2 5" xfId="5944"/>
    <cellStyle name="Comma 2 4 2 2 2 6" xfId="5945"/>
    <cellStyle name="Comma 2 4 2 2 3" xfId="5946"/>
    <cellStyle name="Comma 2 4 2 2 3 2" xfId="5947"/>
    <cellStyle name="Comma 2 4 2 2 3 2 2" xfId="5948"/>
    <cellStyle name="Comma 2 4 2 2 3 2 2 2" xfId="5949"/>
    <cellStyle name="Comma 2 4 2 2 3 2 3" xfId="5950"/>
    <cellStyle name="Comma 2 4 2 2 3 2 4" xfId="5951"/>
    <cellStyle name="Comma 2 4 2 2 3 2 5" xfId="5952"/>
    <cellStyle name="Comma 2 4 2 2 3 3" xfId="5953"/>
    <cellStyle name="Comma 2 4 2 2 3 3 2" xfId="5954"/>
    <cellStyle name="Comma 2 4 2 2 3 4" xfId="5955"/>
    <cellStyle name="Comma 2 4 2 2 3 5" xfId="5956"/>
    <cellStyle name="Comma 2 4 2 2 3 6" xfId="5957"/>
    <cellStyle name="Comma 2 4 2 2 4" xfId="5958"/>
    <cellStyle name="Comma 2 4 2 2 4 2" xfId="5959"/>
    <cellStyle name="Comma 2 4 2 2 4 2 2" xfId="5960"/>
    <cellStyle name="Comma 2 4 2 2 4 3" xfId="5961"/>
    <cellStyle name="Comma 2 4 2 2 4 4" xfId="5962"/>
    <cellStyle name="Comma 2 4 2 2 4 5" xfId="5963"/>
    <cellStyle name="Comma 2 4 2 2 5" xfId="5964"/>
    <cellStyle name="Comma 2 4 2 2 5 2" xfId="5965"/>
    <cellStyle name="Comma 2 4 2 2 5 2 2" xfId="5966"/>
    <cellStyle name="Comma 2 4 2 2 5 3" xfId="5967"/>
    <cellStyle name="Comma 2 4 2 2 5 4" xfId="5968"/>
    <cellStyle name="Comma 2 4 2 2 5 5" xfId="5969"/>
    <cellStyle name="Comma 2 4 2 2 6" xfId="5970"/>
    <cellStyle name="Comma 2 4 2 2 6 2" xfId="5971"/>
    <cellStyle name="Comma 2 4 2 2 7" xfId="5972"/>
    <cellStyle name="Comma 2 4 2 2 8" xfId="5973"/>
    <cellStyle name="Comma 2 4 2 2 9" xfId="5974"/>
    <cellStyle name="Comma 2 4 2 3" xfId="5975"/>
    <cellStyle name="Comma 2 4 2 3 2" xfId="5976"/>
    <cellStyle name="Comma 2 4 2 3 2 2" xfId="5977"/>
    <cellStyle name="Comma 2 4 2 3 2 2 2" xfId="5978"/>
    <cellStyle name="Comma 2 4 2 3 2 2 3" xfId="5979"/>
    <cellStyle name="Comma 2 4 2 3 2 3" xfId="5980"/>
    <cellStyle name="Comma 2 4 2 3 2 3 2" xfId="5981"/>
    <cellStyle name="Comma 2 4 2 3 2 4" xfId="5982"/>
    <cellStyle name="Comma 2 4 2 3 2 5" xfId="5983"/>
    <cellStyle name="Comma 2 4 2 3 3" xfId="5984"/>
    <cellStyle name="Comma 2 4 2 3 3 2" xfId="5985"/>
    <cellStyle name="Comma 2 4 2 3 3 3" xfId="5986"/>
    <cellStyle name="Comma 2 4 2 3 4" xfId="5987"/>
    <cellStyle name="Comma 2 4 2 3 4 2" xfId="5988"/>
    <cellStyle name="Comma 2 4 2 3 5" xfId="5989"/>
    <cellStyle name="Comma 2 4 2 3 6" xfId="5990"/>
    <cellStyle name="Comma 2 4 2 4" xfId="5991"/>
    <cellStyle name="Comma 2 4 2 4 2" xfId="5992"/>
    <cellStyle name="Comma 2 4 2 4 2 2" xfId="5993"/>
    <cellStyle name="Comma 2 4 2 4 2 2 2" xfId="5994"/>
    <cellStyle name="Comma 2 4 2 4 2 3" xfId="5995"/>
    <cellStyle name="Comma 2 4 2 4 2 4" xfId="5996"/>
    <cellStyle name="Comma 2 4 2 4 2 5" xfId="5997"/>
    <cellStyle name="Comma 2 4 2 4 3" xfId="5998"/>
    <cellStyle name="Comma 2 4 2 4 3 2" xfId="5999"/>
    <cellStyle name="Comma 2 4 2 4 4" xfId="6000"/>
    <cellStyle name="Comma 2 4 2 4 5" xfId="6001"/>
    <cellStyle name="Comma 2 4 2 4 6" xfId="6002"/>
    <cellStyle name="Comma 2 4 2 5" xfId="6003"/>
    <cellStyle name="Comma 2 4 2 5 2" xfId="6004"/>
    <cellStyle name="Comma 2 4 2 5 2 2" xfId="6005"/>
    <cellStyle name="Comma 2 4 2 5 3" xfId="6006"/>
    <cellStyle name="Comma 2 4 2 5 4" xfId="6007"/>
    <cellStyle name="Comma 2 4 2 5 5" xfId="6008"/>
    <cellStyle name="Comma 2 4 2 6" xfId="6009"/>
    <cellStyle name="Comma 2 4 2 6 2" xfId="6010"/>
    <cellStyle name="Comma 2 4 2 6 2 2" xfId="6011"/>
    <cellStyle name="Comma 2 4 2 6 3" xfId="6012"/>
    <cellStyle name="Comma 2 4 2 6 4" xfId="6013"/>
    <cellStyle name="Comma 2 4 2 6 5" xfId="6014"/>
    <cellStyle name="Comma 2 4 2 7" xfId="6015"/>
    <cellStyle name="Comma 2 4 2 7 2" xfId="6016"/>
    <cellStyle name="Comma 2 4 2 8" xfId="6017"/>
    <cellStyle name="Comma 2 4 2 9" xfId="6018"/>
    <cellStyle name="Comma 2 4 3" xfId="6019"/>
    <cellStyle name="Comma 2 4 3 2" xfId="6020"/>
    <cellStyle name="Comma 2 4 3 2 2" xfId="6021"/>
    <cellStyle name="Comma 2 4 3 2 2 2" xfId="6022"/>
    <cellStyle name="Comma 2 4 3 2 2 2 2" xfId="6023"/>
    <cellStyle name="Comma 2 4 3 2 2 2 3" xfId="6024"/>
    <cellStyle name="Comma 2 4 3 2 2 3" xfId="6025"/>
    <cellStyle name="Comma 2 4 3 2 2 3 2" xfId="6026"/>
    <cellStyle name="Comma 2 4 3 2 2 4" xfId="6027"/>
    <cellStyle name="Comma 2 4 3 2 2 5" xfId="6028"/>
    <cellStyle name="Comma 2 4 3 2 3" xfId="6029"/>
    <cellStyle name="Comma 2 4 3 2 3 2" xfId="6030"/>
    <cellStyle name="Comma 2 4 3 2 3 3" xfId="6031"/>
    <cellStyle name="Comma 2 4 3 2 4" xfId="6032"/>
    <cellStyle name="Comma 2 4 3 2 4 2" xfId="6033"/>
    <cellStyle name="Comma 2 4 3 2 5" xfId="6034"/>
    <cellStyle name="Comma 2 4 3 2 6" xfId="6035"/>
    <cellStyle name="Comma 2 4 3 3" xfId="6036"/>
    <cellStyle name="Comma 2 4 3 3 2" xfId="6037"/>
    <cellStyle name="Comma 2 4 3 3 2 2" xfId="6038"/>
    <cellStyle name="Comma 2 4 3 3 2 2 2" xfId="6039"/>
    <cellStyle name="Comma 2 4 3 3 2 3" xfId="6040"/>
    <cellStyle name="Comma 2 4 3 3 2 4" xfId="6041"/>
    <cellStyle name="Comma 2 4 3 3 2 5" xfId="6042"/>
    <cellStyle name="Comma 2 4 3 3 3" xfId="6043"/>
    <cellStyle name="Comma 2 4 3 3 3 2" xfId="6044"/>
    <cellStyle name="Comma 2 4 3 3 4" xfId="6045"/>
    <cellStyle name="Comma 2 4 3 3 5" xfId="6046"/>
    <cellStyle name="Comma 2 4 3 3 6" xfId="6047"/>
    <cellStyle name="Comma 2 4 3 4" xfId="6048"/>
    <cellStyle name="Comma 2 4 3 4 2" xfId="6049"/>
    <cellStyle name="Comma 2 4 3 4 2 2" xfId="6050"/>
    <cellStyle name="Comma 2 4 3 4 3" xfId="6051"/>
    <cellStyle name="Comma 2 4 3 4 4" xfId="6052"/>
    <cellStyle name="Comma 2 4 3 4 5" xfId="6053"/>
    <cellStyle name="Comma 2 4 3 5" xfId="6054"/>
    <cellStyle name="Comma 2 4 3 5 2" xfId="6055"/>
    <cellStyle name="Comma 2 4 3 5 2 2" xfId="6056"/>
    <cellStyle name="Comma 2 4 3 5 3" xfId="6057"/>
    <cellStyle name="Comma 2 4 3 5 4" xfId="6058"/>
    <cellStyle name="Comma 2 4 3 5 5" xfId="6059"/>
    <cellStyle name="Comma 2 4 3 6" xfId="6060"/>
    <cellStyle name="Comma 2 4 3 6 2" xfId="6061"/>
    <cellStyle name="Comma 2 4 3 7" xfId="6062"/>
    <cellStyle name="Comma 2 4 3 8" xfId="6063"/>
    <cellStyle name="Comma 2 4 3 9" xfId="6064"/>
    <cellStyle name="Comma 2 4 4" xfId="6065"/>
    <cellStyle name="Comma 2 4 4 2" xfId="6066"/>
    <cellStyle name="Comma 2 4 4 2 2" xfId="6067"/>
    <cellStyle name="Comma 2 4 4 2 2 2" xfId="6068"/>
    <cellStyle name="Comma 2 4 4 2 2 3" xfId="6069"/>
    <cellStyle name="Comma 2 4 4 2 3" xfId="6070"/>
    <cellStyle name="Comma 2 4 4 2 3 2" xfId="6071"/>
    <cellStyle name="Comma 2 4 4 2 4" xfId="6072"/>
    <cellStyle name="Comma 2 4 4 2 5" xfId="6073"/>
    <cellStyle name="Comma 2 4 4 3" xfId="6074"/>
    <cellStyle name="Comma 2 4 4 3 2" xfId="6075"/>
    <cellStyle name="Comma 2 4 4 3 3" xfId="6076"/>
    <cellStyle name="Comma 2 4 4 4" xfId="6077"/>
    <cellStyle name="Comma 2 4 4 4 2" xfId="6078"/>
    <cellStyle name="Comma 2 4 4 5" xfId="6079"/>
    <cellStyle name="Comma 2 4 4 6" xfId="6080"/>
    <cellStyle name="Comma 2 4 5" xfId="6081"/>
    <cellStyle name="Comma 2 4 5 2" xfId="6082"/>
    <cellStyle name="Comma 2 4 5 2 2" xfId="6083"/>
    <cellStyle name="Comma 2 4 5 2 2 2" xfId="6084"/>
    <cellStyle name="Comma 2 4 5 2 3" xfId="6085"/>
    <cellStyle name="Comma 2 4 5 2 4" xfId="6086"/>
    <cellStyle name="Comma 2 4 5 2 5" xfId="6087"/>
    <cellStyle name="Comma 2 4 5 3" xfId="6088"/>
    <cellStyle name="Comma 2 4 5 3 2" xfId="6089"/>
    <cellStyle name="Comma 2 4 5 4" xfId="6090"/>
    <cellStyle name="Comma 2 4 5 5" xfId="6091"/>
    <cellStyle name="Comma 2 4 5 6" xfId="6092"/>
    <cellStyle name="Comma 2 4 6" xfId="6093"/>
    <cellStyle name="Comma 2 4 6 2" xfId="6094"/>
    <cellStyle name="Comma 2 4 6 2 2" xfId="6095"/>
    <cellStyle name="Comma 2 4 6 3" xfId="6096"/>
    <cellStyle name="Comma 2 4 6 4" xfId="6097"/>
    <cellStyle name="Comma 2 4 6 5" xfId="6098"/>
    <cellStyle name="Comma 2 4 7" xfId="6099"/>
    <cellStyle name="Comma 2 4 7 2" xfId="6100"/>
    <cellStyle name="Comma 2 4 7 2 2" xfId="6101"/>
    <cellStyle name="Comma 2 4 7 3" xfId="6102"/>
    <cellStyle name="Comma 2 4 7 4" xfId="6103"/>
    <cellStyle name="Comma 2 4 7 5" xfId="6104"/>
    <cellStyle name="Comma 2 4 8" xfId="6105"/>
    <cellStyle name="Comma 2 4 8 2" xfId="6106"/>
    <cellStyle name="Comma 2 4 8 2 2" xfId="6107"/>
    <cellStyle name="Comma 2 4 8 3" xfId="6108"/>
    <cellStyle name="Comma 2 4 8 4" xfId="6109"/>
    <cellStyle name="Comma 2 4 8 5" xfId="6110"/>
    <cellStyle name="Comma 2 4 9" xfId="6111"/>
    <cellStyle name="Comma 2 5" xfId="1335"/>
    <cellStyle name="Comma 2 5 2" xfId="6112"/>
    <cellStyle name="Comma 2 5 2 10" xfId="6113"/>
    <cellStyle name="Comma 2 5 2 2" xfId="6114"/>
    <cellStyle name="Comma 2 5 2 2 2" xfId="6115"/>
    <cellStyle name="Comma 2 5 2 2 2 2" xfId="6116"/>
    <cellStyle name="Comma 2 5 2 2 2 2 2" xfId="6117"/>
    <cellStyle name="Comma 2 5 2 2 2 2 2 2" xfId="6118"/>
    <cellStyle name="Comma 2 5 2 2 2 2 2 3" xfId="6119"/>
    <cellStyle name="Comma 2 5 2 2 2 2 3" xfId="6120"/>
    <cellStyle name="Comma 2 5 2 2 2 2 3 2" xfId="6121"/>
    <cellStyle name="Comma 2 5 2 2 2 2 4" xfId="6122"/>
    <cellStyle name="Comma 2 5 2 2 2 2 5" xfId="6123"/>
    <cellStyle name="Comma 2 5 2 2 2 3" xfId="6124"/>
    <cellStyle name="Comma 2 5 2 2 2 3 2" xfId="6125"/>
    <cellStyle name="Comma 2 5 2 2 2 3 3" xfId="6126"/>
    <cellStyle name="Comma 2 5 2 2 2 4" xfId="6127"/>
    <cellStyle name="Comma 2 5 2 2 2 4 2" xfId="6128"/>
    <cellStyle name="Comma 2 5 2 2 2 5" xfId="6129"/>
    <cellStyle name="Comma 2 5 2 2 2 6" xfId="6130"/>
    <cellStyle name="Comma 2 5 2 2 3" xfId="6131"/>
    <cellStyle name="Comma 2 5 2 2 3 2" xfId="6132"/>
    <cellStyle name="Comma 2 5 2 2 3 2 2" xfId="6133"/>
    <cellStyle name="Comma 2 5 2 2 3 2 2 2" xfId="6134"/>
    <cellStyle name="Comma 2 5 2 2 3 2 3" xfId="6135"/>
    <cellStyle name="Comma 2 5 2 2 3 2 4" xfId="6136"/>
    <cellStyle name="Comma 2 5 2 2 3 2 5" xfId="6137"/>
    <cellStyle name="Comma 2 5 2 2 3 3" xfId="6138"/>
    <cellStyle name="Comma 2 5 2 2 3 3 2" xfId="6139"/>
    <cellStyle name="Comma 2 5 2 2 3 4" xfId="6140"/>
    <cellStyle name="Comma 2 5 2 2 3 5" xfId="6141"/>
    <cellStyle name="Comma 2 5 2 2 3 6" xfId="6142"/>
    <cellStyle name="Comma 2 5 2 2 4" xfId="6143"/>
    <cellStyle name="Comma 2 5 2 2 4 2" xfId="6144"/>
    <cellStyle name="Comma 2 5 2 2 4 2 2" xfId="6145"/>
    <cellStyle name="Comma 2 5 2 2 4 3" xfId="6146"/>
    <cellStyle name="Comma 2 5 2 2 4 4" xfId="6147"/>
    <cellStyle name="Comma 2 5 2 2 4 5" xfId="6148"/>
    <cellStyle name="Comma 2 5 2 2 5" xfId="6149"/>
    <cellStyle name="Comma 2 5 2 2 5 2" xfId="6150"/>
    <cellStyle name="Comma 2 5 2 2 5 2 2" xfId="6151"/>
    <cellStyle name="Comma 2 5 2 2 5 3" xfId="6152"/>
    <cellStyle name="Comma 2 5 2 2 5 4" xfId="6153"/>
    <cellStyle name="Comma 2 5 2 2 5 5" xfId="6154"/>
    <cellStyle name="Comma 2 5 2 2 6" xfId="6155"/>
    <cellStyle name="Comma 2 5 2 2 6 2" xfId="6156"/>
    <cellStyle name="Comma 2 5 2 2 7" xfId="6157"/>
    <cellStyle name="Comma 2 5 2 2 8" xfId="6158"/>
    <cellStyle name="Comma 2 5 2 2 9" xfId="6159"/>
    <cellStyle name="Comma 2 5 2 3" xfId="6160"/>
    <cellStyle name="Comma 2 5 2 3 2" xfId="6161"/>
    <cellStyle name="Comma 2 5 2 3 2 2" xfId="6162"/>
    <cellStyle name="Comma 2 5 2 3 2 2 2" xfId="6163"/>
    <cellStyle name="Comma 2 5 2 3 2 2 3" xfId="6164"/>
    <cellStyle name="Comma 2 5 2 3 2 3" xfId="6165"/>
    <cellStyle name="Comma 2 5 2 3 2 3 2" xfId="6166"/>
    <cellStyle name="Comma 2 5 2 3 2 4" xfId="6167"/>
    <cellStyle name="Comma 2 5 2 3 2 5" xfId="6168"/>
    <cellStyle name="Comma 2 5 2 3 3" xfId="6169"/>
    <cellStyle name="Comma 2 5 2 3 3 2" xfId="6170"/>
    <cellStyle name="Comma 2 5 2 3 3 3" xfId="6171"/>
    <cellStyle name="Comma 2 5 2 3 4" xfId="6172"/>
    <cellStyle name="Comma 2 5 2 3 4 2" xfId="6173"/>
    <cellStyle name="Comma 2 5 2 3 5" xfId="6174"/>
    <cellStyle name="Comma 2 5 2 3 6" xfId="6175"/>
    <cellStyle name="Comma 2 5 2 4" xfId="6176"/>
    <cellStyle name="Comma 2 5 2 4 2" xfId="6177"/>
    <cellStyle name="Comma 2 5 2 4 2 2" xfId="6178"/>
    <cellStyle name="Comma 2 5 2 4 2 2 2" xfId="6179"/>
    <cellStyle name="Comma 2 5 2 4 2 3" xfId="6180"/>
    <cellStyle name="Comma 2 5 2 4 2 4" xfId="6181"/>
    <cellStyle name="Comma 2 5 2 4 2 5" xfId="6182"/>
    <cellStyle name="Comma 2 5 2 4 3" xfId="6183"/>
    <cellStyle name="Comma 2 5 2 4 3 2" xfId="6184"/>
    <cellStyle name="Comma 2 5 2 4 4" xfId="6185"/>
    <cellStyle name="Comma 2 5 2 4 5" xfId="6186"/>
    <cellStyle name="Comma 2 5 2 4 6" xfId="6187"/>
    <cellStyle name="Comma 2 5 2 5" xfId="6188"/>
    <cellStyle name="Comma 2 5 2 5 2" xfId="6189"/>
    <cellStyle name="Comma 2 5 2 5 2 2" xfId="6190"/>
    <cellStyle name="Comma 2 5 2 5 3" xfId="6191"/>
    <cellStyle name="Comma 2 5 2 5 4" xfId="6192"/>
    <cellStyle name="Comma 2 5 2 5 5" xfId="6193"/>
    <cellStyle name="Comma 2 5 2 6" xfId="6194"/>
    <cellStyle name="Comma 2 5 2 6 2" xfId="6195"/>
    <cellStyle name="Comma 2 5 2 6 2 2" xfId="6196"/>
    <cellStyle name="Comma 2 5 2 6 3" xfId="6197"/>
    <cellStyle name="Comma 2 5 2 6 4" xfId="6198"/>
    <cellStyle name="Comma 2 5 2 6 5" xfId="6199"/>
    <cellStyle name="Comma 2 5 2 7" xfId="6200"/>
    <cellStyle name="Comma 2 5 2 7 2" xfId="6201"/>
    <cellStyle name="Comma 2 5 2 8" xfId="6202"/>
    <cellStyle name="Comma 2 5 2 9" xfId="6203"/>
    <cellStyle name="Comma 2 5 3" xfId="6204"/>
    <cellStyle name="Comma 2 5 3 2" xfId="6205"/>
    <cellStyle name="Comma 2 5 3 2 2" xfId="6206"/>
    <cellStyle name="Comma 2 5 3 2 2 2" xfId="6207"/>
    <cellStyle name="Comma 2 5 3 2 2 2 2" xfId="6208"/>
    <cellStyle name="Comma 2 5 3 2 2 2 3" xfId="6209"/>
    <cellStyle name="Comma 2 5 3 2 2 3" xfId="6210"/>
    <cellStyle name="Comma 2 5 3 2 2 3 2" xfId="6211"/>
    <cellStyle name="Comma 2 5 3 2 2 4" xfId="6212"/>
    <cellStyle name="Comma 2 5 3 2 2 5" xfId="6213"/>
    <cellStyle name="Comma 2 5 3 2 3" xfId="6214"/>
    <cellStyle name="Comma 2 5 3 2 3 2" xfId="6215"/>
    <cellStyle name="Comma 2 5 3 2 3 3" xfId="6216"/>
    <cellStyle name="Comma 2 5 3 2 4" xfId="6217"/>
    <cellStyle name="Comma 2 5 3 2 4 2" xfId="6218"/>
    <cellStyle name="Comma 2 5 3 2 5" xfId="6219"/>
    <cellStyle name="Comma 2 5 3 2 6" xfId="6220"/>
    <cellStyle name="Comma 2 5 3 3" xfId="6221"/>
    <cellStyle name="Comma 2 5 3 3 2" xfId="6222"/>
    <cellStyle name="Comma 2 5 3 3 2 2" xfId="6223"/>
    <cellStyle name="Comma 2 5 3 3 2 2 2" xfId="6224"/>
    <cellStyle name="Comma 2 5 3 3 2 3" xfId="6225"/>
    <cellStyle name="Comma 2 5 3 3 2 4" xfId="6226"/>
    <cellStyle name="Comma 2 5 3 3 2 5" xfId="6227"/>
    <cellStyle name="Comma 2 5 3 3 3" xfId="6228"/>
    <cellStyle name="Comma 2 5 3 3 3 2" xfId="6229"/>
    <cellStyle name="Comma 2 5 3 3 4" xfId="6230"/>
    <cellStyle name="Comma 2 5 3 3 5" xfId="6231"/>
    <cellStyle name="Comma 2 5 3 3 6" xfId="6232"/>
    <cellStyle name="Comma 2 5 3 4" xfId="6233"/>
    <cellStyle name="Comma 2 5 3 4 2" xfId="6234"/>
    <cellStyle name="Comma 2 5 3 4 2 2" xfId="6235"/>
    <cellStyle name="Comma 2 5 3 4 3" xfId="6236"/>
    <cellStyle name="Comma 2 5 3 4 4" xfId="6237"/>
    <cellStyle name="Comma 2 5 3 4 5" xfId="6238"/>
    <cellStyle name="Comma 2 5 3 5" xfId="6239"/>
    <cellStyle name="Comma 2 5 3 5 2" xfId="6240"/>
    <cellStyle name="Comma 2 5 3 5 2 2" xfId="6241"/>
    <cellStyle name="Comma 2 5 3 5 3" xfId="6242"/>
    <cellStyle name="Comma 2 5 3 5 4" xfId="6243"/>
    <cellStyle name="Comma 2 5 3 5 5" xfId="6244"/>
    <cellStyle name="Comma 2 5 3 6" xfId="6245"/>
    <cellStyle name="Comma 2 5 3 6 2" xfId="6246"/>
    <cellStyle name="Comma 2 5 3 7" xfId="6247"/>
    <cellStyle name="Comma 2 5 3 8" xfId="6248"/>
    <cellStyle name="Comma 2 5 3 9" xfId="6249"/>
    <cellStyle name="Comma 2 5 4" xfId="6250"/>
    <cellStyle name="Comma 2 5 4 2" xfId="6251"/>
    <cellStyle name="Comma 2 5 4 2 2" xfId="6252"/>
    <cellStyle name="Comma 2 5 4 2 2 2" xfId="6253"/>
    <cellStyle name="Comma 2 5 4 2 2 3" xfId="6254"/>
    <cellStyle name="Comma 2 5 4 2 3" xfId="6255"/>
    <cellStyle name="Comma 2 5 4 2 3 2" xfId="6256"/>
    <cellStyle name="Comma 2 5 4 2 4" xfId="6257"/>
    <cellStyle name="Comma 2 5 4 2 5" xfId="6258"/>
    <cellStyle name="Comma 2 5 4 3" xfId="6259"/>
    <cellStyle name="Comma 2 5 4 3 2" xfId="6260"/>
    <cellStyle name="Comma 2 5 4 3 3" xfId="6261"/>
    <cellStyle name="Comma 2 5 4 4" xfId="6262"/>
    <cellStyle name="Comma 2 5 4 4 2" xfId="6263"/>
    <cellStyle name="Comma 2 5 4 5" xfId="6264"/>
    <cellStyle name="Comma 2 5 4 6" xfId="6265"/>
    <cellStyle name="Comma 2 5 5" xfId="6266"/>
    <cellStyle name="Comma 2 5 5 2" xfId="6267"/>
    <cellStyle name="Comma 2 5 5 2 2" xfId="6268"/>
    <cellStyle name="Comma 2 5 5 2 2 2" xfId="6269"/>
    <cellStyle name="Comma 2 5 5 2 3" xfId="6270"/>
    <cellStyle name="Comma 2 5 5 2 4" xfId="6271"/>
    <cellStyle name="Comma 2 5 5 2 5" xfId="6272"/>
    <cellStyle name="Comma 2 5 5 3" xfId="6273"/>
    <cellStyle name="Comma 2 5 5 3 2" xfId="6274"/>
    <cellStyle name="Comma 2 5 5 4" xfId="6275"/>
    <cellStyle name="Comma 2 5 5 5" xfId="6276"/>
    <cellStyle name="Comma 2 5 5 6" xfId="6277"/>
    <cellStyle name="Comma 2 5 6" xfId="6278"/>
    <cellStyle name="Comma 2 5 6 2" xfId="6279"/>
    <cellStyle name="Comma 2 5 6 2 2" xfId="6280"/>
    <cellStyle name="Comma 2 5 6 3" xfId="6281"/>
    <cellStyle name="Comma 2 5 6 4" xfId="6282"/>
    <cellStyle name="Comma 2 5 6 5" xfId="6283"/>
    <cellStyle name="Comma 2 5 7" xfId="6284"/>
    <cellStyle name="Comma 2 5 7 2" xfId="6285"/>
    <cellStyle name="Comma 2 5 7 2 2" xfId="6286"/>
    <cellStyle name="Comma 2 5 7 3" xfId="6287"/>
    <cellStyle name="Comma 2 5 7 4" xfId="6288"/>
    <cellStyle name="Comma 2 5 7 5" xfId="6289"/>
    <cellStyle name="Comma 2 5 8" xfId="6290"/>
    <cellStyle name="Comma 2 5 8 2" xfId="6291"/>
    <cellStyle name="Comma 2 5 8 2 2" xfId="6292"/>
    <cellStyle name="Comma 2 5 8 3" xfId="6293"/>
    <cellStyle name="Comma 2 5 8 4" xfId="6294"/>
    <cellStyle name="Comma 2 5 8 5" xfId="6295"/>
    <cellStyle name="Comma 2 5 9" xfId="6296"/>
    <cellStyle name="Comma 2 6" xfId="1336"/>
    <cellStyle name="Comma 2 6 2" xfId="6297"/>
    <cellStyle name="Comma 2 6 2 2" xfId="6298"/>
    <cellStyle name="Comma 2 6 2 2 2" xfId="6299"/>
    <cellStyle name="Comma 2 6 2 2 2 2" xfId="6300"/>
    <cellStyle name="Comma 2 6 2 2 2 2 2" xfId="6301"/>
    <cellStyle name="Comma 2 6 2 2 2 2 3" xfId="6302"/>
    <cellStyle name="Comma 2 6 2 2 2 3" xfId="6303"/>
    <cellStyle name="Comma 2 6 2 2 2 3 2" xfId="6304"/>
    <cellStyle name="Comma 2 6 2 2 2 4" xfId="6305"/>
    <cellStyle name="Comma 2 6 2 2 2 5" xfId="6306"/>
    <cellStyle name="Comma 2 6 2 2 3" xfId="6307"/>
    <cellStyle name="Comma 2 6 2 2 3 2" xfId="6308"/>
    <cellStyle name="Comma 2 6 2 2 3 3" xfId="6309"/>
    <cellStyle name="Comma 2 6 2 2 4" xfId="6310"/>
    <cellStyle name="Comma 2 6 2 2 4 2" xfId="6311"/>
    <cellStyle name="Comma 2 6 2 2 5" xfId="6312"/>
    <cellStyle name="Comma 2 6 2 2 6" xfId="6313"/>
    <cellStyle name="Comma 2 6 2 3" xfId="6314"/>
    <cellStyle name="Comma 2 6 2 3 2" xfId="6315"/>
    <cellStyle name="Comma 2 6 2 3 2 2" xfId="6316"/>
    <cellStyle name="Comma 2 6 2 3 2 2 2" xfId="6317"/>
    <cellStyle name="Comma 2 6 2 3 2 3" xfId="6318"/>
    <cellStyle name="Comma 2 6 2 3 2 4" xfId="6319"/>
    <cellStyle name="Comma 2 6 2 3 2 5" xfId="6320"/>
    <cellStyle name="Comma 2 6 2 3 3" xfId="6321"/>
    <cellStyle name="Comma 2 6 2 3 3 2" xfId="6322"/>
    <cellStyle name="Comma 2 6 2 3 4" xfId="6323"/>
    <cellStyle name="Comma 2 6 2 3 5" xfId="6324"/>
    <cellStyle name="Comma 2 6 2 3 6" xfId="6325"/>
    <cellStyle name="Comma 2 6 2 4" xfId="6326"/>
    <cellStyle name="Comma 2 6 2 4 2" xfId="6327"/>
    <cellStyle name="Comma 2 6 2 4 2 2" xfId="6328"/>
    <cellStyle name="Comma 2 6 2 4 3" xfId="6329"/>
    <cellStyle name="Comma 2 6 2 4 4" xfId="6330"/>
    <cellStyle name="Comma 2 6 2 4 5" xfId="6331"/>
    <cellStyle name="Comma 2 6 2 5" xfId="6332"/>
    <cellStyle name="Comma 2 6 2 5 2" xfId="6333"/>
    <cellStyle name="Comma 2 6 2 5 2 2" xfId="6334"/>
    <cellStyle name="Comma 2 6 2 5 3" xfId="6335"/>
    <cellStyle name="Comma 2 6 2 5 4" xfId="6336"/>
    <cellStyle name="Comma 2 6 2 5 5" xfId="6337"/>
    <cellStyle name="Comma 2 6 2 6" xfId="6338"/>
    <cellStyle name="Comma 2 6 2 6 2" xfId="6339"/>
    <cellStyle name="Comma 2 6 2 7" xfId="6340"/>
    <cellStyle name="Comma 2 6 2 8" xfId="6341"/>
    <cellStyle name="Comma 2 6 2 9" xfId="6342"/>
    <cellStyle name="Comma 2 6 3" xfId="6343"/>
    <cellStyle name="Comma 2 6 3 2" xfId="6344"/>
    <cellStyle name="Comma 2 6 3 2 2" xfId="6345"/>
    <cellStyle name="Comma 2 6 3 2 2 2" xfId="6346"/>
    <cellStyle name="Comma 2 6 3 2 2 3" xfId="6347"/>
    <cellStyle name="Comma 2 6 3 2 3" xfId="6348"/>
    <cellStyle name="Comma 2 6 3 2 3 2" xfId="6349"/>
    <cellStyle name="Comma 2 6 3 2 4" xfId="6350"/>
    <cellStyle name="Comma 2 6 3 2 5" xfId="6351"/>
    <cellStyle name="Comma 2 6 3 3" xfId="6352"/>
    <cellStyle name="Comma 2 6 3 3 2" xfId="6353"/>
    <cellStyle name="Comma 2 6 3 3 3" xfId="6354"/>
    <cellStyle name="Comma 2 6 3 4" xfId="6355"/>
    <cellStyle name="Comma 2 6 3 4 2" xfId="6356"/>
    <cellStyle name="Comma 2 6 3 5" xfId="6357"/>
    <cellStyle name="Comma 2 6 3 6" xfId="6358"/>
    <cellStyle name="Comma 2 6 4" xfId="6359"/>
    <cellStyle name="Comma 2 6 4 2" xfId="6360"/>
    <cellStyle name="Comma 2 6 4 2 2" xfId="6361"/>
    <cellStyle name="Comma 2 6 4 2 2 2" xfId="6362"/>
    <cellStyle name="Comma 2 6 4 2 3" xfId="6363"/>
    <cellStyle name="Comma 2 6 4 2 4" xfId="6364"/>
    <cellStyle name="Comma 2 6 4 2 5" xfId="6365"/>
    <cellStyle name="Comma 2 6 4 3" xfId="6366"/>
    <cellStyle name="Comma 2 6 4 3 2" xfId="6367"/>
    <cellStyle name="Comma 2 6 4 4" xfId="6368"/>
    <cellStyle name="Comma 2 6 4 5" xfId="6369"/>
    <cellStyle name="Comma 2 6 4 6" xfId="6370"/>
    <cellStyle name="Comma 2 6 5" xfId="6371"/>
    <cellStyle name="Comma 2 6 5 2" xfId="6372"/>
    <cellStyle name="Comma 2 6 5 2 2" xfId="6373"/>
    <cellStyle name="Comma 2 6 5 3" xfId="6374"/>
    <cellStyle name="Comma 2 6 5 4" xfId="6375"/>
    <cellStyle name="Comma 2 6 5 5" xfId="6376"/>
    <cellStyle name="Comma 2 6 6" xfId="6377"/>
    <cellStyle name="Comma 2 6 6 2" xfId="6378"/>
    <cellStyle name="Comma 2 6 6 2 2" xfId="6379"/>
    <cellStyle name="Comma 2 6 6 3" xfId="6380"/>
    <cellStyle name="Comma 2 6 6 4" xfId="6381"/>
    <cellStyle name="Comma 2 6 6 5" xfId="6382"/>
    <cellStyle name="Comma 2 6 7" xfId="6383"/>
    <cellStyle name="Comma 2 6 7 2" xfId="6384"/>
    <cellStyle name="Comma 2 6 7 2 2" xfId="6385"/>
    <cellStyle name="Comma 2 6 7 3" xfId="6386"/>
    <cellStyle name="Comma 2 6 7 4" xfId="6387"/>
    <cellStyle name="Comma 2 6 7 5" xfId="6388"/>
    <cellStyle name="Comma 2 6 8" xfId="6389"/>
    <cellStyle name="Comma 2 7" xfId="1337"/>
    <cellStyle name="Comma 2 7 2" xfId="6390"/>
    <cellStyle name="Comma 2 7 2 2" xfId="6391"/>
    <cellStyle name="Comma 2 7 2 2 2" xfId="6392"/>
    <cellStyle name="Comma 2 7 2 2 2 2" xfId="6393"/>
    <cellStyle name="Comma 2 7 2 2 2 3" xfId="6394"/>
    <cellStyle name="Comma 2 7 2 2 3" xfId="6395"/>
    <cellStyle name="Comma 2 7 2 2 3 2" xfId="6396"/>
    <cellStyle name="Comma 2 7 2 2 4" xfId="6397"/>
    <cellStyle name="Comma 2 7 2 2 5" xfId="6398"/>
    <cellStyle name="Comma 2 7 2 3" xfId="6399"/>
    <cellStyle name="Comma 2 7 2 3 2" xfId="6400"/>
    <cellStyle name="Comma 2 7 2 3 3" xfId="6401"/>
    <cellStyle name="Comma 2 7 2 4" xfId="6402"/>
    <cellStyle name="Comma 2 7 2 4 2" xfId="6403"/>
    <cellStyle name="Comma 2 7 2 5" xfId="6404"/>
    <cellStyle name="Comma 2 7 2 6" xfId="6405"/>
    <cellStyle name="Comma 2 7 3" xfId="6406"/>
    <cellStyle name="Comma 2 7 3 2" xfId="6407"/>
    <cellStyle name="Comma 2 7 3 2 2" xfId="6408"/>
    <cellStyle name="Comma 2 7 3 2 2 2" xfId="6409"/>
    <cellStyle name="Comma 2 7 3 2 3" xfId="6410"/>
    <cellStyle name="Comma 2 7 3 2 4" xfId="6411"/>
    <cellStyle name="Comma 2 7 3 2 5" xfId="6412"/>
    <cellStyle name="Comma 2 7 3 3" xfId="6413"/>
    <cellStyle name="Comma 2 7 3 3 2" xfId="6414"/>
    <cellStyle name="Comma 2 7 3 4" xfId="6415"/>
    <cellStyle name="Comma 2 7 3 5" xfId="6416"/>
    <cellStyle name="Comma 2 7 3 6" xfId="6417"/>
    <cellStyle name="Comma 2 7 4" xfId="6418"/>
    <cellStyle name="Comma 2 7 4 2" xfId="6419"/>
    <cellStyle name="Comma 2 7 4 2 2" xfId="6420"/>
    <cellStyle name="Comma 2 7 4 3" xfId="6421"/>
    <cellStyle name="Comma 2 7 4 4" xfId="6422"/>
    <cellStyle name="Comma 2 7 4 5" xfId="6423"/>
    <cellStyle name="Comma 2 7 5" xfId="6424"/>
    <cellStyle name="Comma 2 7 5 2" xfId="6425"/>
    <cellStyle name="Comma 2 7 5 2 2" xfId="6426"/>
    <cellStyle name="Comma 2 7 5 3" xfId="6427"/>
    <cellStyle name="Comma 2 7 5 4" xfId="6428"/>
    <cellStyle name="Comma 2 7 5 5" xfId="6429"/>
    <cellStyle name="Comma 2 7 6" xfId="6430"/>
    <cellStyle name="Comma 2 7 6 2" xfId="6431"/>
    <cellStyle name="Comma 2 7 6 2 2" xfId="6432"/>
    <cellStyle name="Comma 2 7 6 3" xfId="6433"/>
    <cellStyle name="Comma 2 7 6 4" xfId="6434"/>
    <cellStyle name="Comma 2 7 6 5" xfId="6435"/>
    <cellStyle name="Comma 2 7 7" xfId="6436"/>
    <cellStyle name="Comma 2 8" xfId="1338"/>
    <cellStyle name="Comma 2 8 2" xfId="6437"/>
    <cellStyle name="Comma 2 8 2 2" xfId="6438"/>
    <cellStyle name="Comma 2 8 2 2 2" xfId="6439"/>
    <cellStyle name="Comma 2 8 2 2 3" xfId="6440"/>
    <cellStyle name="Comma 2 8 2 3" xfId="6441"/>
    <cellStyle name="Comma 2 8 2 3 2" xfId="6442"/>
    <cellStyle name="Comma 2 8 2 4" xfId="6443"/>
    <cellStyle name="Comma 2 8 2 5" xfId="6444"/>
    <cellStyle name="Comma 2 8 3" xfId="6445"/>
    <cellStyle name="Comma 2 8 3 2" xfId="6446"/>
    <cellStyle name="Comma 2 8 3 2 2" xfId="6447"/>
    <cellStyle name="Comma 2 8 3 3" xfId="6448"/>
    <cellStyle name="Comma 2 8 3 4" xfId="6449"/>
    <cellStyle name="Comma 2 8 3 5" xfId="6450"/>
    <cellStyle name="Comma 2 8 4" xfId="6451"/>
    <cellStyle name="Comma 2 8 4 2" xfId="6452"/>
    <cellStyle name="Comma 2 8 4 2 2" xfId="6453"/>
    <cellStyle name="Comma 2 8 4 3" xfId="6454"/>
    <cellStyle name="Comma 2 8 4 4" xfId="6455"/>
    <cellStyle name="Comma 2 8 4 5" xfId="6456"/>
    <cellStyle name="Comma 2 8 5" xfId="6457"/>
    <cellStyle name="Comma 2 9" xfId="1339"/>
    <cellStyle name="Comma 2 9 2" xfId="6458"/>
    <cellStyle name="Comma 2 9 2 2" xfId="6459"/>
    <cellStyle name="Comma 2 9 2 2 2" xfId="6460"/>
    <cellStyle name="Comma 2 9 2 3" xfId="6461"/>
    <cellStyle name="Comma 2 9 2 4" xfId="6462"/>
    <cellStyle name="Comma 2 9 2 5" xfId="6463"/>
    <cellStyle name="Comma 2 9 3" xfId="6464"/>
    <cellStyle name="Comma 2 9 3 2" xfId="6465"/>
    <cellStyle name="Comma 2 9 3 2 2" xfId="6466"/>
    <cellStyle name="Comma 2 9 3 3" xfId="6467"/>
    <cellStyle name="Comma 2 9 3 4" xfId="6468"/>
    <cellStyle name="Comma 2 9 3 5" xfId="6469"/>
    <cellStyle name="Comma 2 9 4" xfId="6470"/>
    <cellStyle name="Comma 20" xfId="6471"/>
    <cellStyle name="Comma 20 2" xfId="6472"/>
    <cellStyle name="Comma 21" xfId="6473"/>
    <cellStyle name="Comma 21 2" xfId="6474"/>
    <cellStyle name="Comma 22" xfId="6475"/>
    <cellStyle name="Comma 23" xfId="6476"/>
    <cellStyle name="Comma 24" xfId="6477"/>
    <cellStyle name="Comma 25" xfId="6478"/>
    <cellStyle name="Comma 26" xfId="6479"/>
    <cellStyle name="Comma 27" xfId="6480"/>
    <cellStyle name="Comma 28" xfId="6481"/>
    <cellStyle name="Comma 29" xfId="6482"/>
    <cellStyle name="Comma 29 2" xfId="6483"/>
    <cellStyle name="Comma 3" xfId="13"/>
    <cellStyle name="Comma 3 10" xfId="6484"/>
    <cellStyle name="Comma 3 11" xfId="6485"/>
    <cellStyle name="Comma 3 2" xfId="1340"/>
    <cellStyle name="Comma 3 2 2" xfId="2108"/>
    <cellStyle name="Comma 3 2 2 2" xfId="6486"/>
    <cellStyle name="Comma 3 2 2 2 2" xfId="6487"/>
    <cellStyle name="Comma 3 2 2 2 2 2" xfId="6488"/>
    <cellStyle name="Comma 3 2 2 2 2 2 2" xfId="6489"/>
    <cellStyle name="Comma 3 2 2 2 2 2 2 2" xfId="6490"/>
    <cellStyle name="Comma 3 2 2 2 2 2 3" xfId="6491"/>
    <cellStyle name="Comma 3 2 2 2 2 3" xfId="6492"/>
    <cellStyle name="Comma 3 2 2 2 2 3 2" xfId="6493"/>
    <cellStyle name="Comma 3 2 2 2 2 4" xfId="6494"/>
    <cellStyle name="Comma 3 2 2 2 3" xfId="6495"/>
    <cellStyle name="Comma 3 2 2 2 3 2" xfId="6496"/>
    <cellStyle name="Comma 3 2 2 2 3 2 2" xfId="6497"/>
    <cellStyle name="Comma 3 2 2 2 3 3" xfId="6498"/>
    <cellStyle name="Comma 3 2 2 2 4" xfId="6499"/>
    <cellStyle name="Comma 3 2 2 2 4 2" xfId="6500"/>
    <cellStyle name="Comma 3 2 2 2 5" xfId="6501"/>
    <cellStyle name="Comma 3 2 2 2 6" xfId="6502"/>
    <cellStyle name="Comma 3 2 2 2 7" xfId="6503"/>
    <cellStyle name="Comma 3 2 2 3" xfId="6504"/>
    <cellStyle name="Comma 3 2 2 3 2" xfId="6505"/>
    <cellStyle name="Comma 3 2 2 3 2 2" xfId="6506"/>
    <cellStyle name="Comma 3 2 2 3 2 2 2" xfId="6507"/>
    <cellStyle name="Comma 3 2 2 3 2 3" xfId="6508"/>
    <cellStyle name="Comma 3 2 2 3 3" xfId="6509"/>
    <cellStyle name="Comma 3 2 2 3 3 2" xfId="6510"/>
    <cellStyle name="Comma 3 2 2 3 4" xfId="6511"/>
    <cellStyle name="Comma 3 2 2 4" xfId="6512"/>
    <cellStyle name="Comma 3 2 2 4 2" xfId="6513"/>
    <cellStyle name="Comma 3 2 2 4 2 2" xfId="6514"/>
    <cellStyle name="Comma 3 2 2 4 3" xfId="6515"/>
    <cellStyle name="Comma 3 2 2 5" xfId="6516"/>
    <cellStyle name="Comma 3 2 2 5 2" xfId="6517"/>
    <cellStyle name="Comma 3 2 2 6" xfId="6518"/>
    <cellStyle name="Comma 3 2 2 7" xfId="6519"/>
    <cellStyle name="Comma 3 2 2 8" xfId="6520"/>
    <cellStyle name="Comma 3 2 3" xfId="6521"/>
    <cellStyle name="Comma 3 2 3 2" xfId="6522"/>
    <cellStyle name="Comma 3 2 3 2 2" xfId="6523"/>
    <cellStyle name="Comma 3 2 3 2 2 2" xfId="6524"/>
    <cellStyle name="Comma 3 2 3 2 2 2 2" xfId="6525"/>
    <cellStyle name="Comma 3 2 3 2 2 3" xfId="6526"/>
    <cellStyle name="Comma 3 2 3 2 3" xfId="6527"/>
    <cellStyle name="Comma 3 2 3 2 3 2" xfId="6528"/>
    <cellStyle name="Comma 3 2 3 2 4" xfId="6529"/>
    <cellStyle name="Comma 3 2 3 3" xfId="6530"/>
    <cellStyle name="Comma 3 2 3 3 2" xfId="6531"/>
    <cellStyle name="Comma 3 2 3 3 2 2" xfId="6532"/>
    <cellStyle name="Comma 3 2 3 3 3" xfId="6533"/>
    <cellStyle name="Comma 3 2 3 4" xfId="6534"/>
    <cellStyle name="Comma 3 2 3 4 2" xfId="6535"/>
    <cellStyle name="Comma 3 2 3 5" xfId="6536"/>
    <cellStyle name="Comma 3 2 3 6" xfId="6537"/>
    <cellStyle name="Comma 3 2 3 7" xfId="6538"/>
    <cellStyle name="Comma 3 2 4" xfId="6539"/>
    <cellStyle name="Comma 3 2 4 2" xfId="6540"/>
    <cellStyle name="Comma 3 2 4 2 2" xfId="6541"/>
    <cellStyle name="Comma 3 2 4 2 2 2" xfId="6542"/>
    <cellStyle name="Comma 3 2 4 2 2 2 2" xfId="6543"/>
    <cellStyle name="Comma 3 2 4 2 2 3" xfId="6544"/>
    <cellStyle name="Comma 3 2 4 2 3" xfId="6545"/>
    <cellStyle name="Comma 3 2 4 2 3 2" xfId="6546"/>
    <cellStyle name="Comma 3 2 4 2 4" xfId="6547"/>
    <cellStyle name="Comma 3 2 4 3" xfId="6548"/>
    <cellStyle name="Comma 3 2 4 3 2" xfId="6549"/>
    <cellStyle name="Comma 3 2 4 3 2 2" xfId="6550"/>
    <cellStyle name="Comma 3 2 4 3 3" xfId="6551"/>
    <cellStyle name="Comma 3 2 4 4" xfId="6552"/>
    <cellStyle name="Comma 3 2 4 4 2" xfId="6553"/>
    <cellStyle name="Comma 3 2 4 5" xfId="6554"/>
    <cellStyle name="Comma 3 2 5" xfId="6555"/>
    <cellStyle name="Comma 3 2 5 2" xfId="6556"/>
    <cellStyle name="Comma 3 2 5 2 2" xfId="6557"/>
    <cellStyle name="Comma 3 2 5 2 2 2" xfId="6558"/>
    <cellStyle name="Comma 3 2 5 2 3" xfId="6559"/>
    <cellStyle name="Comma 3 2 5 3" xfId="6560"/>
    <cellStyle name="Comma 3 2 5 3 2" xfId="6561"/>
    <cellStyle name="Comma 3 2 5 4" xfId="6562"/>
    <cellStyle name="Comma 3 2 6" xfId="6563"/>
    <cellStyle name="Comma 3 2 6 2" xfId="6564"/>
    <cellStyle name="Comma 3 2 6 2 2" xfId="6565"/>
    <cellStyle name="Comma 3 2 6 3" xfId="6566"/>
    <cellStyle name="Comma 3 2 7" xfId="6567"/>
    <cellStyle name="Comma 3 2 7 2" xfId="6568"/>
    <cellStyle name="Comma 3 2 8" xfId="6569"/>
    <cellStyle name="Comma 3 3" xfId="1341"/>
    <cellStyle name="Comma 3 3 2" xfId="6570"/>
    <cellStyle name="Comma 3 3 2 2" xfId="6571"/>
    <cellStyle name="Comma 3 3 2 2 2" xfId="6572"/>
    <cellStyle name="Comma 3 3 2 2 2 2" xfId="6573"/>
    <cellStyle name="Comma 3 3 2 2 2 2 2" xfId="6574"/>
    <cellStyle name="Comma 3 3 2 2 2 3" xfId="6575"/>
    <cellStyle name="Comma 3 3 2 2 3" xfId="6576"/>
    <cellStyle name="Comma 3 3 2 2 3 2" xfId="6577"/>
    <cellStyle name="Comma 3 3 2 2 4" xfId="6578"/>
    <cellStyle name="Comma 3 3 2 2 5" xfId="6579"/>
    <cellStyle name="Comma 3 3 2 2 6" xfId="6580"/>
    <cellStyle name="Comma 3 3 2 3" xfId="6581"/>
    <cellStyle name="Comma 3 3 2 3 2" xfId="6582"/>
    <cellStyle name="Comma 3 3 2 3 2 2" xfId="6583"/>
    <cellStyle name="Comma 3 3 2 3 3" xfId="6584"/>
    <cellStyle name="Comma 3 3 2 4" xfId="6585"/>
    <cellStyle name="Comma 3 3 2 4 2" xfId="6586"/>
    <cellStyle name="Comma 3 3 2 5" xfId="6587"/>
    <cellStyle name="Comma 3 3 2 6" xfId="6588"/>
    <cellStyle name="Comma 3 3 2 7" xfId="6589"/>
    <cellStyle name="Comma 3 3 3" xfId="6590"/>
    <cellStyle name="Comma 3 3 3 2" xfId="6591"/>
    <cellStyle name="Comma 3 3 3 2 2" xfId="6592"/>
    <cellStyle name="Comma 3 3 3 2 2 2" xfId="6593"/>
    <cellStyle name="Comma 3 3 3 2 3" xfId="6594"/>
    <cellStyle name="Comma 3 3 3 3" xfId="6595"/>
    <cellStyle name="Comma 3 3 3 3 2" xfId="6596"/>
    <cellStyle name="Comma 3 3 3 4" xfId="6597"/>
    <cellStyle name="Comma 3 3 3 5" xfId="6598"/>
    <cellStyle name="Comma 3 3 3 6" xfId="6599"/>
    <cellStyle name="Comma 3 3 4" xfId="6600"/>
    <cellStyle name="Comma 3 3 4 2" xfId="6601"/>
    <cellStyle name="Comma 3 3 4 2 2" xfId="6602"/>
    <cellStyle name="Comma 3 3 4 3" xfId="6603"/>
    <cellStyle name="Comma 3 3 5" xfId="6604"/>
    <cellStyle name="Comma 3 3 5 2" xfId="6605"/>
    <cellStyle name="Comma 3 3 6" xfId="6606"/>
    <cellStyle name="Comma 3 3 7" xfId="6607"/>
    <cellStyle name="Comma 3 3 8" xfId="6608"/>
    <cellStyle name="Comma 3 4" xfId="1342"/>
    <cellStyle name="Comma 3 4 2" xfId="6609"/>
    <cellStyle name="Comma 3 4 2 2" xfId="6610"/>
    <cellStyle name="Comma 3 4 2 2 2" xfId="6611"/>
    <cellStyle name="Comma 3 4 2 2 2 2" xfId="6612"/>
    <cellStyle name="Comma 3 4 2 2 3" xfId="6613"/>
    <cellStyle name="Comma 3 4 2 2 4" xfId="6614"/>
    <cellStyle name="Comma 3 4 2 3" xfId="6615"/>
    <cellStyle name="Comma 3 4 2 3 2" xfId="6616"/>
    <cellStyle name="Comma 3 4 2 4" xfId="6617"/>
    <cellStyle name="Comma 3 4 2 5" xfId="6618"/>
    <cellStyle name="Comma 3 4 2 6" xfId="6619"/>
    <cellStyle name="Comma 3 4 3" xfId="6620"/>
    <cellStyle name="Comma 3 4 3 2" xfId="6621"/>
    <cellStyle name="Comma 3 4 3 2 2" xfId="6622"/>
    <cellStyle name="Comma 3 4 3 3" xfId="6623"/>
    <cellStyle name="Comma 3 4 3 4" xfId="6624"/>
    <cellStyle name="Comma 3 4 4" xfId="6625"/>
    <cellStyle name="Comma 3 4 4 2" xfId="6626"/>
    <cellStyle name="Comma 3 4 5" xfId="6627"/>
    <cellStyle name="Comma 3 4 5 2" xfId="6628"/>
    <cellStyle name="Comma 3 4 6" xfId="6629"/>
    <cellStyle name="Comma 3 4 7" xfId="6630"/>
    <cellStyle name="Comma 3 4 8" xfId="6631"/>
    <cellStyle name="Comma 3 5" xfId="1343"/>
    <cellStyle name="Comma 3 5 2" xfId="6632"/>
    <cellStyle name="Comma 3 5 2 2" xfId="6633"/>
    <cellStyle name="Comma 3 5 2 2 2" xfId="6634"/>
    <cellStyle name="Comma 3 5 2 2 2 2" xfId="6635"/>
    <cellStyle name="Comma 3 5 2 2 3" xfId="6636"/>
    <cellStyle name="Comma 3 5 2 3" xfId="6637"/>
    <cellStyle name="Comma 3 5 2 3 2" xfId="6638"/>
    <cellStyle name="Comma 3 5 2 4" xfId="6639"/>
    <cellStyle name="Comma 3 5 2 5" xfId="6640"/>
    <cellStyle name="Comma 3 5 3" xfId="6641"/>
    <cellStyle name="Comma 3 5 3 2" xfId="6642"/>
    <cellStyle name="Comma 3 5 3 2 2" xfId="6643"/>
    <cellStyle name="Comma 3 5 3 3" xfId="6644"/>
    <cellStyle name="Comma 3 5 4" xfId="6645"/>
    <cellStyle name="Comma 3 5 4 2" xfId="6646"/>
    <cellStyle name="Comma 3 5 5" xfId="6647"/>
    <cellStyle name="Comma 3 5 6" xfId="6648"/>
    <cellStyle name="Comma 3 5 7" xfId="6649"/>
    <cellStyle name="Comma 3 6" xfId="6650"/>
    <cellStyle name="Comma 3 6 2" xfId="6651"/>
    <cellStyle name="Comma 3 6 2 2" xfId="6652"/>
    <cellStyle name="Comma 3 6 2 2 2" xfId="6653"/>
    <cellStyle name="Comma 3 6 2 3" xfId="6654"/>
    <cellStyle name="Comma 3 6 2 4" xfId="6655"/>
    <cellStyle name="Comma 3 6 3" xfId="6656"/>
    <cellStyle name="Comma 3 6 3 2" xfId="6657"/>
    <cellStyle name="Comma 3 6 4" xfId="6658"/>
    <cellStyle name="Comma 3 6 5" xfId="6659"/>
    <cellStyle name="Comma 3 7" xfId="6660"/>
    <cellStyle name="Comma 3 7 2" xfId="6661"/>
    <cellStyle name="Comma 3 7 2 2" xfId="6662"/>
    <cellStyle name="Comma 3 7 3" xfId="6663"/>
    <cellStyle name="Comma 3 7 4" xfId="6664"/>
    <cellStyle name="Comma 3 8" xfId="6665"/>
    <cellStyle name="Comma 3 8 2" xfId="6666"/>
    <cellStyle name="Comma 3 8 2 2" xfId="6667"/>
    <cellStyle name="Comma 3 8 3" xfId="6668"/>
    <cellStyle name="Comma 3 9" xfId="6669"/>
    <cellStyle name="Comma 3 9 2" xfId="6670"/>
    <cellStyle name="Comma 30" xfId="6671"/>
    <cellStyle name="Comma 30 2" xfId="6672"/>
    <cellStyle name="Comma 30 2 2" xfId="6673"/>
    <cellStyle name="Comma 30 2 2 2" xfId="6674"/>
    <cellStyle name="Comma 30 2 3" xfId="6675"/>
    <cellStyle name="Comma 30 3" xfId="6676"/>
    <cellStyle name="Comma 30 3 2" xfId="6677"/>
    <cellStyle name="Comma 30 4" xfId="6678"/>
    <cellStyle name="Comma 30 5" xfId="6679"/>
    <cellStyle name="Comma 31" xfId="6680"/>
    <cellStyle name="Comma 31 2" xfId="6681"/>
    <cellStyle name="Comma 32" xfId="6682"/>
    <cellStyle name="Comma 33" xfId="6683"/>
    <cellStyle name="Comma 33 2" xfId="6684"/>
    <cellStyle name="Comma 34" xfId="6685"/>
    <cellStyle name="Comma 34 2" xfId="6686"/>
    <cellStyle name="Comma 35" xfId="6687"/>
    <cellStyle name="Comma 35 2" xfId="6688"/>
    <cellStyle name="Comma 36" xfId="6689"/>
    <cellStyle name="Comma 36 2" xfId="6690"/>
    <cellStyle name="Comma 37" xfId="6691"/>
    <cellStyle name="Comma 37 2" xfId="6692"/>
    <cellStyle name="Comma 38" xfId="6693"/>
    <cellStyle name="Comma 39" xfId="6694"/>
    <cellStyle name="Comma 4" xfId="1344"/>
    <cellStyle name="Comma 4 10" xfId="6695"/>
    <cellStyle name="Comma 4 2" xfId="1345"/>
    <cellStyle name="Comma 4 2 2" xfId="6696"/>
    <cellStyle name="Comma 4 2 2 2" xfId="6697"/>
    <cellStyle name="Comma 4 2 2 2 2" xfId="6698"/>
    <cellStyle name="Comma 4 2 2 2 2 2" xfId="6699"/>
    <cellStyle name="Comma 4 2 2 2 3" xfId="6700"/>
    <cellStyle name="Comma 4 2 2 2 4" xfId="6701"/>
    <cellStyle name="Comma 4 2 2 2 5" xfId="6702"/>
    <cellStyle name="Comma 4 2 2 3" xfId="6703"/>
    <cellStyle name="Comma 4 2 2 3 2" xfId="6704"/>
    <cellStyle name="Comma 4 2 2 4" xfId="6705"/>
    <cellStyle name="Comma 4 2 2 4 2" xfId="6706"/>
    <cellStyle name="Comma 4 2 2 5" xfId="6707"/>
    <cellStyle name="Comma 4 2 2 6" xfId="6708"/>
    <cellStyle name="Comma 4 2 3" xfId="6709"/>
    <cellStyle name="Comma 4 2 3 2" xfId="6710"/>
    <cellStyle name="Comma 4 2 3 2 2" xfId="6711"/>
    <cellStyle name="Comma 4 2 3 3" xfId="6712"/>
    <cellStyle name="Comma 4 2 3 3 2" xfId="6713"/>
    <cellStyle name="Comma 4 2 3 4" xfId="6714"/>
    <cellStyle name="Comma 4 2 3 5" xfId="6715"/>
    <cellStyle name="Comma 4 2 4" xfId="6716"/>
    <cellStyle name="Comma 4 2 4 2" xfId="6717"/>
    <cellStyle name="Comma 4 2 4 3" xfId="6718"/>
    <cellStyle name="Comma 4 2 4 4" xfId="6719"/>
    <cellStyle name="Comma 4 2 5" xfId="6720"/>
    <cellStyle name="Comma 4 2 5 2" xfId="6721"/>
    <cellStyle name="Comma 4 2 6" xfId="6722"/>
    <cellStyle name="Comma 4 2 7" xfId="6723"/>
    <cellStyle name="Comma 4 2 8" xfId="6724"/>
    <cellStyle name="Comma 4 2 9" xfId="6725"/>
    <cellStyle name="Comma 4 3" xfId="1346"/>
    <cellStyle name="Comma 4 3 2" xfId="6726"/>
    <cellStyle name="Comma 4 3 2 2" xfId="6727"/>
    <cellStyle name="Comma 4 3 2 2 2" xfId="6728"/>
    <cellStyle name="Comma 4 3 2 2 2 2" xfId="6729"/>
    <cellStyle name="Comma 4 3 2 2 2 2 2" xfId="6730"/>
    <cellStyle name="Comma 4 3 2 2 2 3" xfId="6731"/>
    <cellStyle name="Comma 4 3 2 2 3" xfId="6732"/>
    <cellStyle name="Comma 4 3 2 2 3 2" xfId="6733"/>
    <cellStyle name="Comma 4 3 2 2 4" xfId="6734"/>
    <cellStyle name="Comma 4 3 2 2 5" xfId="6735"/>
    <cellStyle name="Comma 4 3 2 3" xfId="6736"/>
    <cellStyle name="Comma 4 3 2 3 2" xfId="6737"/>
    <cellStyle name="Comma 4 3 2 3 2 2" xfId="6738"/>
    <cellStyle name="Comma 4 3 2 3 3" xfId="6739"/>
    <cellStyle name="Comma 4 3 2 4" xfId="6740"/>
    <cellStyle name="Comma 4 3 2 4 2" xfId="6741"/>
    <cellStyle name="Comma 4 3 2 5" xfId="6742"/>
    <cellStyle name="Comma 4 3 2 6" xfId="6743"/>
    <cellStyle name="Comma 4 3 2 7" xfId="6744"/>
    <cellStyle name="Comma 4 3 3" xfId="6745"/>
    <cellStyle name="Comma 4 3 3 2" xfId="6746"/>
    <cellStyle name="Comma 4 3 3 2 2" xfId="6747"/>
    <cellStyle name="Comma 4 3 3 2 2 2" xfId="6748"/>
    <cellStyle name="Comma 4 3 3 2 3" xfId="6749"/>
    <cellStyle name="Comma 4 3 3 3" xfId="6750"/>
    <cellStyle name="Comma 4 3 3 3 2" xfId="6751"/>
    <cellStyle name="Comma 4 3 3 4" xfId="6752"/>
    <cellStyle name="Comma 4 3 3 5" xfId="6753"/>
    <cellStyle name="Comma 4 3 4" xfId="6754"/>
    <cellStyle name="Comma 4 3 4 2" xfId="6755"/>
    <cellStyle name="Comma 4 3 4 2 2" xfId="6756"/>
    <cellStyle name="Comma 4 3 4 3" xfId="6757"/>
    <cellStyle name="Comma 4 3 5" xfId="6758"/>
    <cellStyle name="Comma 4 3 5 2" xfId="6759"/>
    <cellStyle name="Comma 4 3 6" xfId="6760"/>
    <cellStyle name="Comma 4 3 7" xfId="6761"/>
    <cellStyle name="Comma 4 3 8" xfId="6762"/>
    <cellStyle name="Comma 4 4" xfId="1347"/>
    <cellStyle name="Comma 4 4 2" xfId="6763"/>
    <cellStyle name="Comma 4 4 2 2" xfId="6764"/>
    <cellStyle name="Comma 4 4 2 2 2" xfId="6765"/>
    <cellStyle name="Comma 4 4 2 2 2 2" xfId="6766"/>
    <cellStyle name="Comma 4 4 2 2 3" xfId="6767"/>
    <cellStyle name="Comma 4 4 2 2 4" xfId="6768"/>
    <cellStyle name="Comma 4 4 2 3" xfId="6769"/>
    <cellStyle name="Comma 4 4 2 3 2" xfId="6770"/>
    <cellStyle name="Comma 4 4 2 4" xfId="6771"/>
    <cellStyle name="Comma 4 4 2 5" xfId="6772"/>
    <cellStyle name="Comma 4 4 3" xfId="6773"/>
    <cellStyle name="Comma 4 4 3 2" xfId="6774"/>
    <cellStyle name="Comma 4 4 3 2 2" xfId="6775"/>
    <cellStyle name="Comma 4 4 3 3" xfId="6776"/>
    <cellStyle name="Comma 4 4 3 4" xfId="6777"/>
    <cellStyle name="Comma 4 4 4" xfId="6778"/>
    <cellStyle name="Comma 4 4 4 2" xfId="6779"/>
    <cellStyle name="Comma 4 4 5" xfId="6780"/>
    <cellStyle name="Comma 4 4 6" xfId="6781"/>
    <cellStyle name="Comma 4 4 7" xfId="6782"/>
    <cellStyle name="Comma 4 5" xfId="1348"/>
    <cellStyle name="Comma 4 5 2" xfId="6783"/>
    <cellStyle name="Comma 4 5 2 2" xfId="6784"/>
    <cellStyle name="Comma 4 5 2 2 2" xfId="6785"/>
    <cellStyle name="Comma 4 5 2 3" xfId="6786"/>
    <cellStyle name="Comma 4 5 2 4" xfId="6787"/>
    <cellStyle name="Comma 4 5 3" xfId="6788"/>
    <cellStyle name="Comma 4 5 3 2" xfId="6789"/>
    <cellStyle name="Comma 4 5 4" xfId="6790"/>
    <cellStyle name="Comma 4 5 5" xfId="6791"/>
    <cellStyle name="Comma 4 6" xfId="6792"/>
    <cellStyle name="Comma 4 6 2" xfId="6793"/>
    <cellStyle name="Comma 4 6 2 2" xfId="6794"/>
    <cellStyle name="Comma 4 6 3" xfId="6795"/>
    <cellStyle name="Comma 4 6 4" xfId="6796"/>
    <cellStyle name="Comma 4 7" xfId="6797"/>
    <cellStyle name="Comma 4 7 2" xfId="6798"/>
    <cellStyle name="Comma 4 8" xfId="6799"/>
    <cellStyle name="Comma 4 9" xfId="6800"/>
    <cellStyle name="Comma 40" xfId="6801"/>
    <cellStyle name="Comma 41" xfId="6802"/>
    <cellStyle name="Comma 42" xfId="6803"/>
    <cellStyle name="Comma 43" xfId="6804"/>
    <cellStyle name="Comma 44" xfId="6805"/>
    <cellStyle name="Comma 45" xfId="6806"/>
    <cellStyle name="Comma 46" xfId="6807"/>
    <cellStyle name="Comma 47" xfId="6808"/>
    <cellStyle name="Comma 48" xfId="6809"/>
    <cellStyle name="Comma 49" xfId="6810"/>
    <cellStyle name="Comma 5" xfId="1349"/>
    <cellStyle name="Comma 5 2" xfId="6811"/>
    <cellStyle name="Comma 5 2 2" xfId="6812"/>
    <cellStyle name="Comma 5 2 3" xfId="6813"/>
    <cellStyle name="Comma 5 3" xfId="6814"/>
    <cellStyle name="Comma 50" xfId="6815"/>
    <cellStyle name="Comma 50 2" xfId="6816"/>
    <cellStyle name="Comma 51" xfId="6817"/>
    <cellStyle name="Comma 52" xfId="6818"/>
    <cellStyle name="Comma 53" xfId="6819"/>
    <cellStyle name="Comma 54" xfId="6820"/>
    <cellStyle name="Comma 55" xfId="6821"/>
    <cellStyle name="Comma 56" xfId="6822"/>
    <cellStyle name="Comma 57" xfId="6823"/>
    <cellStyle name="Comma 58" xfId="6824"/>
    <cellStyle name="Comma 59" xfId="6825"/>
    <cellStyle name="Comma 6" xfId="1350"/>
    <cellStyle name="Comma 6 10" xfId="6826"/>
    <cellStyle name="Comma 6 10 2" xfId="6827"/>
    <cellStyle name="Comma 6 11" xfId="6828"/>
    <cellStyle name="Comma 6 12" xfId="6829"/>
    <cellStyle name="Comma 6 13" xfId="6830"/>
    <cellStyle name="Comma 6 2" xfId="6831"/>
    <cellStyle name="Comma 6 2 2" xfId="6832"/>
    <cellStyle name="Comma 6 2 2 2" xfId="6833"/>
    <cellStyle name="Comma 6 2 3" xfId="6834"/>
    <cellStyle name="Comma 6 2 3 2" xfId="6835"/>
    <cellStyle name="Comma 6 2 3 3" xfId="6836"/>
    <cellStyle name="Comma 6 2 3 4" xfId="6837"/>
    <cellStyle name="Comma 6 2 4" xfId="6838"/>
    <cellStyle name="Comma 6 2 4 2" xfId="6839"/>
    <cellStyle name="Comma 6 2 5" xfId="6840"/>
    <cellStyle name="Comma 6 2 6" xfId="6841"/>
    <cellStyle name="Comma 6 2 7" xfId="6842"/>
    <cellStyle name="Comma 6 3" xfId="6843"/>
    <cellStyle name="Comma 6 3 2" xfId="6844"/>
    <cellStyle name="Comma 6 3 2 2" xfId="6845"/>
    <cellStyle name="Comma 6 3 2 2 2" xfId="6846"/>
    <cellStyle name="Comma 6 3 2 2 2 2" xfId="6847"/>
    <cellStyle name="Comma 6 3 2 2 2 3" xfId="6848"/>
    <cellStyle name="Comma 6 3 2 2 3" xfId="6849"/>
    <cellStyle name="Comma 6 3 2 2 3 2" xfId="6850"/>
    <cellStyle name="Comma 6 3 2 2 4" xfId="6851"/>
    <cellStyle name="Comma 6 3 2 2 5" xfId="6852"/>
    <cellStyle name="Comma 6 3 2 3" xfId="6853"/>
    <cellStyle name="Comma 6 3 2 3 2" xfId="6854"/>
    <cellStyle name="Comma 6 3 2 3 3" xfId="6855"/>
    <cellStyle name="Comma 6 3 2 4" xfId="6856"/>
    <cellStyle name="Comma 6 3 2 4 2" xfId="6857"/>
    <cellStyle name="Comma 6 3 2 5" xfId="6858"/>
    <cellStyle name="Comma 6 3 2 6" xfId="6859"/>
    <cellStyle name="Comma 6 3 3" xfId="6860"/>
    <cellStyle name="Comma 6 3 3 2" xfId="6861"/>
    <cellStyle name="Comma 6 3 3 2 2" xfId="6862"/>
    <cellStyle name="Comma 6 3 3 2 2 2" xfId="6863"/>
    <cellStyle name="Comma 6 3 3 2 3" xfId="6864"/>
    <cellStyle name="Comma 6 3 3 2 4" xfId="6865"/>
    <cellStyle name="Comma 6 3 3 2 5" xfId="6866"/>
    <cellStyle name="Comma 6 3 3 3" xfId="6867"/>
    <cellStyle name="Comma 6 3 3 3 2" xfId="6868"/>
    <cellStyle name="Comma 6 3 3 4" xfId="6869"/>
    <cellStyle name="Comma 6 3 3 5" xfId="6870"/>
    <cellStyle name="Comma 6 3 3 6" xfId="6871"/>
    <cellStyle name="Comma 6 3 4" xfId="6872"/>
    <cellStyle name="Comma 6 3 4 2" xfId="6873"/>
    <cellStyle name="Comma 6 3 4 2 2" xfId="6874"/>
    <cellStyle name="Comma 6 3 4 3" xfId="6875"/>
    <cellStyle name="Comma 6 3 4 4" xfId="6876"/>
    <cellStyle name="Comma 6 3 4 5" xfId="6877"/>
    <cellStyle name="Comma 6 3 5" xfId="6878"/>
    <cellStyle name="Comma 6 3 5 2" xfId="6879"/>
    <cellStyle name="Comma 6 3 5 2 2" xfId="6880"/>
    <cellStyle name="Comma 6 3 5 3" xfId="6881"/>
    <cellStyle name="Comma 6 3 5 4" xfId="6882"/>
    <cellStyle name="Comma 6 3 5 5" xfId="6883"/>
    <cellStyle name="Comma 6 3 6" xfId="6884"/>
    <cellStyle name="Comma 6 3 6 2" xfId="6885"/>
    <cellStyle name="Comma 6 3 6 3" xfId="6886"/>
    <cellStyle name="Comma 6 3 7" xfId="6887"/>
    <cellStyle name="Comma 6 3 8" xfId="6888"/>
    <cellStyle name="Comma 6 3 9" xfId="6889"/>
    <cellStyle name="Comma 6 4" xfId="6890"/>
    <cellStyle name="Comma 6 4 2" xfId="6891"/>
    <cellStyle name="Comma 6 4 2 2" xfId="6892"/>
    <cellStyle name="Comma 6 4 2 2 2" xfId="6893"/>
    <cellStyle name="Comma 6 4 2 2 3" xfId="6894"/>
    <cellStyle name="Comma 6 4 2 3" xfId="6895"/>
    <cellStyle name="Comma 6 4 2 3 2" xfId="6896"/>
    <cellStyle name="Comma 6 4 2 4" xfId="6897"/>
    <cellStyle name="Comma 6 4 2 5" xfId="6898"/>
    <cellStyle name="Comma 6 4 3" xfId="6899"/>
    <cellStyle name="Comma 6 4 3 2" xfId="6900"/>
    <cellStyle name="Comma 6 4 3 3" xfId="6901"/>
    <cellStyle name="Comma 6 4 4" xfId="6902"/>
    <cellStyle name="Comma 6 4 4 2" xfId="6903"/>
    <cellStyle name="Comma 6 4 5" xfId="6904"/>
    <cellStyle name="Comma 6 4 6" xfId="6905"/>
    <cellStyle name="Comma 6 5" xfId="6906"/>
    <cellStyle name="Comma 6 5 2" xfId="6907"/>
    <cellStyle name="Comma 6 5 2 2" xfId="6908"/>
    <cellStyle name="Comma 6 5 2 2 2" xfId="6909"/>
    <cellStyle name="Comma 6 5 2 3" xfId="6910"/>
    <cellStyle name="Comma 6 5 2 4" xfId="6911"/>
    <cellStyle name="Comma 6 5 2 5" xfId="6912"/>
    <cellStyle name="Comma 6 5 3" xfId="6913"/>
    <cellStyle name="Comma 6 5 3 2" xfId="6914"/>
    <cellStyle name="Comma 6 5 4" xfId="6915"/>
    <cellStyle name="Comma 6 5 5" xfId="6916"/>
    <cellStyle name="Comma 6 5 6" xfId="6917"/>
    <cellStyle name="Comma 6 6" xfId="6918"/>
    <cellStyle name="Comma 6 6 2" xfId="6919"/>
    <cellStyle name="Comma 6 6 2 2" xfId="6920"/>
    <cellStyle name="Comma 6 6 3" xfId="6921"/>
    <cellStyle name="Comma 6 6 4" xfId="6922"/>
    <cellStyle name="Comma 6 6 5" xfId="6923"/>
    <cellStyle name="Comma 6 7" xfId="6924"/>
    <cellStyle name="Comma 6 7 2" xfId="6925"/>
    <cellStyle name="Comma 6 7 2 2" xfId="6926"/>
    <cellStyle name="Comma 6 7 3" xfId="6927"/>
    <cellStyle name="Comma 6 7 4" xfId="6928"/>
    <cellStyle name="Comma 6 7 5" xfId="6929"/>
    <cellStyle name="Comma 6 8" xfId="6930"/>
    <cellStyle name="Comma 6 8 2" xfId="6931"/>
    <cellStyle name="Comma 6 8 2 2" xfId="6932"/>
    <cellStyle name="Comma 6 8 3" xfId="6933"/>
    <cellStyle name="Comma 6 8 4" xfId="6934"/>
    <cellStyle name="Comma 6 8 5" xfId="6935"/>
    <cellStyle name="Comma 6 9" xfId="6936"/>
    <cellStyle name="Comma 6 9 2" xfId="6937"/>
    <cellStyle name="Comma 6 9 3" xfId="6938"/>
    <cellStyle name="Comma 60" xfId="6939"/>
    <cellStyle name="Comma 61" xfId="6940"/>
    <cellStyle name="Comma 62" xfId="6941"/>
    <cellStyle name="Comma 62 2" xfId="6942"/>
    <cellStyle name="Comma 62 2 2" xfId="6943"/>
    <cellStyle name="Comma 62 3" xfId="6944"/>
    <cellStyle name="Comma 63" xfId="6945"/>
    <cellStyle name="Comma 63 2" xfId="6946"/>
    <cellStyle name="Comma 63 2 2" xfId="6947"/>
    <cellStyle name="Comma 63 3" xfId="6948"/>
    <cellStyle name="Comma 64" xfId="6949"/>
    <cellStyle name="Comma 64 2" xfId="6950"/>
    <cellStyle name="Comma 64 2 2" xfId="6951"/>
    <cellStyle name="Comma 64 3" xfId="6952"/>
    <cellStyle name="Comma 65" xfId="6953"/>
    <cellStyle name="Comma 65 2" xfId="6954"/>
    <cellStyle name="Comma 66" xfId="6955"/>
    <cellStyle name="Comma 66 2" xfId="6956"/>
    <cellStyle name="Comma 67" xfId="6957"/>
    <cellStyle name="Comma 68" xfId="6958"/>
    <cellStyle name="Comma 69" xfId="6959"/>
    <cellStyle name="Comma 7" xfId="1351"/>
    <cellStyle name="Comma 7 2" xfId="6960"/>
    <cellStyle name="Comma 7 2 2" xfId="6961"/>
    <cellStyle name="Comma 7 2 2 2" xfId="6962"/>
    <cellStyle name="Comma 7 2 2 2 2" xfId="6963"/>
    <cellStyle name="Comma 7 2 2 2 2 2" xfId="6964"/>
    <cellStyle name="Comma 7 2 2 2 3" xfId="6965"/>
    <cellStyle name="Comma 7 2 2 2 4" xfId="6966"/>
    <cellStyle name="Comma 7 2 2 2 5" xfId="6967"/>
    <cellStyle name="Comma 7 2 2 3" xfId="6968"/>
    <cellStyle name="Comma 7 2 2 3 2" xfId="6969"/>
    <cellStyle name="Comma 7 2 2 4" xfId="6970"/>
    <cellStyle name="Comma 7 2 2 4 2" xfId="6971"/>
    <cellStyle name="Comma 7 2 2 5" xfId="6972"/>
    <cellStyle name="Comma 7 2 2 6" xfId="6973"/>
    <cellStyle name="Comma 7 2 3" xfId="6974"/>
    <cellStyle name="Comma 7 2 3 2" xfId="6975"/>
    <cellStyle name="Comma 7 2 3 2 2" xfId="6976"/>
    <cellStyle name="Comma 7 2 3 3" xfId="6977"/>
    <cellStyle name="Comma 7 2 3 4" xfId="6978"/>
    <cellStyle name="Comma 7 2 3 5" xfId="6979"/>
    <cellStyle name="Comma 7 2 4" xfId="6980"/>
    <cellStyle name="Comma 7 2 4 2" xfId="6981"/>
    <cellStyle name="Comma 7 2 5" xfId="6982"/>
    <cellStyle name="Comma 7 2 5 2" xfId="6983"/>
    <cellStyle name="Comma 7 2 6" xfId="6984"/>
    <cellStyle name="Comma 7 2 7" xfId="6985"/>
    <cellStyle name="Comma 7 3" xfId="6986"/>
    <cellStyle name="Comma 7 3 2" xfId="6987"/>
    <cellStyle name="Comma 7 3 2 2" xfId="6988"/>
    <cellStyle name="Comma 7 3 2 2 2" xfId="6989"/>
    <cellStyle name="Comma 7 3 2 3" xfId="6990"/>
    <cellStyle name="Comma 7 3 2 4" xfId="6991"/>
    <cellStyle name="Comma 7 3 3" xfId="6992"/>
    <cellStyle name="Comma 7 3 3 2" xfId="6993"/>
    <cellStyle name="Comma 7 3 4" xfId="6994"/>
    <cellStyle name="Comma 7 3 5" xfId="6995"/>
    <cellStyle name="Comma 7 3 6" xfId="6996"/>
    <cellStyle name="Comma 7 4" xfId="6997"/>
    <cellStyle name="Comma 7 4 2" xfId="6998"/>
    <cellStyle name="Comma 7 4 2 2" xfId="6999"/>
    <cellStyle name="Comma 7 4 2 2 2" xfId="7000"/>
    <cellStyle name="Comma 7 4 2 3" xfId="7001"/>
    <cellStyle name="Comma 7 4 2 4" xfId="7002"/>
    <cellStyle name="Comma 7 4 3" xfId="7003"/>
    <cellStyle name="Comma 7 4 3 2" xfId="7004"/>
    <cellStyle name="Comma 7 4 4" xfId="7005"/>
    <cellStyle name="Comma 7 4 5" xfId="7006"/>
    <cellStyle name="Comma 7 5" xfId="7007"/>
    <cellStyle name="Comma 7 5 2" xfId="7008"/>
    <cellStyle name="Comma 7 5 2 2" xfId="7009"/>
    <cellStyle name="Comma 7 5 2 2 2" xfId="7010"/>
    <cellStyle name="Comma 7 5 2 3" xfId="7011"/>
    <cellStyle name="Comma 7 5 2 4" xfId="7012"/>
    <cellStyle name="Comma 7 5 3" xfId="7013"/>
    <cellStyle name="Comma 7 5 3 2" xfId="7014"/>
    <cellStyle name="Comma 7 5 4" xfId="7015"/>
    <cellStyle name="Comma 7 5 5" xfId="7016"/>
    <cellStyle name="Comma 7 6" xfId="7017"/>
    <cellStyle name="Comma 7 6 2" xfId="7018"/>
    <cellStyle name="Comma 7 6 2 2" xfId="7019"/>
    <cellStyle name="Comma 7 6 2 2 2" xfId="7020"/>
    <cellStyle name="Comma 7 6 2 3" xfId="7021"/>
    <cellStyle name="Comma 7 6 2 4" xfId="7022"/>
    <cellStyle name="Comma 7 6 3" xfId="7023"/>
    <cellStyle name="Comma 7 6 3 2" xfId="7024"/>
    <cellStyle name="Comma 7 6 4" xfId="7025"/>
    <cellStyle name="Comma 7 6 5" xfId="7026"/>
    <cellStyle name="Comma 7 7" xfId="7027"/>
    <cellStyle name="Comma 7 7 2" xfId="7028"/>
    <cellStyle name="Comma 7 7 2 2" xfId="7029"/>
    <cellStyle name="Comma 7 7 3" xfId="7030"/>
    <cellStyle name="Comma 7 7 4" xfId="7031"/>
    <cellStyle name="Comma 7 8" xfId="7032"/>
    <cellStyle name="Comma 70" xfId="7033"/>
    <cellStyle name="Comma 71" xfId="7034"/>
    <cellStyle name="Comma 71 2" xfId="7035"/>
    <cellStyle name="Comma 72" xfId="7036"/>
    <cellStyle name="Comma 73" xfId="7037"/>
    <cellStyle name="Comma 73 2" xfId="7038"/>
    <cellStyle name="Comma 73 3" xfId="7039"/>
    <cellStyle name="Comma 74" xfId="7040"/>
    <cellStyle name="Comma 74 2" xfId="7041"/>
    <cellStyle name="Comma 74 3" xfId="7042"/>
    <cellStyle name="Comma 75" xfId="7043"/>
    <cellStyle name="Comma 76" xfId="7044"/>
    <cellStyle name="Comma 77" xfId="7045"/>
    <cellStyle name="Comma 78" xfId="7046"/>
    <cellStyle name="Comma 79" xfId="7047"/>
    <cellStyle name="Comma 8" xfId="1352"/>
    <cellStyle name="Comma 8 2" xfId="7048"/>
    <cellStyle name="Comma 8 2 2" xfId="7049"/>
    <cellStyle name="Comma 8 2 2 2" xfId="7050"/>
    <cellStyle name="Comma 8 2 2 2 2" xfId="7051"/>
    <cellStyle name="Comma 8 2 2 3" xfId="7052"/>
    <cellStyle name="Comma 8 2 2 3 2" xfId="7053"/>
    <cellStyle name="Comma 8 2 2 4" xfId="7054"/>
    <cellStyle name="Comma 8 2 2 5" xfId="7055"/>
    <cellStyle name="Comma 8 2 3" xfId="7056"/>
    <cellStyle name="Comma 8 2 3 2" xfId="7057"/>
    <cellStyle name="Comma 8 2 3 3" xfId="7058"/>
    <cellStyle name="Comma 8 2 3 4" xfId="7059"/>
    <cellStyle name="Comma 8 2 3 5" xfId="7060"/>
    <cellStyle name="Comma 8 2 4" xfId="7061"/>
    <cellStyle name="Comma 8 2 4 2" xfId="7062"/>
    <cellStyle name="Comma 8 2 5" xfId="7063"/>
    <cellStyle name="Comma 8 2 6" xfId="7064"/>
    <cellStyle name="Comma 8 2 7" xfId="7065"/>
    <cellStyle name="Comma 8 2 8" xfId="7066"/>
    <cellStyle name="Comma 8 3" xfId="7067"/>
    <cellStyle name="Comma 8 3 2" xfId="7068"/>
    <cellStyle name="Comma 8 3 2 2" xfId="7069"/>
    <cellStyle name="Comma 8 3 3" xfId="7070"/>
    <cellStyle name="Comma 8 3 3 2" xfId="7071"/>
    <cellStyle name="Comma 8 3 4" xfId="7072"/>
    <cellStyle name="Comma 8 3 5" xfId="7073"/>
    <cellStyle name="Comma 8 4" xfId="7074"/>
    <cellStyle name="Comma 8 4 2" xfId="7075"/>
    <cellStyle name="Comma 8 4 3" xfId="7076"/>
    <cellStyle name="Comma 8 4 3 2" xfId="7077"/>
    <cellStyle name="Comma 8 4 4" xfId="7078"/>
    <cellStyle name="Comma 8 4 5" xfId="7079"/>
    <cellStyle name="Comma 8 5" xfId="7080"/>
    <cellStyle name="Comma 8 5 2" xfId="7081"/>
    <cellStyle name="Comma 8 6" xfId="7082"/>
    <cellStyle name="Comma 8 7" xfId="7083"/>
    <cellStyle name="Comma 8 8" xfId="7084"/>
    <cellStyle name="Comma 8 9" xfId="7085"/>
    <cellStyle name="Comma 80" xfId="7086"/>
    <cellStyle name="Comma 81" xfId="7087"/>
    <cellStyle name="Comma 82" xfId="7088"/>
    <cellStyle name="Comma 83" xfId="7089"/>
    <cellStyle name="Comma 84" xfId="7090"/>
    <cellStyle name="Comma 85" xfId="7091"/>
    <cellStyle name="Comma 86" xfId="7092"/>
    <cellStyle name="Comma 87" xfId="7093"/>
    <cellStyle name="Comma 9" xfId="1353"/>
    <cellStyle name="Comma 9 2" xfId="7094"/>
    <cellStyle name="Comma 9 2 2" xfId="7095"/>
    <cellStyle name="Comma 9 2 2 2" xfId="7096"/>
    <cellStyle name="Comma 9 2 2 2 2" xfId="7097"/>
    <cellStyle name="Comma 9 2 2 2 2 2" xfId="7098"/>
    <cellStyle name="Comma 9 2 2 2 2 2 2" xfId="7099"/>
    <cellStyle name="Comma 9 2 2 2 2 3" xfId="7100"/>
    <cellStyle name="Comma 9 2 2 2 3" xfId="7101"/>
    <cellStyle name="Comma 9 2 2 2 3 2" xfId="7102"/>
    <cellStyle name="Comma 9 2 2 2 4" xfId="7103"/>
    <cellStyle name="Comma 9 2 2 3" xfId="7104"/>
    <cellStyle name="Comma 9 2 2 3 2" xfId="7105"/>
    <cellStyle name="Comma 9 2 2 3 2 2" xfId="7106"/>
    <cellStyle name="Comma 9 2 2 3 3" xfId="7107"/>
    <cellStyle name="Comma 9 2 2 4" xfId="7108"/>
    <cellStyle name="Comma 9 2 2 4 2" xfId="7109"/>
    <cellStyle name="Comma 9 2 2 5" xfId="7110"/>
    <cellStyle name="Comma 9 2 2 6" xfId="7111"/>
    <cellStyle name="Comma 9 2 3" xfId="7112"/>
    <cellStyle name="Comma 9 2 3 2" xfId="7113"/>
    <cellStyle name="Comma 9 2 3 2 2" xfId="7114"/>
    <cellStyle name="Comma 9 2 3 2 2 2" xfId="7115"/>
    <cellStyle name="Comma 9 2 3 2 3" xfId="7116"/>
    <cellStyle name="Comma 9 2 3 3" xfId="7117"/>
    <cellStyle name="Comma 9 2 3 3 2" xfId="7118"/>
    <cellStyle name="Comma 9 2 3 4" xfId="7119"/>
    <cellStyle name="Comma 9 2 4" xfId="7120"/>
    <cellStyle name="Comma 9 2 4 2" xfId="7121"/>
    <cellStyle name="Comma 9 2 4 2 2" xfId="7122"/>
    <cellStyle name="Comma 9 2 4 3" xfId="7123"/>
    <cellStyle name="Comma 9 2 5" xfId="7124"/>
    <cellStyle name="Comma 9 2 5 2" xfId="7125"/>
    <cellStyle name="Comma 9 2 6" xfId="7126"/>
    <cellStyle name="Comma 9 2 7" xfId="7127"/>
    <cellStyle name="Comma 9 3" xfId="7128"/>
    <cellStyle name="Comma 9 3 2" xfId="7129"/>
    <cellStyle name="Comma 9 3 2 2" xfId="7130"/>
    <cellStyle name="Comma 9 3 2 2 2" xfId="7131"/>
    <cellStyle name="Comma 9 3 2 2 2 2" xfId="7132"/>
    <cellStyle name="Comma 9 3 2 2 3" xfId="7133"/>
    <cellStyle name="Comma 9 3 2 3" xfId="7134"/>
    <cellStyle name="Comma 9 3 2 3 2" xfId="7135"/>
    <cellStyle name="Comma 9 3 2 4" xfId="7136"/>
    <cellStyle name="Comma 9 3 3" xfId="7137"/>
    <cellStyle name="Comma 9 3 3 2" xfId="7138"/>
    <cellStyle name="Comma 9 3 3 2 2" xfId="7139"/>
    <cellStyle name="Comma 9 3 3 3" xfId="7140"/>
    <cellStyle name="Comma 9 3 4" xfId="7141"/>
    <cellStyle name="Comma 9 3 4 2" xfId="7142"/>
    <cellStyle name="Comma 9 3 5" xfId="7143"/>
    <cellStyle name="Comma 9 3 6" xfId="7144"/>
    <cellStyle name="Comma 9 4" xfId="7145"/>
    <cellStyle name="Comma 9 4 2" xfId="7146"/>
    <cellStyle name="Comma 9 4 2 2" xfId="7147"/>
    <cellStyle name="Comma 9 4 2 2 2" xfId="7148"/>
    <cellStyle name="Comma 9 4 2 3" xfId="7149"/>
    <cellStyle name="Comma 9 4 3" xfId="7150"/>
    <cellStyle name="Comma 9 4 3 2" xfId="7151"/>
    <cellStyle name="Comma 9 4 4" xfId="7152"/>
    <cellStyle name="Comma 9 5" xfId="7153"/>
    <cellStyle name="Comma 9 5 2" xfId="7154"/>
    <cellStyle name="Comma 9 5 2 2" xfId="7155"/>
    <cellStyle name="Comma 9 5 3" xfId="7156"/>
    <cellStyle name="Comma 9 6" xfId="7157"/>
    <cellStyle name="Comma 9 6 2" xfId="7158"/>
    <cellStyle name="Comma 9 7" xfId="7159"/>
    <cellStyle name="Comma 9 8" xfId="7160"/>
    <cellStyle name="Comma 9 9" xfId="7161"/>
    <cellStyle name="Comma0" xfId="1354"/>
    <cellStyle name="Comma0 2" xfId="7162"/>
    <cellStyle name="Comma0 2 2" xfId="7163"/>
    <cellStyle name="Comma0 2 2 2" xfId="7164"/>
    <cellStyle name="Comma0 2 3" xfId="7165"/>
    <cellStyle name="Comma0 2 4" xfId="7166"/>
    <cellStyle name="Comma0 3" xfId="7167"/>
    <cellStyle name="Comma0 3 2" xfId="7168"/>
    <cellStyle name="Comma0 3 2 2" xfId="7169"/>
    <cellStyle name="Comma0 3 3" xfId="7170"/>
    <cellStyle name="Comma0 3 4" xfId="7171"/>
    <cellStyle name="Comma0 4" xfId="7172"/>
    <cellStyle name="Comma0_SCH11 Not Done" xfId="7173"/>
    <cellStyle name="Currency" xfId="2" builtinId="4"/>
    <cellStyle name="Currency [0] 2" xfId="7174"/>
    <cellStyle name="Currency [0] 2 2" xfId="7175"/>
    <cellStyle name="Currency [0] 2 2 2" xfId="7176"/>
    <cellStyle name="Currency [0] 2 2 2 2" xfId="7177"/>
    <cellStyle name="Currency [0] 2 2 3" xfId="7178"/>
    <cellStyle name="Currency [0] 2 2 4" xfId="7179"/>
    <cellStyle name="Currency [0] 2 3" xfId="7180"/>
    <cellStyle name="Currency [0] 2 3 2" xfId="7181"/>
    <cellStyle name="Currency [0] 2 4" xfId="7182"/>
    <cellStyle name="Currency [0] 2 4 2" xfId="7183"/>
    <cellStyle name="Currency [0] 2 5" xfId="7184"/>
    <cellStyle name="Currency [0] 2 6" xfId="7185"/>
    <cellStyle name="Currency [0] 3" xfId="7186"/>
    <cellStyle name="Currency [0] 3 2" xfId="7187"/>
    <cellStyle name="Currency [0] 3 2 2" xfId="7188"/>
    <cellStyle name="Currency [0] 3 3" xfId="7189"/>
    <cellStyle name="Currency [0] 3 4" xfId="7190"/>
    <cellStyle name="Currency [0] 4" xfId="7191"/>
    <cellStyle name="Currency [0] 4 2" xfId="7192"/>
    <cellStyle name="Currency [0] 5" xfId="7193"/>
    <cellStyle name="Currency [0] 5 2" xfId="7194"/>
    <cellStyle name="Currency 10" xfId="7195"/>
    <cellStyle name="Currency 10 2" xfId="7196"/>
    <cellStyle name="Currency 10 2 2" xfId="7197"/>
    <cellStyle name="Currency 10 2 3" xfId="7198"/>
    <cellStyle name="Currency 10 3" xfId="7199"/>
    <cellStyle name="Currency 10 3 2" xfId="7200"/>
    <cellStyle name="Currency 10 4" xfId="7201"/>
    <cellStyle name="Currency 10 5" xfId="7202"/>
    <cellStyle name="Currency 10 6" xfId="7203"/>
    <cellStyle name="Currency 100" xfId="7204"/>
    <cellStyle name="Currency 101" xfId="7205"/>
    <cellStyle name="Currency 102" xfId="7206"/>
    <cellStyle name="Currency 103" xfId="7207"/>
    <cellStyle name="Currency 104" xfId="7208"/>
    <cellStyle name="Currency 105" xfId="7209"/>
    <cellStyle name="Currency 106" xfId="7210"/>
    <cellStyle name="Currency 107" xfId="7211"/>
    <cellStyle name="Currency 108" xfId="7212"/>
    <cellStyle name="Currency 109" xfId="7213"/>
    <cellStyle name="Currency 11" xfId="7214"/>
    <cellStyle name="Currency 11 2" xfId="7215"/>
    <cellStyle name="Currency 11 2 2" xfId="7216"/>
    <cellStyle name="Currency 11 3" xfId="7217"/>
    <cellStyle name="Currency 11 3 2" xfId="7218"/>
    <cellStyle name="Currency 11 4" xfId="7219"/>
    <cellStyle name="Currency 11 5" xfId="7220"/>
    <cellStyle name="Currency 110" xfId="7221"/>
    <cellStyle name="Currency 111" xfId="7222"/>
    <cellStyle name="Currency 112" xfId="7223"/>
    <cellStyle name="Currency 113" xfId="7224"/>
    <cellStyle name="Currency 114" xfId="7225"/>
    <cellStyle name="Currency 115" xfId="7226"/>
    <cellStyle name="Currency 116" xfId="7227"/>
    <cellStyle name="Currency 117" xfId="7228"/>
    <cellStyle name="Currency 118" xfId="7229"/>
    <cellStyle name="Currency 119" xfId="7230"/>
    <cellStyle name="Currency 12" xfId="7231"/>
    <cellStyle name="Currency 12 2" xfId="7232"/>
    <cellStyle name="Currency 12 2 2" xfId="7233"/>
    <cellStyle name="Currency 12 3" xfId="7234"/>
    <cellStyle name="Currency 12 3 2" xfId="7235"/>
    <cellStyle name="Currency 12 4" xfId="7236"/>
    <cellStyle name="Currency 12 5" xfId="7237"/>
    <cellStyle name="Currency 120" xfId="7238"/>
    <cellStyle name="Currency 120 2" xfId="7239"/>
    <cellStyle name="Currency 120 3" xfId="7240"/>
    <cellStyle name="Currency 121" xfId="7241"/>
    <cellStyle name="Currency 121 2" xfId="7242"/>
    <cellStyle name="Currency 121 3" xfId="7243"/>
    <cellStyle name="Currency 122" xfId="7244"/>
    <cellStyle name="Currency 122 2" xfId="7245"/>
    <cellStyle name="Currency 123" xfId="7246"/>
    <cellStyle name="Currency 123 2" xfId="7247"/>
    <cellStyle name="Currency 124" xfId="7248"/>
    <cellStyle name="Currency 124 2" xfId="7249"/>
    <cellStyle name="Currency 125" xfId="7250"/>
    <cellStyle name="Currency 126" xfId="7251"/>
    <cellStyle name="Currency 127" xfId="7252"/>
    <cellStyle name="Currency 128" xfId="7253"/>
    <cellStyle name="Currency 129" xfId="7254"/>
    <cellStyle name="Currency 13" xfId="7255"/>
    <cellStyle name="Currency 13 2" xfId="7256"/>
    <cellStyle name="Currency 13 2 2" xfId="7257"/>
    <cellStyle name="Currency 13 3" xfId="7258"/>
    <cellStyle name="Currency 13 3 2" xfId="7259"/>
    <cellStyle name="Currency 13 4" xfId="7260"/>
    <cellStyle name="Currency 13 5" xfId="7261"/>
    <cellStyle name="Currency 130" xfId="7262"/>
    <cellStyle name="Currency 131" xfId="7263"/>
    <cellStyle name="Currency 132" xfId="7264"/>
    <cellStyle name="Currency 133" xfId="7265"/>
    <cellStyle name="Currency 134" xfId="7266"/>
    <cellStyle name="Currency 135" xfId="7267"/>
    <cellStyle name="Currency 136" xfId="7268"/>
    <cellStyle name="Currency 136 2" xfId="7269"/>
    <cellStyle name="Currency 137" xfId="7270"/>
    <cellStyle name="Currency 138" xfId="7271"/>
    <cellStyle name="Currency 139" xfId="7272"/>
    <cellStyle name="Currency 14" xfId="7273"/>
    <cellStyle name="Currency 14 2" xfId="7274"/>
    <cellStyle name="Currency 14 2 2" xfId="7275"/>
    <cellStyle name="Currency 14 3" xfId="7276"/>
    <cellStyle name="Currency 14 3 2" xfId="7277"/>
    <cellStyle name="Currency 14 4" xfId="7278"/>
    <cellStyle name="Currency 14 5" xfId="7279"/>
    <cellStyle name="Currency 140" xfId="7280"/>
    <cellStyle name="Currency 141" xfId="7281"/>
    <cellStyle name="Currency 142" xfId="7282"/>
    <cellStyle name="Currency 143" xfId="7283"/>
    <cellStyle name="Currency 144" xfId="7284"/>
    <cellStyle name="Currency 145" xfId="7285"/>
    <cellStyle name="Currency 146" xfId="7286"/>
    <cellStyle name="Currency 147" xfId="7287"/>
    <cellStyle name="Currency 148" xfId="7288"/>
    <cellStyle name="Currency 149" xfId="7289"/>
    <cellStyle name="Currency 15" xfId="7290"/>
    <cellStyle name="Currency 15 2" xfId="7291"/>
    <cellStyle name="Currency 15 2 2" xfId="7292"/>
    <cellStyle name="Currency 15 3" xfId="7293"/>
    <cellStyle name="Currency 15 3 2" xfId="7294"/>
    <cellStyle name="Currency 15 4" xfId="7295"/>
    <cellStyle name="Currency 15 5" xfId="7296"/>
    <cellStyle name="Currency 150" xfId="7297"/>
    <cellStyle name="Currency 150 2" xfId="7298"/>
    <cellStyle name="Currency 151" xfId="7299"/>
    <cellStyle name="Currency 152" xfId="7300"/>
    <cellStyle name="Currency 153" xfId="7301"/>
    <cellStyle name="Currency 154" xfId="7302"/>
    <cellStyle name="Currency 155" xfId="7303"/>
    <cellStyle name="Currency 156" xfId="7304"/>
    <cellStyle name="Currency 157" xfId="7305"/>
    <cellStyle name="Currency 158" xfId="7306"/>
    <cellStyle name="Currency 159" xfId="7307"/>
    <cellStyle name="Currency 16" xfId="7308"/>
    <cellStyle name="Currency 16 2" xfId="7309"/>
    <cellStyle name="Currency 16 2 2" xfId="7310"/>
    <cellStyle name="Currency 16 3" xfId="7311"/>
    <cellStyle name="Currency 16 3 2" xfId="7312"/>
    <cellStyle name="Currency 16 4" xfId="7313"/>
    <cellStyle name="Currency 16 5" xfId="7314"/>
    <cellStyle name="Currency 160" xfId="7315"/>
    <cellStyle name="Currency 161" xfId="7316"/>
    <cellStyle name="Currency 162" xfId="7317"/>
    <cellStyle name="Currency 163" xfId="7318"/>
    <cellStyle name="Currency 17" xfId="7319"/>
    <cellStyle name="Currency 17 2" xfId="7320"/>
    <cellStyle name="Currency 17 2 2" xfId="7321"/>
    <cellStyle name="Currency 17 3" xfId="7322"/>
    <cellStyle name="Currency 17 3 2" xfId="7323"/>
    <cellStyle name="Currency 17 4" xfId="7324"/>
    <cellStyle name="Currency 17 5" xfId="7325"/>
    <cellStyle name="Currency 18" xfId="7326"/>
    <cellStyle name="Currency 18 2" xfId="7327"/>
    <cellStyle name="Currency 18 2 2" xfId="7328"/>
    <cellStyle name="Currency 18 3" xfId="7329"/>
    <cellStyle name="Currency 18 3 2" xfId="7330"/>
    <cellStyle name="Currency 18 4" xfId="7331"/>
    <cellStyle name="Currency 18 5" xfId="7332"/>
    <cellStyle name="Currency 19" xfId="7333"/>
    <cellStyle name="Currency 19 2" xfId="7334"/>
    <cellStyle name="Currency 19 2 2" xfId="7335"/>
    <cellStyle name="Currency 19 3" xfId="7336"/>
    <cellStyle name="Currency 19 3 2" xfId="7337"/>
    <cellStyle name="Currency 19 4" xfId="7338"/>
    <cellStyle name="Currency 19 5" xfId="7339"/>
    <cellStyle name="Currency 2" xfId="1355"/>
    <cellStyle name="Currency 2 2" xfId="1356"/>
    <cellStyle name="Currency 2 2 2" xfId="7340"/>
    <cellStyle name="Currency 2 2 2 2" xfId="7341"/>
    <cellStyle name="Currency 2 2 3" xfId="7342"/>
    <cellStyle name="Currency 2 3" xfId="1357"/>
    <cellStyle name="Currency 2 3 2" xfId="7343"/>
    <cellStyle name="Currency 2 3 2 2" xfId="7344"/>
    <cellStyle name="Currency 2 3 3" xfId="7345"/>
    <cellStyle name="Currency 2 4" xfId="1358"/>
    <cellStyle name="Currency 2 5" xfId="1359"/>
    <cellStyle name="Currency 20" xfId="7346"/>
    <cellStyle name="Currency 20 2" xfId="7347"/>
    <cellStyle name="Currency 20 2 2" xfId="7348"/>
    <cellStyle name="Currency 20 3" xfId="7349"/>
    <cellStyle name="Currency 20 3 2" xfId="7350"/>
    <cellStyle name="Currency 20 4" xfId="7351"/>
    <cellStyle name="Currency 20 5" xfId="7352"/>
    <cellStyle name="Currency 21" xfId="7353"/>
    <cellStyle name="Currency 21 2" xfId="7354"/>
    <cellStyle name="Currency 21 2 2" xfId="7355"/>
    <cellStyle name="Currency 21 3" xfId="7356"/>
    <cellStyle name="Currency 21 3 2" xfId="7357"/>
    <cellStyle name="Currency 21 4" xfId="7358"/>
    <cellStyle name="Currency 21 5" xfId="7359"/>
    <cellStyle name="Currency 22" xfId="7360"/>
    <cellStyle name="Currency 22 2" xfId="7361"/>
    <cellStyle name="Currency 22 2 2" xfId="7362"/>
    <cellStyle name="Currency 22 3" xfId="7363"/>
    <cellStyle name="Currency 22 3 2" xfId="7364"/>
    <cellStyle name="Currency 22 4" xfId="7365"/>
    <cellStyle name="Currency 22 5" xfId="7366"/>
    <cellStyle name="Currency 23" xfId="7367"/>
    <cellStyle name="Currency 23 2" xfId="7368"/>
    <cellStyle name="Currency 23 2 2" xfId="7369"/>
    <cellStyle name="Currency 23 3" xfId="7370"/>
    <cellStyle name="Currency 23 3 2" xfId="7371"/>
    <cellStyle name="Currency 23 4" xfId="7372"/>
    <cellStyle name="Currency 23 5" xfId="7373"/>
    <cellStyle name="Currency 24" xfId="7374"/>
    <cellStyle name="Currency 24 2" xfId="7375"/>
    <cellStyle name="Currency 24 2 2" xfId="7376"/>
    <cellStyle name="Currency 24 3" xfId="7377"/>
    <cellStyle name="Currency 24 3 2" xfId="7378"/>
    <cellStyle name="Currency 24 4" xfId="7379"/>
    <cellStyle name="Currency 24 5" xfId="7380"/>
    <cellStyle name="Currency 25" xfId="7381"/>
    <cellStyle name="Currency 25 2" xfId="7382"/>
    <cellStyle name="Currency 25 2 2" xfId="7383"/>
    <cellStyle name="Currency 25 3" xfId="7384"/>
    <cellStyle name="Currency 25 3 2" xfId="7385"/>
    <cellStyle name="Currency 25 4" xfId="7386"/>
    <cellStyle name="Currency 25 5" xfId="7387"/>
    <cellStyle name="Currency 26" xfId="7388"/>
    <cellStyle name="Currency 26 2" xfId="7389"/>
    <cellStyle name="Currency 26 2 2" xfId="7390"/>
    <cellStyle name="Currency 26 3" xfId="7391"/>
    <cellStyle name="Currency 26 3 2" xfId="7392"/>
    <cellStyle name="Currency 26 4" xfId="7393"/>
    <cellStyle name="Currency 26 5" xfId="7394"/>
    <cellStyle name="Currency 27" xfId="7395"/>
    <cellStyle name="Currency 27 2" xfId="7396"/>
    <cellStyle name="Currency 27 2 2" xfId="7397"/>
    <cellStyle name="Currency 27 2 2 2" xfId="7398"/>
    <cellStyle name="Currency 27 2 3" xfId="7399"/>
    <cellStyle name="Currency 27 2 4" xfId="7400"/>
    <cellStyle name="Currency 27 3" xfId="7401"/>
    <cellStyle name="Currency 27 3 2" xfId="7402"/>
    <cellStyle name="Currency 27 4" xfId="7403"/>
    <cellStyle name="Currency 27 4 2" xfId="7404"/>
    <cellStyle name="Currency 27 5" xfId="7405"/>
    <cellStyle name="Currency 27 6" xfId="7406"/>
    <cellStyle name="Currency 28" xfId="7407"/>
    <cellStyle name="Currency 28 2" xfId="7408"/>
    <cellStyle name="Currency 28 2 2" xfId="7409"/>
    <cellStyle name="Currency 28 3" xfId="7410"/>
    <cellStyle name="Currency 28 3 2" xfId="7411"/>
    <cellStyle name="Currency 28 4" xfId="7412"/>
    <cellStyle name="Currency 28 5" xfId="7413"/>
    <cellStyle name="Currency 29" xfId="7414"/>
    <cellStyle name="Currency 29 2" xfId="7415"/>
    <cellStyle name="Currency 29 2 2" xfId="7416"/>
    <cellStyle name="Currency 29 3" xfId="7417"/>
    <cellStyle name="Currency 29 3 2" xfId="7418"/>
    <cellStyle name="Currency 29 4" xfId="7419"/>
    <cellStyle name="Currency 29 5" xfId="7420"/>
    <cellStyle name="Currency 3" xfId="1360"/>
    <cellStyle name="Currency 3 2" xfId="1361"/>
    <cellStyle name="Currency 3 2 2" xfId="7421"/>
    <cellStyle name="Currency 3 2 2 2" xfId="7422"/>
    <cellStyle name="Currency 3 2 2 2 2" xfId="7423"/>
    <cellStyle name="Currency 3 2 2 3" xfId="7424"/>
    <cellStyle name="Currency 3 2 2 3 2" xfId="7425"/>
    <cellStyle name="Currency 3 2 2 4" xfId="7426"/>
    <cellStyle name="Currency 3 2 2 5" xfId="7427"/>
    <cellStyle name="Currency 3 2 2 6" xfId="7428"/>
    <cellStyle name="Currency 3 2 3" xfId="7429"/>
    <cellStyle name="Currency 3 2 3 2" xfId="7430"/>
    <cellStyle name="Currency 3 2 3 3" xfId="7431"/>
    <cellStyle name="Currency 3 2 3 4" xfId="7432"/>
    <cellStyle name="Currency 3 2 4" xfId="7433"/>
    <cellStyle name="Currency 3 2 5" xfId="7434"/>
    <cellStyle name="Currency 3 3" xfId="1362"/>
    <cellStyle name="Currency 3 3 2" xfId="7435"/>
    <cellStyle name="Currency 3 3 2 2" xfId="7436"/>
    <cellStyle name="Currency 3 3 3" xfId="7437"/>
    <cellStyle name="Currency 3 3 3 2" xfId="7438"/>
    <cellStyle name="Currency 3 3 4" xfId="7439"/>
    <cellStyle name="Currency 3 3 5" xfId="7440"/>
    <cellStyle name="Currency 3 4" xfId="1363"/>
    <cellStyle name="Currency 3 4 2" xfId="7441"/>
    <cellStyle name="Currency 3 4 3" xfId="7442"/>
    <cellStyle name="Currency 3 4 3 2" xfId="7443"/>
    <cellStyle name="Currency 3 4 4" xfId="7444"/>
    <cellStyle name="Currency 3 4 5" xfId="7445"/>
    <cellStyle name="Currency 3 5" xfId="1364"/>
    <cellStyle name="Currency 3 6" xfId="7446"/>
    <cellStyle name="Currency 30" xfId="7447"/>
    <cellStyle name="Currency 30 2" xfId="7448"/>
    <cellStyle name="Currency 30 2 2" xfId="7449"/>
    <cellStyle name="Currency 30 3" xfId="7450"/>
    <cellStyle name="Currency 30 3 2" xfId="7451"/>
    <cellStyle name="Currency 30 4" xfId="7452"/>
    <cellStyle name="Currency 30 5" xfId="7453"/>
    <cellStyle name="Currency 31" xfId="7454"/>
    <cellStyle name="Currency 31 2" xfId="7455"/>
    <cellStyle name="Currency 31 2 2" xfId="7456"/>
    <cellStyle name="Currency 31 3" xfId="7457"/>
    <cellStyle name="Currency 31 3 2" xfId="7458"/>
    <cellStyle name="Currency 31 4" xfId="7459"/>
    <cellStyle name="Currency 31 5" xfId="7460"/>
    <cellStyle name="Currency 32" xfId="7461"/>
    <cellStyle name="Currency 32 2" xfId="7462"/>
    <cellStyle name="Currency 32 2 2" xfId="7463"/>
    <cellStyle name="Currency 32 3" xfId="7464"/>
    <cellStyle name="Currency 32 3 2" xfId="7465"/>
    <cellStyle name="Currency 32 4" xfId="7466"/>
    <cellStyle name="Currency 32 5" xfId="7467"/>
    <cellStyle name="Currency 33" xfId="7468"/>
    <cellStyle name="Currency 34" xfId="7469"/>
    <cellStyle name="Currency 35" xfId="7470"/>
    <cellStyle name="Currency 36" xfId="7471"/>
    <cellStyle name="Currency 37" xfId="7472"/>
    <cellStyle name="Currency 38" xfId="7473"/>
    <cellStyle name="Currency 39" xfId="7474"/>
    <cellStyle name="Currency 4" xfId="1365"/>
    <cellStyle name="Currency 4 2" xfId="7475"/>
    <cellStyle name="Currency 4 2 2" xfId="7476"/>
    <cellStyle name="Currency 4 2 2 2" xfId="7477"/>
    <cellStyle name="Currency 4 2 2 2 2" xfId="7478"/>
    <cellStyle name="Currency 4 2 2 3" xfId="7479"/>
    <cellStyle name="Currency 4 2 2 4" xfId="7480"/>
    <cellStyle name="Currency 4 2 3" xfId="7481"/>
    <cellStyle name="Currency 4 2 3 2" xfId="7482"/>
    <cellStyle name="Currency 4 2 3 2 2" xfId="7483"/>
    <cellStyle name="Currency 4 2 3 3" xfId="7484"/>
    <cellStyle name="Currency 4 2 3 4" xfId="7485"/>
    <cellStyle name="Currency 4 2 4" xfId="7486"/>
    <cellStyle name="Currency 4 2 4 2" xfId="7487"/>
    <cellStyle name="Currency 4 2 4 3" xfId="7488"/>
    <cellStyle name="Currency 4 2 4 4" xfId="7489"/>
    <cellStyle name="Currency 4 2 5" xfId="7490"/>
    <cellStyle name="Currency 4 2 6" xfId="7491"/>
    <cellStyle name="Currency 4 3" xfId="7492"/>
    <cellStyle name="Currency 4 3 2" xfId="7493"/>
    <cellStyle name="Currency 4 3 2 2" xfId="7494"/>
    <cellStyle name="Currency 4 3 3" xfId="7495"/>
    <cellStyle name="Currency 4 3 4" xfId="7496"/>
    <cellStyle name="Currency 4 3 5" xfId="7497"/>
    <cellStyle name="Currency 4 4" xfId="7498"/>
    <cellStyle name="Currency 4 4 2" xfId="7499"/>
    <cellStyle name="Currency 4 4 2 2" xfId="7500"/>
    <cellStyle name="Currency 4 4 3" xfId="7501"/>
    <cellStyle name="Currency 4 4 4" xfId="7502"/>
    <cellStyle name="Currency 4 5" xfId="7503"/>
    <cellStyle name="Currency 40" xfId="7504"/>
    <cellStyle name="Currency 41" xfId="7505"/>
    <cellStyle name="Currency 42" xfId="7506"/>
    <cellStyle name="Currency 43" xfId="7507"/>
    <cellStyle name="Currency 44" xfId="7508"/>
    <cellStyle name="Currency 45" xfId="7509"/>
    <cellStyle name="Currency 46" xfId="7510"/>
    <cellStyle name="Currency 47" xfId="7511"/>
    <cellStyle name="Currency 48" xfId="7512"/>
    <cellStyle name="Currency 49" xfId="7513"/>
    <cellStyle name="Currency 5" xfId="2111"/>
    <cellStyle name="Currency 5 2" xfId="7514"/>
    <cellStyle name="Currency 5 2 2" xfId="7515"/>
    <cellStyle name="Currency 5 2 2 2" xfId="7516"/>
    <cellStyle name="Currency 5 2 2 3" xfId="7517"/>
    <cellStyle name="Currency 5 2 2 4" xfId="7518"/>
    <cellStyle name="Currency 5 2 3" xfId="7519"/>
    <cellStyle name="Currency 5 2 3 2" xfId="7520"/>
    <cellStyle name="Currency 5 2 4" xfId="7521"/>
    <cellStyle name="Currency 5 2 5" xfId="7522"/>
    <cellStyle name="Currency 5 2 6" xfId="7523"/>
    <cellStyle name="Currency 5 2 7" xfId="7524"/>
    <cellStyle name="Currency 5 3" xfId="7525"/>
    <cellStyle name="Currency 5 3 2" xfId="7526"/>
    <cellStyle name="Currency 5 3 3" xfId="7527"/>
    <cellStyle name="Currency 5 3 4" xfId="7528"/>
    <cellStyle name="Currency 5 4" xfId="7529"/>
    <cellStyle name="Currency 5 4 2" xfId="7530"/>
    <cellStyle name="Currency 5 5" xfId="7531"/>
    <cellStyle name="Currency 5 6" xfId="7532"/>
    <cellStyle name="Currency 5 7" xfId="7533"/>
    <cellStyle name="Currency 5 8" xfId="7534"/>
    <cellStyle name="Currency 50" xfId="7535"/>
    <cellStyle name="Currency 51" xfId="7536"/>
    <cellStyle name="Currency 52" xfId="7537"/>
    <cellStyle name="Currency 53" xfId="7538"/>
    <cellStyle name="Currency 54" xfId="7539"/>
    <cellStyle name="Currency 55" xfId="7540"/>
    <cellStyle name="Currency 56" xfId="7541"/>
    <cellStyle name="Currency 56 2" xfId="7542"/>
    <cellStyle name="Currency 57" xfId="7543"/>
    <cellStyle name="Currency 57 2" xfId="7544"/>
    <cellStyle name="Currency 58" xfId="7545"/>
    <cellStyle name="Currency 59" xfId="7546"/>
    <cellStyle name="Currency 6" xfId="7547"/>
    <cellStyle name="Currency 6 2" xfId="7548"/>
    <cellStyle name="Currency 6 2 2" xfId="7549"/>
    <cellStyle name="Currency 6 2 2 2" xfId="7550"/>
    <cellStyle name="Currency 6 2 2 2 2" xfId="7551"/>
    <cellStyle name="Currency 6 2 2 2 3" xfId="7552"/>
    <cellStyle name="Currency 6 2 2 3" xfId="7553"/>
    <cellStyle name="Currency 6 2 2 3 2" xfId="7554"/>
    <cellStyle name="Currency 6 2 2 4" xfId="7555"/>
    <cellStyle name="Currency 6 2 2 5" xfId="7556"/>
    <cellStyle name="Currency 6 2 2 6" xfId="7557"/>
    <cellStyle name="Currency 6 2 3" xfId="7558"/>
    <cellStyle name="Currency 6 2 3 2" xfId="7559"/>
    <cellStyle name="Currency 6 2 3 3" xfId="7560"/>
    <cellStyle name="Currency 6 2 4" xfId="7561"/>
    <cellStyle name="Currency 6 2 4 2" xfId="7562"/>
    <cellStyle name="Currency 6 2 5" xfId="7563"/>
    <cellStyle name="Currency 6 3" xfId="7564"/>
    <cellStyle name="Currency 6 3 2" xfId="7565"/>
    <cellStyle name="Currency 6 3 2 2" xfId="7566"/>
    <cellStyle name="Currency 6 3 2 2 2" xfId="7567"/>
    <cellStyle name="Currency 6 3 2 3" xfId="7568"/>
    <cellStyle name="Currency 6 3 2 4" xfId="7569"/>
    <cellStyle name="Currency 6 3 2 5" xfId="7570"/>
    <cellStyle name="Currency 6 3 3" xfId="7571"/>
    <cellStyle name="Currency 6 3 3 2" xfId="7572"/>
    <cellStyle name="Currency 6 3 4" xfId="7573"/>
    <cellStyle name="Currency 6 3 5" xfId="7574"/>
    <cellStyle name="Currency 6 3 6" xfId="7575"/>
    <cellStyle name="Currency 6 3 7" xfId="7576"/>
    <cellStyle name="Currency 6 4" xfId="7577"/>
    <cellStyle name="Currency 6 4 2" xfId="7578"/>
    <cellStyle name="Currency 6 4 2 2" xfId="7579"/>
    <cellStyle name="Currency 6 4 3" xfId="7580"/>
    <cellStyle name="Currency 6 4 4" xfId="7581"/>
    <cellStyle name="Currency 6 4 5" xfId="7582"/>
    <cellStyle name="Currency 6 5" xfId="7583"/>
    <cellStyle name="Currency 6 5 2" xfId="7584"/>
    <cellStyle name="Currency 6 5 2 2" xfId="7585"/>
    <cellStyle name="Currency 6 5 3" xfId="7586"/>
    <cellStyle name="Currency 6 5 4" xfId="7587"/>
    <cellStyle name="Currency 6 5 5" xfId="7588"/>
    <cellStyle name="Currency 6 6" xfId="7589"/>
    <cellStyle name="Currency 6 6 2" xfId="7590"/>
    <cellStyle name="Currency 6 6 2 2" xfId="7591"/>
    <cellStyle name="Currency 6 6 3" xfId="7592"/>
    <cellStyle name="Currency 6 6 4" xfId="7593"/>
    <cellStyle name="Currency 6 6 5" xfId="7594"/>
    <cellStyle name="Currency 6 7" xfId="7595"/>
    <cellStyle name="Currency 60" xfId="7596"/>
    <cellStyle name="Currency 61" xfId="7597"/>
    <cellStyle name="Currency 62" xfId="7598"/>
    <cellStyle name="Currency 62 2" xfId="7599"/>
    <cellStyle name="Currency 63" xfId="7600"/>
    <cellStyle name="Currency 64" xfId="7601"/>
    <cellStyle name="Currency 65" xfId="7602"/>
    <cellStyle name="Currency 66" xfId="7603"/>
    <cellStyle name="Currency 67" xfId="7604"/>
    <cellStyle name="Currency 68" xfId="7605"/>
    <cellStyle name="Currency 69" xfId="7606"/>
    <cellStyle name="Currency 7" xfId="7607"/>
    <cellStyle name="Currency 7 2" xfId="7608"/>
    <cellStyle name="Currency 7 2 2" xfId="7609"/>
    <cellStyle name="Currency 7 2 2 2" xfId="7610"/>
    <cellStyle name="Currency 7 2 3" xfId="7611"/>
    <cellStyle name="Currency 7 2 4" xfId="7612"/>
    <cellStyle name="Currency 7 3" xfId="7613"/>
    <cellStyle name="Currency 7 3 2" xfId="7614"/>
    <cellStyle name="Currency 7 3 3" xfId="7615"/>
    <cellStyle name="Currency 7 3 4" xfId="7616"/>
    <cellStyle name="Currency 7 4" xfId="7617"/>
    <cellStyle name="Currency 7 4 2" xfId="7618"/>
    <cellStyle name="Currency 7 5" xfId="7619"/>
    <cellStyle name="Currency 7 6" xfId="7620"/>
    <cellStyle name="Currency 7 7" xfId="7621"/>
    <cellStyle name="Currency 7 8" xfId="7622"/>
    <cellStyle name="Currency 70" xfId="7623"/>
    <cellStyle name="Currency 71" xfId="7624"/>
    <cellStyle name="Currency 72" xfId="7625"/>
    <cellStyle name="Currency 73" xfId="7626"/>
    <cellStyle name="Currency 74" xfId="7627"/>
    <cellStyle name="Currency 75" xfId="7628"/>
    <cellStyle name="Currency 76" xfId="7629"/>
    <cellStyle name="Currency 77" xfId="7630"/>
    <cellStyle name="Currency 78" xfId="7631"/>
    <cellStyle name="Currency 79" xfId="7632"/>
    <cellStyle name="Currency 8" xfId="7633"/>
    <cellStyle name="Currency 8 2" xfId="7634"/>
    <cellStyle name="Currency 8 2 2" xfId="7635"/>
    <cellStyle name="Currency 8 2 3" xfId="7636"/>
    <cellStyle name="Currency 8 2 3 2" xfId="7637"/>
    <cellStyle name="Currency 8 2 4" xfId="7638"/>
    <cellStyle name="Currency 8 2 5" xfId="7639"/>
    <cellStyle name="Currency 8 3" xfId="7640"/>
    <cellStyle name="Currency 8 3 2" xfId="7641"/>
    <cellStyle name="Currency 8 3 3" xfId="7642"/>
    <cellStyle name="Currency 8 4" xfId="7643"/>
    <cellStyle name="Currency 8 5" xfId="7644"/>
    <cellStyle name="Currency 8 6" xfId="7645"/>
    <cellStyle name="Currency 8 7" xfId="7646"/>
    <cellStyle name="Currency 80" xfId="7647"/>
    <cellStyle name="Currency 81" xfId="7648"/>
    <cellStyle name="Currency 82" xfId="7649"/>
    <cellStyle name="Currency 83" xfId="7650"/>
    <cellStyle name="Currency 84" xfId="7651"/>
    <cellStyle name="Currency 85" xfId="7652"/>
    <cellStyle name="Currency 86" xfId="7653"/>
    <cellStyle name="Currency 87" xfId="7654"/>
    <cellStyle name="Currency 88" xfId="7655"/>
    <cellStyle name="Currency 89" xfId="7656"/>
    <cellStyle name="Currency 9" xfId="7657"/>
    <cellStyle name="Currency 9 2" xfId="7658"/>
    <cellStyle name="Currency 9 2 2" xfId="7659"/>
    <cellStyle name="Currency 9 2 3" xfId="7660"/>
    <cellStyle name="Currency 9 3" xfId="7661"/>
    <cellStyle name="Currency 9 3 2" xfId="7662"/>
    <cellStyle name="Currency 9 4" xfId="7663"/>
    <cellStyle name="Currency 9 5" xfId="7664"/>
    <cellStyle name="Currency 9 6" xfId="7665"/>
    <cellStyle name="Currency 90" xfId="7666"/>
    <cellStyle name="Currency 91" xfId="7667"/>
    <cellStyle name="Currency 92" xfId="7668"/>
    <cellStyle name="Currency 93" xfId="7669"/>
    <cellStyle name="Currency 94" xfId="7670"/>
    <cellStyle name="Currency 95" xfId="7671"/>
    <cellStyle name="Currency 96" xfId="7672"/>
    <cellStyle name="Currency 97" xfId="7673"/>
    <cellStyle name="Currency 98" xfId="7674"/>
    <cellStyle name="Currency 99" xfId="7675"/>
    <cellStyle name="Currency0" xfId="1366"/>
    <cellStyle name="Currency0 2" xfId="7676"/>
    <cellStyle name="Currency0 2 2" xfId="7677"/>
    <cellStyle name="Currency0 2 3" xfId="7678"/>
    <cellStyle name="Currency0 3" xfId="7679"/>
    <cellStyle name="Currency0 3 2" xfId="7680"/>
    <cellStyle name="Currency0 3 3" xfId="7681"/>
    <cellStyle name="Custom - Style1" xfId="7682"/>
    <cellStyle name="Data   - Style2" xfId="7683"/>
    <cellStyle name="Date" xfId="1367"/>
    <cellStyle name="Date 2" xfId="7684"/>
    <cellStyle name="Date 2 2" xfId="7685"/>
    <cellStyle name="Date 2 3" xfId="7686"/>
    <cellStyle name="Date 3" xfId="7687"/>
    <cellStyle name="Date 3 2" xfId="7688"/>
    <cellStyle name="Date 3 3" xfId="7689"/>
    <cellStyle name="Eingabe" xfId="7690"/>
    <cellStyle name="Eingabe 2" xfId="7691"/>
    <cellStyle name="Euro" xfId="7692"/>
    <cellStyle name="Euro 2" xfId="7693"/>
    <cellStyle name="Euro 2 2" xfId="7694"/>
    <cellStyle name="Euro 2 2 2" xfId="7695"/>
    <cellStyle name="Euro 2 3" xfId="7696"/>
    <cellStyle name="Euro 3" xfId="7697"/>
    <cellStyle name="Euro 3 2" xfId="7698"/>
    <cellStyle name="Euro 3 3" xfId="7699"/>
    <cellStyle name="Explanatory Text 10" xfId="1368"/>
    <cellStyle name="Explanatory Text 11" xfId="1369"/>
    <cellStyle name="Explanatory Text 12" xfId="1370"/>
    <cellStyle name="Explanatory Text 13" xfId="1371"/>
    <cellStyle name="Explanatory Text 14" xfId="1372"/>
    <cellStyle name="Explanatory Text 15" xfId="1373"/>
    <cellStyle name="Explanatory Text 16" xfId="1374"/>
    <cellStyle name="Explanatory Text 17" xfId="1375"/>
    <cellStyle name="Explanatory Text 18" xfId="1376"/>
    <cellStyle name="Explanatory Text 19" xfId="1377"/>
    <cellStyle name="Explanatory Text 2" xfId="1378"/>
    <cellStyle name="Explanatory Text 2 2" xfId="1379"/>
    <cellStyle name="Explanatory Text 2 2 2" xfId="1380"/>
    <cellStyle name="Explanatory Text 2 2 2 2" xfId="1381"/>
    <cellStyle name="Explanatory Text 2 2 2 3" xfId="1382"/>
    <cellStyle name="Explanatory Text 2 2 2 4" xfId="1383"/>
    <cellStyle name="Explanatory Text 2 2 2 5" xfId="1384"/>
    <cellStyle name="Explanatory Text 2 2 3" xfId="1385"/>
    <cellStyle name="Explanatory Text 2 2 4" xfId="1386"/>
    <cellStyle name="Explanatory Text 2 2 5" xfId="1387"/>
    <cellStyle name="Explanatory Text 2 3" xfId="1388"/>
    <cellStyle name="Explanatory Text 2 4" xfId="1389"/>
    <cellStyle name="Explanatory Text 2 5" xfId="1390"/>
    <cellStyle name="Explanatory Text 2 6" xfId="1391"/>
    <cellStyle name="Explanatory Text 2 7" xfId="1392"/>
    <cellStyle name="Explanatory Text 2 8" xfId="1393"/>
    <cellStyle name="Explanatory Text 2 9" xfId="1394"/>
    <cellStyle name="Explanatory Text 20" xfId="1395"/>
    <cellStyle name="Explanatory Text 21" xfId="1396"/>
    <cellStyle name="Explanatory Text 22" xfId="1397"/>
    <cellStyle name="Explanatory Text 3" xfId="1398"/>
    <cellStyle name="Explanatory Text 3 2" xfId="7700"/>
    <cellStyle name="Explanatory Text 4" xfId="1399"/>
    <cellStyle name="Explanatory Text 5" xfId="1400"/>
    <cellStyle name="Explanatory Text 6" xfId="1401"/>
    <cellStyle name="Explanatory Text 7" xfId="1402"/>
    <cellStyle name="Explanatory Text 8" xfId="1403"/>
    <cellStyle name="Explanatory Text 9" xfId="1404"/>
    <cellStyle name="F2" xfId="1405"/>
    <cellStyle name="F2 2" xfId="1406"/>
    <cellStyle name="F2 2 2" xfId="7701"/>
    <cellStyle name="F2 3" xfId="1407"/>
    <cellStyle name="F2 3 2" xfId="7702"/>
    <cellStyle name="F2 4" xfId="1408"/>
    <cellStyle name="F2 5" xfId="1409"/>
    <cellStyle name="F2 6" xfId="1410"/>
    <cellStyle name="F2 7" xfId="1411"/>
    <cellStyle name="F2 8" xfId="7703"/>
    <cellStyle name="F2 9" xfId="7704"/>
    <cellStyle name="F2_Regenerated Revenues LGE Gas 2008-04 with Elec Gen-Seelye final version " xfId="7705"/>
    <cellStyle name="F3" xfId="1412"/>
    <cellStyle name="F3 2" xfId="1413"/>
    <cellStyle name="F3 2 2" xfId="7706"/>
    <cellStyle name="F3 3" xfId="1414"/>
    <cellStyle name="F3 3 2" xfId="7707"/>
    <cellStyle name="F3 4" xfId="1415"/>
    <cellStyle name="F3 5" xfId="1416"/>
    <cellStyle name="F3 6" xfId="1417"/>
    <cellStyle name="F3 7" xfId="1418"/>
    <cellStyle name="F3 8" xfId="7708"/>
    <cellStyle name="F3 9" xfId="7709"/>
    <cellStyle name="F3_Regenerated Revenues LGE Gas 2008-04 with Elec Gen-Seelye final version " xfId="7710"/>
    <cellStyle name="F4" xfId="1419"/>
    <cellStyle name="F4 2" xfId="1420"/>
    <cellStyle name="F4 2 2" xfId="7711"/>
    <cellStyle name="F4 3" xfId="1421"/>
    <cellStyle name="F4 3 2" xfId="7712"/>
    <cellStyle name="F4 4" xfId="1422"/>
    <cellStyle name="F4 5" xfId="1423"/>
    <cellStyle name="F4 6" xfId="1424"/>
    <cellStyle name="F4 7" xfId="1425"/>
    <cellStyle name="F4 8" xfId="7713"/>
    <cellStyle name="F4 9" xfId="7714"/>
    <cellStyle name="F4_Regenerated Revenues LGE Gas 2008-04 with Elec Gen-Seelye final version " xfId="7715"/>
    <cellStyle name="F5" xfId="1426"/>
    <cellStyle name="F5 2" xfId="1427"/>
    <cellStyle name="F5 2 2" xfId="7716"/>
    <cellStyle name="F5 3" xfId="1428"/>
    <cellStyle name="F5 3 2" xfId="7717"/>
    <cellStyle name="F5 4" xfId="1429"/>
    <cellStyle name="F5 5" xfId="1430"/>
    <cellStyle name="F5 6" xfId="1431"/>
    <cellStyle name="F5 7" xfId="1432"/>
    <cellStyle name="F5 8" xfId="7718"/>
    <cellStyle name="F5 9" xfId="7719"/>
    <cellStyle name="F5_Regenerated Revenues LGE Gas 2008-04 with Elec Gen-Seelye final version " xfId="7720"/>
    <cellStyle name="F6" xfId="1433"/>
    <cellStyle name="F6 10" xfId="7721"/>
    <cellStyle name="F6 10 2" xfId="7722"/>
    <cellStyle name="F6 11" xfId="7723"/>
    <cellStyle name="F6 2" xfId="1434"/>
    <cellStyle name="F6 2 2" xfId="7724"/>
    <cellStyle name="F6 2 2 2" xfId="7725"/>
    <cellStyle name="F6 3" xfId="1435"/>
    <cellStyle name="F6 3 2" xfId="7726"/>
    <cellStyle name="F6 4" xfId="1436"/>
    <cellStyle name="F6 5" xfId="1437"/>
    <cellStyle name="F6 6" xfId="1438"/>
    <cellStyle name="F6 7" xfId="1439"/>
    <cellStyle name="F6 8" xfId="7727"/>
    <cellStyle name="F6 9" xfId="7728"/>
    <cellStyle name="F6_Regenerated Revenues LGE Gas 2008-04 with Elec Gen-Seelye final version " xfId="7729"/>
    <cellStyle name="F7" xfId="1440"/>
    <cellStyle name="F7 2" xfId="1441"/>
    <cellStyle name="F7 2 2" xfId="7730"/>
    <cellStyle name="F7 3" xfId="1442"/>
    <cellStyle name="F7 3 2" xfId="7731"/>
    <cellStyle name="F7 4" xfId="1443"/>
    <cellStyle name="F7 5" xfId="1444"/>
    <cellStyle name="F7 6" xfId="1445"/>
    <cellStyle name="F7 7" xfId="1446"/>
    <cellStyle name="F7 8" xfId="7732"/>
    <cellStyle name="F7 9" xfId="7733"/>
    <cellStyle name="F7_Regenerated Revenues LGE Gas 2008-04 with Elec Gen-Seelye final version " xfId="7734"/>
    <cellStyle name="F8" xfId="1447"/>
    <cellStyle name="F8 2" xfId="1448"/>
    <cellStyle name="F8 2 2" xfId="7735"/>
    <cellStyle name="F8 3" xfId="1449"/>
    <cellStyle name="F8 3 2" xfId="7736"/>
    <cellStyle name="F8 4" xfId="1450"/>
    <cellStyle name="F8 5" xfId="1451"/>
    <cellStyle name="F8 6" xfId="1452"/>
    <cellStyle name="F8 7" xfId="1453"/>
    <cellStyle name="F8 8" xfId="7737"/>
    <cellStyle name="F8 9" xfId="7738"/>
    <cellStyle name="F8_Regenerated Revenues LGE Gas 2008-04 with Elec Gen-Seelye final version " xfId="7739"/>
    <cellStyle name="Fixed" xfId="1454"/>
    <cellStyle name="Fixed 2" xfId="7740"/>
    <cellStyle name="Fixed 2 2" xfId="7741"/>
    <cellStyle name="Fixed 2 3" xfId="7742"/>
    <cellStyle name="Fixed 3" xfId="7743"/>
    <cellStyle name="Fixed 3 2" xfId="7744"/>
    <cellStyle name="Fixed 3 3" xfId="7745"/>
    <cellStyle name="Good 10" xfId="1455"/>
    <cellStyle name="Good 11" xfId="1456"/>
    <cellStyle name="Good 12" xfId="1457"/>
    <cellStyle name="Good 13" xfId="1458"/>
    <cellStyle name="Good 14" xfId="1459"/>
    <cellStyle name="Good 15" xfId="1460"/>
    <cellStyle name="Good 16" xfId="1461"/>
    <cellStyle name="Good 17" xfId="1462"/>
    <cellStyle name="Good 17 2" xfId="7746"/>
    <cellStyle name="Good 18" xfId="1463"/>
    <cellStyle name="Good 19" xfId="1464"/>
    <cellStyle name="Good 2" xfId="1465"/>
    <cellStyle name="Good 2 2" xfId="1466"/>
    <cellStyle name="Good 2 2 2" xfId="1467"/>
    <cellStyle name="Good 2 2 2 2" xfId="1468"/>
    <cellStyle name="Good 2 2 2 3" xfId="1469"/>
    <cellStyle name="Good 2 2 2 4" xfId="1470"/>
    <cellStyle name="Good 2 2 2 5" xfId="1471"/>
    <cellStyle name="Good 2 2 3" xfId="1472"/>
    <cellStyle name="Good 2 2 4" xfId="1473"/>
    <cellStyle name="Good 2 2 5" xfId="1474"/>
    <cellStyle name="Good 2 3" xfId="1475"/>
    <cellStyle name="Good 2 4" xfId="1476"/>
    <cellStyle name="Good 2 5" xfId="1477"/>
    <cellStyle name="Good 2 6" xfId="1478"/>
    <cellStyle name="Good 2 7" xfId="1479"/>
    <cellStyle name="Good 2 8" xfId="1480"/>
    <cellStyle name="Good 2 9" xfId="1481"/>
    <cellStyle name="Good 20" xfId="1482"/>
    <cellStyle name="Good 21" xfId="1483"/>
    <cellStyle name="Good 22" xfId="1484"/>
    <cellStyle name="Good 3" xfId="1485"/>
    <cellStyle name="Good 3 2" xfId="7747"/>
    <cellStyle name="Good 4" xfId="1486"/>
    <cellStyle name="Good 5" xfId="1487"/>
    <cellStyle name="Good 6" xfId="1488"/>
    <cellStyle name="Good 7" xfId="1489"/>
    <cellStyle name="Good 8" xfId="1490"/>
    <cellStyle name="Good 9" xfId="1491"/>
    <cellStyle name="Heading 1 10" xfId="1492"/>
    <cellStyle name="Heading 1 11" xfId="1493"/>
    <cellStyle name="Heading 1 12" xfId="1494"/>
    <cellStyle name="Heading 1 13" xfId="1495"/>
    <cellStyle name="Heading 1 14" xfId="1496"/>
    <cellStyle name="Heading 1 15" xfId="1497"/>
    <cellStyle name="Heading 1 16" xfId="1498"/>
    <cellStyle name="Heading 1 17" xfId="1499"/>
    <cellStyle name="Heading 1 17 2" xfId="7748"/>
    <cellStyle name="Heading 1 17 3" xfId="7749"/>
    <cellStyle name="Heading 1 17 4" xfId="7750"/>
    <cellStyle name="Heading 1 18" xfId="1500"/>
    <cellStyle name="Heading 1 19" xfId="1501"/>
    <cellStyle name="Heading 1 2" xfId="1502"/>
    <cellStyle name="Heading 1 2 2" xfId="1503"/>
    <cellStyle name="Heading 1 2 2 2" xfId="1504"/>
    <cellStyle name="Heading 1 2 2 2 2" xfId="1505"/>
    <cellStyle name="Heading 1 2 2 2 3" xfId="1506"/>
    <cellStyle name="Heading 1 2 2 2 4" xfId="1507"/>
    <cellStyle name="Heading 1 2 2 2 5" xfId="1508"/>
    <cellStyle name="Heading 1 2 2 3" xfId="1509"/>
    <cellStyle name="Heading 1 2 2 4" xfId="1510"/>
    <cellStyle name="Heading 1 2 2 5" xfId="1511"/>
    <cellStyle name="Heading 1 2 3" xfId="1512"/>
    <cellStyle name="Heading 1 2 4" xfId="1513"/>
    <cellStyle name="Heading 1 2 5" xfId="1514"/>
    <cellStyle name="Heading 1 2 6" xfId="1515"/>
    <cellStyle name="Heading 1 2 7" xfId="1516"/>
    <cellStyle name="Heading 1 2 8" xfId="1517"/>
    <cellStyle name="Heading 1 2 9" xfId="1518"/>
    <cellStyle name="Heading 1 20" xfId="1519"/>
    <cellStyle name="Heading 1 21" xfId="1520"/>
    <cellStyle name="Heading 1 22" xfId="1521"/>
    <cellStyle name="Heading 1 23" xfId="1522"/>
    <cellStyle name="Heading 1 24" xfId="1523"/>
    <cellStyle name="Heading 1 3" xfId="1524"/>
    <cellStyle name="Heading 1 3 2" xfId="7751"/>
    <cellStyle name="Heading 1 3 2 2" xfId="7752"/>
    <cellStyle name="Heading 1 4" xfId="1525"/>
    <cellStyle name="Heading 1 5" xfId="1526"/>
    <cellStyle name="Heading 1 6" xfId="1527"/>
    <cellStyle name="Heading 1 7" xfId="1528"/>
    <cellStyle name="Heading 1 8" xfId="1529"/>
    <cellStyle name="Heading 1 9" xfId="1530"/>
    <cellStyle name="Heading 2 10" xfId="1531"/>
    <cellStyle name="Heading 2 11" xfId="1532"/>
    <cellStyle name="Heading 2 12" xfId="1533"/>
    <cellStyle name="Heading 2 13" xfId="1534"/>
    <cellStyle name="Heading 2 14" xfId="1535"/>
    <cellStyle name="Heading 2 15" xfId="1536"/>
    <cellStyle name="Heading 2 16" xfId="1537"/>
    <cellStyle name="Heading 2 17" xfId="1538"/>
    <cellStyle name="Heading 2 17 2" xfId="7753"/>
    <cellStyle name="Heading 2 17 3" xfId="7754"/>
    <cellStyle name="Heading 2 17 4" xfId="7755"/>
    <cellStyle name="Heading 2 18" xfId="1539"/>
    <cellStyle name="Heading 2 19" xfId="1540"/>
    <cellStyle name="Heading 2 2" xfId="1541"/>
    <cellStyle name="Heading 2 2 2" xfId="1542"/>
    <cellStyle name="Heading 2 2 2 2" xfId="1543"/>
    <cellStyle name="Heading 2 2 2 2 2" xfId="1544"/>
    <cellStyle name="Heading 2 2 2 2 3" xfId="1545"/>
    <cellStyle name="Heading 2 2 2 2 4" xfId="1546"/>
    <cellStyle name="Heading 2 2 2 2 5" xfId="1547"/>
    <cellStyle name="Heading 2 2 2 3" xfId="1548"/>
    <cellStyle name="Heading 2 2 2 4" xfId="1549"/>
    <cellStyle name="Heading 2 2 2 5" xfId="1550"/>
    <cellStyle name="Heading 2 2 3" xfId="1551"/>
    <cellStyle name="Heading 2 2 4" xfId="1552"/>
    <cellStyle name="Heading 2 2 5" xfId="1553"/>
    <cellStyle name="Heading 2 2 6" xfId="1554"/>
    <cellStyle name="Heading 2 2 7" xfId="1555"/>
    <cellStyle name="Heading 2 2 8" xfId="1556"/>
    <cellStyle name="Heading 2 2 9" xfId="1557"/>
    <cellStyle name="Heading 2 20" xfId="1558"/>
    <cellStyle name="Heading 2 21" xfId="1559"/>
    <cellStyle name="Heading 2 22" xfId="1560"/>
    <cellStyle name="Heading 2 23" xfId="1561"/>
    <cellStyle name="Heading 2 24" xfId="1562"/>
    <cellStyle name="Heading 2 3" xfId="1563"/>
    <cellStyle name="Heading 2 3 2" xfId="7756"/>
    <cellStyle name="Heading 2 3 2 2" xfId="7757"/>
    <cellStyle name="Heading 2 4" xfId="1564"/>
    <cellStyle name="Heading 2 5" xfId="1565"/>
    <cellStyle name="Heading 2 6" xfId="1566"/>
    <cellStyle name="Heading 2 7" xfId="1567"/>
    <cellStyle name="Heading 2 8" xfId="1568"/>
    <cellStyle name="Heading 2 9" xfId="1569"/>
    <cellStyle name="Heading 3 10" xfId="1570"/>
    <cellStyle name="Heading 3 11" xfId="1571"/>
    <cellStyle name="Heading 3 12" xfId="1572"/>
    <cellStyle name="Heading 3 13" xfId="1573"/>
    <cellStyle name="Heading 3 14" xfId="1574"/>
    <cellStyle name="Heading 3 15" xfId="1575"/>
    <cellStyle name="Heading 3 16" xfId="1576"/>
    <cellStyle name="Heading 3 17" xfId="1577"/>
    <cellStyle name="Heading 3 17 2" xfId="7758"/>
    <cellStyle name="Heading 3 18" xfId="1578"/>
    <cellStyle name="Heading 3 19" xfId="1579"/>
    <cellStyle name="Heading 3 2" xfId="1580"/>
    <cellStyle name="Heading 3 2 2" xfId="1581"/>
    <cellStyle name="Heading 3 2 2 2" xfId="1582"/>
    <cellStyle name="Heading 3 2 2 2 2" xfId="1583"/>
    <cellStyle name="Heading 3 2 2 2 3" xfId="1584"/>
    <cellStyle name="Heading 3 2 2 2 4" xfId="1585"/>
    <cellStyle name="Heading 3 2 2 2 5" xfId="1586"/>
    <cellStyle name="Heading 3 2 2 3" xfId="1587"/>
    <cellStyle name="Heading 3 2 2 4" xfId="1588"/>
    <cellStyle name="Heading 3 2 2 5" xfId="1589"/>
    <cellStyle name="Heading 3 2 3" xfId="1590"/>
    <cellStyle name="Heading 3 2 4" xfId="1591"/>
    <cellStyle name="Heading 3 2 5" xfId="1592"/>
    <cellStyle name="Heading 3 2 6" xfId="1593"/>
    <cellStyle name="Heading 3 2 7" xfId="1594"/>
    <cellStyle name="Heading 3 2 8" xfId="1595"/>
    <cellStyle name="Heading 3 2 9" xfId="1596"/>
    <cellStyle name="Heading 3 20" xfId="1597"/>
    <cellStyle name="Heading 3 21" xfId="1598"/>
    <cellStyle name="Heading 3 22" xfId="1599"/>
    <cellStyle name="Heading 3 3" xfId="1600"/>
    <cellStyle name="Heading 3 3 2" xfId="7759"/>
    <cellStyle name="Heading 3 4" xfId="1601"/>
    <cellStyle name="Heading 3 4 2" xfId="7760"/>
    <cellStyle name="Heading 3 5" xfId="1602"/>
    <cellStyle name="Heading 3 5 2" xfId="7761"/>
    <cellStyle name="Heading 3 6" xfId="1603"/>
    <cellStyle name="Heading 3 7" xfId="1604"/>
    <cellStyle name="Heading 3 8" xfId="1605"/>
    <cellStyle name="Heading 3 9" xfId="1606"/>
    <cellStyle name="Heading 4 10" xfId="1607"/>
    <cellStyle name="Heading 4 11" xfId="1608"/>
    <cellStyle name="Heading 4 12" xfId="1609"/>
    <cellStyle name="Heading 4 13" xfId="1610"/>
    <cellStyle name="Heading 4 14" xfId="1611"/>
    <cellStyle name="Heading 4 15" xfId="1612"/>
    <cellStyle name="Heading 4 16" xfId="1613"/>
    <cellStyle name="Heading 4 17" xfId="1614"/>
    <cellStyle name="Heading 4 17 2" xfId="7762"/>
    <cellStyle name="Heading 4 18" xfId="1615"/>
    <cellStyle name="Heading 4 19" xfId="1616"/>
    <cellStyle name="Heading 4 2" xfId="1617"/>
    <cellStyle name="Heading 4 2 2" xfId="1618"/>
    <cellStyle name="Heading 4 2 2 2" xfId="1619"/>
    <cellStyle name="Heading 4 2 2 2 2" xfId="1620"/>
    <cellStyle name="Heading 4 2 2 2 3" xfId="1621"/>
    <cellStyle name="Heading 4 2 2 2 4" xfId="1622"/>
    <cellStyle name="Heading 4 2 2 2 5" xfId="1623"/>
    <cellStyle name="Heading 4 2 2 3" xfId="1624"/>
    <cellStyle name="Heading 4 2 2 4" xfId="1625"/>
    <cellStyle name="Heading 4 2 2 5" xfId="1626"/>
    <cellStyle name="Heading 4 2 3" xfId="1627"/>
    <cellStyle name="Heading 4 2 4" xfId="1628"/>
    <cellStyle name="Heading 4 2 5" xfId="1629"/>
    <cellStyle name="Heading 4 2 6" xfId="1630"/>
    <cellStyle name="Heading 4 2 7" xfId="1631"/>
    <cellStyle name="Heading 4 2 8" xfId="1632"/>
    <cellStyle name="Heading 4 2 9" xfId="1633"/>
    <cellStyle name="Heading 4 20" xfId="1634"/>
    <cellStyle name="Heading 4 21" xfId="1635"/>
    <cellStyle name="Heading 4 22" xfId="1636"/>
    <cellStyle name="Heading 4 3" xfId="1637"/>
    <cellStyle name="Heading 4 3 2" xfId="7763"/>
    <cellStyle name="Heading 4 4" xfId="1638"/>
    <cellStyle name="Heading 4 5" xfId="1639"/>
    <cellStyle name="Heading 4 6" xfId="1640"/>
    <cellStyle name="Heading 4 7" xfId="1641"/>
    <cellStyle name="Heading 4 8" xfId="1642"/>
    <cellStyle name="Heading 4 9" xfId="1643"/>
    <cellStyle name="Hyperlink 2" xfId="7764"/>
    <cellStyle name="Input 10" xfId="1644"/>
    <cellStyle name="Input 10 10" xfId="7765"/>
    <cellStyle name="Input 10 11" xfId="7766"/>
    <cellStyle name="Input 10 12" xfId="7767"/>
    <cellStyle name="Input 10 2" xfId="7768"/>
    <cellStyle name="Input 10 2 2" xfId="7769"/>
    <cellStyle name="Input 10 2 2 2" xfId="7770"/>
    <cellStyle name="Input 10 2 3" xfId="7771"/>
    <cellStyle name="Input 10 2 3 2" xfId="7772"/>
    <cellStyle name="Input 10 2 4" xfId="7773"/>
    <cellStyle name="Input 10 2 4 2" xfId="7774"/>
    <cellStyle name="Input 10 2 5" xfId="7775"/>
    <cellStyle name="Input 10 2 5 2" xfId="7776"/>
    <cellStyle name="Input 10 2 6" xfId="7777"/>
    <cellStyle name="Input 10 2 6 2" xfId="7778"/>
    <cellStyle name="Input 10 2 7" xfId="7779"/>
    <cellStyle name="Input 10 2 7 2" xfId="7780"/>
    <cellStyle name="Input 10 2 8" xfId="7781"/>
    <cellStyle name="Input 10 2 8 2" xfId="7782"/>
    <cellStyle name="Input 10 2 9" xfId="7783"/>
    <cellStyle name="Input 10 3" xfId="7784"/>
    <cellStyle name="Input 10 3 2" xfId="7785"/>
    <cellStyle name="Input 10 4" xfId="7786"/>
    <cellStyle name="Input 10 4 2" xfId="7787"/>
    <cellStyle name="Input 10 5" xfId="7788"/>
    <cellStyle name="Input 10 5 2" xfId="7789"/>
    <cellStyle name="Input 10 6" xfId="7790"/>
    <cellStyle name="Input 10 6 2" xfId="7791"/>
    <cellStyle name="Input 10 7" xfId="7792"/>
    <cellStyle name="Input 10 7 2" xfId="7793"/>
    <cellStyle name="Input 10 8" xfId="7794"/>
    <cellStyle name="Input 10 8 2" xfId="7795"/>
    <cellStyle name="Input 10 9" xfId="7796"/>
    <cellStyle name="Input 10 9 2" xfId="7797"/>
    <cellStyle name="Input 11" xfId="1645"/>
    <cellStyle name="Input 11 10" xfId="7798"/>
    <cellStyle name="Input 11 11" xfId="7799"/>
    <cellStyle name="Input 11 12" xfId="7800"/>
    <cellStyle name="Input 11 2" xfId="7801"/>
    <cellStyle name="Input 11 2 2" xfId="7802"/>
    <cellStyle name="Input 11 2 2 2" xfId="7803"/>
    <cellStyle name="Input 11 2 3" xfId="7804"/>
    <cellStyle name="Input 11 2 3 2" xfId="7805"/>
    <cellStyle name="Input 11 2 4" xfId="7806"/>
    <cellStyle name="Input 11 2 4 2" xfId="7807"/>
    <cellStyle name="Input 11 2 5" xfId="7808"/>
    <cellStyle name="Input 11 2 5 2" xfId="7809"/>
    <cellStyle name="Input 11 2 6" xfId="7810"/>
    <cellStyle name="Input 11 2 6 2" xfId="7811"/>
    <cellStyle name="Input 11 2 7" xfId="7812"/>
    <cellStyle name="Input 11 2 7 2" xfId="7813"/>
    <cellStyle name="Input 11 2 8" xfId="7814"/>
    <cellStyle name="Input 11 2 8 2" xfId="7815"/>
    <cellStyle name="Input 11 2 9" xfId="7816"/>
    <cellStyle name="Input 11 3" xfId="7817"/>
    <cellStyle name="Input 11 3 2" xfId="7818"/>
    <cellStyle name="Input 11 4" xfId="7819"/>
    <cellStyle name="Input 11 4 2" xfId="7820"/>
    <cellStyle name="Input 11 5" xfId="7821"/>
    <cellStyle name="Input 11 5 2" xfId="7822"/>
    <cellStyle name="Input 11 6" xfId="7823"/>
    <cellStyle name="Input 11 6 2" xfId="7824"/>
    <cellStyle name="Input 11 7" xfId="7825"/>
    <cellStyle name="Input 11 7 2" xfId="7826"/>
    <cellStyle name="Input 11 8" xfId="7827"/>
    <cellStyle name="Input 11 8 2" xfId="7828"/>
    <cellStyle name="Input 11 9" xfId="7829"/>
    <cellStyle name="Input 11 9 2" xfId="7830"/>
    <cellStyle name="Input 12" xfId="1646"/>
    <cellStyle name="Input 12 10" xfId="7831"/>
    <cellStyle name="Input 12 11" xfId="7832"/>
    <cellStyle name="Input 12 12" xfId="7833"/>
    <cellStyle name="Input 12 2" xfId="7834"/>
    <cellStyle name="Input 12 2 2" xfId="7835"/>
    <cellStyle name="Input 12 2 2 2" xfId="7836"/>
    <cellStyle name="Input 12 2 3" xfId="7837"/>
    <cellStyle name="Input 12 2 3 2" xfId="7838"/>
    <cellStyle name="Input 12 2 4" xfId="7839"/>
    <cellStyle name="Input 12 2 4 2" xfId="7840"/>
    <cellStyle name="Input 12 2 5" xfId="7841"/>
    <cellStyle name="Input 12 2 5 2" xfId="7842"/>
    <cellStyle name="Input 12 2 6" xfId="7843"/>
    <cellStyle name="Input 12 2 6 2" xfId="7844"/>
    <cellStyle name="Input 12 2 7" xfId="7845"/>
    <cellStyle name="Input 12 2 7 2" xfId="7846"/>
    <cellStyle name="Input 12 2 8" xfId="7847"/>
    <cellStyle name="Input 12 2 8 2" xfId="7848"/>
    <cellStyle name="Input 12 2 9" xfId="7849"/>
    <cellStyle name="Input 12 3" xfId="7850"/>
    <cellStyle name="Input 12 3 2" xfId="7851"/>
    <cellStyle name="Input 12 4" xfId="7852"/>
    <cellStyle name="Input 12 4 2" xfId="7853"/>
    <cellStyle name="Input 12 5" xfId="7854"/>
    <cellStyle name="Input 12 5 2" xfId="7855"/>
    <cellStyle name="Input 12 6" xfId="7856"/>
    <cellStyle name="Input 12 6 2" xfId="7857"/>
    <cellStyle name="Input 12 7" xfId="7858"/>
    <cellStyle name="Input 12 7 2" xfId="7859"/>
    <cellStyle name="Input 12 8" xfId="7860"/>
    <cellStyle name="Input 12 8 2" xfId="7861"/>
    <cellStyle name="Input 12 9" xfId="7862"/>
    <cellStyle name="Input 12 9 2" xfId="7863"/>
    <cellStyle name="Input 13" xfId="1647"/>
    <cellStyle name="Input 13 10" xfId="7864"/>
    <cellStyle name="Input 13 11" xfId="7865"/>
    <cellStyle name="Input 13 12" xfId="7866"/>
    <cellStyle name="Input 13 2" xfId="7867"/>
    <cellStyle name="Input 13 2 2" xfId="7868"/>
    <cellStyle name="Input 13 2 2 2" xfId="7869"/>
    <cellStyle name="Input 13 2 3" xfId="7870"/>
    <cellStyle name="Input 13 2 3 2" xfId="7871"/>
    <cellStyle name="Input 13 2 4" xfId="7872"/>
    <cellStyle name="Input 13 2 4 2" xfId="7873"/>
    <cellStyle name="Input 13 2 5" xfId="7874"/>
    <cellStyle name="Input 13 2 5 2" xfId="7875"/>
    <cellStyle name="Input 13 2 6" xfId="7876"/>
    <cellStyle name="Input 13 2 6 2" xfId="7877"/>
    <cellStyle name="Input 13 2 7" xfId="7878"/>
    <cellStyle name="Input 13 2 7 2" xfId="7879"/>
    <cellStyle name="Input 13 2 8" xfId="7880"/>
    <cellStyle name="Input 13 2 8 2" xfId="7881"/>
    <cellStyle name="Input 13 2 9" xfId="7882"/>
    <cellStyle name="Input 13 3" xfId="7883"/>
    <cellStyle name="Input 13 3 2" xfId="7884"/>
    <cellStyle name="Input 13 4" xfId="7885"/>
    <cellStyle name="Input 13 4 2" xfId="7886"/>
    <cellStyle name="Input 13 5" xfId="7887"/>
    <cellStyle name="Input 13 5 2" xfId="7888"/>
    <cellStyle name="Input 13 6" xfId="7889"/>
    <cellStyle name="Input 13 6 2" xfId="7890"/>
    <cellStyle name="Input 13 7" xfId="7891"/>
    <cellStyle name="Input 13 7 2" xfId="7892"/>
    <cellStyle name="Input 13 8" xfId="7893"/>
    <cellStyle name="Input 13 8 2" xfId="7894"/>
    <cellStyle name="Input 13 9" xfId="7895"/>
    <cellStyle name="Input 13 9 2" xfId="7896"/>
    <cellStyle name="Input 14" xfId="1648"/>
    <cellStyle name="Input 14 10" xfId="7897"/>
    <cellStyle name="Input 14 11" xfId="7898"/>
    <cellStyle name="Input 14 12" xfId="7899"/>
    <cellStyle name="Input 14 2" xfId="7900"/>
    <cellStyle name="Input 14 2 2" xfId="7901"/>
    <cellStyle name="Input 14 2 2 2" xfId="7902"/>
    <cellStyle name="Input 14 2 3" xfId="7903"/>
    <cellStyle name="Input 14 2 3 2" xfId="7904"/>
    <cellStyle name="Input 14 2 4" xfId="7905"/>
    <cellStyle name="Input 14 2 4 2" xfId="7906"/>
    <cellStyle name="Input 14 2 5" xfId="7907"/>
    <cellStyle name="Input 14 2 5 2" xfId="7908"/>
    <cellStyle name="Input 14 2 6" xfId="7909"/>
    <cellStyle name="Input 14 2 6 2" xfId="7910"/>
    <cellStyle name="Input 14 2 7" xfId="7911"/>
    <cellStyle name="Input 14 2 7 2" xfId="7912"/>
    <cellStyle name="Input 14 2 8" xfId="7913"/>
    <cellStyle name="Input 14 2 8 2" xfId="7914"/>
    <cellStyle name="Input 14 2 9" xfId="7915"/>
    <cellStyle name="Input 14 3" xfId="7916"/>
    <cellStyle name="Input 14 3 2" xfId="7917"/>
    <cellStyle name="Input 14 4" xfId="7918"/>
    <cellStyle name="Input 14 4 2" xfId="7919"/>
    <cellStyle name="Input 14 5" xfId="7920"/>
    <cellStyle name="Input 14 5 2" xfId="7921"/>
    <cellStyle name="Input 14 6" xfId="7922"/>
    <cellStyle name="Input 14 6 2" xfId="7923"/>
    <cellStyle name="Input 14 7" xfId="7924"/>
    <cellStyle name="Input 14 7 2" xfId="7925"/>
    <cellStyle name="Input 14 8" xfId="7926"/>
    <cellStyle name="Input 14 8 2" xfId="7927"/>
    <cellStyle name="Input 14 9" xfId="7928"/>
    <cellStyle name="Input 14 9 2" xfId="7929"/>
    <cellStyle name="Input 15" xfId="1649"/>
    <cellStyle name="Input 15 10" xfId="7930"/>
    <cellStyle name="Input 15 11" xfId="7931"/>
    <cellStyle name="Input 15 12" xfId="7932"/>
    <cellStyle name="Input 15 2" xfId="7933"/>
    <cellStyle name="Input 15 2 2" xfId="7934"/>
    <cellStyle name="Input 15 2 2 2" xfId="7935"/>
    <cellStyle name="Input 15 2 3" xfId="7936"/>
    <cellStyle name="Input 15 2 3 2" xfId="7937"/>
    <cellStyle name="Input 15 2 4" xfId="7938"/>
    <cellStyle name="Input 15 2 4 2" xfId="7939"/>
    <cellStyle name="Input 15 2 5" xfId="7940"/>
    <cellStyle name="Input 15 2 5 2" xfId="7941"/>
    <cellStyle name="Input 15 2 6" xfId="7942"/>
    <cellStyle name="Input 15 2 6 2" xfId="7943"/>
    <cellStyle name="Input 15 2 7" xfId="7944"/>
    <cellStyle name="Input 15 2 7 2" xfId="7945"/>
    <cellStyle name="Input 15 2 8" xfId="7946"/>
    <cellStyle name="Input 15 2 8 2" xfId="7947"/>
    <cellStyle name="Input 15 2 9" xfId="7948"/>
    <cellStyle name="Input 15 3" xfId="7949"/>
    <cellStyle name="Input 15 3 2" xfId="7950"/>
    <cellStyle name="Input 15 4" xfId="7951"/>
    <cellStyle name="Input 15 4 2" xfId="7952"/>
    <cellStyle name="Input 15 5" xfId="7953"/>
    <cellStyle name="Input 15 5 2" xfId="7954"/>
    <cellStyle name="Input 15 6" xfId="7955"/>
    <cellStyle name="Input 15 6 2" xfId="7956"/>
    <cellStyle name="Input 15 7" xfId="7957"/>
    <cellStyle name="Input 15 7 2" xfId="7958"/>
    <cellStyle name="Input 15 8" xfId="7959"/>
    <cellStyle name="Input 15 8 2" xfId="7960"/>
    <cellStyle name="Input 15 9" xfId="7961"/>
    <cellStyle name="Input 15 9 2" xfId="7962"/>
    <cellStyle name="Input 16" xfId="1650"/>
    <cellStyle name="Input 16 10" xfId="7963"/>
    <cellStyle name="Input 16 11" xfId="7964"/>
    <cellStyle name="Input 16 12" xfId="7965"/>
    <cellStyle name="Input 16 2" xfId="7966"/>
    <cellStyle name="Input 16 2 2" xfId="7967"/>
    <cellStyle name="Input 16 2 2 2" xfId="7968"/>
    <cellStyle name="Input 16 2 3" xfId="7969"/>
    <cellStyle name="Input 16 2 3 2" xfId="7970"/>
    <cellStyle name="Input 16 2 4" xfId="7971"/>
    <cellStyle name="Input 16 2 4 2" xfId="7972"/>
    <cellStyle name="Input 16 2 5" xfId="7973"/>
    <cellStyle name="Input 16 2 5 2" xfId="7974"/>
    <cellStyle name="Input 16 2 6" xfId="7975"/>
    <cellStyle name="Input 16 2 6 2" xfId="7976"/>
    <cellStyle name="Input 16 2 7" xfId="7977"/>
    <cellStyle name="Input 16 2 7 2" xfId="7978"/>
    <cellStyle name="Input 16 2 8" xfId="7979"/>
    <cellStyle name="Input 16 2 8 2" xfId="7980"/>
    <cellStyle name="Input 16 2 9" xfId="7981"/>
    <cellStyle name="Input 16 3" xfId="7982"/>
    <cellStyle name="Input 16 3 2" xfId="7983"/>
    <cellStyle name="Input 16 4" xfId="7984"/>
    <cellStyle name="Input 16 4 2" xfId="7985"/>
    <cellStyle name="Input 16 5" xfId="7986"/>
    <cellStyle name="Input 16 5 2" xfId="7987"/>
    <cellStyle name="Input 16 6" xfId="7988"/>
    <cellStyle name="Input 16 6 2" xfId="7989"/>
    <cellStyle name="Input 16 7" xfId="7990"/>
    <cellStyle name="Input 16 7 2" xfId="7991"/>
    <cellStyle name="Input 16 8" xfId="7992"/>
    <cellStyle name="Input 16 8 2" xfId="7993"/>
    <cellStyle name="Input 16 9" xfId="7994"/>
    <cellStyle name="Input 16 9 2" xfId="7995"/>
    <cellStyle name="Input 17" xfId="1651"/>
    <cellStyle name="Input 17 10" xfId="7996"/>
    <cellStyle name="Input 17 11" xfId="7997"/>
    <cellStyle name="Input 17 2" xfId="7998"/>
    <cellStyle name="Input 17 2 2" xfId="7999"/>
    <cellStyle name="Input 17 2 2 2" xfId="8000"/>
    <cellStyle name="Input 17 2 3" xfId="8001"/>
    <cellStyle name="Input 17 2 3 2" xfId="8002"/>
    <cellStyle name="Input 17 2 4" xfId="8003"/>
    <cellStyle name="Input 17 2 4 2" xfId="8004"/>
    <cellStyle name="Input 17 2 5" xfId="8005"/>
    <cellStyle name="Input 17 2 5 2" xfId="8006"/>
    <cellStyle name="Input 17 2 6" xfId="8007"/>
    <cellStyle name="Input 17 2 6 2" xfId="8008"/>
    <cellStyle name="Input 17 2 7" xfId="8009"/>
    <cellStyle name="Input 17 2 7 2" xfId="8010"/>
    <cellStyle name="Input 17 2 8" xfId="8011"/>
    <cellStyle name="Input 17 2 8 2" xfId="8012"/>
    <cellStyle name="Input 17 2 9" xfId="8013"/>
    <cellStyle name="Input 17 3" xfId="8014"/>
    <cellStyle name="Input 17 3 2" xfId="8015"/>
    <cellStyle name="Input 17 4" xfId="8016"/>
    <cellStyle name="Input 17 4 2" xfId="8017"/>
    <cellStyle name="Input 17 5" xfId="8018"/>
    <cellStyle name="Input 17 5 2" xfId="8019"/>
    <cellStyle name="Input 17 6" xfId="8020"/>
    <cellStyle name="Input 17 6 2" xfId="8021"/>
    <cellStyle name="Input 17 7" xfId="8022"/>
    <cellStyle name="Input 17 7 2" xfId="8023"/>
    <cellStyle name="Input 17 8" xfId="8024"/>
    <cellStyle name="Input 17 8 2" xfId="8025"/>
    <cellStyle name="Input 17 9" xfId="8026"/>
    <cellStyle name="Input 17 9 2" xfId="8027"/>
    <cellStyle name="Input 18" xfId="1652"/>
    <cellStyle name="Input 18 10" xfId="8028"/>
    <cellStyle name="Input 18 2" xfId="8029"/>
    <cellStyle name="Input 18 2 2" xfId="8030"/>
    <cellStyle name="Input 18 2 2 2" xfId="8031"/>
    <cellStyle name="Input 18 2 3" xfId="8032"/>
    <cellStyle name="Input 18 2 3 2" xfId="8033"/>
    <cellStyle name="Input 18 2 4" xfId="8034"/>
    <cellStyle name="Input 18 2 4 2" xfId="8035"/>
    <cellStyle name="Input 18 2 5" xfId="8036"/>
    <cellStyle name="Input 18 2 5 2" xfId="8037"/>
    <cellStyle name="Input 18 2 6" xfId="8038"/>
    <cellStyle name="Input 18 2 6 2" xfId="8039"/>
    <cellStyle name="Input 18 2 7" xfId="8040"/>
    <cellStyle name="Input 18 2 7 2" xfId="8041"/>
    <cellStyle name="Input 18 2 8" xfId="8042"/>
    <cellStyle name="Input 18 2 8 2" xfId="8043"/>
    <cellStyle name="Input 18 2 9" xfId="8044"/>
    <cellStyle name="Input 18 3" xfId="8045"/>
    <cellStyle name="Input 18 3 2" xfId="8046"/>
    <cellStyle name="Input 18 4" xfId="8047"/>
    <cellStyle name="Input 18 4 2" xfId="8048"/>
    <cellStyle name="Input 18 5" xfId="8049"/>
    <cellStyle name="Input 18 5 2" xfId="8050"/>
    <cellStyle name="Input 18 6" xfId="8051"/>
    <cellStyle name="Input 18 6 2" xfId="8052"/>
    <cellStyle name="Input 18 7" xfId="8053"/>
    <cellStyle name="Input 18 7 2" xfId="8054"/>
    <cellStyle name="Input 18 8" xfId="8055"/>
    <cellStyle name="Input 18 8 2" xfId="8056"/>
    <cellStyle name="Input 18 9" xfId="8057"/>
    <cellStyle name="Input 18 9 2" xfId="8058"/>
    <cellStyle name="Input 19" xfId="1653"/>
    <cellStyle name="Input 19 10" xfId="8059"/>
    <cellStyle name="Input 19 2" xfId="8060"/>
    <cellStyle name="Input 19 2 2" xfId="8061"/>
    <cellStyle name="Input 19 2 2 2" xfId="8062"/>
    <cellStyle name="Input 19 2 3" xfId="8063"/>
    <cellStyle name="Input 19 2 3 2" xfId="8064"/>
    <cellStyle name="Input 19 2 4" xfId="8065"/>
    <cellStyle name="Input 19 2 4 2" xfId="8066"/>
    <cellStyle name="Input 19 2 5" xfId="8067"/>
    <cellStyle name="Input 19 2 5 2" xfId="8068"/>
    <cellStyle name="Input 19 2 6" xfId="8069"/>
    <cellStyle name="Input 19 2 6 2" xfId="8070"/>
    <cellStyle name="Input 19 2 7" xfId="8071"/>
    <cellStyle name="Input 19 2 7 2" xfId="8072"/>
    <cellStyle name="Input 19 2 8" xfId="8073"/>
    <cellStyle name="Input 19 2 8 2" xfId="8074"/>
    <cellStyle name="Input 19 2 9" xfId="8075"/>
    <cellStyle name="Input 19 3" xfId="8076"/>
    <cellStyle name="Input 19 3 2" xfId="8077"/>
    <cellStyle name="Input 19 4" xfId="8078"/>
    <cellStyle name="Input 19 4 2" xfId="8079"/>
    <cellStyle name="Input 19 5" xfId="8080"/>
    <cellStyle name="Input 19 5 2" xfId="8081"/>
    <cellStyle name="Input 19 6" xfId="8082"/>
    <cellStyle name="Input 19 6 2" xfId="8083"/>
    <cellStyle name="Input 19 7" xfId="8084"/>
    <cellStyle name="Input 19 7 2" xfId="8085"/>
    <cellStyle name="Input 19 8" xfId="8086"/>
    <cellStyle name="Input 19 8 2" xfId="8087"/>
    <cellStyle name="Input 19 9" xfId="8088"/>
    <cellStyle name="Input 19 9 2" xfId="8089"/>
    <cellStyle name="Input 2" xfId="1654"/>
    <cellStyle name="Input 2 10" xfId="8090"/>
    <cellStyle name="Input 2 2" xfId="1655"/>
    <cellStyle name="Input 2 2 10" xfId="8091"/>
    <cellStyle name="Input 2 2 11" xfId="8092"/>
    <cellStyle name="Input 2 2 2" xfId="1656"/>
    <cellStyle name="Input 2 2 2 2" xfId="1657"/>
    <cellStyle name="Input 2 2 2 3" xfId="1658"/>
    <cellStyle name="Input 2 2 2 4" xfId="1659"/>
    <cellStyle name="Input 2 2 2 5" xfId="1660"/>
    <cellStyle name="Input 2 2 3" xfId="1661"/>
    <cellStyle name="Input 2 2 3 2" xfId="8093"/>
    <cellStyle name="Input 2 2 4" xfId="1662"/>
    <cellStyle name="Input 2 2 4 2" xfId="8094"/>
    <cellStyle name="Input 2 2 5" xfId="1663"/>
    <cellStyle name="Input 2 2 5 2" xfId="8095"/>
    <cellStyle name="Input 2 2 6" xfId="8096"/>
    <cellStyle name="Input 2 2 6 2" xfId="8097"/>
    <cellStyle name="Input 2 2 7" xfId="8098"/>
    <cellStyle name="Input 2 2 7 2" xfId="8099"/>
    <cellStyle name="Input 2 2 8" xfId="8100"/>
    <cellStyle name="Input 2 2 8 2" xfId="8101"/>
    <cellStyle name="Input 2 2 9" xfId="8102"/>
    <cellStyle name="Input 2 3" xfId="1664"/>
    <cellStyle name="Input 2 3 2" xfId="8103"/>
    <cellStyle name="Input 2 4" xfId="1665"/>
    <cellStyle name="Input 2 4 2" xfId="8104"/>
    <cellStyle name="Input 2 5" xfId="1666"/>
    <cellStyle name="Input 2 5 2" xfId="8105"/>
    <cellStyle name="Input 2 6" xfId="1667"/>
    <cellStyle name="Input 2 6 2" xfId="8106"/>
    <cellStyle name="Input 2 7" xfId="1668"/>
    <cellStyle name="Input 2 7 2" xfId="8107"/>
    <cellStyle name="Input 2 8" xfId="1669"/>
    <cellStyle name="Input 2 8 2" xfId="8108"/>
    <cellStyle name="Input 2 9" xfId="1670"/>
    <cellStyle name="Input 20" xfId="1671"/>
    <cellStyle name="Input 20 10" xfId="8109"/>
    <cellStyle name="Input 20 2" xfId="8110"/>
    <cellStyle name="Input 20 2 2" xfId="8111"/>
    <cellStyle name="Input 20 2 2 2" xfId="8112"/>
    <cellStyle name="Input 20 2 3" xfId="8113"/>
    <cellStyle name="Input 20 2 3 2" xfId="8114"/>
    <cellStyle name="Input 20 2 4" xfId="8115"/>
    <cellStyle name="Input 20 2 4 2" xfId="8116"/>
    <cellStyle name="Input 20 2 5" xfId="8117"/>
    <cellStyle name="Input 20 2 5 2" xfId="8118"/>
    <cellStyle name="Input 20 2 6" xfId="8119"/>
    <cellStyle name="Input 20 2 6 2" xfId="8120"/>
    <cellStyle name="Input 20 2 7" xfId="8121"/>
    <cellStyle name="Input 20 2 7 2" xfId="8122"/>
    <cellStyle name="Input 20 2 8" xfId="8123"/>
    <cellStyle name="Input 20 2 8 2" xfId="8124"/>
    <cellStyle name="Input 20 2 9" xfId="8125"/>
    <cellStyle name="Input 20 3" xfId="8126"/>
    <cellStyle name="Input 20 3 2" xfId="8127"/>
    <cellStyle name="Input 20 4" xfId="8128"/>
    <cellStyle name="Input 20 4 2" xfId="8129"/>
    <cellStyle name="Input 20 5" xfId="8130"/>
    <cellStyle name="Input 20 5 2" xfId="8131"/>
    <cellStyle name="Input 20 6" xfId="8132"/>
    <cellStyle name="Input 20 6 2" xfId="8133"/>
    <cellStyle name="Input 20 7" xfId="8134"/>
    <cellStyle name="Input 20 7 2" xfId="8135"/>
    <cellStyle name="Input 20 8" xfId="8136"/>
    <cellStyle name="Input 20 8 2" xfId="8137"/>
    <cellStyle name="Input 20 9" xfId="8138"/>
    <cellStyle name="Input 20 9 2" xfId="8139"/>
    <cellStyle name="Input 21" xfId="1672"/>
    <cellStyle name="Input 21 10" xfId="8140"/>
    <cellStyle name="Input 21 2" xfId="8141"/>
    <cellStyle name="Input 21 2 2" xfId="8142"/>
    <cellStyle name="Input 21 2 2 2" xfId="8143"/>
    <cellStyle name="Input 21 2 3" xfId="8144"/>
    <cellStyle name="Input 21 2 3 2" xfId="8145"/>
    <cellStyle name="Input 21 2 4" xfId="8146"/>
    <cellStyle name="Input 21 2 4 2" xfId="8147"/>
    <cellStyle name="Input 21 2 5" xfId="8148"/>
    <cellStyle name="Input 21 2 5 2" xfId="8149"/>
    <cellStyle name="Input 21 2 6" xfId="8150"/>
    <cellStyle name="Input 21 2 6 2" xfId="8151"/>
    <cellStyle name="Input 21 2 7" xfId="8152"/>
    <cellStyle name="Input 21 2 7 2" xfId="8153"/>
    <cellStyle name="Input 21 2 8" xfId="8154"/>
    <cellStyle name="Input 21 2 8 2" xfId="8155"/>
    <cellStyle name="Input 21 2 9" xfId="8156"/>
    <cellStyle name="Input 21 3" xfId="8157"/>
    <cellStyle name="Input 21 3 2" xfId="8158"/>
    <cellStyle name="Input 21 4" xfId="8159"/>
    <cellStyle name="Input 21 4 2" xfId="8160"/>
    <cellStyle name="Input 21 5" xfId="8161"/>
    <cellStyle name="Input 21 5 2" xfId="8162"/>
    <cellStyle name="Input 21 6" xfId="8163"/>
    <cellStyle name="Input 21 6 2" xfId="8164"/>
    <cellStyle name="Input 21 7" xfId="8165"/>
    <cellStyle name="Input 21 7 2" xfId="8166"/>
    <cellStyle name="Input 21 8" xfId="8167"/>
    <cellStyle name="Input 21 8 2" xfId="8168"/>
    <cellStyle name="Input 21 9" xfId="8169"/>
    <cellStyle name="Input 21 9 2" xfId="8170"/>
    <cellStyle name="Input 22" xfId="1673"/>
    <cellStyle name="Input 22 2" xfId="8171"/>
    <cellStyle name="Input 22 2 2" xfId="8172"/>
    <cellStyle name="Input 22 3" xfId="8173"/>
    <cellStyle name="Input 22 3 2" xfId="8174"/>
    <cellStyle name="Input 22 4" xfId="8175"/>
    <cellStyle name="Input 22 4 2" xfId="8176"/>
    <cellStyle name="Input 22 5" xfId="8177"/>
    <cellStyle name="Input 22 5 2" xfId="8178"/>
    <cellStyle name="Input 22 6" xfId="8179"/>
    <cellStyle name="Input 22 6 2" xfId="8180"/>
    <cellStyle name="Input 22 7" xfId="8181"/>
    <cellStyle name="Input 22 7 2" xfId="8182"/>
    <cellStyle name="Input 22 8" xfId="8183"/>
    <cellStyle name="Input 22 8 2" xfId="8184"/>
    <cellStyle name="Input 22 9" xfId="8185"/>
    <cellStyle name="Input 3" xfId="1674"/>
    <cellStyle name="Input 3 10" xfId="8186"/>
    <cellStyle name="Input 3 11" xfId="8187"/>
    <cellStyle name="Input 3 2" xfId="8188"/>
    <cellStyle name="Input 3 2 10" xfId="8189"/>
    <cellStyle name="Input 3 2 2" xfId="8190"/>
    <cellStyle name="Input 3 2 2 2" xfId="8191"/>
    <cellStyle name="Input 3 2 3" xfId="8192"/>
    <cellStyle name="Input 3 2 3 2" xfId="8193"/>
    <cellStyle name="Input 3 2 4" xfId="8194"/>
    <cellStyle name="Input 3 2 4 2" xfId="8195"/>
    <cellStyle name="Input 3 2 5" xfId="8196"/>
    <cellStyle name="Input 3 2 5 2" xfId="8197"/>
    <cellStyle name="Input 3 2 6" xfId="8198"/>
    <cellStyle name="Input 3 2 6 2" xfId="8199"/>
    <cellStyle name="Input 3 2 7" xfId="8200"/>
    <cellStyle name="Input 3 2 7 2" xfId="8201"/>
    <cellStyle name="Input 3 2 8" xfId="8202"/>
    <cellStyle name="Input 3 2 8 2" xfId="8203"/>
    <cellStyle name="Input 3 2 9" xfId="8204"/>
    <cellStyle name="Input 3 3" xfId="8205"/>
    <cellStyle name="Input 3 3 2" xfId="8206"/>
    <cellStyle name="Input 3 4" xfId="8207"/>
    <cellStyle name="Input 3 4 2" xfId="8208"/>
    <cellStyle name="Input 3 5" xfId="8209"/>
    <cellStyle name="Input 3 5 2" xfId="8210"/>
    <cellStyle name="Input 3 6" xfId="8211"/>
    <cellStyle name="Input 3 6 2" xfId="8212"/>
    <cellStyle name="Input 3 7" xfId="8213"/>
    <cellStyle name="Input 3 7 2" xfId="8214"/>
    <cellStyle name="Input 3 8" xfId="8215"/>
    <cellStyle name="Input 3 8 2" xfId="8216"/>
    <cellStyle name="Input 3 9" xfId="8217"/>
    <cellStyle name="Input 3 9 2" xfId="8218"/>
    <cellStyle name="Input 4" xfId="1675"/>
    <cellStyle name="Input 4 10" xfId="8219"/>
    <cellStyle name="Input 4 11" xfId="8220"/>
    <cellStyle name="Input 4 12" xfId="8221"/>
    <cellStyle name="Input 4 2" xfId="8222"/>
    <cellStyle name="Input 4 2 2" xfId="8223"/>
    <cellStyle name="Input 4 2 2 2" xfId="8224"/>
    <cellStyle name="Input 4 2 3" xfId="8225"/>
    <cellStyle name="Input 4 2 3 2" xfId="8226"/>
    <cellStyle name="Input 4 2 4" xfId="8227"/>
    <cellStyle name="Input 4 2 4 2" xfId="8228"/>
    <cellStyle name="Input 4 2 5" xfId="8229"/>
    <cellStyle name="Input 4 2 5 2" xfId="8230"/>
    <cellStyle name="Input 4 2 6" xfId="8231"/>
    <cellStyle name="Input 4 2 6 2" xfId="8232"/>
    <cellStyle name="Input 4 2 7" xfId="8233"/>
    <cellStyle name="Input 4 2 7 2" xfId="8234"/>
    <cellStyle name="Input 4 2 8" xfId="8235"/>
    <cellStyle name="Input 4 2 8 2" xfId="8236"/>
    <cellStyle name="Input 4 2 9" xfId="8237"/>
    <cellStyle name="Input 4 3" xfId="8238"/>
    <cellStyle name="Input 4 3 2" xfId="8239"/>
    <cellStyle name="Input 4 4" xfId="8240"/>
    <cellStyle name="Input 4 4 2" xfId="8241"/>
    <cellStyle name="Input 4 5" xfId="8242"/>
    <cellStyle name="Input 4 5 2" xfId="8243"/>
    <cellStyle name="Input 4 6" xfId="8244"/>
    <cellStyle name="Input 4 6 2" xfId="8245"/>
    <cellStyle name="Input 4 7" xfId="8246"/>
    <cellStyle name="Input 4 7 2" xfId="8247"/>
    <cellStyle name="Input 4 8" xfId="8248"/>
    <cellStyle name="Input 4 8 2" xfId="8249"/>
    <cellStyle name="Input 4 9" xfId="8250"/>
    <cellStyle name="Input 4 9 2" xfId="8251"/>
    <cellStyle name="Input 5" xfId="1676"/>
    <cellStyle name="Input 5 10" xfId="8252"/>
    <cellStyle name="Input 5 11" xfId="8253"/>
    <cellStyle name="Input 5 12" xfId="8254"/>
    <cellStyle name="Input 5 2" xfId="8255"/>
    <cellStyle name="Input 5 2 2" xfId="8256"/>
    <cellStyle name="Input 5 2 2 2" xfId="8257"/>
    <cellStyle name="Input 5 2 3" xfId="8258"/>
    <cellStyle name="Input 5 2 3 2" xfId="8259"/>
    <cellStyle name="Input 5 2 4" xfId="8260"/>
    <cellStyle name="Input 5 2 4 2" xfId="8261"/>
    <cellStyle name="Input 5 2 5" xfId="8262"/>
    <cellStyle name="Input 5 2 5 2" xfId="8263"/>
    <cellStyle name="Input 5 2 6" xfId="8264"/>
    <cellStyle name="Input 5 2 6 2" xfId="8265"/>
    <cellStyle name="Input 5 2 7" xfId="8266"/>
    <cellStyle name="Input 5 2 7 2" xfId="8267"/>
    <cellStyle name="Input 5 2 8" xfId="8268"/>
    <cellStyle name="Input 5 2 8 2" xfId="8269"/>
    <cellStyle name="Input 5 2 9" xfId="8270"/>
    <cellStyle name="Input 5 3" xfId="8271"/>
    <cellStyle name="Input 5 3 2" xfId="8272"/>
    <cellStyle name="Input 5 4" xfId="8273"/>
    <cellStyle name="Input 5 4 2" xfId="8274"/>
    <cellStyle name="Input 5 5" xfId="8275"/>
    <cellStyle name="Input 5 5 2" xfId="8276"/>
    <cellStyle name="Input 5 6" xfId="8277"/>
    <cellStyle name="Input 5 6 2" xfId="8278"/>
    <cellStyle name="Input 5 7" xfId="8279"/>
    <cellStyle name="Input 5 7 2" xfId="8280"/>
    <cellStyle name="Input 5 8" xfId="8281"/>
    <cellStyle name="Input 5 8 2" xfId="8282"/>
    <cellStyle name="Input 5 9" xfId="8283"/>
    <cellStyle name="Input 5 9 2" xfId="8284"/>
    <cellStyle name="Input 6" xfId="1677"/>
    <cellStyle name="Input 6 10" xfId="8285"/>
    <cellStyle name="Input 6 11" xfId="8286"/>
    <cellStyle name="Input 6 12" xfId="8287"/>
    <cellStyle name="Input 6 2" xfId="8288"/>
    <cellStyle name="Input 6 2 2" xfId="8289"/>
    <cellStyle name="Input 6 2 2 2" xfId="8290"/>
    <cellStyle name="Input 6 2 3" xfId="8291"/>
    <cellStyle name="Input 6 2 3 2" xfId="8292"/>
    <cellStyle name="Input 6 2 4" xfId="8293"/>
    <cellStyle name="Input 6 2 4 2" xfId="8294"/>
    <cellStyle name="Input 6 2 5" xfId="8295"/>
    <cellStyle name="Input 6 2 5 2" xfId="8296"/>
    <cellStyle name="Input 6 2 6" xfId="8297"/>
    <cellStyle name="Input 6 2 6 2" xfId="8298"/>
    <cellStyle name="Input 6 2 7" xfId="8299"/>
    <cellStyle name="Input 6 2 7 2" xfId="8300"/>
    <cellStyle name="Input 6 2 8" xfId="8301"/>
    <cellStyle name="Input 6 2 8 2" xfId="8302"/>
    <cellStyle name="Input 6 2 9" xfId="8303"/>
    <cellStyle name="Input 6 3" xfId="8304"/>
    <cellStyle name="Input 6 3 2" xfId="8305"/>
    <cellStyle name="Input 6 4" xfId="8306"/>
    <cellStyle name="Input 6 4 2" xfId="8307"/>
    <cellStyle name="Input 6 5" xfId="8308"/>
    <cellStyle name="Input 6 5 2" xfId="8309"/>
    <cellStyle name="Input 6 6" xfId="8310"/>
    <cellStyle name="Input 6 6 2" xfId="8311"/>
    <cellStyle name="Input 6 7" xfId="8312"/>
    <cellStyle name="Input 6 7 2" xfId="8313"/>
    <cellStyle name="Input 6 8" xfId="8314"/>
    <cellStyle name="Input 6 8 2" xfId="8315"/>
    <cellStyle name="Input 6 9" xfId="8316"/>
    <cellStyle name="Input 6 9 2" xfId="8317"/>
    <cellStyle name="Input 7" xfId="1678"/>
    <cellStyle name="Input 7 10" xfId="8318"/>
    <cellStyle name="Input 7 11" xfId="8319"/>
    <cellStyle name="Input 7 12" xfId="8320"/>
    <cellStyle name="Input 7 2" xfId="8321"/>
    <cellStyle name="Input 7 2 2" xfId="8322"/>
    <cellStyle name="Input 7 2 2 2" xfId="8323"/>
    <cellStyle name="Input 7 2 3" xfId="8324"/>
    <cellStyle name="Input 7 2 3 2" xfId="8325"/>
    <cellStyle name="Input 7 2 4" xfId="8326"/>
    <cellStyle name="Input 7 2 4 2" xfId="8327"/>
    <cellStyle name="Input 7 2 5" xfId="8328"/>
    <cellStyle name="Input 7 2 5 2" xfId="8329"/>
    <cellStyle name="Input 7 2 6" xfId="8330"/>
    <cellStyle name="Input 7 2 6 2" xfId="8331"/>
    <cellStyle name="Input 7 2 7" xfId="8332"/>
    <cellStyle name="Input 7 2 7 2" xfId="8333"/>
    <cellStyle name="Input 7 2 8" xfId="8334"/>
    <cellStyle name="Input 7 2 8 2" xfId="8335"/>
    <cellStyle name="Input 7 2 9" xfId="8336"/>
    <cellStyle name="Input 7 3" xfId="8337"/>
    <cellStyle name="Input 7 3 2" xfId="8338"/>
    <cellStyle name="Input 7 4" xfId="8339"/>
    <cellStyle name="Input 7 4 2" xfId="8340"/>
    <cellStyle name="Input 7 5" xfId="8341"/>
    <cellStyle name="Input 7 5 2" xfId="8342"/>
    <cellStyle name="Input 7 6" xfId="8343"/>
    <cellStyle name="Input 7 6 2" xfId="8344"/>
    <cellStyle name="Input 7 7" xfId="8345"/>
    <cellStyle name="Input 7 7 2" xfId="8346"/>
    <cellStyle name="Input 7 8" xfId="8347"/>
    <cellStyle name="Input 7 8 2" xfId="8348"/>
    <cellStyle name="Input 7 9" xfId="8349"/>
    <cellStyle name="Input 7 9 2" xfId="8350"/>
    <cellStyle name="Input 8" xfId="1679"/>
    <cellStyle name="Input 8 10" xfId="8351"/>
    <cellStyle name="Input 8 11" xfId="8352"/>
    <cellStyle name="Input 8 12" xfId="8353"/>
    <cellStyle name="Input 8 2" xfId="8354"/>
    <cellStyle name="Input 8 2 2" xfId="8355"/>
    <cellStyle name="Input 8 2 2 2" xfId="8356"/>
    <cellStyle name="Input 8 2 3" xfId="8357"/>
    <cellStyle name="Input 8 2 3 2" xfId="8358"/>
    <cellStyle name="Input 8 2 4" xfId="8359"/>
    <cellStyle name="Input 8 2 4 2" xfId="8360"/>
    <cellStyle name="Input 8 2 5" xfId="8361"/>
    <cellStyle name="Input 8 2 5 2" xfId="8362"/>
    <cellStyle name="Input 8 2 6" xfId="8363"/>
    <cellStyle name="Input 8 2 6 2" xfId="8364"/>
    <cellStyle name="Input 8 2 7" xfId="8365"/>
    <cellStyle name="Input 8 2 7 2" xfId="8366"/>
    <cellStyle name="Input 8 2 8" xfId="8367"/>
    <cellStyle name="Input 8 2 8 2" xfId="8368"/>
    <cellStyle name="Input 8 2 9" xfId="8369"/>
    <cellStyle name="Input 8 3" xfId="8370"/>
    <cellStyle name="Input 8 3 2" xfId="8371"/>
    <cellStyle name="Input 8 4" xfId="8372"/>
    <cellStyle name="Input 8 4 2" xfId="8373"/>
    <cellStyle name="Input 8 5" xfId="8374"/>
    <cellStyle name="Input 8 5 2" xfId="8375"/>
    <cellStyle name="Input 8 6" xfId="8376"/>
    <cellStyle name="Input 8 6 2" xfId="8377"/>
    <cellStyle name="Input 8 7" xfId="8378"/>
    <cellStyle name="Input 8 7 2" xfId="8379"/>
    <cellStyle name="Input 8 8" xfId="8380"/>
    <cellStyle name="Input 8 8 2" xfId="8381"/>
    <cellStyle name="Input 8 9" xfId="8382"/>
    <cellStyle name="Input 8 9 2" xfId="8383"/>
    <cellStyle name="Input 9" xfId="1680"/>
    <cellStyle name="Input 9 10" xfId="8384"/>
    <cellStyle name="Input 9 11" xfId="8385"/>
    <cellStyle name="Input 9 12" xfId="8386"/>
    <cellStyle name="Input 9 2" xfId="8387"/>
    <cellStyle name="Input 9 2 2" xfId="8388"/>
    <cellStyle name="Input 9 2 2 2" xfId="8389"/>
    <cellStyle name="Input 9 2 3" xfId="8390"/>
    <cellStyle name="Input 9 2 3 2" xfId="8391"/>
    <cellStyle name="Input 9 2 4" xfId="8392"/>
    <cellStyle name="Input 9 2 4 2" xfId="8393"/>
    <cellStyle name="Input 9 2 5" xfId="8394"/>
    <cellStyle name="Input 9 2 5 2" xfId="8395"/>
    <cellStyle name="Input 9 2 6" xfId="8396"/>
    <cellStyle name="Input 9 2 6 2" xfId="8397"/>
    <cellStyle name="Input 9 2 7" xfId="8398"/>
    <cellStyle name="Input 9 2 7 2" xfId="8399"/>
    <cellStyle name="Input 9 2 8" xfId="8400"/>
    <cellStyle name="Input 9 2 8 2" xfId="8401"/>
    <cellStyle name="Input 9 2 9" xfId="8402"/>
    <cellStyle name="Input 9 3" xfId="8403"/>
    <cellStyle name="Input 9 3 2" xfId="8404"/>
    <cellStyle name="Input 9 4" xfId="8405"/>
    <cellStyle name="Input 9 4 2" xfId="8406"/>
    <cellStyle name="Input 9 5" xfId="8407"/>
    <cellStyle name="Input 9 5 2" xfId="8408"/>
    <cellStyle name="Input 9 6" xfId="8409"/>
    <cellStyle name="Input 9 6 2" xfId="8410"/>
    <cellStyle name="Input 9 7" xfId="8411"/>
    <cellStyle name="Input 9 7 2" xfId="8412"/>
    <cellStyle name="Input 9 8" xfId="8413"/>
    <cellStyle name="Input 9 8 2" xfId="8414"/>
    <cellStyle name="Input 9 9" xfId="8415"/>
    <cellStyle name="Input 9 9 2" xfId="8416"/>
    <cellStyle name="Labels - Style3" xfId="8417"/>
    <cellStyle name="LineItemPrompt" xfId="8418"/>
    <cellStyle name="LineItemPrompt 2" xfId="8419"/>
    <cellStyle name="LineItemPrompt 2 2" xfId="8420"/>
    <cellStyle name="LineItemPrompt 2 3" xfId="8421"/>
    <cellStyle name="LineItemPrompt 3" xfId="8422"/>
    <cellStyle name="LineItemValue" xfId="8423"/>
    <cellStyle name="LineItemValue 2" xfId="8424"/>
    <cellStyle name="LineItemValue 2 2" xfId="8425"/>
    <cellStyle name="LineItemValue 2 3" xfId="8426"/>
    <cellStyle name="LineItemValue 3" xfId="8427"/>
    <cellStyle name="LineItemValue 4" xfId="8428"/>
    <cellStyle name="Linked Cell 10" xfId="1681"/>
    <cellStyle name="Linked Cell 11" xfId="1682"/>
    <cellStyle name="Linked Cell 12" xfId="1683"/>
    <cellStyle name="Linked Cell 13" xfId="1684"/>
    <cellStyle name="Linked Cell 14" xfId="1685"/>
    <cellStyle name="Linked Cell 15" xfId="1686"/>
    <cellStyle name="Linked Cell 16" xfId="1687"/>
    <cellStyle name="Linked Cell 17" xfId="1688"/>
    <cellStyle name="Linked Cell 17 2" xfId="8429"/>
    <cellStyle name="Linked Cell 18" xfId="1689"/>
    <cellStyle name="Linked Cell 19" xfId="1690"/>
    <cellStyle name="Linked Cell 2" xfId="1691"/>
    <cellStyle name="Linked Cell 2 2" xfId="1692"/>
    <cellStyle name="Linked Cell 2 2 2" xfId="1693"/>
    <cellStyle name="Linked Cell 2 2 2 2" xfId="1694"/>
    <cellStyle name="Linked Cell 2 2 2 3" xfId="1695"/>
    <cellStyle name="Linked Cell 2 2 2 4" xfId="1696"/>
    <cellStyle name="Linked Cell 2 2 2 5" xfId="1697"/>
    <cellStyle name="Linked Cell 2 2 3" xfId="1698"/>
    <cellStyle name="Linked Cell 2 2 4" xfId="1699"/>
    <cellStyle name="Linked Cell 2 2 5" xfId="1700"/>
    <cellStyle name="Linked Cell 2 3" xfId="1701"/>
    <cellStyle name="Linked Cell 2 4" xfId="1702"/>
    <cellStyle name="Linked Cell 2 5" xfId="1703"/>
    <cellStyle name="Linked Cell 2 6" xfId="1704"/>
    <cellStyle name="Linked Cell 2 7" xfId="1705"/>
    <cellStyle name="Linked Cell 2 8" xfId="1706"/>
    <cellStyle name="Linked Cell 2 9" xfId="1707"/>
    <cellStyle name="Linked Cell 20" xfId="1708"/>
    <cellStyle name="Linked Cell 21" xfId="1709"/>
    <cellStyle name="Linked Cell 22" xfId="1710"/>
    <cellStyle name="Linked Cell 3" xfId="1711"/>
    <cellStyle name="Linked Cell 3 2" xfId="8430"/>
    <cellStyle name="Linked Cell 4" xfId="1712"/>
    <cellStyle name="Linked Cell 5" xfId="1713"/>
    <cellStyle name="Linked Cell 6" xfId="1714"/>
    <cellStyle name="Linked Cell 7" xfId="1715"/>
    <cellStyle name="Linked Cell 8" xfId="1716"/>
    <cellStyle name="Linked Cell 9" xfId="1717"/>
    <cellStyle name="Milliers [0]_EDYAN" xfId="8431"/>
    <cellStyle name="Milliers_EDYAN" xfId="8432"/>
    <cellStyle name="Monétaire [0]_EDYAN" xfId="8433"/>
    <cellStyle name="Monétaire_EDYAN" xfId="8434"/>
    <cellStyle name="Neutral 10" xfId="1718"/>
    <cellStyle name="Neutral 11" xfId="1719"/>
    <cellStyle name="Neutral 12" xfId="1720"/>
    <cellStyle name="Neutral 13" xfId="1721"/>
    <cellStyle name="Neutral 14" xfId="1722"/>
    <cellStyle name="Neutral 15" xfId="1723"/>
    <cellStyle name="Neutral 16" xfId="1724"/>
    <cellStyle name="Neutral 17" xfId="1725"/>
    <cellStyle name="Neutral 17 2" xfId="8435"/>
    <cellStyle name="Neutral 18" xfId="1726"/>
    <cellStyle name="Neutral 19" xfId="1727"/>
    <cellStyle name="Neutral 2" xfId="1728"/>
    <cellStyle name="Neutral 2 2" xfId="1729"/>
    <cellStyle name="Neutral 2 2 2" xfId="1730"/>
    <cellStyle name="Neutral 2 2 2 2" xfId="1731"/>
    <cellStyle name="Neutral 2 2 2 3" xfId="1732"/>
    <cellStyle name="Neutral 2 2 2 4" xfId="1733"/>
    <cellStyle name="Neutral 2 2 2 5" xfId="1734"/>
    <cellStyle name="Neutral 2 2 3" xfId="1735"/>
    <cellStyle name="Neutral 2 2 4" xfId="1736"/>
    <cellStyle name="Neutral 2 2 5" xfId="1737"/>
    <cellStyle name="Neutral 2 3" xfId="1738"/>
    <cellStyle name="Neutral 2 4" xfId="1739"/>
    <cellStyle name="Neutral 2 5" xfId="1740"/>
    <cellStyle name="Neutral 2 6" xfId="1741"/>
    <cellStyle name="Neutral 2 7" xfId="1742"/>
    <cellStyle name="Neutral 2 8" xfId="1743"/>
    <cellStyle name="Neutral 2 9" xfId="1744"/>
    <cellStyle name="Neutral 20" xfId="1745"/>
    <cellStyle name="Neutral 21" xfId="1746"/>
    <cellStyle name="Neutral 22" xfId="1747"/>
    <cellStyle name="Neutral 3" xfId="1748"/>
    <cellStyle name="Neutral 3 2" xfId="8436"/>
    <cellStyle name="Neutral 4" xfId="1749"/>
    <cellStyle name="Neutral 5" xfId="1750"/>
    <cellStyle name="Neutral 6" xfId="1751"/>
    <cellStyle name="Neutral 7" xfId="1752"/>
    <cellStyle name="Neutral 8" xfId="1753"/>
    <cellStyle name="Neutral 9" xfId="1754"/>
    <cellStyle name="Normal" xfId="0" builtinId="0" customBuiltin="1"/>
    <cellStyle name="Normal - Style1" xfId="8437"/>
    <cellStyle name="Normal - Style1 2" xfId="8438"/>
    <cellStyle name="Normal - Style2" xfId="8439"/>
    <cellStyle name="Normal - Style3" xfId="8440"/>
    <cellStyle name="Normal - Style4" xfId="8441"/>
    <cellStyle name="Normal - Style5" xfId="8442"/>
    <cellStyle name="Normal - Style6" xfId="8443"/>
    <cellStyle name="Normal - Style7" xfId="8444"/>
    <cellStyle name="Normal - Style8" xfId="8445"/>
    <cellStyle name="Normal 10" xfId="1755"/>
    <cellStyle name="Normal 10 2" xfId="2107"/>
    <cellStyle name="Normal 10 2 2" xfId="8446"/>
    <cellStyle name="Normal 10 3" xfId="8447"/>
    <cellStyle name="Normal 11" xfId="1756"/>
    <cellStyle name="Normal 11 2" xfId="1757"/>
    <cellStyle name="Normal 11 2 2" xfId="8448"/>
    <cellStyle name="Normal 11 3" xfId="1758"/>
    <cellStyle name="Normal 11 4" xfId="1759"/>
    <cellStyle name="Normal 11 5" xfId="1760"/>
    <cellStyle name="Normal 12" xfId="1761"/>
    <cellStyle name="Normal 12 2" xfId="8449"/>
    <cellStyle name="Normal 12 2 2" xfId="8450"/>
    <cellStyle name="Normal 12 2 2 2" xfId="8451"/>
    <cellStyle name="Normal 12 2 2 2 2" xfId="8452"/>
    <cellStyle name="Normal 12 2 2 2 2 2" xfId="8453"/>
    <cellStyle name="Normal 12 2 2 2 2 2 2" xfId="8454"/>
    <cellStyle name="Normal 12 2 2 2 2 3" xfId="8455"/>
    <cellStyle name="Normal 12 2 2 2 3" xfId="8456"/>
    <cellStyle name="Normal 12 2 2 2 3 2" xfId="8457"/>
    <cellStyle name="Normal 12 2 2 2 4" xfId="8458"/>
    <cellStyle name="Normal 12 2 2 2 5" xfId="8459"/>
    <cellStyle name="Normal 12 2 2 3" xfId="8460"/>
    <cellStyle name="Normal 12 2 2 3 2" xfId="8461"/>
    <cellStyle name="Normal 12 2 2 3 2 2" xfId="8462"/>
    <cellStyle name="Normal 12 2 2 3 3" xfId="8463"/>
    <cellStyle name="Normal 12 2 2 4" xfId="8464"/>
    <cellStyle name="Normal 12 2 2 4 2" xfId="8465"/>
    <cellStyle name="Normal 12 2 2 5" xfId="8466"/>
    <cellStyle name="Normal 12 2 2 6" xfId="8467"/>
    <cellStyle name="Normal 12 2 3" xfId="8468"/>
    <cellStyle name="Normal 12 2 3 2" xfId="8469"/>
    <cellStyle name="Normal 12 2 3 2 2" xfId="8470"/>
    <cellStyle name="Normal 12 2 3 2 2 2" xfId="8471"/>
    <cellStyle name="Normal 12 2 3 2 3" xfId="8472"/>
    <cellStyle name="Normal 12 2 3 3" xfId="8473"/>
    <cellStyle name="Normal 12 2 3 3 2" xfId="8474"/>
    <cellStyle name="Normal 12 2 3 4" xfId="8475"/>
    <cellStyle name="Normal 12 2 3 5" xfId="8476"/>
    <cellStyle name="Normal 12 2 4" xfId="8477"/>
    <cellStyle name="Normal 12 2 4 2" xfId="8478"/>
    <cellStyle name="Normal 12 2 4 2 2" xfId="8479"/>
    <cellStyle name="Normal 12 2 4 3" xfId="8480"/>
    <cellStyle name="Normal 12 2 5" xfId="8481"/>
    <cellStyle name="Normal 12 2 5 2" xfId="8482"/>
    <cellStyle name="Normal 12 2 6" xfId="8483"/>
    <cellStyle name="Normal 12 2 7" xfId="8484"/>
    <cellStyle name="Normal 12 3" xfId="8485"/>
    <cellStyle name="Normal 12 3 2" xfId="8486"/>
    <cellStyle name="Normal 12 3 2 2" xfId="8487"/>
    <cellStyle name="Normal 12 3 2 2 2" xfId="8488"/>
    <cellStyle name="Normal 12 3 2 2 2 2" xfId="8489"/>
    <cellStyle name="Normal 12 3 2 2 3" xfId="8490"/>
    <cellStyle name="Normal 12 3 2 3" xfId="8491"/>
    <cellStyle name="Normal 12 3 2 3 2" xfId="8492"/>
    <cellStyle name="Normal 12 3 2 4" xfId="8493"/>
    <cellStyle name="Normal 12 3 3" xfId="8494"/>
    <cellStyle name="Normal 12 3 3 2" xfId="8495"/>
    <cellStyle name="Normal 12 3 3 2 2" xfId="8496"/>
    <cellStyle name="Normal 12 3 3 3" xfId="8497"/>
    <cellStyle name="Normal 12 3 4" xfId="8498"/>
    <cellStyle name="Normal 12 3 4 2" xfId="8499"/>
    <cellStyle name="Normal 12 3 5" xfId="8500"/>
    <cellStyle name="Normal 12 3 6" xfId="8501"/>
    <cellStyle name="Normal 12 4" xfId="8502"/>
    <cellStyle name="Normal 12 4 2" xfId="8503"/>
    <cellStyle name="Normal 12 4 2 2" xfId="8504"/>
    <cellStyle name="Normal 12 4 2 2 2" xfId="8505"/>
    <cellStyle name="Normal 12 4 2 3" xfId="8506"/>
    <cellStyle name="Normal 12 4 3" xfId="8507"/>
    <cellStyle name="Normal 12 4 3 2" xfId="8508"/>
    <cellStyle name="Normal 12 4 4" xfId="8509"/>
    <cellStyle name="Normal 12 5" xfId="8510"/>
    <cellStyle name="Normal 12 5 2" xfId="8511"/>
    <cellStyle name="Normal 12 5 2 2" xfId="8512"/>
    <cellStyle name="Normal 12 5 3" xfId="8513"/>
    <cellStyle name="Normal 12 6" xfId="8514"/>
    <cellStyle name="Normal 12 6 2" xfId="8515"/>
    <cellStyle name="Normal 12 7" xfId="8516"/>
    <cellStyle name="Normal 12 8" xfId="8517"/>
    <cellStyle name="Normal 13" xfId="1762"/>
    <cellStyle name="Normal 13 2" xfId="1763"/>
    <cellStyle name="Normal 13 2 2" xfId="8518"/>
    <cellStyle name="Normal 13 2 3" xfId="8519"/>
    <cellStyle name="Normal 13 3" xfId="1764"/>
    <cellStyle name="Normal 13 4" xfId="1765"/>
    <cellStyle name="Normal 13 5" xfId="1766"/>
    <cellStyle name="Normal 14" xfId="1767"/>
    <cellStyle name="Normal 14 2" xfId="8520"/>
    <cellStyle name="Normal 14 2 2" xfId="8521"/>
    <cellStyle name="Normal 14 2 2 2" xfId="8522"/>
    <cellStyle name="Normal 14 2 2 2 2" xfId="8523"/>
    <cellStyle name="Normal 14 2 2 3" xfId="8524"/>
    <cellStyle name="Normal 14 2 2 4" xfId="8525"/>
    <cellStyle name="Normal 14 2 3" xfId="8526"/>
    <cellStyle name="Normal 14 2 3 2" xfId="8527"/>
    <cellStyle name="Normal 14 2 4" xfId="8528"/>
    <cellStyle name="Normal 14 2 4 2" xfId="8529"/>
    <cellStyle name="Normal 14 2 5" xfId="8530"/>
    <cellStyle name="Normal 14 2 6" xfId="8531"/>
    <cellStyle name="Normal 14 2 7" xfId="8532"/>
    <cellStyle name="Normal 14 3" xfId="8533"/>
    <cellStyle name="Normal 14 3 2" xfId="8534"/>
    <cellStyle name="Normal 14 3 2 2" xfId="8535"/>
    <cellStyle name="Normal 14 3 3" xfId="8536"/>
    <cellStyle name="Normal 14 3 4" xfId="8537"/>
    <cellStyle name="Normal 14 4" xfId="8538"/>
    <cellStyle name="Normal 14 4 2" xfId="8539"/>
    <cellStyle name="Normal 14 4 3" xfId="8540"/>
    <cellStyle name="Normal 14 4 4" xfId="8541"/>
    <cellStyle name="Normal 14 5" xfId="8542"/>
    <cellStyle name="Normal 15" xfId="1768"/>
    <cellStyle name="Normal 15 2" xfId="8543"/>
    <cellStyle name="Normal 15 2 10" xfId="8544"/>
    <cellStyle name="Normal 15 2 11" xfId="8545"/>
    <cellStyle name="Normal 15 2 2" xfId="8546"/>
    <cellStyle name="Normal 15 2 2 2" xfId="8547"/>
    <cellStyle name="Normal 15 2 2 2 2" xfId="8548"/>
    <cellStyle name="Normal 15 2 2 2 2 2" xfId="8549"/>
    <cellStyle name="Normal 15 2 2 2 2 3" xfId="8550"/>
    <cellStyle name="Normal 15 2 2 2 3" xfId="8551"/>
    <cellStyle name="Normal 15 2 2 2 3 2" xfId="8552"/>
    <cellStyle name="Normal 15 2 2 2 4" xfId="8553"/>
    <cellStyle name="Normal 15 2 2 2 5" xfId="8554"/>
    <cellStyle name="Normal 15 2 2 2 6" xfId="8555"/>
    <cellStyle name="Normal 15 2 2 3" xfId="8556"/>
    <cellStyle name="Normal 15 2 2 3 2" xfId="8557"/>
    <cellStyle name="Normal 15 2 2 3 3" xfId="8558"/>
    <cellStyle name="Normal 15 2 2 4" xfId="8559"/>
    <cellStyle name="Normal 15 2 2 4 2" xfId="8560"/>
    <cellStyle name="Normal 15 2 2 5" xfId="8561"/>
    <cellStyle name="Normal 15 2 2 6" xfId="8562"/>
    <cellStyle name="Normal 15 2 2 7" xfId="8563"/>
    <cellStyle name="Normal 15 2 3" xfId="8564"/>
    <cellStyle name="Normal 15 2 3 2" xfId="8565"/>
    <cellStyle name="Normal 15 2 3 2 2" xfId="8566"/>
    <cellStyle name="Normal 15 2 3 2 2 2" xfId="8567"/>
    <cellStyle name="Normal 15 2 3 2 3" xfId="8568"/>
    <cellStyle name="Normal 15 2 3 2 4" xfId="8569"/>
    <cellStyle name="Normal 15 2 3 2 5" xfId="8570"/>
    <cellStyle name="Normal 15 2 3 2 6" xfId="8571"/>
    <cellStyle name="Normal 15 2 3 3" xfId="8572"/>
    <cellStyle name="Normal 15 2 3 3 2" xfId="8573"/>
    <cellStyle name="Normal 15 2 3 4" xfId="8574"/>
    <cellStyle name="Normal 15 2 3 5" xfId="8575"/>
    <cellStyle name="Normal 15 2 3 6" xfId="8576"/>
    <cellStyle name="Normal 15 2 3 7" xfId="8577"/>
    <cellStyle name="Normal 15 2 4" xfId="8578"/>
    <cellStyle name="Normal 15 2 4 2" xfId="8579"/>
    <cellStyle name="Normal 15 2 4 2 2" xfId="8580"/>
    <cellStyle name="Normal 15 2 4 3" xfId="8581"/>
    <cellStyle name="Normal 15 2 4 4" xfId="8582"/>
    <cellStyle name="Normal 15 2 4 5" xfId="8583"/>
    <cellStyle name="Normal 15 2 4 6" xfId="8584"/>
    <cellStyle name="Normal 15 2 5" xfId="8585"/>
    <cellStyle name="Normal 15 2 5 2" xfId="8586"/>
    <cellStyle name="Normal 15 2 5 2 2" xfId="8587"/>
    <cellStyle name="Normal 15 2 5 3" xfId="8588"/>
    <cellStyle name="Normal 15 2 5 4" xfId="8589"/>
    <cellStyle name="Normal 15 2 5 5" xfId="8590"/>
    <cellStyle name="Normal 15 2 6" xfId="8591"/>
    <cellStyle name="Normal 15 2 6 2" xfId="8592"/>
    <cellStyle name="Normal 15 2 7" xfId="8593"/>
    <cellStyle name="Normal 15 2 8" xfId="8594"/>
    <cellStyle name="Normal 15 2 9" xfId="8595"/>
    <cellStyle name="Normal 15 3" xfId="8596"/>
    <cellStyle name="Normal 15 3 2" xfId="8597"/>
    <cellStyle name="Normal 15 3 2 2" xfId="8598"/>
    <cellStyle name="Normal 15 3 2 2 2" xfId="8599"/>
    <cellStyle name="Normal 15 3 2 2 3" xfId="8600"/>
    <cellStyle name="Normal 15 3 2 3" xfId="8601"/>
    <cellStyle name="Normal 15 3 2 3 2" xfId="8602"/>
    <cellStyle name="Normal 15 3 2 4" xfId="8603"/>
    <cellStyle name="Normal 15 3 2 5" xfId="8604"/>
    <cellStyle name="Normal 15 3 2 6" xfId="8605"/>
    <cellStyle name="Normal 15 3 3" xfId="8606"/>
    <cellStyle name="Normal 15 3 3 2" xfId="8607"/>
    <cellStyle name="Normal 15 3 3 3" xfId="8608"/>
    <cellStyle name="Normal 15 3 4" xfId="8609"/>
    <cellStyle name="Normal 15 3 4 2" xfId="8610"/>
    <cellStyle name="Normal 15 3 5" xfId="8611"/>
    <cellStyle name="Normal 15 3 6" xfId="8612"/>
    <cellStyle name="Normal 15 3 7" xfId="8613"/>
    <cellStyle name="Normal 15 4" xfId="8614"/>
    <cellStyle name="Normal 15 4 2" xfId="8615"/>
    <cellStyle name="Normal 15 4 2 2" xfId="8616"/>
    <cellStyle name="Normal 15 4 2 2 2" xfId="8617"/>
    <cellStyle name="Normal 15 4 2 3" xfId="8618"/>
    <cellStyle name="Normal 15 4 2 4" xfId="8619"/>
    <cellStyle name="Normal 15 4 2 5" xfId="8620"/>
    <cellStyle name="Normal 15 4 2 6" xfId="8621"/>
    <cellStyle name="Normal 15 4 3" xfId="8622"/>
    <cellStyle name="Normal 15 4 3 2" xfId="8623"/>
    <cellStyle name="Normal 15 4 4" xfId="8624"/>
    <cellStyle name="Normal 15 4 5" xfId="8625"/>
    <cellStyle name="Normal 15 4 6" xfId="8626"/>
    <cellStyle name="Normal 15 4 7" xfId="8627"/>
    <cellStyle name="Normal 15 5" xfId="8628"/>
    <cellStyle name="Normal 15 5 2" xfId="8629"/>
    <cellStyle name="Normal 15 5 2 2" xfId="8630"/>
    <cellStyle name="Normal 15 5 2 3" xfId="8631"/>
    <cellStyle name="Normal 15 5 3" xfId="8632"/>
    <cellStyle name="Normal 15 5 4" xfId="8633"/>
    <cellStyle name="Normal 15 5 5" xfId="8634"/>
    <cellStyle name="Normal 15 6" xfId="8635"/>
    <cellStyle name="Normal 15 6 2" xfId="8636"/>
    <cellStyle name="Normal 15 6 2 2" xfId="8637"/>
    <cellStyle name="Normal 15 6 3" xfId="8638"/>
    <cellStyle name="Normal 15 6 4" xfId="8639"/>
    <cellStyle name="Normal 15 6 5" xfId="8640"/>
    <cellStyle name="Normal 15 7" xfId="8641"/>
    <cellStyle name="Normal 15 7 2" xfId="8642"/>
    <cellStyle name="Normal 15 7 2 2" xfId="8643"/>
    <cellStyle name="Normal 15 7 3" xfId="8644"/>
    <cellStyle name="Normal 15 7 4" xfId="8645"/>
    <cellStyle name="Normal 15 7 5" xfId="8646"/>
    <cellStyle name="Normal 16" xfId="1769"/>
    <cellStyle name="Normal 16 2" xfId="8647"/>
    <cellStyle name="Normal 16 2 2" xfId="8648"/>
    <cellStyle name="Normal 17" xfId="1770"/>
    <cellStyle name="Normal 17 2" xfId="8649"/>
    <cellStyle name="Normal 17 2 2" xfId="8650"/>
    <cellStyle name="Normal 17 2 2 2" xfId="8651"/>
    <cellStyle name="Normal 17 2 2 2 2" xfId="8652"/>
    <cellStyle name="Normal 17 2 2 2 3" xfId="8653"/>
    <cellStyle name="Normal 17 2 2 3" xfId="8654"/>
    <cellStyle name="Normal 17 2 2 3 2" xfId="8655"/>
    <cellStyle name="Normal 17 2 2 4" xfId="8656"/>
    <cellStyle name="Normal 17 2 2 5" xfId="8657"/>
    <cellStyle name="Normal 17 2 2 6" xfId="8658"/>
    <cellStyle name="Normal 17 2 3" xfId="8659"/>
    <cellStyle name="Normal 17 2 3 2" xfId="8660"/>
    <cellStyle name="Normal 17 2 3 3" xfId="8661"/>
    <cellStyle name="Normal 17 2 4" xfId="8662"/>
    <cellStyle name="Normal 17 2 4 2" xfId="8663"/>
    <cellStyle name="Normal 17 2 5" xfId="8664"/>
    <cellStyle name="Normal 17 2 6" xfId="8665"/>
    <cellStyle name="Normal 17 2 7" xfId="8666"/>
    <cellStyle name="Normal 17 2 8" xfId="8667"/>
    <cellStyle name="Normal 17 3" xfId="8668"/>
    <cellStyle name="Normal 17 3 2" xfId="8669"/>
    <cellStyle name="Normal 17 3 2 2" xfId="8670"/>
    <cellStyle name="Normal 17 3 2 2 2" xfId="8671"/>
    <cellStyle name="Normal 17 3 2 3" xfId="8672"/>
    <cellStyle name="Normal 17 3 2 4" xfId="8673"/>
    <cellStyle name="Normal 17 3 2 5" xfId="8674"/>
    <cellStyle name="Normal 17 3 3" xfId="8675"/>
    <cellStyle name="Normal 17 3 3 2" xfId="8676"/>
    <cellStyle name="Normal 17 3 4" xfId="8677"/>
    <cellStyle name="Normal 17 3 5" xfId="8678"/>
    <cellStyle name="Normal 17 3 6" xfId="8679"/>
    <cellStyle name="Normal 17 3 7" xfId="8680"/>
    <cellStyle name="Normal 17 4" xfId="8681"/>
    <cellStyle name="Normal 17 4 2" xfId="8682"/>
    <cellStyle name="Normal 17 4 2 2" xfId="8683"/>
    <cellStyle name="Normal 17 4 3" xfId="8684"/>
    <cellStyle name="Normal 17 4 4" xfId="8685"/>
    <cellStyle name="Normal 17 4 5" xfId="8686"/>
    <cellStyle name="Normal 17 5" xfId="8687"/>
    <cellStyle name="Normal 17 5 2" xfId="8688"/>
    <cellStyle name="Normal 17 5 2 2" xfId="8689"/>
    <cellStyle name="Normal 17 5 3" xfId="8690"/>
    <cellStyle name="Normal 17 5 4" xfId="8691"/>
    <cellStyle name="Normal 17 5 5" xfId="8692"/>
    <cellStyle name="Normal 17 6" xfId="8693"/>
    <cellStyle name="Normal 17 6 2" xfId="8694"/>
    <cellStyle name="Normal 17 6 2 2" xfId="8695"/>
    <cellStyle name="Normal 17 6 3" xfId="8696"/>
    <cellStyle name="Normal 17 6 4" xfId="8697"/>
    <cellStyle name="Normal 17 6 5" xfId="8698"/>
    <cellStyle name="Normal 17 7" xfId="8699"/>
    <cellStyle name="Normal 18" xfId="1771"/>
    <cellStyle name="Normal 18 2" xfId="8700"/>
    <cellStyle name="Normal 18 2 2" xfId="8701"/>
    <cellStyle name="Normal 18 2 2 2" xfId="8702"/>
    <cellStyle name="Normal 18 2 2 3" xfId="8703"/>
    <cellStyle name="Normal 18 2 3" xfId="8704"/>
    <cellStyle name="Normal 18 2 4" xfId="8705"/>
    <cellStyle name="Normal 18 2 5" xfId="8706"/>
    <cellStyle name="Normal 18 2 6" xfId="8707"/>
    <cellStyle name="Normal 18 2 7" xfId="8708"/>
    <cellStyle name="Normal 18 3" xfId="8709"/>
    <cellStyle name="Normal 18 3 2" xfId="8710"/>
    <cellStyle name="Normal 18 3 2 2" xfId="8711"/>
    <cellStyle name="Normal 18 3 3" xfId="8712"/>
    <cellStyle name="Normal 18 3 4" xfId="8713"/>
    <cellStyle name="Normal 18 3 5" xfId="8714"/>
    <cellStyle name="Normal 18 3 6" xfId="8715"/>
    <cellStyle name="Normal 18 4" xfId="8716"/>
    <cellStyle name="Normal 19" xfId="1772"/>
    <cellStyle name="Normal 19 2" xfId="8717"/>
    <cellStyle name="Normal 19 2 2" xfId="8718"/>
    <cellStyle name="Normal 19 3" xfId="2112"/>
    <cellStyle name="Normal 2" xfId="5"/>
    <cellStyle name="Normal 2 10" xfId="1773"/>
    <cellStyle name="Normal 2 10 2" xfId="8719"/>
    <cellStyle name="Normal 2 10 2 2" xfId="8720"/>
    <cellStyle name="Normal 2 10 3" xfId="8721"/>
    <cellStyle name="Normal 2 11" xfId="1774"/>
    <cellStyle name="Normal 2 11 2" xfId="8722"/>
    <cellStyle name="Normal 2 11 2 2" xfId="8723"/>
    <cellStyle name="Normal 2 11 3" xfId="8724"/>
    <cellStyle name="Normal 2 12" xfId="1775"/>
    <cellStyle name="Normal 2 12 2" xfId="8725"/>
    <cellStyle name="Normal 2 13" xfId="1776"/>
    <cellStyle name="Normal 2 14" xfId="1777"/>
    <cellStyle name="Normal 2 15" xfId="1778"/>
    <cellStyle name="Normal 2 16" xfId="1779"/>
    <cellStyle name="Normal 2 17" xfId="1780"/>
    <cellStyle name="Normal 2 18" xfId="1781"/>
    <cellStyle name="Normal 2 18 2" xfId="8726"/>
    <cellStyle name="Normal 2 18 2 2" xfId="8727"/>
    <cellStyle name="Normal 2 18 3" xfId="8728"/>
    <cellStyle name="Normal 2 18 4" xfId="8729"/>
    <cellStyle name="Normal 2 19" xfId="1782"/>
    <cellStyle name="Normal 2 19 2" xfId="1783"/>
    <cellStyle name="Normal 2 19 3" xfId="1784"/>
    <cellStyle name="Normal 2 19 4" xfId="1785"/>
    <cellStyle name="Normal 2 19 5" xfId="1786"/>
    <cellStyle name="Normal 2 2" xfId="6"/>
    <cellStyle name="Normal 2 2 2" xfId="1787"/>
    <cellStyle name="Normal 2 2 2 2" xfId="8730"/>
    <cellStyle name="Normal 2 2 2 2 2" xfId="8731"/>
    <cellStyle name="Normal 2 2 2 3" xfId="8732"/>
    <cellStyle name="Normal 2 2 2 3 2" xfId="8733"/>
    <cellStyle name="Normal 2 2 2 4" xfId="8734"/>
    <cellStyle name="Normal 2 2 2 4 2" xfId="8735"/>
    <cellStyle name="Normal 2 2 2 5" xfId="8736"/>
    <cellStyle name="Normal 2 2 3" xfId="8737"/>
    <cellStyle name="Normal 2 2 3 2" xfId="8738"/>
    <cellStyle name="Normal 2 2 3 3" xfId="8739"/>
    <cellStyle name="Normal 2 2 4" xfId="8740"/>
    <cellStyle name="Normal 2 2 4 2" xfId="8741"/>
    <cellStyle name="Normal 2 2 4 2 2" xfId="8742"/>
    <cellStyle name="Normal 2 2 4 2 2 2" xfId="8743"/>
    <cellStyle name="Normal 2 2 4 2 2 2 2" xfId="8744"/>
    <cellStyle name="Normal 2 2 4 2 2 3" xfId="8745"/>
    <cellStyle name="Normal 2 2 4 2 2 4" xfId="8746"/>
    <cellStyle name="Normal 2 2 4 2 3" xfId="8747"/>
    <cellStyle name="Normal 2 2 4 2 3 2" xfId="8748"/>
    <cellStyle name="Normal 2 2 4 2 4" xfId="8749"/>
    <cellStyle name="Normal 2 2 4 2 5" xfId="8750"/>
    <cellStyle name="Normal 2 2 4 3" xfId="8751"/>
    <cellStyle name="Normal 2 2 4 3 2" xfId="8752"/>
    <cellStyle name="Normal 2 2 4 3 2 2" xfId="8753"/>
    <cellStyle name="Normal 2 2 4 3 3" xfId="8754"/>
    <cellStyle name="Normal 2 2 4 3 4" xfId="8755"/>
    <cellStyle name="Normal 2 2 4 4" xfId="8756"/>
    <cellStyle name="Normal 2 2 4 4 2" xfId="8757"/>
    <cellStyle name="Normal 2 2 4 5" xfId="8758"/>
    <cellStyle name="Normal 2 2 4 5 2" xfId="8759"/>
    <cellStyle name="Normal 2 2 4 6" xfId="8760"/>
    <cellStyle name="Normal 2 2 4 7" xfId="8761"/>
    <cellStyle name="Normal 2 2 5" xfId="8762"/>
    <cellStyle name="Normal 2 2 5 2" xfId="8763"/>
    <cellStyle name="Normal 2 2 5 2 2" xfId="8764"/>
    <cellStyle name="Normal 2 2 5 2 3" xfId="8765"/>
    <cellStyle name="Normal 2 2 5 3" xfId="8766"/>
    <cellStyle name="Normal 2 2 5 4" xfId="8767"/>
    <cellStyle name="Normal 2 2 5 5" xfId="8768"/>
    <cellStyle name="Normal 2 2 5 6" xfId="8769"/>
    <cellStyle name="Normal 2 2 6" xfId="8770"/>
    <cellStyle name="Normal 2 2 6 2" xfId="8771"/>
    <cellStyle name="Normal 2 2 6 2 2" xfId="8772"/>
    <cellStyle name="Normal 2 2 6 3" xfId="8773"/>
    <cellStyle name="Normal 2 2 6 4" xfId="8774"/>
    <cellStyle name="Normal 2 2 6 5" xfId="8775"/>
    <cellStyle name="Normal 2 2 7" xfId="8776"/>
    <cellStyle name="Normal 2 2 8" xfId="8777"/>
    <cellStyle name="Normal 2 2 8 2" xfId="8778"/>
    <cellStyle name="Normal 2 2 8 3" xfId="8779"/>
    <cellStyle name="Normal 2 20" xfId="1788"/>
    <cellStyle name="Normal 2 20 2" xfId="8780"/>
    <cellStyle name="Normal 2 20 3" xfId="8781"/>
    <cellStyle name="Normal 2 21" xfId="1789"/>
    <cellStyle name="Normal 2 21 2" xfId="8782"/>
    <cellStyle name="Normal 2 22" xfId="1790"/>
    <cellStyle name="Normal 2 23" xfId="1791"/>
    <cellStyle name="Normal 2 24" xfId="1792"/>
    <cellStyle name="Normal 2 25" xfId="1793"/>
    <cellStyle name="Normal 2 3" xfId="1794"/>
    <cellStyle name="Normal 2 3 2" xfId="8783"/>
    <cellStyle name="Normal 2 3 2 2" xfId="8784"/>
    <cellStyle name="Normal 2 3 2 3" xfId="8785"/>
    <cellStyle name="Normal 2 3 3" xfId="8786"/>
    <cellStyle name="Normal 2 3 4" xfId="8787"/>
    <cellStyle name="Normal 2 3 4 2" xfId="8788"/>
    <cellStyle name="Normal 2 3 4 2 2" xfId="8789"/>
    <cellStyle name="Normal 2 3 4 3" xfId="8790"/>
    <cellStyle name="Normal 2 3 4 4" xfId="8791"/>
    <cellStyle name="Normal 2 3 4 5" xfId="8792"/>
    <cellStyle name="Normal 2 3 5" xfId="8793"/>
    <cellStyle name="Normal 2 3 5 2" xfId="8794"/>
    <cellStyle name="Normal 2 3 5 2 2" xfId="8795"/>
    <cellStyle name="Normal 2 3 5 3" xfId="8796"/>
    <cellStyle name="Normal 2 3 5 4" xfId="8797"/>
    <cellStyle name="Normal 2 3 5 5" xfId="8798"/>
    <cellStyle name="Normal 2 3 6" xfId="8799"/>
    <cellStyle name="Normal 2 3 6 2" xfId="8800"/>
    <cellStyle name="Normal 2 4" xfId="1795"/>
    <cellStyle name="Normal 2 4 2" xfId="8801"/>
    <cellStyle name="Normal 2 4 2 2" xfId="8802"/>
    <cellStyle name="Normal 2 4 2 3" xfId="8803"/>
    <cellStyle name="Normal 2 4 3" xfId="8804"/>
    <cellStyle name="Normal 2 4 3 2" xfId="8805"/>
    <cellStyle name="Normal 2 4 4" xfId="8806"/>
    <cellStyle name="Normal 2 4 4 2" xfId="8807"/>
    <cellStyle name="Normal 2 4 5" xfId="8808"/>
    <cellStyle name="Normal 2 41" xfId="8809"/>
    <cellStyle name="Normal 2 43" xfId="8810"/>
    <cellStyle name="Normal 2 5" xfId="1796"/>
    <cellStyle name="Normal 2 5 2" xfId="8811"/>
    <cellStyle name="Normal 2 5 2 2" xfId="8812"/>
    <cellStyle name="Normal 2 5 2 2 2" xfId="8813"/>
    <cellStyle name="Normal 2 5 2 2 2 2" xfId="8814"/>
    <cellStyle name="Normal 2 5 2 2 3" xfId="8815"/>
    <cellStyle name="Normal 2 5 2 2 4" xfId="8816"/>
    <cellStyle name="Normal 2 5 2 3" xfId="8817"/>
    <cellStyle name="Normal 2 5 2 3 2" xfId="8818"/>
    <cellStyle name="Normal 2 5 2 3 2 2" xfId="8819"/>
    <cellStyle name="Normal 2 5 2 3 3" xfId="8820"/>
    <cellStyle name="Normal 2 5 2 3 4" xfId="8821"/>
    <cellStyle name="Normal 2 5 2 4" xfId="8822"/>
    <cellStyle name="Normal 2 5 2 4 2" xfId="8823"/>
    <cellStyle name="Normal 2 5 2 5" xfId="8824"/>
    <cellStyle name="Normal 2 5 2 6" xfId="8825"/>
    <cellStyle name="Normal 2 5 2 7" xfId="8826"/>
    <cellStyle name="Normal 2 5 3" xfId="8827"/>
    <cellStyle name="Normal 2 5 3 2" xfId="8828"/>
    <cellStyle name="Normal 2 5 3 2 2" xfId="8829"/>
    <cellStyle name="Normal 2 5 3 3" xfId="8830"/>
    <cellStyle name="Normal 2 5 3 4" xfId="8831"/>
    <cellStyle name="Normal 2 5 4" xfId="8832"/>
    <cellStyle name="Normal 2 5 4 2" xfId="8833"/>
    <cellStyle name="Normal 2 5 4 2 2" xfId="8834"/>
    <cellStyle name="Normal 2 5 4 3" xfId="8835"/>
    <cellStyle name="Normal 2 5 4 4" xfId="8836"/>
    <cellStyle name="Normal 2 5 5" xfId="8837"/>
    <cellStyle name="Normal 2 5 6" xfId="8838"/>
    <cellStyle name="Normal 2 6" xfId="1797"/>
    <cellStyle name="Normal 2 6 2" xfId="8839"/>
    <cellStyle name="Normal 2 6 3" xfId="8840"/>
    <cellStyle name="Normal 2 7" xfId="1798"/>
    <cellStyle name="Normal 2 7 2" xfId="8841"/>
    <cellStyle name="Normal 2 7 2 2" xfId="8842"/>
    <cellStyle name="Normal 2 7 2 2 2" xfId="8843"/>
    <cellStyle name="Normal 2 7 2 2 3" xfId="8844"/>
    <cellStyle name="Normal 2 7 2 3" xfId="8845"/>
    <cellStyle name="Normal 2 7 2 3 2" xfId="8846"/>
    <cellStyle name="Normal 2 7 2 4" xfId="8847"/>
    <cellStyle name="Normal 2 7 2 5" xfId="8848"/>
    <cellStyle name="Normal 2 7 3" xfId="8849"/>
    <cellStyle name="Normal 2 7 3 2" xfId="8850"/>
    <cellStyle name="Normal 2 7 3 2 2" xfId="8851"/>
    <cellStyle name="Normal 2 7 3 3" xfId="8852"/>
    <cellStyle name="Normal 2 7 3 4" xfId="8853"/>
    <cellStyle name="Normal 2 7 3 5" xfId="8854"/>
    <cellStyle name="Normal 2 7 4" xfId="8855"/>
    <cellStyle name="Normal 2 7 4 2" xfId="8856"/>
    <cellStyle name="Normal 2 7 4 2 2" xfId="8857"/>
    <cellStyle name="Normal 2 7 4 3" xfId="8858"/>
    <cellStyle name="Normal 2 7 4 4" xfId="8859"/>
    <cellStyle name="Normal 2 7 4 5" xfId="8860"/>
    <cellStyle name="Normal 2 7 5" xfId="8861"/>
    <cellStyle name="Normal 2 8" xfId="1799"/>
    <cellStyle name="Normal 2 8 2" xfId="8862"/>
    <cellStyle name="Normal 2 8 2 2" xfId="8863"/>
    <cellStyle name="Normal 2 8 2 2 2" xfId="8864"/>
    <cellStyle name="Normal 2 8 2 3" xfId="8865"/>
    <cellStyle name="Normal 2 8 2 4" xfId="8866"/>
    <cellStyle name="Normal 2 8 2 5" xfId="8867"/>
    <cellStyle name="Normal 2 8 3" xfId="8868"/>
    <cellStyle name="Normal 2 8 3 2" xfId="8869"/>
    <cellStyle name="Normal 2 8 3 2 2" xfId="8870"/>
    <cellStyle name="Normal 2 8 3 3" xfId="8871"/>
    <cellStyle name="Normal 2 8 3 4" xfId="8872"/>
    <cellStyle name="Normal 2 8 3 5" xfId="8873"/>
    <cellStyle name="Normal 2 8 4" xfId="8874"/>
    <cellStyle name="Normal 2 9" xfId="1800"/>
    <cellStyle name="Normal 2 9 2" xfId="8875"/>
    <cellStyle name="Normal 2 9 2 2" xfId="8876"/>
    <cellStyle name="Normal 2 9 2 2 2" xfId="8877"/>
    <cellStyle name="Normal 2 9 2 3" xfId="8878"/>
    <cellStyle name="Normal 2 9 2 4" xfId="8879"/>
    <cellStyle name="Normal 2 9 2 5" xfId="8880"/>
    <cellStyle name="Normal 2 9 3" xfId="8881"/>
    <cellStyle name="Normal 2_LGEElecBillingDeterminants2009-10" xfId="8882"/>
    <cellStyle name="Normal 20" xfId="1801"/>
    <cellStyle name="Normal 20 2" xfId="1802"/>
    <cellStyle name="Normal 20 2 2" xfId="8883"/>
    <cellStyle name="Normal 20 2 2 2" xfId="8884"/>
    <cellStyle name="Normal 20 2 3" xfId="8885"/>
    <cellStyle name="Normal 20 2 4" xfId="8886"/>
    <cellStyle name="Normal 20 2 5" xfId="8887"/>
    <cellStyle name="Normal 20 3" xfId="1803"/>
    <cellStyle name="Normal 20 3 2" xfId="8888"/>
    <cellStyle name="Normal 20 3 3" xfId="8889"/>
    <cellStyle name="Normal 20 3 4" xfId="8890"/>
    <cellStyle name="Normal 20 4" xfId="1804"/>
    <cellStyle name="Normal 20 5" xfId="1805"/>
    <cellStyle name="Normal 21" xfId="1806"/>
    <cellStyle name="Normal 21 2" xfId="8891"/>
    <cellStyle name="Normal 22" xfId="1807"/>
    <cellStyle name="Normal 22 2" xfId="8892"/>
    <cellStyle name="Normal 22 2 2" xfId="8893"/>
    <cellStyle name="Normal 22 2 3" xfId="8894"/>
    <cellStyle name="Normal 22 2 4" xfId="8895"/>
    <cellStyle name="Normal 22 2 5" xfId="8896"/>
    <cellStyle name="Normal 22 3" xfId="8897"/>
    <cellStyle name="Normal 23" xfId="1808"/>
    <cellStyle name="Normal 23 2" xfId="8898"/>
    <cellStyle name="Normal 23 2 2" xfId="8899"/>
    <cellStyle name="Normal 23 2 3" xfId="8900"/>
    <cellStyle name="Normal 23 2 4" xfId="8901"/>
    <cellStyle name="Normal 23 2 5" xfId="8902"/>
    <cellStyle name="Normal 23 3" xfId="8903"/>
    <cellStyle name="Normal 24" xfId="1809"/>
    <cellStyle name="Normal 24 2" xfId="8904"/>
    <cellStyle name="Normal 24 3" xfId="8905"/>
    <cellStyle name="Normal 25" xfId="1810"/>
    <cellStyle name="Normal 25 2" xfId="8906"/>
    <cellStyle name="Normal 26" xfId="1811"/>
    <cellStyle name="Normal 26 2" xfId="8907"/>
    <cellStyle name="Normal 26 2 2" xfId="8908"/>
    <cellStyle name="Normal 26 3" xfId="8909"/>
    <cellStyle name="Normal 26 3 2" xfId="8910"/>
    <cellStyle name="Normal 26 3 3" xfId="8911"/>
    <cellStyle name="Normal 26 4" xfId="8912"/>
    <cellStyle name="Normal 26 4 2" xfId="8913"/>
    <cellStyle name="Normal 26 4 3" xfId="8914"/>
    <cellStyle name="Normal 26 5" xfId="8915"/>
    <cellStyle name="Normal 26 5 2" xfId="8916"/>
    <cellStyle name="Normal 26 6" xfId="8917"/>
    <cellStyle name="Normal 26 7" xfId="8918"/>
    <cellStyle name="Normal 26 8" xfId="8919"/>
    <cellStyle name="Normal 27" xfId="1812"/>
    <cellStyle name="Normal 27 2" xfId="8920"/>
    <cellStyle name="Normal 27 2 2" xfId="8921"/>
    <cellStyle name="Normal 27 2 2 2" xfId="8922"/>
    <cellStyle name="Normal 27 2 2 3" xfId="8923"/>
    <cellStyle name="Normal 27 2 3" xfId="8924"/>
    <cellStyle name="Normal 27 2 4" xfId="8925"/>
    <cellStyle name="Normal 27 3" xfId="8926"/>
    <cellStyle name="Normal 27 3 2" xfId="8927"/>
    <cellStyle name="Normal 27 3 3" xfId="8928"/>
    <cellStyle name="Normal 27 4" xfId="8929"/>
    <cellStyle name="Normal 27 5" xfId="8930"/>
    <cellStyle name="Normal 28" xfId="1813"/>
    <cellStyle name="Normal 28 2" xfId="8931"/>
    <cellStyle name="Normal 28 2 2" xfId="8932"/>
    <cellStyle name="Normal 28 2 2 2" xfId="8933"/>
    <cellStyle name="Normal 28 2 3" xfId="8934"/>
    <cellStyle name="Normal 28 2 3 2" xfId="8935"/>
    <cellStyle name="Normal 28 2 4" xfId="8936"/>
    <cellStyle name="Normal 28 3" xfId="8937"/>
    <cellStyle name="Normal 28 3 2" xfId="8938"/>
    <cellStyle name="Normal 28 4" xfId="8939"/>
    <cellStyle name="Normal 28 4 2" xfId="8940"/>
    <cellStyle name="Normal 28 4 3" xfId="8941"/>
    <cellStyle name="Normal 28 5" xfId="8942"/>
    <cellStyle name="Normal 28 5 2" xfId="8943"/>
    <cellStyle name="Normal 28 6" xfId="8944"/>
    <cellStyle name="Normal 28 7" xfId="8945"/>
    <cellStyle name="Normal 28 8" xfId="8946"/>
    <cellStyle name="Normal 29" xfId="1814"/>
    <cellStyle name="Normal 29 2" xfId="8947"/>
    <cellStyle name="Normal 29 2 2" xfId="8948"/>
    <cellStyle name="Normal 29 2 3" xfId="8949"/>
    <cellStyle name="Normal 29 2 4" xfId="8950"/>
    <cellStyle name="Normal 29 3" xfId="8951"/>
    <cellStyle name="Normal 29 3 2" xfId="8952"/>
    <cellStyle name="Normal 29 4" xfId="8953"/>
    <cellStyle name="Normal 29 5" xfId="8954"/>
    <cellStyle name="Normal 29 6" xfId="8955"/>
    <cellStyle name="Normal 3" xfId="8"/>
    <cellStyle name="Normal 3 10" xfId="1815"/>
    <cellStyle name="Normal 3 11" xfId="1816"/>
    <cellStyle name="Normal 3 12" xfId="1817"/>
    <cellStyle name="Normal 3 13" xfId="1818"/>
    <cellStyle name="Normal 3 14" xfId="1819"/>
    <cellStyle name="Normal 3 15" xfId="1820"/>
    <cellStyle name="Normal 3 16" xfId="1821"/>
    <cellStyle name="Normal 3 17" xfId="1822"/>
    <cellStyle name="Normal 3 17 2" xfId="8956"/>
    <cellStyle name="Normal 3 17 2 2" xfId="8957"/>
    <cellStyle name="Normal 3 17 3" xfId="8958"/>
    <cellStyle name="Normal 3 18" xfId="1823"/>
    <cellStyle name="Normal 3 18 2" xfId="8959"/>
    <cellStyle name="Normal 3 18 2 2" xfId="8960"/>
    <cellStyle name="Normal 3 18 2 3" xfId="8961"/>
    <cellStyle name="Normal 3 18 3" xfId="8962"/>
    <cellStyle name="Normal 3 18 3 2" xfId="8963"/>
    <cellStyle name="Normal 3 18 4" xfId="8964"/>
    <cellStyle name="Normal 3 18 5" xfId="8965"/>
    <cellStyle name="Normal 3 18 6" xfId="8966"/>
    <cellStyle name="Normal 3 19" xfId="8967"/>
    <cellStyle name="Normal 3 19 2" xfId="8968"/>
    <cellStyle name="Normal 3 19 3" xfId="8969"/>
    <cellStyle name="Normal 3 2" xfId="1824"/>
    <cellStyle name="Normal 3 2 2" xfId="8970"/>
    <cellStyle name="Normal 3 2 2 2" xfId="8971"/>
    <cellStyle name="Normal 3 2 2 3" xfId="8972"/>
    <cellStyle name="Normal 3 2 3" xfId="8973"/>
    <cellStyle name="Normal 3 2 3 2" xfId="8974"/>
    <cellStyle name="Normal 3 2 4" xfId="8975"/>
    <cellStyle name="Normal 3 2 4 2" xfId="8976"/>
    <cellStyle name="Normal 3 2 4 3" xfId="8977"/>
    <cellStyle name="Normal 3 2 4 4" xfId="8978"/>
    <cellStyle name="Normal 3 20" xfId="8979"/>
    <cellStyle name="Normal 3 20 2" xfId="8980"/>
    <cellStyle name="Normal 3 20 3" xfId="8981"/>
    <cellStyle name="Normal 3 21" xfId="8982"/>
    <cellStyle name="Normal 3 22" xfId="8983"/>
    <cellStyle name="Normal 3 23" xfId="8984"/>
    <cellStyle name="Normal 3 3" xfId="1825"/>
    <cellStyle name="Normal 3 3 2" xfId="8985"/>
    <cellStyle name="Normal 3 3 2 2" xfId="8986"/>
    <cellStyle name="Normal 3 3 2 3" xfId="8987"/>
    <cellStyle name="Normal 3 3 3" xfId="8988"/>
    <cellStyle name="Normal 3 3 3 2" xfId="8989"/>
    <cellStyle name="Normal 3 3 4" xfId="8990"/>
    <cellStyle name="Normal 3 3 5" xfId="8991"/>
    <cellStyle name="Normal 3 4" xfId="1826"/>
    <cellStyle name="Normal 3 4 2" xfId="8992"/>
    <cellStyle name="Normal 3 4 3" xfId="8993"/>
    <cellStyle name="Normal 3 4 3 2" xfId="8994"/>
    <cellStyle name="Normal 3 4 4" xfId="8995"/>
    <cellStyle name="Normal 3 4 5" xfId="8996"/>
    <cellStyle name="Normal 3 5" xfId="1827"/>
    <cellStyle name="Normal 3 5 2" xfId="8997"/>
    <cellStyle name="Normal 3 6" xfId="1828"/>
    <cellStyle name="Normal 3 7" xfId="1829"/>
    <cellStyle name="Normal 3 8" xfId="1830"/>
    <cellStyle name="Normal 3 9" xfId="1831"/>
    <cellStyle name="Normal 3_LGEElecBillingDeterminants2009-10" xfId="8998"/>
    <cellStyle name="Normal 30" xfId="1832"/>
    <cellStyle name="Normal 30 2" xfId="8999"/>
    <cellStyle name="Normal 30 2 2" xfId="9000"/>
    <cellStyle name="Normal 30 2 3" xfId="9001"/>
    <cellStyle name="Normal 30 2 4" xfId="9002"/>
    <cellStyle name="Normal 30 3" xfId="9003"/>
    <cellStyle name="Normal 30 3 2" xfId="9004"/>
    <cellStyle name="Normal 30 4" xfId="9005"/>
    <cellStyle name="Normal 30 5" xfId="9006"/>
    <cellStyle name="Normal 30 6" xfId="9007"/>
    <cellStyle name="Normal 30 7" xfId="9008"/>
    <cellStyle name="Normal 31" xfId="1833"/>
    <cellStyle name="Normal 31 2" xfId="1834"/>
    <cellStyle name="Normal 31 2 2" xfId="9009"/>
    <cellStyle name="Normal 31 2 3" xfId="9010"/>
    <cellStyle name="Normal 31 2 4" xfId="9011"/>
    <cellStyle name="Normal 31 3" xfId="1835"/>
    <cellStyle name="Normal 31 3 2" xfId="9012"/>
    <cellStyle name="Normal 31 4" xfId="1836"/>
    <cellStyle name="Normal 31 5" xfId="1837"/>
    <cellStyle name="Normal 31 6" xfId="9013"/>
    <cellStyle name="Normal 31 7" xfId="9014"/>
    <cellStyle name="Normal 32" xfId="1838"/>
    <cellStyle name="Normal 32 2" xfId="9015"/>
    <cellStyle name="Normal 32 2 2" xfId="9016"/>
    <cellStyle name="Normal 32 2 3" xfId="9017"/>
    <cellStyle name="Normal 32 2 4" xfId="9018"/>
    <cellStyle name="Normal 32 3" xfId="9019"/>
    <cellStyle name="Normal 32 3 2" xfId="9020"/>
    <cellStyle name="Normal 32 4" xfId="9021"/>
    <cellStyle name="Normal 32 5" xfId="9022"/>
    <cellStyle name="Normal 32 6" xfId="9023"/>
    <cellStyle name="Normal 32 7" xfId="9024"/>
    <cellStyle name="Normal 33" xfId="1839"/>
    <cellStyle name="Normal 33 2" xfId="9025"/>
    <cellStyle name="Normal 33 2 2" xfId="9026"/>
    <cellStyle name="Normal 33 2 3" xfId="9027"/>
    <cellStyle name="Normal 33 2 4" xfId="9028"/>
    <cellStyle name="Normal 33 3" xfId="9029"/>
    <cellStyle name="Normal 33 4" xfId="9030"/>
    <cellStyle name="Normal 33 5" xfId="9031"/>
    <cellStyle name="Normal 33 6" xfId="9032"/>
    <cellStyle name="Normal 34" xfId="1840"/>
    <cellStyle name="Normal 34 2" xfId="9033"/>
    <cellStyle name="Normal 34 2 2" xfId="9034"/>
    <cellStyle name="Normal 34 3" xfId="9035"/>
    <cellStyle name="Normal 34 4" xfId="9036"/>
    <cellStyle name="Normal 34 4 2" xfId="9037"/>
    <cellStyle name="Normal 34 4 3" xfId="9038"/>
    <cellStyle name="Normal 34 5" xfId="9039"/>
    <cellStyle name="Normal 34 6" xfId="9040"/>
    <cellStyle name="Normal 34 7" xfId="9041"/>
    <cellStyle name="Normal 35" xfId="11"/>
    <cellStyle name="Normal 35 2" xfId="9042"/>
    <cellStyle name="Normal 35 2 2" xfId="9043"/>
    <cellStyle name="Normal 35 2 3" xfId="9044"/>
    <cellStyle name="Normal 35 3" xfId="9045"/>
    <cellStyle name="Normal 35 4" xfId="9046"/>
    <cellStyle name="Normal 35 5" xfId="9047"/>
    <cellStyle name="Normal 36" xfId="2105"/>
    <cellStyle name="Normal 36 2" xfId="1841"/>
    <cellStyle name="Normal 36 2 2" xfId="9048"/>
    <cellStyle name="Normal 36 2 3" xfId="9049"/>
    <cellStyle name="Normal 36 3" xfId="1842"/>
    <cellStyle name="Normal 36 4" xfId="1843"/>
    <cellStyle name="Normal 36 5" xfId="1844"/>
    <cellStyle name="Normal 37" xfId="1845"/>
    <cellStyle name="Normal 37 2" xfId="9050"/>
    <cellStyle name="Normal 37 2 2" xfId="9051"/>
    <cellStyle name="Normal 37 3" xfId="9052"/>
    <cellStyle name="Normal 37 4" xfId="9053"/>
    <cellStyle name="Normal 37 5" xfId="9054"/>
    <cellStyle name="Normal 38" xfId="1846"/>
    <cellStyle name="Normal 38 2" xfId="9055"/>
    <cellStyle name="Normal 38 2 2" xfId="9056"/>
    <cellStyle name="Normal 38 3" xfId="9057"/>
    <cellStyle name="Normal 38 4" xfId="9058"/>
    <cellStyle name="Normal 38 5" xfId="9059"/>
    <cellStyle name="Normal 39" xfId="9060"/>
    <cellStyle name="Normal 39 2" xfId="9061"/>
    <cellStyle name="Normal 39 3" xfId="9062"/>
    <cellStyle name="Normal 4" xfId="9"/>
    <cellStyle name="Normal 4 10" xfId="9063"/>
    <cellStyle name="Normal 4 11" xfId="9064"/>
    <cellStyle name="Normal 4 2" xfId="10"/>
    <cellStyle name="Normal 4 2 10" xfId="9065"/>
    <cellStyle name="Normal 4 2 10 2" xfId="9066"/>
    <cellStyle name="Normal 4 2 10 2 2" xfId="9067"/>
    <cellStyle name="Normal 4 2 10 3" xfId="9068"/>
    <cellStyle name="Normal 4 2 10 4" xfId="9069"/>
    <cellStyle name="Normal 4 2 10 5" xfId="9070"/>
    <cellStyle name="Normal 4 2 11" xfId="9071"/>
    <cellStyle name="Normal 4 2 2" xfId="9072"/>
    <cellStyle name="Normal 4 2 2 10" xfId="9073"/>
    <cellStyle name="Normal 4 2 2 11" xfId="9074"/>
    <cellStyle name="Normal 4 2 2 2" xfId="9075"/>
    <cellStyle name="Normal 4 2 2 2 10" xfId="9076"/>
    <cellStyle name="Normal 4 2 2 2 2" xfId="9077"/>
    <cellStyle name="Normal 4 2 2 2 2 2" xfId="9078"/>
    <cellStyle name="Normal 4 2 2 2 2 2 2" xfId="9079"/>
    <cellStyle name="Normal 4 2 2 2 2 2 2 2" xfId="9080"/>
    <cellStyle name="Normal 4 2 2 2 2 2 2 2 2" xfId="9081"/>
    <cellStyle name="Normal 4 2 2 2 2 2 2 2 3" xfId="9082"/>
    <cellStyle name="Normal 4 2 2 2 2 2 2 3" xfId="9083"/>
    <cellStyle name="Normal 4 2 2 2 2 2 2 3 2" xfId="9084"/>
    <cellStyle name="Normal 4 2 2 2 2 2 2 4" xfId="9085"/>
    <cellStyle name="Normal 4 2 2 2 2 2 2 5" xfId="9086"/>
    <cellStyle name="Normal 4 2 2 2 2 2 3" xfId="9087"/>
    <cellStyle name="Normal 4 2 2 2 2 2 3 2" xfId="9088"/>
    <cellStyle name="Normal 4 2 2 2 2 2 3 3" xfId="9089"/>
    <cellStyle name="Normal 4 2 2 2 2 2 4" xfId="9090"/>
    <cellStyle name="Normal 4 2 2 2 2 2 4 2" xfId="9091"/>
    <cellStyle name="Normal 4 2 2 2 2 2 5" xfId="9092"/>
    <cellStyle name="Normal 4 2 2 2 2 2 6" xfId="9093"/>
    <cellStyle name="Normal 4 2 2 2 2 3" xfId="9094"/>
    <cellStyle name="Normal 4 2 2 2 2 3 2" xfId="9095"/>
    <cellStyle name="Normal 4 2 2 2 2 3 2 2" xfId="9096"/>
    <cellStyle name="Normal 4 2 2 2 2 3 2 2 2" xfId="9097"/>
    <cellStyle name="Normal 4 2 2 2 2 3 2 3" xfId="9098"/>
    <cellStyle name="Normal 4 2 2 2 2 3 2 4" xfId="9099"/>
    <cellStyle name="Normal 4 2 2 2 2 3 2 5" xfId="9100"/>
    <cellStyle name="Normal 4 2 2 2 2 3 3" xfId="9101"/>
    <cellStyle name="Normal 4 2 2 2 2 3 3 2" xfId="9102"/>
    <cellStyle name="Normal 4 2 2 2 2 3 4" xfId="9103"/>
    <cellStyle name="Normal 4 2 2 2 2 3 5" xfId="9104"/>
    <cellStyle name="Normal 4 2 2 2 2 3 6" xfId="9105"/>
    <cellStyle name="Normal 4 2 2 2 2 4" xfId="9106"/>
    <cellStyle name="Normal 4 2 2 2 2 4 2" xfId="9107"/>
    <cellStyle name="Normal 4 2 2 2 2 4 2 2" xfId="9108"/>
    <cellStyle name="Normal 4 2 2 2 2 4 3" xfId="9109"/>
    <cellStyle name="Normal 4 2 2 2 2 4 4" xfId="9110"/>
    <cellStyle name="Normal 4 2 2 2 2 4 5" xfId="9111"/>
    <cellStyle name="Normal 4 2 2 2 2 5" xfId="9112"/>
    <cellStyle name="Normal 4 2 2 2 2 5 2" xfId="9113"/>
    <cellStyle name="Normal 4 2 2 2 2 5 2 2" xfId="9114"/>
    <cellStyle name="Normal 4 2 2 2 2 5 3" xfId="9115"/>
    <cellStyle name="Normal 4 2 2 2 2 5 4" xfId="9116"/>
    <cellStyle name="Normal 4 2 2 2 2 5 5" xfId="9117"/>
    <cellStyle name="Normal 4 2 2 2 2 6" xfId="9118"/>
    <cellStyle name="Normal 4 2 2 2 2 6 2" xfId="9119"/>
    <cellStyle name="Normal 4 2 2 2 2 7" xfId="9120"/>
    <cellStyle name="Normal 4 2 2 2 2 8" xfId="9121"/>
    <cellStyle name="Normal 4 2 2 2 2 9" xfId="9122"/>
    <cellStyle name="Normal 4 2 2 2 3" xfId="9123"/>
    <cellStyle name="Normal 4 2 2 2 3 2" xfId="9124"/>
    <cellStyle name="Normal 4 2 2 2 3 2 2" xfId="9125"/>
    <cellStyle name="Normal 4 2 2 2 3 2 2 2" xfId="9126"/>
    <cellStyle name="Normal 4 2 2 2 3 2 2 3" xfId="9127"/>
    <cellStyle name="Normal 4 2 2 2 3 2 3" xfId="9128"/>
    <cellStyle name="Normal 4 2 2 2 3 2 3 2" xfId="9129"/>
    <cellStyle name="Normal 4 2 2 2 3 2 4" xfId="9130"/>
    <cellStyle name="Normal 4 2 2 2 3 2 5" xfId="9131"/>
    <cellStyle name="Normal 4 2 2 2 3 3" xfId="9132"/>
    <cellStyle name="Normal 4 2 2 2 3 3 2" xfId="9133"/>
    <cellStyle name="Normal 4 2 2 2 3 3 3" xfId="9134"/>
    <cellStyle name="Normal 4 2 2 2 3 4" xfId="9135"/>
    <cellStyle name="Normal 4 2 2 2 3 4 2" xfId="9136"/>
    <cellStyle name="Normal 4 2 2 2 3 5" xfId="9137"/>
    <cellStyle name="Normal 4 2 2 2 3 6" xfId="9138"/>
    <cellStyle name="Normal 4 2 2 2 4" xfId="9139"/>
    <cellStyle name="Normal 4 2 2 2 4 2" xfId="9140"/>
    <cellStyle name="Normal 4 2 2 2 4 2 2" xfId="9141"/>
    <cellStyle name="Normal 4 2 2 2 4 2 2 2" xfId="9142"/>
    <cellStyle name="Normal 4 2 2 2 4 2 3" xfId="9143"/>
    <cellStyle name="Normal 4 2 2 2 4 2 4" xfId="9144"/>
    <cellStyle name="Normal 4 2 2 2 4 2 5" xfId="9145"/>
    <cellStyle name="Normal 4 2 2 2 4 3" xfId="9146"/>
    <cellStyle name="Normal 4 2 2 2 4 3 2" xfId="9147"/>
    <cellStyle name="Normal 4 2 2 2 4 4" xfId="9148"/>
    <cellStyle name="Normal 4 2 2 2 4 5" xfId="9149"/>
    <cellStyle name="Normal 4 2 2 2 4 6" xfId="9150"/>
    <cellStyle name="Normal 4 2 2 2 5" xfId="9151"/>
    <cellStyle name="Normal 4 2 2 2 5 2" xfId="9152"/>
    <cellStyle name="Normal 4 2 2 2 5 2 2" xfId="9153"/>
    <cellStyle name="Normal 4 2 2 2 5 3" xfId="9154"/>
    <cellStyle name="Normal 4 2 2 2 5 4" xfId="9155"/>
    <cellStyle name="Normal 4 2 2 2 5 5" xfId="9156"/>
    <cellStyle name="Normal 4 2 2 2 6" xfId="9157"/>
    <cellStyle name="Normal 4 2 2 2 6 2" xfId="9158"/>
    <cellStyle name="Normal 4 2 2 2 6 2 2" xfId="9159"/>
    <cellStyle name="Normal 4 2 2 2 6 3" xfId="9160"/>
    <cellStyle name="Normal 4 2 2 2 6 4" xfId="9161"/>
    <cellStyle name="Normal 4 2 2 2 6 5" xfId="9162"/>
    <cellStyle name="Normal 4 2 2 2 7" xfId="9163"/>
    <cellStyle name="Normal 4 2 2 2 7 2" xfId="9164"/>
    <cellStyle name="Normal 4 2 2 2 8" xfId="9165"/>
    <cellStyle name="Normal 4 2 2 2 9" xfId="9166"/>
    <cellStyle name="Normal 4 2 2 3" xfId="9167"/>
    <cellStyle name="Normal 4 2 2 3 2" xfId="9168"/>
    <cellStyle name="Normal 4 2 2 3 2 2" xfId="9169"/>
    <cellStyle name="Normal 4 2 2 3 2 2 2" xfId="9170"/>
    <cellStyle name="Normal 4 2 2 3 2 2 2 2" xfId="9171"/>
    <cellStyle name="Normal 4 2 2 3 2 2 2 3" xfId="9172"/>
    <cellStyle name="Normal 4 2 2 3 2 2 3" xfId="9173"/>
    <cellStyle name="Normal 4 2 2 3 2 2 3 2" xfId="9174"/>
    <cellStyle name="Normal 4 2 2 3 2 2 4" xfId="9175"/>
    <cellStyle name="Normal 4 2 2 3 2 2 5" xfId="9176"/>
    <cellStyle name="Normal 4 2 2 3 2 3" xfId="9177"/>
    <cellStyle name="Normal 4 2 2 3 2 3 2" xfId="9178"/>
    <cellStyle name="Normal 4 2 2 3 2 3 3" xfId="9179"/>
    <cellStyle name="Normal 4 2 2 3 2 4" xfId="9180"/>
    <cellStyle name="Normal 4 2 2 3 2 4 2" xfId="9181"/>
    <cellStyle name="Normal 4 2 2 3 2 5" xfId="9182"/>
    <cellStyle name="Normal 4 2 2 3 2 6" xfId="9183"/>
    <cellStyle name="Normal 4 2 2 3 3" xfId="9184"/>
    <cellStyle name="Normal 4 2 2 3 3 2" xfId="9185"/>
    <cellStyle name="Normal 4 2 2 3 3 2 2" xfId="9186"/>
    <cellStyle name="Normal 4 2 2 3 3 2 2 2" xfId="9187"/>
    <cellStyle name="Normal 4 2 2 3 3 2 3" xfId="9188"/>
    <cellStyle name="Normal 4 2 2 3 3 2 4" xfId="9189"/>
    <cellStyle name="Normal 4 2 2 3 3 2 5" xfId="9190"/>
    <cellStyle name="Normal 4 2 2 3 3 3" xfId="9191"/>
    <cellStyle name="Normal 4 2 2 3 3 3 2" xfId="9192"/>
    <cellStyle name="Normal 4 2 2 3 3 4" xfId="9193"/>
    <cellStyle name="Normal 4 2 2 3 3 5" xfId="9194"/>
    <cellStyle name="Normal 4 2 2 3 3 6" xfId="9195"/>
    <cellStyle name="Normal 4 2 2 3 4" xfId="9196"/>
    <cellStyle name="Normal 4 2 2 3 4 2" xfId="9197"/>
    <cellStyle name="Normal 4 2 2 3 4 2 2" xfId="9198"/>
    <cellStyle name="Normal 4 2 2 3 4 3" xfId="9199"/>
    <cellStyle name="Normal 4 2 2 3 4 4" xfId="9200"/>
    <cellStyle name="Normal 4 2 2 3 4 5" xfId="9201"/>
    <cellStyle name="Normal 4 2 2 3 5" xfId="9202"/>
    <cellStyle name="Normal 4 2 2 3 5 2" xfId="9203"/>
    <cellStyle name="Normal 4 2 2 3 5 2 2" xfId="9204"/>
    <cellStyle name="Normal 4 2 2 3 5 3" xfId="9205"/>
    <cellStyle name="Normal 4 2 2 3 5 4" xfId="9206"/>
    <cellStyle name="Normal 4 2 2 3 5 5" xfId="9207"/>
    <cellStyle name="Normal 4 2 2 3 6" xfId="9208"/>
    <cellStyle name="Normal 4 2 2 3 6 2" xfId="9209"/>
    <cellStyle name="Normal 4 2 2 3 7" xfId="9210"/>
    <cellStyle name="Normal 4 2 2 3 8" xfId="9211"/>
    <cellStyle name="Normal 4 2 2 3 9" xfId="9212"/>
    <cellStyle name="Normal 4 2 2 4" xfId="9213"/>
    <cellStyle name="Normal 4 2 2 4 2" xfId="9214"/>
    <cellStyle name="Normal 4 2 2 4 2 2" xfId="9215"/>
    <cellStyle name="Normal 4 2 2 4 2 2 2" xfId="9216"/>
    <cellStyle name="Normal 4 2 2 4 2 2 3" xfId="9217"/>
    <cellStyle name="Normal 4 2 2 4 2 3" xfId="9218"/>
    <cellStyle name="Normal 4 2 2 4 2 3 2" xfId="9219"/>
    <cellStyle name="Normal 4 2 2 4 2 4" xfId="9220"/>
    <cellStyle name="Normal 4 2 2 4 2 5" xfId="9221"/>
    <cellStyle name="Normal 4 2 2 4 3" xfId="9222"/>
    <cellStyle name="Normal 4 2 2 4 3 2" xfId="9223"/>
    <cellStyle name="Normal 4 2 2 4 3 3" xfId="9224"/>
    <cellStyle name="Normal 4 2 2 4 4" xfId="9225"/>
    <cellStyle name="Normal 4 2 2 4 4 2" xfId="9226"/>
    <cellStyle name="Normal 4 2 2 4 5" xfId="9227"/>
    <cellStyle name="Normal 4 2 2 4 6" xfId="9228"/>
    <cellStyle name="Normal 4 2 2 5" xfId="9229"/>
    <cellStyle name="Normal 4 2 2 5 2" xfId="9230"/>
    <cellStyle name="Normal 4 2 2 5 2 2" xfId="9231"/>
    <cellStyle name="Normal 4 2 2 5 2 2 2" xfId="9232"/>
    <cellStyle name="Normal 4 2 2 5 2 3" xfId="9233"/>
    <cellStyle name="Normal 4 2 2 5 2 4" xfId="9234"/>
    <cellStyle name="Normal 4 2 2 5 2 5" xfId="9235"/>
    <cellStyle name="Normal 4 2 2 5 3" xfId="9236"/>
    <cellStyle name="Normal 4 2 2 5 3 2" xfId="9237"/>
    <cellStyle name="Normal 4 2 2 5 4" xfId="9238"/>
    <cellStyle name="Normal 4 2 2 5 5" xfId="9239"/>
    <cellStyle name="Normal 4 2 2 5 6" xfId="9240"/>
    <cellStyle name="Normal 4 2 2 6" xfId="9241"/>
    <cellStyle name="Normal 4 2 2 6 2" xfId="9242"/>
    <cellStyle name="Normal 4 2 2 6 2 2" xfId="9243"/>
    <cellStyle name="Normal 4 2 2 6 3" xfId="9244"/>
    <cellStyle name="Normal 4 2 2 6 4" xfId="9245"/>
    <cellStyle name="Normal 4 2 2 6 5" xfId="9246"/>
    <cellStyle name="Normal 4 2 2 7" xfId="9247"/>
    <cellStyle name="Normal 4 2 2 7 2" xfId="9248"/>
    <cellStyle name="Normal 4 2 2 7 2 2" xfId="9249"/>
    <cellStyle name="Normal 4 2 2 7 3" xfId="9250"/>
    <cellStyle name="Normal 4 2 2 7 4" xfId="9251"/>
    <cellStyle name="Normal 4 2 2 7 5" xfId="9252"/>
    <cellStyle name="Normal 4 2 2 8" xfId="9253"/>
    <cellStyle name="Normal 4 2 2 8 2" xfId="9254"/>
    <cellStyle name="Normal 4 2 2 9" xfId="9255"/>
    <cellStyle name="Normal 4 2 3" xfId="9256"/>
    <cellStyle name="Normal 4 2 3 10" xfId="9257"/>
    <cellStyle name="Normal 4 2 3 11" xfId="9258"/>
    <cellStyle name="Normal 4 2 3 2" xfId="9259"/>
    <cellStyle name="Normal 4 2 3 2 10" xfId="9260"/>
    <cellStyle name="Normal 4 2 3 2 2" xfId="9261"/>
    <cellStyle name="Normal 4 2 3 2 2 2" xfId="9262"/>
    <cellStyle name="Normal 4 2 3 2 2 2 2" xfId="9263"/>
    <cellStyle name="Normal 4 2 3 2 2 2 2 2" xfId="9264"/>
    <cellStyle name="Normal 4 2 3 2 2 2 2 2 2" xfId="9265"/>
    <cellStyle name="Normal 4 2 3 2 2 2 2 2 3" xfId="9266"/>
    <cellStyle name="Normal 4 2 3 2 2 2 2 3" xfId="9267"/>
    <cellStyle name="Normal 4 2 3 2 2 2 2 3 2" xfId="9268"/>
    <cellStyle name="Normal 4 2 3 2 2 2 2 4" xfId="9269"/>
    <cellStyle name="Normal 4 2 3 2 2 2 2 5" xfId="9270"/>
    <cellStyle name="Normal 4 2 3 2 2 2 3" xfId="9271"/>
    <cellStyle name="Normal 4 2 3 2 2 2 3 2" xfId="9272"/>
    <cellStyle name="Normal 4 2 3 2 2 2 3 3" xfId="9273"/>
    <cellStyle name="Normal 4 2 3 2 2 2 4" xfId="9274"/>
    <cellStyle name="Normal 4 2 3 2 2 2 4 2" xfId="9275"/>
    <cellStyle name="Normal 4 2 3 2 2 2 5" xfId="9276"/>
    <cellStyle name="Normal 4 2 3 2 2 2 6" xfId="9277"/>
    <cellStyle name="Normal 4 2 3 2 2 3" xfId="9278"/>
    <cellStyle name="Normal 4 2 3 2 2 3 2" xfId="9279"/>
    <cellStyle name="Normal 4 2 3 2 2 3 2 2" xfId="9280"/>
    <cellStyle name="Normal 4 2 3 2 2 3 2 2 2" xfId="9281"/>
    <cellStyle name="Normal 4 2 3 2 2 3 2 3" xfId="9282"/>
    <cellStyle name="Normal 4 2 3 2 2 3 2 4" xfId="9283"/>
    <cellStyle name="Normal 4 2 3 2 2 3 2 5" xfId="9284"/>
    <cellStyle name="Normal 4 2 3 2 2 3 3" xfId="9285"/>
    <cellStyle name="Normal 4 2 3 2 2 3 3 2" xfId="9286"/>
    <cellStyle name="Normal 4 2 3 2 2 3 4" xfId="9287"/>
    <cellStyle name="Normal 4 2 3 2 2 3 5" xfId="9288"/>
    <cellStyle name="Normal 4 2 3 2 2 3 6" xfId="9289"/>
    <cellStyle name="Normal 4 2 3 2 2 4" xfId="9290"/>
    <cellStyle name="Normal 4 2 3 2 2 4 2" xfId="9291"/>
    <cellStyle name="Normal 4 2 3 2 2 4 2 2" xfId="9292"/>
    <cellStyle name="Normal 4 2 3 2 2 4 3" xfId="9293"/>
    <cellStyle name="Normal 4 2 3 2 2 4 4" xfId="9294"/>
    <cellStyle name="Normal 4 2 3 2 2 4 5" xfId="9295"/>
    <cellStyle name="Normal 4 2 3 2 2 5" xfId="9296"/>
    <cellStyle name="Normal 4 2 3 2 2 5 2" xfId="9297"/>
    <cellStyle name="Normal 4 2 3 2 2 5 2 2" xfId="9298"/>
    <cellStyle name="Normal 4 2 3 2 2 5 3" xfId="9299"/>
    <cellStyle name="Normal 4 2 3 2 2 5 4" xfId="9300"/>
    <cellStyle name="Normal 4 2 3 2 2 5 5" xfId="9301"/>
    <cellStyle name="Normal 4 2 3 2 2 6" xfId="9302"/>
    <cellStyle name="Normal 4 2 3 2 2 6 2" xfId="9303"/>
    <cellStyle name="Normal 4 2 3 2 2 7" xfId="9304"/>
    <cellStyle name="Normal 4 2 3 2 2 8" xfId="9305"/>
    <cellStyle name="Normal 4 2 3 2 2 9" xfId="9306"/>
    <cellStyle name="Normal 4 2 3 2 3" xfId="9307"/>
    <cellStyle name="Normal 4 2 3 2 3 2" xfId="9308"/>
    <cellStyle name="Normal 4 2 3 2 3 2 2" xfId="9309"/>
    <cellStyle name="Normal 4 2 3 2 3 2 2 2" xfId="9310"/>
    <cellStyle name="Normal 4 2 3 2 3 2 2 3" xfId="9311"/>
    <cellStyle name="Normal 4 2 3 2 3 2 3" xfId="9312"/>
    <cellStyle name="Normal 4 2 3 2 3 2 3 2" xfId="9313"/>
    <cellStyle name="Normal 4 2 3 2 3 2 4" xfId="9314"/>
    <cellStyle name="Normal 4 2 3 2 3 2 5" xfId="9315"/>
    <cellStyle name="Normal 4 2 3 2 3 3" xfId="9316"/>
    <cellStyle name="Normal 4 2 3 2 3 3 2" xfId="9317"/>
    <cellStyle name="Normal 4 2 3 2 3 3 3" xfId="9318"/>
    <cellStyle name="Normal 4 2 3 2 3 4" xfId="9319"/>
    <cellStyle name="Normal 4 2 3 2 3 4 2" xfId="9320"/>
    <cellStyle name="Normal 4 2 3 2 3 5" xfId="9321"/>
    <cellStyle name="Normal 4 2 3 2 3 6" xfId="9322"/>
    <cellStyle name="Normal 4 2 3 2 4" xfId="9323"/>
    <cellStyle name="Normal 4 2 3 2 4 2" xfId="9324"/>
    <cellStyle name="Normal 4 2 3 2 4 2 2" xfId="9325"/>
    <cellStyle name="Normal 4 2 3 2 4 2 2 2" xfId="9326"/>
    <cellStyle name="Normal 4 2 3 2 4 2 3" xfId="9327"/>
    <cellStyle name="Normal 4 2 3 2 4 2 4" xfId="9328"/>
    <cellStyle name="Normal 4 2 3 2 4 2 5" xfId="9329"/>
    <cellStyle name="Normal 4 2 3 2 4 3" xfId="9330"/>
    <cellStyle name="Normal 4 2 3 2 4 3 2" xfId="9331"/>
    <cellStyle name="Normal 4 2 3 2 4 4" xfId="9332"/>
    <cellStyle name="Normal 4 2 3 2 4 5" xfId="9333"/>
    <cellStyle name="Normal 4 2 3 2 4 6" xfId="9334"/>
    <cellStyle name="Normal 4 2 3 2 5" xfId="9335"/>
    <cellStyle name="Normal 4 2 3 2 5 2" xfId="9336"/>
    <cellStyle name="Normal 4 2 3 2 5 2 2" xfId="9337"/>
    <cellStyle name="Normal 4 2 3 2 5 3" xfId="9338"/>
    <cellStyle name="Normal 4 2 3 2 5 4" xfId="9339"/>
    <cellStyle name="Normal 4 2 3 2 5 5" xfId="9340"/>
    <cellStyle name="Normal 4 2 3 2 6" xfId="9341"/>
    <cellStyle name="Normal 4 2 3 2 6 2" xfId="9342"/>
    <cellStyle name="Normal 4 2 3 2 6 2 2" xfId="9343"/>
    <cellStyle name="Normal 4 2 3 2 6 3" xfId="9344"/>
    <cellStyle name="Normal 4 2 3 2 6 4" xfId="9345"/>
    <cellStyle name="Normal 4 2 3 2 6 5" xfId="9346"/>
    <cellStyle name="Normal 4 2 3 2 7" xfId="9347"/>
    <cellStyle name="Normal 4 2 3 2 7 2" xfId="9348"/>
    <cellStyle name="Normal 4 2 3 2 8" xfId="9349"/>
    <cellStyle name="Normal 4 2 3 2 9" xfId="9350"/>
    <cellStyle name="Normal 4 2 3 3" xfId="9351"/>
    <cellStyle name="Normal 4 2 3 3 2" xfId="9352"/>
    <cellStyle name="Normal 4 2 3 3 2 2" xfId="9353"/>
    <cellStyle name="Normal 4 2 3 3 2 2 2" xfId="9354"/>
    <cellStyle name="Normal 4 2 3 3 2 2 2 2" xfId="9355"/>
    <cellStyle name="Normal 4 2 3 3 2 2 2 3" xfId="9356"/>
    <cellStyle name="Normal 4 2 3 3 2 2 3" xfId="9357"/>
    <cellStyle name="Normal 4 2 3 3 2 2 3 2" xfId="9358"/>
    <cellStyle name="Normal 4 2 3 3 2 2 4" xfId="9359"/>
    <cellStyle name="Normal 4 2 3 3 2 2 5" xfId="9360"/>
    <cellStyle name="Normal 4 2 3 3 2 3" xfId="9361"/>
    <cellStyle name="Normal 4 2 3 3 2 3 2" xfId="9362"/>
    <cellStyle name="Normal 4 2 3 3 2 3 3" xfId="9363"/>
    <cellStyle name="Normal 4 2 3 3 2 4" xfId="9364"/>
    <cellStyle name="Normal 4 2 3 3 2 4 2" xfId="9365"/>
    <cellStyle name="Normal 4 2 3 3 2 5" xfId="9366"/>
    <cellStyle name="Normal 4 2 3 3 2 6" xfId="9367"/>
    <cellStyle name="Normal 4 2 3 3 3" xfId="9368"/>
    <cellStyle name="Normal 4 2 3 3 3 2" xfId="9369"/>
    <cellStyle name="Normal 4 2 3 3 3 2 2" xfId="9370"/>
    <cellStyle name="Normal 4 2 3 3 3 2 2 2" xfId="9371"/>
    <cellStyle name="Normal 4 2 3 3 3 2 3" xfId="9372"/>
    <cellStyle name="Normal 4 2 3 3 3 2 4" xfId="9373"/>
    <cellStyle name="Normal 4 2 3 3 3 2 5" xfId="9374"/>
    <cellStyle name="Normal 4 2 3 3 3 3" xfId="9375"/>
    <cellStyle name="Normal 4 2 3 3 3 3 2" xfId="9376"/>
    <cellStyle name="Normal 4 2 3 3 3 4" xfId="9377"/>
    <cellStyle name="Normal 4 2 3 3 3 5" xfId="9378"/>
    <cellStyle name="Normal 4 2 3 3 3 6" xfId="9379"/>
    <cellStyle name="Normal 4 2 3 3 4" xfId="9380"/>
    <cellStyle name="Normal 4 2 3 3 4 2" xfId="9381"/>
    <cellStyle name="Normal 4 2 3 3 4 2 2" xfId="9382"/>
    <cellStyle name="Normal 4 2 3 3 4 3" xfId="9383"/>
    <cellStyle name="Normal 4 2 3 3 4 4" xfId="9384"/>
    <cellStyle name="Normal 4 2 3 3 4 5" xfId="9385"/>
    <cellStyle name="Normal 4 2 3 3 5" xfId="9386"/>
    <cellStyle name="Normal 4 2 3 3 5 2" xfId="9387"/>
    <cellStyle name="Normal 4 2 3 3 5 2 2" xfId="9388"/>
    <cellStyle name="Normal 4 2 3 3 5 3" xfId="9389"/>
    <cellStyle name="Normal 4 2 3 3 5 4" xfId="9390"/>
    <cellStyle name="Normal 4 2 3 3 5 5" xfId="9391"/>
    <cellStyle name="Normal 4 2 3 3 6" xfId="9392"/>
    <cellStyle name="Normal 4 2 3 3 6 2" xfId="9393"/>
    <cellStyle name="Normal 4 2 3 3 7" xfId="9394"/>
    <cellStyle name="Normal 4 2 3 3 8" xfId="9395"/>
    <cellStyle name="Normal 4 2 3 3 9" xfId="9396"/>
    <cellStyle name="Normal 4 2 3 4" xfId="9397"/>
    <cellStyle name="Normal 4 2 3 4 2" xfId="9398"/>
    <cellStyle name="Normal 4 2 3 4 2 2" xfId="9399"/>
    <cellStyle name="Normal 4 2 3 4 2 2 2" xfId="9400"/>
    <cellStyle name="Normal 4 2 3 4 2 2 3" xfId="9401"/>
    <cellStyle name="Normal 4 2 3 4 2 3" xfId="9402"/>
    <cellStyle name="Normal 4 2 3 4 2 3 2" xfId="9403"/>
    <cellStyle name="Normal 4 2 3 4 2 4" xfId="9404"/>
    <cellStyle name="Normal 4 2 3 4 2 5" xfId="9405"/>
    <cellStyle name="Normal 4 2 3 4 3" xfId="9406"/>
    <cellStyle name="Normal 4 2 3 4 3 2" xfId="9407"/>
    <cellStyle name="Normal 4 2 3 4 3 3" xfId="9408"/>
    <cellStyle name="Normal 4 2 3 4 4" xfId="9409"/>
    <cellStyle name="Normal 4 2 3 4 4 2" xfId="9410"/>
    <cellStyle name="Normal 4 2 3 4 5" xfId="9411"/>
    <cellStyle name="Normal 4 2 3 4 6" xfId="9412"/>
    <cellStyle name="Normal 4 2 3 5" xfId="9413"/>
    <cellStyle name="Normal 4 2 3 5 2" xfId="9414"/>
    <cellStyle name="Normal 4 2 3 5 2 2" xfId="9415"/>
    <cellStyle name="Normal 4 2 3 5 2 2 2" xfId="9416"/>
    <cellStyle name="Normal 4 2 3 5 2 3" xfId="9417"/>
    <cellStyle name="Normal 4 2 3 5 2 4" xfId="9418"/>
    <cellStyle name="Normal 4 2 3 5 2 5" xfId="9419"/>
    <cellStyle name="Normal 4 2 3 5 3" xfId="9420"/>
    <cellStyle name="Normal 4 2 3 5 3 2" xfId="9421"/>
    <cellStyle name="Normal 4 2 3 5 4" xfId="9422"/>
    <cellStyle name="Normal 4 2 3 5 5" xfId="9423"/>
    <cellStyle name="Normal 4 2 3 5 6" xfId="9424"/>
    <cellStyle name="Normal 4 2 3 6" xfId="9425"/>
    <cellStyle name="Normal 4 2 3 6 2" xfId="9426"/>
    <cellStyle name="Normal 4 2 3 6 2 2" xfId="9427"/>
    <cellStyle name="Normal 4 2 3 6 3" xfId="9428"/>
    <cellStyle name="Normal 4 2 3 6 4" xfId="9429"/>
    <cellStyle name="Normal 4 2 3 6 5" xfId="9430"/>
    <cellStyle name="Normal 4 2 3 7" xfId="9431"/>
    <cellStyle name="Normal 4 2 3 7 2" xfId="9432"/>
    <cellStyle name="Normal 4 2 3 7 2 2" xfId="9433"/>
    <cellStyle name="Normal 4 2 3 7 3" xfId="9434"/>
    <cellStyle name="Normal 4 2 3 7 4" xfId="9435"/>
    <cellStyle name="Normal 4 2 3 7 5" xfId="9436"/>
    <cellStyle name="Normal 4 2 3 8" xfId="9437"/>
    <cellStyle name="Normal 4 2 3 8 2" xfId="9438"/>
    <cellStyle name="Normal 4 2 3 9" xfId="9439"/>
    <cellStyle name="Normal 4 2 4" xfId="9440"/>
    <cellStyle name="Normal 4 2 4 10" xfId="9441"/>
    <cellStyle name="Normal 4 2 4 2" xfId="9442"/>
    <cellStyle name="Normal 4 2 4 2 2" xfId="9443"/>
    <cellStyle name="Normal 4 2 4 2 2 2" xfId="9444"/>
    <cellStyle name="Normal 4 2 4 2 2 2 2" xfId="9445"/>
    <cellStyle name="Normal 4 2 4 2 2 2 2 2" xfId="9446"/>
    <cellStyle name="Normal 4 2 4 2 2 2 2 3" xfId="9447"/>
    <cellStyle name="Normal 4 2 4 2 2 2 3" xfId="9448"/>
    <cellStyle name="Normal 4 2 4 2 2 2 3 2" xfId="9449"/>
    <cellStyle name="Normal 4 2 4 2 2 2 4" xfId="9450"/>
    <cellStyle name="Normal 4 2 4 2 2 2 5" xfId="9451"/>
    <cellStyle name="Normal 4 2 4 2 2 3" xfId="9452"/>
    <cellStyle name="Normal 4 2 4 2 2 3 2" xfId="9453"/>
    <cellStyle name="Normal 4 2 4 2 2 3 3" xfId="9454"/>
    <cellStyle name="Normal 4 2 4 2 2 4" xfId="9455"/>
    <cellStyle name="Normal 4 2 4 2 2 4 2" xfId="9456"/>
    <cellStyle name="Normal 4 2 4 2 2 5" xfId="9457"/>
    <cellStyle name="Normal 4 2 4 2 2 6" xfId="9458"/>
    <cellStyle name="Normal 4 2 4 2 3" xfId="9459"/>
    <cellStyle name="Normal 4 2 4 2 3 2" xfId="9460"/>
    <cellStyle name="Normal 4 2 4 2 3 2 2" xfId="9461"/>
    <cellStyle name="Normal 4 2 4 2 3 2 2 2" xfId="9462"/>
    <cellStyle name="Normal 4 2 4 2 3 2 3" xfId="9463"/>
    <cellStyle name="Normal 4 2 4 2 3 2 4" xfId="9464"/>
    <cellStyle name="Normal 4 2 4 2 3 2 5" xfId="9465"/>
    <cellStyle name="Normal 4 2 4 2 3 3" xfId="9466"/>
    <cellStyle name="Normal 4 2 4 2 3 3 2" xfId="9467"/>
    <cellStyle name="Normal 4 2 4 2 3 4" xfId="9468"/>
    <cellStyle name="Normal 4 2 4 2 3 5" xfId="9469"/>
    <cellStyle name="Normal 4 2 4 2 3 6" xfId="9470"/>
    <cellStyle name="Normal 4 2 4 2 4" xfId="9471"/>
    <cellStyle name="Normal 4 2 4 2 4 2" xfId="9472"/>
    <cellStyle name="Normal 4 2 4 2 4 2 2" xfId="9473"/>
    <cellStyle name="Normal 4 2 4 2 4 3" xfId="9474"/>
    <cellStyle name="Normal 4 2 4 2 4 4" xfId="9475"/>
    <cellStyle name="Normal 4 2 4 2 4 5" xfId="9476"/>
    <cellStyle name="Normal 4 2 4 2 5" xfId="9477"/>
    <cellStyle name="Normal 4 2 4 2 5 2" xfId="9478"/>
    <cellStyle name="Normal 4 2 4 2 5 2 2" xfId="9479"/>
    <cellStyle name="Normal 4 2 4 2 5 3" xfId="9480"/>
    <cellStyle name="Normal 4 2 4 2 5 4" xfId="9481"/>
    <cellStyle name="Normal 4 2 4 2 5 5" xfId="9482"/>
    <cellStyle name="Normal 4 2 4 2 6" xfId="9483"/>
    <cellStyle name="Normal 4 2 4 2 6 2" xfId="9484"/>
    <cellStyle name="Normal 4 2 4 2 7" xfId="9485"/>
    <cellStyle name="Normal 4 2 4 2 8" xfId="9486"/>
    <cellStyle name="Normal 4 2 4 2 9" xfId="9487"/>
    <cellStyle name="Normal 4 2 4 3" xfId="9488"/>
    <cellStyle name="Normal 4 2 4 3 2" xfId="9489"/>
    <cellStyle name="Normal 4 2 4 3 2 2" xfId="9490"/>
    <cellStyle name="Normal 4 2 4 3 2 2 2" xfId="9491"/>
    <cellStyle name="Normal 4 2 4 3 2 2 3" xfId="9492"/>
    <cellStyle name="Normal 4 2 4 3 2 3" xfId="9493"/>
    <cellStyle name="Normal 4 2 4 3 2 3 2" xfId="9494"/>
    <cellStyle name="Normal 4 2 4 3 2 4" xfId="9495"/>
    <cellStyle name="Normal 4 2 4 3 2 5" xfId="9496"/>
    <cellStyle name="Normal 4 2 4 3 3" xfId="9497"/>
    <cellStyle name="Normal 4 2 4 3 3 2" xfId="9498"/>
    <cellStyle name="Normal 4 2 4 3 3 3" xfId="9499"/>
    <cellStyle name="Normal 4 2 4 3 4" xfId="9500"/>
    <cellStyle name="Normal 4 2 4 3 4 2" xfId="9501"/>
    <cellStyle name="Normal 4 2 4 3 5" xfId="9502"/>
    <cellStyle name="Normal 4 2 4 3 6" xfId="9503"/>
    <cellStyle name="Normal 4 2 4 4" xfId="9504"/>
    <cellStyle name="Normal 4 2 4 4 2" xfId="9505"/>
    <cellStyle name="Normal 4 2 4 4 2 2" xfId="9506"/>
    <cellStyle name="Normal 4 2 4 4 2 2 2" xfId="9507"/>
    <cellStyle name="Normal 4 2 4 4 2 3" xfId="9508"/>
    <cellStyle name="Normal 4 2 4 4 2 4" xfId="9509"/>
    <cellStyle name="Normal 4 2 4 4 2 5" xfId="9510"/>
    <cellStyle name="Normal 4 2 4 4 3" xfId="9511"/>
    <cellStyle name="Normal 4 2 4 4 3 2" xfId="9512"/>
    <cellStyle name="Normal 4 2 4 4 4" xfId="9513"/>
    <cellStyle name="Normal 4 2 4 4 5" xfId="9514"/>
    <cellStyle name="Normal 4 2 4 4 6" xfId="9515"/>
    <cellStyle name="Normal 4 2 4 5" xfId="9516"/>
    <cellStyle name="Normal 4 2 4 5 2" xfId="9517"/>
    <cellStyle name="Normal 4 2 4 5 2 2" xfId="9518"/>
    <cellStyle name="Normal 4 2 4 5 3" xfId="9519"/>
    <cellStyle name="Normal 4 2 4 5 4" xfId="9520"/>
    <cellStyle name="Normal 4 2 4 5 5" xfId="9521"/>
    <cellStyle name="Normal 4 2 4 6" xfId="9522"/>
    <cellStyle name="Normal 4 2 4 6 2" xfId="9523"/>
    <cellStyle name="Normal 4 2 4 6 2 2" xfId="9524"/>
    <cellStyle name="Normal 4 2 4 6 3" xfId="9525"/>
    <cellStyle name="Normal 4 2 4 6 4" xfId="9526"/>
    <cellStyle name="Normal 4 2 4 6 5" xfId="9527"/>
    <cellStyle name="Normal 4 2 4 7" xfId="9528"/>
    <cellStyle name="Normal 4 2 4 7 2" xfId="9529"/>
    <cellStyle name="Normal 4 2 4 8" xfId="9530"/>
    <cellStyle name="Normal 4 2 4 9" xfId="9531"/>
    <cellStyle name="Normal 4 2 5" xfId="9532"/>
    <cellStyle name="Normal 4 2 5 2" xfId="9533"/>
    <cellStyle name="Normal 4 2 5 2 2" xfId="9534"/>
    <cellStyle name="Normal 4 2 5 2 2 2" xfId="9535"/>
    <cellStyle name="Normal 4 2 5 2 2 2 2" xfId="9536"/>
    <cellStyle name="Normal 4 2 5 2 2 2 3" xfId="9537"/>
    <cellStyle name="Normal 4 2 5 2 2 3" xfId="9538"/>
    <cellStyle name="Normal 4 2 5 2 2 3 2" xfId="9539"/>
    <cellStyle name="Normal 4 2 5 2 2 4" xfId="9540"/>
    <cellStyle name="Normal 4 2 5 2 2 5" xfId="9541"/>
    <cellStyle name="Normal 4 2 5 2 3" xfId="9542"/>
    <cellStyle name="Normal 4 2 5 2 3 2" xfId="9543"/>
    <cellStyle name="Normal 4 2 5 2 3 3" xfId="9544"/>
    <cellStyle name="Normal 4 2 5 2 4" xfId="9545"/>
    <cellStyle name="Normal 4 2 5 2 4 2" xfId="9546"/>
    <cellStyle name="Normal 4 2 5 2 5" xfId="9547"/>
    <cellStyle name="Normal 4 2 5 2 6" xfId="9548"/>
    <cellStyle name="Normal 4 2 5 3" xfId="9549"/>
    <cellStyle name="Normal 4 2 5 3 2" xfId="9550"/>
    <cellStyle name="Normal 4 2 5 3 2 2" xfId="9551"/>
    <cellStyle name="Normal 4 2 5 3 2 2 2" xfId="9552"/>
    <cellStyle name="Normal 4 2 5 3 2 3" xfId="9553"/>
    <cellStyle name="Normal 4 2 5 3 2 4" xfId="9554"/>
    <cellStyle name="Normal 4 2 5 3 2 5" xfId="9555"/>
    <cellStyle name="Normal 4 2 5 3 3" xfId="9556"/>
    <cellStyle name="Normal 4 2 5 3 3 2" xfId="9557"/>
    <cellStyle name="Normal 4 2 5 3 4" xfId="9558"/>
    <cellStyle name="Normal 4 2 5 3 5" xfId="9559"/>
    <cellStyle name="Normal 4 2 5 3 6" xfId="9560"/>
    <cellStyle name="Normal 4 2 5 4" xfId="9561"/>
    <cellStyle name="Normal 4 2 5 4 2" xfId="9562"/>
    <cellStyle name="Normal 4 2 5 4 2 2" xfId="9563"/>
    <cellStyle name="Normal 4 2 5 4 3" xfId="9564"/>
    <cellStyle name="Normal 4 2 5 4 4" xfId="9565"/>
    <cellStyle name="Normal 4 2 5 4 5" xfId="9566"/>
    <cellStyle name="Normal 4 2 5 5" xfId="9567"/>
    <cellStyle name="Normal 4 2 5 5 2" xfId="9568"/>
    <cellStyle name="Normal 4 2 5 5 2 2" xfId="9569"/>
    <cellStyle name="Normal 4 2 5 5 3" xfId="9570"/>
    <cellStyle name="Normal 4 2 5 5 4" xfId="9571"/>
    <cellStyle name="Normal 4 2 5 5 5" xfId="9572"/>
    <cellStyle name="Normal 4 2 5 6" xfId="9573"/>
    <cellStyle name="Normal 4 2 5 6 2" xfId="9574"/>
    <cellStyle name="Normal 4 2 5 7" xfId="9575"/>
    <cellStyle name="Normal 4 2 5 8" xfId="9576"/>
    <cellStyle name="Normal 4 2 5 9" xfId="9577"/>
    <cellStyle name="Normal 4 2 6" xfId="9578"/>
    <cellStyle name="Normal 4 2 6 2" xfId="9579"/>
    <cellStyle name="Normal 4 2 6 2 2" xfId="9580"/>
    <cellStyle name="Normal 4 2 6 2 2 2" xfId="9581"/>
    <cellStyle name="Normal 4 2 6 2 2 3" xfId="9582"/>
    <cellStyle name="Normal 4 2 6 2 3" xfId="9583"/>
    <cellStyle name="Normal 4 2 6 2 3 2" xfId="9584"/>
    <cellStyle name="Normal 4 2 6 2 4" xfId="9585"/>
    <cellStyle name="Normal 4 2 6 2 5" xfId="9586"/>
    <cellStyle name="Normal 4 2 6 3" xfId="9587"/>
    <cellStyle name="Normal 4 2 6 3 2" xfId="9588"/>
    <cellStyle name="Normal 4 2 6 3 3" xfId="9589"/>
    <cellStyle name="Normal 4 2 6 4" xfId="9590"/>
    <cellStyle name="Normal 4 2 6 4 2" xfId="9591"/>
    <cellStyle name="Normal 4 2 6 5" xfId="9592"/>
    <cellStyle name="Normal 4 2 6 6" xfId="9593"/>
    <cellStyle name="Normal 4 2 7" xfId="9594"/>
    <cellStyle name="Normal 4 2 7 2" xfId="9595"/>
    <cellStyle name="Normal 4 2 7 2 2" xfId="9596"/>
    <cellStyle name="Normal 4 2 7 2 2 2" xfId="9597"/>
    <cellStyle name="Normal 4 2 7 2 3" xfId="9598"/>
    <cellStyle name="Normal 4 2 7 2 4" xfId="9599"/>
    <cellStyle name="Normal 4 2 7 2 5" xfId="9600"/>
    <cellStyle name="Normal 4 2 7 3" xfId="9601"/>
    <cellStyle name="Normal 4 2 7 3 2" xfId="9602"/>
    <cellStyle name="Normal 4 2 7 4" xfId="9603"/>
    <cellStyle name="Normal 4 2 7 5" xfId="9604"/>
    <cellStyle name="Normal 4 2 7 6" xfId="9605"/>
    <cellStyle name="Normal 4 2 8" xfId="9606"/>
    <cellStyle name="Normal 4 2 8 2" xfId="9607"/>
    <cellStyle name="Normal 4 2 8 2 2" xfId="9608"/>
    <cellStyle name="Normal 4 2 8 3" xfId="9609"/>
    <cellStyle name="Normal 4 2 8 4" xfId="9610"/>
    <cellStyle name="Normal 4 2 8 5" xfId="9611"/>
    <cellStyle name="Normal 4 2 9" xfId="9612"/>
    <cellStyle name="Normal 4 2 9 2" xfId="9613"/>
    <cellStyle name="Normal 4 2 9 2 2" xfId="9614"/>
    <cellStyle name="Normal 4 2 9 3" xfId="9615"/>
    <cellStyle name="Normal 4 2 9 4" xfId="9616"/>
    <cellStyle name="Normal 4 2 9 5" xfId="9617"/>
    <cellStyle name="Normal 4 3" xfId="2103"/>
    <cellStyle name="Normal 4 3 2" xfId="9618"/>
    <cellStyle name="Normal 4 3 2 2" xfId="9619"/>
    <cellStyle name="Normal 4 3 2 2 2" xfId="9620"/>
    <cellStyle name="Normal 4 3 2 2 2 2" xfId="9621"/>
    <cellStyle name="Normal 4 3 2 2 3" xfId="9622"/>
    <cellStyle name="Normal 4 3 2 3" xfId="9623"/>
    <cellStyle name="Normal 4 3 2 3 2" xfId="9624"/>
    <cellStyle name="Normal 4 3 2 4" xfId="9625"/>
    <cellStyle name="Normal 4 3 2 5" xfId="9626"/>
    <cellStyle name="Normal 4 3 3" xfId="9627"/>
    <cellStyle name="Normal 4 3 3 2" xfId="9628"/>
    <cellStyle name="Normal 4 3 3 2 2" xfId="9629"/>
    <cellStyle name="Normal 4 3 3 3" xfId="9630"/>
    <cellStyle name="Normal 4 3 4" xfId="9631"/>
    <cellStyle name="Normal 4 3 4 2" xfId="9632"/>
    <cellStyle name="Normal 4 3 5" xfId="9633"/>
    <cellStyle name="Normal 4 3 6" xfId="9634"/>
    <cellStyle name="Normal 4 4" xfId="9635"/>
    <cellStyle name="Normal 4 4 2" xfId="9636"/>
    <cellStyle name="Normal 4 4 2 2" xfId="9637"/>
    <cellStyle name="Normal 4 4 2 2 2" xfId="9638"/>
    <cellStyle name="Normal 4 4 2 2 3" xfId="9639"/>
    <cellStyle name="Normal 4 4 2 3" xfId="9640"/>
    <cellStyle name="Normal 4 4 2 4" xfId="9641"/>
    <cellStyle name="Normal 4 4 3" xfId="9642"/>
    <cellStyle name="Normal 4 4 3 2" xfId="9643"/>
    <cellStyle name="Normal 4 4 3 3" xfId="9644"/>
    <cellStyle name="Normal 4 4 4" xfId="9645"/>
    <cellStyle name="Normal 4 4 5" xfId="9646"/>
    <cellStyle name="Normal 4 4 6" xfId="9647"/>
    <cellStyle name="Normal 4 4 7" xfId="9648"/>
    <cellStyle name="Normal 4 5" xfId="9649"/>
    <cellStyle name="Normal 4 5 2" xfId="9650"/>
    <cellStyle name="Normal 4 5 2 2" xfId="9651"/>
    <cellStyle name="Normal 4 5 2 3" xfId="9652"/>
    <cellStyle name="Normal 4 5 3" xfId="9653"/>
    <cellStyle name="Normal 4 5 4" xfId="9654"/>
    <cellStyle name="Normal 4 6" xfId="9655"/>
    <cellStyle name="Normal 4 6 2" xfId="9656"/>
    <cellStyle name="Normal 4 6 3" xfId="9657"/>
    <cellStyle name="Normal 4 7" xfId="9658"/>
    <cellStyle name="Normal 4 7 2" xfId="9659"/>
    <cellStyle name="Normal 4 8" xfId="9660"/>
    <cellStyle name="Normal 4 9" xfId="9661"/>
    <cellStyle name="Normal 4_Regenerated Revenues LGE Gas 10312009" xfId="9662"/>
    <cellStyle name="Normal 40" xfId="1847"/>
    <cellStyle name="Normal 40 2" xfId="9663"/>
    <cellStyle name="Normal 41" xfId="9664"/>
    <cellStyle name="Normal 41 2" xfId="9665"/>
    <cellStyle name="Normal 42" xfId="1848"/>
    <cellStyle name="Normal 42 2" xfId="9666"/>
    <cellStyle name="Normal 42 3" xfId="9667"/>
    <cellStyle name="Normal 42 4" xfId="9668"/>
    <cellStyle name="Normal 43" xfId="1849"/>
    <cellStyle name="Normal 43 2" xfId="9669"/>
    <cellStyle name="Normal 43 3" xfId="9670"/>
    <cellStyle name="Normal 44" xfId="9671"/>
    <cellStyle name="Normal 44 2" xfId="9672"/>
    <cellStyle name="Normal 44 3" xfId="9673"/>
    <cellStyle name="Normal 45" xfId="1850"/>
    <cellStyle name="Normal 45 2" xfId="9674"/>
    <cellStyle name="Normal 45 3" xfId="9675"/>
    <cellStyle name="Normal 46" xfId="1851"/>
    <cellStyle name="Normal 46 2" xfId="9676"/>
    <cellStyle name="Normal 46 3" xfId="9677"/>
    <cellStyle name="Normal 47" xfId="2113"/>
    <cellStyle name="Normal 47 2" xfId="9678"/>
    <cellStyle name="Normal 47 3" xfId="9679"/>
    <cellStyle name="Normal 48" xfId="1852"/>
    <cellStyle name="Normal 48 2" xfId="9680"/>
    <cellStyle name="Normal 48 3" xfId="9681"/>
    <cellStyle name="Normal 49" xfId="1853"/>
    <cellStyle name="Normal 49 2" xfId="9682"/>
    <cellStyle name="Normal 49 3" xfId="9683"/>
    <cellStyle name="Normal 5" xfId="1854"/>
    <cellStyle name="Normal 5 10" xfId="9684"/>
    <cellStyle name="Normal 5 10 2" xfId="9685"/>
    <cellStyle name="Normal 5 10 2 2" xfId="9686"/>
    <cellStyle name="Normal 5 10 2 2 2" xfId="9687"/>
    <cellStyle name="Normal 5 10 2 3" xfId="9688"/>
    <cellStyle name="Normal 5 10 3" xfId="9689"/>
    <cellStyle name="Normal 5 10 3 2" xfId="9690"/>
    <cellStyle name="Normal 5 10 4" xfId="9691"/>
    <cellStyle name="Normal 5 11" xfId="9692"/>
    <cellStyle name="Normal 5 11 2" xfId="9693"/>
    <cellStyle name="Normal 5 11 2 2" xfId="9694"/>
    <cellStyle name="Normal 5 11 3" xfId="9695"/>
    <cellStyle name="Normal 5 12" xfId="9696"/>
    <cellStyle name="Normal 5 12 2" xfId="9697"/>
    <cellStyle name="Normal 5 2" xfId="9698"/>
    <cellStyle name="Normal 5 2 10" xfId="9699"/>
    <cellStyle name="Normal 5 2 11" xfId="9700"/>
    <cellStyle name="Normal 5 2 2" xfId="9701"/>
    <cellStyle name="Normal 5 2 2 2" xfId="9702"/>
    <cellStyle name="Normal 5 2 2 2 2" xfId="9703"/>
    <cellStyle name="Normal 5 2 2 2 2 2" xfId="9704"/>
    <cellStyle name="Normal 5 2 2 2 2 2 2" xfId="9705"/>
    <cellStyle name="Normal 5 2 2 2 2 2 2 2" xfId="9706"/>
    <cellStyle name="Normal 5 2 2 2 2 2 2 2 2" xfId="9707"/>
    <cellStyle name="Normal 5 2 2 2 2 2 2 3" xfId="9708"/>
    <cellStyle name="Normal 5 2 2 2 2 2 3" xfId="9709"/>
    <cellStyle name="Normal 5 2 2 2 2 2 3 2" xfId="9710"/>
    <cellStyle name="Normal 5 2 2 2 2 2 4" xfId="9711"/>
    <cellStyle name="Normal 5 2 2 2 2 3" xfId="9712"/>
    <cellStyle name="Normal 5 2 2 2 2 3 2" xfId="9713"/>
    <cellStyle name="Normal 5 2 2 2 2 3 2 2" xfId="9714"/>
    <cellStyle name="Normal 5 2 2 2 2 3 3" xfId="9715"/>
    <cellStyle name="Normal 5 2 2 2 2 4" xfId="9716"/>
    <cellStyle name="Normal 5 2 2 2 2 4 2" xfId="9717"/>
    <cellStyle name="Normal 5 2 2 2 2 5" xfId="9718"/>
    <cellStyle name="Normal 5 2 2 2 2 6" xfId="9719"/>
    <cellStyle name="Normal 5 2 2 2 3" xfId="9720"/>
    <cellStyle name="Normal 5 2 2 2 3 2" xfId="9721"/>
    <cellStyle name="Normal 5 2 2 2 3 2 2" xfId="9722"/>
    <cellStyle name="Normal 5 2 2 2 3 2 2 2" xfId="9723"/>
    <cellStyle name="Normal 5 2 2 2 3 2 3" xfId="9724"/>
    <cellStyle name="Normal 5 2 2 2 3 3" xfId="9725"/>
    <cellStyle name="Normal 5 2 2 2 3 3 2" xfId="9726"/>
    <cellStyle name="Normal 5 2 2 2 3 4" xfId="9727"/>
    <cellStyle name="Normal 5 2 2 2 4" xfId="9728"/>
    <cellStyle name="Normal 5 2 2 2 4 2" xfId="9729"/>
    <cellStyle name="Normal 5 2 2 2 4 2 2" xfId="9730"/>
    <cellStyle name="Normal 5 2 2 2 4 3" xfId="9731"/>
    <cellStyle name="Normal 5 2 2 2 5" xfId="9732"/>
    <cellStyle name="Normal 5 2 2 2 5 2" xfId="9733"/>
    <cellStyle name="Normal 5 2 2 2 6" xfId="9734"/>
    <cellStyle name="Normal 5 2 2 2 7" xfId="9735"/>
    <cellStyle name="Normal 5 2 2 3" xfId="9736"/>
    <cellStyle name="Normal 5 2 2 3 2" xfId="9737"/>
    <cellStyle name="Normal 5 2 2 3 2 2" xfId="9738"/>
    <cellStyle name="Normal 5 2 2 3 2 2 2" xfId="9739"/>
    <cellStyle name="Normal 5 2 2 3 2 2 2 2" xfId="9740"/>
    <cellStyle name="Normal 5 2 2 3 2 2 3" xfId="9741"/>
    <cellStyle name="Normal 5 2 2 3 2 3" xfId="9742"/>
    <cellStyle name="Normal 5 2 2 3 2 3 2" xfId="9743"/>
    <cellStyle name="Normal 5 2 2 3 2 4" xfId="9744"/>
    <cellStyle name="Normal 5 2 2 3 3" xfId="9745"/>
    <cellStyle name="Normal 5 2 2 3 3 2" xfId="9746"/>
    <cellStyle name="Normal 5 2 2 3 3 2 2" xfId="9747"/>
    <cellStyle name="Normal 5 2 2 3 3 3" xfId="9748"/>
    <cellStyle name="Normal 5 2 2 3 4" xfId="9749"/>
    <cellStyle name="Normal 5 2 2 3 4 2" xfId="9750"/>
    <cellStyle name="Normal 5 2 2 3 5" xfId="9751"/>
    <cellStyle name="Normal 5 2 2 3 6" xfId="9752"/>
    <cellStyle name="Normal 5 2 2 4" xfId="9753"/>
    <cellStyle name="Normal 5 2 2 4 2" xfId="9754"/>
    <cellStyle name="Normal 5 2 2 4 2 2" xfId="9755"/>
    <cellStyle name="Normal 5 2 2 4 2 2 2" xfId="9756"/>
    <cellStyle name="Normal 5 2 2 4 2 2 2 2" xfId="9757"/>
    <cellStyle name="Normal 5 2 2 4 2 2 3" xfId="9758"/>
    <cellStyle name="Normal 5 2 2 4 2 3" xfId="9759"/>
    <cellStyle name="Normal 5 2 2 4 2 3 2" xfId="9760"/>
    <cellStyle name="Normal 5 2 2 4 2 4" xfId="9761"/>
    <cellStyle name="Normal 5 2 2 4 3" xfId="9762"/>
    <cellStyle name="Normal 5 2 2 4 3 2" xfId="9763"/>
    <cellStyle name="Normal 5 2 2 4 3 2 2" xfId="9764"/>
    <cellStyle name="Normal 5 2 2 4 3 3" xfId="9765"/>
    <cellStyle name="Normal 5 2 2 4 4" xfId="9766"/>
    <cellStyle name="Normal 5 2 2 4 4 2" xfId="9767"/>
    <cellStyle name="Normal 5 2 2 4 5" xfId="9768"/>
    <cellStyle name="Normal 5 2 2 5" xfId="9769"/>
    <cellStyle name="Normal 5 2 2 5 2" xfId="9770"/>
    <cellStyle name="Normal 5 2 2 5 2 2" xfId="9771"/>
    <cellStyle name="Normal 5 2 2 5 2 2 2" xfId="9772"/>
    <cellStyle name="Normal 5 2 2 5 2 3" xfId="9773"/>
    <cellStyle name="Normal 5 2 2 5 3" xfId="9774"/>
    <cellStyle name="Normal 5 2 2 5 3 2" xfId="9775"/>
    <cellStyle name="Normal 5 2 2 5 4" xfId="9776"/>
    <cellStyle name="Normal 5 2 2 6" xfId="9777"/>
    <cellStyle name="Normal 5 2 2 6 2" xfId="9778"/>
    <cellStyle name="Normal 5 2 2 6 2 2" xfId="9779"/>
    <cellStyle name="Normal 5 2 2 6 3" xfId="9780"/>
    <cellStyle name="Normal 5 2 2 7" xfId="9781"/>
    <cellStyle name="Normal 5 2 2 7 2" xfId="9782"/>
    <cellStyle name="Normal 5 2 2 8" xfId="9783"/>
    <cellStyle name="Normal 5 2 2 9" xfId="9784"/>
    <cellStyle name="Normal 5 2 3" xfId="9785"/>
    <cellStyle name="Normal 5 2 3 2" xfId="9786"/>
    <cellStyle name="Normal 5 2 3 2 2" xfId="9787"/>
    <cellStyle name="Normal 5 2 3 2 2 2" xfId="9788"/>
    <cellStyle name="Normal 5 2 3 2 2 2 2" xfId="9789"/>
    <cellStyle name="Normal 5 2 3 2 2 2 2 2" xfId="9790"/>
    <cellStyle name="Normal 5 2 3 2 2 2 3" xfId="9791"/>
    <cellStyle name="Normal 5 2 3 2 2 3" xfId="9792"/>
    <cellStyle name="Normal 5 2 3 2 2 3 2" xfId="9793"/>
    <cellStyle name="Normal 5 2 3 2 2 4" xfId="9794"/>
    <cellStyle name="Normal 5 2 3 2 3" xfId="9795"/>
    <cellStyle name="Normal 5 2 3 2 3 2" xfId="9796"/>
    <cellStyle name="Normal 5 2 3 2 3 2 2" xfId="9797"/>
    <cellStyle name="Normal 5 2 3 2 3 3" xfId="9798"/>
    <cellStyle name="Normal 5 2 3 2 4" xfId="9799"/>
    <cellStyle name="Normal 5 2 3 2 4 2" xfId="9800"/>
    <cellStyle name="Normal 5 2 3 2 5" xfId="9801"/>
    <cellStyle name="Normal 5 2 3 3" xfId="9802"/>
    <cellStyle name="Normal 5 2 3 3 2" xfId="9803"/>
    <cellStyle name="Normal 5 2 3 3 2 2" xfId="9804"/>
    <cellStyle name="Normal 5 2 3 3 2 2 2" xfId="9805"/>
    <cellStyle name="Normal 5 2 3 3 2 3" xfId="9806"/>
    <cellStyle name="Normal 5 2 3 3 3" xfId="9807"/>
    <cellStyle name="Normal 5 2 3 3 3 2" xfId="9808"/>
    <cellStyle name="Normal 5 2 3 3 4" xfId="9809"/>
    <cellStyle name="Normal 5 2 3 4" xfId="9810"/>
    <cellStyle name="Normal 5 2 3 4 2" xfId="9811"/>
    <cellStyle name="Normal 5 2 3 4 2 2" xfId="9812"/>
    <cellStyle name="Normal 5 2 3 4 3" xfId="9813"/>
    <cellStyle name="Normal 5 2 3 5" xfId="9814"/>
    <cellStyle name="Normal 5 2 3 5 2" xfId="9815"/>
    <cellStyle name="Normal 5 2 3 6" xfId="9816"/>
    <cellStyle name="Normal 5 2 3 7" xfId="9817"/>
    <cellStyle name="Normal 5 2 4" xfId="9818"/>
    <cellStyle name="Normal 5 2 4 2" xfId="9819"/>
    <cellStyle name="Normal 5 2 4 2 2" xfId="9820"/>
    <cellStyle name="Normal 5 2 4 2 2 2" xfId="9821"/>
    <cellStyle name="Normal 5 2 4 2 2 2 2" xfId="9822"/>
    <cellStyle name="Normal 5 2 4 2 2 3" xfId="9823"/>
    <cellStyle name="Normal 5 2 4 2 3" xfId="9824"/>
    <cellStyle name="Normal 5 2 4 2 3 2" xfId="9825"/>
    <cellStyle name="Normal 5 2 4 2 4" xfId="9826"/>
    <cellStyle name="Normal 5 2 4 2 5" xfId="9827"/>
    <cellStyle name="Normal 5 2 4 3" xfId="9828"/>
    <cellStyle name="Normal 5 2 4 3 2" xfId="9829"/>
    <cellStyle name="Normal 5 2 4 3 2 2" xfId="9830"/>
    <cellStyle name="Normal 5 2 4 3 3" xfId="9831"/>
    <cellStyle name="Normal 5 2 4 4" xfId="9832"/>
    <cellStyle name="Normal 5 2 4 4 2" xfId="9833"/>
    <cellStyle name="Normal 5 2 4 5" xfId="9834"/>
    <cellStyle name="Normal 5 2 4 6" xfId="9835"/>
    <cellStyle name="Normal 5 2 5" xfId="9836"/>
    <cellStyle name="Normal 5 2 5 2" xfId="9837"/>
    <cellStyle name="Normal 5 2 5 2 2" xfId="9838"/>
    <cellStyle name="Normal 5 2 5 2 2 2" xfId="9839"/>
    <cellStyle name="Normal 5 2 5 2 2 2 2" xfId="9840"/>
    <cellStyle name="Normal 5 2 5 2 2 3" xfId="9841"/>
    <cellStyle name="Normal 5 2 5 2 3" xfId="9842"/>
    <cellStyle name="Normal 5 2 5 2 3 2" xfId="9843"/>
    <cellStyle name="Normal 5 2 5 2 4" xfId="9844"/>
    <cellStyle name="Normal 5 2 5 3" xfId="9845"/>
    <cellStyle name="Normal 5 2 5 3 2" xfId="9846"/>
    <cellStyle name="Normal 5 2 5 3 2 2" xfId="9847"/>
    <cellStyle name="Normal 5 2 5 3 3" xfId="9848"/>
    <cellStyle name="Normal 5 2 5 4" xfId="9849"/>
    <cellStyle name="Normal 5 2 5 4 2" xfId="9850"/>
    <cellStyle name="Normal 5 2 5 5" xfId="9851"/>
    <cellStyle name="Normal 5 2 5 6" xfId="9852"/>
    <cellStyle name="Normal 5 2 6" xfId="9853"/>
    <cellStyle name="Normal 5 2 6 2" xfId="9854"/>
    <cellStyle name="Normal 5 2 6 2 2" xfId="9855"/>
    <cellStyle name="Normal 5 2 6 2 2 2" xfId="9856"/>
    <cellStyle name="Normal 5 2 6 2 3" xfId="9857"/>
    <cellStyle name="Normal 5 2 6 3" xfId="9858"/>
    <cellStyle name="Normal 5 2 6 3 2" xfId="9859"/>
    <cellStyle name="Normal 5 2 6 4" xfId="9860"/>
    <cellStyle name="Normal 5 2 7" xfId="9861"/>
    <cellStyle name="Normal 5 2 7 2" xfId="9862"/>
    <cellStyle name="Normal 5 2 7 2 2" xfId="9863"/>
    <cellStyle name="Normal 5 2 7 3" xfId="9864"/>
    <cellStyle name="Normal 5 2 8" xfId="9865"/>
    <cellStyle name="Normal 5 2 8 2" xfId="9866"/>
    <cellStyle name="Normal 5 2 9" xfId="9867"/>
    <cellStyle name="Normal 5 3" xfId="9868"/>
    <cellStyle name="Normal 5 3 10" xfId="9869"/>
    <cellStyle name="Normal 5 3 11" xfId="9870"/>
    <cellStyle name="Normal 5 3 2" xfId="9871"/>
    <cellStyle name="Normal 5 3 2 2" xfId="9872"/>
    <cellStyle name="Normal 5 3 2 2 2" xfId="9873"/>
    <cellStyle name="Normal 5 3 2 2 2 2" xfId="9874"/>
    <cellStyle name="Normal 5 3 2 2 2 2 2" xfId="9875"/>
    <cellStyle name="Normal 5 3 2 2 2 2 2 2" xfId="9876"/>
    <cellStyle name="Normal 5 3 2 2 2 2 2 2 2" xfId="9877"/>
    <cellStyle name="Normal 5 3 2 2 2 2 2 3" xfId="9878"/>
    <cellStyle name="Normal 5 3 2 2 2 2 3" xfId="9879"/>
    <cellStyle name="Normal 5 3 2 2 2 2 3 2" xfId="9880"/>
    <cellStyle name="Normal 5 3 2 2 2 2 4" xfId="9881"/>
    <cellStyle name="Normal 5 3 2 2 2 3" xfId="9882"/>
    <cellStyle name="Normal 5 3 2 2 2 3 2" xfId="9883"/>
    <cellStyle name="Normal 5 3 2 2 2 3 2 2" xfId="9884"/>
    <cellStyle name="Normal 5 3 2 2 2 3 3" xfId="9885"/>
    <cellStyle name="Normal 5 3 2 2 2 4" xfId="9886"/>
    <cellStyle name="Normal 5 3 2 2 2 4 2" xfId="9887"/>
    <cellStyle name="Normal 5 3 2 2 2 5" xfId="9888"/>
    <cellStyle name="Normal 5 3 2 2 3" xfId="9889"/>
    <cellStyle name="Normal 5 3 2 2 3 2" xfId="9890"/>
    <cellStyle name="Normal 5 3 2 2 3 2 2" xfId="9891"/>
    <cellStyle name="Normal 5 3 2 2 3 2 2 2" xfId="9892"/>
    <cellStyle name="Normal 5 3 2 2 3 2 3" xfId="9893"/>
    <cellStyle name="Normal 5 3 2 2 3 3" xfId="9894"/>
    <cellStyle name="Normal 5 3 2 2 3 3 2" xfId="9895"/>
    <cellStyle name="Normal 5 3 2 2 3 4" xfId="9896"/>
    <cellStyle name="Normal 5 3 2 2 4" xfId="9897"/>
    <cellStyle name="Normal 5 3 2 2 4 2" xfId="9898"/>
    <cellStyle name="Normal 5 3 2 2 4 2 2" xfId="9899"/>
    <cellStyle name="Normal 5 3 2 2 4 3" xfId="9900"/>
    <cellStyle name="Normal 5 3 2 2 5" xfId="9901"/>
    <cellStyle name="Normal 5 3 2 2 5 2" xfId="9902"/>
    <cellStyle name="Normal 5 3 2 2 6" xfId="9903"/>
    <cellStyle name="Normal 5 3 2 3" xfId="9904"/>
    <cellStyle name="Normal 5 3 2 3 2" xfId="9905"/>
    <cellStyle name="Normal 5 3 2 3 2 2" xfId="9906"/>
    <cellStyle name="Normal 5 3 2 3 2 2 2" xfId="9907"/>
    <cellStyle name="Normal 5 3 2 3 2 2 2 2" xfId="9908"/>
    <cellStyle name="Normal 5 3 2 3 2 2 3" xfId="9909"/>
    <cellStyle name="Normal 5 3 2 3 2 3" xfId="9910"/>
    <cellStyle name="Normal 5 3 2 3 2 3 2" xfId="9911"/>
    <cellStyle name="Normal 5 3 2 3 2 4" xfId="9912"/>
    <cellStyle name="Normal 5 3 2 3 3" xfId="9913"/>
    <cellStyle name="Normal 5 3 2 3 3 2" xfId="9914"/>
    <cellStyle name="Normal 5 3 2 3 3 2 2" xfId="9915"/>
    <cellStyle name="Normal 5 3 2 3 3 3" xfId="9916"/>
    <cellStyle name="Normal 5 3 2 3 4" xfId="9917"/>
    <cellStyle name="Normal 5 3 2 3 4 2" xfId="9918"/>
    <cellStyle name="Normal 5 3 2 3 5" xfId="9919"/>
    <cellStyle name="Normal 5 3 2 4" xfId="9920"/>
    <cellStyle name="Normal 5 3 2 4 2" xfId="9921"/>
    <cellStyle name="Normal 5 3 2 4 2 2" xfId="9922"/>
    <cellStyle name="Normal 5 3 2 4 2 2 2" xfId="9923"/>
    <cellStyle name="Normal 5 3 2 4 2 2 2 2" xfId="9924"/>
    <cellStyle name="Normal 5 3 2 4 2 2 3" xfId="9925"/>
    <cellStyle name="Normal 5 3 2 4 2 3" xfId="9926"/>
    <cellStyle name="Normal 5 3 2 4 2 3 2" xfId="9927"/>
    <cellStyle name="Normal 5 3 2 4 2 4" xfId="9928"/>
    <cellStyle name="Normal 5 3 2 4 3" xfId="9929"/>
    <cellStyle name="Normal 5 3 2 4 3 2" xfId="9930"/>
    <cellStyle name="Normal 5 3 2 4 3 2 2" xfId="9931"/>
    <cellStyle name="Normal 5 3 2 4 3 3" xfId="9932"/>
    <cellStyle name="Normal 5 3 2 4 4" xfId="9933"/>
    <cellStyle name="Normal 5 3 2 4 4 2" xfId="9934"/>
    <cellStyle name="Normal 5 3 2 4 5" xfId="9935"/>
    <cellStyle name="Normal 5 3 2 5" xfId="9936"/>
    <cellStyle name="Normal 5 3 2 5 2" xfId="9937"/>
    <cellStyle name="Normal 5 3 2 5 2 2" xfId="9938"/>
    <cellStyle name="Normal 5 3 2 5 2 2 2" xfId="9939"/>
    <cellStyle name="Normal 5 3 2 5 2 3" xfId="9940"/>
    <cellStyle name="Normal 5 3 2 5 3" xfId="9941"/>
    <cellStyle name="Normal 5 3 2 5 3 2" xfId="9942"/>
    <cellStyle name="Normal 5 3 2 5 4" xfId="9943"/>
    <cellStyle name="Normal 5 3 2 6" xfId="9944"/>
    <cellStyle name="Normal 5 3 2 6 2" xfId="9945"/>
    <cellStyle name="Normal 5 3 2 6 2 2" xfId="9946"/>
    <cellStyle name="Normal 5 3 2 6 3" xfId="9947"/>
    <cellStyle name="Normal 5 3 2 7" xfId="9948"/>
    <cellStyle name="Normal 5 3 2 7 2" xfId="9949"/>
    <cellStyle name="Normal 5 3 2 8" xfId="9950"/>
    <cellStyle name="Normal 5 3 3" xfId="9951"/>
    <cellStyle name="Normal 5 3 3 2" xfId="9952"/>
    <cellStyle name="Normal 5 3 3 2 2" xfId="9953"/>
    <cellStyle name="Normal 5 3 3 2 2 2" xfId="9954"/>
    <cellStyle name="Normal 5 3 3 2 2 2 2" xfId="9955"/>
    <cellStyle name="Normal 5 3 3 2 2 2 2 2" xfId="9956"/>
    <cellStyle name="Normal 5 3 3 2 2 2 3" xfId="9957"/>
    <cellStyle name="Normal 5 3 3 2 2 3" xfId="9958"/>
    <cellStyle name="Normal 5 3 3 2 2 3 2" xfId="9959"/>
    <cellStyle name="Normal 5 3 3 2 2 4" xfId="9960"/>
    <cellStyle name="Normal 5 3 3 2 3" xfId="9961"/>
    <cellStyle name="Normal 5 3 3 2 3 2" xfId="9962"/>
    <cellStyle name="Normal 5 3 3 2 3 2 2" xfId="9963"/>
    <cellStyle name="Normal 5 3 3 2 3 3" xfId="9964"/>
    <cellStyle name="Normal 5 3 3 2 4" xfId="9965"/>
    <cellStyle name="Normal 5 3 3 2 4 2" xfId="9966"/>
    <cellStyle name="Normal 5 3 3 2 5" xfId="9967"/>
    <cellStyle name="Normal 5 3 3 3" xfId="9968"/>
    <cellStyle name="Normal 5 3 3 3 2" xfId="9969"/>
    <cellStyle name="Normal 5 3 3 3 2 2" xfId="9970"/>
    <cellStyle name="Normal 5 3 3 3 2 2 2" xfId="9971"/>
    <cellStyle name="Normal 5 3 3 3 2 3" xfId="9972"/>
    <cellStyle name="Normal 5 3 3 3 3" xfId="9973"/>
    <cellStyle name="Normal 5 3 3 3 3 2" xfId="9974"/>
    <cellStyle name="Normal 5 3 3 3 4" xfId="9975"/>
    <cellStyle name="Normal 5 3 3 4" xfId="9976"/>
    <cellStyle name="Normal 5 3 3 4 2" xfId="9977"/>
    <cellStyle name="Normal 5 3 3 4 2 2" xfId="9978"/>
    <cellStyle name="Normal 5 3 3 4 3" xfId="9979"/>
    <cellStyle name="Normal 5 3 3 5" xfId="9980"/>
    <cellStyle name="Normal 5 3 3 5 2" xfId="9981"/>
    <cellStyle name="Normal 5 3 3 6" xfId="9982"/>
    <cellStyle name="Normal 5 3 4" xfId="9983"/>
    <cellStyle name="Normal 5 3 4 2" xfId="9984"/>
    <cellStyle name="Normal 5 3 4 2 2" xfId="9985"/>
    <cellStyle name="Normal 5 3 4 2 2 2" xfId="9986"/>
    <cellStyle name="Normal 5 3 4 2 2 2 2" xfId="9987"/>
    <cellStyle name="Normal 5 3 4 2 2 3" xfId="9988"/>
    <cellStyle name="Normal 5 3 4 2 3" xfId="9989"/>
    <cellStyle name="Normal 5 3 4 2 3 2" xfId="9990"/>
    <cellStyle name="Normal 5 3 4 2 4" xfId="9991"/>
    <cellStyle name="Normal 5 3 4 3" xfId="9992"/>
    <cellStyle name="Normal 5 3 4 3 2" xfId="9993"/>
    <cellStyle name="Normal 5 3 4 3 2 2" xfId="9994"/>
    <cellStyle name="Normal 5 3 4 3 3" xfId="9995"/>
    <cellStyle name="Normal 5 3 4 4" xfId="9996"/>
    <cellStyle name="Normal 5 3 4 4 2" xfId="9997"/>
    <cellStyle name="Normal 5 3 4 5" xfId="9998"/>
    <cellStyle name="Normal 5 3 5" xfId="9999"/>
    <cellStyle name="Normal 5 3 5 2" xfId="10000"/>
    <cellStyle name="Normal 5 3 5 2 2" xfId="10001"/>
    <cellStyle name="Normal 5 3 5 2 2 2" xfId="10002"/>
    <cellStyle name="Normal 5 3 5 2 2 2 2" xfId="10003"/>
    <cellStyle name="Normal 5 3 5 2 2 3" xfId="10004"/>
    <cellStyle name="Normal 5 3 5 2 3" xfId="10005"/>
    <cellStyle name="Normal 5 3 5 2 3 2" xfId="10006"/>
    <cellStyle name="Normal 5 3 5 2 4" xfId="10007"/>
    <cellStyle name="Normal 5 3 5 3" xfId="10008"/>
    <cellStyle name="Normal 5 3 5 3 2" xfId="10009"/>
    <cellStyle name="Normal 5 3 5 3 2 2" xfId="10010"/>
    <cellStyle name="Normal 5 3 5 3 3" xfId="10011"/>
    <cellStyle name="Normal 5 3 5 4" xfId="10012"/>
    <cellStyle name="Normal 5 3 5 4 2" xfId="10013"/>
    <cellStyle name="Normal 5 3 5 5" xfId="10014"/>
    <cellStyle name="Normal 5 3 6" xfId="10015"/>
    <cellStyle name="Normal 5 3 6 2" xfId="10016"/>
    <cellStyle name="Normal 5 3 6 2 2" xfId="10017"/>
    <cellStyle name="Normal 5 3 6 2 2 2" xfId="10018"/>
    <cellStyle name="Normal 5 3 6 2 3" xfId="10019"/>
    <cellStyle name="Normal 5 3 6 3" xfId="10020"/>
    <cellStyle name="Normal 5 3 6 3 2" xfId="10021"/>
    <cellStyle name="Normal 5 3 6 4" xfId="10022"/>
    <cellStyle name="Normal 5 3 7" xfId="10023"/>
    <cellStyle name="Normal 5 3 7 2" xfId="10024"/>
    <cellStyle name="Normal 5 3 7 2 2" xfId="10025"/>
    <cellStyle name="Normal 5 3 7 3" xfId="10026"/>
    <cellStyle name="Normal 5 3 8" xfId="10027"/>
    <cellStyle name="Normal 5 3 8 2" xfId="10028"/>
    <cellStyle name="Normal 5 3 9" xfId="10029"/>
    <cellStyle name="Normal 5 4" xfId="10030"/>
    <cellStyle name="Normal 5 4 10" xfId="10031"/>
    <cellStyle name="Normal 5 4 2" xfId="10032"/>
    <cellStyle name="Normal 5 4 2 2" xfId="10033"/>
    <cellStyle name="Normal 5 4 2 2 2" xfId="10034"/>
    <cellStyle name="Normal 5 4 2 2 2 2" xfId="10035"/>
    <cellStyle name="Normal 5 4 2 2 2 2 2" xfId="10036"/>
    <cellStyle name="Normal 5 4 2 2 2 2 2 2" xfId="10037"/>
    <cellStyle name="Normal 5 4 2 2 2 2 3" xfId="10038"/>
    <cellStyle name="Normal 5 4 2 2 2 3" xfId="10039"/>
    <cellStyle name="Normal 5 4 2 2 2 3 2" xfId="10040"/>
    <cellStyle name="Normal 5 4 2 2 2 4" xfId="10041"/>
    <cellStyle name="Normal 5 4 2 2 3" xfId="10042"/>
    <cellStyle name="Normal 5 4 2 2 3 2" xfId="10043"/>
    <cellStyle name="Normal 5 4 2 2 3 2 2" xfId="10044"/>
    <cellStyle name="Normal 5 4 2 2 3 3" xfId="10045"/>
    <cellStyle name="Normal 5 4 2 2 4" xfId="10046"/>
    <cellStyle name="Normal 5 4 2 2 4 2" xfId="10047"/>
    <cellStyle name="Normal 5 4 2 2 5" xfId="10048"/>
    <cellStyle name="Normal 5 4 2 2 6" xfId="10049"/>
    <cellStyle name="Normal 5 4 2 3" xfId="10050"/>
    <cellStyle name="Normal 5 4 2 3 2" xfId="10051"/>
    <cellStyle name="Normal 5 4 2 3 2 2" xfId="10052"/>
    <cellStyle name="Normal 5 4 2 3 2 2 2" xfId="10053"/>
    <cellStyle name="Normal 5 4 2 3 2 2 2 2" xfId="10054"/>
    <cellStyle name="Normal 5 4 2 3 2 2 3" xfId="10055"/>
    <cellStyle name="Normal 5 4 2 3 2 3" xfId="10056"/>
    <cellStyle name="Normal 5 4 2 3 2 3 2" xfId="10057"/>
    <cellStyle name="Normal 5 4 2 3 2 4" xfId="10058"/>
    <cellStyle name="Normal 5 4 2 3 3" xfId="10059"/>
    <cellStyle name="Normal 5 4 2 3 3 2" xfId="10060"/>
    <cellStyle name="Normal 5 4 2 3 3 2 2" xfId="10061"/>
    <cellStyle name="Normal 5 4 2 3 3 3" xfId="10062"/>
    <cellStyle name="Normal 5 4 2 3 4" xfId="10063"/>
    <cellStyle name="Normal 5 4 2 3 4 2" xfId="10064"/>
    <cellStyle name="Normal 5 4 2 3 5" xfId="10065"/>
    <cellStyle name="Normal 5 4 2 4" xfId="10066"/>
    <cellStyle name="Normal 5 4 2 4 2" xfId="10067"/>
    <cellStyle name="Normal 5 4 2 4 2 2" xfId="10068"/>
    <cellStyle name="Normal 5 4 2 4 2 2 2" xfId="10069"/>
    <cellStyle name="Normal 5 4 2 4 2 3" xfId="10070"/>
    <cellStyle name="Normal 5 4 2 4 3" xfId="10071"/>
    <cellStyle name="Normal 5 4 2 4 3 2" xfId="10072"/>
    <cellStyle name="Normal 5 4 2 4 4" xfId="10073"/>
    <cellStyle name="Normal 5 4 2 5" xfId="10074"/>
    <cellStyle name="Normal 5 4 2 5 2" xfId="10075"/>
    <cellStyle name="Normal 5 4 2 5 2 2" xfId="10076"/>
    <cellStyle name="Normal 5 4 2 5 3" xfId="10077"/>
    <cellStyle name="Normal 5 4 2 6" xfId="10078"/>
    <cellStyle name="Normal 5 4 2 6 2" xfId="10079"/>
    <cellStyle name="Normal 5 4 2 7" xfId="10080"/>
    <cellStyle name="Normal 5 4 2 8" xfId="10081"/>
    <cellStyle name="Normal 5 4 3" xfId="10082"/>
    <cellStyle name="Normal 5 4 3 2" xfId="10083"/>
    <cellStyle name="Normal 5 4 3 2 2" xfId="10084"/>
    <cellStyle name="Normal 5 4 3 2 2 2" xfId="10085"/>
    <cellStyle name="Normal 5 4 3 2 2 2 2" xfId="10086"/>
    <cellStyle name="Normal 5 4 3 2 2 2 2 2" xfId="10087"/>
    <cellStyle name="Normal 5 4 3 2 2 2 3" xfId="10088"/>
    <cellStyle name="Normal 5 4 3 2 2 3" xfId="10089"/>
    <cellStyle name="Normal 5 4 3 2 2 3 2" xfId="10090"/>
    <cellStyle name="Normal 5 4 3 2 2 4" xfId="10091"/>
    <cellStyle name="Normal 5 4 3 2 3" xfId="10092"/>
    <cellStyle name="Normal 5 4 3 2 3 2" xfId="10093"/>
    <cellStyle name="Normal 5 4 3 2 3 2 2" xfId="10094"/>
    <cellStyle name="Normal 5 4 3 2 3 3" xfId="10095"/>
    <cellStyle name="Normal 5 4 3 2 4" xfId="10096"/>
    <cellStyle name="Normal 5 4 3 2 4 2" xfId="10097"/>
    <cellStyle name="Normal 5 4 3 2 5" xfId="10098"/>
    <cellStyle name="Normal 5 4 3 3" xfId="10099"/>
    <cellStyle name="Normal 5 4 3 3 2" xfId="10100"/>
    <cellStyle name="Normal 5 4 3 3 2 2" xfId="10101"/>
    <cellStyle name="Normal 5 4 3 3 2 2 2" xfId="10102"/>
    <cellStyle name="Normal 5 4 3 3 2 3" xfId="10103"/>
    <cellStyle name="Normal 5 4 3 3 3" xfId="10104"/>
    <cellStyle name="Normal 5 4 3 3 3 2" xfId="10105"/>
    <cellStyle name="Normal 5 4 3 3 4" xfId="10106"/>
    <cellStyle name="Normal 5 4 3 4" xfId="10107"/>
    <cellStyle name="Normal 5 4 3 4 2" xfId="10108"/>
    <cellStyle name="Normal 5 4 3 4 2 2" xfId="10109"/>
    <cellStyle name="Normal 5 4 3 4 3" xfId="10110"/>
    <cellStyle name="Normal 5 4 3 5" xfId="10111"/>
    <cellStyle name="Normal 5 4 3 5 2" xfId="10112"/>
    <cellStyle name="Normal 5 4 3 6" xfId="10113"/>
    <cellStyle name="Normal 5 4 3 7" xfId="10114"/>
    <cellStyle name="Normal 5 4 4" xfId="10115"/>
    <cellStyle name="Normal 5 4 4 2" xfId="10116"/>
    <cellStyle name="Normal 5 4 4 2 2" xfId="10117"/>
    <cellStyle name="Normal 5 4 4 2 2 2" xfId="10118"/>
    <cellStyle name="Normal 5 4 4 2 2 2 2" xfId="10119"/>
    <cellStyle name="Normal 5 4 4 2 2 3" xfId="10120"/>
    <cellStyle name="Normal 5 4 4 2 3" xfId="10121"/>
    <cellStyle name="Normal 5 4 4 2 3 2" xfId="10122"/>
    <cellStyle name="Normal 5 4 4 2 4" xfId="10123"/>
    <cellStyle name="Normal 5 4 4 3" xfId="10124"/>
    <cellStyle name="Normal 5 4 4 3 2" xfId="10125"/>
    <cellStyle name="Normal 5 4 4 3 2 2" xfId="10126"/>
    <cellStyle name="Normal 5 4 4 3 3" xfId="10127"/>
    <cellStyle name="Normal 5 4 4 4" xfId="10128"/>
    <cellStyle name="Normal 5 4 4 4 2" xfId="10129"/>
    <cellStyle name="Normal 5 4 4 5" xfId="10130"/>
    <cellStyle name="Normal 5 4 5" xfId="10131"/>
    <cellStyle name="Normal 5 4 5 2" xfId="10132"/>
    <cellStyle name="Normal 5 4 5 2 2" xfId="10133"/>
    <cellStyle name="Normal 5 4 5 2 2 2" xfId="10134"/>
    <cellStyle name="Normal 5 4 5 2 2 2 2" xfId="10135"/>
    <cellStyle name="Normal 5 4 5 2 2 3" xfId="10136"/>
    <cellStyle name="Normal 5 4 5 2 3" xfId="10137"/>
    <cellStyle name="Normal 5 4 5 2 3 2" xfId="10138"/>
    <cellStyle name="Normal 5 4 5 2 4" xfId="10139"/>
    <cellStyle name="Normal 5 4 5 3" xfId="10140"/>
    <cellStyle name="Normal 5 4 5 3 2" xfId="10141"/>
    <cellStyle name="Normal 5 4 5 3 2 2" xfId="10142"/>
    <cellStyle name="Normal 5 4 5 3 3" xfId="10143"/>
    <cellStyle name="Normal 5 4 5 4" xfId="10144"/>
    <cellStyle name="Normal 5 4 5 4 2" xfId="10145"/>
    <cellStyle name="Normal 5 4 5 5" xfId="10146"/>
    <cellStyle name="Normal 5 4 6" xfId="10147"/>
    <cellStyle name="Normal 5 4 6 2" xfId="10148"/>
    <cellStyle name="Normal 5 4 6 2 2" xfId="10149"/>
    <cellStyle name="Normal 5 4 6 2 2 2" xfId="10150"/>
    <cellStyle name="Normal 5 4 6 2 3" xfId="10151"/>
    <cellStyle name="Normal 5 4 6 3" xfId="10152"/>
    <cellStyle name="Normal 5 4 6 3 2" xfId="10153"/>
    <cellStyle name="Normal 5 4 6 4" xfId="10154"/>
    <cellStyle name="Normal 5 4 7" xfId="10155"/>
    <cellStyle name="Normal 5 4 7 2" xfId="10156"/>
    <cellStyle name="Normal 5 4 7 2 2" xfId="10157"/>
    <cellStyle name="Normal 5 4 7 3" xfId="10158"/>
    <cellStyle name="Normal 5 4 8" xfId="10159"/>
    <cellStyle name="Normal 5 4 8 2" xfId="10160"/>
    <cellStyle name="Normal 5 4 9" xfId="10161"/>
    <cellStyle name="Normal 5 5" xfId="10162"/>
    <cellStyle name="Normal 5 5 2" xfId="10163"/>
    <cellStyle name="Normal 5 5 2 2" xfId="10164"/>
    <cellStyle name="Normal 5 5 2 2 2" xfId="10165"/>
    <cellStyle name="Normal 5 5 2 2 2 2" xfId="10166"/>
    <cellStyle name="Normal 5 5 2 2 2 2 2" xfId="10167"/>
    <cellStyle name="Normal 5 5 2 2 2 3" xfId="10168"/>
    <cellStyle name="Normal 5 5 2 2 3" xfId="10169"/>
    <cellStyle name="Normal 5 5 2 2 3 2" xfId="10170"/>
    <cellStyle name="Normal 5 5 2 2 4" xfId="10171"/>
    <cellStyle name="Normal 5 5 2 3" xfId="10172"/>
    <cellStyle name="Normal 5 5 2 3 2" xfId="10173"/>
    <cellStyle name="Normal 5 5 2 3 2 2" xfId="10174"/>
    <cellStyle name="Normal 5 5 2 3 3" xfId="10175"/>
    <cellStyle name="Normal 5 5 2 4" xfId="10176"/>
    <cellStyle name="Normal 5 5 2 4 2" xfId="10177"/>
    <cellStyle name="Normal 5 5 2 5" xfId="10178"/>
    <cellStyle name="Normal 5 5 3" xfId="10179"/>
    <cellStyle name="Normal 5 5 3 2" xfId="10180"/>
    <cellStyle name="Normal 5 5 3 2 2" xfId="10181"/>
    <cellStyle name="Normal 5 5 3 2 2 2" xfId="10182"/>
    <cellStyle name="Normal 5 5 3 2 2 2 2" xfId="10183"/>
    <cellStyle name="Normal 5 5 3 2 2 3" xfId="10184"/>
    <cellStyle name="Normal 5 5 3 2 3" xfId="10185"/>
    <cellStyle name="Normal 5 5 3 2 3 2" xfId="10186"/>
    <cellStyle name="Normal 5 5 3 2 4" xfId="10187"/>
    <cellStyle name="Normal 5 5 3 3" xfId="10188"/>
    <cellStyle name="Normal 5 5 3 3 2" xfId="10189"/>
    <cellStyle name="Normal 5 5 3 3 2 2" xfId="10190"/>
    <cellStyle name="Normal 5 5 3 3 3" xfId="10191"/>
    <cellStyle name="Normal 5 5 3 4" xfId="10192"/>
    <cellStyle name="Normal 5 5 3 4 2" xfId="10193"/>
    <cellStyle name="Normal 5 5 3 5" xfId="10194"/>
    <cellStyle name="Normal 5 5 4" xfId="10195"/>
    <cellStyle name="Normal 5 5 4 2" xfId="10196"/>
    <cellStyle name="Normal 5 5 4 2 2" xfId="10197"/>
    <cellStyle name="Normal 5 5 4 2 2 2" xfId="10198"/>
    <cellStyle name="Normal 5 5 4 2 3" xfId="10199"/>
    <cellStyle name="Normal 5 5 4 3" xfId="10200"/>
    <cellStyle name="Normal 5 5 4 3 2" xfId="10201"/>
    <cellStyle name="Normal 5 5 4 4" xfId="10202"/>
    <cellStyle name="Normal 5 5 5" xfId="10203"/>
    <cellStyle name="Normal 5 5 5 2" xfId="10204"/>
    <cellStyle name="Normal 5 5 5 2 2" xfId="10205"/>
    <cellStyle name="Normal 5 5 5 3" xfId="10206"/>
    <cellStyle name="Normal 5 5 6" xfId="10207"/>
    <cellStyle name="Normal 5 5 6 2" xfId="10208"/>
    <cellStyle name="Normal 5 5 7" xfId="10209"/>
    <cellStyle name="Normal 5 6" xfId="10210"/>
    <cellStyle name="Normal 5 6 2" xfId="10211"/>
    <cellStyle name="Normal 5 6 2 2" xfId="10212"/>
    <cellStyle name="Normal 5 6 2 2 2" xfId="10213"/>
    <cellStyle name="Normal 5 6 2 2 2 2" xfId="10214"/>
    <cellStyle name="Normal 5 6 2 2 2 2 2" xfId="10215"/>
    <cellStyle name="Normal 5 6 2 2 2 3" xfId="10216"/>
    <cellStyle name="Normal 5 6 2 2 3" xfId="10217"/>
    <cellStyle name="Normal 5 6 2 2 3 2" xfId="10218"/>
    <cellStyle name="Normal 5 6 2 2 4" xfId="10219"/>
    <cellStyle name="Normal 5 6 2 3" xfId="10220"/>
    <cellStyle name="Normal 5 6 2 3 2" xfId="10221"/>
    <cellStyle name="Normal 5 6 2 3 2 2" xfId="10222"/>
    <cellStyle name="Normal 5 6 2 3 3" xfId="10223"/>
    <cellStyle name="Normal 5 6 2 4" xfId="10224"/>
    <cellStyle name="Normal 5 6 2 4 2" xfId="10225"/>
    <cellStyle name="Normal 5 6 2 5" xfId="10226"/>
    <cellStyle name="Normal 5 6 3" xfId="10227"/>
    <cellStyle name="Normal 5 6 3 2" xfId="10228"/>
    <cellStyle name="Normal 5 6 3 2 2" xfId="10229"/>
    <cellStyle name="Normal 5 6 3 2 2 2" xfId="10230"/>
    <cellStyle name="Normal 5 6 3 2 3" xfId="10231"/>
    <cellStyle name="Normal 5 6 3 3" xfId="10232"/>
    <cellStyle name="Normal 5 6 3 3 2" xfId="10233"/>
    <cellStyle name="Normal 5 6 3 4" xfId="10234"/>
    <cellStyle name="Normal 5 6 4" xfId="10235"/>
    <cellStyle name="Normal 5 6 4 2" xfId="10236"/>
    <cellStyle name="Normal 5 6 4 2 2" xfId="10237"/>
    <cellStyle name="Normal 5 6 4 3" xfId="10238"/>
    <cellStyle name="Normal 5 6 5" xfId="10239"/>
    <cellStyle name="Normal 5 6 5 2" xfId="10240"/>
    <cellStyle name="Normal 5 6 6" xfId="10241"/>
    <cellStyle name="Normal 5 7" xfId="10242"/>
    <cellStyle name="Normal 5 7 2" xfId="10243"/>
    <cellStyle name="Normal 5 7 2 2" xfId="10244"/>
    <cellStyle name="Normal 5 7 2 2 2" xfId="10245"/>
    <cellStyle name="Normal 5 7 2 2 2 2" xfId="10246"/>
    <cellStyle name="Normal 5 7 2 2 3" xfId="10247"/>
    <cellStyle name="Normal 5 7 2 3" xfId="10248"/>
    <cellStyle name="Normal 5 7 2 3 2" xfId="10249"/>
    <cellStyle name="Normal 5 7 2 4" xfId="10250"/>
    <cellStyle name="Normal 5 7 3" xfId="10251"/>
    <cellStyle name="Normal 5 7 3 2" xfId="10252"/>
    <cellStyle name="Normal 5 7 3 2 2" xfId="10253"/>
    <cellStyle name="Normal 5 7 3 3" xfId="10254"/>
    <cellStyle name="Normal 5 7 4" xfId="10255"/>
    <cellStyle name="Normal 5 7 4 2" xfId="10256"/>
    <cellStyle name="Normal 5 7 5" xfId="10257"/>
    <cellStyle name="Normal 5 8" xfId="10258"/>
    <cellStyle name="Normal 5 8 2" xfId="10259"/>
    <cellStyle name="Normal 5 8 2 2" xfId="10260"/>
    <cellStyle name="Normal 5 8 2 2 2" xfId="10261"/>
    <cellStyle name="Normal 5 8 2 2 2 2" xfId="10262"/>
    <cellStyle name="Normal 5 8 2 2 3" xfId="10263"/>
    <cellStyle name="Normal 5 8 2 3" xfId="10264"/>
    <cellStyle name="Normal 5 8 2 3 2" xfId="10265"/>
    <cellStyle name="Normal 5 8 2 4" xfId="10266"/>
    <cellStyle name="Normal 5 8 3" xfId="10267"/>
    <cellStyle name="Normal 5 8 3 2" xfId="10268"/>
    <cellStyle name="Normal 5 8 3 2 2" xfId="10269"/>
    <cellStyle name="Normal 5 8 3 3" xfId="10270"/>
    <cellStyle name="Normal 5 8 4" xfId="10271"/>
    <cellStyle name="Normal 5 8 4 2" xfId="10272"/>
    <cellStyle name="Normal 5 8 5" xfId="10273"/>
    <cellStyle name="Normal 5 9" xfId="10274"/>
    <cellStyle name="Normal 5 9 2" xfId="10275"/>
    <cellStyle name="Normal 5 9 2 2" xfId="10276"/>
    <cellStyle name="Normal 5 9 2 2 2" xfId="10277"/>
    <cellStyle name="Normal 5 9 2 3" xfId="10278"/>
    <cellStyle name="Normal 5 9 3" xfId="10279"/>
    <cellStyle name="Normal 5 9 3 2" xfId="10280"/>
    <cellStyle name="Normal 5 9 4" xfId="10281"/>
    <cellStyle name="Normal 50" xfId="1855"/>
    <cellStyle name="Normal 50 2" xfId="10282"/>
    <cellStyle name="Normal 50 3" xfId="10283"/>
    <cellStyle name="Normal 51" xfId="1856"/>
    <cellStyle name="Normal 51 2" xfId="10284"/>
    <cellStyle name="Normal 51 3" xfId="10285"/>
    <cellStyle name="Normal 52" xfId="1857"/>
    <cellStyle name="Normal 52 2" xfId="10286"/>
    <cellStyle name="Normal 52 3" xfId="10287"/>
    <cellStyle name="Normal 53" xfId="10288"/>
    <cellStyle name="Normal 53 2" xfId="10289"/>
    <cellStyle name="Normal 53 3" xfId="10290"/>
    <cellStyle name="Normal 54" xfId="10291"/>
    <cellStyle name="Normal 54 2" xfId="10292"/>
    <cellStyle name="Normal 54 3" xfId="10293"/>
    <cellStyle name="Normal 55" xfId="10294"/>
    <cellStyle name="Normal 55 2" xfId="10295"/>
    <cellStyle name="Normal 55 3" xfId="10296"/>
    <cellStyle name="Normal 56" xfId="10297"/>
    <cellStyle name="Normal 56 2" xfId="10298"/>
    <cellStyle name="Normal 57" xfId="10299"/>
    <cellStyle name="Normal 57 2" xfId="10300"/>
    <cellStyle name="Normal 58" xfId="10301"/>
    <cellStyle name="Normal 58 2" xfId="10302"/>
    <cellStyle name="Normal 59" xfId="10303"/>
    <cellStyle name="Normal 6" xfId="1858"/>
    <cellStyle name="Normal 6 10" xfId="10304"/>
    <cellStyle name="Normal 6 11" xfId="10305"/>
    <cellStyle name="Normal 6 2" xfId="10306"/>
    <cellStyle name="Normal 6 2 2" xfId="10307"/>
    <cellStyle name="Normal 6 2 2 2" xfId="10308"/>
    <cellStyle name="Normal 6 2 2 2 2" xfId="10309"/>
    <cellStyle name="Normal 6 2 2 2 2 2" xfId="10310"/>
    <cellStyle name="Normal 6 2 2 2 2 2 2" xfId="10311"/>
    <cellStyle name="Normal 6 2 2 2 2 3" xfId="10312"/>
    <cellStyle name="Normal 6 2 2 2 3" xfId="10313"/>
    <cellStyle name="Normal 6 2 2 2 3 2" xfId="10314"/>
    <cellStyle name="Normal 6 2 2 2 4" xfId="10315"/>
    <cellStyle name="Normal 6 2 2 2 5" xfId="10316"/>
    <cellStyle name="Normal 6 2 2 3" xfId="10317"/>
    <cellStyle name="Normal 6 2 2 3 2" xfId="10318"/>
    <cellStyle name="Normal 6 2 2 3 2 2" xfId="10319"/>
    <cellStyle name="Normal 6 2 2 3 3" xfId="10320"/>
    <cellStyle name="Normal 6 2 2 4" xfId="10321"/>
    <cellStyle name="Normal 6 2 2 4 2" xfId="10322"/>
    <cellStyle name="Normal 6 2 2 5" xfId="10323"/>
    <cellStyle name="Normal 6 2 2 6" xfId="10324"/>
    <cellStyle name="Normal 6 2 3" xfId="10325"/>
    <cellStyle name="Normal 6 2 3 2" xfId="10326"/>
    <cellStyle name="Normal 6 2 3 2 2" xfId="10327"/>
    <cellStyle name="Normal 6 2 3 2 2 2" xfId="10328"/>
    <cellStyle name="Normal 6 2 3 2 3" xfId="10329"/>
    <cellStyle name="Normal 6 2 3 3" xfId="10330"/>
    <cellStyle name="Normal 6 2 3 3 2" xfId="10331"/>
    <cellStyle name="Normal 6 2 3 4" xfId="10332"/>
    <cellStyle name="Normal 6 2 3 5" xfId="10333"/>
    <cellStyle name="Normal 6 2 4" xfId="10334"/>
    <cellStyle name="Normal 6 2 4 2" xfId="10335"/>
    <cellStyle name="Normal 6 2 4 2 2" xfId="10336"/>
    <cellStyle name="Normal 6 2 4 3" xfId="10337"/>
    <cellStyle name="Normal 6 2 5" xfId="10338"/>
    <cellStyle name="Normal 6 2 5 2" xfId="10339"/>
    <cellStyle name="Normal 6 2 6" xfId="10340"/>
    <cellStyle name="Normal 6 2 7" xfId="10341"/>
    <cellStyle name="Normal 6 2 8" xfId="10342"/>
    <cellStyle name="Normal 6 3" xfId="10343"/>
    <cellStyle name="Normal 6 3 2" xfId="10344"/>
    <cellStyle name="Normal 6 3 2 2" xfId="10345"/>
    <cellStyle name="Normal 6 3 2 2 2" xfId="10346"/>
    <cellStyle name="Normal 6 3 2 2 2 2" xfId="10347"/>
    <cellStyle name="Normal 6 3 2 2 3" xfId="10348"/>
    <cellStyle name="Normal 6 3 2 3" xfId="10349"/>
    <cellStyle name="Normal 6 3 2 3 2" xfId="10350"/>
    <cellStyle name="Normal 6 3 2 4" xfId="10351"/>
    <cellStyle name="Normal 6 3 2 5" xfId="10352"/>
    <cellStyle name="Normal 6 3 3" xfId="10353"/>
    <cellStyle name="Normal 6 3 3 2" xfId="10354"/>
    <cellStyle name="Normal 6 3 3 2 2" xfId="10355"/>
    <cellStyle name="Normal 6 3 3 3" xfId="10356"/>
    <cellStyle name="Normal 6 3 4" xfId="10357"/>
    <cellStyle name="Normal 6 3 4 2" xfId="10358"/>
    <cellStyle name="Normal 6 3 5" xfId="10359"/>
    <cellStyle name="Normal 6 3 6" xfId="10360"/>
    <cellStyle name="Normal 6 3 7" xfId="10361"/>
    <cellStyle name="Normal 6 4" xfId="10362"/>
    <cellStyle name="Normal 6 4 2" xfId="10363"/>
    <cellStyle name="Normal 6 4 2 2" xfId="10364"/>
    <cellStyle name="Normal 6 4 2 2 2" xfId="10365"/>
    <cellStyle name="Normal 6 4 2 2 3" xfId="10366"/>
    <cellStyle name="Normal 6 4 2 3" xfId="10367"/>
    <cellStyle name="Normal 6 4 2 3 2" xfId="10368"/>
    <cellStyle name="Normal 6 4 2 4" xfId="10369"/>
    <cellStyle name="Normal 6 4 2 5" xfId="10370"/>
    <cellStyle name="Normal 6 4 2 6" xfId="10371"/>
    <cellStyle name="Normal 6 4 3" xfId="10372"/>
    <cellStyle name="Normal 6 4 3 2" xfId="10373"/>
    <cellStyle name="Normal 6 4 3 3" xfId="10374"/>
    <cellStyle name="Normal 6 4 4" xfId="10375"/>
    <cellStyle name="Normal 6 4 4 2" xfId="10376"/>
    <cellStyle name="Normal 6 4 4 3" xfId="10377"/>
    <cellStyle name="Normal 6 4 5" xfId="10378"/>
    <cellStyle name="Normal 6 4 5 2" xfId="10379"/>
    <cellStyle name="Normal 6 4 6" xfId="10380"/>
    <cellStyle name="Normal 6 4 7" xfId="10381"/>
    <cellStyle name="Normal 6 4 8" xfId="10382"/>
    <cellStyle name="Normal 6 5" xfId="10383"/>
    <cellStyle name="Normal 6 5 2" xfId="10384"/>
    <cellStyle name="Normal 6 5 2 2" xfId="10385"/>
    <cellStyle name="Normal 6 5 2 2 2" xfId="10386"/>
    <cellStyle name="Normal 6 5 2 3" xfId="10387"/>
    <cellStyle name="Normal 6 5 3" xfId="10388"/>
    <cellStyle name="Normal 6 5 3 2" xfId="10389"/>
    <cellStyle name="Normal 6 5 4" xfId="10390"/>
    <cellStyle name="Normal 6 5 5" xfId="10391"/>
    <cellStyle name="Normal 6 5 6" xfId="10392"/>
    <cellStyle name="Normal 6 6" xfId="10393"/>
    <cellStyle name="Normal 6 6 2" xfId="10394"/>
    <cellStyle name="Normal 6 6 2 2" xfId="10395"/>
    <cellStyle name="Normal 6 6 3" xfId="10396"/>
    <cellStyle name="Normal 6 6 4" xfId="10397"/>
    <cellStyle name="Normal 6 6 5" xfId="10398"/>
    <cellStyle name="Normal 6 7" xfId="10399"/>
    <cellStyle name="Normal 6 7 2" xfId="10400"/>
    <cellStyle name="Normal 6 7 3" xfId="10401"/>
    <cellStyle name="Normal 6 8" xfId="10402"/>
    <cellStyle name="Normal 6 8 2" xfId="10403"/>
    <cellStyle name="Normal 6 8 3" xfId="10404"/>
    <cellStyle name="Normal 6 9" xfId="10405"/>
    <cellStyle name="Normal 60" xfId="10406"/>
    <cellStyle name="Normal 61" xfId="10407"/>
    <cellStyle name="Normal 62" xfId="10408"/>
    <cellStyle name="Normal 63" xfId="10409"/>
    <cellStyle name="Normal 64" xfId="10410"/>
    <cellStyle name="Normal 65" xfId="10411"/>
    <cellStyle name="Normal 66" xfId="10412"/>
    <cellStyle name="Normal 67" xfId="10413"/>
    <cellStyle name="Normal 68" xfId="10414"/>
    <cellStyle name="Normal 69" xfId="10415"/>
    <cellStyle name="Normal 7" xfId="1859"/>
    <cellStyle name="Normal 7 10" xfId="10416"/>
    <cellStyle name="Normal 7 11" xfId="10417"/>
    <cellStyle name="Normal 7 2" xfId="10418"/>
    <cellStyle name="Normal 7 2 2" xfId="10419"/>
    <cellStyle name="Normal 7 2 2 2" xfId="10420"/>
    <cellStyle name="Normal 7 2 2 2 2" xfId="10421"/>
    <cellStyle name="Normal 7 2 2 2 2 2" xfId="10422"/>
    <cellStyle name="Normal 7 2 2 2 2 2 2" xfId="10423"/>
    <cellStyle name="Normal 7 2 2 2 2 2 2 2" xfId="10424"/>
    <cellStyle name="Normal 7 2 2 2 2 2 3" xfId="10425"/>
    <cellStyle name="Normal 7 2 2 2 2 3" xfId="10426"/>
    <cellStyle name="Normal 7 2 2 2 2 3 2" xfId="10427"/>
    <cellStyle name="Normal 7 2 2 2 2 4" xfId="10428"/>
    <cellStyle name="Normal 7 2 2 2 3" xfId="10429"/>
    <cellStyle name="Normal 7 2 2 2 3 2" xfId="10430"/>
    <cellStyle name="Normal 7 2 2 2 3 2 2" xfId="10431"/>
    <cellStyle name="Normal 7 2 2 2 3 3" xfId="10432"/>
    <cellStyle name="Normal 7 2 2 2 4" xfId="10433"/>
    <cellStyle name="Normal 7 2 2 2 4 2" xfId="10434"/>
    <cellStyle name="Normal 7 2 2 2 5" xfId="10435"/>
    <cellStyle name="Normal 7 2 2 2 6" xfId="10436"/>
    <cellStyle name="Normal 7 2 2 3" xfId="10437"/>
    <cellStyle name="Normal 7 2 2 3 2" xfId="10438"/>
    <cellStyle name="Normal 7 2 2 3 2 2" xfId="10439"/>
    <cellStyle name="Normal 7 2 2 3 2 2 2" xfId="10440"/>
    <cellStyle name="Normal 7 2 2 3 2 3" xfId="10441"/>
    <cellStyle name="Normal 7 2 2 3 3" xfId="10442"/>
    <cellStyle name="Normal 7 2 2 3 3 2" xfId="10443"/>
    <cellStyle name="Normal 7 2 2 3 4" xfId="10444"/>
    <cellStyle name="Normal 7 2 2 4" xfId="10445"/>
    <cellStyle name="Normal 7 2 2 4 2" xfId="10446"/>
    <cellStyle name="Normal 7 2 2 4 2 2" xfId="10447"/>
    <cellStyle name="Normal 7 2 2 4 3" xfId="10448"/>
    <cellStyle name="Normal 7 2 2 5" xfId="10449"/>
    <cellStyle name="Normal 7 2 2 5 2" xfId="10450"/>
    <cellStyle name="Normal 7 2 2 6" xfId="10451"/>
    <cellStyle name="Normal 7 2 2 7" xfId="10452"/>
    <cellStyle name="Normal 7 2 3" xfId="10453"/>
    <cellStyle name="Normal 7 2 3 2" xfId="10454"/>
    <cellStyle name="Normal 7 2 3 2 2" xfId="10455"/>
    <cellStyle name="Normal 7 2 3 2 2 2" xfId="10456"/>
    <cellStyle name="Normal 7 2 3 2 2 2 2" xfId="10457"/>
    <cellStyle name="Normal 7 2 3 2 2 3" xfId="10458"/>
    <cellStyle name="Normal 7 2 3 2 3" xfId="10459"/>
    <cellStyle name="Normal 7 2 3 2 3 2" xfId="10460"/>
    <cellStyle name="Normal 7 2 3 2 4" xfId="10461"/>
    <cellStyle name="Normal 7 2 3 3" xfId="10462"/>
    <cellStyle name="Normal 7 2 3 3 2" xfId="10463"/>
    <cellStyle name="Normal 7 2 3 3 2 2" xfId="10464"/>
    <cellStyle name="Normal 7 2 3 3 3" xfId="10465"/>
    <cellStyle name="Normal 7 2 3 4" xfId="10466"/>
    <cellStyle name="Normal 7 2 3 4 2" xfId="10467"/>
    <cellStyle name="Normal 7 2 3 5" xfId="10468"/>
    <cellStyle name="Normal 7 2 3 6" xfId="10469"/>
    <cellStyle name="Normal 7 2 4" xfId="10470"/>
    <cellStyle name="Normal 7 2 4 2" xfId="10471"/>
    <cellStyle name="Normal 7 2 4 2 2" xfId="10472"/>
    <cellStyle name="Normal 7 2 4 2 2 2" xfId="10473"/>
    <cellStyle name="Normal 7 2 4 2 2 2 2" xfId="10474"/>
    <cellStyle name="Normal 7 2 4 2 2 3" xfId="10475"/>
    <cellStyle name="Normal 7 2 4 2 3" xfId="10476"/>
    <cellStyle name="Normal 7 2 4 2 3 2" xfId="10477"/>
    <cellStyle name="Normal 7 2 4 2 4" xfId="10478"/>
    <cellStyle name="Normal 7 2 4 3" xfId="10479"/>
    <cellStyle name="Normal 7 2 4 3 2" xfId="10480"/>
    <cellStyle name="Normal 7 2 4 3 2 2" xfId="10481"/>
    <cellStyle name="Normal 7 2 4 3 3" xfId="10482"/>
    <cellStyle name="Normal 7 2 4 4" xfId="10483"/>
    <cellStyle name="Normal 7 2 4 4 2" xfId="10484"/>
    <cellStyle name="Normal 7 2 4 5" xfId="10485"/>
    <cellStyle name="Normal 7 2 5" xfId="10486"/>
    <cellStyle name="Normal 7 2 5 2" xfId="10487"/>
    <cellStyle name="Normal 7 2 5 2 2" xfId="10488"/>
    <cellStyle name="Normal 7 2 5 2 2 2" xfId="10489"/>
    <cellStyle name="Normal 7 2 5 2 3" xfId="10490"/>
    <cellStyle name="Normal 7 2 5 3" xfId="10491"/>
    <cellStyle name="Normal 7 2 5 3 2" xfId="10492"/>
    <cellStyle name="Normal 7 2 5 4" xfId="10493"/>
    <cellStyle name="Normal 7 2 6" xfId="10494"/>
    <cellStyle name="Normal 7 2 6 2" xfId="10495"/>
    <cellStyle name="Normal 7 2 6 2 2" xfId="10496"/>
    <cellStyle name="Normal 7 2 6 3" xfId="10497"/>
    <cellStyle name="Normal 7 2 7" xfId="10498"/>
    <cellStyle name="Normal 7 2 7 2" xfId="10499"/>
    <cellStyle name="Normal 7 2 8" xfId="10500"/>
    <cellStyle name="Normal 7 2 9" xfId="10501"/>
    <cellStyle name="Normal 7 3" xfId="10502"/>
    <cellStyle name="Normal 7 3 2" xfId="10503"/>
    <cellStyle name="Normal 7 3 2 2" xfId="10504"/>
    <cellStyle name="Normal 7 3 2 2 2" xfId="10505"/>
    <cellStyle name="Normal 7 3 2 2 2 2" xfId="10506"/>
    <cellStyle name="Normal 7 3 2 2 2 2 2" xfId="10507"/>
    <cellStyle name="Normal 7 3 2 2 2 3" xfId="10508"/>
    <cellStyle name="Normal 7 3 2 2 3" xfId="10509"/>
    <cellStyle name="Normal 7 3 2 2 3 2" xfId="10510"/>
    <cellStyle name="Normal 7 3 2 2 4" xfId="10511"/>
    <cellStyle name="Normal 7 3 2 3" xfId="10512"/>
    <cellStyle name="Normal 7 3 2 3 2" xfId="10513"/>
    <cellStyle name="Normal 7 3 2 3 2 2" xfId="10514"/>
    <cellStyle name="Normal 7 3 2 3 3" xfId="10515"/>
    <cellStyle name="Normal 7 3 2 4" xfId="10516"/>
    <cellStyle name="Normal 7 3 2 4 2" xfId="10517"/>
    <cellStyle name="Normal 7 3 2 5" xfId="10518"/>
    <cellStyle name="Normal 7 3 2 6" xfId="10519"/>
    <cellStyle name="Normal 7 3 3" xfId="10520"/>
    <cellStyle name="Normal 7 3 3 2" xfId="10521"/>
    <cellStyle name="Normal 7 3 3 2 2" xfId="10522"/>
    <cellStyle name="Normal 7 3 3 2 2 2" xfId="10523"/>
    <cellStyle name="Normal 7 3 3 2 3" xfId="10524"/>
    <cellStyle name="Normal 7 3 3 3" xfId="10525"/>
    <cellStyle name="Normal 7 3 3 3 2" xfId="10526"/>
    <cellStyle name="Normal 7 3 3 4" xfId="10527"/>
    <cellStyle name="Normal 7 3 4" xfId="10528"/>
    <cellStyle name="Normal 7 3 4 2" xfId="10529"/>
    <cellStyle name="Normal 7 3 4 2 2" xfId="10530"/>
    <cellStyle name="Normal 7 3 4 3" xfId="10531"/>
    <cellStyle name="Normal 7 3 5" xfId="10532"/>
    <cellStyle name="Normal 7 3 5 2" xfId="10533"/>
    <cellStyle name="Normal 7 3 6" xfId="10534"/>
    <cellStyle name="Normal 7 3 7" xfId="10535"/>
    <cellStyle name="Normal 7 4" xfId="10536"/>
    <cellStyle name="Normal 7 4 2" xfId="10537"/>
    <cellStyle name="Normal 7 4 2 2" xfId="10538"/>
    <cellStyle name="Normal 7 4 2 2 2" xfId="10539"/>
    <cellStyle name="Normal 7 4 2 2 2 2" xfId="10540"/>
    <cellStyle name="Normal 7 4 2 2 3" xfId="10541"/>
    <cellStyle name="Normal 7 4 2 3" xfId="10542"/>
    <cellStyle name="Normal 7 4 2 3 2" xfId="10543"/>
    <cellStyle name="Normal 7 4 2 4" xfId="10544"/>
    <cellStyle name="Normal 7 4 2 5" xfId="10545"/>
    <cellStyle name="Normal 7 4 3" xfId="10546"/>
    <cellStyle name="Normal 7 4 3 2" xfId="10547"/>
    <cellStyle name="Normal 7 4 3 2 2" xfId="10548"/>
    <cellStyle name="Normal 7 4 3 3" xfId="10549"/>
    <cellStyle name="Normal 7 4 4" xfId="10550"/>
    <cellStyle name="Normal 7 4 4 2" xfId="10551"/>
    <cellStyle name="Normal 7 4 5" xfId="10552"/>
    <cellStyle name="Normal 7 4 6" xfId="10553"/>
    <cellStyle name="Normal 7 4 7" xfId="10554"/>
    <cellStyle name="Normal 7 5" xfId="10555"/>
    <cellStyle name="Normal 7 5 2" xfId="10556"/>
    <cellStyle name="Normal 7 5 2 2" xfId="10557"/>
    <cellStyle name="Normal 7 5 2 2 2" xfId="10558"/>
    <cellStyle name="Normal 7 5 2 2 2 2" xfId="10559"/>
    <cellStyle name="Normal 7 5 2 2 3" xfId="10560"/>
    <cellStyle name="Normal 7 5 2 3" xfId="10561"/>
    <cellStyle name="Normal 7 5 2 3 2" xfId="10562"/>
    <cellStyle name="Normal 7 5 2 4" xfId="10563"/>
    <cellStyle name="Normal 7 5 3" xfId="10564"/>
    <cellStyle name="Normal 7 5 3 2" xfId="10565"/>
    <cellStyle name="Normal 7 5 3 2 2" xfId="10566"/>
    <cellStyle name="Normal 7 5 3 3" xfId="10567"/>
    <cellStyle name="Normal 7 5 4" xfId="10568"/>
    <cellStyle name="Normal 7 5 4 2" xfId="10569"/>
    <cellStyle name="Normal 7 5 5" xfId="10570"/>
    <cellStyle name="Normal 7 5 6" xfId="10571"/>
    <cellStyle name="Normal 7 6" xfId="10572"/>
    <cellStyle name="Normal 7 6 2" xfId="10573"/>
    <cellStyle name="Normal 7 6 2 2" xfId="10574"/>
    <cellStyle name="Normal 7 6 2 2 2" xfId="10575"/>
    <cellStyle name="Normal 7 6 2 3" xfId="10576"/>
    <cellStyle name="Normal 7 6 3" xfId="10577"/>
    <cellStyle name="Normal 7 6 3 2" xfId="10578"/>
    <cellStyle name="Normal 7 6 4" xfId="10579"/>
    <cellStyle name="Normal 7 7" xfId="10580"/>
    <cellStyle name="Normal 7 7 2" xfId="10581"/>
    <cellStyle name="Normal 7 7 2 2" xfId="10582"/>
    <cellStyle name="Normal 7 7 3" xfId="10583"/>
    <cellStyle name="Normal 7 8" xfId="10584"/>
    <cellStyle name="Normal 7 8 2" xfId="10585"/>
    <cellStyle name="Normal 7 8 2 2" xfId="10586"/>
    <cellStyle name="Normal 7 8 3" xfId="10587"/>
    <cellStyle name="Normal 7 9" xfId="10588"/>
    <cellStyle name="Normal 7 9 2" xfId="10589"/>
    <cellStyle name="Normal 70" xfId="10590"/>
    <cellStyle name="Normal 71" xfId="10591"/>
    <cellStyle name="Normal 8" xfId="1860"/>
    <cellStyle name="Normal 8 2" xfId="10592"/>
    <cellStyle name="Normal 8 2 2" xfId="2106"/>
    <cellStyle name="Normal 8 2 2 2" xfId="10593"/>
    <cellStyle name="Normal 8 2 2 2 2" xfId="10594"/>
    <cellStyle name="Normal 8 2 2 2 2 2" xfId="10595"/>
    <cellStyle name="Normal 8 2 2 2 2 2 2" xfId="10596"/>
    <cellStyle name="Normal 8 2 2 2 2 3" xfId="10597"/>
    <cellStyle name="Normal 8 2 2 2 3" xfId="10598"/>
    <cellStyle name="Normal 8 2 2 2 3 2" xfId="10599"/>
    <cellStyle name="Normal 8 2 2 2 4" xfId="10600"/>
    <cellStyle name="Normal 8 2 2 2 5" xfId="10601"/>
    <cellStyle name="Normal 8 2 2 3" xfId="10602"/>
    <cellStyle name="Normal 8 2 2 3 2" xfId="10603"/>
    <cellStyle name="Normal 8 2 2 3 2 2" xfId="10604"/>
    <cellStyle name="Normal 8 2 2 3 3" xfId="10605"/>
    <cellStyle name="Normal 8 2 2 4" xfId="10606"/>
    <cellStyle name="Normal 8 2 2 4 2" xfId="10607"/>
    <cellStyle name="Normal 8 2 2 5" xfId="10608"/>
    <cellStyle name="Normal 8 2 2 6" xfId="10609"/>
    <cellStyle name="Normal 8 2 3" xfId="10610"/>
    <cellStyle name="Normal 8 2 3 2" xfId="10611"/>
    <cellStyle name="Normal 8 2 3 2 2" xfId="10612"/>
    <cellStyle name="Normal 8 2 3 2 2 2" xfId="10613"/>
    <cellStyle name="Normal 8 2 3 2 3" xfId="10614"/>
    <cellStyle name="Normal 8 2 3 3" xfId="10615"/>
    <cellStyle name="Normal 8 2 3 3 2" xfId="10616"/>
    <cellStyle name="Normal 8 2 3 4" xfId="10617"/>
    <cellStyle name="Normal 8 2 3 5" xfId="10618"/>
    <cellStyle name="Normal 8 2 4" xfId="10619"/>
    <cellStyle name="Normal 8 2 4 2" xfId="10620"/>
    <cellStyle name="Normal 8 2 4 2 2" xfId="10621"/>
    <cellStyle name="Normal 8 2 4 3" xfId="10622"/>
    <cellStyle name="Normal 8 2 5" xfId="10623"/>
    <cellStyle name="Normal 8 2 5 2" xfId="10624"/>
    <cellStyle name="Normal 8 2 6" xfId="10625"/>
    <cellStyle name="Normal 8 2 7" xfId="10626"/>
    <cellStyle name="Normal 8 2 8" xfId="10627"/>
    <cellStyle name="Normal 8 3" xfId="2109"/>
    <cellStyle name="Normal 8 3 2" xfId="10628"/>
    <cellStyle name="Normal 8 3 2 2" xfId="10629"/>
    <cellStyle name="Normal 8 3 2 2 2" xfId="10630"/>
    <cellStyle name="Normal 8 3 2 2 2 2" xfId="10631"/>
    <cellStyle name="Normal 8 3 2 2 3" xfId="10632"/>
    <cellStyle name="Normal 8 3 2 3" xfId="10633"/>
    <cellStyle name="Normal 8 3 2 3 2" xfId="10634"/>
    <cellStyle name="Normal 8 3 2 4" xfId="10635"/>
    <cellStyle name="Normal 8 3 2 5" xfId="10636"/>
    <cellStyle name="Normal 8 3 3" xfId="10637"/>
    <cellStyle name="Normal 8 3 3 2" xfId="10638"/>
    <cellStyle name="Normal 8 3 3 2 2" xfId="10639"/>
    <cellStyle name="Normal 8 3 3 3" xfId="10640"/>
    <cellStyle name="Normal 8 3 4" xfId="10641"/>
    <cellStyle name="Normal 8 3 4 2" xfId="10642"/>
    <cellStyle name="Normal 8 3 5" xfId="10643"/>
    <cellStyle name="Normal 8 3 6" xfId="10644"/>
    <cellStyle name="Normal 8 4" xfId="10645"/>
    <cellStyle name="Normal 8 4 2" xfId="10646"/>
    <cellStyle name="Normal 8 4 2 2" xfId="10647"/>
    <cellStyle name="Normal 8 4 2 2 2" xfId="10648"/>
    <cellStyle name="Normal 8 4 2 3" xfId="10649"/>
    <cellStyle name="Normal 8 4 3" xfId="10650"/>
    <cellStyle name="Normal 8 4 3 2" xfId="10651"/>
    <cellStyle name="Normal 8 4 4" xfId="10652"/>
    <cellStyle name="Normal 8 4 5" xfId="10653"/>
    <cellStyle name="Normal 8 5" xfId="10654"/>
    <cellStyle name="Normal 8 5 2" xfId="10655"/>
    <cellStyle name="Normal 8 5 2 2" xfId="10656"/>
    <cellStyle name="Normal 8 5 3" xfId="10657"/>
    <cellStyle name="Normal 8 6" xfId="10658"/>
    <cellStyle name="Normal 8 6 2" xfId="10659"/>
    <cellStyle name="Normal 8 7" xfId="10660"/>
    <cellStyle name="Normal 8 8" xfId="10661"/>
    <cellStyle name="Normal 9" xfId="1861"/>
    <cellStyle name="Normal 9 2" xfId="10662"/>
    <cellStyle name="Normal 9 2 2" xfId="10663"/>
    <cellStyle name="Normal 9 2 2 2" xfId="10664"/>
    <cellStyle name="Normal 9 2 2 2 2" xfId="10665"/>
    <cellStyle name="Normal 9 2 2 2 2 2" xfId="10666"/>
    <cellStyle name="Normal 9 2 2 2 2 2 2" xfId="10667"/>
    <cellStyle name="Normal 9 2 2 2 2 3" xfId="10668"/>
    <cellStyle name="Normal 9 2 2 2 3" xfId="10669"/>
    <cellStyle name="Normal 9 2 2 2 3 2" xfId="10670"/>
    <cellStyle name="Normal 9 2 2 2 4" xfId="10671"/>
    <cellStyle name="Normal 9 2 2 2 5" xfId="10672"/>
    <cellStyle name="Normal 9 2 2 2 6" xfId="10673"/>
    <cellStyle name="Normal 9 2 2 3" xfId="10674"/>
    <cellStyle name="Normal 9 2 2 3 2" xfId="10675"/>
    <cellStyle name="Normal 9 2 2 3 2 2" xfId="10676"/>
    <cellStyle name="Normal 9 2 2 3 3" xfId="10677"/>
    <cellStyle name="Normal 9 2 2 4" xfId="10678"/>
    <cellStyle name="Normal 9 2 2 4 2" xfId="10679"/>
    <cellStyle name="Normal 9 2 2 5" xfId="10680"/>
    <cellStyle name="Normal 9 2 2 6" xfId="10681"/>
    <cellStyle name="Normal 9 2 2 7" xfId="10682"/>
    <cellStyle name="Normal 9 2 3" xfId="10683"/>
    <cellStyle name="Normal 9 2 3 2" xfId="10684"/>
    <cellStyle name="Normal 9 2 3 2 2" xfId="10685"/>
    <cellStyle name="Normal 9 2 3 2 2 2" xfId="10686"/>
    <cellStyle name="Normal 9 2 3 2 3" xfId="10687"/>
    <cellStyle name="Normal 9 2 3 3" xfId="10688"/>
    <cellStyle name="Normal 9 2 3 3 2" xfId="10689"/>
    <cellStyle name="Normal 9 2 3 4" xfId="10690"/>
    <cellStyle name="Normal 9 2 3 5" xfId="10691"/>
    <cellStyle name="Normal 9 2 3 6" xfId="10692"/>
    <cellStyle name="Normal 9 2 4" xfId="10693"/>
    <cellStyle name="Normal 9 2 4 2" xfId="10694"/>
    <cellStyle name="Normal 9 2 4 2 2" xfId="10695"/>
    <cellStyle name="Normal 9 2 4 3" xfId="10696"/>
    <cellStyle name="Normal 9 2 4 4" xfId="10697"/>
    <cellStyle name="Normal 9 2 5" xfId="10698"/>
    <cellStyle name="Normal 9 2 5 2" xfId="10699"/>
    <cellStyle name="Normal 9 2 6" xfId="10700"/>
    <cellStyle name="Normal 9 2 7" xfId="10701"/>
    <cellStyle name="Normal 9 2 8" xfId="10702"/>
    <cellStyle name="Normal 9 3" xfId="10703"/>
    <cellStyle name="Normal 9 3 2" xfId="10704"/>
    <cellStyle name="Normal 9 3 2 2" xfId="10705"/>
    <cellStyle name="Normal 9 3 2 2 2" xfId="10706"/>
    <cellStyle name="Normal 9 3 2 2 2 2" xfId="10707"/>
    <cellStyle name="Normal 9 3 2 2 3" xfId="10708"/>
    <cellStyle name="Normal 9 3 2 3" xfId="10709"/>
    <cellStyle name="Normal 9 3 2 3 2" xfId="10710"/>
    <cellStyle name="Normal 9 3 2 4" xfId="10711"/>
    <cellStyle name="Normal 9 3 2 5" xfId="10712"/>
    <cellStyle name="Normal 9 3 2 6" xfId="10713"/>
    <cellStyle name="Normal 9 3 3" xfId="10714"/>
    <cellStyle name="Normal 9 3 3 2" xfId="10715"/>
    <cellStyle name="Normal 9 3 3 2 2" xfId="10716"/>
    <cellStyle name="Normal 9 3 3 3" xfId="10717"/>
    <cellStyle name="Normal 9 3 3 4" xfId="10718"/>
    <cellStyle name="Normal 9 3 4" xfId="10719"/>
    <cellStyle name="Normal 9 3 4 2" xfId="10720"/>
    <cellStyle name="Normal 9 3 5" xfId="10721"/>
    <cellStyle name="Normal 9 3 6" xfId="10722"/>
    <cellStyle name="Normal 9 3 7" xfId="10723"/>
    <cellStyle name="Normal 9 4" xfId="10724"/>
    <cellStyle name="Normal 9 4 2" xfId="10725"/>
    <cellStyle name="Normal 9 4 2 2" xfId="10726"/>
    <cellStyle name="Normal 9 4 2 2 2" xfId="10727"/>
    <cellStyle name="Normal 9 4 2 3" xfId="10728"/>
    <cellStyle name="Normal 9 4 3" xfId="10729"/>
    <cellStyle name="Normal 9 4 3 2" xfId="10730"/>
    <cellStyle name="Normal 9 4 4" xfId="10731"/>
    <cellStyle name="Normal 9 4 5" xfId="10732"/>
    <cellStyle name="Normal 9 4 6" xfId="10733"/>
    <cellStyle name="Normal 9 5" xfId="10734"/>
    <cellStyle name="Normal 9 5 2" xfId="10735"/>
    <cellStyle name="Normal 9 5 2 2" xfId="10736"/>
    <cellStyle name="Normal 9 5 3" xfId="10737"/>
    <cellStyle name="Normal 9 5 4" xfId="10738"/>
    <cellStyle name="Normal 9 6" xfId="10739"/>
    <cellStyle name="Normal 9 6 2" xfId="10740"/>
    <cellStyle name="Normal 9 7" xfId="10741"/>
    <cellStyle name="Normal 9 8" xfId="10742"/>
    <cellStyle name="Normal 9 9" xfId="10743"/>
    <cellStyle name="Normal_LGE Filed Test Period Billing Exhibits - SBR Summary" xfId="4"/>
    <cellStyle name="Note 10" xfId="1862"/>
    <cellStyle name="Note 10 10" xfId="10744"/>
    <cellStyle name="Note 10 10 2" xfId="10745"/>
    <cellStyle name="Note 10 11" xfId="10746"/>
    <cellStyle name="Note 10 12" xfId="10747"/>
    <cellStyle name="Note 10 13" xfId="10748"/>
    <cellStyle name="Note 10 2" xfId="1863"/>
    <cellStyle name="Note 10 2 10" xfId="10749"/>
    <cellStyle name="Note 10 2 2" xfId="10750"/>
    <cellStyle name="Note 10 2 2 2" xfId="10751"/>
    <cellStyle name="Note 10 2 3" xfId="10752"/>
    <cellStyle name="Note 10 2 3 2" xfId="10753"/>
    <cellStyle name="Note 10 2 4" xfId="10754"/>
    <cellStyle name="Note 10 2 4 2" xfId="10755"/>
    <cellStyle name="Note 10 2 5" xfId="10756"/>
    <cellStyle name="Note 10 2 5 2" xfId="10757"/>
    <cellStyle name="Note 10 2 6" xfId="10758"/>
    <cellStyle name="Note 10 2 6 2" xfId="10759"/>
    <cellStyle name="Note 10 2 7" xfId="10760"/>
    <cellStyle name="Note 10 2 7 2" xfId="10761"/>
    <cellStyle name="Note 10 2 8" xfId="10762"/>
    <cellStyle name="Note 10 2 8 2" xfId="10763"/>
    <cellStyle name="Note 10 2 9" xfId="10764"/>
    <cellStyle name="Note 10 2 9 2" xfId="10765"/>
    <cellStyle name="Note 10 3" xfId="1864"/>
    <cellStyle name="Note 10 3 2" xfId="10766"/>
    <cellStyle name="Note 10 4" xfId="1865"/>
    <cellStyle name="Note 10 4 2" xfId="10767"/>
    <cellStyle name="Note 10 5" xfId="1866"/>
    <cellStyle name="Note 10 5 2" xfId="10768"/>
    <cellStyle name="Note 10 6" xfId="10769"/>
    <cellStyle name="Note 10 6 2" xfId="10770"/>
    <cellStyle name="Note 10 7" xfId="10771"/>
    <cellStyle name="Note 10 7 2" xfId="10772"/>
    <cellStyle name="Note 10 8" xfId="10773"/>
    <cellStyle name="Note 10 8 2" xfId="10774"/>
    <cellStyle name="Note 10 9" xfId="10775"/>
    <cellStyle name="Note 10 9 2" xfId="10776"/>
    <cellStyle name="Note 11" xfId="1867"/>
    <cellStyle name="Note 11 10" xfId="10777"/>
    <cellStyle name="Note 11 10 2" xfId="10778"/>
    <cellStyle name="Note 11 11" xfId="10779"/>
    <cellStyle name="Note 11 12" xfId="10780"/>
    <cellStyle name="Note 11 13" xfId="10781"/>
    <cellStyle name="Note 11 2" xfId="1868"/>
    <cellStyle name="Note 11 2 10" xfId="10782"/>
    <cellStyle name="Note 11 2 2" xfId="10783"/>
    <cellStyle name="Note 11 2 2 2" xfId="10784"/>
    <cellStyle name="Note 11 2 3" xfId="10785"/>
    <cellStyle name="Note 11 2 3 2" xfId="10786"/>
    <cellStyle name="Note 11 2 4" xfId="10787"/>
    <cellStyle name="Note 11 2 4 2" xfId="10788"/>
    <cellStyle name="Note 11 2 5" xfId="10789"/>
    <cellStyle name="Note 11 2 5 2" xfId="10790"/>
    <cellStyle name="Note 11 2 6" xfId="10791"/>
    <cellStyle name="Note 11 2 6 2" xfId="10792"/>
    <cellStyle name="Note 11 2 7" xfId="10793"/>
    <cellStyle name="Note 11 2 7 2" xfId="10794"/>
    <cellStyle name="Note 11 2 8" xfId="10795"/>
    <cellStyle name="Note 11 2 8 2" xfId="10796"/>
    <cellStyle name="Note 11 2 9" xfId="10797"/>
    <cellStyle name="Note 11 2 9 2" xfId="10798"/>
    <cellStyle name="Note 11 3" xfId="1869"/>
    <cellStyle name="Note 11 3 2" xfId="10799"/>
    <cellStyle name="Note 11 4" xfId="1870"/>
    <cellStyle name="Note 11 4 2" xfId="10800"/>
    <cellStyle name="Note 11 5" xfId="1871"/>
    <cellStyle name="Note 11 5 2" xfId="10801"/>
    <cellStyle name="Note 11 6" xfId="10802"/>
    <cellStyle name="Note 11 6 2" xfId="10803"/>
    <cellStyle name="Note 11 7" xfId="10804"/>
    <cellStyle name="Note 11 7 2" xfId="10805"/>
    <cellStyle name="Note 11 8" xfId="10806"/>
    <cellStyle name="Note 11 8 2" xfId="10807"/>
    <cellStyle name="Note 11 9" xfId="10808"/>
    <cellStyle name="Note 11 9 2" xfId="10809"/>
    <cellStyle name="Note 12" xfId="1872"/>
    <cellStyle name="Note 12 10" xfId="10810"/>
    <cellStyle name="Note 12 10 2" xfId="10811"/>
    <cellStyle name="Note 12 11" xfId="10812"/>
    <cellStyle name="Note 12 12" xfId="10813"/>
    <cellStyle name="Note 12 13" xfId="10814"/>
    <cellStyle name="Note 12 2" xfId="10815"/>
    <cellStyle name="Note 12 2 10" xfId="10816"/>
    <cellStyle name="Note 12 2 2" xfId="10817"/>
    <cellStyle name="Note 12 2 2 2" xfId="10818"/>
    <cellStyle name="Note 12 2 3" xfId="10819"/>
    <cellStyle name="Note 12 2 3 2" xfId="10820"/>
    <cellStyle name="Note 12 2 4" xfId="10821"/>
    <cellStyle name="Note 12 2 4 2" xfId="10822"/>
    <cellStyle name="Note 12 2 5" xfId="10823"/>
    <cellStyle name="Note 12 2 5 2" xfId="10824"/>
    <cellStyle name="Note 12 2 6" xfId="10825"/>
    <cellStyle name="Note 12 2 6 2" xfId="10826"/>
    <cellStyle name="Note 12 2 7" xfId="10827"/>
    <cellStyle name="Note 12 2 7 2" xfId="10828"/>
    <cellStyle name="Note 12 2 8" xfId="10829"/>
    <cellStyle name="Note 12 2 8 2" xfId="10830"/>
    <cellStyle name="Note 12 2 9" xfId="10831"/>
    <cellStyle name="Note 12 2 9 2" xfId="10832"/>
    <cellStyle name="Note 12 3" xfId="10833"/>
    <cellStyle name="Note 12 3 2" xfId="10834"/>
    <cellStyle name="Note 12 4" xfId="10835"/>
    <cellStyle name="Note 12 4 2" xfId="10836"/>
    <cellStyle name="Note 12 5" xfId="10837"/>
    <cellStyle name="Note 12 5 2" xfId="10838"/>
    <cellStyle name="Note 12 6" xfId="10839"/>
    <cellStyle name="Note 12 6 2" xfId="10840"/>
    <cellStyle name="Note 12 7" xfId="10841"/>
    <cellStyle name="Note 12 7 2" xfId="10842"/>
    <cellStyle name="Note 12 8" xfId="10843"/>
    <cellStyle name="Note 12 8 2" xfId="10844"/>
    <cellStyle name="Note 12 9" xfId="10845"/>
    <cellStyle name="Note 12 9 2" xfId="10846"/>
    <cellStyle name="Note 13" xfId="1873"/>
    <cellStyle name="Note 13 10" xfId="10847"/>
    <cellStyle name="Note 13 10 2" xfId="10848"/>
    <cellStyle name="Note 13 11" xfId="10849"/>
    <cellStyle name="Note 13 12" xfId="10850"/>
    <cellStyle name="Note 13 13" xfId="10851"/>
    <cellStyle name="Note 13 2" xfId="10852"/>
    <cellStyle name="Note 13 2 10" xfId="10853"/>
    <cellStyle name="Note 13 2 2" xfId="10854"/>
    <cellStyle name="Note 13 2 2 2" xfId="10855"/>
    <cellStyle name="Note 13 2 3" xfId="10856"/>
    <cellStyle name="Note 13 2 3 2" xfId="10857"/>
    <cellStyle name="Note 13 2 4" xfId="10858"/>
    <cellStyle name="Note 13 2 4 2" xfId="10859"/>
    <cellStyle name="Note 13 2 5" xfId="10860"/>
    <cellStyle name="Note 13 2 5 2" xfId="10861"/>
    <cellStyle name="Note 13 2 6" xfId="10862"/>
    <cellStyle name="Note 13 2 6 2" xfId="10863"/>
    <cellStyle name="Note 13 2 7" xfId="10864"/>
    <cellStyle name="Note 13 2 7 2" xfId="10865"/>
    <cellStyle name="Note 13 2 8" xfId="10866"/>
    <cellStyle name="Note 13 2 8 2" xfId="10867"/>
    <cellStyle name="Note 13 2 9" xfId="10868"/>
    <cellStyle name="Note 13 2 9 2" xfId="10869"/>
    <cellStyle name="Note 13 3" xfId="10870"/>
    <cellStyle name="Note 13 3 2" xfId="10871"/>
    <cellStyle name="Note 13 4" xfId="10872"/>
    <cellStyle name="Note 13 4 2" xfId="10873"/>
    <cellStyle name="Note 13 5" xfId="10874"/>
    <cellStyle name="Note 13 5 2" xfId="10875"/>
    <cellStyle name="Note 13 6" xfId="10876"/>
    <cellStyle name="Note 13 6 2" xfId="10877"/>
    <cellStyle name="Note 13 7" xfId="10878"/>
    <cellStyle name="Note 13 7 2" xfId="10879"/>
    <cellStyle name="Note 13 8" xfId="10880"/>
    <cellStyle name="Note 13 8 2" xfId="10881"/>
    <cellStyle name="Note 13 9" xfId="10882"/>
    <cellStyle name="Note 13 9 2" xfId="10883"/>
    <cellStyle name="Note 14" xfId="1874"/>
    <cellStyle name="Note 14 10" xfId="10884"/>
    <cellStyle name="Note 14 10 2" xfId="10885"/>
    <cellStyle name="Note 14 11" xfId="10886"/>
    <cellStyle name="Note 14 12" xfId="10887"/>
    <cellStyle name="Note 14 13" xfId="10888"/>
    <cellStyle name="Note 14 2" xfId="10889"/>
    <cellStyle name="Note 14 2 10" xfId="10890"/>
    <cellStyle name="Note 14 2 2" xfId="10891"/>
    <cellStyle name="Note 14 2 2 2" xfId="10892"/>
    <cellStyle name="Note 14 2 3" xfId="10893"/>
    <cellStyle name="Note 14 2 3 2" xfId="10894"/>
    <cellStyle name="Note 14 2 4" xfId="10895"/>
    <cellStyle name="Note 14 2 4 2" xfId="10896"/>
    <cellStyle name="Note 14 2 5" xfId="10897"/>
    <cellStyle name="Note 14 2 5 2" xfId="10898"/>
    <cellStyle name="Note 14 2 6" xfId="10899"/>
    <cellStyle name="Note 14 2 6 2" xfId="10900"/>
    <cellStyle name="Note 14 2 7" xfId="10901"/>
    <cellStyle name="Note 14 2 7 2" xfId="10902"/>
    <cellStyle name="Note 14 2 8" xfId="10903"/>
    <cellStyle name="Note 14 2 8 2" xfId="10904"/>
    <cellStyle name="Note 14 2 9" xfId="10905"/>
    <cellStyle name="Note 14 2 9 2" xfId="10906"/>
    <cellStyle name="Note 14 3" xfId="10907"/>
    <cellStyle name="Note 14 3 2" xfId="10908"/>
    <cellStyle name="Note 14 4" xfId="10909"/>
    <cellStyle name="Note 14 4 2" xfId="10910"/>
    <cellStyle name="Note 14 5" xfId="10911"/>
    <cellStyle name="Note 14 5 2" xfId="10912"/>
    <cellStyle name="Note 14 6" xfId="10913"/>
    <cellStyle name="Note 14 6 2" xfId="10914"/>
    <cellStyle name="Note 14 7" xfId="10915"/>
    <cellStyle name="Note 14 7 2" xfId="10916"/>
    <cellStyle name="Note 14 8" xfId="10917"/>
    <cellStyle name="Note 14 8 2" xfId="10918"/>
    <cellStyle name="Note 14 9" xfId="10919"/>
    <cellStyle name="Note 14 9 2" xfId="10920"/>
    <cellStyle name="Note 15" xfId="1875"/>
    <cellStyle name="Note 15 10" xfId="10921"/>
    <cellStyle name="Note 15 10 2" xfId="10922"/>
    <cellStyle name="Note 15 11" xfId="10923"/>
    <cellStyle name="Note 15 12" xfId="10924"/>
    <cellStyle name="Note 15 2" xfId="1876"/>
    <cellStyle name="Note 15 2 10" xfId="10925"/>
    <cellStyle name="Note 15 2 2" xfId="10926"/>
    <cellStyle name="Note 15 2 2 2" xfId="10927"/>
    <cellStyle name="Note 15 2 3" xfId="10928"/>
    <cellStyle name="Note 15 2 3 2" xfId="10929"/>
    <cellStyle name="Note 15 2 4" xfId="10930"/>
    <cellStyle name="Note 15 2 4 2" xfId="10931"/>
    <cellStyle name="Note 15 2 5" xfId="10932"/>
    <cellStyle name="Note 15 2 5 2" xfId="10933"/>
    <cellStyle name="Note 15 2 6" xfId="10934"/>
    <cellStyle name="Note 15 2 6 2" xfId="10935"/>
    <cellStyle name="Note 15 2 7" xfId="10936"/>
    <cellStyle name="Note 15 2 7 2" xfId="10937"/>
    <cellStyle name="Note 15 2 8" xfId="10938"/>
    <cellStyle name="Note 15 2 8 2" xfId="10939"/>
    <cellStyle name="Note 15 2 9" xfId="10940"/>
    <cellStyle name="Note 15 2 9 2" xfId="10941"/>
    <cellStyle name="Note 15 3" xfId="1877"/>
    <cellStyle name="Note 15 3 2" xfId="10942"/>
    <cellStyle name="Note 15 4" xfId="1878"/>
    <cellStyle name="Note 15 4 2" xfId="10943"/>
    <cellStyle name="Note 15 5" xfId="1879"/>
    <cellStyle name="Note 15 5 2" xfId="10944"/>
    <cellStyle name="Note 15 6" xfId="10945"/>
    <cellStyle name="Note 15 6 2" xfId="10946"/>
    <cellStyle name="Note 15 7" xfId="10947"/>
    <cellStyle name="Note 15 7 2" xfId="10948"/>
    <cellStyle name="Note 15 8" xfId="10949"/>
    <cellStyle name="Note 15 8 2" xfId="10950"/>
    <cellStyle name="Note 15 9" xfId="10951"/>
    <cellStyle name="Note 15 9 2" xfId="10952"/>
    <cellStyle name="Note 16" xfId="1880"/>
    <cellStyle name="Note 16 10" xfId="10953"/>
    <cellStyle name="Note 16 10 2" xfId="10954"/>
    <cellStyle name="Note 16 11" xfId="10955"/>
    <cellStyle name="Note 16 2" xfId="1881"/>
    <cellStyle name="Note 16 2 10" xfId="10956"/>
    <cellStyle name="Note 16 2 2" xfId="10957"/>
    <cellStyle name="Note 16 2 2 2" xfId="10958"/>
    <cellStyle name="Note 16 2 3" xfId="10959"/>
    <cellStyle name="Note 16 2 3 2" xfId="10960"/>
    <cellStyle name="Note 16 2 4" xfId="10961"/>
    <cellStyle name="Note 16 2 4 2" xfId="10962"/>
    <cellStyle name="Note 16 2 5" xfId="10963"/>
    <cellStyle name="Note 16 2 5 2" xfId="10964"/>
    <cellStyle name="Note 16 2 6" xfId="10965"/>
    <cellStyle name="Note 16 2 6 2" xfId="10966"/>
    <cellStyle name="Note 16 2 7" xfId="10967"/>
    <cellStyle name="Note 16 2 7 2" xfId="10968"/>
    <cellStyle name="Note 16 2 8" xfId="10969"/>
    <cellStyle name="Note 16 2 8 2" xfId="10970"/>
    <cellStyle name="Note 16 2 9" xfId="10971"/>
    <cellStyle name="Note 16 2 9 2" xfId="10972"/>
    <cellStyle name="Note 16 3" xfId="1882"/>
    <cellStyle name="Note 16 3 2" xfId="10973"/>
    <cellStyle name="Note 16 4" xfId="1883"/>
    <cellStyle name="Note 16 4 2" xfId="10974"/>
    <cellStyle name="Note 16 5" xfId="1884"/>
    <cellStyle name="Note 16 5 2" xfId="10975"/>
    <cellStyle name="Note 16 6" xfId="10976"/>
    <cellStyle name="Note 16 6 2" xfId="10977"/>
    <cellStyle name="Note 16 7" xfId="10978"/>
    <cellStyle name="Note 16 7 2" xfId="10979"/>
    <cellStyle name="Note 16 8" xfId="10980"/>
    <cellStyle name="Note 16 8 2" xfId="10981"/>
    <cellStyle name="Note 16 9" xfId="10982"/>
    <cellStyle name="Note 16 9 2" xfId="10983"/>
    <cellStyle name="Note 17" xfId="1885"/>
    <cellStyle name="Note 17 10" xfId="10984"/>
    <cellStyle name="Note 17 10 2" xfId="10985"/>
    <cellStyle name="Note 17 11" xfId="10986"/>
    <cellStyle name="Note 17 2" xfId="10987"/>
    <cellStyle name="Note 17 2 10" xfId="10988"/>
    <cellStyle name="Note 17 2 2" xfId="10989"/>
    <cellStyle name="Note 17 2 2 2" xfId="10990"/>
    <cellStyle name="Note 17 2 3" xfId="10991"/>
    <cellStyle name="Note 17 2 3 2" xfId="10992"/>
    <cellStyle name="Note 17 2 4" xfId="10993"/>
    <cellStyle name="Note 17 2 4 2" xfId="10994"/>
    <cellStyle name="Note 17 2 5" xfId="10995"/>
    <cellStyle name="Note 17 2 5 2" xfId="10996"/>
    <cellStyle name="Note 17 2 6" xfId="10997"/>
    <cellStyle name="Note 17 2 6 2" xfId="10998"/>
    <cellStyle name="Note 17 2 7" xfId="10999"/>
    <cellStyle name="Note 17 2 7 2" xfId="11000"/>
    <cellStyle name="Note 17 2 8" xfId="11001"/>
    <cellStyle name="Note 17 2 8 2" xfId="11002"/>
    <cellStyle name="Note 17 2 9" xfId="11003"/>
    <cellStyle name="Note 17 2 9 2" xfId="11004"/>
    <cellStyle name="Note 17 3" xfId="11005"/>
    <cellStyle name="Note 17 3 2" xfId="11006"/>
    <cellStyle name="Note 17 4" xfId="11007"/>
    <cellStyle name="Note 17 4 2" xfId="11008"/>
    <cellStyle name="Note 17 5" xfId="11009"/>
    <cellStyle name="Note 17 5 2" xfId="11010"/>
    <cellStyle name="Note 17 6" xfId="11011"/>
    <cellStyle name="Note 17 6 2" xfId="11012"/>
    <cellStyle name="Note 17 7" xfId="11013"/>
    <cellStyle name="Note 17 7 2" xfId="11014"/>
    <cellStyle name="Note 17 8" xfId="11015"/>
    <cellStyle name="Note 17 8 2" xfId="11016"/>
    <cellStyle name="Note 17 9" xfId="11017"/>
    <cellStyle name="Note 17 9 2" xfId="11018"/>
    <cellStyle name="Note 18" xfId="1886"/>
    <cellStyle name="Note 18 10" xfId="11019"/>
    <cellStyle name="Note 18 10 2" xfId="11020"/>
    <cellStyle name="Note 18 11" xfId="11021"/>
    <cellStyle name="Note 18 2" xfId="1887"/>
    <cellStyle name="Note 18 2 10" xfId="11022"/>
    <cellStyle name="Note 18 2 2" xfId="11023"/>
    <cellStyle name="Note 18 2 2 2" xfId="11024"/>
    <cellStyle name="Note 18 2 3" xfId="11025"/>
    <cellStyle name="Note 18 2 3 2" xfId="11026"/>
    <cellStyle name="Note 18 2 4" xfId="11027"/>
    <cellStyle name="Note 18 2 4 2" xfId="11028"/>
    <cellStyle name="Note 18 2 5" xfId="11029"/>
    <cellStyle name="Note 18 2 5 2" xfId="11030"/>
    <cellStyle name="Note 18 2 6" xfId="11031"/>
    <cellStyle name="Note 18 2 6 2" xfId="11032"/>
    <cellStyle name="Note 18 2 7" xfId="11033"/>
    <cellStyle name="Note 18 2 7 2" xfId="11034"/>
    <cellStyle name="Note 18 2 8" xfId="11035"/>
    <cellStyle name="Note 18 2 8 2" xfId="11036"/>
    <cellStyle name="Note 18 2 9" xfId="11037"/>
    <cellStyle name="Note 18 2 9 2" xfId="11038"/>
    <cellStyle name="Note 18 3" xfId="1888"/>
    <cellStyle name="Note 18 3 2" xfId="11039"/>
    <cellStyle name="Note 18 4" xfId="1889"/>
    <cellStyle name="Note 18 4 2" xfId="11040"/>
    <cellStyle name="Note 18 5" xfId="1890"/>
    <cellStyle name="Note 18 5 2" xfId="11041"/>
    <cellStyle name="Note 18 6" xfId="11042"/>
    <cellStyle name="Note 18 6 2" xfId="11043"/>
    <cellStyle name="Note 18 7" xfId="11044"/>
    <cellStyle name="Note 18 7 2" xfId="11045"/>
    <cellStyle name="Note 18 8" xfId="11046"/>
    <cellStyle name="Note 18 8 2" xfId="11047"/>
    <cellStyle name="Note 18 9" xfId="11048"/>
    <cellStyle name="Note 18 9 2" xfId="11049"/>
    <cellStyle name="Note 19" xfId="1891"/>
    <cellStyle name="Note 19 10" xfId="11050"/>
    <cellStyle name="Note 19 10 2" xfId="11051"/>
    <cellStyle name="Note 19 11" xfId="11052"/>
    <cellStyle name="Note 19 2" xfId="11053"/>
    <cellStyle name="Note 19 2 10" xfId="11054"/>
    <cellStyle name="Note 19 2 2" xfId="11055"/>
    <cellStyle name="Note 19 2 2 2" xfId="11056"/>
    <cellStyle name="Note 19 2 3" xfId="11057"/>
    <cellStyle name="Note 19 2 3 2" xfId="11058"/>
    <cellStyle name="Note 19 2 4" xfId="11059"/>
    <cellStyle name="Note 19 2 4 2" xfId="11060"/>
    <cellStyle name="Note 19 2 5" xfId="11061"/>
    <cellStyle name="Note 19 2 5 2" xfId="11062"/>
    <cellStyle name="Note 19 2 6" xfId="11063"/>
    <cellStyle name="Note 19 2 6 2" xfId="11064"/>
    <cellStyle name="Note 19 2 7" xfId="11065"/>
    <cellStyle name="Note 19 2 7 2" xfId="11066"/>
    <cellStyle name="Note 19 2 8" xfId="11067"/>
    <cellStyle name="Note 19 2 8 2" xfId="11068"/>
    <cellStyle name="Note 19 2 9" xfId="11069"/>
    <cellStyle name="Note 19 2 9 2" xfId="11070"/>
    <cellStyle name="Note 19 3" xfId="11071"/>
    <cellStyle name="Note 19 3 2" xfId="11072"/>
    <cellStyle name="Note 19 4" xfId="11073"/>
    <cellStyle name="Note 19 4 2" xfId="11074"/>
    <cellStyle name="Note 19 5" xfId="11075"/>
    <cellStyle name="Note 19 5 2" xfId="11076"/>
    <cellStyle name="Note 19 6" xfId="11077"/>
    <cellStyle name="Note 19 6 2" xfId="11078"/>
    <cellStyle name="Note 19 7" xfId="11079"/>
    <cellStyle name="Note 19 7 2" xfId="11080"/>
    <cellStyle name="Note 19 8" xfId="11081"/>
    <cellStyle name="Note 19 8 2" xfId="11082"/>
    <cellStyle name="Note 19 9" xfId="11083"/>
    <cellStyle name="Note 19 9 2" xfId="11084"/>
    <cellStyle name="Note 2" xfId="1892"/>
    <cellStyle name="Note 2 10" xfId="11085"/>
    <cellStyle name="Note 2 10 2" xfId="11086"/>
    <cellStyle name="Note 2 11" xfId="11087"/>
    <cellStyle name="Note 2 12" xfId="11088"/>
    <cellStyle name="Note 2 12 2" xfId="11089"/>
    <cellStyle name="Note 2 12 3" xfId="11090"/>
    <cellStyle name="Note 2 12 4" xfId="11091"/>
    <cellStyle name="Note 2 13" xfId="11092"/>
    <cellStyle name="Note 2 14" xfId="11093"/>
    <cellStyle name="Note 2 15" xfId="11094"/>
    <cellStyle name="Note 2 16" xfId="11095"/>
    <cellStyle name="Note 2 2" xfId="1893"/>
    <cellStyle name="Note 2 2 10" xfId="11096"/>
    <cellStyle name="Note 2 2 11" xfId="11097"/>
    <cellStyle name="Note 2 2 12" xfId="11098"/>
    <cellStyle name="Note 2 2 2" xfId="11099"/>
    <cellStyle name="Note 2 2 2 2" xfId="11100"/>
    <cellStyle name="Note 2 2 2 2 2" xfId="11101"/>
    <cellStyle name="Note 2 2 2 2 2 2" xfId="11102"/>
    <cellStyle name="Note 2 2 2 2 2 2 2" xfId="11103"/>
    <cellStyle name="Note 2 2 2 2 2 3" xfId="11104"/>
    <cellStyle name="Note 2 2 2 2 3" xfId="11105"/>
    <cellStyle name="Note 2 2 2 2 3 2" xfId="11106"/>
    <cellStyle name="Note 2 2 2 2 4" xfId="11107"/>
    <cellStyle name="Note 2 2 2 2 5" xfId="11108"/>
    <cellStyle name="Note 2 2 2 3" xfId="11109"/>
    <cellStyle name="Note 2 2 2 3 2" xfId="11110"/>
    <cellStyle name="Note 2 2 2 3 2 2" xfId="11111"/>
    <cellStyle name="Note 2 2 2 3 3" xfId="11112"/>
    <cellStyle name="Note 2 2 2 3 4" xfId="11113"/>
    <cellStyle name="Note 2 2 2 4" xfId="11114"/>
    <cellStyle name="Note 2 2 2 4 2" xfId="11115"/>
    <cellStyle name="Note 2 2 2 5" xfId="11116"/>
    <cellStyle name="Note 2 2 2 6" xfId="11117"/>
    <cellStyle name="Note 2 2 2 7" xfId="11118"/>
    <cellStyle name="Note 2 2 3" xfId="11119"/>
    <cellStyle name="Note 2 2 3 2" xfId="11120"/>
    <cellStyle name="Note 2 2 3 2 2" xfId="11121"/>
    <cellStyle name="Note 2 2 3 2 2 2" xfId="11122"/>
    <cellStyle name="Note 2 2 3 2 3" xfId="11123"/>
    <cellStyle name="Note 2 2 3 2 4" xfId="11124"/>
    <cellStyle name="Note 2 2 3 2 5" xfId="11125"/>
    <cellStyle name="Note 2 2 3 3" xfId="11126"/>
    <cellStyle name="Note 2 2 3 3 2" xfId="11127"/>
    <cellStyle name="Note 2 2 3 4" xfId="11128"/>
    <cellStyle name="Note 2 2 3 5" xfId="11129"/>
    <cellStyle name="Note 2 2 3 6" xfId="11130"/>
    <cellStyle name="Note 2 2 4" xfId="11131"/>
    <cellStyle name="Note 2 2 4 2" xfId="11132"/>
    <cellStyle name="Note 2 2 4 2 2" xfId="11133"/>
    <cellStyle name="Note 2 2 4 2 3" xfId="11134"/>
    <cellStyle name="Note 2 2 4 2 4" xfId="11135"/>
    <cellStyle name="Note 2 2 4 3" xfId="11136"/>
    <cellStyle name="Note 2 2 4 4" xfId="11137"/>
    <cellStyle name="Note 2 2 4 5" xfId="11138"/>
    <cellStyle name="Note 2 2 5" xfId="11139"/>
    <cellStyle name="Note 2 2 5 2" xfId="11140"/>
    <cellStyle name="Note 2 2 5 3" xfId="11141"/>
    <cellStyle name="Note 2 2 6" xfId="11142"/>
    <cellStyle name="Note 2 2 6 2" xfId="11143"/>
    <cellStyle name="Note 2 2 7" xfId="11144"/>
    <cellStyle name="Note 2 2 7 2" xfId="11145"/>
    <cellStyle name="Note 2 2 8" xfId="11146"/>
    <cellStyle name="Note 2 2 8 2" xfId="11147"/>
    <cellStyle name="Note 2 2 9" xfId="11148"/>
    <cellStyle name="Note 2 2 9 2" xfId="11149"/>
    <cellStyle name="Note 2 3" xfId="11150"/>
    <cellStyle name="Note 2 3 2" xfId="11151"/>
    <cellStyle name="Note 2 3 2 2" xfId="11152"/>
    <cellStyle name="Note 2 3 2 2 2" xfId="11153"/>
    <cellStyle name="Note 2 3 2 2 2 2" xfId="11154"/>
    <cellStyle name="Note 2 3 2 2 3" xfId="11155"/>
    <cellStyle name="Note 2 3 2 2 4" xfId="11156"/>
    <cellStyle name="Note 2 3 2 3" xfId="11157"/>
    <cellStyle name="Note 2 3 2 3 2" xfId="11158"/>
    <cellStyle name="Note 2 3 2 4" xfId="11159"/>
    <cellStyle name="Note 2 3 2 5" xfId="11160"/>
    <cellStyle name="Note 2 3 3" xfId="11161"/>
    <cellStyle name="Note 2 3 3 2" xfId="11162"/>
    <cellStyle name="Note 2 3 3 2 2" xfId="11163"/>
    <cellStyle name="Note 2 3 3 3" xfId="11164"/>
    <cellStyle name="Note 2 3 3 4" xfId="11165"/>
    <cellStyle name="Note 2 3 3 5" xfId="11166"/>
    <cellStyle name="Note 2 3 4" xfId="11167"/>
    <cellStyle name="Note 2 3 4 2" xfId="11168"/>
    <cellStyle name="Note 2 3 5" xfId="11169"/>
    <cellStyle name="Note 2 3 6" xfId="11170"/>
    <cellStyle name="Note 2 3 7" xfId="11171"/>
    <cellStyle name="Note 2 4" xfId="11172"/>
    <cellStyle name="Note 2 4 2" xfId="11173"/>
    <cellStyle name="Note 2 4 2 2" xfId="11174"/>
    <cellStyle name="Note 2 4 2 2 2" xfId="11175"/>
    <cellStyle name="Note 2 4 2 2 3" xfId="11176"/>
    <cellStyle name="Note 2 4 2 3" xfId="11177"/>
    <cellStyle name="Note 2 4 2 4" xfId="11178"/>
    <cellStyle name="Note 2 4 2 5" xfId="11179"/>
    <cellStyle name="Note 2 4 3" xfId="11180"/>
    <cellStyle name="Note 2 4 3 2" xfId="11181"/>
    <cellStyle name="Note 2 4 3 3" xfId="11182"/>
    <cellStyle name="Note 2 4 4" xfId="11183"/>
    <cellStyle name="Note 2 4 4 2" xfId="11184"/>
    <cellStyle name="Note 2 4 5" xfId="11185"/>
    <cellStyle name="Note 2 4 6" xfId="11186"/>
    <cellStyle name="Note 2 4 7" xfId="11187"/>
    <cellStyle name="Note 2 5" xfId="11188"/>
    <cellStyle name="Note 2 5 2" xfId="11189"/>
    <cellStyle name="Note 2 5 2 2" xfId="11190"/>
    <cellStyle name="Note 2 5 2 3" xfId="11191"/>
    <cellStyle name="Note 2 5 2 4" xfId="11192"/>
    <cellStyle name="Note 2 5 2 5" xfId="11193"/>
    <cellStyle name="Note 2 5 3" xfId="11194"/>
    <cellStyle name="Note 2 5 4" xfId="11195"/>
    <cellStyle name="Note 2 5 5" xfId="11196"/>
    <cellStyle name="Note 2 6" xfId="11197"/>
    <cellStyle name="Note 2 6 2" xfId="11198"/>
    <cellStyle name="Note 2 6 2 2" xfId="11199"/>
    <cellStyle name="Note 2 6 2 3" xfId="11200"/>
    <cellStyle name="Note 2 6 2 4" xfId="11201"/>
    <cellStyle name="Note 2 6 3" xfId="11202"/>
    <cellStyle name="Note 2 6 4" xfId="11203"/>
    <cellStyle name="Note 2 6 5" xfId="11204"/>
    <cellStyle name="Note 2 7" xfId="11205"/>
    <cellStyle name="Note 2 7 2" xfId="11206"/>
    <cellStyle name="Note 2 7 2 2" xfId="11207"/>
    <cellStyle name="Note 2 7 2 3" xfId="11208"/>
    <cellStyle name="Note 2 7 2 4" xfId="11209"/>
    <cellStyle name="Note 2 7 3" xfId="11210"/>
    <cellStyle name="Note 2 7 4" xfId="11211"/>
    <cellStyle name="Note 2 7 5" xfId="11212"/>
    <cellStyle name="Note 2 8" xfId="11213"/>
    <cellStyle name="Note 2 8 2" xfId="11214"/>
    <cellStyle name="Note 2 9" xfId="11215"/>
    <cellStyle name="Note 2 9 2" xfId="11216"/>
    <cellStyle name="Note 20" xfId="1894"/>
    <cellStyle name="Note 20 10" xfId="11217"/>
    <cellStyle name="Note 20 10 2" xfId="11218"/>
    <cellStyle name="Note 20 11" xfId="11219"/>
    <cellStyle name="Note 20 2" xfId="11220"/>
    <cellStyle name="Note 20 2 10" xfId="11221"/>
    <cellStyle name="Note 20 2 2" xfId="11222"/>
    <cellStyle name="Note 20 2 2 2" xfId="11223"/>
    <cellStyle name="Note 20 2 3" xfId="11224"/>
    <cellStyle name="Note 20 2 3 2" xfId="11225"/>
    <cellStyle name="Note 20 2 4" xfId="11226"/>
    <cellStyle name="Note 20 2 4 2" xfId="11227"/>
    <cellStyle name="Note 20 2 5" xfId="11228"/>
    <cellStyle name="Note 20 2 5 2" xfId="11229"/>
    <cellStyle name="Note 20 2 6" xfId="11230"/>
    <cellStyle name="Note 20 2 6 2" xfId="11231"/>
    <cellStyle name="Note 20 2 7" xfId="11232"/>
    <cellStyle name="Note 20 2 7 2" xfId="11233"/>
    <cellStyle name="Note 20 2 8" xfId="11234"/>
    <cellStyle name="Note 20 2 8 2" xfId="11235"/>
    <cellStyle name="Note 20 2 9" xfId="11236"/>
    <cellStyle name="Note 20 2 9 2" xfId="11237"/>
    <cellStyle name="Note 20 3" xfId="11238"/>
    <cellStyle name="Note 20 3 2" xfId="11239"/>
    <cellStyle name="Note 20 4" xfId="11240"/>
    <cellStyle name="Note 20 4 2" xfId="11241"/>
    <cellStyle name="Note 20 5" xfId="11242"/>
    <cellStyle name="Note 20 5 2" xfId="11243"/>
    <cellStyle name="Note 20 6" xfId="11244"/>
    <cellStyle name="Note 20 6 2" xfId="11245"/>
    <cellStyle name="Note 20 7" xfId="11246"/>
    <cellStyle name="Note 20 7 2" xfId="11247"/>
    <cellStyle name="Note 20 8" xfId="11248"/>
    <cellStyle name="Note 20 8 2" xfId="11249"/>
    <cellStyle name="Note 20 9" xfId="11250"/>
    <cellStyle name="Note 20 9 2" xfId="11251"/>
    <cellStyle name="Note 21" xfId="1895"/>
    <cellStyle name="Note 21 10" xfId="11252"/>
    <cellStyle name="Note 21 10 2" xfId="11253"/>
    <cellStyle name="Note 21 11" xfId="11254"/>
    <cellStyle name="Note 21 2" xfId="11255"/>
    <cellStyle name="Note 21 2 10" xfId="11256"/>
    <cellStyle name="Note 21 2 2" xfId="11257"/>
    <cellStyle name="Note 21 2 2 2" xfId="11258"/>
    <cellStyle name="Note 21 2 3" xfId="11259"/>
    <cellStyle name="Note 21 2 3 2" xfId="11260"/>
    <cellStyle name="Note 21 2 4" xfId="11261"/>
    <cellStyle name="Note 21 2 4 2" xfId="11262"/>
    <cellStyle name="Note 21 2 5" xfId="11263"/>
    <cellStyle name="Note 21 2 5 2" xfId="11264"/>
    <cellStyle name="Note 21 2 6" xfId="11265"/>
    <cellStyle name="Note 21 2 6 2" xfId="11266"/>
    <cellStyle name="Note 21 2 7" xfId="11267"/>
    <cellStyle name="Note 21 2 7 2" xfId="11268"/>
    <cellStyle name="Note 21 2 8" xfId="11269"/>
    <cellStyle name="Note 21 2 8 2" xfId="11270"/>
    <cellStyle name="Note 21 2 9" xfId="11271"/>
    <cellStyle name="Note 21 2 9 2" xfId="11272"/>
    <cellStyle name="Note 21 3" xfId="11273"/>
    <cellStyle name="Note 21 3 2" xfId="11274"/>
    <cellStyle name="Note 21 4" xfId="11275"/>
    <cellStyle name="Note 21 4 2" xfId="11276"/>
    <cellStyle name="Note 21 5" xfId="11277"/>
    <cellStyle name="Note 21 5 2" xfId="11278"/>
    <cellStyle name="Note 21 6" xfId="11279"/>
    <cellStyle name="Note 21 6 2" xfId="11280"/>
    <cellStyle name="Note 21 7" xfId="11281"/>
    <cellStyle name="Note 21 7 2" xfId="11282"/>
    <cellStyle name="Note 21 8" xfId="11283"/>
    <cellStyle name="Note 21 8 2" xfId="11284"/>
    <cellStyle name="Note 21 9" xfId="11285"/>
    <cellStyle name="Note 21 9 2" xfId="11286"/>
    <cellStyle name="Note 22" xfId="1896"/>
    <cellStyle name="Note 22 10" xfId="11287"/>
    <cellStyle name="Note 22 2" xfId="11288"/>
    <cellStyle name="Note 22 2 2" xfId="11289"/>
    <cellStyle name="Note 22 3" xfId="11290"/>
    <cellStyle name="Note 22 3 2" xfId="11291"/>
    <cellStyle name="Note 22 4" xfId="11292"/>
    <cellStyle name="Note 22 4 2" xfId="11293"/>
    <cellStyle name="Note 22 5" xfId="11294"/>
    <cellStyle name="Note 22 5 2" xfId="11295"/>
    <cellStyle name="Note 22 6" xfId="11296"/>
    <cellStyle name="Note 22 6 2" xfId="11297"/>
    <cellStyle name="Note 22 7" xfId="11298"/>
    <cellStyle name="Note 22 7 2" xfId="11299"/>
    <cellStyle name="Note 22 8" xfId="11300"/>
    <cellStyle name="Note 22 8 2" xfId="11301"/>
    <cellStyle name="Note 22 9" xfId="11302"/>
    <cellStyle name="Note 22 9 2" xfId="11303"/>
    <cellStyle name="Note 23" xfId="1897"/>
    <cellStyle name="Note 23 2" xfId="11304"/>
    <cellStyle name="Note 23 2 2" xfId="11305"/>
    <cellStyle name="Note 23 3" xfId="11306"/>
    <cellStyle name="Note 23 4" xfId="11307"/>
    <cellStyle name="Note 24" xfId="1898"/>
    <cellStyle name="Note 25" xfId="1899"/>
    <cellStyle name="Note 26" xfId="1900"/>
    <cellStyle name="Note 27" xfId="1901"/>
    <cellStyle name="Note 28" xfId="1902"/>
    <cellStyle name="Note 29" xfId="1903"/>
    <cellStyle name="Note 3" xfId="1904"/>
    <cellStyle name="Note 3 10" xfId="11308"/>
    <cellStyle name="Note 3 10 2" xfId="11309"/>
    <cellStyle name="Note 3 11" xfId="11310"/>
    <cellStyle name="Note 3 12" xfId="11311"/>
    <cellStyle name="Note 3 2" xfId="11312"/>
    <cellStyle name="Note 3 2 10" xfId="11313"/>
    <cellStyle name="Note 3 2 11" xfId="11314"/>
    <cellStyle name="Note 3 2 12" xfId="11315"/>
    <cellStyle name="Note 3 2 2" xfId="11316"/>
    <cellStyle name="Note 3 2 2 2" xfId="11317"/>
    <cellStyle name="Note 3 2 2 2 2" xfId="11318"/>
    <cellStyle name="Note 3 2 2 2 2 2" xfId="11319"/>
    <cellStyle name="Note 3 2 2 2 2 2 2" xfId="11320"/>
    <cellStyle name="Note 3 2 2 2 2 3" xfId="11321"/>
    <cellStyle name="Note 3 2 2 2 3" xfId="11322"/>
    <cellStyle name="Note 3 2 2 2 3 2" xfId="11323"/>
    <cellStyle name="Note 3 2 2 2 4" xfId="11324"/>
    <cellStyle name="Note 3 2 2 3" xfId="11325"/>
    <cellStyle name="Note 3 2 2 3 2" xfId="11326"/>
    <cellStyle name="Note 3 2 2 3 2 2" xfId="11327"/>
    <cellStyle name="Note 3 2 2 3 3" xfId="11328"/>
    <cellStyle name="Note 3 2 2 4" xfId="11329"/>
    <cellStyle name="Note 3 2 2 4 2" xfId="11330"/>
    <cellStyle name="Note 3 2 2 5" xfId="11331"/>
    <cellStyle name="Note 3 2 2 6" xfId="11332"/>
    <cellStyle name="Note 3 2 3" xfId="11333"/>
    <cellStyle name="Note 3 2 3 2" xfId="11334"/>
    <cellStyle name="Note 3 2 3 2 2" xfId="11335"/>
    <cellStyle name="Note 3 2 3 2 2 2" xfId="11336"/>
    <cellStyle name="Note 3 2 3 2 3" xfId="11337"/>
    <cellStyle name="Note 3 2 3 3" xfId="11338"/>
    <cellStyle name="Note 3 2 3 3 2" xfId="11339"/>
    <cellStyle name="Note 3 2 3 4" xfId="11340"/>
    <cellStyle name="Note 3 2 3 5" xfId="11341"/>
    <cellStyle name="Note 3 2 4" xfId="11342"/>
    <cellStyle name="Note 3 2 4 2" xfId="11343"/>
    <cellStyle name="Note 3 2 4 2 2" xfId="11344"/>
    <cellStyle name="Note 3 2 4 3" xfId="11345"/>
    <cellStyle name="Note 3 2 4 4" xfId="11346"/>
    <cellStyle name="Note 3 2 5" xfId="11347"/>
    <cellStyle name="Note 3 2 5 2" xfId="11348"/>
    <cellStyle name="Note 3 2 5 3" xfId="11349"/>
    <cellStyle name="Note 3 2 6" xfId="11350"/>
    <cellStyle name="Note 3 2 6 2" xfId="11351"/>
    <cellStyle name="Note 3 2 7" xfId="11352"/>
    <cellStyle name="Note 3 2 7 2" xfId="11353"/>
    <cellStyle name="Note 3 2 8" xfId="11354"/>
    <cellStyle name="Note 3 2 8 2" xfId="11355"/>
    <cellStyle name="Note 3 2 9" xfId="11356"/>
    <cellStyle name="Note 3 2 9 2" xfId="11357"/>
    <cellStyle name="Note 3 3" xfId="11358"/>
    <cellStyle name="Note 3 3 2" xfId="11359"/>
    <cellStyle name="Note 3 3 2 2" xfId="11360"/>
    <cellStyle name="Note 3 3 2 2 2" xfId="11361"/>
    <cellStyle name="Note 3 3 2 2 2 2" xfId="11362"/>
    <cellStyle name="Note 3 3 2 2 3" xfId="11363"/>
    <cellStyle name="Note 3 3 2 3" xfId="11364"/>
    <cellStyle name="Note 3 3 2 3 2" xfId="11365"/>
    <cellStyle name="Note 3 3 2 4" xfId="11366"/>
    <cellStyle name="Note 3 3 3" xfId="11367"/>
    <cellStyle name="Note 3 3 3 2" xfId="11368"/>
    <cellStyle name="Note 3 3 3 2 2" xfId="11369"/>
    <cellStyle name="Note 3 3 3 3" xfId="11370"/>
    <cellStyle name="Note 3 3 4" xfId="11371"/>
    <cellStyle name="Note 3 3 4 2" xfId="11372"/>
    <cellStyle name="Note 3 3 5" xfId="11373"/>
    <cellStyle name="Note 3 3 6" xfId="11374"/>
    <cellStyle name="Note 3 3 7" xfId="11375"/>
    <cellStyle name="Note 3 4" xfId="11376"/>
    <cellStyle name="Note 3 4 2" xfId="11377"/>
    <cellStyle name="Note 3 4 2 2" xfId="11378"/>
    <cellStyle name="Note 3 4 2 2 2" xfId="11379"/>
    <cellStyle name="Note 3 4 2 3" xfId="11380"/>
    <cellStyle name="Note 3 4 2 4" xfId="11381"/>
    <cellStyle name="Note 3 4 3" xfId="11382"/>
    <cellStyle name="Note 3 4 3 2" xfId="11383"/>
    <cellStyle name="Note 3 4 4" xfId="11384"/>
    <cellStyle name="Note 3 4 5" xfId="11385"/>
    <cellStyle name="Note 3 5" xfId="11386"/>
    <cellStyle name="Note 3 5 2" xfId="11387"/>
    <cellStyle name="Note 3 5 2 2" xfId="11388"/>
    <cellStyle name="Note 3 5 3" xfId="11389"/>
    <cellStyle name="Note 3 5 4" xfId="11390"/>
    <cellStyle name="Note 3 6" xfId="11391"/>
    <cellStyle name="Note 3 6 2" xfId="11392"/>
    <cellStyle name="Note 3 6 3" xfId="11393"/>
    <cellStyle name="Note 3 7" xfId="11394"/>
    <cellStyle name="Note 3 7 2" xfId="11395"/>
    <cellStyle name="Note 3 8" xfId="11396"/>
    <cellStyle name="Note 3 8 2" xfId="11397"/>
    <cellStyle name="Note 3 9" xfId="11398"/>
    <cellStyle name="Note 3 9 2" xfId="11399"/>
    <cellStyle name="Note 30" xfId="1905"/>
    <cellStyle name="Note 31" xfId="1906"/>
    <cellStyle name="Note 32" xfId="1907"/>
    <cellStyle name="Note 33" xfId="1908"/>
    <cellStyle name="Note 34" xfId="1909"/>
    <cellStyle name="Note 4" xfId="1910"/>
    <cellStyle name="Note 4 10" xfId="11400"/>
    <cellStyle name="Note 4 10 2" xfId="11401"/>
    <cellStyle name="Note 4 11" xfId="11402"/>
    <cellStyle name="Note 4 12" xfId="11403"/>
    <cellStyle name="Note 4 13" xfId="11404"/>
    <cellStyle name="Note 4 2" xfId="11405"/>
    <cellStyle name="Note 4 2 10" xfId="11406"/>
    <cellStyle name="Note 4 2 11" xfId="11407"/>
    <cellStyle name="Note 4 2 12" xfId="11408"/>
    <cellStyle name="Note 4 2 2" xfId="11409"/>
    <cellStyle name="Note 4 2 2 2" xfId="11410"/>
    <cellStyle name="Note 4 2 2 2 2" xfId="11411"/>
    <cellStyle name="Note 4 2 2 2 2 2" xfId="11412"/>
    <cellStyle name="Note 4 2 2 2 2 2 2" xfId="11413"/>
    <cellStyle name="Note 4 2 2 2 2 3" xfId="11414"/>
    <cellStyle name="Note 4 2 2 2 3" xfId="11415"/>
    <cellStyle name="Note 4 2 2 2 3 2" xfId="11416"/>
    <cellStyle name="Note 4 2 2 2 4" xfId="11417"/>
    <cellStyle name="Note 4 2 2 3" xfId="11418"/>
    <cellStyle name="Note 4 2 2 3 2" xfId="11419"/>
    <cellStyle name="Note 4 2 2 3 2 2" xfId="11420"/>
    <cellStyle name="Note 4 2 2 3 3" xfId="11421"/>
    <cellStyle name="Note 4 2 2 4" xfId="11422"/>
    <cellStyle name="Note 4 2 2 4 2" xfId="11423"/>
    <cellStyle name="Note 4 2 2 5" xfId="11424"/>
    <cellStyle name="Note 4 2 2 6" xfId="11425"/>
    <cellStyle name="Note 4 2 3" xfId="11426"/>
    <cellStyle name="Note 4 2 3 2" xfId="11427"/>
    <cellStyle name="Note 4 2 3 2 2" xfId="11428"/>
    <cellStyle name="Note 4 2 3 2 2 2" xfId="11429"/>
    <cellStyle name="Note 4 2 3 2 3" xfId="11430"/>
    <cellStyle name="Note 4 2 3 3" xfId="11431"/>
    <cellStyle name="Note 4 2 3 3 2" xfId="11432"/>
    <cellStyle name="Note 4 2 3 4" xfId="11433"/>
    <cellStyle name="Note 4 2 3 5" xfId="11434"/>
    <cellStyle name="Note 4 2 4" xfId="11435"/>
    <cellStyle name="Note 4 2 4 2" xfId="11436"/>
    <cellStyle name="Note 4 2 4 2 2" xfId="11437"/>
    <cellStyle name="Note 4 2 4 3" xfId="11438"/>
    <cellStyle name="Note 4 2 4 4" xfId="11439"/>
    <cellStyle name="Note 4 2 5" xfId="11440"/>
    <cellStyle name="Note 4 2 5 2" xfId="11441"/>
    <cellStyle name="Note 4 2 5 3" xfId="11442"/>
    <cellStyle name="Note 4 2 6" xfId="11443"/>
    <cellStyle name="Note 4 2 6 2" xfId="11444"/>
    <cellStyle name="Note 4 2 7" xfId="11445"/>
    <cellStyle name="Note 4 2 7 2" xfId="11446"/>
    <cellStyle name="Note 4 2 8" xfId="11447"/>
    <cellStyle name="Note 4 2 8 2" xfId="11448"/>
    <cellStyle name="Note 4 2 9" xfId="11449"/>
    <cellStyle name="Note 4 2 9 2" xfId="11450"/>
    <cellStyle name="Note 4 3" xfId="11451"/>
    <cellStyle name="Note 4 3 2" xfId="11452"/>
    <cellStyle name="Note 4 3 2 2" xfId="11453"/>
    <cellStyle name="Note 4 3 2 2 2" xfId="11454"/>
    <cellStyle name="Note 4 3 2 2 2 2" xfId="11455"/>
    <cellStyle name="Note 4 3 2 2 3" xfId="11456"/>
    <cellStyle name="Note 4 3 2 3" xfId="11457"/>
    <cellStyle name="Note 4 3 2 3 2" xfId="11458"/>
    <cellStyle name="Note 4 3 2 4" xfId="11459"/>
    <cellStyle name="Note 4 3 3" xfId="11460"/>
    <cellStyle name="Note 4 3 3 2" xfId="11461"/>
    <cellStyle name="Note 4 3 3 2 2" xfId="11462"/>
    <cellStyle name="Note 4 3 3 3" xfId="11463"/>
    <cellStyle name="Note 4 3 4" xfId="11464"/>
    <cellStyle name="Note 4 3 4 2" xfId="11465"/>
    <cellStyle name="Note 4 3 5" xfId="11466"/>
    <cellStyle name="Note 4 3 6" xfId="11467"/>
    <cellStyle name="Note 4 3 7" xfId="11468"/>
    <cellStyle name="Note 4 4" xfId="11469"/>
    <cellStyle name="Note 4 4 2" xfId="11470"/>
    <cellStyle name="Note 4 4 2 2" xfId="11471"/>
    <cellStyle name="Note 4 4 2 2 2" xfId="11472"/>
    <cellStyle name="Note 4 4 2 3" xfId="11473"/>
    <cellStyle name="Note 4 4 3" xfId="11474"/>
    <cellStyle name="Note 4 4 3 2" xfId="11475"/>
    <cellStyle name="Note 4 4 4" xfId="11476"/>
    <cellStyle name="Note 4 4 5" xfId="11477"/>
    <cellStyle name="Note 4 5" xfId="11478"/>
    <cellStyle name="Note 4 5 2" xfId="11479"/>
    <cellStyle name="Note 4 5 2 2" xfId="11480"/>
    <cellStyle name="Note 4 5 3" xfId="11481"/>
    <cellStyle name="Note 4 5 4" xfId="11482"/>
    <cellStyle name="Note 4 6" xfId="11483"/>
    <cellStyle name="Note 4 6 2" xfId="11484"/>
    <cellStyle name="Note 4 6 3" xfId="11485"/>
    <cellStyle name="Note 4 7" xfId="11486"/>
    <cellStyle name="Note 4 7 2" xfId="11487"/>
    <cellStyle name="Note 4 8" xfId="11488"/>
    <cellStyle name="Note 4 8 2" xfId="11489"/>
    <cellStyle name="Note 4 9" xfId="11490"/>
    <cellStyle name="Note 4 9 2" xfId="11491"/>
    <cellStyle name="Note 5" xfId="1911"/>
    <cellStyle name="Note 5 10" xfId="11492"/>
    <cellStyle name="Note 5 10 2" xfId="11493"/>
    <cellStyle name="Note 5 11" xfId="11494"/>
    <cellStyle name="Note 5 12" xfId="11495"/>
    <cellStyle name="Note 5 13" xfId="11496"/>
    <cellStyle name="Note 5 2" xfId="11497"/>
    <cellStyle name="Note 5 2 10" xfId="11498"/>
    <cellStyle name="Note 5 2 11" xfId="11499"/>
    <cellStyle name="Note 5 2 12" xfId="11500"/>
    <cellStyle name="Note 5 2 2" xfId="11501"/>
    <cellStyle name="Note 5 2 2 2" xfId="11502"/>
    <cellStyle name="Note 5 2 2 3" xfId="11503"/>
    <cellStyle name="Note 5 2 3" xfId="11504"/>
    <cellStyle name="Note 5 2 3 2" xfId="11505"/>
    <cellStyle name="Note 5 2 4" xfId="11506"/>
    <cellStyle name="Note 5 2 4 2" xfId="11507"/>
    <cellStyle name="Note 5 2 5" xfId="11508"/>
    <cellStyle name="Note 5 2 5 2" xfId="11509"/>
    <cellStyle name="Note 5 2 6" xfId="11510"/>
    <cellStyle name="Note 5 2 6 2" xfId="11511"/>
    <cellStyle name="Note 5 2 7" xfId="11512"/>
    <cellStyle name="Note 5 2 7 2" xfId="11513"/>
    <cellStyle name="Note 5 2 8" xfId="11514"/>
    <cellStyle name="Note 5 2 8 2" xfId="11515"/>
    <cellStyle name="Note 5 2 9" xfId="11516"/>
    <cellStyle name="Note 5 2 9 2" xfId="11517"/>
    <cellStyle name="Note 5 3" xfId="11518"/>
    <cellStyle name="Note 5 3 2" xfId="11519"/>
    <cellStyle name="Note 5 3 3" xfId="11520"/>
    <cellStyle name="Note 5 3 4" xfId="11521"/>
    <cellStyle name="Note 5 4" xfId="11522"/>
    <cellStyle name="Note 5 4 2" xfId="11523"/>
    <cellStyle name="Note 5 5" xfId="11524"/>
    <cellStyle name="Note 5 5 2" xfId="11525"/>
    <cellStyle name="Note 5 6" xfId="11526"/>
    <cellStyle name="Note 5 6 2" xfId="11527"/>
    <cellStyle name="Note 5 7" xfId="11528"/>
    <cellStyle name="Note 5 7 2" xfId="11529"/>
    <cellStyle name="Note 5 8" xfId="11530"/>
    <cellStyle name="Note 5 8 2" xfId="11531"/>
    <cellStyle name="Note 5 9" xfId="11532"/>
    <cellStyle name="Note 5 9 2" xfId="11533"/>
    <cellStyle name="Note 6" xfId="1912"/>
    <cellStyle name="Note 6 10" xfId="11534"/>
    <cellStyle name="Note 6 10 2" xfId="11535"/>
    <cellStyle name="Note 6 11" xfId="11536"/>
    <cellStyle name="Note 6 12" xfId="11537"/>
    <cellStyle name="Note 6 13" xfId="11538"/>
    <cellStyle name="Note 6 2" xfId="11539"/>
    <cellStyle name="Note 6 2 10" xfId="11540"/>
    <cellStyle name="Note 6 2 11" xfId="11541"/>
    <cellStyle name="Note 6 2 12" xfId="11542"/>
    <cellStyle name="Note 6 2 2" xfId="11543"/>
    <cellStyle name="Note 6 2 2 2" xfId="11544"/>
    <cellStyle name="Note 6 2 2 3" xfId="11545"/>
    <cellStyle name="Note 6 2 3" xfId="11546"/>
    <cellStyle name="Note 6 2 3 2" xfId="11547"/>
    <cellStyle name="Note 6 2 4" xfId="11548"/>
    <cellStyle name="Note 6 2 4 2" xfId="11549"/>
    <cellStyle name="Note 6 2 5" xfId="11550"/>
    <cellStyle name="Note 6 2 5 2" xfId="11551"/>
    <cellStyle name="Note 6 2 6" xfId="11552"/>
    <cellStyle name="Note 6 2 6 2" xfId="11553"/>
    <cellStyle name="Note 6 2 7" xfId="11554"/>
    <cellStyle name="Note 6 2 7 2" xfId="11555"/>
    <cellStyle name="Note 6 2 8" xfId="11556"/>
    <cellStyle name="Note 6 2 8 2" xfId="11557"/>
    <cellStyle name="Note 6 2 9" xfId="11558"/>
    <cellStyle name="Note 6 2 9 2" xfId="11559"/>
    <cellStyle name="Note 6 3" xfId="11560"/>
    <cellStyle name="Note 6 3 2" xfId="11561"/>
    <cellStyle name="Note 6 3 3" xfId="11562"/>
    <cellStyle name="Note 6 3 4" xfId="11563"/>
    <cellStyle name="Note 6 4" xfId="11564"/>
    <cellStyle name="Note 6 4 2" xfId="11565"/>
    <cellStyle name="Note 6 5" xfId="11566"/>
    <cellStyle name="Note 6 5 2" xfId="11567"/>
    <cellStyle name="Note 6 6" xfId="11568"/>
    <cellStyle name="Note 6 6 2" xfId="11569"/>
    <cellStyle name="Note 6 7" xfId="11570"/>
    <cellStyle name="Note 6 7 2" xfId="11571"/>
    <cellStyle name="Note 6 8" xfId="11572"/>
    <cellStyle name="Note 6 8 2" xfId="11573"/>
    <cellStyle name="Note 6 9" xfId="11574"/>
    <cellStyle name="Note 6 9 2" xfId="11575"/>
    <cellStyle name="Note 7" xfId="1913"/>
    <cellStyle name="Note 7 10" xfId="11576"/>
    <cellStyle name="Note 7 10 2" xfId="11577"/>
    <cellStyle name="Note 7 11" xfId="11578"/>
    <cellStyle name="Note 7 12" xfId="11579"/>
    <cellStyle name="Note 7 13" xfId="11580"/>
    <cellStyle name="Note 7 2" xfId="11581"/>
    <cellStyle name="Note 7 2 10" xfId="11582"/>
    <cellStyle name="Note 7 2 11" xfId="11583"/>
    <cellStyle name="Note 7 2 12" xfId="11584"/>
    <cellStyle name="Note 7 2 2" xfId="11585"/>
    <cellStyle name="Note 7 2 2 2" xfId="11586"/>
    <cellStyle name="Note 7 2 3" xfId="11587"/>
    <cellStyle name="Note 7 2 3 2" xfId="11588"/>
    <cellStyle name="Note 7 2 4" xfId="11589"/>
    <cellStyle name="Note 7 2 4 2" xfId="11590"/>
    <cellStyle name="Note 7 2 5" xfId="11591"/>
    <cellStyle name="Note 7 2 5 2" xfId="11592"/>
    <cellStyle name="Note 7 2 6" xfId="11593"/>
    <cellStyle name="Note 7 2 6 2" xfId="11594"/>
    <cellStyle name="Note 7 2 7" xfId="11595"/>
    <cellStyle name="Note 7 2 7 2" xfId="11596"/>
    <cellStyle name="Note 7 2 8" xfId="11597"/>
    <cellStyle name="Note 7 2 8 2" xfId="11598"/>
    <cellStyle name="Note 7 2 9" xfId="11599"/>
    <cellStyle name="Note 7 2 9 2" xfId="11600"/>
    <cellStyle name="Note 7 3" xfId="11601"/>
    <cellStyle name="Note 7 3 2" xfId="11602"/>
    <cellStyle name="Note 7 3 3" xfId="11603"/>
    <cellStyle name="Note 7 4" xfId="11604"/>
    <cellStyle name="Note 7 4 2" xfId="11605"/>
    <cellStyle name="Note 7 5" xfId="11606"/>
    <cellStyle name="Note 7 5 2" xfId="11607"/>
    <cellStyle name="Note 7 6" xfId="11608"/>
    <cellStyle name="Note 7 6 2" xfId="11609"/>
    <cellStyle name="Note 7 7" xfId="11610"/>
    <cellStyle name="Note 7 7 2" xfId="11611"/>
    <cellStyle name="Note 7 8" xfId="11612"/>
    <cellStyle name="Note 7 8 2" xfId="11613"/>
    <cellStyle name="Note 7 9" xfId="11614"/>
    <cellStyle name="Note 7 9 2" xfId="11615"/>
    <cellStyle name="Note 8" xfId="1914"/>
    <cellStyle name="Note 8 10" xfId="11616"/>
    <cellStyle name="Note 8 10 2" xfId="11617"/>
    <cellStyle name="Note 8 11" xfId="11618"/>
    <cellStyle name="Note 8 12" xfId="11619"/>
    <cellStyle name="Note 8 13" xfId="11620"/>
    <cellStyle name="Note 8 2" xfId="11621"/>
    <cellStyle name="Note 8 2 10" xfId="11622"/>
    <cellStyle name="Note 8 2 11" xfId="11623"/>
    <cellStyle name="Note 8 2 12" xfId="11624"/>
    <cellStyle name="Note 8 2 2" xfId="11625"/>
    <cellStyle name="Note 8 2 2 2" xfId="11626"/>
    <cellStyle name="Note 8 2 3" xfId="11627"/>
    <cellStyle name="Note 8 2 3 2" xfId="11628"/>
    <cellStyle name="Note 8 2 4" xfId="11629"/>
    <cellStyle name="Note 8 2 4 2" xfId="11630"/>
    <cellStyle name="Note 8 2 5" xfId="11631"/>
    <cellStyle name="Note 8 2 5 2" xfId="11632"/>
    <cellStyle name="Note 8 2 6" xfId="11633"/>
    <cellStyle name="Note 8 2 6 2" xfId="11634"/>
    <cellStyle name="Note 8 2 7" xfId="11635"/>
    <cellStyle name="Note 8 2 7 2" xfId="11636"/>
    <cellStyle name="Note 8 2 8" xfId="11637"/>
    <cellStyle name="Note 8 2 8 2" xfId="11638"/>
    <cellStyle name="Note 8 2 9" xfId="11639"/>
    <cellStyle name="Note 8 2 9 2" xfId="11640"/>
    <cellStyle name="Note 8 3" xfId="11641"/>
    <cellStyle name="Note 8 3 2" xfId="11642"/>
    <cellStyle name="Note 8 3 3" xfId="11643"/>
    <cellStyle name="Note 8 4" xfId="11644"/>
    <cellStyle name="Note 8 4 2" xfId="11645"/>
    <cellStyle name="Note 8 5" xfId="11646"/>
    <cellStyle name="Note 8 5 2" xfId="11647"/>
    <cellStyle name="Note 8 6" xfId="11648"/>
    <cellStyle name="Note 8 6 2" xfId="11649"/>
    <cellStyle name="Note 8 7" xfId="11650"/>
    <cellStyle name="Note 8 7 2" xfId="11651"/>
    <cellStyle name="Note 8 8" xfId="11652"/>
    <cellStyle name="Note 8 8 2" xfId="11653"/>
    <cellStyle name="Note 8 9" xfId="11654"/>
    <cellStyle name="Note 8 9 2" xfId="11655"/>
    <cellStyle name="Note 9" xfId="1915"/>
    <cellStyle name="Note 9 10" xfId="11656"/>
    <cellStyle name="Note 9 10 2" xfId="11657"/>
    <cellStyle name="Note 9 11" xfId="11658"/>
    <cellStyle name="Note 9 12" xfId="11659"/>
    <cellStyle name="Note 9 13" xfId="11660"/>
    <cellStyle name="Note 9 2" xfId="1916"/>
    <cellStyle name="Note 9 2 10" xfId="11661"/>
    <cellStyle name="Note 9 2 11" xfId="11662"/>
    <cellStyle name="Note 9 2 2" xfId="11663"/>
    <cellStyle name="Note 9 2 2 2" xfId="11664"/>
    <cellStyle name="Note 9 2 3" xfId="11665"/>
    <cellStyle name="Note 9 2 3 2" xfId="11666"/>
    <cellStyle name="Note 9 2 4" xfId="11667"/>
    <cellStyle name="Note 9 2 4 2" xfId="11668"/>
    <cellStyle name="Note 9 2 5" xfId="11669"/>
    <cellStyle name="Note 9 2 5 2" xfId="11670"/>
    <cellStyle name="Note 9 2 6" xfId="11671"/>
    <cellStyle name="Note 9 2 6 2" xfId="11672"/>
    <cellStyle name="Note 9 2 7" xfId="11673"/>
    <cellStyle name="Note 9 2 7 2" xfId="11674"/>
    <cellStyle name="Note 9 2 8" xfId="11675"/>
    <cellStyle name="Note 9 2 8 2" xfId="11676"/>
    <cellStyle name="Note 9 2 9" xfId="11677"/>
    <cellStyle name="Note 9 2 9 2" xfId="11678"/>
    <cellStyle name="Note 9 3" xfId="1917"/>
    <cellStyle name="Note 9 3 2" xfId="11679"/>
    <cellStyle name="Note 9 4" xfId="1918"/>
    <cellStyle name="Note 9 4 2" xfId="11680"/>
    <cellStyle name="Note 9 5" xfId="1919"/>
    <cellStyle name="Note 9 5 2" xfId="11681"/>
    <cellStyle name="Note 9 6" xfId="11682"/>
    <cellStyle name="Note 9 6 2" xfId="11683"/>
    <cellStyle name="Note 9 7" xfId="11684"/>
    <cellStyle name="Note 9 7 2" xfId="11685"/>
    <cellStyle name="Note 9 8" xfId="11686"/>
    <cellStyle name="Note 9 8 2" xfId="11687"/>
    <cellStyle name="Note 9 9" xfId="11688"/>
    <cellStyle name="Note 9 9 2" xfId="11689"/>
    <cellStyle name="Output 10" xfId="1920"/>
    <cellStyle name="Output 11" xfId="1921"/>
    <cellStyle name="Output 12" xfId="1922"/>
    <cellStyle name="Output 13" xfId="1923"/>
    <cellStyle name="Output 14" xfId="1924"/>
    <cellStyle name="Output 15" xfId="1925"/>
    <cellStyle name="Output 16" xfId="1926"/>
    <cellStyle name="Output 17" xfId="1927"/>
    <cellStyle name="Output 17 2" xfId="11690"/>
    <cellStyle name="Output 18" xfId="1928"/>
    <cellStyle name="Output 19" xfId="1929"/>
    <cellStyle name="Output 2" xfId="1930"/>
    <cellStyle name="Output 2 2" xfId="1931"/>
    <cellStyle name="Output 2 2 2" xfId="1932"/>
    <cellStyle name="Output 2 2 2 2" xfId="1933"/>
    <cellStyle name="Output 2 2 2 3" xfId="1934"/>
    <cellStyle name="Output 2 2 2 4" xfId="1935"/>
    <cellStyle name="Output 2 2 2 5" xfId="1936"/>
    <cellStyle name="Output 2 2 3" xfId="1937"/>
    <cellStyle name="Output 2 2 4" xfId="1938"/>
    <cellStyle name="Output 2 2 5" xfId="1939"/>
    <cellStyle name="Output 2 3" xfId="1940"/>
    <cellStyle name="Output 2 3 2" xfId="11691"/>
    <cellStyle name="Output 2 4" xfId="1941"/>
    <cellStyle name="Output 2 4 2" xfId="11692"/>
    <cellStyle name="Output 2 5" xfId="1942"/>
    <cellStyle name="Output 2 5 2" xfId="11693"/>
    <cellStyle name="Output 2 6" xfId="1943"/>
    <cellStyle name="Output 2 6 2" xfId="11694"/>
    <cellStyle name="Output 2 7" xfId="1944"/>
    <cellStyle name="Output 2 8" xfId="1945"/>
    <cellStyle name="Output 2 9" xfId="1946"/>
    <cellStyle name="Output 20" xfId="1947"/>
    <cellStyle name="Output 21" xfId="1948"/>
    <cellStyle name="Output 22" xfId="1949"/>
    <cellStyle name="Output 3" xfId="1950"/>
    <cellStyle name="Output 3 2" xfId="11695"/>
    <cellStyle name="Output 3 3" xfId="11696"/>
    <cellStyle name="Output 4" xfId="1951"/>
    <cellStyle name="Output 5" xfId="1952"/>
    <cellStyle name="Output 6" xfId="1953"/>
    <cellStyle name="Output 7" xfId="1954"/>
    <cellStyle name="Output 8" xfId="1955"/>
    <cellStyle name="Output 9" xfId="1956"/>
    <cellStyle name="Output Amounts" xfId="1957"/>
    <cellStyle name="OUTPUT AMOUNTS 10" xfId="11697"/>
    <cellStyle name="Output Amounts 11" xfId="11698"/>
    <cellStyle name="Output Amounts 2" xfId="11699"/>
    <cellStyle name="Output Amounts 2 10" xfId="11700"/>
    <cellStyle name="OUTPUT AMOUNTS 2 11" xfId="11701"/>
    <cellStyle name="OUTPUT AMOUNTS 2 2" xfId="11702"/>
    <cellStyle name="OUTPUT AMOUNTS 2 3" xfId="11703"/>
    <cellStyle name="Output Amounts 2 3 2" xfId="11704"/>
    <cellStyle name="Output Amounts 2 4" xfId="11705"/>
    <cellStyle name="Output Amounts 2 5" xfId="11706"/>
    <cellStyle name="Output Amounts 2 6" xfId="11707"/>
    <cellStyle name="Output Amounts 2 7" xfId="11708"/>
    <cellStyle name="Output Amounts 2 8" xfId="11709"/>
    <cellStyle name="Output Amounts 2 9" xfId="11710"/>
    <cellStyle name="Output Amounts 3" xfId="11711"/>
    <cellStyle name="OUTPUT AMOUNTS 3 2" xfId="11712"/>
    <cellStyle name="Output Amounts 3 3" xfId="11713"/>
    <cellStyle name="Output Amounts 3 4" xfId="11714"/>
    <cellStyle name="Output Amounts 3 5" xfId="11715"/>
    <cellStyle name="Output Amounts 3 6" xfId="11716"/>
    <cellStyle name="Output Amounts 3 7" xfId="11717"/>
    <cellStyle name="Output Amounts 3 8" xfId="11718"/>
    <cellStyle name="Output Amounts 3 9" xfId="11719"/>
    <cellStyle name="Output Amounts 4" xfId="11720"/>
    <cellStyle name="OUTPUT AMOUNTS 5" xfId="11721"/>
    <cellStyle name="OUTPUT AMOUNTS 6" xfId="11722"/>
    <cellStyle name="OUTPUT AMOUNTS 7" xfId="11723"/>
    <cellStyle name="OUTPUT AMOUNTS 8" xfId="11724"/>
    <cellStyle name="OUTPUT AMOUNTS 9" xfId="11725"/>
    <cellStyle name="Output Amounts_d1" xfId="11726"/>
    <cellStyle name="Output Column Headings" xfId="1958"/>
    <cellStyle name="OUTPUT COLUMN HEADINGS 10" xfId="11727"/>
    <cellStyle name="OUTPUT COLUMN HEADINGS 10 2" xfId="11728"/>
    <cellStyle name="OUTPUT COLUMN HEADINGS 10 3" xfId="11729"/>
    <cellStyle name="Output Column Headings 11" xfId="11730"/>
    <cellStyle name="Output Column Headings 2" xfId="1959"/>
    <cellStyle name="Output Column Headings 2 2" xfId="11731"/>
    <cellStyle name="OUTPUT COLUMN HEADINGS 2 2 2" xfId="11732"/>
    <cellStyle name="Output Column Headings 2 2 3" xfId="11733"/>
    <cellStyle name="Output Column Headings 2 2 4" xfId="11734"/>
    <cellStyle name="Output Column Headings 2 2 5" xfId="11735"/>
    <cellStyle name="Output Column Headings 2 2 6" xfId="11736"/>
    <cellStyle name="Output Column Headings 2 2 7" xfId="11737"/>
    <cellStyle name="OUTPUT COLUMN HEADINGS 2 3" xfId="11738"/>
    <cellStyle name="OUTPUT COLUMN HEADINGS 2 3 2" xfId="11739"/>
    <cellStyle name="Output Column Headings 2 4" xfId="11740"/>
    <cellStyle name="Output Column Headings 2 5" xfId="11741"/>
    <cellStyle name="Output Column Headings 2 6" xfId="11742"/>
    <cellStyle name="Output Column Headings 3" xfId="1960"/>
    <cellStyle name="Output Column Headings 4" xfId="1961"/>
    <cellStyle name="Output Column Headings 4 2" xfId="11743"/>
    <cellStyle name="Output Column Headings 5" xfId="1962"/>
    <cellStyle name="Output Column Headings 6" xfId="1963"/>
    <cellStyle name="Output Column Headings 7" xfId="1964"/>
    <cellStyle name="Output Column Headings 8" xfId="11744"/>
    <cellStyle name="Output Column Headings 9" xfId="11745"/>
    <cellStyle name="Output Column Headings_d1" xfId="11746"/>
    <cellStyle name="Output Line Items" xfId="1965"/>
    <cellStyle name="OUTPUT LINE ITEMS 10" xfId="11747"/>
    <cellStyle name="OUTPUT LINE ITEMS 10 2" xfId="11748"/>
    <cellStyle name="OUTPUT LINE ITEMS 10 3" xfId="11749"/>
    <cellStyle name="Output Line Items 11" xfId="11750"/>
    <cellStyle name="Output Line Items 2" xfId="1966"/>
    <cellStyle name="Output Line Items 2 2" xfId="11751"/>
    <cellStyle name="Output Line Items 2 2 2" xfId="11752"/>
    <cellStyle name="Output Line Items 2 2 3" xfId="11753"/>
    <cellStyle name="Output Line Items 2 3" xfId="11754"/>
    <cellStyle name="OUTPUT LINE ITEMS 2 3 2" xfId="11755"/>
    <cellStyle name="Output Line Items 2 3 3" xfId="11756"/>
    <cellStyle name="Output Line Items 2 3 4" xfId="11757"/>
    <cellStyle name="Output Line Items 2 3 5" xfId="11758"/>
    <cellStyle name="Output Line Items 2 3 6" xfId="11759"/>
    <cellStyle name="Output Line Items 2 3 7" xfId="11760"/>
    <cellStyle name="OUTPUT LINE ITEMS 2 4" xfId="11761"/>
    <cellStyle name="Output Line Items 2 5" xfId="11762"/>
    <cellStyle name="Output Line Items 2 6" xfId="11763"/>
    <cellStyle name="Output Line Items 2 7" xfId="11764"/>
    <cellStyle name="Output Line Items 3" xfId="1967"/>
    <cellStyle name="Output Line Items 4" xfId="1968"/>
    <cellStyle name="Output Line Items 4 2" xfId="11765"/>
    <cellStyle name="Output Line Items 5" xfId="1969"/>
    <cellStyle name="Output Line Items 6" xfId="1970"/>
    <cellStyle name="Output Line Items 7" xfId="1971"/>
    <cellStyle name="Output Line Items 8" xfId="11766"/>
    <cellStyle name="Output Line Items 9" xfId="11767"/>
    <cellStyle name="Output Line Items_d1" xfId="11768"/>
    <cellStyle name="Output Report Heading" xfId="1972"/>
    <cellStyle name="OUTPUT REPORT HEADING 10" xfId="11769"/>
    <cellStyle name="OUTPUT REPORT HEADING 10 2" xfId="11770"/>
    <cellStyle name="OUTPUT REPORT HEADING 10 3" xfId="11771"/>
    <cellStyle name="Output Report Heading 11" xfId="11772"/>
    <cellStyle name="Output Report Heading 2" xfId="1973"/>
    <cellStyle name="Output Report Heading 2 2" xfId="11773"/>
    <cellStyle name="OUTPUT REPORT HEADING 2 2 2" xfId="11774"/>
    <cellStyle name="Output Report Heading 2 2 3" xfId="11775"/>
    <cellStyle name="Output Report Heading 2 2 4" xfId="11776"/>
    <cellStyle name="Output Report Heading 2 2 5" xfId="11777"/>
    <cellStyle name="Output Report Heading 2 2 6" xfId="11778"/>
    <cellStyle name="Output Report Heading 2 2 7" xfId="11779"/>
    <cellStyle name="OUTPUT REPORT HEADING 2 3" xfId="11780"/>
    <cellStyle name="OUTPUT REPORT HEADING 2 3 2" xfId="11781"/>
    <cellStyle name="Output Report Heading 2 4" xfId="11782"/>
    <cellStyle name="Output Report Heading 2 5" xfId="11783"/>
    <cellStyle name="Output Report Heading 2 6" xfId="11784"/>
    <cellStyle name="Output Report Heading 3" xfId="1974"/>
    <cellStyle name="Output Report Heading 4" xfId="1975"/>
    <cellStyle name="Output Report Heading 4 2" xfId="11785"/>
    <cellStyle name="Output Report Heading 5" xfId="1976"/>
    <cellStyle name="Output Report Heading 6" xfId="1977"/>
    <cellStyle name="Output Report Heading 7" xfId="1978"/>
    <cellStyle name="Output Report Heading 8" xfId="11786"/>
    <cellStyle name="Output Report Heading 9" xfId="11787"/>
    <cellStyle name="Output Report Heading_d1" xfId="11788"/>
    <cellStyle name="Output Report Title" xfId="1979"/>
    <cellStyle name="OUTPUT REPORT TITLE 10" xfId="11789"/>
    <cellStyle name="OUTPUT REPORT TITLE 10 2" xfId="11790"/>
    <cellStyle name="OUTPUT REPORT TITLE 10 3" xfId="11791"/>
    <cellStyle name="OUTPUT REPORT TITLE 11" xfId="11792"/>
    <cellStyle name="Output Report Title 12" xfId="11793"/>
    <cellStyle name="Output Report Title 2" xfId="1980"/>
    <cellStyle name="Output Report Title 2 2" xfId="11794"/>
    <cellStyle name="OUTPUT REPORT TITLE 2 2 2" xfId="11795"/>
    <cellStyle name="Output Report Title 2 2 3" xfId="11796"/>
    <cellStyle name="Output Report Title 2 2 4" xfId="11797"/>
    <cellStyle name="Output Report Title 2 2 5" xfId="11798"/>
    <cellStyle name="Output Report Title 2 2 6" xfId="11799"/>
    <cellStyle name="Output Report Title 2 2 7" xfId="11800"/>
    <cellStyle name="OUTPUT REPORT TITLE 2 3" xfId="11801"/>
    <cellStyle name="OUTPUT REPORT TITLE 2 3 2" xfId="11802"/>
    <cellStyle name="Output Report Title 2 4" xfId="11803"/>
    <cellStyle name="Output Report Title 2 5" xfId="11804"/>
    <cellStyle name="Output Report Title 2 6" xfId="11805"/>
    <cellStyle name="Output Report Title 3" xfId="1981"/>
    <cellStyle name="Output Report Title 4" xfId="1982"/>
    <cellStyle name="Output Report Title 4 2" xfId="11806"/>
    <cellStyle name="Output Report Title 5" xfId="1983"/>
    <cellStyle name="Output Report Title 6" xfId="1984"/>
    <cellStyle name="Output Report Title 7" xfId="1985"/>
    <cellStyle name="Output Report Title 8" xfId="11807"/>
    <cellStyle name="Output Report Title 9" xfId="11808"/>
    <cellStyle name="Output Report Title_d1" xfId="11809"/>
    <cellStyle name="Percent" xfId="3" builtinId="5"/>
    <cellStyle name="Percent 10" xfId="11810"/>
    <cellStyle name="Percent 10 2" xfId="11811"/>
    <cellStyle name="Percent 10 2 2" xfId="11812"/>
    <cellStyle name="Percent 10 2 3" xfId="11813"/>
    <cellStyle name="Percent 10 3" xfId="11814"/>
    <cellStyle name="Percent 10 3 2" xfId="11815"/>
    <cellStyle name="Percent 10 4" xfId="11816"/>
    <cellStyle name="Percent 10 5" xfId="11817"/>
    <cellStyle name="Percent 10 6" xfId="11818"/>
    <cellStyle name="Percent 11" xfId="11819"/>
    <cellStyle name="Percent 11 2" xfId="11820"/>
    <cellStyle name="Percent 11 3" xfId="11821"/>
    <cellStyle name="Percent 12" xfId="11822"/>
    <cellStyle name="Percent 13" xfId="11823"/>
    <cellStyle name="Percent 13 2" xfId="11824"/>
    <cellStyle name="Percent 14" xfId="11825"/>
    <cellStyle name="Percent 15" xfId="11826"/>
    <cellStyle name="Percent 2" xfId="1986"/>
    <cellStyle name="Percent 2 2" xfId="1987"/>
    <cellStyle name="Percent 2 2 2" xfId="11827"/>
    <cellStyle name="Percent 2 2 2 2" xfId="11828"/>
    <cellStyle name="Percent 2 2 2 2 2" xfId="11829"/>
    <cellStyle name="Percent 2 2 2 2 2 2" xfId="11830"/>
    <cellStyle name="Percent 2 2 2 2 2 2 2" xfId="11831"/>
    <cellStyle name="Percent 2 2 2 2 2 3" xfId="11832"/>
    <cellStyle name="Percent 2 2 2 2 3" xfId="11833"/>
    <cellStyle name="Percent 2 2 2 2 3 2" xfId="11834"/>
    <cellStyle name="Percent 2 2 2 2 4" xfId="11835"/>
    <cellStyle name="Percent 2 2 2 3" xfId="11836"/>
    <cellStyle name="Percent 2 2 2 3 2" xfId="11837"/>
    <cellStyle name="Percent 2 2 2 3 2 2" xfId="11838"/>
    <cellStyle name="Percent 2 2 2 3 3" xfId="11839"/>
    <cellStyle name="Percent 2 2 2 4" xfId="11840"/>
    <cellStyle name="Percent 2 2 2 4 2" xfId="11841"/>
    <cellStyle name="Percent 2 2 2 5" xfId="11842"/>
    <cellStyle name="Percent 2 2 3" xfId="11843"/>
    <cellStyle name="Percent 2 2 3 2" xfId="11844"/>
    <cellStyle name="Percent 2 2 3 2 2" xfId="11845"/>
    <cellStyle name="Percent 2 2 3 2 2 2" xfId="11846"/>
    <cellStyle name="Percent 2 2 3 2 3" xfId="11847"/>
    <cellStyle name="Percent 2 2 3 3" xfId="11848"/>
    <cellStyle name="Percent 2 2 3 3 2" xfId="11849"/>
    <cellStyle name="Percent 2 2 3 4" xfId="11850"/>
    <cellStyle name="Percent 2 2 4" xfId="11851"/>
    <cellStyle name="Percent 2 2 4 2" xfId="11852"/>
    <cellStyle name="Percent 2 2 4 2 2" xfId="11853"/>
    <cellStyle name="Percent 2 2 4 3" xfId="11854"/>
    <cellStyle name="Percent 2 2 5" xfId="11855"/>
    <cellStyle name="Percent 2 2 5 2" xfId="11856"/>
    <cellStyle name="Percent 2 2 6" xfId="11857"/>
    <cellStyle name="Percent 2 2 7" xfId="11858"/>
    <cellStyle name="Percent 2 3" xfId="1988"/>
    <cellStyle name="Percent 2 3 2" xfId="11859"/>
    <cellStyle name="Percent 2 3 2 2" xfId="11860"/>
    <cellStyle name="Percent 2 3 2 2 2" xfId="11861"/>
    <cellStyle name="Percent 2 3 2 3" xfId="11862"/>
    <cellStyle name="Percent 2 3 2 4" xfId="11863"/>
    <cellStyle name="Percent 2 3 3" xfId="11864"/>
    <cellStyle name="Percent 2 3 3 2" xfId="11865"/>
    <cellStyle name="Percent 2 3 4" xfId="11866"/>
    <cellStyle name="Percent 2 3 5" xfId="11867"/>
    <cellStyle name="Percent 2 4" xfId="1989"/>
    <cellStyle name="Percent 2 4 2" xfId="11868"/>
    <cellStyle name="Percent 2 5" xfId="1990"/>
    <cellStyle name="Percent 3" xfId="2104"/>
    <cellStyle name="Percent 3 10" xfId="11869"/>
    <cellStyle name="Percent 3 2" xfId="11870"/>
    <cellStyle name="Percent 3 2 2" xfId="11871"/>
    <cellStyle name="Percent 3 2 2 2" xfId="11872"/>
    <cellStyle name="Percent 3 2 2 2 2" xfId="11873"/>
    <cellStyle name="Percent 3 2 2 2 2 2" xfId="11874"/>
    <cellStyle name="Percent 3 2 2 2 2 2 2" xfId="11875"/>
    <cellStyle name="Percent 3 2 2 2 2 2 2 2" xfId="11876"/>
    <cellStyle name="Percent 3 2 2 2 2 2 3" xfId="11877"/>
    <cellStyle name="Percent 3 2 2 2 2 3" xfId="11878"/>
    <cellStyle name="Percent 3 2 2 2 2 3 2" xfId="11879"/>
    <cellStyle name="Percent 3 2 2 2 2 4" xfId="11880"/>
    <cellStyle name="Percent 3 2 2 2 3" xfId="11881"/>
    <cellStyle name="Percent 3 2 2 2 3 2" xfId="11882"/>
    <cellStyle name="Percent 3 2 2 2 3 2 2" xfId="11883"/>
    <cellStyle name="Percent 3 2 2 2 3 3" xfId="11884"/>
    <cellStyle name="Percent 3 2 2 2 4" xfId="11885"/>
    <cellStyle name="Percent 3 2 2 2 4 2" xfId="11886"/>
    <cellStyle name="Percent 3 2 2 2 5" xfId="11887"/>
    <cellStyle name="Percent 3 2 2 2 6" xfId="11888"/>
    <cellStyle name="Percent 3 2 2 3" xfId="11889"/>
    <cellStyle name="Percent 3 2 2 3 2" xfId="11890"/>
    <cellStyle name="Percent 3 2 2 3 2 2" xfId="11891"/>
    <cellStyle name="Percent 3 2 2 3 2 2 2" xfId="11892"/>
    <cellStyle name="Percent 3 2 2 3 2 3" xfId="11893"/>
    <cellStyle name="Percent 3 2 2 3 3" xfId="11894"/>
    <cellStyle name="Percent 3 2 2 3 3 2" xfId="11895"/>
    <cellStyle name="Percent 3 2 2 3 4" xfId="11896"/>
    <cellStyle name="Percent 3 2 2 4" xfId="11897"/>
    <cellStyle name="Percent 3 2 2 4 2" xfId="11898"/>
    <cellStyle name="Percent 3 2 2 4 2 2" xfId="11899"/>
    <cellStyle name="Percent 3 2 2 4 3" xfId="11900"/>
    <cellStyle name="Percent 3 2 2 5" xfId="11901"/>
    <cellStyle name="Percent 3 2 2 5 2" xfId="11902"/>
    <cellStyle name="Percent 3 2 2 6" xfId="11903"/>
    <cellStyle name="Percent 3 2 2 7" xfId="11904"/>
    <cellStyle name="Percent 3 2 3" xfId="11905"/>
    <cellStyle name="Percent 3 2 3 2" xfId="11906"/>
    <cellStyle name="Percent 3 2 3 2 2" xfId="11907"/>
    <cellStyle name="Percent 3 2 3 2 2 2" xfId="11908"/>
    <cellStyle name="Percent 3 2 3 2 2 2 2" xfId="11909"/>
    <cellStyle name="Percent 3 2 3 2 2 3" xfId="11910"/>
    <cellStyle name="Percent 3 2 3 2 3" xfId="11911"/>
    <cellStyle name="Percent 3 2 3 2 3 2" xfId="11912"/>
    <cellStyle name="Percent 3 2 3 2 4" xfId="11913"/>
    <cellStyle name="Percent 3 2 3 3" xfId="11914"/>
    <cellStyle name="Percent 3 2 3 3 2" xfId="11915"/>
    <cellStyle name="Percent 3 2 3 3 2 2" xfId="11916"/>
    <cellStyle name="Percent 3 2 3 3 3" xfId="11917"/>
    <cellStyle name="Percent 3 2 3 4" xfId="11918"/>
    <cellStyle name="Percent 3 2 3 4 2" xfId="11919"/>
    <cellStyle name="Percent 3 2 3 5" xfId="11920"/>
    <cellStyle name="Percent 3 2 3 6" xfId="11921"/>
    <cellStyle name="Percent 3 2 4" xfId="11922"/>
    <cellStyle name="Percent 3 2 4 2" xfId="11923"/>
    <cellStyle name="Percent 3 2 4 2 2" xfId="11924"/>
    <cellStyle name="Percent 3 2 4 2 2 2" xfId="11925"/>
    <cellStyle name="Percent 3 2 4 2 2 2 2" xfId="11926"/>
    <cellStyle name="Percent 3 2 4 2 2 3" xfId="11927"/>
    <cellStyle name="Percent 3 2 4 2 3" xfId="11928"/>
    <cellStyle name="Percent 3 2 4 2 3 2" xfId="11929"/>
    <cellStyle name="Percent 3 2 4 2 4" xfId="11930"/>
    <cellStyle name="Percent 3 2 4 3" xfId="11931"/>
    <cellStyle name="Percent 3 2 4 3 2" xfId="11932"/>
    <cellStyle name="Percent 3 2 4 3 2 2" xfId="11933"/>
    <cellStyle name="Percent 3 2 4 3 3" xfId="11934"/>
    <cellStyle name="Percent 3 2 4 4" xfId="11935"/>
    <cellStyle name="Percent 3 2 4 4 2" xfId="11936"/>
    <cellStyle name="Percent 3 2 4 5" xfId="11937"/>
    <cellStyle name="Percent 3 2 5" xfId="11938"/>
    <cellStyle name="Percent 3 2 5 2" xfId="11939"/>
    <cellStyle name="Percent 3 2 5 2 2" xfId="11940"/>
    <cellStyle name="Percent 3 2 5 2 2 2" xfId="11941"/>
    <cellStyle name="Percent 3 2 5 2 3" xfId="11942"/>
    <cellStyle name="Percent 3 2 5 3" xfId="11943"/>
    <cellStyle name="Percent 3 2 5 3 2" xfId="11944"/>
    <cellStyle name="Percent 3 2 5 4" xfId="11945"/>
    <cellStyle name="Percent 3 2 6" xfId="11946"/>
    <cellStyle name="Percent 3 2 6 2" xfId="11947"/>
    <cellStyle name="Percent 3 2 6 2 2" xfId="11948"/>
    <cellStyle name="Percent 3 2 6 3" xfId="11949"/>
    <cellStyle name="Percent 3 2 7" xfId="11950"/>
    <cellStyle name="Percent 3 2 7 2" xfId="11951"/>
    <cellStyle name="Percent 3 2 8" xfId="11952"/>
    <cellStyle name="Percent 3 2 9" xfId="11953"/>
    <cellStyle name="Percent 3 3" xfId="11954"/>
    <cellStyle name="Percent 3 3 2" xfId="11955"/>
    <cellStyle name="Percent 3 3 2 2" xfId="11956"/>
    <cellStyle name="Percent 3 3 2 2 2" xfId="11957"/>
    <cellStyle name="Percent 3 3 2 2 2 2" xfId="11958"/>
    <cellStyle name="Percent 3 3 2 2 2 2 2" xfId="11959"/>
    <cellStyle name="Percent 3 3 2 2 2 3" xfId="11960"/>
    <cellStyle name="Percent 3 3 2 2 3" xfId="11961"/>
    <cellStyle name="Percent 3 3 2 2 3 2" xfId="11962"/>
    <cellStyle name="Percent 3 3 2 2 4" xfId="11963"/>
    <cellStyle name="Percent 3 3 2 3" xfId="11964"/>
    <cellStyle name="Percent 3 3 2 3 2" xfId="11965"/>
    <cellStyle name="Percent 3 3 2 3 2 2" xfId="11966"/>
    <cellStyle name="Percent 3 3 2 3 3" xfId="11967"/>
    <cellStyle name="Percent 3 3 2 4" xfId="11968"/>
    <cellStyle name="Percent 3 3 2 4 2" xfId="11969"/>
    <cellStyle name="Percent 3 3 2 5" xfId="11970"/>
    <cellStyle name="Percent 3 3 3" xfId="11971"/>
    <cellStyle name="Percent 3 3 3 2" xfId="11972"/>
    <cellStyle name="Percent 3 3 3 2 2" xfId="11973"/>
    <cellStyle name="Percent 3 3 3 2 2 2" xfId="11974"/>
    <cellStyle name="Percent 3 3 3 2 3" xfId="11975"/>
    <cellStyle name="Percent 3 3 3 3" xfId="11976"/>
    <cellStyle name="Percent 3 3 3 3 2" xfId="11977"/>
    <cellStyle name="Percent 3 3 3 4" xfId="11978"/>
    <cellStyle name="Percent 3 3 4" xfId="11979"/>
    <cellStyle name="Percent 3 3 4 2" xfId="11980"/>
    <cellStyle name="Percent 3 3 4 2 2" xfId="11981"/>
    <cellStyle name="Percent 3 3 4 3" xfId="11982"/>
    <cellStyle name="Percent 3 3 5" xfId="11983"/>
    <cellStyle name="Percent 3 3 5 2" xfId="11984"/>
    <cellStyle name="Percent 3 3 6" xfId="11985"/>
    <cellStyle name="Percent 3 3 7" xfId="11986"/>
    <cellStyle name="Percent 3 4" xfId="11987"/>
    <cellStyle name="Percent 3 4 2" xfId="11988"/>
    <cellStyle name="Percent 3 4 2 2" xfId="11989"/>
    <cellStyle name="Percent 3 4 2 2 2" xfId="11990"/>
    <cellStyle name="Percent 3 4 2 2 2 2" xfId="11991"/>
    <cellStyle name="Percent 3 4 2 2 3" xfId="11992"/>
    <cellStyle name="Percent 3 4 2 3" xfId="11993"/>
    <cellStyle name="Percent 3 4 2 3 2" xfId="11994"/>
    <cellStyle name="Percent 3 4 2 4" xfId="11995"/>
    <cellStyle name="Percent 3 4 2 5" xfId="11996"/>
    <cellStyle name="Percent 3 4 3" xfId="11997"/>
    <cellStyle name="Percent 3 4 3 2" xfId="11998"/>
    <cellStyle name="Percent 3 4 3 2 2" xfId="11999"/>
    <cellStyle name="Percent 3 4 3 3" xfId="12000"/>
    <cellStyle name="Percent 3 4 4" xfId="12001"/>
    <cellStyle name="Percent 3 4 4 2" xfId="12002"/>
    <cellStyle name="Percent 3 4 5" xfId="12003"/>
    <cellStyle name="Percent 3 4 6" xfId="12004"/>
    <cellStyle name="Percent 3 5" xfId="12005"/>
    <cellStyle name="Percent 3 5 2" xfId="12006"/>
    <cellStyle name="Percent 3 5 2 2" xfId="12007"/>
    <cellStyle name="Percent 3 5 2 2 2" xfId="12008"/>
    <cellStyle name="Percent 3 5 2 2 2 2" xfId="12009"/>
    <cellStyle name="Percent 3 5 2 2 3" xfId="12010"/>
    <cellStyle name="Percent 3 5 2 3" xfId="12011"/>
    <cellStyle name="Percent 3 5 2 3 2" xfId="12012"/>
    <cellStyle name="Percent 3 5 2 4" xfId="12013"/>
    <cellStyle name="Percent 3 5 3" xfId="12014"/>
    <cellStyle name="Percent 3 5 3 2" xfId="12015"/>
    <cellStyle name="Percent 3 5 3 2 2" xfId="12016"/>
    <cellStyle name="Percent 3 5 3 3" xfId="12017"/>
    <cellStyle name="Percent 3 5 4" xfId="12018"/>
    <cellStyle name="Percent 3 5 4 2" xfId="12019"/>
    <cellStyle name="Percent 3 5 5" xfId="12020"/>
    <cellStyle name="Percent 3 5 6" xfId="12021"/>
    <cellStyle name="Percent 3 6" xfId="12022"/>
    <cellStyle name="Percent 3 6 2" xfId="12023"/>
    <cellStyle name="Percent 3 6 2 2" xfId="12024"/>
    <cellStyle name="Percent 3 6 2 2 2" xfId="12025"/>
    <cellStyle name="Percent 3 6 2 3" xfId="12026"/>
    <cellStyle name="Percent 3 6 3" xfId="12027"/>
    <cellStyle name="Percent 3 6 3 2" xfId="12028"/>
    <cellStyle name="Percent 3 6 4" xfId="12029"/>
    <cellStyle name="Percent 3 7" xfId="12030"/>
    <cellStyle name="Percent 3 7 2" xfId="12031"/>
    <cellStyle name="Percent 3 7 2 2" xfId="12032"/>
    <cellStyle name="Percent 3 7 3" xfId="12033"/>
    <cellStyle name="Percent 3 8" xfId="12034"/>
    <cellStyle name="Percent 3 8 2" xfId="12035"/>
    <cellStyle name="Percent 3 9" xfId="12036"/>
    <cellStyle name="Percent 4" xfId="12037"/>
    <cellStyle name="Percent 4 2" xfId="12038"/>
    <cellStyle name="Percent 4 2 2" xfId="12039"/>
    <cellStyle name="Percent 4 2 2 2" xfId="12040"/>
    <cellStyle name="Percent 4 2 2 2 2" xfId="12041"/>
    <cellStyle name="Percent 4 2 2 2 2 2" xfId="12042"/>
    <cellStyle name="Percent 4 2 2 2 3" xfId="12043"/>
    <cellStyle name="Percent 4 2 2 2 4" xfId="12044"/>
    <cellStyle name="Percent 4 2 2 3" xfId="12045"/>
    <cellStyle name="Percent 4 2 2 3 2" xfId="12046"/>
    <cellStyle name="Percent 4 2 2 4" xfId="12047"/>
    <cellStyle name="Percent 4 2 2 5" xfId="12048"/>
    <cellStyle name="Percent 4 2 3" xfId="12049"/>
    <cellStyle name="Percent 4 2 3 2" xfId="12050"/>
    <cellStyle name="Percent 4 2 3 2 2" xfId="12051"/>
    <cellStyle name="Percent 4 2 3 3" xfId="12052"/>
    <cellStyle name="Percent 4 2 3 4" xfId="12053"/>
    <cellStyle name="Percent 4 2 4" xfId="12054"/>
    <cellStyle name="Percent 4 2 4 2" xfId="12055"/>
    <cellStyle name="Percent 4 2 5" xfId="12056"/>
    <cellStyle name="Percent 4 2 6" xfId="12057"/>
    <cellStyle name="Percent 4 3" xfId="12058"/>
    <cellStyle name="Percent 4 3 2" xfId="12059"/>
    <cellStyle name="Percent 4 3 2 2" xfId="12060"/>
    <cellStyle name="Percent 4 3 2 2 2" xfId="12061"/>
    <cellStyle name="Percent 4 3 2 3" xfId="12062"/>
    <cellStyle name="Percent 4 3 3" xfId="12063"/>
    <cellStyle name="Percent 4 3 3 2" xfId="12064"/>
    <cellStyle name="Percent 4 3 4" xfId="12065"/>
    <cellStyle name="Percent 4 3 5" xfId="12066"/>
    <cellStyle name="Percent 4 4" xfId="12067"/>
    <cellStyle name="Percent 4 4 2" xfId="12068"/>
    <cellStyle name="Percent 4 4 2 2" xfId="12069"/>
    <cellStyle name="Percent 4 4 3" xfId="12070"/>
    <cellStyle name="Percent 4 5" xfId="12071"/>
    <cellStyle name="Percent 4 5 2" xfId="12072"/>
    <cellStyle name="Percent 4 6" xfId="12073"/>
    <cellStyle name="Percent 4 7" xfId="12074"/>
    <cellStyle name="Percent 4 8" xfId="12075"/>
    <cellStyle name="Percent 5" xfId="12076"/>
    <cellStyle name="Percent 5 2" xfId="12077"/>
    <cellStyle name="Percent 5 2 2" xfId="12078"/>
    <cellStyle name="Percent 5 3" xfId="12079"/>
    <cellStyle name="Percent 6" xfId="12080"/>
    <cellStyle name="Percent 6 2" xfId="12081"/>
    <cellStyle name="Percent 6 3" xfId="12082"/>
    <cellStyle name="Percent 7" xfId="12083"/>
    <cellStyle name="Percent 7 2" xfId="12084"/>
    <cellStyle name="Percent 7 2 2" xfId="12085"/>
    <cellStyle name="Percent 7 2 2 2" xfId="12086"/>
    <cellStyle name="Percent 7 2 2 3" xfId="12087"/>
    <cellStyle name="Percent 7 2 3" xfId="12088"/>
    <cellStyle name="Percent 7 2 4" xfId="12089"/>
    <cellStyle name="Percent 7 3" xfId="12090"/>
    <cellStyle name="Percent 7 3 2" xfId="12091"/>
    <cellStyle name="Percent 7 3 3" xfId="12092"/>
    <cellStyle name="Percent 7 4" xfId="12093"/>
    <cellStyle name="Percent 7 5" xfId="12094"/>
    <cellStyle name="Percent 7 6" xfId="12095"/>
    <cellStyle name="Percent 8" xfId="12096"/>
    <cellStyle name="Percent 8 2" xfId="12097"/>
    <cellStyle name="Percent 8 2 2" xfId="12098"/>
    <cellStyle name="Percent 8 2 2 2" xfId="12099"/>
    <cellStyle name="Percent 8 2 3" xfId="12100"/>
    <cellStyle name="Percent 8 3" xfId="12101"/>
    <cellStyle name="Percent 8 3 2" xfId="12102"/>
    <cellStyle name="Percent 8 4" xfId="12103"/>
    <cellStyle name="Percent 8 5" xfId="12104"/>
    <cellStyle name="Percent 8 6" xfId="12105"/>
    <cellStyle name="Percent 9" xfId="12106"/>
    <cellStyle name="Percent 9 2" xfId="12107"/>
    <cellStyle name="Percent 9 2 2" xfId="12108"/>
    <cellStyle name="Percent 9 2 3" xfId="12109"/>
    <cellStyle name="Percent 9 3" xfId="12110"/>
    <cellStyle name="Percent 9 3 2" xfId="12111"/>
    <cellStyle name="Percent 9 4" xfId="12112"/>
    <cellStyle name="Percent 9 5" xfId="12113"/>
    <cellStyle name="Percent 9 6" xfId="12114"/>
    <cellStyle name="Project Overview Data Entry" xfId="12115"/>
    <cellStyle name="Project Overview Data Entry 2" xfId="12116"/>
    <cellStyle name="PSChar" xfId="12117"/>
    <cellStyle name="PSDate" xfId="12118"/>
    <cellStyle name="PSDec" xfId="12119"/>
    <cellStyle name="PSHeading" xfId="12120"/>
    <cellStyle name="PSInt" xfId="12121"/>
    <cellStyle name="PSSpacer" xfId="12122"/>
    <cellStyle name="ReportTitlePrompt" xfId="12123"/>
    <cellStyle name="ReportTitlePrompt 2" xfId="12124"/>
    <cellStyle name="ReportTitlePrompt 2 2" xfId="12125"/>
    <cellStyle name="ReportTitlePrompt 2 3" xfId="12126"/>
    <cellStyle name="ReportTitlePrompt 3" xfId="12127"/>
    <cellStyle name="ReportTitlePrompt 4" xfId="12128"/>
    <cellStyle name="ReportTitleValue" xfId="12129"/>
    <cellStyle name="ReportTitleValue 2" xfId="12130"/>
    <cellStyle name="ReportTitleValue 2 2" xfId="12131"/>
    <cellStyle name="Reset  - Style4" xfId="12132"/>
    <cellStyle name="RowAcctAbovePrompt" xfId="12133"/>
    <cellStyle name="RowAcctAbovePrompt 2" xfId="12134"/>
    <cellStyle name="RowAcctAbovePrompt 2 2" xfId="12135"/>
    <cellStyle name="RowAcctAbovePrompt 2 3" xfId="12136"/>
    <cellStyle name="RowAcctAbovePrompt 3" xfId="12137"/>
    <cellStyle name="RowAcctSOBAbovePrompt" xfId="12138"/>
    <cellStyle name="RowAcctSOBAbovePrompt 2" xfId="12139"/>
    <cellStyle name="RowAcctSOBAbovePrompt 2 2" xfId="12140"/>
    <cellStyle name="RowAcctSOBAbovePrompt 2 3" xfId="12141"/>
    <cellStyle name="RowAcctSOBAbovePrompt 3" xfId="12142"/>
    <cellStyle name="RowAcctSOBValue" xfId="12143"/>
    <cellStyle name="RowAcctSOBValue 2" xfId="12144"/>
    <cellStyle name="RowAcctSOBValue 2 2" xfId="12145"/>
    <cellStyle name="RowAcctSOBValue 2 3" xfId="12146"/>
    <cellStyle name="RowAcctSOBValue 3" xfId="12147"/>
    <cellStyle name="RowAcctValue" xfId="12148"/>
    <cellStyle name="RowAcctValue 2" xfId="12149"/>
    <cellStyle name="RowAcctValue 2 2" xfId="12150"/>
    <cellStyle name="RowAttrAbovePrompt" xfId="12151"/>
    <cellStyle name="RowAttrAbovePrompt 2" xfId="12152"/>
    <cellStyle name="RowAttrAbovePrompt 2 2" xfId="12153"/>
    <cellStyle name="RowAttrAbovePrompt 2 3" xfId="12154"/>
    <cellStyle name="RowAttrAbovePrompt 3" xfId="12155"/>
    <cellStyle name="RowAttrValue" xfId="12156"/>
    <cellStyle name="RowAttrValue 2" xfId="12157"/>
    <cellStyle name="RowAttrValue 2 2" xfId="12158"/>
    <cellStyle name="RowColSetAbovePrompt" xfId="12159"/>
    <cellStyle name="RowColSetAbovePrompt 2" xfId="12160"/>
    <cellStyle name="RowColSetAbovePrompt 2 2" xfId="12161"/>
    <cellStyle name="RowColSetAbovePrompt 2 3" xfId="12162"/>
    <cellStyle name="RowColSetAbovePrompt 3" xfId="12163"/>
    <cellStyle name="RowColSetLeftPrompt" xfId="12164"/>
    <cellStyle name="RowColSetLeftPrompt 2" xfId="12165"/>
    <cellStyle name="RowColSetLeftPrompt 2 2" xfId="12166"/>
    <cellStyle name="RowColSetLeftPrompt 2 3" xfId="12167"/>
    <cellStyle name="RowColSetLeftPrompt 3" xfId="12168"/>
    <cellStyle name="RowColSetValue" xfId="12169"/>
    <cellStyle name="RowColSetValue 2" xfId="12170"/>
    <cellStyle name="RowColSetValue 2 2" xfId="12171"/>
    <cellStyle name="RowColSetValue 3" xfId="12172"/>
    <cellStyle name="RowLeftPrompt" xfId="12173"/>
    <cellStyle name="RowLeftPrompt 2" xfId="12174"/>
    <cellStyle name="RowLeftPrompt 2 2" xfId="12175"/>
    <cellStyle name="RowLeftPrompt 2 3" xfId="12176"/>
    <cellStyle name="RowLeftPrompt 3" xfId="12177"/>
    <cellStyle name="SampleUsingFormatMask" xfId="12178"/>
    <cellStyle name="SampleUsingFormatMask 2" xfId="12179"/>
    <cellStyle name="SampleUsingFormatMask 2 2" xfId="12180"/>
    <cellStyle name="SampleUsingFormatMask 2 3" xfId="12181"/>
    <cellStyle name="SampleUsingFormatMask 3" xfId="12182"/>
    <cellStyle name="SampleWithNoFormatMask" xfId="12183"/>
    <cellStyle name="SampleWithNoFormatMask 2" xfId="12184"/>
    <cellStyle name="SampleWithNoFormatMask 2 2" xfId="12185"/>
    <cellStyle name="SampleWithNoFormatMask 2 3" xfId="12186"/>
    <cellStyle name="SampleWithNoFormatMask 3" xfId="12187"/>
    <cellStyle name="SAPBEXaggData" xfId="12188"/>
    <cellStyle name="SAPBEXaggData 10" xfId="12189"/>
    <cellStyle name="SAPBEXaggData 10 2" xfId="12190"/>
    <cellStyle name="SAPBEXaggData 11" xfId="12191"/>
    <cellStyle name="SAPBEXaggData 11 2" xfId="12192"/>
    <cellStyle name="SAPBEXaggData 12" xfId="12193"/>
    <cellStyle name="SAPBEXaggData 2" xfId="12194"/>
    <cellStyle name="SAPBEXaggData 2 10" xfId="12195"/>
    <cellStyle name="SAPBEXaggData 2 10 2" xfId="12196"/>
    <cellStyle name="SAPBEXaggData 2 11" xfId="12197"/>
    <cellStyle name="SAPBEXaggData 2 2" xfId="12198"/>
    <cellStyle name="SAPBEXaggData 2 2 2" xfId="12199"/>
    <cellStyle name="SAPBEXaggData 2 3" xfId="12200"/>
    <cellStyle name="SAPBEXaggData 2 3 2" xfId="12201"/>
    <cellStyle name="SAPBEXaggData 2 4" xfId="12202"/>
    <cellStyle name="SAPBEXaggData 2 4 2" xfId="12203"/>
    <cellStyle name="SAPBEXaggData 2 5" xfId="12204"/>
    <cellStyle name="SAPBEXaggData 2 5 2" xfId="12205"/>
    <cellStyle name="SAPBEXaggData 2 6" xfId="12206"/>
    <cellStyle name="SAPBEXaggData 2 6 2" xfId="12207"/>
    <cellStyle name="SAPBEXaggData 2 7" xfId="12208"/>
    <cellStyle name="SAPBEXaggData 2 7 2" xfId="12209"/>
    <cellStyle name="SAPBEXaggData 2 8" xfId="12210"/>
    <cellStyle name="SAPBEXaggData 2 8 2" xfId="12211"/>
    <cellStyle name="SAPBEXaggData 2 9" xfId="12212"/>
    <cellStyle name="SAPBEXaggData 2 9 2" xfId="12213"/>
    <cellStyle name="SAPBEXaggData 3" xfId="12214"/>
    <cellStyle name="SAPBEXaggData 3 2" xfId="12215"/>
    <cellStyle name="SAPBEXaggData 4" xfId="12216"/>
    <cellStyle name="SAPBEXaggData 4 2" xfId="12217"/>
    <cellStyle name="SAPBEXaggData 5" xfId="12218"/>
    <cellStyle name="SAPBEXaggData 5 2" xfId="12219"/>
    <cellStyle name="SAPBEXaggData 6" xfId="12220"/>
    <cellStyle name="SAPBEXaggData 6 2" xfId="12221"/>
    <cellStyle name="SAPBEXaggData 7" xfId="12222"/>
    <cellStyle name="SAPBEXaggData 7 2" xfId="12223"/>
    <cellStyle name="SAPBEXaggData 8" xfId="12224"/>
    <cellStyle name="SAPBEXaggData 8 2" xfId="12225"/>
    <cellStyle name="SAPBEXaggData 9" xfId="12226"/>
    <cellStyle name="SAPBEXaggData 9 2" xfId="12227"/>
    <cellStyle name="SAPBEXaggDataEmph" xfId="12228"/>
    <cellStyle name="SAPBEXaggDataEmph 10" xfId="12229"/>
    <cellStyle name="SAPBEXaggDataEmph 10 2" xfId="12230"/>
    <cellStyle name="SAPBEXaggDataEmph 11" xfId="12231"/>
    <cellStyle name="SAPBEXaggDataEmph 2" xfId="12232"/>
    <cellStyle name="SAPBEXaggDataEmph 2 2" xfId="12233"/>
    <cellStyle name="SAPBEXaggDataEmph 3" xfId="12234"/>
    <cellStyle name="SAPBEXaggDataEmph 3 2" xfId="12235"/>
    <cellStyle name="SAPBEXaggDataEmph 4" xfId="12236"/>
    <cellStyle name="SAPBEXaggDataEmph 4 2" xfId="12237"/>
    <cellStyle name="SAPBEXaggDataEmph 5" xfId="12238"/>
    <cellStyle name="SAPBEXaggDataEmph 5 2" xfId="12239"/>
    <cellStyle name="SAPBEXaggDataEmph 6" xfId="12240"/>
    <cellStyle name="SAPBEXaggDataEmph 6 2" xfId="12241"/>
    <cellStyle name="SAPBEXaggDataEmph 7" xfId="12242"/>
    <cellStyle name="SAPBEXaggDataEmph 7 2" xfId="12243"/>
    <cellStyle name="SAPBEXaggDataEmph 8" xfId="12244"/>
    <cellStyle name="SAPBEXaggDataEmph 8 2" xfId="12245"/>
    <cellStyle name="SAPBEXaggDataEmph 9" xfId="12246"/>
    <cellStyle name="SAPBEXaggDataEmph 9 2" xfId="12247"/>
    <cellStyle name="SAPBEXaggItem" xfId="12248"/>
    <cellStyle name="SAPBEXaggItem 10" xfId="12249"/>
    <cellStyle name="SAPBEXaggItem 10 2" xfId="12250"/>
    <cellStyle name="SAPBEXaggItem 11" xfId="12251"/>
    <cellStyle name="SAPBEXaggItem 11 2" xfId="12252"/>
    <cellStyle name="SAPBEXaggItem 12" xfId="12253"/>
    <cellStyle name="SAPBEXaggItem 2" xfId="12254"/>
    <cellStyle name="SAPBEXaggItem 2 10" xfId="12255"/>
    <cellStyle name="SAPBEXaggItem 2 10 2" xfId="12256"/>
    <cellStyle name="SAPBEXaggItem 2 11" xfId="12257"/>
    <cellStyle name="SAPBEXaggItem 2 2" xfId="12258"/>
    <cellStyle name="SAPBEXaggItem 2 2 2" xfId="12259"/>
    <cellStyle name="SAPBEXaggItem 2 3" xfId="12260"/>
    <cellStyle name="SAPBEXaggItem 2 3 2" xfId="12261"/>
    <cellStyle name="SAPBEXaggItem 2 4" xfId="12262"/>
    <cellStyle name="SAPBEXaggItem 2 4 2" xfId="12263"/>
    <cellStyle name="SAPBEXaggItem 2 5" xfId="12264"/>
    <cellStyle name="SAPBEXaggItem 2 5 2" xfId="12265"/>
    <cellStyle name="SAPBEXaggItem 2 6" xfId="12266"/>
    <cellStyle name="SAPBEXaggItem 2 6 2" xfId="12267"/>
    <cellStyle name="SAPBEXaggItem 2 7" xfId="12268"/>
    <cellStyle name="SAPBEXaggItem 2 7 2" xfId="12269"/>
    <cellStyle name="SAPBEXaggItem 2 8" xfId="12270"/>
    <cellStyle name="SAPBEXaggItem 2 8 2" xfId="12271"/>
    <cellStyle name="SAPBEXaggItem 2 9" xfId="12272"/>
    <cellStyle name="SAPBEXaggItem 2 9 2" xfId="12273"/>
    <cellStyle name="SAPBEXaggItem 3" xfId="12274"/>
    <cellStyle name="SAPBEXaggItem 3 2" xfId="12275"/>
    <cellStyle name="SAPBEXaggItem 4" xfId="12276"/>
    <cellStyle name="SAPBEXaggItem 4 2" xfId="12277"/>
    <cellStyle name="SAPBEXaggItem 5" xfId="12278"/>
    <cellStyle name="SAPBEXaggItem 5 2" xfId="12279"/>
    <cellStyle name="SAPBEXaggItem 6" xfId="12280"/>
    <cellStyle name="SAPBEXaggItem 6 2" xfId="12281"/>
    <cellStyle name="SAPBEXaggItem 7" xfId="12282"/>
    <cellStyle name="SAPBEXaggItem 7 2" xfId="12283"/>
    <cellStyle name="SAPBEXaggItem 8" xfId="12284"/>
    <cellStyle name="SAPBEXaggItem 8 2" xfId="12285"/>
    <cellStyle name="SAPBEXaggItem 9" xfId="12286"/>
    <cellStyle name="SAPBEXaggItem 9 2" xfId="12287"/>
    <cellStyle name="SAPBEXaggItemX" xfId="12288"/>
    <cellStyle name="SAPBEXaggItemX 10" xfId="12289"/>
    <cellStyle name="SAPBEXaggItemX 10 2" xfId="12290"/>
    <cellStyle name="SAPBEXaggItemX 11" xfId="12291"/>
    <cellStyle name="SAPBEXaggItemX 11 2" xfId="12292"/>
    <cellStyle name="SAPBEXaggItemX 12" xfId="12293"/>
    <cellStyle name="SAPBEXaggItemX 2" xfId="12294"/>
    <cellStyle name="SAPBEXaggItemX 2 10" xfId="12295"/>
    <cellStyle name="SAPBEXaggItemX 2 10 2" xfId="12296"/>
    <cellStyle name="SAPBEXaggItemX 2 11" xfId="12297"/>
    <cellStyle name="SAPBEXaggItemX 2 2" xfId="12298"/>
    <cellStyle name="SAPBEXaggItemX 2 2 2" xfId="12299"/>
    <cellStyle name="SAPBEXaggItemX 2 3" xfId="12300"/>
    <cellStyle name="SAPBEXaggItemX 2 3 2" xfId="12301"/>
    <cellStyle name="SAPBEXaggItemX 2 4" xfId="12302"/>
    <cellStyle name="SAPBEXaggItemX 2 4 2" xfId="12303"/>
    <cellStyle name="SAPBEXaggItemX 2 5" xfId="12304"/>
    <cellStyle name="SAPBEXaggItemX 2 5 2" xfId="12305"/>
    <cellStyle name="SAPBEXaggItemX 2 6" xfId="12306"/>
    <cellStyle name="SAPBEXaggItemX 2 6 2" xfId="12307"/>
    <cellStyle name="SAPBEXaggItemX 2 7" xfId="12308"/>
    <cellStyle name="SAPBEXaggItemX 2 7 2" xfId="12309"/>
    <cellStyle name="SAPBEXaggItemX 2 8" xfId="12310"/>
    <cellStyle name="SAPBEXaggItemX 2 8 2" xfId="12311"/>
    <cellStyle name="SAPBEXaggItemX 2 9" xfId="12312"/>
    <cellStyle name="SAPBEXaggItemX 2 9 2" xfId="12313"/>
    <cellStyle name="SAPBEXaggItemX 3" xfId="12314"/>
    <cellStyle name="SAPBEXaggItemX 3 2" xfId="12315"/>
    <cellStyle name="SAPBEXaggItemX 4" xfId="12316"/>
    <cellStyle name="SAPBEXaggItemX 4 2" xfId="12317"/>
    <cellStyle name="SAPBEXaggItemX 5" xfId="12318"/>
    <cellStyle name="SAPBEXaggItemX 5 2" xfId="12319"/>
    <cellStyle name="SAPBEXaggItemX 6" xfId="12320"/>
    <cellStyle name="SAPBEXaggItemX 6 2" xfId="12321"/>
    <cellStyle name="SAPBEXaggItemX 7" xfId="12322"/>
    <cellStyle name="SAPBEXaggItemX 7 2" xfId="12323"/>
    <cellStyle name="SAPBEXaggItemX 8" xfId="12324"/>
    <cellStyle name="SAPBEXaggItemX 8 2" xfId="12325"/>
    <cellStyle name="SAPBEXaggItemX 9" xfId="12326"/>
    <cellStyle name="SAPBEXaggItemX 9 2" xfId="12327"/>
    <cellStyle name="SAPBEXchaText" xfId="12328"/>
    <cellStyle name="SAPBEXchaText 2" xfId="12329"/>
    <cellStyle name="SAPBEXexcBad7" xfId="12330"/>
    <cellStyle name="SAPBEXexcBad7 10" xfId="12331"/>
    <cellStyle name="SAPBEXexcBad7 10 2" xfId="12332"/>
    <cellStyle name="SAPBEXexcBad7 11" xfId="12333"/>
    <cellStyle name="SAPBEXexcBad7 11 2" xfId="12334"/>
    <cellStyle name="SAPBEXexcBad7 12" xfId="12335"/>
    <cellStyle name="SAPBEXexcBad7 2" xfId="12336"/>
    <cellStyle name="SAPBEXexcBad7 2 10" xfId="12337"/>
    <cellStyle name="SAPBEXexcBad7 2 10 2" xfId="12338"/>
    <cellStyle name="SAPBEXexcBad7 2 11" xfId="12339"/>
    <cellStyle name="SAPBEXexcBad7 2 2" xfId="12340"/>
    <cellStyle name="SAPBEXexcBad7 2 2 2" xfId="12341"/>
    <cellStyle name="SAPBEXexcBad7 2 3" xfId="12342"/>
    <cellStyle name="SAPBEXexcBad7 2 3 2" xfId="12343"/>
    <cellStyle name="SAPBEXexcBad7 2 4" xfId="12344"/>
    <cellStyle name="SAPBEXexcBad7 2 4 2" xfId="12345"/>
    <cellStyle name="SAPBEXexcBad7 2 5" xfId="12346"/>
    <cellStyle name="SAPBEXexcBad7 2 5 2" xfId="12347"/>
    <cellStyle name="SAPBEXexcBad7 2 6" xfId="12348"/>
    <cellStyle name="SAPBEXexcBad7 2 6 2" xfId="12349"/>
    <cellStyle name="SAPBEXexcBad7 2 7" xfId="12350"/>
    <cellStyle name="SAPBEXexcBad7 2 7 2" xfId="12351"/>
    <cellStyle name="SAPBEXexcBad7 2 8" xfId="12352"/>
    <cellStyle name="SAPBEXexcBad7 2 8 2" xfId="12353"/>
    <cellStyle name="SAPBEXexcBad7 2 9" xfId="12354"/>
    <cellStyle name="SAPBEXexcBad7 2 9 2" xfId="12355"/>
    <cellStyle name="SAPBEXexcBad7 3" xfId="12356"/>
    <cellStyle name="SAPBEXexcBad7 3 2" xfId="12357"/>
    <cellStyle name="SAPBEXexcBad7 4" xfId="12358"/>
    <cellStyle name="SAPBEXexcBad7 4 2" xfId="12359"/>
    <cellStyle name="SAPBEXexcBad7 5" xfId="12360"/>
    <cellStyle name="SAPBEXexcBad7 5 2" xfId="12361"/>
    <cellStyle name="SAPBEXexcBad7 6" xfId="12362"/>
    <cellStyle name="SAPBEXexcBad7 6 2" xfId="12363"/>
    <cellStyle name="SAPBEXexcBad7 7" xfId="12364"/>
    <cellStyle name="SAPBEXexcBad7 7 2" xfId="12365"/>
    <cellStyle name="SAPBEXexcBad7 8" xfId="12366"/>
    <cellStyle name="SAPBEXexcBad7 8 2" xfId="12367"/>
    <cellStyle name="SAPBEXexcBad7 9" xfId="12368"/>
    <cellStyle name="SAPBEXexcBad7 9 2" xfId="12369"/>
    <cellStyle name="SAPBEXexcBad8" xfId="12370"/>
    <cellStyle name="SAPBEXexcBad8 10" xfId="12371"/>
    <cellStyle name="SAPBEXexcBad8 10 2" xfId="12372"/>
    <cellStyle name="SAPBEXexcBad8 11" xfId="12373"/>
    <cellStyle name="SAPBEXexcBad8 2" xfId="12374"/>
    <cellStyle name="SAPBEXexcBad8 2 2" xfId="12375"/>
    <cellStyle name="SAPBEXexcBad8 3" xfId="12376"/>
    <cellStyle name="SAPBEXexcBad8 3 2" xfId="12377"/>
    <cellStyle name="SAPBEXexcBad8 4" xfId="12378"/>
    <cellStyle name="SAPBEXexcBad8 4 2" xfId="12379"/>
    <cellStyle name="SAPBEXexcBad8 5" xfId="12380"/>
    <cellStyle name="SAPBEXexcBad8 5 2" xfId="12381"/>
    <cellStyle name="SAPBEXexcBad8 6" xfId="12382"/>
    <cellStyle name="SAPBEXexcBad8 6 2" xfId="12383"/>
    <cellStyle name="SAPBEXexcBad8 7" xfId="12384"/>
    <cellStyle name="SAPBEXexcBad8 7 2" xfId="12385"/>
    <cellStyle name="SAPBEXexcBad8 8" xfId="12386"/>
    <cellStyle name="SAPBEXexcBad8 8 2" xfId="12387"/>
    <cellStyle name="SAPBEXexcBad8 9" xfId="12388"/>
    <cellStyle name="SAPBEXexcBad8 9 2" xfId="12389"/>
    <cellStyle name="SAPBEXexcBad9" xfId="12390"/>
    <cellStyle name="SAPBEXexcBad9 10" xfId="12391"/>
    <cellStyle name="SAPBEXexcBad9 10 2" xfId="12392"/>
    <cellStyle name="SAPBEXexcBad9 11" xfId="12393"/>
    <cellStyle name="SAPBEXexcBad9 2" xfId="12394"/>
    <cellStyle name="SAPBEXexcBad9 2 2" xfId="12395"/>
    <cellStyle name="SAPBEXexcBad9 3" xfId="12396"/>
    <cellStyle name="SAPBEXexcBad9 3 2" xfId="12397"/>
    <cellStyle name="SAPBEXexcBad9 4" xfId="12398"/>
    <cellStyle name="SAPBEXexcBad9 4 2" xfId="12399"/>
    <cellStyle name="SAPBEXexcBad9 5" xfId="12400"/>
    <cellStyle name="SAPBEXexcBad9 5 2" xfId="12401"/>
    <cellStyle name="SAPBEXexcBad9 6" xfId="12402"/>
    <cellStyle name="SAPBEXexcBad9 6 2" xfId="12403"/>
    <cellStyle name="SAPBEXexcBad9 7" xfId="12404"/>
    <cellStyle name="SAPBEXexcBad9 7 2" xfId="12405"/>
    <cellStyle name="SAPBEXexcBad9 8" xfId="12406"/>
    <cellStyle name="SAPBEXexcBad9 8 2" xfId="12407"/>
    <cellStyle name="SAPBEXexcBad9 9" xfId="12408"/>
    <cellStyle name="SAPBEXexcBad9 9 2" xfId="12409"/>
    <cellStyle name="SAPBEXexcCritical4" xfId="12410"/>
    <cellStyle name="SAPBEXexcCritical4 10" xfId="12411"/>
    <cellStyle name="SAPBEXexcCritical4 10 2" xfId="12412"/>
    <cellStyle name="SAPBEXexcCritical4 11" xfId="12413"/>
    <cellStyle name="SAPBEXexcCritical4 11 2" xfId="12414"/>
    <cellStyle name="SAPBEXexcCritical4 12" xfId="12415"/>
    <cellStyle name="SAPBEXexcCritical4 2" xfId="12416"/>
    <cellStyle name="SAPBEXexcCritical4 2 10" xfId="12417"/>
    <cellStyle name="SAPBEXexcCritical4 2 10 2" xfId="12418"/>
    <cellStyle name="SAPBEXexcCritical4 2 11" xfId="12419"/>
    <cellStyle name="SAPBEXexcCritical4 2 2" xfId="12420"/>
    <cellStyle name="SAPBEXexcCritical4 2 2 2" xfId="12421"/>
    <cellStyle name="SAPBEXexcCritical4 2 3" xfId="12422"/>
    <cellStyle name="SAPBEXexcCritical4 2 3 2" xfId="12423"/>
    <cellStyle name="SAPBEXexcCritical4 2 4" xfId="12424"/>
    <cellStyle name="SAPBEXexcCritical4 2 4 2" xfId="12425"/>
    <cellStyle name="SAPBEXexcCritical4 2 5" xfId="12426"/>
    <cellStyle name="SAPBEXexcCritical4 2 5 2" xfId="12427"/>
    <cellStyle name="SAPBEXexcCritical4 2 6" xfId="12428"/>
    <cellStyle name="SAPBEXexcCritical4 2 6 2" xfId="12429"/>
    <cellStyle name="SAPBEXexcCritical4 2 7" xfId="12430"/>
    <cellStyle name="SAPBEXexcCritical4 2 7 2" xfId="12431"/>
    <cellStyle name="SAPBEXexcCritical4 2 8" xfId="12432"/>
    <cellStyle name="SAPBEXexcCritical4 2 8 2" xfId="12433"/>
    <cellStyle name="SAPBEXexcCritical4 2 9" xfId="12434"/>
    <cellStyle name="SAPBEXexcCritical4 2 9 2" xfId="12435"/>
    <cellStyle name="SAPBEXexcCritical4 3" xfId="12436"/>
    <cellStyle name="SAPBEXexcCritical4 3 2" xfId="12437"/>
    <cellStyle name="SAPBEXexcCritical4 4" xfId="12438"/>
    <cellStyle name="SAPBEXexcCritical4 4 2" xfId="12439"/>
    <cellStyle name="SAPBEXexcCritical4 5" xfId="12440"/>
    <cellStyle name="SAPBEXexcCritical4 5 2" xfId="12441"/>
    <cellStyle name="SAPBEXexcCritical4 6" xfId="12442"/>
    <cellStyle name="SAPBEXexcCritical4 6 2" xfId="12443"/>
    <cellStyle name="SAPBEXexcCritical4 7" xfId="12444"/>
    <cellStyle name="SAPBEXexcCritical4 7 2" xfId="12445"/>
    <cellStyle name="SAPBEXexcCritical4 8" xfId="12446"/>
    <cellStyle name="SAPBEXexcCritical4 8 2" xfId="12447"/>
    <cellStyle name="SAPBEXexcCritical4 9" xfId="12448"/>
    <cellStyle name="SAPBEXexcCritical4 9 2" xfId="12449"/>
    <cellStyle name="SAPBEXexcCritical5" xfId="12450"/>
    <cellStyle name="SAPBEXexcCritical5 10" xfId="12451"/>
    <cellStyle name="SAPBEXexcCritical5 10 2" xfId="12452"/>
    <cellStyle name="SAPBEXexcCritical5 11" xfId="12453"/>
    <cellStyle name="SAPBEXexcCritical5 11 2" xfId="12454"/>
    <cellStyle name="SAPBEXexcCritical5 12" xfId="12455"/>
    <cellStyle name="SAPBEXexcCritical5 2" xfId="12456"/>
    <cellStyle name="SAPBEXexcCritical5 2 10" xfId="12457"/>
    <cellStyle name="SAPBEXexcCritical5 2 10 2" xfId="12458"/>
    <cellStyle name="SAPBEXexcCritical5 2 11" xfId="12459"/>
    <cellStyle name="SAPBEXexcCritical5 2 2" xfId="12460"/>
    <cellStyle name="SAPBEXexcCritical5 2 2 2" xfId="12461"/>
    <cellStyle name="SAPBEXexcCritical5 2 3" xfId="12462"/>
    <cellStyle name="SAPBEXexcCritical5 2 3 2" xfId="12463"/>
    <cellStyle name="SAPBEXexcCritical5 2 4" xfId="12464"/>
    <cellStyle name="SAPBEXexcCritical5 2 4 2" xfId="12465"/>
    <cellStyle name="SAPBEXexcCritical5 2 5" xfId="12466"/>
    <cellStyle name="SAPBEXexcCritical5 2 5 2" xfId="12467"/>
    <cellStyle name="SAPBEXexcCritical5 2 6" xfId="12468"/>
    <cellStyle name="SAPBEXexcCritical5 2 6 2" xfId="12469"/>
    <cellStyle name="SAPBEXexcCritical5 2 7" xfId="12470"/>
    <cellStyle name="SAPBEXexcCritical5 2 7 2" xfId="12471"/>
    <cellStyle name="SAPBEXexcCritical5 2 8" xfId="12472"/>
    <cellStyle name="SAPBEXexcCritical5 2 8 2" xfId="12473"/>
    <cellStyle name="SAPBEXexcCritical5 2 9" xfId="12474"/>
    <cellStyle name="SAPBEXexcCritical5 2 9 2" xfId="12475"/>
    <cellStyle name="SAPBEXexcCritical5 3" xfId="12476"/>
    <cellStyle name="SAPBEXexcCritical5 3 2" xfId="12477"/>
    <cellStyle name="SAPBEXexcCritical5 4" xfId="12478"/>
    <cellStyle name="SAPBEXexcCritical5 4 2" xfId="12479"/>
    <cellStyle name="SAPBEXexcCritical5 5" xfId="12480"/>
    <cellStyle name="SAPBEXexcCritical5 5 2" xfId="12481"/>
    <cellStyle name="SAPBEXexcCritical5 6" xfId="12482"/>
    <cellStyle name="SAPBEXexcCritical5 6 2" xfId="12483"/>
    <cellStyle name="SAPBEXexcCritical5 7" xfId="12484"/>
    <cellStyle name="SAPBEXexcCritical5 7 2" xfId="12485"/>
    <cellStyle name="SAPBEXexcCritical5 8" xfId="12486"/>
    <cellStyle name="SAPBEXexcCritical5 8 2" xfId="12487"/>
    <cellStyle name="SAPBEXexcCritical5 9" xfId="12488"/>
    <cellStyle name="SAPBEXexcCritical5 9 2" xfId="12489"/>
    <cellStyle name="SAPBEXexcCritical6" xfId="12490"/>
    <cellStyle name="SAPBEXexcCritical6 10" xfId="12491"/>
    <cellStyle name="SAPBEXexcCritical6 10 2" xfId="12492"/>
    <cellStyle name="SAPBEXexcCritical6 11" xfId="12493"/>
    <cellStyle name="SAPBEXexcCritical6 11 2" xfId="12494"/>
    <cellStyle name="SAPBEXexcCritical6 12" xfId="12495"/>
    <cellStyle name="SAPBEXexcCritical6 2" xfId="12496"/>
    <cellStyle name="SAPBEXexcCritical6 2 10" xfId="12497"/>
    <cellStyle name="SAPBEXexcCritical6 2 10 2" xfId="12498"/>
    <cellStyle name="SAPBEXexcCritical6 2 11" xfId="12499"/>
    <cellStyle name="SAPBEXexcCritical6 2 2" xfId="12500"/>
    <cellStyle name="SAPBEXexcCritical6 2 2 2" xfId="12501"/>
    <cellStyle name="SAPBEXexcCritical6 2 3" xfId="12502"/>
    <cellStyle name="SAPBEXexcCritical6 2 3 2" xfId="12503"/>
    <cellStyle name="SAPBEXexcCritical6 2 4" xfId="12504"/>
    <cellStyle name="SAPBEXexcCritical6 2 4 2" xfId="12505"/>
    <cellStyle name="SAPBEXexcCritical6 2 5" xfId="12506"/>
    <cellStyle name="SAPBEXexcCritical6 2 5 2" xfId="12507"/>
    <cellStyle name="SAPBEXexcCritical6 2 6" xfId="12508"/>
    <cellStyle name="SAPBEXexcCritical6 2 6 2" xfId="12509"/>
    <cellStyle name="SAPBEXexcCritical6 2 7" xfId="12510"/>
    <cellStyle name="SAPBEXexcCritical6 2 7 2" xfId="12511"/>
    <cellStyle name="SAPBEXexcCritical6 2 8" xfId="12512"/>
    <cellStyle name="SAPBEXexcCritical6 2 8 2" xfId="12513"/>
    <cellStyle name="SAPBEXexcCritical6 2 9" xfId="12514"/>
    <cellStyle name="SAPBEXexcCritical6 2 9 2" xfId="12515"/>
    <cellStyle name="SAPBEXexcCritical6 3" xfId="12516"/>
    <cellStyle name="SAPBEXexcCritical6 3 2" xfId="12517"/>
    <cellStyle name="SAPBEXexcCritical6 4" xfId="12518"/>
    <cellStyle name="SAPBEXexcCritical6 4 2" xfId="12519"/>
    <cellStyle name="SAPBEXexcCritical6 5" xfId="12520"/>
    <cellStyle name="SAPBEXexcCritical6 5 2" xfId="12521"/>
    <cellStyle name="SAPBEXexcCritical6 6" xfId="12522"/>
    <cellStyle name="SAPBEXexcCritical6 6 2" xfId="12523"/>
    <cellStyle name="SAPBEXexcCritical6 7" xfId="12524"/>
    <cellStyle name="SAPBEXexcCritical6 7 2" xfId="12525"/>
    <cellStyle name="SAPBEXexcCritical6 8" xfId="12526"/>
    <cellStyle name="SAPBEXexcCritical6 8 2" xfId="12527"/>
    <cellStyle name="SAPBEXexcCritical6 9" xfId="12528"/>
    <cellStyle name="SAPBEXexcCritical6 9 2" xfId="12529"/>
    <cellStyle name="SAPBEXexcGood1" xfId="12530"/>
    <cellStyle name="SAPBEXexcGood1 10" xfId="12531"/>
    <cellStyle name="SAPBEXexcGood1 10 2" xfId="12532"/>
    <cellStyle name="SAPBEXexcGood1 11" xfId="12533"/>
    <cellStyle name="SAPBEXexcGood1 2" xfId="12534"/>
    <cellStyle name="SAPBEXexcGood1 2 2" xfId="12535"/>
    <cellStyle name="SAPBEXexcGood1 3" xfId="12536"/>
    <cellStyle name="SAPBEXexcGood1 3 2" xfId="12537"/>
    <cellStyle name="SAPBEXexcGood1 4" xfId="12538"/>
    <cellStyle name="SAPBEXexcGood1 4 2" xfId="12539"/>
    <cellStyle name="SAPBEXexcGood1 5" xfId="12540"/>
    <cellStyle name="SAPBEXexcGood1 5 2" xfId="12541"/>
    <cellStyle name="SAPBEXexcGood1 6" xfId="12542"/>
    <cellStyle name="SAPBEXexcGood1 6 2" xfId="12543"/>
    <cellStyle name="SAPBEXexcGood1 7" xfId="12544"/>
    <cellStyle name="SAPBEXexcGood1 7 2" xfId="12545"/>
    <cellStyle name="SAPBEXexcGood1 8" xfId="12546"/>
    <cellStyle name="SAPBEXexcGood1 8 2" xfId="12547"/>
    <cellStyle name="SAPBEXexcGood1 9" xfId="12548"/>
    <cellStyle name="SAPBEXexcGood1 9 2" xfId="12549"/>
    <cellStyle name="SAPBEXexcGood2" xfId="12550"/>
    <cellStyle name="SAPBEXexcGood2 10" xfId="12551"/>
    <cellStyle name="SAPBEXexcGood2 10 2" xfId="12552"/>
    <cellStyle name="SAPBEXexcGood2 11" xfId="12553"/>
    <cellStyle name="SAPBEXexcGood2 2" xfId="12554"/>
    <cellStyle name="SAPBEXexcGood2 2 2" xfId="12555"/>
    <cellStyle name="SAPBEXexcGood2 3" xfId="12556"/>
    <cellStyle name="SAPBEXexcGood2 3 2" xfId="12557"/>
    <cellStyle name="SAPBEXexcGood2 4" xfId="12558"/>
    <cellStyle name="SAPBEXexcGood2 4 2" xfId="12559"/>
    <cellStyle name="SAPBEXexcGood2 5" xfId="12560"/>
    <cellStyle name="SAPBEXexcGood2 5 2" xfId="12561"/>
    <cellStyle name="SAPBEXexcGood2 6" xfId="12562"/>
    <cellStyle name="SAPBEXexcGood2 6 2" xfId="12563"/>
    <cellStyle name="SAPBEXexcGood2 7" xfId="12564"/>
    <cellStyle name="SAPBEXexcGood2 7 2" xfId="12565"/>
    <cellStyle name="SAPBEXexcGood2 8" xfId="12566"/>
    <cellStyle name="SAPBEXexcGood2 8 2" xfId="12567"/>
    <cellStyle name="SAPBEXexcGood2 9" xfId="12568"/>
    <cellStyle name="SAPBEXexcGood2 9 2" xfId="12569"/>
    <cellStyle name="SAPBEXexcGood3" xfId="12570"/>
    <cellStyle name="SAPBEXexcGood3 10" xfId="12571"/>
    <cellStyle name="SAPBEXexcGood3 10 2" xfId="12572"/>
    <cellStyle name="SAPBEXexcGood3 11" xfId="12573"/>
    <cellStyle name="SAPBEXexcGood3 11 2" xfId="12574"/>
    <cellStyle name="SAPBEXexcGood3 12" xfId="12575"/>
    <cellStyle name="SAPBEXexcGood3 2" xfId="12576"/>
    <cellStyle name="SAPBEXexcGood3 2 10" xfId="12577"/>
    <cellStyle name="SAPBEXexcGood3 2 10 2" xfId="12578"/>
    <cellStyle name="SAPBEXexcGood3 2 11" xfId="12579"/>
    <cellStyle name="SAPBEXexcGood3 2 2" xfId="12580"/>
    <cellStyle name="SAPBEXexcGood3 2 2 2" xfId="12581"/>
    <cellStyle name="SAPBEXexcGood3 2 3" xfId="12582"/>
    <cellStyle name="SAPBEXexcGood3 2 3 2" xfId="12583"/>
    <cellStyle name="SAPBEXexcGood3 2 4" xfId="12584"/>
    <cellStyle name="SAPBEXexcGood3 2 4 2" xfId="12585"/>
    <cellStyle name="SAPBEXexcGood3 2 5" xfId="12586"/>
    <cellStyle name="SAPBEXexcGood3 2 5 2" xfId="12587"/>
    <cellStyle name="SAPBEXexcGood3 2 6" xfId="12588"/>
    <cellStyle name="SAPBEXexcGood3 2 6 2" xfId="12589"/>
    <cellStyle name="SAPBEXexcGood3 2 7" xfId="12590"/>
    <cellStyle name="SAPBEXexcGood3 2 7 2" xfId="12591"/>
    <cellStyle name="SAPBEXexcGood3 2 8" xfId="12592"/>
    <cellStyle name="SAPBEXexcGood3 2 8 2" xfId="12593"/>
    <cellStyle name="SAPBEXexcGood3 2 9" xfId="12594"/>
    <cellStyle name="SAPBEXexcGood3 2 9 2" xfId="12595"/>
    <cellStyle name="SAPBEXexcGood3 3" xfId="12596"/>
    <cellStyle name="SAPBEXexcGood3 3 2" xfId="12597"/>
    <cellStyle name="SAPBEXexcGood3 4" xfId="12598"/>
    <cellStyle name="SAPBEXexcGood3 4 2" xfId="12599"/>
    <cellStyle name="SAPBEXexcGood3 5" xfId="12600"/>
    <cellStyle name="SAPBEXexcGood3 5 2" xfId="12601"/>
    <cellStyle name="SAPBEXexcGood3 6" xfId="12602"/>
    <cellStyle name="SAPBEXexcGood3 6 2" xfId="12603"/>
    <cellStyle name="SAPBEXexcGood3 7" xfId="12604"/>
    <cellStyle name="SAPBEXexcGood3 7 2" xfId="12605"/>
    <cellStyle name="SAPBEXexcGood3 8" xfId="12606"/>
    <cellStyle name="SAPBEXexcGood3 8 2" xfId="12607"/>
    <cellStyle name="SAPBEXexcGood3 9" xfId="12608"/>
    <cellStyle name="SAPBEXexcGood3 9 2" xfId="12609"/>
    <cellStyle name="SAPBEXfilterDrill" xfId="12610"/>
    <cellStyle name="SAPBEXfilterDrill 2" xfId="12611"/>
    <cellStyle name="SAPBEXfilterItem" xfId="12612"/>
    <cellStyle name="SAPBEXfilterItem 2" xfId="12613"/>
    <cellStyle name="SAPBEXfilterText" xfId="12614"/>
    <cellStyle name="SAPBEXfilterText 2" xfId="12615"/>
    <cellStyle name="SAPBEXformats" xfId="12616"/>
    <cellStyle name="SAPBEXformats 10" xfId="12617"/>
    <cellStyle name="SAPBEXformats 10 2" xfId="12618"/>
    <cellStyle name="SAPBEXformats 11" xfId="12619"/>
    <cellStyle name="SAPBEXformats 11 2" xfId="12620"/>
    <cellStyle name="SAPBEXformats 12" xfId="12621"/>
    <cellStyle name="SAPBEXformats 2" xfId="12622"/>
    <cellStyle name="SAPBEXformats 2 10" xfId="12623"/>
    <cellStyle name="SAPBEXformats 2 10 2" xfId="12624"/>
    <cellStyle name="SAPBEXformats 2 11" xfId="12625"/>
    <cellStyle name="SAPBEXformats 2 2" xfId="12626"/>
    <cellStyle name="SAPBEXformats 2 2 2" xfId="12627"/>
    <cellStyle name="SAPBEXformats 2 3" xfId="12628"/>
    <cellStyle name="SAPBEXformats 2 3 2" xfId="12629"/>
    <cellStyle name="SAPBEXformats 2 4" xfId="12630"/>
    <cellStyle name="SAPBEXformats 2 4 2" xfId="12631"/>
    <cellStyle name="SAPBEXformats 2 5" xfId="12632"/>
    <cellStyle name="SAPBEXformats 2 5 2" xfId="12633"/>
    <cellStyle name="SAPBEXformats 2 6" xfId="12634"/>
    <cellStyle name="SAPBEXformats 2 6 2" xfId="12635"/>
    <cellStyle name="SAPBEXformats 2 7" xfId="12636"/>
    <cellStyle name="SAPBEXformats 2 7 2" xfId="12637"/>
    <cellStyle name="SAPBEXformats 2 8" xfId="12638"/>
    <cellStyle name="SAPBEXformats 2 8 2" xfId="12639"/>
    <cellStyle name="SAPBEXformats 2 9" xfId="12640"/>
    <cellStyle name="SAPBEXformats 2 9 2" xfId="12641"/>
    <cellStyle name="SAPBEXformats 3" xfId="12642"/>
    <cellStyle name="SAPBEXformats 3 2" xfId="12643"/>
    <cellStyle name="SAPBEXformats 4" xfId="12644"/>
    <cellStyle name="SAPBEXformats 4 2" xfId="12645"/>
    <cellStyle name="SAPBEXformats 5" xfId="12646"/>
    <cellStyle name="SAPBEXformats 5 2" xfId="12647"/>
    <cellStyle name="SAPBEXformats 6" xfId="12648"/>
    <cellStyle name="SAPBEXformats 6 2" xfId="12649"/>
    <cellStyle name="SAPBEXformats 7" xfId="12650"/>
    <cellStyle name="SAPBEXformats 7 2" xfId="12651"/>
    <cellStyle name="SAPBEXformats 8" xfId="12652"/>
    <cellStyle name="SAPBEXformats 8 2" xfId="12653"/>
    <cellStyle name="SAPBEXformats 9" xfId="12654"/>
    <cellStyle name="SAPBEXformats 9 2" xfId="12655"/>
    <cellStyle name="SAPBEXheaderItem" xfId="12656"/>
    <cellStyle name="SAPBEXheaderItem 2" xfId="12657"/>
    <cellStyle name="SAPBEXheaderText" xfId="12658"/>
    <cellStyle name="SAPBEXheaderText 2" xfId="12659"/>
    <cellStyle name="SAPBEXHLevel0" xfId="12660"/>
    <cellStyle name="SAPBEXHLevel0 10" xfId="12661"/>
    <cellStyle name="SAPBEXHLevel0 10 2" xfId="12662"/>
    <cellStyle name="SAPBEXHLevel0 11" xfId="12663"/>
    <cellStyle name="SAPBEXHLevel0 11 2" xfId="12664"/>
    <cellStyle name="SAPBEXHLevel0 12" xfId="12665"/>
    <cellStyle name="SAPBEXHLevel0 2" xfId="12666"/>
    <cellStyle name="SAPBEXHLevel0 2 10" xfId="12667"/>
    <cellStyle name="SAPBEXHLevel0 2 10 2" xfId="12668"/>
    <cellStyle name="SAPBEXHLevel0 2 11" xfId="12669"/>
    <cellStyle name="SAPBEXHLevel0 2 2" xfId="12670"/>
    <cellStyle name="SAPBEXHLevel0 2 2 2" xfId="12671"/>
    <cellStyle name="SAPBEXHLevel0 2 3" xfId="12672"/>
    <cellStyle name="SAPBEXHLevel0 2 3 2" xfId="12673"/>
    <cellStyle name="SAPBEXHLevel0 2 4" xfId="12674"/>
    <cellStyle name="SAPBEXHLevel0 2 4 2" xfId="12675"/>
    <cellStyle name="SAPBEXHLevel0 2 5" xfId="12676"/>
    <cellStyle name="SAPBEXHLevel0 2 5 2" xfId="12677"/>
    <cellStyle name="SAPBEXHLevel0 2 6" xfId="12678"/>
    <cellStyle name="SAPBEXHLevel0 2 6 2" xfId="12679"/>
    <cellStyle name="SAPBEXHLevel0 2 7" xfId="12680"/>
    <cellStyle name="SAPBEXHLevel0 2 7 2" xfId="12681"/>
    <cellStyle name="SAPBEXHLevel0 2 8" xfId="12682"/>
    <cellStyle name="SAPBEXHLevel0 2 8 2" xfId="12683"/>
    <cellStyle name="SAPBEXHLevel0 2 9" xfId="12684"/>
    <cellStyle name="SAPBEXHLevel0 2 9 2" xfId="12685"/>
    <cellStyle name="SAPBEXHLevel0 3" xfId="12686"/>
    <cellStyle name="SAPBEXHLevel0 3 2" xfId="12687"/>
    <cellStyle name="SAPBEXHLevel0 4" xfId="12688"/>
    <cellStyle name="SAPBEXHLevel0 4 2" xfId="12689"/>
    <cellStyle name="SAPBEXHLevel0 5" xfId="12690"/>
    <cellStyle name="SAPBEXHLevel0 5 2" xfId="12691"/>
    <cellStyle name="SAPBEXHLevel0 6" xfId="12692"/>
    <cellStyle name="SAPBEXHLevel0 6 2" xfId="12693"/>
    <cellStyle name="SAPBEXHLevel0 7" xfId="12694"/>
    <cellStyle name="SAPBEXHLevel0 7 2" xfId="12695"/>
    <cellStyle name="SAPBEXHLevel0 8" xfId="12696"/>
    <cellStyle name="SAPBEXHLevel0 8 2" xfId="12697"/>
    <cellStyle name="SAPBEXHLevel0 9" xfId="12698"/>
    <cellStyle name="SAPBEXHLevel0 9 2" xfId="12699"/>
    <cellStyle name="SAPBEXHLevel0X" xfId="12700"/>
    <cellStyle name="SAPBEXHLevel0X 10" xfId="12701"/>
    <cellStyle name="SAPBEXHLevel0X 10 2" xfId="12702"/>
    <cellStyle name="SAPBEXHLevel0X 11" xfId="12703"/>
    <cellStyle name="SAPBEXHLevel0X 11 2" xfId="12704"/>
    <cellStyle name="SAPBEXHLevel0X 12" xfId="12705"/>
    <cellStyle name="SAPBEXHLevel0X 2" xfId="12706"/>
    <cellStyle name="SAPBEXHLevel0X 2 10" xfId="12707"/>
    <cellStyle name="SAPBEXHLevel0X 2 10 2" xfId="12708"/>
    <cellStyle name="SAPBEXHLevel0X 2 11" xfId="12709"/>
    <cellStyle name="SAPBEXHLevel0X 2 2" xfId="12710"/>
    <cellStyle name="SAPBEXHLevel0X 2 2 2" xfId="12711"/>
    <cellStyle name="SAPBEXHLevel0X 2 3" xfId="12712"/>
    <cellStyle name="SAPBEXHLevel0X 2 3 2" xfId="12713"/>
    <cellStyle name="SAPBEXHLevel0X 2 4" xfId="12714"/>
    <cellStyle name="SAPBEXHLevel0X 2 4 2" xfId="12715"/>
    <cellStyle name="SAPBEXHLevel0X 2 5" xfId="12716"/>
    <cellStyle name="SAPBEXHLevel0X 2 5 2" xfId="12717"/>
    <cellStyle name="SAPBEXHLevel0X 2 6" xfId="12718"/>
    <cellStyle name="SAPBEXHLevel0X 2 6 2" xfId="12719"/>
    <cellStyle name="SAPBEXHLevel0X 2 7" xfId="12720"/>
    <cellStyle name="SAPBEXHLevel0X 2 7 2" xfId="12721"/>
    <cellStyle name="SAPBEXHLevel0X 2 8" xfId="12722"/>
    <cellStyle name="SAPBEXHLevel0X 2 8 2" xfId="12723"/>
    <cellStyle name="SAPBEXHLevel0X 2 9" xfId="12724"/>
    <cellStyle name="SAPBEXHLevel0X 2 9 2" xfId="12725"/>
    <cellStyle name="SAPBEXHLevel0X 3" xfId="12726"/>
    <cellStyle name="SAPBEXHLevel0X 3 2" xfId="12727"/>
    <cellStyle name="SAPBEXHLevel0X 4" xfId="12728"/>
    <cellStyle name="SAPBEXHLevel0X 4 2" xfId="12729"/>
    <cellStyle name="SAPBEXHLevel0X 5" xfId="12730"/>
    <cellStyle name="SAPBEXHLevel0X 5 2" xfId="12731"/>
    <cellStyle name="SAPBEXHLevel0X 6" xfId="12732"/>
    <cellStyle name="SAPBEXHLevel0X 6 2" xfId="12733"/>
    <cellStyle name="SAPBEXHLevel0X 7" xfId="12734"/>
    <cellStyle name="SAPBEXHLevel0X 7 2" xfId="12735"/>
    <cellStyle name="SAPBEXHLevel0X 8" xfId="12736"/>
    <cellStyle name="SAPBEXHLevel0X 8 2" xfId="12737"/>
    <cellStyle name="SAPBEXHLevel0X 9" xfId="12738"/>
    <cellStyle name="SAPBEXHLevel0X 9 2" xfId="12739"/>
    <cellStyle name="SAPBEXHLevel1" xfId="12740"/>
    <cellStyle name="SAPBEXHLevel1 10" xfId="12741"/>
    <cellStyle name="SAPBEXHLevel1 10 2" xfId="12742"/>
    <cellStyle name="SAPBEXHLevel1 11" xfId="12743"/>
    <cellStyle name="SAPBEXHLevel1 11 2" xfId="12744"/>
    <cellStyle name="SAPBEXHLevel1 12" xfId="12745"/>
    <cellStyle name="SAPBEXHLevel1 2" xfId="12746"/>
    <cellStyle name="SAPBEXHLevel1 2 10" xfId="12747"/>
    <cellStyle name="SAPBEXHLevel1 2 10 2" xfId="12748"/>
    <cellStyle name="SAPBEXHLevel1 2 11" xfId="12749"/>
    <cellStyle name="SAPBEXHLevel1 2 2" xfId="12750"/>
    <cellStyle name="SAPBEXHLevel1 2 2 2" xfId="12751"/>
    <cellStyle name="SAPBEXHLevel1 2 3" xfId="12752"/>
    <cellStyle name="SAPBEXHLevel1 2 3 2" xfId="12753"/>
    <cellStyle name="SAPBEXHLevel1 2 4" xfId="12754"/>
    <cellStyle name="SAPBEXHLevel1 2 4 2" xfId="12755"/>
    <cellStyle name="SAPBEXHLevel1 2 5" xfId="12756"/>
    <cellStyle name="SAPBEXHLevel1 2 5 2" xfId="12757"/>
    <cellStyle name="SAPBEXHLevel1 2 6" xfId="12758"/>
    <cellStyle name="SAPBEXHLevel1 2 6 2" xfId="12759"/>
    <cellStyle name="SAPBEXHLevel1 2 7" xfId="12760"/>
    <cellStyle name="SAPBEXHLevel1 2 7 2" xfId="12761"/>
    <cellStyle name="SAPBEXHLevel1 2 8" xfId="12762"/>
    <cellStyle name="SAPBEXHLevel1 2 8 2" xfId="12763"/>
    <cellStyle name="SAPBEXHLevel1 2 9" xfId="12764"/>
    <cellStyle name="SAPBEXHLevel1 2 9 2" xfId="12765"/>
    <cellStyle name="SAPBEXHLevel1 3" xfId="12766"/>
    <cellStyle name="SAPBEXHLevel1 3 2" xfId="12767"/>
    <cellStyle name="SAPBEXHLevel1 4" xfId="12768"/>
    <cellStyle name="SAPBEXHLevel1 4 2" xfId="12769"/>
    <cellStyle name="SAPBEXHLevel1 5" xfId="12770"/>
    <cellStyle name="SAPBEXHLevel1 5 2" xfId="12771"/>
    <cellStyle name="SAPBEXHLevel1 6" xfId="12772"/>
    <cellStyle name="SAPBEXHLevel1 6 2" xfId="12773"/>
    <cellStyle name="SAPBEXHLevel1 7" xfId="12774"/>
    <cellStyle name="SAPBEXHLevel1 7 2" xfId="12775"/>
    <cellStyle name="SAPBEXHLevel1 8" xfId="12776"/>
    <cellStyle name="SAPBEXHLevel1 8 2" xfId="12777"/>
    <cellStyle name="SAPBEXHLevel1 9" xfId="12778"/>
    <cellStyle name="SAPBEXHLevel1 9 2" xfId="12779"/>
    <cellStyle name="SAPBEXHLevel1X" xfId="12780"/>
    <cellStyle name="SAPBEXHLevel1X 10" xfId="12781"/>
    <cellStyle name="SAPBEXHLevel1X 10 2" xfId="12782"/>
    <cellStyle name="SAPBEXHLevel1X 11" xfId="12783"/>
    <cellStyle name="SAPBEXHLevel1X 11 2" xfId="12784"/>
    <cellStyle name="SAPBEXHLevel1X 12" xfId="12785"/>
    <cellStyle name="SAPBEXHLevel1X 2" xfId="12786"/>
    <cellStyle name="SAPBEXHLevel1X 2 10" xfId="12787"/>
    <cellStyle name="SAPBEXHLevel1X 2 10 2" xfId="12788"/>
    <cellStyle name="SAPBEXHLevel1X 2 11" xfId="12789"/>
    <cellStyle name="SAPBEXHLevel1X 2 2" xfId="12790"/>
    <cellStyle name="SAPBEXHLevel1X 2 2 2" xfId="12791"/>
    <cellStyle name="SAPBEXHLevel1X 2 3" xfId="12792"/>
    <cellStyle name="SAPBEXHLevel1X 2 3 2" xfId="12793"/>
    <cellStyle name="SAPBEXHLevel1X 2 4" xfId="12794"/>
    <cellStyle name="SAPBEXHLevel1X 2 4 2" xfId="12795"/>
    <cellStyle name="SAPBEXHLevel1X 2 5" xfId="12796"/>
    <cellStyle name="SAPBEXHLevel1X 2 5 2" xfId="12797"/>
    <cellStyle name="SAPBEXHLevel1X 2 6" xfId="12798"/>
    <cellStyle name="SAPBEXHLevel1X 2 6 2" xfId="12799"/>
    <cellStyle name="SAPBEXHLevel1X 2 7" xfId="12800"/>
    <cellStyle name="SAPBEXHLevel1X 2 7 2" xfId="12801"/>
    <cellStyle name="SAPBEXHLevel1X 2 8" xfId="12802"/>
    <cellStyle name="SAPBEXHLevel1X 2 8 2" xfId="12803"/>
    <cellStyle name="SAPBEXHLevel1X 2 9" xfId="12804"/>
    <cellStyle name="SAPBEXHLevel1X 2 9 2" xfId="12805"/>
    <cellStyle name="SAPBEXHLevel1X 3" xfId="12806"/>
    <cellStyle name="SAPBEXHLevel1X 3 2" xfId="12807"/>
    <cellStyle name="SAPBEXHLevel1X 4" xfId="12808"/>
    <cellStyle name="SAPBEXHLevel1X 4 2" xfId="12809"/>
    <cellStyle name="SAPBEXHLevel1X 5" xfId="12810"/>
    <cellStyle name="SAPBEXHLevel1X 5 2" xfId="12811"/>
    <cellStyle name="SAPBEXHLevel1X 6" xfId="12812"/>
    <cellStyle name="SAPBEXHLevel1X 6 2" xfId="12813"/>
    <cellStyle name="SAPBEXHLevel1X 7" xfId="12814"/>
    <cellStyle name="SAPBEXHLevel1X 7 2" xfId="12815"/>
    <cellStyle name="SAPBEXHLevel1X 8" xfId="12816"/>
    <cellStyle name="SAPBEXHLevel1X 8 2" xfId="12817"/>
    <cellStyle name="SAPBEXHLevel1X 9" xfId="12818"/>
    <cellStyle name="SAPBEXHLevel1X 9 2" xfId="12819"/>
    <cellStyle name="SAPBEXHLevel2" xfId="12820"/>
    <cellStyle name="SAPBEXHLevel2 10" xfId="12821"/>
    <cellStyle name="SAPBEXHLevel2 10 2" xfId="12822"/>
    <cellStyle name="SAPBEXHLevel2 11" xfId="12823"/>
    <cellStyle name="SAPBEXHLevel2 11 2" xfId="12824"/>
    <cellStyle name="SAPBEXHLevel2 12" xfId="12825"/>
    <cellStyle name="SAPBEXHLevel2 2" xfId="12826"/>
    <cellStyle name="SAPBEXHLevel2 2 10" xfId="12827"/>
    <cellStyle name="SAPBEXHLevel2 2 10 2" xfId="12828"/>
    <cellStyle name="SAPBEXHLevel2 2 11" xfId="12829"/>
    <cellStyle name="SAPBEXHLevel2 2 2" xfId="12830"/>
    <cellStyle name="SAPBEXHLevel2 2 2 2" xfId="12831"/>
    <cellStyle name="SAPBEXHLevel2 2 3" xfId="12832"/>
    <cellStyle name="SAPBEXHLevel2 2 3 2" xfId="12833"/>
    <cellStyle name="SAPBEXHLevel2 2 4" xfId="12834"/>
    <cellStyle name="SAPBEXHLevel2 2 4 2" xfId="12835"/>
    <cellStyle name="SAPBEXHLevel2 2 5" xfId="12836"/>
    <cellStyle name="SAPBEXHLevel2 2 5 2" xfId="12837"/>
    <cellStyle name="SAPBEXHLevel2 2 6" xfId="12838"/>
    <cellStyle name="SAPBEXHLevel2 2 6 2" xfId="12839"/>
    <cellStyle name="SAPBEXHLevel2 2 7" xfId="12840"/>
    <cellStyle name="SAPBEXHLevel2 2 7 2" xfId="12841"/>
    <cellStyle name="SAPBEXHLevel2 2 8" xfId="12842"/>
    <cellStyle name="SAPBEXHLevel2 2 8 2" xfId="12843"/>
    <cellStyle name="SAPBEXHLevel2 2 9" xfId="12844"/>
    <cellStyle name="SAPBEXHLevel2 2 9 2" xfId="12845"/>
    <cellStyle name="SAPBEXHLevel2 3" xfId="12846"/>
    <cellStyle name="SAPBEXHLevel2 3 2" xfId="12847"/>
    <cellStyle name="SAPBEXHLevel2 4" xfId="12848"/>
    <cellStyle name="SAPBEXHLevel2 4 2" xfId="12849"/>
    <cellStyle name="SAPBEXHLevel2 5" xfId="12850"/>
    <cellStyle name="SAPBEXHLevel2 5 2" xfId="12851"/>
    <cellStyle name="SAPBEXHLevel2 6" xfId="12852"/>
    <cellStyle name="SAPBEXHLevel2 6 2" xfId="12853"/>
    <cellStyle name="SAPBEXHLevel2 7" xfId="12854"/>
    <cellStyle name="SAPBEXHLevel2 7 2" xfId="12855"/>
    <cellStyle name="SAPBEXHLevel2 8" xfId="12856"/>
    <cellStyle name="SAPBEXHLevel2 8 2" xfId="12857"/>
    <cellStyle name="SAPBEXHLevel2 9" xfId="12858"/>
    <cellStyle name="SAPBEXHLevel2 9 2" xfId="12859"/>
    <cellStyle name="SAPBEXHLevel2X" xfId="12860"/>
    <cellStyle name="SAPBEXHLevel2X 10" xfId="12861"/>
    <cellStyle name="SAPBEXHLevel2X 10 2" xfId="12862"/>
    <cellStyle name="SAPBEXHLevel2X 11" xfId="12863"/>
    <cellStyle name="SAPBEXHLevel2X 11 2" xfId="12864"/>
    <cellStyle name="SAPBEXHLevel2X 12" xfId="12865"/>
    <cellStyle name="SAPBEXHLevel2X 2" xfId="12866"/>
    <cellStyle name="SAPBEXHLevel2X 2 10" xfId="12867"/>
    <cellStyle name="SAPBEXHLevel2X 2 10 2" xfId="12868"/>
    <cellStyle name="SAPBEXHLevel2X 2 11" xfId="12869"/>
    <cellStyle name="SAPBEXHLevel2X 2 2" xfId="12870"/>
    <cellStyle name="SAPBEXHLevel2X 2 2 2" xfId="12871"/>
    <cellStyle name="SAPBEXHLevel2X 2 3" xfId="12872"/>
    <cellStyle name="SAPBEXHLevel2X 2 3 2" xfId="12873"/>
    <cellStyle name="SAPBEXHLevel2X 2 4" xfId="12874"/>
    <cellStyle name="SAPBEXHLevel2X 2 4 2" xfId="12875"/>
    <cellStyle name="SAPBEXHLevel2X 2 5" xfId="12876"/>
    <cellStyle name="SAPBEXHLevel2X 2 5 2" xfId="12877"/>
    <cellStyle name="SAPBEXHLevel2X 2 6" xfId="12878"/>
    <cellStyle name="SAPBEXHLevel2X 2 6 2" xfId="12879"/>
    <cellStyle name="SAPBEXHLevel2X 2 7" xfId="12880"/>
    <cellStyle name="SAPBEXHLevel2X 2 7 2" xfId="12881"/>
    <cellStyle name="SAPBEXHLevel2X 2 8" xfId="12882"/>
    <cellStyle name="SAPBEXHLevel2X 2 8 2" xfId="12883"/>
    <cellStyle name="SAPBEXHLevel2X 2 9" xfId="12884"/>
    <cellStyle name="SAPBEXHLevel2X 2 9 2" xfId="12885"/>
    <cellStyle name="SAPBEXHLevel2X 3" xfId="12886"/>
    <cellStyle name="SAPBEXHLevel2X 3 2" xfId="12887"/>
    <cellStyle name="SAPBEXHLevel2X 4" xfId="12888"/>
    <cellStyle name="SAPBEXHLevel2X 4 2" xfId="12889"/>
    <cellStyle name="SAPBEXHLevel2X 5" xfId="12890"/>
    <cellStyle name="SAPBEXHLevel2X 5 2" xfId="12891"/>
    <cellStyle name="SAPBEXHLevel2X 6" xfId="12892"/>
    <cellStyle name="SAPBEXHLevel2X 6 2" xfId="12893"/>
    <cellStyle name="SAPBEXHLevel2X 7" xfId="12894"/>
    <cellStyle name="SAPBEXHLevel2X 7 2" xfId="12895"/>
    <cellStyle name="SAPBEXHLevel2X 8" xfId="12896"/>
    <cellStyle name="SAPBEXHLevel2X 8 2" xfId="12897"/>
    <cellStyle name="SAPBEXHLevel2X 9" xfId="12898"/>
    <cellStyle name="SAPBEXHLevel2X 9 2" xfId="12899"/>
    <cellStyle name="SAPBEXHLevel3" xfId="12900"/>
    <cellStyle name="SAPBEXHLevel3 10" xfId="12901"/>
    <cellStyle name="SAPBEXHLevel3 10 2" xfId="12902"/>
    <cellStyle name="SAPBEXHLevel3 11" xfId="12903"/>
    <cellStyle name="SAPBEXHLevel3 11 2" xfId="12904"/>
    <cellStyle name="SAPBEXHLevel3 12" xfId="12905"/>
    <cellStyle name="SAPBEXHLevel3 2" xfId="12906"/>
    <cellStyle name="SAPBEXHLevel3 2 10" xfId="12907"/>
    <cellStyle name="SAPBEXHLevel3 2 10 2" xfId="12908"/>
    <cellStyle name="SAPBEXHLevel3 2 11" xfId="12909"/>
    <cellStyle name="SAPBEXHLevel3 2 2" xfId="12910"/>
    <cellStyle name="SAPBEXHLevel3 2 2 2" xfId="12911"/>
    <cellStyle name="SAPBEXHLevel3 2 3" xfId="12912"/>
    <cellStyle name="SAPBEXHLevel3 2 3 2" xfId="12913"/>
    <cellStyle name="SAPBEXHLevel3 2 4" xfId="12914"/>
    <cellStyle name="SAPBEXHLevel3 2 4 2" xfId="12915"/>
    <cellStyle name="SAPBEXHLevel3 2 5" xfId="12916"/>
    <cellStyle name="SAPBEXHLevel3 2 5 2" xfId="12917"/>
    <cellStyle name="SAPBEXHLevel3 2 6" xfId="12918"/>
    <cellStyle name="SAPBEXHLevel3 2 6 2" xfId="12919"/>
    <cellStyle name="SAPBEXHLevel3 2 7" xfId="12920"/>
    <cellStyle name="SAPBEXHLevel3 2 7 2" xfId="12921"/>
    <cellStyle name="SAPBEXHLevel3 2 8" xfId="12922"/>
    <cellStyle name="SAPBEXHLevel3 2 8 2" xfId="12923"/>
    <cellStyle name="SAPBEXHLevel3 2 9" xfId="12924"/>
    <cellStyle name="SAPBEXHLevel3 2 9 2" xfId="12925"/>
    <cellStyle name="SAPBEXHLevel3 3" xfId="12926"/>
    <cellStyle name="SAPBEXHLevel3 3 2" xfId="12927"/>
    <cellStyle name="SAPBEXHLevel3 4" xfId="12928"/>
    <cellStyle name="SAPBEXHLevel3 4 2" xfId="12929"/>
    <cellStyle name="SAPBEXHLevel3 5" xfId="12930"/>
    <cellStyle name="SAPBEXHLevel3 5 2" xfId="12931"/>
    <cellStyle name="SAPBEXHLevel3 6" xfId="12932"/>
    <cellStyle name="SAPBEXHLevel3 6 2" xfId="12933"/>
    <cellStyle name="SAPBEXHLevel3 7" xfId="12934"/>
    <cellStyle name="SAPBEXHLevel3 7 2" xfId="12935"/>
    <cellStyle name="SAPBEXHLevel3 8" xfId="12936"/>
    <cellStyle name="SAPBEXHLevel3 8 2" xfId="12937"/>
    <cellStyle name="SAPBEXHLevel3 9" xfId="12938"/>
    <cellStyle name="SAPBEXHLevel3 9 2" xfId="12939"/>
    <cellStyle name="SAPBEXHLevel3X" xfId="12940"/>
    <cellStyle name="SAPBEXHLevel3X 10" xfId="12941"/>
    <cellStyle name="SAPBEXHLevel3X 10 2" xfId="12942"/>
    <cellStyle name="SAPBEXHLevel3X 11" xfId="12943"/>
    <cellStyle name="SAPBEXHLevel3X 11 2" xfId="12944"/>
    <cellStyle name="SAPBEXHLevel3X 12" xfId="12945"/>
    <cellStyle name="SAPBEXHLevel3X 2" xfId="12946"/>
    <cellStyle name="SAPBEXHLevel3X 2 10" xfId="12947"/>
    <cellStyle name="SAPBEXHLevel3X 2 10 2" xfId="12948"/>
    <cellStyle name="SAPBEXHLevel3X 2 11" xfId="12949"/>
    <cellStyle name="SAPBEXHLevel3X 2 2" xfId="12950"/>
    <cellStyle name="SAPBEXHLevel3X 2 2 2" xfId="12951"/>
    <cellStyle name="SAPBEXHLevel3X 2 3" xfId="12952"/>
    <cellStyle name="SAPBEXHLevel3X 2 3 2" xfId="12953"/>
    <cellStyle name="SAPBEXHLevel3X 2 4" xfId="12954"/>
    <cellStyle name="SAPBEXHLevel3X 2 4 2" xfId="12955"/>
    <cellStyle name="SAPBEXHLevel3X 2 5" xfId="12956"/>
    <cellStyle name="SAPBEXHLevel3X 2 5 2" xfId="12957"/>
    <cellStyle name="SAPBEXHLevel3X 2 6" xfId="12958"/>
    <cellStyle name="SAPBEXHLevel3X 2 6 2" xfId="12959"/>
    <cellStyle name="SAPBEXHLevel3X 2 7" xfId="12960"/>
    <cellStyle name="SAPBEXHLevel3X 2 7 2" xfId="12961"/>
    <cellStyle name="SAPBEXHLevel3X 2 8" xfId="12962"/>
    <cellStyle name="SAPBEXHLevel3X 2 8 2" xfId="12963"/>
    <cellStyle name="SAPBEXHLevel3X 2 9" xfId="12964"/>
    <cellStyle name="SAPBEXHLevel3X 2 9 2" xfId="12965"/>
    <cellStyle name="SAPBEXHLevel3X 3" xfId="12966"/>
    <cellStyle name="SAPBEXHLevel3X 3 2" xfId="12967"/>
    <cellStyle name="SAPBEXHLevel3X 4" xfId="12968"/>
    <cellStyle name="SAPBEXHLevel3X 4 2" xfId="12969"/>
    <cellStyle name="SAPBEXHLevel3X 5" xfId="12970"/>
    <cellStyle name="SAPBEXHLevel3X 5 2" xfId="12971"/>
    <cellStyle name="SAPBEXHLevel3X 6" xfId="12972"/>
    <cellStyle name="SAPBEXHLevel3X 6 2" xfId="12973"/>
    <cellStyle name="SAPBEXHLevel3X 7" xfId="12974"/>
    <cellStyle name="SAPBEXHLevel3X 7 2" xfId="12975"/>
    <cellStyle name="SAPBEXHLevel3X 8" xfId="12976"/>
    <cellStyle name="SAPBEXHLevel3X 8 2" xfId="12977"/>
    <cellStyle name="SAPBEXHLevel3X 9" xfId="12978"/>
    <cellStyle name="SAPBEXHLevel3X 9 2" xfId="12979"/>
    <cellStyle name="SAPBEXresData" xfId="12980"/>
    <cellStyle name="SAPBEXresData 10" xfId="12981"/>
    <cellStyle name="SAPBEXresData 10 2" xfId="12982"/>
    <cellStyle name="SAPBEXresData 11" xfId="12983"/>
    <cellStyle name="SAPBEXresData 2" xfId="12984"/>
    <cellStyle name="SAPBEXresData 2 2" xfId="12985"/>
    <cellStyle name="SAPBEXresData 3" xfId="12986"/>
    <cellStyle name="SAPBEXresData 3 2" xfId="12987"/>
    <cellStyle name="SAPBEXresData 4" xfId="12988"/>
    <cellStyle name="SAPBEXresData 4 2" xfId="12989"/>
    <cellStyle name="SAPBEXresData 5" xfId="12990"/>
    <cellStyle name="SAPBEXresData 5 2" xfId="12991"/>
    <cellStyle name="SAPBEXresData 6" xfId="12992"/>
    <cellStyle name="SAPBEXresData 6 2" xfId="12993"/>
    <cellStyle name="SAPBEXresData 7" xfId="12994"/>
    <cellStyle name="SAPBEXresData 7 2" xfId="12995"/>
    <cellStyle name="SAPBEXresData 8" xfId="12996"/>
    <cellStyle name="SAPBEXresData 8 2" xfId="12997"/>
    <cellStyle name="SAPBEXresData 9" xfId="12998"/>
    <cellStyle name="SAPBEXresData 9 2" xfId="12999"/>
    <cellStyle name="SAPBEXresDataEmph" xfId="13000"/>
    <cellStyle name="SAPBEXresDataEmph 10" xfId="13001"/>
    <cellStyle name="SAPBEXresDataEmph 10 2" xfId="13002"/>
    <cellStyle name="SAPBEXresDataEmph 11" xfId="13003"/>
    <cellStyle name="SAPBEXresDataEmph 2" xfId="13004"/>
    <cellStyle name="SAPBEXresDataEmph 2 2" xfId="13005"/>
    <cellStyle name="SAPBEXresDataEmph 3" xfId="13006"/>
    <cellStyle name="SAPBEXresDataEmph 3 2" xfId="13007"/>
    <cellStyle name="SAPBEXresDataEmph 4" xfId="13008"/>
    <cellStyle name="SAPBEXresDataEmph 4 2" xfId="13009"/>
    <cellStyle name="SAPBEXresDataEmph 5" xfId="13010"/>
    <cellStyle name="SAPBEXresDataEmph 5 2" xfId="13011"/>
    <cellStyle name="SAPBEXresDataEmph 6" xfId="13012"/>
    <cellStyle name="SAPBEXresDataEmph 6 2" xfId="13013"/>
    <cellStyle name="SAPBEXresDataEmph 7" xfId="13014"/>
    <cellStyle name="SAPBEXresDataEmph 7 2" xfId="13015"/>
    <cellStyle name="SAPBEXresDataEmph 8" xfId="13016"/>
    <cellStyle name="SAPBEXresDataEmph 8 2" xfId="13017"/>
    <cellStyle name="SAPBEXresDataEmph 9" xfId="13018"/>
    <cellStyle name="SAPBEXresDataEmph 9 2" xfId="13019"/>
    <cellStyle name="SAPBEXresItem" xfId="13020"/>
    <cellStyle name="SAPBEXresItem 10" xfId="13021"/>
    <cellStyle name="SAPBEXresItem 10 2" xfId="13022"/>
    <cellStyle name="SAPBEXresItem 11" xfId="13023"/>
    <cellStyle name="SAPBEXresItem 11 2" xfId="13024"/>
    <cellStyle name="SAPBEXresItem 12" xfId="13025"/>
    <cellStyle name="SAPBEXresItem 2" xfId="13026"/>
    <cellStyle name="SAPBEXresItem 2 10" xfId="13027"/>
    <cellStyle name="SAPBEXresItem 2 10 2" xfId="13028"/>
    <cellStyle name="SAPBEXresItem 2 11" xfId="13029"/>
    <cellStyle name="SAPBEXresItem 2 2" xfId="13030"/>
    <cellStyle name="SAPBEXresItem 2 2 2" xfId="13031"/>
    <cellStyle name="SAPBEXresItem 2 3" xfId="13032"/>
    <cellStyle name="SAPBEXresItem 2 3 2" xfId="13033"/>
    <cellStyle name="SAPBEXresItem 2 4" xfId="13034"/>
    <cellStyle name="SAPBEXresItem 2 4 2" xfId="13035"/>
    <cellStyle name="SAPBEXresItem 2 5" xfId="13036"/>
    <cellStyle name="SAPBEXresItem 2 5 2" xfId="13037"/>
    <cellStyle name="SAPBEXresItem 2 6" xfId="13038"/>
    <cellStyle name="SAPBEXresItem 2 6 2" xfId="13039"/>
    <cellStyle name="SAPBEXresItem 2 7" xfId="13040"/>
    <cellStyle name="SAPBEXresItem 2 7 2" xfId="13041"/>
    <cellStyle name="SAPBEXresItem 2 8" xfId="13042"/>
    <cellStyle name="SAPBEXresItem 2 8 2" xfId="13043"/>
    <cellStyle name="SAPBEXresItem 2 9" xfId="13044"/>
    <cellStyle name="SAPBEXresItem 2 9 2" xfId="13045"/>
    <cellStyle name="SAPBEXresItem 3" xfId="13046"/>
    <cellStyle name="SAPBEXresItem 3 2" xfId="13047"/>
    <cellStyle name="SAPBEXresItem 4" xfId="13048"/>
    <cellStyle name="SAPBEXresItem 4 2" xfId="13049"/>
    <cellStyle name="SAPBEXresItem 5" xfId="13050"/>
    <cellStyle name="SAPBEXresItem 5 2" xfId="13051"/>
    <cellStyle name="SAPBEXresItem 6" xfId="13052"/>
    <cellStyle name="SAPBEXresItem 6 2" xfId="13053"/>
    <cellStyle name="SAPBEXresItem 7" xfId="13054"/>
    <cellStyle name="SAPBEXresItem 7 2" xfId="13055"/>
    <cellStyle name="SAPBEXresItem 8" xfId="13056"/>
    <cellStyle name="SAPBEXresItem 8 2" xfId="13057"/>
    <cellStyle name="SAPBEXresItem 9" xfId="13058"/>
    <cellStyle name="SAPBEXresItem 9 2" xfId="13059"/>
    <cellStyle name="SAPBEXresItemX" xfId="13060"/>
    <cellStyle name="SAPBEXresItemX 10" xfId="13061"/>
    <cellStyle name="SAPBEXresItemX 10 2" xfId="13062"/>
    <cellStyle name="SAPBEXresItemX 11" xfId="13063"/>
    <cellStyle name="SAPBEXresItemX 11 2" xfId="13064"/>
    <cellStyle name="SAPBEXresItemX 12" xfId="13065"/>
    <cellStyle name="SAPBEXresItemX 2" xfId="13066"/>
    <cellStyle name="SAPBEXresItemX 2 10" xfId="13067"/>
    <cellStyle name="SAPBEXresItemX 2 10 2" xfId="13068"/>
    <cellStyle name="SAPBEXresItemX 2 11" xfId="13069"/>
    <cellStyle name="SAPBEXresItemX 2 2" xfId="13070"/>
    <cellStyle name="SAPBEXresItemX 2 2 2" xfId="13071"/>
    <cellStyle name="SAPBEXresItemX 2 3" xfId="13072"/>
    <cellStyle name="SAPBEXresItemX 2 3 2" xfId="13073"/>
    <cellStyle name="SAPBEXresItemX 2 4" xfId="13074"/>
    <cellStyle name="SAPBEXresItemX 2 4 2" xfId="13075"/>
    <cellStyle name="SAPBEXresItemX 2 5" xfId="13076"/>
    <cellStyle name="SAPBEXresItemX 2 5 2" xfId="13077"/>
    <cellStyle name="SAPBEXresItemX 2 6" xfId="13078"/>
    <cellStyle name="SAPBEXresItemX 2 6 2" xfId="13079"/>
    <cellStyle name="SAPBEXresItemX 2 7" xfId="13080"/>
    <cellStyle name="SAPBEXresItemX 2 7 2" xfId="13081"/>
    <cellStyle name="SAPBEXresItemX 2 8" xfId="13082"/>
    <cellStyle name="SAPBEXresItemX 2 8 2" xfId="13083"/>
    <cellStyle name="SAPBEXresItemX 2 9" xfId="13084"/>
    <cellStyle name="SAPBEXresItemX 2 9 2" xfId="13085"/>
    <cellStyle name="SAPBEXresItemX 3" xfId="13086"/>
    <cellStyle name="SAPBEXresItemX 3 2" xfId="13087"/>
    <cellStyle name="SAPBEXresItemX 4" xfId="13088"/>
    <cellStyle name="SAPBEXresItemX 4 2" xfId="13089"/>
    <cellStyle name="SAPBEXresItemX 5" xfId="13090"/>
    <cellStyle name="SAPBEXresItemX 5 2" xfId="13091"/>
    <cellStyle name="SAPBEXresItemX 6" xfId="13092"/>
    <cellStyle name="SAPBEXresItemX 6 2" xfId="13093"/>
    <cellStyle name="SAPBEXresItemX 7" xfId="13094"/>
    <cellStyle name="SAPBEXresItemX 7 2" xfId="13095"/>
    <cellStyle name="SAPBEXresItemX 8" xfId="13096"/>
    <cellStyle name="SAPBEXresItemX 8 2" xfId="13097"/>
    <cellStyle name="SAPBEXresItemX 9" xfId="13098"/>
    <cellStyle name="SAPBEXresItemX 9 2" xfId="13099"/>
    <cellStyle name="SAPBEXstdData" xfId="13100"/>
    <cellStyle name="SAPBEXstdData 10" xfId="13101"/>
    <cellStyle name="SAPBEXstdData 10 2" xfId="13102"/>
    <cellStyle name="SAPBEXstdData 11" xfId="13103"/>
    <cellStyle name="SAPBEXstdData 11 2" xfId="13104"/>
    <cellStyle name="SAPBEXstdData 12" xfId="13105"/>
    <cellStyle name="SAPBEXstdData 2" xfId="13106"/>
    <cellStyle name="SAPBEXstdData 2 10" xfId="13107"/>
    <cellStyle name="SAPBEXstdData 2 10 2" xfId="13108"/>
    <cellStyle name="SAPBEXstdData 2 11" xfId="13109"/>
    <cellStyle name="SAPBEXstdData 2 2" xfId="13110"/>
    <cellStyle name="SAPBEXstdData 2 2 2" xfId="13111"/>
    <cellStyle name="SAPBEXstdData 2 3" xfId="13112"/>
    <cellStyle name="SAPBEXstdData 2 3 2" xfId="13113"/>
    <cellStyle name="SAPBEXstdData 2 4" xfId="13114"/>
    <cellStyle name="SAPBEXstdData 2 4 2" xfId="13115"/>
    <cellStyle name="SAPBEXstdData 2 5" xfId="13116"/>
    <cellStyle name="SAPBEXstdData 2 5 2" xfId="13117"/>
    <cellStyle name="SAPBEXstdData 2 6" xfId="13118"/>
    <cellStyle name="SAPBEXstdData 2 6 2" xfId="13119"/>
    <cellStyle name="SAPBEXstdData 2 7" xfId="13120"/>
    <cellStyle name="SAPBEXstdData 2 7 2" xfId="13121"/>
    <cellStyle name="SAPBEXstdData 2 8" xfId="13122"/>
    <cellStyle name="SAPBEXstdData 2 8 2" xfId="13123"/>
    <cellStyle name="SAPBEXstdData 2 9" xfId="13124"/>
    <cellStyle name="SAPBEXstdData 2 9 2" xfId="13125"/>
    <cellStyle name="SAPBEXstdData 3" xfId="13126"/>
    <cellStyle name="SAPBEXstdData 3 2" xfId="13127"/>
    <cellStyle name="SAPBEXstdData 4" xfId="13128"/>
    <cellStyle name="SAPBEXstdData 4 2" xfId="13129"/>
    <cellStyle name="SAPBEXstdData 5" xfId="13130"/>
    <cellStyle name="SAPBEXstdData 5 2" xfId="13131"/>
    <cellStyle name="SAPBEXstdData 6" xfId="13132"/>
    <cellStyle name="SAPBEXstdData 6 2" xfId="13133"/>
    <cellStyle name="SAPBEXstdData 7" xfId="13134"/>
    <cellStyle name="SAPBEXstdData 7 2" xfId="13135"/>
    <cellStyle name="SAPBEXstdData 8" xfId="13136"/>
    <cellStyle name="SAPBEXstdData 8 2" xfId="13137"/>
    <cellStyle name="SAPBEXstdData 9" xfId="13138"/>
    <cellStyle name="SAPBEXstdData 9 2" xfId="13139"/>
    <cellStyle name="SAPBEXstdDataEmph" xfId="13140"/>
    <cellStyle name="SAPBEXstdDataEmph 10" xfId="13141"/>
    <cellStyle name="SAPBEXstdDataEmph 10 2" xfId="13142"/>
    <cellStyle name="SAPBEXstdDataEmph 11" xfId="13143"/>
    <cellStyle name="SAPBEXstdDataEmph 11 2" xfId="13144"/>
    <cellStyle name="SAPBEXstdDataEmph 12" xfId="13145"/>
    <cellStyle name="SAPBEXstdDataEmph 2" xfId="13146"/>
    <cellStyle name="SAPBEXstdDataEmph 2 10" xfId="13147"/>
    <cellStyle name="SAPBEXstdDataEmph 2 10 2" xfId="13148"/>
    <cellStyle name="SAPBEXstdDataEmph 2 11" xfId="13149"/>
    <cellStyle name="SAPBEXstdDataEmph 2 2" xfId="13150"/>
    <cellStyle name="SAPBEXstdDataEmph 2 2 2" xfId="13151"/>
    <cellStyle name="SAPBEXstdDataEmph 2 3" xfId="13152"/>
    <cellStyle name="SAPBEXstdDataEmph 2 3 2" xfId="13153"/>
    <cellStyle name="SAPBEXstdDataEmph 2 4" xfId="13154"/>
    <cellStyle name="SAPBEXstdDataEmph 2 4 2" xfId="13155"/>
    <cellStyle name="SAPBEXstdDataEmph 2 5" xfId="13156"/>
    <cellStyle name="SAPBEXstdDataEmph 2 5 2" xfId="13157"/>
    <cellStyle name="SAPBEXstdDataEmph 2 6" xfId="13158"/>
    <cellStyle name="SAPBEXstdDataEmph 2 6 2" xfId="13159"/>
    <cellStyle name="SAPBEXstdDataEmph 2 7" xfId="13160"/>
    <cellStyle name="SAPBEXstdDataEmph 2 7 2" xfId="13161"/>
    <cellStyle name="SAPBEXstdDataEmph 2 8" xfId="13162"/>
    <cellStyle name="SAPBEXstdDataEmph 2 8 2" xfId="13163"/>
    <cellStyle name="SAPBEXstdDataEmph 2 9" xfId="13164"/>
    <cellStyle name="SAPBEXstdDataEmph 2 9 2" xfId="13165"/>
    <cellStyle name="SAPBEXstdDataEmph 3" xfId="13166"/>
    <cellStyle name="SAPBEXstdDataEmph 3 2" xfId="13167"/>
    <cellStyle name="SAPBEXstdDataEmph 4" xfId="13168"/>
    <cellStyle name="SAPBEXstdDataEmph 4 2" xfId="13169"/>
    <cellStyle name="SAPBEXstdDataEmph 5" xfId="13170"/>
    <cellStyle name="SAPBEXstdDataEmph 5 2" xfId="13171"/>
    <cellStyle name="SAPBEXstdDataEmph 6" xfId="13172"/>
    <cellStyle name="SAPBEXstdDataEmph 6 2" xfId="13173"/>
    <cellStyle name="SAPBEXstdDataEmph 7" xfId="13174"/>
    <cellStyle name="SAPBEXstdDataEmph 7 2" xfId="13175"/>
    <cellStyle name="SAPBEXstdDataEmph 8" xfId="13176"/>
    <cellStyle name="SAPBEXstdDataEmph 8 2" xfId="13177"/>
    <cellStyle name="SAPBEXstdDataEmph 9" xfId="13178"/>
    <cellStyle name="SAPBEXstdDataEmph 9 2" xfId="13179"/>
    <cellStyle name="SAPBEXstdItem" xfId="13180"/>
    <cellStyle name="SAPBEXstdItem 10" xfId="13181"/>
    <cellStyle name="SAPBEXstdItem 10 2" xfId="13182"/>
    <cellStyle name="SAPBEXstdItem 11" xfId="13183"/>
    <cellStyle name="SAPBEXstdItem 11 2" xfId="13184"/>
    <cellStyle name="SAPBEXstdItem 12" xfId="13185"/>
    <cellStyle name="SAPBEXstdItem 2" xfId="13186"/>
    <cellStyle name="SAPBEXstdItem 2 10" xfId="13187"/>
    <cellStyle name="SAPBEXstdItem 2 10 2" xfId="13188"/>
    <cellStyle name="SAPBEXstdItem 2 11" xfId="13189"/>
    <cellStyle name="SAPBEXstdItem 2 2" xfId="13190"/>
    <cellStyle name="SAPBEXstdItem 2 2 2" xfId="13191"/>
    <cellStyle name="SAPBEXstdItem 2 3" xfId="13192"/>
    <cellStyle name="SAPBEXstdItem 2 3 2" xfId="13193"/>
    <cellStyle name="SAPBEXstdItem 2 4" xfId="13194"/>
    <cellStyle name="SAPBEXstdItem 2 4 2" xfId="13195"/>
    <cellStyle name="SAPBEXstdItem 2 5" xfId="13196"/>
    <cellStyle name="SAPBEXstdItem 2 5 2" xfId="13197"/>
    <cellStyle name="SAPBEXstdItem 2 6" xfId="13198"/>
    <cellStyle name="SAPBEXstdItem 2 6 2" xfId="13199"/>
    <cellStyle name="SAPBEXstdItem 2 7" xfId="13200"/>
    <cellStyle name="SAPBEXstdItem 2 7 2" xfId="13201"/>
    <cellStyle name="SAPBEXstdItem 2 8" xfId="13202"/>
    <cellStyle name="SAPBEXstdItem 2 8 2" xfId="13203"/>
    <cellStyle name="SAPBEXstdItem 2 9" xfId="13204"/>
    <cellStyle name="SAPBEXstdItem 2 9 2" xfId="13205"/>
    <cellStyle name="SAPBEXstdItem 3" xfId="13206"/>
    <cellStyle name="SAPBEXstdItem 3 2" xfId="13207"/>
    <cellStyle name="SAPBEXstdItem 4" xfId="13208"/>
    <cellStyle name="SAPBEXstdItem 4 2" xfId="13209"/>
    <cellStyle name="SAPBEXstdItem 5" xfId="13210"/>
    <cellStyle name="SAPBEXstdItem 5 2" xfId="13211"/>
    <cellStyle name="SAPBEXstdItem 6" xfId="13212"/>
    <cellStyle name="SAPBEXstdItem 6 2" xfId="13213"/>
    <cellStyle name="SAPBEXstdItem 7" xfId="13214"/>
    <cellStyle name="SAPBEXstdItem 7 2" xfId="13215"/>
    <cellStyle name="SAPBEXstdItem 8" xfId="13216"/>
    <cellStyle name="SAPBEXstdItem 8 2" xfId="13217"/>
    <cellStyle name="SAPBEXstdItem 9" xfId="13218"/>
    <cellStyle name="SAPBEXstdItem 9 2" xfId="13219"/>
    <cellStyle name="SAPBEXstdItemX" xfId="13220"/>
    <cellStyle name="SAPBEXstdItemX 10" xfId="13221"/>
    <cellStyle name="SAPBEXstdItemX 10 2" xfId="13222"/>
    <cellStyle name="SAPBEXstdItemX 11" xfId="13223"/>
    <cellStyle name="SAPBEXstdItemX 11 2" xfId="13224"/>
    <cellStyle name="SAPBEXstdItemX 12" xfId="13225"/>
    <cellStyle name="SAPBEXstdItemX 2" xfId="13226"/>
    <cellStyle name="SAPBEXstdItemX 2 10" xfId="13227"/>
    <cellStyle name="SAPBEXstdItemX 2 10 2" xfId="13228"/>
    <cellStyle name="SAPBEXstdItemX 2 11" xfId="13229"/>
    <cellStyle name="SAPBEXstdItemX 2 2" xfId="13230"/>
    <cellStyle name="SAPBEXstdItemX 2 2 2" xfId="13231"/>
    <cellStyle name="SAPBEXstdItemX 2 3" xfId="13232"/>
    <cellStyle name="SAPBEXstdItemX 2 3 2" xfId="13233"/>
    <cellStyle name="SAPBEXstdItemX 2 4" xfId="13234"/>
    <cellStyle name="SAPBEXstdItemX 2 4 2" xfId="13235"/>
    <cellStyle name="SAPBEXstdItemX 2 5" xfId="13236"/>
    <cellStyle name="SAPBEXstdItemX 2 5 2" xfId="13237"/>
    <cellStyle name="SAPBEXstdItemX 2 6" xfId="13238"/>
    <cellStyle name="SAPBEXstdItemX 2 6 2" xfId="13239"/>
    <cellStyle name="SAPBEXstdItemX 2 7" xfId="13240"/>
    <cellStyle name="SAPBEXstdItemX 2 7 2" xfId="13241"/>
    <cellStyle name="SAPBEXstdItemX 2 8" xfId="13242"/>
    <cellStyle name="SAPBEXstdItemX 2 8 2" xfId="13243"/>
    <cellStyle name="SAPBEXstdItemX 2 9" xfId="13244"/>
    <cellStyle name="SAPBEXstdItemX 2 9 2" xfId="13245"/>
    <cellStyle name="SAPBEXstdItemX 3" xfId="13246"/>
    <cellStyle name="SAPBEXstdItemX 3 2" xfId="13247"/>
    <cellStyle name="SAPBEXstdItemX 4" xfId="13248"/>
    <cellStyle name="SAPBEXstdItemX 4 2" xfId="13249"/>
    <cellStyle name="SAPBEXstdItemX 5" xfId="13250"/>
    <cellStyle name="SAPBEXstdItemX 5 2" xfId="13251"/>
    <cellStyle name="SAPBEXstdItemX 6" xfId="13252"/>
    <cellStyle name="SAPBEXstdItemX 6 2" xfId="13253"/>
    <cellStyle name="SAPBEXstdItemX 7" xfId="13254"/>
    <cellStyle name="SAPBEXstdItemX 7 2" xfId="13255"/>
    <cellStyle name="SAPBEXstdItemX 8" xfId="13256"/>
    <cellStyle name="SAPBEXstdItemX 8 2" xfId="13257"/>
    <cellStyle name="SAPBEXstdItemX 9" xfId="13258"/>
    <cellStyle name="SAPBEXstdItemX 9 2" xfId="13259"/>
    <cellStyle name="SAPBEXtitle" xfId="13260"/>
    <cellStyle name="SAPBEXundefined" xfId="13261"/>
    <cellStyle name="SAPBEXundefined 10" xfId="13262"/>
    <cellStyle name="SAPBEXundefined 10 2" xfId="13263"/>
    <cellStyle name="SAPBEXundefined 11" xfId="13264"/>
    <cellStyle name="SAPBEXundefined 11 2" xfId="13265"/>
    <cellStyle name="SAPBEXundefined 12" xfId="13266"/>
    <cellStyle name="SAPBEXundefined 2" xfId="13267"/>
    <cellStyle name="SAPBEXundefined 2 10" xfId="13268"/>
    <cellStyle name="SAPBEXundefined 2 10 2" xfId="13269"/>
    <cellStyle name="SAPBEXundefined 2 11" xfId="13270"/>
    <cellStyle name="SAPBEXundefined 2 2" xfId="13271"/>
    <cellStyle name="SAPBEXundefined 2 2 2" xfId="13272"/>
    <cellStyle name="SAPBEXundefined 2 3" xfId="13273"/>
    <cellStyle name="SAPBEXundefined 2 3 2" xfId="13274"/>
    <cellStyle name="SAPBEXundefined 2 4" xfId="13275"/>
    <cellStyle name="SAPBEXundefined 2 4 2" xfId="13276"/>
    <cellStyle name="SAPBEXundefined 2 5" xfId="13277"/>
    <cellStyle name="SAPBEXundefined 2 5 2" xfId="13278"/>
    <cellStyle name="SAPBEXundefined 2 6" xfId="13279"/>
    <cellStyle name="SAPBEXundefined 2 6 2" xfId="13280"/>
    <cellStyle name="SAPBEXundefined 2 7" xfId="13281"/>
    <cellStyle name="SAPBEXundefined 2 7 2" xfId="13282"/>
    <cellStyle name="SAPBEXundefined 2 8" xfId="13283"/>
    <cellStyle name="SAPBEXundefined 2 8 2" xfId="13284"/>
    <cellStyle name="SAPBEXundefined 2 9" xfId="13285"/>
    <cellStyle name="SAPBEXundefined 2 9 2" xfId="13286"/>
    <cellStyle name="SAPBEXundefined 3" xfId="13287"/>
    <cellStyle name="SAPBEXundefined 3 2" xfId="13288"/>
    <cellStyle name="SAPBEXundefined 4" xfId="13289"/>
    <cellStyle name="SAPBEXundefined 4 2" xfId="13290"/>
    <cellStyle name="SAPBEXundefined 5" xfId="13291"/>
    <cellStyle name="SAPBEXundefined 5 2" xfId="13292"/>
    <cellStyle name="SAPBEXundefined 6" xfId="13293"/>
    <cellStyle name="SAPBEXundefined 6 2" xfId="13294"/>
    <cellStyle name="SAPBEXundefined 7" xfId="13295"/>
    <cellStyle name="SAPBEXundefined 7 2" xfId="13296"/>
    <cellStyle name="SAPBEXundefined 8" xfId="13297"/>
    <cellStyle name="SAPBEXundefined 8 2" xfId="13298"/>
    <cellStyle name="SAPBEXundefined 9" xfId="13299"/>
    <cellStyle name="SAPBEXundefined 9 2" xfId="13300"/>
    <cellStyle name="SAPDataCell" xfId="13301"/>
    <cellStyle name="SAPDataTotalCell" xfId="13302"/>
    <cellStyle name="SAPDimensionCell" xfId="13303"/>
    <cellStyle name="SAPEmphasized" xfId="13304"/>
    <cellStyle name="SAPHierarchyCell0" xfId="13305"/>
    <cellStyle name="SAPHierarchyCell1" xfId="13306"/>
    <cellStyle name="SAPHierarchyCell2" xfId="13307"/>
    <cellStyle name="SAPHierarchyCell3" xfId="13308"/>
    <cellStyle name="SAPHierarchyCell4" xfId="13309"/>
    <cellStyle name="SAPLocked" xfId="13310"/>
    <cellStyle name="SAPLocked 10" xfId="13311"/>
    <cellStyle name="SAPLocked 10 10" xfId="13312"/>
    <cellStyle name="SAPLocked 10 10 2" xfId="13313"/>
    <cellStyle name="SAPLocked 10 11" xfId="13314"/>
    <cellStyle name="SAPLocked 10 11 2" xfId="13315"/>
    <cellStyle name="SAPLocked 10 12" xfId="13316"/>
    <cellStyle name="SAPLocked 10 12 2" xfId="13317"/>
    <cellStyle name="SAPLocked 10 13" xfId="13318"/>
    <cellStyle name="SAPLocked 10 2" xfId="13319"/>
    <cellStyle name="SAPLocked 10 2 10" xfId="13320"/>
    <cellStyle name="SAPLocked 10 2 10 2" xfId="13321"/>
    <cellStyle name="SAPLocked 10 2 11" xfId="13322"/>
    <cellStyle name="SAPLocked 10 2 11 2" xfId="13323"/>
    <cellStyle name="SAPLocked 10 2 12" xfId="13324"/>
    <cellStyle name="SAPLocked 10 2 2" xfId="13325"/>
    <cellStyle name="SAPLocked 10 2 2 2" xfId="13326"/>
    <cellStyle name="SAPLocked 10 2 3" xfId="13327"/>
    <cellStyle name="SAPLocked 10 2 3 2" xfId="13328"/>
    <cellStyle name="SAPLocked 10 2 4" xfId="13329"/>
    <cellStyle name="SAPLocked 10 2 4 2" xfId="13330"/>
    <cellStyle name="SAPLocked 10 2 5" xfId="13331"/>
    <cellStyle name="SAPLocked 10 2 5 2" xfId="13332"/>
    <cellStyle name="SAPLocked 10 2 6" xfId="13333"/>
    <cellStyle name="SAPLocked 10 2 6 2" xfId="13334"/>
    <cellStyle name="SAPLocked 10 2 7" xfId="13335"/>
    <cellStyle name="SAPLocked 10 2 7 2" xfId="13336"/>
    <cellStyle name="SAPLocked 10 2 8" xfId="13337"/>
    <cellStyle name="SAPLocked 10 2 8 2" xfId="13338"/>
    <cellStyle name="SAPLocked 10 2 9" xfId="13339"/>
    <cellStyle name="SAPLocked 10 2 9 2" xfId="13340"/>
    <cellStyle name="SAPLocked 10 3" xfId="13341"/>
    <cellStyle name="SAPLocked 10 3 2" xfId="13342"/>
    <cellStyle name="SAPLocked 10 4" xfId="13343"/>
    <cellStyle name="SAPLocked 10 4 2" xfId="13344"/>
    <cellStyle name="SAPLocked 10 5" xfId="13345"/>
    <cellStyle name="SAPLocked 10 5 2" xfId="13346"/>
    <cellStyle name="SAPLocked 10 6" xfId="13347"/>
    <cellStyle name="SAPLocked 10 6 2" xfId="13348"/>
    <cellStyle name="SAPLocked 10 7" xfId="13349"/>
    <cellStyle name="SAPLocked 10 7 2" xfId="13350"/>
    <cellStyle name="SAPLocked 10 8" xfId="13351"/>
    <cellStyle name="SAPLocked 10 8 2" xfId="13352"/>
    <cellStyle name="SAPLocked 10 9" xfId="13353"/>
    <cellStyle name="SAPLocked 10 9 2" xfId="13354"/>
    <cellStyle name="SAPLocked 11" xfId="13355"/>
    <cellStyle name="SAPLocked 11 10" xfId="13356"/>
    <cellStyle name="SAPLocked 11 10 2" xfId="13357"/>
    <cellStyle name="SAPLocked 11 11" xfId="13358"/>
    <cellStyle name="SAPLocked 11 11 2" xfId="13359"/>
    <cellStyle name="SAPLocked 11 12" xfId="13360"/>
    <cellStyle name="SAPLocked 11 12 2" xfId="13361"/>
    <cellStyle name="SAPLocked 11 13" xfId="13362"/>
    <cellStyle name="SAPLocked 11 2" xfId="13363"/>
    <cellStyle name="SAPLocked 11 2 10" xfId="13364"/>
    <cellStyle name="SAPLocked 11 2 10 2" xfId="13365"/>
    <cellStyle name="SAPLocked 11 2 11" xfId="13366"/>
    <cellStyle name="SAPLocked 11 2 11 2" xfId="13367"/>
    <cellStyle name="SAPLocked 11 2 12" xfId="13368"/>
    <cellStyle name="SAPLocked 11 2 2" xfId="13369"/>
    <cellStyle name="SAPLocked 11 2 2 2" xfId="13370"/>
    <cellStyle name="SAPLocked 11 2 3" xfId="13371"/>
    <cellStyle name="SAPLocked 11 2 3 2" xfId="13372"/>
    <cellStyle name="SAPLocked 11 2 4" xfId="13373"/>
    <cellStyle name="SAPLocked 11 2 4 2" xfId="13374"/>
    <cellStyle name="SAPLocked 11 2 5" xfId="13375"/>
    <cellStyle name="SAPLocked 11 2 5 2" xfId="13376"/>
    <cellStyle name="SAPLocked 11 2 6" xfId="13377"/>
    <cellStyle name="SAPLocked 11 2 6 2" xfId="13378"/>
    <cellStyle name="SAPLocked 11 2 7" xfId="13379"/>
    <cellStyle name="SAPLocked 11 2 7 2" xfId="13380"/>
    <cellStyle name="SAPLocked 11 2 8" xfId="13381"/>
    <cellStyle name="SAPLocked 11 2 8 2" xfId="13382"/>
    <cellStyle name="SAPLocked 11 2 9" xfId="13383"/>
    <cellStyle name="SAPLocked 11 2 9 2" xfId="13384"/>
    <cellStyle name="SAPLocked 11 3" xfId="13385"/>
    <cellStyle name="SAPLocked 11 3 2" xfId="13386"/>
    <cellStyle name="SAPLocked 11 4" xfId="13387"/>
    <cellStyle name="SAPLocked 11 4 2" xfId="13388"/>
    <cellStyle name="SAPLocked 11 5" xfId="13389"/>
    <cellStyle name="SAPLocked 11 5 2" xfId="13390"/>
    <cellStyle name="SAPLocked 11 6" xfId="13391"/>
    <cellStyle name="SAPLocked 11 6 2" xfId="13392"/>
    <cellStyle name="SAPLocked 11 7" xfId="13393"/>
    <cellStyle name="SAPLocked 11 7 2" xfId="13394"/>
    <cellStyle name="SAPLocked 11 8" xfId="13395"/>
    <cellStyle name="SAPLocked 11 8 2" xfId="13396"/>
    <cellStyle name="SAPLocked 11 9" xfId="13397"/>
    <cellStyle name="SAPLocked 11 9 2" xfId="13398"/>
    <cellStyle name="SAPLocked 12" xfId="13399"/>
    <cellStyle name="SAPLocked 12 10" xfId="13400"/>
    <cellStyle name="SAPLocked 12 10 2" xfId="13401"/>
    <cellStyle name="SAPLocked 12 11" xfId="13402"/>
    <cellStyle name="SAPLocked 12 11 2" xfId="13403"/>
    <cellStyle name="SAPLocked 12 12" xfId="13404"/>
    <cellStyle name="SAPLocked 12 12 2" xfId="13405"/>
    <cellStyle name="SAPLocked 12 13" xfId="13406"/>
    <cellStyle name="SAPLocked 12 2" xfId="13407"/>
    <cellStyle name="SAPLocked 12 2 10" xfId="13408"/>
    <cellStyle name="SAPLocked 12 2 10 2" xfId="13409"/>
    <cellStyle name="SAPLocked 12 2 11" xfId="13410"/>
    <cellStyle name="SAPLocked 12 2 11 2" xfId="13411"/>
    <cellStyle name="SAPLocked 12 2 12" xfId="13412"/>
    <cellStyle name="SAPLocked 12 2 2" xfId="13413"/>
    <cellStyle name="SAPLocked 12 2 2 2" xfId="13414"/>
    <cellStyle name="SAPLocked 12 2 3" xfId="13415"/>
    <cellStyle name="SAPLocked 12 2 3 2" xfId="13416"/>
    <cellStyle name="SAPLocked 12 2 4" xfId="13417"/>
    <cellStyle name="SAPLocked 12 2 4 2" xfId="13418"/>
    <cellStyle name="SAPLocked 12 2 5" xfId="13419"/>
    <cellStyle name="SAPLocked 12 2 5 2" xfId="13420"/>
    <cellStyle name="SAPLocked 12 2 6" xfId="13421"/>
    <cellStyle name="SAPLocked 12 2 6 2" xfId="13422"/>
    <cellStyle name="SAPLocked 12 2 7" xfId="13423"/>
    <cellStyle name="SAPLocked 12 2 7 2" xfId="13424"/>
    <cellStyle name="SAPLocked 12 2 8" xfId="13425"/>
    <cellStyle name="SAPLocked 12 2 8 2" xfId="13426"/>
    <cellStyle name="SAPLocked 12 2 9" xfId="13427"/>
    <cellStyle name="SAPLocked 12 2 9 2" xfId="13428"/>
    <cellStyle name="SAPLocked 12 3" xfId="13429"/>
    <cellStyle name="SAPLocked 12 3 2" xfId="13430"/>
    <cellStyle name="SAPLocked 12 4" xfId="13431"/>
    <cellStyle name="SAPLocked 12 4 2" xfId="13432"/>
    <cellStyle name="SAPLocked 12 5" xfId="13433"/>
    <cellStyle name="SAPLocked 12 5 2" xfId="13434"/>
    <cellStyle name="SAPLocked 12 6" xfId="13435"/>
    <cellStyle name="SAPLocked 12 6 2" xfId="13436"/>
    <cellStyle name="SAPLocked 12 7" xfId="13437"/>
    <cellStyle name="SAPLocked 12 7 2" xfId="13438"/>
    <cellStyle name="SAPLocked 12 8" xfId="13439"/>
    <cellStyle name="SAPLocked 12 8 2" xfId="13440"/>
    <cellStyle name="SAPLocked 12 9" xfId="13441"/>
    <cellStyle name="SAPLocked 12 9 2" xfId="13442"/>
    <cellStyle name="SAPLocked 13" xfId="13443"/>
    <cellStyle name="SAPLocked 13 10" xfId="13444"/>
    <cellStyle name="SAPLocked 13 10 2" xfId="13445"/>
    <cellStyle name="SAPLocked 13 11" xfId="13446"/>
    <cellStyle name="SAPLocked 13 11 2" xfId="13447"/>
    <cellStyle name="SAPLocked 13 12" xfId="13448"/>
    <cellStyle name="SAPLocked 13 12 2" xfId="13449"/>
    <cellStyle name="SAPLocked 13 13" xfId="13450"/>
    <cellStyle name="SAPLocked 13 2" xfId="13451"/>
    <cellStyle name="SAPLocked 13 2 10" xfId="13452"/>
    <cellStyle name="SAPLocked 13 2 10 2" xfId="13453"/>
    <cellStyle name="SAPLocked 13 2 11" xfId="13454"/>
    <cellStyle name="SAPLocked 13 2 11 2" xfId="13455"/>
    <cellStyle name="SAPLocked 13 2 12" xfId="13456"/>
    <cellStyle name="SAPLocked 13 2 2" xfId="13457"/>
    <cellStyle name="SAPLocked 13 2 2 2" xfId="13458"/>
    <cellStyle name="SAPLocked 13 2 3" xfId="13459"/>
    <cellStyle name="SAPLocked 13 2 3 2" xfId="13460"/>
    <cellStyle name="SAPLocked 13 2 4" xfId="13461"/>
    <cellStyle name="SAPLocked 13 2 4 2" xfId="13462"/>
    <cellStyle name="SAPLocked 13 2 5" xfId="13463"/>
    <cellStyle name="SAPLocked 13 2 5 2" xfId="13464"/>
    <cellStyle name="SAPLocked 13 2 6" xfId="13465"/>
    <cellStyle name="SAPLocked 13 2 6 2" xfId="13466"/>
    <cellStyle name="SAPLocked 13 2 7" xfId="13467"/>
    <cellStyle name="SAPLocked 13 2 7 2" xfId="13468"/>
    <cellStyle name="SAPLocked 13 2 8" xfId="13469"/>
    <cellStyle name="SAPLocked 13 2 8 2" xfId="13470"/>
    <cellStyle name="SAPLocked 13 2 9" xfId="13471"/>
    <cellStyle name="SAPLocked 13 2 9 2" xfId="13472"/>
    <cellStyle name="SAPLocked 13 3" xfId="13473"/>
    <cellStyle name="SAPLocked 13 3 2" xfId="13474"/>
    <cellStyle name="SAPLocked 13 4" xfId="13475"/>
    <cellStyle name="SAPLocked 13 4 2" xfId="13476"/>
    <cellStyle name="SAPLocked 13 5" xfId="13477"/>
    <cellStyle name="SAPLocked 13 5 2" xfId="13478"/>
    <cellStyle name="SAPLocked 13 6" xfId="13479"/>
    <cellStyle name="SAPLocked 13 6 2" xfId="13480"/>
    <cellStyle name="SAPLocked 13 7" xfId="13481"/>
    <cellStyle name="SAPLocked 13 7 2" xfId="13482"/>
    <cellStyle name="SAPLocked 13 8" xfId="13483"/>
    <cellStyle name="SAPLocked 13 8 2" xfId="13484"/>
    <cellStyle name="SAPLocked 13 9" xfId="13485"/>
    <cellStyle name="SAPLocked 13 9 2" xfId="13486"/>
    <cellStyle name="SAPLocked 14" xfId="13487"/>
    <cellStyle name="SAPLocked 14 10" xfId="13488"/>
    <cellStyle name="SAPLocked 14 10 2" xfId="13489"/>
    <cellStyle name="SAPLocked 14 11" xfId="13490"/>
    <cellStyle name="SAPLocked 14 11 2" xfId="13491"/>
    <cellStyle name="SAPLocked 14 12" xfId="13492"/>
    <cellStyle name="SAPLocked 14 12 2" xfId="13493"/>
    <cellStyle name="SAPLocked 14 13" xfId="13494"/>
    <cellStyle name="SAPLocked 14 2" xfId="13495"/>
    <cellStyle name="SAPLocked 14 2 10" xfId="13496"/>
    <cellStyle name="SAPLocked 14 2 10 2" xfId="13497"/>
    <cellStyle name="SAPLocked 14 2 11" xfId="13498"/>
    <cellStyle name="SAPLocked 14 2 11 2" xfId="13499"/>
    <cellStyle name="SAPLocked 14 2 12" xfId="13500"/>
    <cellStyle name="SAPLocked 14 2 2" xfId="13501"/>
    <cellStyle name="SAPLocked 14 2 2 2" xfId="13502"/>
    <cellStyle name="SAPLocked 14 2 3" xfId="13503"/>
    <cellStyle name="SAPLocked 14 2 3 2" xfId="13504"/>
    <cellStyle name="SAPLocked 14 2 4" xfId="13505"/>
    <cellStyle name="SAPLocked 14 2 4 2" xfId="13506"/>
    <cellStyle name="SAPLocked 14 2 5" xfId="13507"/>
    <cellStyle name="SAPLocked 14 2 5 2" xfId="13508"/>
    <cellStyle name="SAPLocked 14 2 6" xfId="13509"/>
    <cellStyle name="SAPLocked 14 2 6 2" xfId="13510"/>
    <cellStyle name="SAPLocked 14 2 7" xfId="13511"/>
    <cellStyle name="SAPLocked 14 2 7 2" xfId="13512"/>
    <cellStyle name="SAPLocked 14 2 8" xfId="13513"/>
    <cellStyle name="SAPLocked 14 2 8 2" xfId="13514"/>
    <cellStyle name="SAPLocked 14 2 9" xfId="13515"/>
    <cellStyle name="SAPLocked 14 2 9 2" xfId="13516"/>
    <cellStyle name="SAPLocked 14 3" xfId="13517"/>
    <cellStyle name="SAPLocked 14 3 2" xfId="13518"/>
    <cellStyle name="SAPLocked 14 4" xfId="13519"/>
    <cellStyle name="SAPLocked 14 4 2" xfId="13520"/>
    <cellStyle name="SAPLocked 14 5" xfId="13521"/>
    <cellStyle name="SAPLocked 14 5 2" xfId="13522"/>
    <cellStyle name="SAPLocked 14 6" xfId="13523"/>
    <cellStyle name="SAPLocked 14 6 2" xfId="13524"/>
    <cellStyle name="SAPLocked 14 7" xfId="13525"/>
    <cellStyle name="SAPLocked 14 7 2" xfId="13526"/>
    <cellStyle name="SAPLocked 14 8" xfId="13527"/>
    <cellStyle name="SAPLocked 14 8 2" xfId="13528"/>
    <cellStyle name="SAPLocked 14 9" xfId="13529"/>
    <cellStyle name="SAPLocked 14 9 2" xfId="13530"/>
    <cellStyle name="SAPLocked 15" xfId="13531"/>
    <cellStyle name="SAPLocked 15 10" xfId="13532"/>
    <cellStyle name="SAPLocked 15 10 2" xfId="13533"/>
    <cellStyle name="SAPLocked 15 11" xfId="13534"/>
    <cellStyle name="SAPLocked 15 11 2" xfId="13535"/>
    <cellStyle name="SAPLocked 15 12" xfId="13536"/>
    <cellStyle name="SAPLocked 15 12 2" xfId="13537"/>
    <cellStyle name="SAPLocked 15 13" xfId="13538"/>
    <cellStyle name="SAPLocked 15 2" xfId="13539"/>
    <cellStyle name="SAPLocked 15 2 10" xfId="13540"/>
    <cellStyle name="SAPLocked 15 2 10 2" xfId="13541"/>
    <cellStyle name="SAPLocked 15 2 11" xfId="13542"/>
    <cellStyle name="SAPLocked 15 2 11 2" xfId="13543"/>
    <cellStyle name="SAPLocked 15 2 12" xfId="13544"/>
    <cellStyle name="SAPLocked 15 2 2" xfId="13545"/>
    <cellStyle name="SAPLocked 15 2 2 2" xfId="13546"/>
    <cellStyle name="SAPLocked 15 2 3" xfId="13547"/>
    <cellStyle name="SAPLocked 15 2 3 2" xfId="13548"/>
    <cellStyle name="SAPLocked 15 2 4" xfId="13549"/>
    <cellStyle name="SAPLocked 15 2 4 2" xfId="13550"/>
    <cellStyle name="SAPLocked 15 2 5" xfId="13551"/>
    <cellStyle name="SAPLocked 15 2 5 2" xfId="13552"/>
    <cellStyle name="SAPLocked 15 2 6" xfId="13553"/>
    <cellStyle name="SAPLocked 15 2 6 2" xfId="13554"/>
    <cellStyle name="SAPLocked 15 2 7" xfId="13555"/>
    <cellStyle name="SAPLocked 15 2 7 2" xfId="13556"/>
    <cellStyle name="SAPLocked 15 2 8" xfId="13557"/>
    <cellStyle name="SAPLocked 15 2 8 2" xfId="13558"/>
    <cellStyle name="SAPLocked 15 2 9" xfId="13559"/>
    <cellStyle name="SAPLocked 15 2 9 2" xfId="13560"/>
    <cellStyle name="SAPLocked 15 3" xfId="13561"/>
    <cellStyle name="SAPLocked 15 3 2" xfId="13562"/>
    <cellStyle name="SAPLocked 15 4" xfId="13563"/>
    <cellStyle name="SAPLocked 15 4 2" xfId="13564"/>
    <cellStyle name="SAPLocked 15 5" xfId="13565"/>
    <cellStyle name="SAPLocked 15 5 2" xfId="13566"/>
    <cellStyle name="SAPLocked 15 6" xfId="13567"/>
    <cellStyle name="SAPLocked 15 6 2" xfId="13568"/>
    <cellStyle name="SAPLocked 15 7" xfId="13569"/>
    <cellStyle name="SAPLocked 15 7 2" xfId="13570"/>
    <cellStyle name="SAPLocked 15 8" xfId="13571"/>
    <cellStyle name="SAPLocked 15 8 2" xfId="13572"/>
    <cellStyle name="SAPLocked 15 9" xfId="13573"/>
    <cellStyle name="SAPLocked 15 9 2" xfId="13574"/>
    <cellStyle name="SAPLocked 16" xfId="13575"/>
    <cellStyle name="SAPLocked 16 10" xfId="13576"/>
    <cellStyle name="SAPLocked 16 10 2" xfId="13577"/>
    <cellStyle name="SAPLocked 16 11" xfId="13578"/>
    <cellStyle name="SAPLocked 16 11 2" xfId="13579"/>
    <cellStyle name="SAPLocked 16 12" xfId="13580"/>
    <cellStyle name="SAPLocked 16 12 2" xfId="13581"/>
    <cellStyle name="SAPLocked 16 13" xfId="13582"/>
    <cellStyle name="SAPLocked 16 2" xfId="13583"/>
    <cellStyle name="SAPLocked 16 2 10" xfId="13584"/>
    <cellStyle name="SAPLocked 16 2 10 2" xfId="13585"/>
    <cellStyle name="SAPLocked 16 2 11" xfId="13586"/>
    <cellStyle name="SAPLocked 16 2 11 2" xfId="13587"/>
    <cellStyle name="SAPLocked 16 2 12" xfId="13588"/>
    <cellStyle name="SAPLocked 16 2 2" xfId="13589"/>
    <cellStyle name="SAPLocked 16 2 2 2" xfId="13590"/>
    <cellStyle name="SAPLocked 16 2 3" xfId="13591"/>
    <cellStyle name="SAPLocked 16 2 3 2" xfId="13592"/>
    <cellStyle name="SAPLocked 16 2 4" xfId="13593"/>
    <cellStyle name="SAPLocked 16 2 4 2" xfId="13594"/>
    <cellStyle name="SAPLocked 16 2 5" xfId="13595"/>
    <cellStyle name="SAPLocked 16 2 5 2" xfId="13596"/>
    <cellStyle name="SAPLocked 16 2 6" xfId="13597"/>
    <cellStyle name="SAPLocked 16 2 6 2" xfId="13598"/>
    <cellStyle name="SAPLocked 16 2 7" xfId="13599"/>
    <cellStyle name="SAPLocked 16 2 7 2" xfId="13600"/>
    <cellStyle name="SAPLocked 16 2 8" xfId="13601"/>
    <cellStyle name="SAPLocked 16 2 8 2" xfId="13602"/>
    <cellStyle name="SAPLocked 16 2 9" xfId="13603"/>
    <cellStyle name="SAPLocked 16 2 9 2" xfId="13604"/>
    <cellStyle name="SAPLocked 16 3" xfId="13605"/>
    <cellStyle name="SAPLocked 16 3 2" xfId="13606"/>
    <cellStyle name="SAPLocked 16 4" xfId="13607"/>
    <cellStyle name="SAPLocked 16 4 2" xfId="13608"/>
    <cellStyle name="SAPLocked 16 5" xfId="13609"/>
    <cellStyle name="SAPLocked 16 5 2" xfId="13610"/>
    <cellStyle name="SAPLocked 16 6" xfId="13611"/>
    <cellStyle name="SAPLocked 16 6 2" xfId="13612"/>
    <cellStyle name="SAPLocked 16 7" xfId="13613"/>
    <cellStyle name="SAPLocked 16 7 2" xfId="13614"/>
    <cellStyle name="SAPLocked 16 8" xfId="13615"/>
    <cellStyle name="SAPLocked 16 8 2" xfId="13616"/>
    <cellStyle name="SAPLocked 16 9" xfId="13617"/>
    <cellStyle name="SAPLocked 16 9 2" xfId="13618"/>
    <cellStyle name="SAPLocked 17" xfId="13619"/>
    <cellStyle name="SAPLocked 17 10" xfId="13620"/>
    <cellStyle name="SAPLocked 17 10 2" xfId="13621"/>
    <cellStyle name="SAPLocked 17 11" xfId="13622"/>
    <cellStyle name="SAPLocked 17 11 2" xfId="13623"/>
    <cellStyle name="SAPLocked 17 12" xfId="13624"/>
    <cellStyle name="SAPLocked 17 12 2" xfId="13625"/>
    <cellStyle name="SAPLocked 17 13" xfId="13626"/>
    <cellStyle name="SAPLocked 17 2" xfId="13627"/>
    <cellStyle name="SAPLocked 17 2 10" xfId="13628"/>
    <cellStyle name="SAPLocked 17 2 10 2" xfId="13629"/>
    <cellStyle name="SAPLocked 17 2 11" xfId="13630"/>
    <cellStyle name="SAPLocked 17 2 11 2" xfId="13631"/>
    <cellStyle name="SAPLocked 17 2 12" xfId="13632"/>
    <cellStyle name="SAPLocked 17 2 2" xfId="13633"/>
    <cellStyle name="SAPLocked 17 2 2 2" xfId="13634"/>
    <cellStyle name="SAPLocked 17 2 3" xfId="13635"/>
    <cellStyle name="SAPLocked 17 2 3 2" xfId="13636"/>
    <cellStyle name="SAPLocked 17 2 4" xfId="13637"/>
    <cellStyle name="SAPLocked 17 2 4 2" xfId="13638"/>
    <cellStyle name="SAPLocked 17 2 5" xfId="13639"/>
    <cellStyle name="SAPLocked 17 2 5 2" xfId="13640"/>
    <cellStyle name="SAPLocked 17 2 6" xfId="13641"/>
    <cellStyle name="SAPLocked 17 2 6 2" xfId="13642"/>
    <cellStyle name="SAPLocked 17 2 7" xfId="13643"/>
    <cellStyle name="SAPLocked 17 2 7 2" xfId="13644"/>
    <cellStyle name="SAPLocked 17 2 8" xfId="13645"/>
    <cellStyle name="SAPLocked 17 2 8 2" xfId="13646"/>
    <cellStyle name="SAPLocked 17 2 9" xfId="13647"/>
    <cellStyle name="SAPLocked 17 2 9 2" xfId="13648"/>
    <cellStyle name="SAPLocked 17 3" xfId="13649"/>
    <cellStyle name="SAPLocked 17 3 2" xfId="13650"/>
    <cellStyle name="SAPLocked 17 4" xfId="13651"/>
    <cellStyle name="SAPLocked 17 4 2" xfId="13652"/>
    <cellStyle name="SAPLocked 17 5" xfId="13653"/>
    <cellStyle name="SAPLocked 17 5 2" xfId="13654"/>
    <cellStyle name="SAPLocked 17 6" xfId="13655"/>
    <cellStyle name="SAPLocked 17 6 2" xfId="13656"/>
    <cellStyle name="SAPLocked 17 7" xfId="13657"/>
    <cellStyle name="SAPLocked 17 7 2" xfId="13658"/>
    <cellStyle name="SAPLocked 17 8" xfId="13659"/>
    <cellStyle name="SAPLocked 17 8 2" xfId="13660"/>
    <cellStyle name="SAPLocked 17 9" xfId="13661"/>
    <cellStyle name="SAPLocked 17 9 2" xfId="13662"/>
    <cellStyle name="SAPLocked 18" xfId="13663"/>
    <cellStyle name="SAPLocked 18 10" xfId="13664"/>
    <cellStyle name="SAPLocked 18 10 2" xfId="13665"/>
    <cellStyle name="SAPLocked 18 11" xfId="13666"/>
    <cellStyle name="SAPLocked 18 11 2" xfId="13667"/>
    <cellStyle name="SAPLocked 18 12" xfId="13668"/>
    <cellStyle name="SAPLocked 18 12 2" xfId="13669"/>
    <cellStyle name="SAPLocked 18 13" xfId="13670"/>
    <cellStyle name="SAPLocked 18 2" xfId="13671"/>
    <cellStyle name="SAPLocked 18 2 10" xfId="13672"/>
    <cellStyle name="SAPLocked 18 2 10 2" xfId="13673"/>
    <cellStyle name="SAPLocked 18 2 11" xfId="13674"/>
    <cellStyle name="SAPLocked 18 2 11 2" xfId="13675"/>
    <cellStyle name="SAPLocked 18 2 12" xfId="13676"/>
    <cellStyle name="SAPLocked 18 2 2" xfId="13677"/>
    <cellStyle name="SAPLocked 18 2 2 2" xfId="13678"/>
    <cellStyle name="SAPLocked 18 2 3" xfId="13679"/>
    <cellStyle name="SAPLocked 18 2 3 2" xfId="13680"/>
    <cellStyle name="SAPLocked 18 2 4" xfId="13681"/>
    <cellStyle name="SAPLocked 18 2 4 2" xfId="13682"/>
    <cellStyle name="SAPLocked 18 2 5" xfId="13683"/>
    <cellStyle name="SAPLocked 18 2 5 2" xfId="13684"/>
    <cellStyle name="SAPLocked 18 2 6" xfId="13685"/>
    <cellStyle name="SAPLocked 18 2 6 2" xfId="13686"/>
    <cellStyle name="SAPLocked 18 2 7" xfId="13687"/>
    <cellStyle name="SAPLocked 18 2 7 2" xfId="13688"/>
    <cellStyle name="SAPLocked 18 2 8" xfId="13689"/>
    <cellStyle name="SAPLocked 18 2 8 2" xfId="13690"/>
    <cellStyle name="SAPLocked 18 2 9" xfId="13691"/>
    <cellStyle name="SAPLocked 18 2 9 2" xfId="13692"/>
    <cellStyle name="SAPLocked 18 3" xfId="13693"/>
    <cellStyle name="SAPLocked 18 3 2" xfId="13694"/>
    <cellStyle name="SAPLocked 18 4" xfId="13695"/>
    <cellStyle name="SAPLocked 18 4 2" xfId="13696"/>
    <cellStyle name="SAPLocked 18 5" xfId="13697"/>
    <cellStyle name="SAPLocked 18 5 2" xfId="13698"/>
    <cellStyle name="SAPLocked 18 6" xfId="13699"/>
    <cellStyle name="SAPLocked 18 6 2" xfId="13700"/>
    <cellStyle name="SAPLocked 18 7" xfId="13701"/>
    <cellStyle name="SAPLocked 18 7 2" xfId="13702"/>
    <cellStyle name="SAPLocked 18 8" xfId="13703"/>
    <cellStyle name="SAPLocked 18 8 2" xfId="13704"/>
    <cellStyle name="SAPLocked 18 9" xfId="13705"/>
    <cellStyle name="SAPLocked 18 9 2" xfId="13706"/>
    <cellStyle name="SAPLocked 19" xfId="13707"/>
    <cellStyle name="SAPLocked 19 10" xfId="13708"/>
    <cellStyle name="SAPLocked 19 10 2" xfId="13709"/>
    <cellStyle name="SAPLocked 19 11" xfId="13710"/>
    <cellStyle name="SAPLocked 19 11 2" xfId="13711"/>
    <cellStyle name="SAPLocked 19 12" xfId="13712"/>
    <cellStyle name="SAPLocked 19 12 2" xfId="13713"/>
    <cellStyle name="SAPLocked 19 13" xfId="13714"/>
    <cellStyle name="SAPLocked 19 2" xfId="13715"/>
    <cellStyle name="SAPLocked 19 2 10" xfId="13716"/>
    <cellStyle name="SAPLocked 19 2 10 2" xfId="13717"/>
    <cellStyle name="SAPLocked 19 2 11" xfId="13718"/>
    <cellStyle name="SAPLocked 19 2 11 2" xfId="13719"/>
    <cellStyle name="SAPLocked 19 2 12" xfId="13720"/>
    <cellStyle name="SAPLocked 19 2 2" xfId="13721"/>
    <cellStyle name="SAPLocked 19 2 2 2" xfId="13722"/>
    <cellStyle name="SAPLocked 19 2 3" xfId="13723"/>
    <cellStyle name="SAPLocked 19 2 3 2" xfId="13724"/>
    <cellStyle name="SAPLocked 19 2 4" xfId="13725"/>
    <cellStyle name="SAPLocked 19 2 4 2" xfId="13726"/>
    <cellStyle name="SAPLocked 19 2 5" xfId="13727"/>
    <cellStyle name="SAPLocked 19 2 5 2" xfId="13728"/>
    <cellStyle name="SAPLocked 19 2 6" xfId="13729"/>
    <cellStyle name="SAPLocked 19 2 6 2" xfId="13730"/>
    <cellStyle name="SAPLocked 19 2 7" xfId="13731"/>
    <cellStyle name="SAPLocked 19 2 7 2" xfId="13732"/>
    <cellStyle name="SAPLocked 19 2 8" xfId="13733"/>
    <cellStyle name="SAPLocked 19 2 8 2" xfId="13734"/>
    <cellStyle name="SAPLocked 19 2 9" xfId="13735"/>
    <cellStyle name="SAPLocked 19 2 9 2" xfId="13736"/>
    <cellStyle name="SAPLocked 19 3" xfId="13737"/>
    <cellStyle name="SAPLocked 19 3 2" xfId="13738"/>
    <cellStyle name="SAPLocked 19 4" xfId="13739"/>
    <cellStyle name="SAPLocked 19 4 2" xfId="13740"/>
    <cellStyle name="SAPLocked 19 5" xfId="13741"/>
    <cellStyle name="SAPLocked 19 5 2" xfId="13742"/>
    <cellStyle name="SAPLocked 19 6" xfId="13743"/>
    <cellStyle name="SAPLocked 19 6 2" xfId="13744"/>
    <cellStyle name="SAPLocked 19 7" xfId="13745"/>
    <cellStyle name="SAPLocked 19 7 2" xfId="13746"/>
    <cellStyle name="SAPLocked 19 8" xfId="13747"/>
    <cellStyle name="SAPLocked 19 8 2" xfId="13748"/>
    <cellStyle name="SAPLocked 19 9" xfId="13749"/>
    <cellStyle name="SAPLocked 19 9 2" xfId="13750"/>
    <cellStyle name="SAPLocked 2" xfId="13751"/>
    <cellStyle name="SAPLocked 2 10" xfId="13752"/>
    <cellStyle name="SAPLocked 2 10 10" xfId="13753"/>
    <cellStyle name="SAPLocked 2 10 10 2" xfId="13754"/>
    <cellStyle name="SAPLocked 2 10 11" xfId="13755"/>
    <cellStyle name="SAPLocked 2 10 11 2" xfId="13756"/>
    <cellStyle name="SAPLocked 2 10 12" xfId="13757"/>
    <cellStyle name="SAPLocked 2 10 12 2" xfId="13758"/>
    <cellStyle name="SAPLocked 2 10 13" xfId="13759"/>
    <cellStyle name="SAPLocked 2 10 2" xfId="13760"/>
    <cellStyle name="SAPLocked 2 10 2 10" xfId="13761"/>
    <cellStyle name="SAPLocked 2 10 2 10 2" xfId="13762"/>
    <cellStyle name="SAPLocked 2 10 2 11" xfId="13763"/>
    <cellStyle name="SAPLocked 2 10 2 11 2" xfId="13764"/>
    <cellStyle name="SAPLocked 2 10 2 12" xfId="13765"/>
    <cellStyle name="SAPLocked 2 10 2 2" xfId="13766"/>
    <cellStyle name="SAPLocked 2 10 2 2 2" xfId="13767"/>
    <cellStyle name="SAPLocked 2 10 2 3" xfId="13768"/>
    <cellStyle name="SAPLocked 2 10 2 3 2" xfId="13769"/>
    <cellStyle name="SAPLocked 2 10 2 4" xfId="13770"/>
    <cellStyle name="SAPLocked 2 10 2 4 2" xfId="13771"/>
    <cellStyle name="SAPLocked 2 10 2 5" xfId="13772"/>
    <cellStyle name="SAPLocked 2 10 2 5 2" xfId="13773"/>
    <cellStyle name="SAPLocked 2 10 2 6" xfId="13774"/>
    <cellStyle name="SAPLocked 2 10 2 6 2" xfId="13775"/>
    <cellStyle name="SAPLocked 2 10 2 7" xfId="13776"/>
    <cellStyle name="SAPLocked 2 10 2 7 2" xfId="13777"/>
    <cellStyle name="SAPLocked 2 10 2 8" xfId="13778"/>
    <cellStyle name="SAPLocked 2 10 2 8 2" xfId="13779"/>
    <cellStyle name="SAPLocked 2 10 2 9" xfId="13780"/>
    <cellStyle name="SAPLocked 2 10 2 9 2" xfId="13781"/>
    <cellStyle name="SAPLocked 2 10 3" xfId="13782"/>
    <cellStyle name="SAPLocked 2 10 3 2" xfId="13783"/>
    <cellStyle name="SAPLocked 2 10 4" xfId="13784"/>
    <cellStyle name="SAPLocked 2 10 4 2" xfId="13785"/>
    <cellStyle name="SAPLocked 2 10 5" xfId="13786"/>
    <cellStyle name="SAPLocked 2 10 5 2" xfId="13787"/>
    <cellStyle name="SAPLocked 2 10 6" xfId="13788"/>
    <cellStyle name="SAPLocked 2 10 6 2" xfId="13789"/>
    <cellStyle name="SAPLocked 2 10 7" xfId="13790"/>
    <cellStyle name="SAPLocked 2 10 7 2" xfId="13791"/>
    <cellStyle name="SAPLocked 2 10 8" xfId="13792"/>
    <cellStyle name="SAPLocked 2 10 8 2" xfId="13793"/>
    <cellStyle name="SAPLocked 2 10 9" xfId="13794"/>
    <cellStyle name="SAPLocked 2 10 9 2" xfId="13795"/>
    <cellStyle name="SAPLocked 2 11" xfId="13796"/>
    <cellStyle name="SAPLocked 2 11 10" xfId="13797"/>
    <cellStyle name="SAPLocked 2 11 10 2" xfId="13798"/>
    <cellStyle name="SAPLocked 2 11 11" xfId="13799"/>
    <cellStyle name="SAPLocked 2 11 11 2" xfId="13800"/>
    <cellStyle name="SAPLocked 2 11 12" xfId="13801"/>
    <cellStyle name="SAPLocked 2 11 12 2" xfId="13802"/>
    <cellStyle name="SAPLocked 2 11 13" xfId="13803"/>
    <cellStyle name="SAPLocked 2 11 2" xfId="13804"/>
    <cellStyle name="SAPLocked 2 11 2 10" xfId="13805"/>
    <cellStyle name="SAPLocked 2 11 2 10 2" xfId="13806"/>
    <cellStyle name="SAPLocked 2 11 2 11" xfId="13807"/>
    <cellStyle name="SAPLocked 2 11 2 11 2" xfId="13808"/>
    <cellStyle name="SAPLocked 2 11 2 12" xfId="13809"/>
    <cellStyle name="SAPLocked 2 11 2 2" xfId="13810"/>
    <cellStyle name="SAPLocked 2 11 2 2 2" xfId="13811"/>
    <cellStyle name="SAPLocked 2 11 2 3" xfId="13812"/>
    <cellStyle name="SAPLocked 2 11 2 3 2" xfId="13813"/>
    <cellStyle name="SAPLocked 2 11 2 4" xfId="13814"/>
    <cellStyle name="SAPLocked 2 11 2 4 2" xfId="13815"/>
    <cellStyle name="SAPLocked 2 11 2 5" xfId="13816"/>
    <cellStyle name="SAPLocked 2 11 2 5 2" xfId="13817"/>
    <cellStyle name="SAPLocked 2 11 2 6" xfId="13818"/>
    <cellStyle name="SAPLocked 2 11 2 6 2" xfId="13819"/>
    <cellStyle name="SAPLocked 2 11 2 7" xfId="13820"/>
    <cellStyle name="SAPLocked 2 11 2 7 2" xfId="13821"/>
    <cellStyle name="SAPLocked 2 11 2 8" xfId="13822"/>
    <cellStyle name="SAPLocked 2 11 2 8 2" xfId="13823"/>
    <cellStyle name="SAPLocked 2 11 2 9" xfId="13824"/>
    <cellStyle name="SAPLocked 2 11 2 9 2" xfId="13825"/>
    <cellStyle name="SAPLocked 2 11 3" xfId="13826"/>
    <cellStyle name="SAPLocked 2 11 3 2" xfId="13827"/>
    <cellStyle name="SAPLocked 2 11 4" xfId="13828"/>
    <cellStyle name="SAPLocked 2 11 4 2" xfId="13829"/>
    <cellStyle name="SAPLocked 2 11 5" xfId="13830"/>
    <cellStyle name="SAPLocked 2 11 5 2" xfId="13831"/>
    <cellStyle name="SAPLocked 2 11 6" xfId="13832"/>
    <cellStyle name="SAPLocked 2 11 6 2" xfId="13833"/>
    <cellStyle name="SAPLocked 2 11 7" xfId="13834"/>
    <cellStyle name="SAPLocked 2 11 7 2" xfId="13835"/>
    <cellStyle name="SAPLocked 2 11 8" xfId="13836"/>
    <cellStyle name="SAPLocked 2 11 8 2" xfId="13837"/>
    <cellStyle name="SAPLocked 2 11 9" xfId="13838"/>
    <cellStyle name="SAPLocked 2 11 9 2" xfId="13839"/>
    <cellStyle name="SAPLocked 2 12" xfId="13840"/>
    <cellStyle name="SAPLocked 2 12 10" xfId="13841"/>
    <cellStyle name="SAPLocked 2 12 10 2" xfId="13842"/>
    <cellStyle name="SAPLocked 2 12 11" xfId="13843"/>
    <cellStyle name="SAPLocked 2 12 11 2" xfId="13844"/>
    <cellStyle name="SAPLocked 2 12 12" xfId="13845"/>
    <cellStyle name="SAPLocked 2 12 12 2" xfId="13846"/>
    <cellStyle name="SAPLocked 2 12 13" xfId="13847"/>
    <cellStyle name="SAPLocked 2 12 2" xfId="13848"/>
    <cellStyle name="SAPLocked 2 12 2 10" xfId="13849"/>
    <cellStyle name="SAPLocked 2 12 2 10 2" xfId="13850"/>
    <cellStyle name="SAPLocked 2 12 2 11" xfId="13851"/>
    <cellStyle name="SAPLocked 2 12 2 11 2" xfId="13852"/>
    <cellStyle name="SAPLocked 2 12 2 12" xfId="13853"/>
    <cellStyle name="SAPLocked 2 12 2 2" xfId="13854"/>
    <cellStyle name="SAPLocked 2 12 2 2 2" xfId="13855"/>
    <cellStyle name="SAPLocked 2 12 2 3" xfId="13856"/>
    <cellStyle name="SAPLocked 2 12 2 3 2" xfId="13857"/>
    <cellStyle name="SAPLocked 2 12 2 4" xfId="13858"/>
    <cellStyle name="SAPLocked 2 12 2 4 2" xfId="13859"/>
    <cellStyle name="SAPLocked 2 12 2 5" xfId="13860"/>
    <cellStyle name="SAPLocked 2 12 2 5 2" xfId="13861"/>
    <cellStyle name="SAPLocked 2 12 2 6" xfId="13862"/>
    <cellStyle name="SAPLocked 2 12 2 6 2" xfId="13863"/>
    <cellStyle name="SAPLocked 2 12 2 7" xfId="13864"/>
    <cellStyle name="SAPLocked 2 12 2 7 2" xfId="13865"/>
    <cellStyle name="SAPLocked 2 12 2 8" xfId="13866"/>
    <cellStyle name="SAPLocked 2 12 2 8 2" xfId="13867"/>
    <cellStyle name="SAPLocked 2 12 2 9" xfId="13868"/>
    <cellStyle name="SAPLocked 2 12 2 9 2" xfId="13869"/>
    <cellStyle name="SAPLocked 2 12 3" xfId="13870"/>
    <cellStyle name="SAPLocked 2 12 3 2" xfId="13871"/>
    <cellStyle name="SAPLocked 2 12 4" xfId="13872"/>
    <cellStyle name="SAPLocked 2 12 4 2" xfId="13873"/>
    <cellStyle name="SAPLocked 2 12 5" xfId="13874"/>
    <cellStyle name="SAPLocked 2 12 5 2" xfId="13875"/>
    <cellStyle name="SAPLocked 2 12 6" xfId="13876"/>
    <cellStyle name="SAPLocked 2 12 6 2" xfId="13877"/>
    <cellStyle name="SAPLocked 2 12 7" xfId="13878"/>
    <cellStyle name="SAPLocked 2 12 7 2" xfId="13879"/>
    <cellStyle name="SAPLocked 2 12 8" xfId="13880"/>
    <cellStyle name="SAPLocked 2 12 8 2" xfId="13881"/>
    <cellStyle name="SAPLocked 2 12 9" xfId="13882"/>
    <cellStyle name="SAPLocked 2 12 9 2" xfId="13883"/>
    <cellStyle name="SAPLocked 2 13" xfId="13884"/>
    <cellStyle name="SAPLocked 2 13 10" xfId="13885"/>
    <cellStyle name="SAPLocked 2 13 10 2" xfId="13886"/>
    <cellStyle name="SAPLocked 2 13 11" xfId="13887"/>
    <cellStyle name="SAPLocked 2 13 11 2" xfId="13888"/>
    <cellStyle name="SAPLocked 2 13 12" xfId="13889"/>
    <cellStyle name="SAPLocked 2 13 12 2" xfId="13890"/>
    <cellStyle name="SAPLocked 2 13 13" xfId="13891"/>
    <cellStyle name="SAPLocked 2 13 2" xfId="13892"/>
    <cellStyle name="SAPLocked 2 13 2 10" xfId="13893"/>
    <cellStyle name="SAPLocked 2 13 2 10 2" xfId="13894"/>
    <cellStyle name="SAPLocked 2 13 2 11" xfId="13895"/>
    <cellStyle name="SAPLocked 2 13 2 11 2" xfId="13896"/>
    <cellStyle name="SAPLocked 2 13 2 12" xfId="13897"/>
    <cellStyle name="SAPLocked 2 13 2 2" xfId="13898"/>
    <cellStyle name="SAPLocked 2 13 2 2 2" xfId="13899"/>
    <cellStyle name="SAPLocked 2 13 2 3" xfId="13900"/>
    <cellStyle name="SAPLocked 2 13 2 3 2" xfId="13901"/>
    <cellStyle name="SAPLocked 2 13 2 4" xfId="13902"/>
    <cellStyle name="SAPLocked 2 13 2 4 2" xfId="13903"/>
    <cellStyle name="SAPLocked 2 13 2 5" xfId="13904"/>
    <cellStyle name="SAPLocked 2 13 2 5 2" xfId="13905"/>
    <cellStyle name="SAPLocked 2 13 2 6" xfId="13906"/>
    <cellStyle name="SAPLocked 2 13 2 6 2" xfId="13907"/>
    <cellStyle name="SAPLocked 2 13 2 7" xfId="13908"/>
    <cellStyle name="SAPLocked 2 13 2 7 2" xfId="13909"/>
    <cellStyle name="SAPLocked 2 13 2 8" xfId="13910"/>
    <cellStyle name="SAPLocked 2 13 2 8 2" xfId="13911"/>
    <cellStyle name="SAPLocked 2 13 2 9" xfId="13912"/>
    <cellStyle name="SAPLocked 2 13 2 9 2" xfId="13913"/>
    <cellStyle name="SAPLocked 2 13 3" xfId="13914"/>
    <cellStyle name="SAPLocked 2 13 3 2" xfId="13915"/>
    <cellStyle name="SAPLocked 2 13 4" xfId="13916"/>
    <cellStyle name="SAPLocked 2 13 4 2" xfId="13917"/>
    <cellStyle name="SAPLocked 2 13 5" xfId="13918"/>
    <cellStyle name="SAPLocked 2 13 5 2" xfId="13919"/>
    <cellStyle name="SAPLocked 2 13 6" xfId="13920"/>
    <cellStyle name="SAPLocked 2 13 6 2" xfId="13921"/>
    <cellStyle name="SAPLocked 2 13 7" xfId="13922"/>
    <cellStyle name="SAPLocked 2 13 7 2" xfId="13923"/>
    <cellStyle name="SAPLocked 2 13 8" xfId="13924"/>
    <cellStyle name="SAPLocked 2 13 8 2" xfId="13925"/>
    <cellStyle name="SAPLocked 2 13 9" xfId="13926"/>
    <cellStyle name="SAPLocked 2 13 9 2" xfId="13927"/>
    <cellStyle name="SAPLocked 2 14" xfId="13928"/>
    <cellStyle name="SAPLocked 2 14 10" xfId="13929"/>
    <cellStyle name="SAPLocked 2 14 10 2" xfId="13930"/>
    <cellStyle name="SAPLocked 2 14 11" xfId="13931"/>
    <cellStyle name="SAPLocked 2 14 11 2" xfId="13932"/>
    <cellStyle name="SAPLocked 2 14 12" xfId="13933"/>
    <cellStyle name="SAPLocked 2 14 12 2" xfId="13934"/>
    <cellStyle name="SAPLocked 2 14 13" xfId="13935"/>
    <cellStyle name="SAPLocked 2 14 2" xfId="13936"/>
    <cellStyle name="SAPLocked 2 14 2 10" xfId="13937"/>
    <cellStyle name="SAPLocked 2 14 2 10 2" xfId="13938"/>
    <cellStyle name="SAPLocked 2 14 2 11" xfId="13939"/>
    <cellStyle name="SAPLocked 2 14 2 11 2" xfId="13940"/>
    <cellStyle name="SAPLocked 2 14 2 12" xfId="13941"/>
    <cellStyle name="SAPLocked 2 14 2 2" xfId="13942"/>
    <cellStyle name="SAPLocked 2 14 2 2 2" xfId="13943"/>
    <cellStyle name="SAPLocked 2 14 2 3" xfId="13944"/>
    <cellStyle name="SAPLocked 2 14 2 3 2" xfId="13945"/>
    <cellStyle name="SAPLocked 2 14 2 4" xfId="13946"/>
    <cellStyle name="SAPLocked 2 14 2 4 2" xfId="13947"/>
    <cellStyle name="SAPLocked 2 14 2 5" xfId="13948"/>
    <cellStyle name="SAPLocked 2 14 2 5 2" xfId="13949"/>
    <cellStyle name="SAPLocked 2 14 2 6" xfId="13950"/>
    <cellStyle name="SAPLocked 2 14 2 6 2" xfId="13951"/>
    <cellStyle name="SAPLocked 2 14 2 7" xfId="13952"/>
    <cellStyle name="SAPLocked 2 14 2 7 2" xfId="13953"/>
    <cellStyle name="SAPLocked 2 14 2 8" xfId="13954"/>
    <cellStyle name="SAPLocked 2 14 2 8 2" xfId="13955"/>
    <cellStyle name="SAPLocked 2 14 2 9" xfId="13956"/>
    <cellStyle name="SAPLocked 2 14 2 9 2" xfId="13957"/>
    <cellStyle name="SAPLocked 2 14 3" xfId="13958"/>
    <cellStyle name="SAPLocked 2 14 3 2" xfId="13959"/>
    <cellStyle name="SAPLocked 2 14 4" xfId="13960"/>
    <cellStyle name="SAPLocked 2 14 4 2" xfId="13961"/>
    <cellStyle name="SAPLocked 2 14 5" xfId="13962"/>
    <cellStyle name="SAPLocked 2 14 5 2" xfId="13963"/>
    <cellStyle name="SAPLocked 2 14 6" xfId="13964"/>
    <cellStyle name="SAPLocked 2 14 6 2" xfId="13965"/>
    <cellStyle name="SAPLocked 2 14 7" xfId="13966"/>
    <cellStyle name="SAPLocked 2 14 7 2" xfId="13967"/>
    <cellStyle name="SAPLocked 2 14 8" xfId="13968"/>
    <cellStyle name="SAPLocked 2 14 8 2" xfId="13969"/>
    <cellStyle name="SAPLocked 2 14 9" xfId="13970"/>
    <cellStyle name="SAPLocked 2 14 9 2" xfId="13971"/>
    <cellStyle name="SAPLocked 2 15" xfId="13972"/>
    <cellStyle name="SAPLocked 2 15 10" xfId="13973"/>
    <cellStyle name="SAPLocked 2 15 10 2" xfId="13974"/>
    <cellStyle name="SAPLocked 2 15 11" xfId="13975"/>
    <cellStyle name="SAPLocked 2 15 11 2" xfId="13976"/>
    <cellStyle name="SAPLocked 2 15 12" xfId="13977"/>
    <cellStyle name="SAPLocked 2 15 12 2" xfId="13978"/>
    <cellStyle name="SAPLocked 2 15 13" xfId="13979"/>
    <cellStyle name="SAPLocked 2 15 2" xfId="13980"/>
    <cellStyle name="SAPLocked 2 15 2 10" xfId="13981"/>
    <cellStyle name="SAPLocked 2 15 2 10 2" xfId="13982"/>
    <cellStyle name="SAPLocked 2 15 2 11" xfId="13983"/>
    <cellStyle name="SAPLocked 2 15 2 11 2" xfId="13984"/>
    <cellStyle name="SAPLocked 2 15 2 12" xfId="13985"/>
    <cellStyle name="SAPLocked 2 15 2 2" xfId="13986"/>
    <cellStyle name="SAPLocked 2 15 2 2 2" xfId="13987"/>
    <cellStyle name="SAPLocked 2 15 2 3" xfId="13988"/>
    <cellStyle name="SAPLocked 2 15 2 3 2" xfId="13989"/>
    <cellStyle name="SAPLocked 2 15 2 4" xfId="13990"/>
    <cellStyle name="SAPLocked 2 15 2 4 2" xfId="13991"/>
    <cellStyle name="SAPLocked 2 15 2 5" xfId="13992"/>
    <cellStyle name="SAPLocked 2 15 2 5 2" xfId="13993"/>
    <cellStyle name="SAPLocked 2 15 2 6" xfId="13994"/>
    <cellStyle name="SAPLocked 2 15 2 6 2" xfId="13995"/>
    <cellStyle name="SAPLocked 2 15 2 7" xfId="13996"/>
    <cellStyle name="SAPLocked 2 15 2 7 2" xfId="13997"/>
    <cellStyle name="SAPLocked 2 15 2 8" xfId="13998"/>
    <cellStyle name="SAPLocked 2 15 2 8 2" xfId="13999"/>
    <cellStyle name="SAPLocked 2 15 2 9" xfId="14000"/>
    <cellStyle name="SAPLocked 2 15 2 9 2" xfId="14001"/>
    <cellStyle name="SAPLocked 2 15 3" xfId="14002"/>
    <cellStyle name="SAPLocked 2 15 3 2" xfId="14003"/>
    <cellStyle name="SAPLocked 2 15 4" xfId="14004"/>
    <cellStyle name="SAPLocked 2 15 4 2" xfId="14005"/>
    <cellStyle name="SAPLocked 2 15 5" xfId="14006"/>
    <cellStyle name="SAPLocked 2 15 5 2" xfId="14007"/>
    <cellStyle name="SAPLocked 2 15 6" xfId="14008"/>
    <cellStyle name="SAPLocked 2 15 6 2" xfId="14009"/>
    <cellStyle name="SAPLocked 2 15 7" xfId="14010"/>
    <cellStyle name="SAPLocked 2 15 7 2" xfId="14011"/>
    <cellStyle name="SAPLocked 2 15 8" xfId="14012"/>
    <cellStyle name="SAPLocked 2 15 8 2" xfId="14013"/>
    <cellStyle name="SAPLocked 2 15 9" xfId="14014"/>
    <cellStyle name="SAPLocked 2 15 9 2" xfId="14015"/>
    <cellStyle name="SAPLocked 2 16" xfId="14016"/>
    <cellStyle name="SAPLocked 2 16 10" xfId="14017"/>
    <cellStyle name="SAPLocked 2 16 10 2" xfId="14018"/>
    <cellStyle name="SAPLocked 2 16 11" xfId="14019"/>
    <cellStyle name="SAPLocked 2 16 11 2" xfId="14020"/>
    <cellStyle name="SAPLocked 2 16 12" xfId="14021"/>
    <cellStyle name="SAPLocked 2 16 12 2" xfId="14022"/>
    <cellStyle name="SAPLocked 2 16 13" xfId="14023"/>
    <cellStyle name="SAPLocked 2 16 2" xfId="14024"/>
    <cellStyle name="SAPLocked 2 16 2 10" xfId="14025"/>
    <cellStyle name="SAPLocked 2 16 2 10 2" xfId="14026"/>
    <cellStyle name="SAPLocked 2 16 2 11" xfId="14027"/>
    <cellStyle name="SAPLocked 2 16 2 11 2" xfId="14028"/>
    <cellStyle name="SAPLocked 2 16 2 12" xfId="14029"/>
    <cellStyle name="SAPLocked 2 16 2 2" xfId="14030"/>
    <cellStyle name="SAPLocked 2 16 2 2 2" xfId="14031"/>
    <cellStyle name="SAPLocked 2 16 2 3" xfId="14032"/>
    <cellStyle name="SAPLocked 2 16 2 3 2" xfId="14033"/>
    <cellStyle name="SAPLocked 2 16 2 4" xfId="14034"/>
    <cellStyle name="SAPLocked 2 16 2 4 2" xfId="14035"/>
    <cellStyle name="SAPLocked 2 16 2 5" xfId="14036"/>
    <cellStyle name="SAPLocked 2 16 2 5 2" xfId="14037"/>
    <cellStyle name="SAPLocked 2 16 2 6" xfId="14038"/>
    <cellStyle name="SAPLocked 2 16 2 6 2" xfId="14039"/>
    <cellStyle name="SAPLocked 2 16 2 7" xfId="14040"/>
    <cellStyle name="SAPLocked 2 16 2 7 2" xfId="14041"/>
    <cellStyle name="SAPLocked 2 16 2 8" xfId="14042"/>
    <cellStyle name="SAPLocked 2 16 2 8 2" xfId="14043"/>
    <cellStyle name="SAPLocked 2 16 2 9" xfId="14044"/>
    <cellStyle name="SAPLocked 2 16 2 9 2" xfId="14045"/>
    <cellStyle name="SAPLocked 2 16 3" xfId="14046"/>
    <cellStyle name="SAPLocked 2 16 3 2" xfId="14047"/>
    <cellStyle name="SAPLocked 2 16 4" xfId="14048"/>
    <cellStyle name="SAPLocked 2 16 4 2" xfId="14049"/>
    <cellStyle name="SAPLocked 2 16 5" xfId="14050"/>
    <cellStyle name="SAPLocked 2 16 5 2" xfId="14051"/>
    <cellStyle name="SAPLocked 2 16 6" xfId="14052"/>
    <cellStyle name="SAPLocked 2 16 6 2" xfId="14053"/>
    <cellStyle name="SAPLocked 2 16 7" xfId="14054"/>
    <cellStyle name="SAPLocked 2 16 7 2" xfId="14055"/>
    <cellStyle name="SAPLocked 2 16 8" xfId="14056"/>
    <cellStyle name="SAPLocked 2 16 8 2" xfId="14057"/>
    <cellStyle name="SAPLocked 2 16 9" xfId="14058"/>
    <cellStyle name="SAPLocked 2 16 9 2" xfId="14059"/>
    <cellStyle name="SAPLocked 2 17" xfId="14060"/>
    <cellStyle name="SAPLocked 2 17 10" xfId="14061"/>
    <cellStyle name="SAPLocked 2 17 10 2" xfId="14062"/>
    <cellStyle name="SAPLocked 2 17 11" xfId="14063"/>
    <cellStyle name="SAPLocked 2 17 11 2" xfId="14064"/>
    <cellStyle name="SAPLocked 2 17 12" xfId="14065"/>
    <cellStyle name="SAPLocked 2 17 12 2" xfId="14066"/>
    <cellStyle name="SAPLocked 2 17 13" xfId="14067"/>
    <cellStyle name="SAPLocked 2 17 2" xfId="14068"/>
    <cellStyle name="SAPLocked 2 17 2 10" xfId="14069"/>
    <cellStyle name="SAPLocked 2 17 2 10 2" xfId="14070"/>
    <cellStyle name="SAPLocked 2 17 2 11" xfId="14071"/>
    <cellStyle name="SAPLocked 2 17 2 11 2" xfId="14072"/>
    <cellStyle name="SAPLocked 2 17 2 12" xfId="14073"/>
    <cellStyle name="SAPLocked 2 17 2 2" xfId="14074"/>
    <cellStyle name="SAPLocked 2 17 2 2 2" xfId="14075"/>
    <cellStyle name="SAPLocked 2 17 2 3" xfId="14076"/>
    <cellStyle name="SAPLocked 2 17 2 3 2" xfId="14077"/>
    <cellStyle name="SAPLocked 2 17 2 4" xfId="14078"/>
    <cellStyle name="SAPLocked 2 17 2 4 2" xfId="14079"/>
    <cellStyle name="SAPLocked 2 17 2 5" xfId="14080"/>
    <cellStyle name="SAPLocked 2 17 2 5 2" xfId="14081"/>
    <cellStyle name="SAPLocked 2 17 2 6" xfId="14082"/>
    <cellStyle name="SAPLocked 2 17 2 6 2" xfId="14083"/>
    <cellStyle name="SAPLocked 2 17 2 7" xfId="14084"/>
    <cellStyle name="SAPLocked 2 17 2 7 2" xfId="14085"/>
    <cellStyle name="SAPLocked 2 17 2 8" xfId="14086"/>
    <cellStyle name="SAPLocked 2 17 2 8 2" xfId="14087"/>
    <cellStyle name="SAPLocked 2 17 2 9" xfId="14088"/>
    <cellStyle name="SAPLocked 2 17 2 9 2" xfId="14089"/>
    <cellStyle name="SAPLocked 2 17 3" xfId="14090"/>
    <cellStyle name="SAPLocked 2 17 3 2" xfId="14091"/>
    <cellStyle name="SAPLocked 2 17 4" xfId="14092"/>
    <cellStyle name="SAPLocked 2 17 4 2" xfId="14093"/>
    <cellStyle name="SAPLocked 2 17 5" xfId="14094"/>
    <cellStyle name="SAPLocked 2 17 5 2" xfId="14095"/>
    <cellStyle name="SAPLocked 2 17 6" xfId="14096"/>
    <cellStyle name="SAPLocked 2 17 6 2" xfId="14097"/>
    <cellStyle name="SAPLocked 2 17 7" xfId="14098"/>
    <cellStyle name="SAPLocked 2 17 7 2" xfId="14099"/>
    <cellStyle name="SAPLocked 2 17 8" xfId="14100"/>
    <cellStyle name="SAPLocked 2 17 8 2" xfId="14101"/>
    <cellStyle name="SAPLocked 2 17 9" xfId="14102"/>
    <cellStyle name="SAPLocked 2 17 9 2" xfId="14103"/>
    <cellStyle name="SAPLocked 2 18" xfId="14104"/>
    <cellStyle name="SAPLocked 2 18 10" xfId="14105"/>
    <cellStyle name="SAPLocked 2 18 10 2" xfId="14106"/>
    <cellStyle name="SAPLocked 2 18 11" xfId="14107"/>
    <cellStyle name="SAPLocked 2 18 11 2" xfId="14108"/>
    <cellStyle name="SAPLocked 2 18 12" xfId="14109"/>
    <cellStyle name="SAPLocked 2 18 12 2" xfId="14110"/>
    <cellStyle name="SAPLocked 2 18 13" xfId="14111"/>
    <cellStyle name="SAPLocked 2 18 2" xfId="14112"/>
    <cellStyle name="SAPLocked 2 18 2 10" xfId="14113"/>
    <cellStyle name="SAPLocked 2 18 2 10 2" xfId="14114"/>
    <cellStyle name="SAPLocked 2 18 2 11" xfId="14115"/>
    <cellStyle name="SAPLocked 2 18 2 11 2" xfId="14116"/>
    <cellStyle name="SAPLocked 2 18 2 12" xfId="14117"/>
    <cellStyle name="SAPLocked 2 18 2 2" xfId="14118"/>
    <cellStyle name="SAPLocked 2 18 2 2 2" xfId="14119"/>
    <cellStyle name="SAPLocked 2 18 2 3" xfId="14120"/>
    <cellStyle name="SAPLocked 2 18 2 3 2" xfId="14121"/>
    <cellStyle name="SAPLocked 2 18 2 4" xfId="14122"/>
    <cellStyle name="SAPLocked 2 18 2 4 2" xfId="14123"/>
    <cellStyle name="SAPLocked 2 18 2 5" xfId="14124"/>
    <cellStyle name="SAPLocked 2 18 2 5 2" xfId="14125"/>
    <cellStyle name="SAPLocked 2 18 2 6" xfId="14126"/>
    <cellStyle name="SAPLocked 2 18 2 6 2" xfId="14127"/>
    <cellStyle name="SAPLocked 2 18 2 7" xfId="14128"/>
    <cellStyle name="SAPLocked 2 18 2 7 2" xfId="14129"/>
    <cellStyle name="SAPLocked 2 18 2 8" xfId="14130"/>
    <cellStyle name="SAPLocked 2 18 2 8 2" xfId="14131"/>
    <cellStyle name="SAPLocked 2 18 2 9" xfId="14132"/>
    <cellStyle name="SAPLocked 2 18 2 9 2" xfId="14133"/>
    <cellStyle name="SAPLocked 2 18 3" xfId="14134"/>
    <cellStyle name="SAPLocked 2 18 3 2" xfId="14135"/>
    <cellStyle name="SAPLocked 2 18 4" xfId="14136"/>
    <cellStyle name="SAPLocked 2 18 4 2" xfId="14137"/>
    <cellStyle name="SAPLocked 2 18 5" xfId="14138"/>
    <cellStyle name="SAPLocked 2 18 5 2" xfId="14139"/>
    <cellStyle name="SAPLocked 2 18 6" xfId="14140"/>
    <cellStyle name="SAPLocked 2 18 6 2" xfId="14141"/>
    <cellStyle name="SAPLocked 2 18 7" xfId="14142"/>
    <cellStyle name="SAPLocked 2 18 7 2" xfId="14143"/>
    <cellStyle name="SAPLocked 2 18 8" xfId="14144"/>
    <cellStyle name="SAPLocked 2 18 8 2" xfId="14145"/>
    <cellStyle name="SAPLocked 2 18 9" xfId="14146"/>
    <cellStyle name="SAPLocked 2 18 9 2" xfId="14147"/>
    <cellStyle name="SAPLocked 2 19" xfId="14148"/>
    <cellStyle name="SAPLocked 2 19 10" xfId="14149"/>
    <cellStyle name="SAPLocked 2 19 10 2" xfId="14150"/>
    <cellStyle name="SAPLocked 2 19 11" xfId="14151"/>
    <cellStyle name="SAPLocked 2 19 11 2" xfId="14152"/>
    <cellStyle name="SAPLocked 2 19 12" xfId="14153"/>
    <cellStyle name="SAPLocked 2 19 12 2" xfId="14154"/>
    <cellStyle name="SAPLocked 2 19 13" xfId="14155"/>
    <cellStyle name="SAPLocked 2 19 2" xfId="14156"/>
    <cellStyle name="SAPLocked 2 19 2 10" xfId="14157"/>
    <cellStyle name="SAPLocked 2 19 2 10 2" xfId="14158"/>
    <cellStyle name="SAPLocked 2 19 2 11" xfId="14159"/>
    <cellStyle name="SAPLocked 2 19 2 11 2" xfId="14160"/>
    <cellStyle name="SAPLocked 2 19 2 12" xfId="14161"/>
    <cellStyle name="SAPLocked 2 19 2 2" xfId="14162"/>
    <cellStyle name="SAPLocked 2 19 2 2 2" xfId="14163"/>
    <cellStyle name="SAPLocked 2 19 2 3" xfId="14164"/>
    <cellStyle name="SAPLocked 2 19 2 3 2" xfId="14165"/>
    <cellStyle name="SAPLocked 2 19 2 4" xfId="14166"/>
    <cellStyle name="SAPLocked 2 19 2 4 2" xfId="14167"/>
    <cellStyle name="SAPLocked 2 19 2 5" xfId="14168"/>
    <cellStyle name="SAPLocked 2 19 2 5 2" xfId="14169"/>
    <cellStyle name="SAPLocked 2 19 2 6" xfId="14170"/>
    <cellStyle name="SAPLocked 2 19 2 6 2" xfId="14171"/>
    <cellStyle name="SAPLocked 2 19 2 7" xfId="14172"/>
    <cellStyle name="SAPLocked 2 19 2 7 2" xfId="14173"/>
    <cellStyle name="SAPLocked 2 19 2 8" xfId="14174"/>
    <cellStyle name="SAPLocked 2 19 2 8 2" xfId="14175"/>
    <cellStyle name="SAPLocked 2 19 2 9" xfId="14176"/>
    <cellStyle name="SAPLocked 2 19 2 9 2" xfId="14177"/>
    <cellStyle name="SAPLocked 2 19 3" xfId="14178"/>
    <cellStyle name="SAPLocked 2 19 3 2" xfId="14179"/>
    <cellStyle name="SAPLocked 2 19 4" xfId="14180"/>
    <cellStyle name="SAPLocked 2 19 4 2" xfId="14181"/>
    <cellStyle name="SAPLocked 2 19 5" xfId="14182"/>
    <cellStyle name="SAPLocked 2 19 5 2" xfId="14183"/>
    <cellStyle name="SAPLocked 2 19 6" xfId="14184"/>
    <cellStyle name="SAPLocked 2 19 6 2" xfId="14185"/>
    <cellStyle name="SAPLocked 2 19 7" xfId="14186"/>
    <cellStyle name="SAPLocked 2 19 7 2" xfId="14187"/>
    <cellStyle name="SAPLocked 2 19 8" xfId="14188"/>
    <cellStyle name="SAPLocked 2 19 8 2" xfId="14189"/>
    <cellStyle name="SAPLocked 2 19 9" xfId="14190"/>
    <cellStyle name="SAPLocked 2 19 9 2" xfId="14191"/>
    <cellStyle name="SAPLocked 2 2" xfId="14192"/>
    <cellStyle name="SAPLocked 2 2 10" xfId="14193"/>
    <cellStyle name="SAPLocked 2 2 10 2" xfId="14194"/>
    <cellStyle name="SAPLocked 2 2 11" xfId="14195"/>
    <cellStyle name="SAPLocked 2 2 11 2" xfId="14196"/>
    <cellStyle name="SAPLocked 2 2 12" xfId="14197"/>
    <cellStyle name="SAPLocked 2 2 12 2" xfId="14198"/>
    <cellStyle name="SAPLocked 2 2 13" xfId="14199"/>
    <cellStyle name="SAPLocked 2 2 2" xfId="14200"/>
    <cellStyle name="SAPLocked 2 2 2 10" xfId="14201"/>
    <cellStyle name="SAPLocked 2 2 2 10 2" xfId="14202"/>
    <cellStyle name="SAPLocked 2 2 2 11" xfId="14203"/>
    <cellStyle name="SAPLocked 2 2 2 11 2" xfId="14204"/>
    <cellStyle name="SAPLocked 2 2 2 12" xfId="14205"/>
    <cellStyle name="SAPLocked 2 2 2 2" xfId="14206"/>
    <cellStyle name="SAPLocked 2 2 2 2 2" xfId="14207"/>
    <cellStyle name="SAPLocked 2 2 2 3" xfId="14208"/>
    <cellStyle name="SAPLocked 2 2 2 3 2" xfId="14209"/>
    <cellStyle name="SAPLocked 2 2 2 4" xfId="14210"/>
    <cellStyle name="SAPLocked 2 2 2 4 2" xfId="14211"/>
    <cellStyle name="SAPLocked 2 2 2 5" xfId="14212"/>
    <cellStyle name="SAPLocked 2 2 2 5 2" xfId="14213"/>
    <cellStyle name="SAPLocked 2 2 2 6" xfId="14214"/>
    <cellStyle name="SAPLocked 2 2 2 6 2" xfId="14215"/>
    <cellStyle name="SAPLocked 2 2 2 7" xfId="14216"/>
    <cellStyle name="SAPLocked 2 2 2 7 2" xfId="14217"/>
    <cellStyle name="SAPLocked 2 2 2 8" xfId="14218"/>
    <cellStyle name="SAPLocked 2 2 2 8 2" xfId="14219"/>
    <cellStyle name="SAPLocked 2 2 2 9" xfId="14220"/>
    <cellStyle name="SAPLocked 2 2 2 9 2" xfId="14221"/>
    <cellStyle name="SAPLocked 2 2 3" xfId="14222"/>
    <cellStyle name="SAPLocked 2 2 3 2" xfId="14223"/>
    <cellStyle name="SAPLocked 2 2 4" xfId="14224"/>
    <cellStyle name="SAPLocked 2 2 4 2" xfId="14225"/>
    <cellStyle name="SAPLocked 2 2 5" xfId="14226"/>
    <cellStyle name="SAPLocked 2 2 5 2" xfId="14227"/>
    <cellStyle name="SAPLocked 2 2 6" xfId="14228"/>
    <cellStyle name="SAPLocked 2 2 6 2" xfId="14229"/>
    <cellStyle name="SAPLocked 2 2 7" xfId="14230"/>
    <cellStyle name="SAPLocked 2 2 7 2" xfId="14231"/>
    <cellStyle name="SAPLocked 2 2 8" xfId="14232"/>
    <cellStyle name="SAPLocked 2 2 8 2" xfId="14233"/>
    <cellStyle name="SAPLocked 2 2 9" xfId="14234"/>
    <cellStyle name="SAPLocked 2 2 9 2" xfId="14235"/>
    <cellStyle name="SAPLocked 2 20" xfId="14236"/>
    <cellStyle name="SAPLocked 2 20 10" xfId="14237"/>
    <cellStyle name="SAPLocked 2 20 10 2" xfId="14238"/>
    <cellStyle name="SAPLocked 2 20 11" xfId="14239"/>
    <cellStyle name="SAPLocked 2 20 11 2" xfId="14240"/>
    <cellStyle name="SAPLocked 2 20 12" xfId="14241"/>
    <cellStyle name="SAPLocked 2 20 12 2" xfId="14242"/>
    <cellStyle name="SAPLocked 2 20 13" xfId="14243"/>
    <cellStyle name="SAPLocked 2 20 2" xfId="14244"/>
    <cellStyle name="SAPLocked 2 20 2 10" xfId="14245"/>
    <cellStyle name="SAPLocked 2 20 2 10 2" xfId="14246"/>
    <cellStyle name="SAPLocked 2 20 2 11" xfId="14247"/>
    <cellStyle name="SAPLocked 2 20 2 11 2" xfId="14248"/>
    <cellStyle name="SAPLocked 2 20 2 12" xfId="14249"/>
    <cellStyle name="SAPLocked 2 20 2 2" xfId="14250"/>
    <cellStyle name="SAPLocked 2 20 2 2 2" xfId="14251"/>
    <cellStyle name="SAPLocked 2 20 2 3" xfId="14252"/>
    <cellStyle name="SAPLocked 2 20 2 3 2" xfId="14253"/>
    <cellStyle name="SAPLocked 2 20 2 4" xfId="14254"/>
    <cellStyle name="SAPLocked 2 20 2 4 2" xfId="14255"/>
    <cellStyle name="SAPLocked 2 20 2 5" xfId="14256"/>
    <cellStyle name="SAPLocked 2 20 2 5 2" xfId="14257"/>
    <cellStyle name="SAPLocked 2 20 2 6" xfId="14258"/>
    <cellStyle name="SAPLocked 2 20 2 6 2" xfId="14259"/>
    <cellStyle name="SAPLocked 2 20 2 7" xfId="14260"/>
    <cellStyle name="SAPLocked 2 20 2 7 2" xfId="14261"/>
    <cellStyle name="SAPLocked 2 20 2 8" xfId="14262"/>
    <cellStyle name="SAPLocked 2 20 2 8 2" xfId="14263"/>
    <cellStyle name="SAPLocked 2 20 2 9" xfId="14264"/>
    <cellStyle name="SAPLocked 2 20 2 9 2" xfId="14265"/>
    <cellStyle name="SAPLocked 2 20 3" xfId="14266"/>
    <cellStyle name="SAPLocked 2 20 3 2" xfId="14267"/>
    <cellStyle name="SAPLocked 2 20 4" xfId="14268"/>
    <cellStyle name="SAPLocked 2 20 4 2" xfId="14269"/>
    <cellStyle name="SAPLocked 2 20 5" xfId="14270"/>
    <cellStyle name="SAPLocked 2 20 5 2" xfId="14271"/>
    <cellStyle name="SAPLocked 2 20 6" xfId="14272"/>
    <cellStyle name="SAPLocked 2 20 6 2" xfId="14273"/>
    <cellStyle name="SAPLocked 2 20 7" xfId="14274"/>
    <cellStyle name="SAPLocked 2 20 7 2" xfId="14275"/>
    <cellStyle name="SAPLocked 2 20 8" xfId="14276"/>
    <cellStyle name="SAPLocked 2 20 8 2" xfId="14277"/>
    <cellStyle name="SAPLocked 2 20 9" xfId="14278"/>
    <cellStyle name="SAPLocked 2 20 9 2" xfId="14279"/>
    <cellStyle name="SAPLocked 2 21" xfId="14280"/>
    <cellStyle name="SAPLocked 2 21 10" xfId="14281"/>
    <cellStyle name="SAPLocked 2 21 10 2" xfId="14282"/>
    <cellStyle name="SAPLocked 2 21 11" xfId="14283"/>
    <cellStyle name="SAPLocked 2 21 11 2" xfId="14284"/>
    <cellStyle name="SAPLocked 2 21 12" xfId="14285"/>
    <cellStyle name="SAPLocked 2 21 2" xfId="14286"/>
    <cellStyle name="SAPLocked 2 21 2 2" xfId="14287"/>
    <cellStyle name="SAPLocked 2 21 3" xfId="14288"/>
    <cellStyle name="SAPLocked 2 21 3 2" xfId="14289"/>
    <cellStyle name="SAPLocked 2 21 4" xfId="14290"/>
    <cellStyle name="SAPLocked 2 21 4 2" xfId="14291"/>
    <cellStyle name="SAPLocked 2 21 5" xfId="14292"/>
    <cellStyle name="SAPLocked 2 21 5 2" xfId="14293"/>
    <cellStyle name="SAPLocked 2 21 6" xfId="14294"/>
    <cellStyle name="SAPLocked 2 21 6 2" xfId="14295"/>
    <cellStyle name="SAPLocked 2 21 7" xfId="14296"/>
    <cellStyle name="SAPLocked 2 21 7 2" xfId="14297"/>
    <cellStyle name="SAPLocked 2 21 8" xfId="14298"/>
    <cellStyle name="SAPLocked 2 21 8 2" xfId="14299"/>
    <cellStyle name="SAPLocked 2 21 9" xfId="14300"/>
    <cellStyle name="SAPLocked 2 21 9 2" xfId="14301"/>
    <cellStyle name="SAPLocked 2 22" xfId="14302"/>
    <cellStyle name="SAPLocked 2 22 2" xfId="14303"/>
    <cellStyle name="SAPLocked 2 23" xfId="14304"/>
    <cellStyle name="SAPLocked 2 23 2" xfId="14305"/>
    <cellStyle name="SAPLocked 2 24" xfId="14306"/>
    <cellStyle name="SAPLocked 2 24 2" xfId="14307"/>
    <cellStyle name="SAPLocked 2 25" xfId="14308"/>
    <cellStyle name="SAPLocked 2 25 2" xfId="14309"/>
    <cellStyle name="SAPLocked 2 26" xfId="14310"/>
    <cellStyle name="SAPLocked 2 26 2" xfId="14311"/>
    <cellStyle name="SAPLocked 2 27" xfId="14312"/>
    <cellStyle name="SAPLocked 2 27 2" xfId="14313"/>
    <cellStyle name="SAPLocked 2 28" xfId="14314"/>
    <cellStyle name="SAPLocked 2 28 2" xfId="14315"/>
    <cellStyle name="SAPLocked 2 29" xfId="14316"/>
    <cellStyle name="SAPLocked 2 29 2" xfId="14317"/>
    <cellStyle name="SAPLocked 2 3" xfId="14318"/>
    <cellStyle name="SAPLocked 2 3 10" xfId="14319"/>
    <cellStyle name="SAPLocked 2 3 10 2" xfId="14320"/>
    <cellStyle name="SAPLocked 2 3 11" xfId="14321"/>
    <cellStyle name="SAPLocked 2 3 11 2" xfId="14322"/>
    <cellStyle name="SAPLocked 2 3 12" xfId="14323"/>
    <cellStyle name="SAPLocked 2 3 12 2" xfId="14324"/>
    <cellStyle name="SAPLocked 2 3 13" xfId="14325"/>
    <cellStyle name="SAPLocked 2 3 2" xfId="14326"/>
    <cellStyle name="SAPLocked 2 3 2 10" xfId="14327"/>
    <cellStyle name="SAPLocked 2 3 2 10 2" xfId="14328"/>
    <cellStyle name="SAPLocked 2 3 2 11" xfId="14329"/>
    <cellStyle name="SAPLocked 2 3 2 11 2" xfId="14330"/>
    <cellStyle name="SAPLocked 2 3 2 12" xfId="14331"/>
    <cellStyle name="SAPLocked 2 3 2 2" xfId="14332"/>
    <cellStyle name="SAPLocked 2 3 2 2 2" xfId="14333"/>
    <cellStyle name="SAPLocked 2 3 2 3" xfId="14334"/>
    <cellStyle name="SAPLocked 2 3 2 3 2" xfId="14335"/>
    <cellStyle name="SAPLocked 2 3 2 4" xfId="14336"/>
    <cellStyle name="SAPLocked 2 3 2 4 2" xfId="14337"/>
    <cellStyle name="SAPLocked 2 3 2 5" xfId="14338"/>
    <cellStyle name="SAPLocked 2 3 2 5 2" xfId="14339"/>
    <cellStyle name="SAPLocked 2 3 2 6" xfId="14340"/>
    <cellStyle name="SAPLocked 2 3 2 6 2" xfId="14341"/>
    <cellStyle name="SAPLocked 2 3 2 7" xfId="14342"/>
    <cellStyle name="SAPLocked 2 3 2 7 2" xfId="14343"/>
    <cellStyle name="SAPLocked 2 3 2 8" xfId="14344"/>
    <cellStyle name="SAPLocked 2 3 2 8 2" xfId="14345"/>
    <cellStyle name="SAPLocked 2 3 2 9" xfId="14346"/>
    <cellStyle name="SAPLocked 2 3 2 9 2" xfId="14347"/>
    <cellStyle name="SAPLocked 2 3 3" xfId="14348"/>
    <cellStyle name="SAPLocked 2 3 3 2" xfId="14349"/>
    <cellStyle name="SAPLocked 2 3 4" xfId="14350"/>
    <cellStyle name="SAPLocked 2 3 4 2" xfId="14351"/>
    <cellStyle name="SAPLocked 2 3 5" xfId="14352"/>
    <cellStyle name="SAPLocked 2 3 5 2" xfId="14353"/>
    <cellStyle name="SAPLocked 2 3 6" xfId="14354"/>
    <cellStyle name="SAPLocked 2 3 6 2" xfId="14355"/>
    <cellStyle name="SAPLocked 2 3 7" xfId="14356"/>
    <cellStyle name="SAPLocked 2 3 7 2" xfId="14357"/>
    <cellStyle name="SAPLocked 2 3 8" xfId="14358"/>
    <cellStyle name="SAPLocked 2 3 8 2" xfId="14359"/>
    <cellStyle name="SAPLocked 2 3 9" xfId="14360"/>
    <cellStyle name="SAPLocked 2 3 9 2" xfId="14361"/>
    <cellStyle name="SAPLocked 2 30" xfId="14362"/>
    <cellStyle name="SAPLocked 2 4" xfId="14363"/>
    <cellStyle name="SAPLocked 2 4 10" xfId="14364"/>
    <cellStyle name="SAPLocked 2 4 10 2" xfId="14365"/>
    <cellStyle name="SAPLocked 2 4 11" xfId="14366"/>
    <cellStyle name="SAPLocked 2 4 11 2" xfId="14367"/>
    <cellStyle name="SAPLocked 2 4 12" xfId="14368"/>
    <cellStyle name="SAPLocked 2 4 12 2" xfId="14369"/>
    <cellStyle name="SAPLocked 2 4 13" xfId="14370"/>
    <cellStyle name="SAPLocked 2 4 2" xfId="14371"/>
    <cellStyle name="SAPLocked 2 4 2 10" xfId="14372"/>
    <cellStyle name="SAPLocked 2 4 2 10 2" xfId="14373"/>
    <cellStyle name="SAPLocked 2 4 2 11" xfId="14374"/>
    <cellStyle name="SAPLocked 2 4 2 11 2" xfId="14375"/>
    <cellStyle name="SAPLocked 2 4 2 12" xfId="14376"/>
    <cellStyle name="SAPLocked 2 4 2 2" xfId="14377"/>
    <cellStyle name="SAPLocked 2 4 2 2 2" xfId="14378"/>
    <cellStyle name="SAPLocked 2 4 2 3" xfId="14379"/>
    <cellStyle name="SAPLocked 2 4 2 3 2" xfId="14380"/>
    <cellStyle name="SAPLocked 2 4 2 4" xfId="14381"/>
    <cellStyle name="SAPLocked 2 4 2 4 2" xfId="14382"/>
    <cellStyle name="SAPLocked 2 4 2 5" xfId="14383"/>
    <cellStyle name="SAPLocked 2 4 2 5 2" xfId="14384"/>
    <cellStyle name="SAPLocked 2 4 2 6" xfId="14385"/>
    <cellStyle name="SAPLocked 2 4 2 6 2" xfId="14386"/>
    <cellStyle name="SAPLocked 2 4 2 7" xfId="14387"/>
    <cellStyle name="SAPLocked 2 4 2 7 2" xfId="14388"/>
    <cellStyle name="SAPLocked 2 4 2 8" xfId="14389"/>
    <cellStyle name="SAPLocked 2 4 2 8 2" xfId="14390"/>
    <cellStyle name="SAPLocked 2 4 2 9" xfId="14391"/>
    <cellStyle name="SAPLocked 2 4 2 9 2" xfId="14392"/>
    <cellStyle name="SAPLocked 2 4 3" xfId="14393"/>
    <cellStyle name="SAPLocked 2 4 3 2" xfId="14394"/>
    <cellStyle name="SAPLocked 2 4 4" xfId="14395"/>
    <cellStyle name="SAPLocked 2 4 4 2" xfId="14396"/>
    <cellStyle name="SAPLocked 2 4 5" xfId="14397"/>
    <cellStyle name="SAPLocked 2 4 5 2" xfId="14398"/>
    <cellStyle name="SAPLocked 2 4 6" xfId="14399"/>
    <cellStyle name="SAPLocked 2 4 6 2" xfId="14400"/>
    <cellStyle name="SAPLocked 2 4 7" xfId="14401"/>
    <cellStyle name="SAPLocked 2 4 7 2" xfId="14402"/>
    <cellStyle name="SAPLocked 2 4 8" xfId="14403"/>
    <cellStyle name="SAPLocked 2 4 8 2" xfId="14404"/>
    <cellStyle name="SAPLocked 2 4 9" xfId="14405"/>
    <cellStyle name="SAPLocked 2 4 9 2" xfId="14406"/>
    <cellStyle name="SAPLocked 2 5" xfId="14407"/>
    <cellStyle name="SAPLocked 2 5 10" xfId="14408"/>
    <cellStyle name="SAPLocked 2 5 10 2" xfId="14409"/>
    <cellStyle name="SAPLocked 2 5 11" xfId="14410"/>
    <cellStyle name="SAPLocked 2 5 11 2" xfId="14411"/>
    <cellStyle name="SAPLocked 2 5 12" xfId="14412"/>
    <cellStyle name="SAPLocked 2 5 12 2" xfId="14413"/>
    <cellStyle name="SAPLocked 2 5 13" xfId="14414"/>
    <cellStyle name="SAPLocked 2 5 2" xfId="14415"/>
    <cellStyle name="SAPLocked 2 5 2 10" xfId="14416"/>
    <cellStyle name="SAPLocked 2 5 2 10 2" xfId="14417"/>
    <cellStyle name="SAPLocked 2 5 2 11" xfId="14418"/>
    <cellStyle name="SAPLocked 2 5 2 11 2" xfId="14419"/>
    <cellStyle name="SAPLocked 2 5 2 12" xfId="14420"/>
    <cellStyle name="SAPLocked 2 5 2 2" xfId="14421"/>
    <cellStyle name="SAPLocked 2 5 2 2 2" xfId="14422"/>
    <cellStyle name="SAPLocked 2 5 2 3" xfId="14423"/>
    <cellStyle name="SAPLocked 2 5 2 3 2" xfId="14424"/>
    <cellStyle name="SAPLocked 2 5 2 4" xfId="14425"/>
    <cellStyle name="SAPLocked 2 5 2 4 2" xfId="14426"/>
    <cellStyle name="SAPLocked 2 5 2 5" xfId="14427"/>
    <cellStyle name="SAPLocked 2 5 2 5 2" xfId="14428"/>
    <cellStyle name="SAPLocked 2 5 2 6" xfId="14429"/>
    <cellStyle name="SAPLocked 2 5 2 6 2" xfId="14430"/>
    <cellStyle name="SAPLocked 2 5 2 7" xfId="14431"/>
    <cellStyle name="SAPLocked 2 5 2 7 2" xfId="14432"/>
    <cellStyle name="SAPLocked 2 5 2 8" xfId="14433"/>
    <cellStyle name="SAPLocked 2 5 2 8 2" xfId="14434"/>
    <cellStyle name="SAPLocked 2 5 2 9" xfId="14435"/>
    <cellStyle name="SAPLocked 2 5 2 9 2" xfId="14436"/>
    <cellStyle name="SAPLocked 2 5 3" xfId="14437"/>
    <cellStyle name="SAPLocked 2 5 3 2" xfId="14438"/>
    <cellStyle name="SAPLocked 2 5 4" xfId="14439"/>
    <cellStyle name="SAPLocked 2 5 4 2" xfId="14440"/>
    <cellStyle name="SAPLocked 2 5 5" xfId="14441"/>
    <cellStyle name="SAPLocked 2 5 5 2" xfId="14442"/>
    <cellStyle name="SAPLocked 2 5 6" xfId="14443"/>
    <cellStyle name="SAPLocked 2 5 6 2" xfId="14444"/>
    <cellStyle name="SAPLocked 2 5 7" xfId="14445"/>
    <cellStyle name="SAPLocked 2 5 7 2" xfId="14446"/>
    <cellStyle name="SAPLocked 2 5 8" xfId="14447"/>
    <cellStyle name="SAPLocked 2 5 8 2" xfId="14448"/>
    <cellStyle name="SAPLocked 2 5 9" xfId="14449"/>
    <cellStyle name="SAPLocked 2 5 9 2" xfId="14450"/>
    <cellStyle name="SAPLocked 2 6" xfId="14451"/>
    <cellStyle name="SAPLocked 2 6 10" xfId="14452"/>
    <cellStyle name="SAPLocked 2 6 10 2" xfId="14453"/>
    <cellStyle name="SAPLocked 2 6 11" xfId="14454"/>
    <cellStyle name="SAPLocked 2 6 11 2" xfId="14455"/>
    <cellStyle name="SAPLocked 2 6 12" xfId="14456"/>
    <cellStyle name="SAPLocked 2 6 12 2" xfId="14457"/>
    <cellStyle name="SAPLocked 2 6 13" xfId="14458"/>
    <cellStyle name="SAPLocked 2 6 2" xfId="14459"/>
    <cellStyle name="SAPLocked 2 6 2 10" xfId="14460"/>
    <cellStyle name="SAPLocked 2 6 2 10 2" xfId="14461"/>
    <cellStyle name="SAPLocked 2 6 2 11" xfId="14462"/>
    <cellStyle name="SAPLocked 2 6 2 11 2" xfId="14463"/>
    <cellStyle name="SAPLocked 2 6 2 12" xfId="14464"/>
    <cellStyle name="SAPLocked 2 6 2 2" xfId="14465"/>
    <cellStyle name="SAPLocked 2 6 2 2 2" xfId="14466"/>
    <cellStyle name="SAPLocked 2 6 2 3" xfId="14467"/>
    <cellStyle name="SAPLocked 2 6 2 3 2" xfId="14468"/>
    <cellStyle name="SAPLocked 2 6 2 4" xfId="14469"/>
    <cellStyle name="SAPLocked 2 6 2 4 2" xfId="14470"/>
    <cellStyle name="SAPLocked 2 6 2 5" xfId="14471"/>
    <cellStyle name="SAPLocked 2 6 2 5 2" xfId="14472"/>
    <cellStyle name="SAPLocked 2 6 2 6" xfId="14473"/>
    <cellStyle name="SAPLocked 2 6 2 6 2" xfId="14474"/>
    <cellStyle name="SAPLocked 2 6 2 7" xfId="14475"/>
    <cellStyle name="SAPLocked 2 6 2 7 2" xfId="14476"/>
    <cellStyle name="SAPLocked 2 6 2 8" xfId="14477"/>
    <cellStyle name="SAPLocked 2 6 2 8 2" xfId="14478"/>
    <cellStyle name="SAPLocked 2 6 2 9" xfId="14479"/>
    <cellStyle name="SAPLocked 2 6 2 9 2" xfId="14480"/>
    <cellStyle name="SAPLocked 2 6 3" xfId="14481"/>
    <cellStyle name="SAPLocked 2 6 3 2" xfId="14482"/>
    <cellStyle name="SAPLocked 2 6 4" xfId="14483"/>
    <cellStyle name="SAPLocked 2 6 4 2" xfId="14484"/>
    <cellStyle name="SAPLocked 2 6 5" xfId="14485"/>
    <cellStyle name="SAPLocked 2 6 5 2" xfId="14486"/>
    <cellStyle name="SAPLocked 2 6 6" xfId="14487"/>
    <cellStyle name="SAPLocked 2 6 6 2" xfId="14488"/>
    <cellStyle name="SAPLocked 2 6 7" xfId="14489"/>
    <cellStyle name="SAPLocked 2 6 7 2" xfId="14490"/>
    <cellStyle name="SAPLocked 2 6 8" xfId="14491"/>
    <cellStyle name="SAPLocked 2 6 8 2" xfId="14492"/>
    <cellStyle name="SAPLocked 2 6 9" xfId="14493"/>
    <cellStyle name="SAPLocked 2 6 9 2" xfId="14494"/>
    <cellStyle name="SAPLocked 2 7" xfId="14495"/>
    <cellStyle name="SAPLocked 2 7 10" xfId="14496"/>
    <cellStyle name="SAPLocked 2 7 10 2" xfId="14497"/>
    <cellStyle name="SAPLocked 2 7 11" xfId="14498"/>
    <cellStyle name="SAPLocked 2 7 11 2" xfId="14499"/>
    <cellStyle name="SAPLocked 2 7 12" xfId="14500"/>
    <cellStyle name="SAPLocked 2 7 12 2" xfId="14501"/>
    <cellStyle name="SAPLocked 2 7 13" xfId="14502"/>
    <cellStyle name="SAPLocked 2 7 2" xfId="14503"/>
    <cellStyle name="SAPLocked 2 7 2 10" xfId="14504"/>
    <cellStyle name="SAPLocked 2 7 2 10 2" xfId="14505"/>
    <cellStyle name="SAPLocked 2 7 2 11" xfId="14506"/>
    <cellStyle name="SAPLocked 2 7 2 11 2" xfId="14507"/>
    <cellStyle name="SAPLocked 2 7 2 12" xfId="14508"/>
    <cellStyle name="SAPLocked 2 7 2 2" xfId="14509"/>
    <cellStyle name="SAPLocked 2 7 2 2 2" xfId="14510"/>
    <cellStyle name="SAPLocked 2 7 2 3" xfId="14511"/>
    <cellStyle name="SAPLocked 2 7 2 3 2" xfId="14512"/>
    <cellStyle name="SAPLocked 2 7 2 4" xfId="14513"/>
    <cellStyle name="SAPLocked 2 7 2 4 2" xfId="14514"/>
    <cellStyle name="SAPLocked 2 7 2 5" xfId="14515"/>
    <cellStyle name="SAPLocked 2 7 2 5 2" xfId="14516"/>
    <cellStyle name="SAPLocked 2 7 2 6" xfId="14517"/>
    <cellStyle name="SAPLocked 2 7 2 6 2" xfId="14518"/>
    <cellStyle name="SAPLocked 2 7 2 7" xfId="14519"/>
    <cellStyle name="SAPLocked 2 7 2 7 2" xfId="14520"/>
    <cellStyle name="SAPLocked 2 7 2 8" xfId="14521"/>
    <cellStyle name="SAPLocked 2 7 2 8 2" xfId="14522"/>
    <cellStyle name="SAPLocked 2 7 2 9" xfId="14523"/>
    <cellStyle name="SAPLocked 2 7 2 9 2" xfId="14524"/>
    <cellStyle name="SAPLocked 2 7 3" xfId="14525"/>
    <cellStyle name="SAPLocked 2 7 3 2" xfId="14526"/>
    <cellStyle name="SAPLocked 2 7 4" xfId="14527"/>
    <cellStyle name="SAPLocked 2 7 4 2" xfId="14528"/>
    <cellStyle name="SAPLocked 2 7 5" xfId="14529"/>
    <cellStyle name="SAPLocked 2 7 5 2" xfId="14530"/>
    <cellStyle name="SAPLocked 2 7 6" xfId="14531"/>
    <cellStyle name="SAPLocked 2 7 6 2" xfId="14532"/>
    <cellStyle name="SAPLocked 2 7 7" xfId="14533"/>
    <cellStyle name="SAPLocked 2 7 7 2" xfId="14534"/>
    <cellStyle name="SAPLocked 2 7 8" xfId="14535"/>
    <cellStyle name="SAPLocked 2 7 8 2" xfId="14536"/>
    <cellStyle name="SAPLocked 2 7 9" xfId="14537"/>
    <cellStyle name="SAPLocked 2 7 9 2" xfId="14538"/>
    <cellStyle name="SAPLocked 2 8" xfId="14539"/>
    <cellStyle name="SAPLocked 2 8 10" xfId="14540"/>
    <cellStyle name="SAPLocked 2 8 10 2" xfId="14541"/>
    <cellStyle name="SAPLocked 2 8 11" xfId="14542"/>
    <cellStyle name="SAPLocked 2 8 11 2" xfId="14543"/>
    <cellStyle name="SAPLocked 2 8 12" xfId="14544"/>
    <cellStyle name="SAPLocked 2 8 12 2" xfId="14545"/>
    <cellStyle name="SAPLocked 2 8 13" xfId="14546"/>
    <cellStyle name="SAPLocked 2 8 2" xfId="14547"/>
    <cellStyle name="SAPLocked 2 8 2 10" xfId="14548"/>
    <cellStyle name="SAPLocked 2 8 2 10 2" xfId="14549"/>
    <cellStyle name="SAPLocked 2 8 2 11" xfId="14550"/>
    <cellStyle name="SAPLocked 2 8 2 11 2" xfId="14551"/>
    <cellStyle name="SAPLocked 2 8 2 12" xfId="14552"/>
    <cellStyle name="SAPLocked 2 8 2 2" xfId="14553"/>
    <cellStyle name="SAPLocked 2 8 2 2 2" xfId="14554"/>
    <cellStyle name="SAPLocked 2 8 2 3" xfId="14555"/>
    <cellStyle name="SAPLocked 2 8 2 3 2" xfId="14556"/>
    <cellStyle name="SAPLocked 2 8 2 4" xfId="14557"/>
    <cellStyle name="SAPLocked 2 8 2 4 2" xfId="14558"/>
    <cellStyle name="SAPLocked 2 8 2 5" xfId="14559"/>
    <cellStyle name="SAPLocked 2 8 2 5 2" xfId="14560"/>
    <cellStyle name="SAPLocked 2 8 2 6" xfId="14561"/>
    <cellStyle name="SAPLocked 2 8 2 6 2" xfId="14562"/>
    <cellStyle name="SAPLocked 2 8 2 7" xfId="14563"/>
    <cellStyle name="SAPLocked 2 8 2 7 2" xfId="14564"/>
    <cellStyle name="SAPLocked 2 8 2 8" xfId="14565"/>
    <cellStyle name="SAPLocked 2 8 2 8 2" xfId="14566"/>
    <cellStyle name="SAPLocked 2 8 2 9" xfId="14567"/>
    <cellStyle name="SAPLocked 2 8 2 9 2" xfId="14568"/>
    <cellStyle name="SAPLocked 2 8 3" xfId="14569"/>
    <cellStyle name="SAPLocked 2 8 3 2" xfId="14570"/>
    <cellStyle name="SAPLocked 2 8 4" xfId="14571"/>
    <cellStyle name="SAPLocked 2 8 4 2" xfId="14572"/>
    <cellStyle name="SAPLocked 2 8 5" xfId="14573"/>
    <cellStyle name="SAPLocked 2 8 5 2" xfId="14574"/>
    <cellStyle name="SAPLocked 2 8 6" xfId="14575"/>
    <cellStyle name="SAPLocked 2 8 6 2" xfId="14576"/>
    <cellStyle name="SAPLocked 2 8 7" xfId="14577"/>
    <cellStyle name="SAPLocked 2 8 7 2" xfId="14578"/>
    <cellStyle name="SAPLocked 2 8 8" xfId="14579"/>
    <cellStyle name="SAPLocked 2 8 8 2" xfId="14580"/>
    <cellStyle name="SAPLocked 2 8 9" xfId="14581"/>
    <cellStyle name="SAPLocked 2 8 9 2" xfId="14582"/>
    <cellStyle name="SAPLocked 2 9" xfId="14583"/>
    <cellStyle name="SAPLocked 2 9 10" xfId="14584"/>
    <cellStyle name="SAPLocked 2 9 10 2" xfId="14585"/>
    <cellStyle name="SAPLocked 2 9 11" xfId="14586"/>
    <cellStyle name="SAPLocked 2 9 11 2" xfId="14587"/>
    <cellStyle name="SAPLocked 2 9 12" xfId="14588"/>
    <cellStyle name="SAPLocked 2 9 12 2" xfId="14589"/>
    <cellStyle name="SAPLocked 2 9 13" xfId="14590"/>
    <cellStyle name="SAPLocked 2 9 2" xfId="14591"/>
    <cellStyle name="SAPLocked 2 9 2 10" xfId="14592"/>
    <cellStyle name="SAPLocked 2 9 2 10 2" xfId="14593"/>
    <cellStyle name="SAPLocked 2 9 2 11" xfId="14594"/>
    <cellStyle name="SAPLocked 2 9 2 11 2" xfId="14595"/>
    <cellStyle name="SAPLocked 2 9 2 12" xfId="14596"/>
    <cellStyle name="SAPLocked 2 9 2 2" xfId="14597"/>
    <cellStyle name="SAPLocked 2 9 2 2 2" xfId="14598"/>
    <cellStyle name="SAPLocked 2 9 2 3" xfId="14599"/>
    <cellStyle name="SAPLocked 2 9 2 3 2" xfId="14600"/>
    <cellStyle name="SAPLocked 2 9 2 4" xfId="14601"/>
    <cellStyle name="SAPLocked 2 9 2 4 2" xfId="14602"/>
    <cellStyle name="SAPLocked 2 9 2 5" xfId="14603"/>
    <cellStyle name="SAPLocked 2 9 2 5 2" xfId="14604"/>
    <cellStyle name="SAPLocked 2 9 2 6" xfId="14605"/>
    <cellStyle name="SAPLocked 2 9 2 6 2" xfId="14606"/>
    <cellStyle name="SAPLocked 2 9 2 7" xfId="14607"/>
    <cellStyle name="SAPLocked 2 9 2 7 2" xfId="14608"/>
    <cellStyle name="SAPLocked 2 9 2 8" xfId="14609"/>
    <cellStyle name="SAPLocked 2 9 2 8 2" xfId="14610"/>
    <cellStyle name="SAPLocked 2 9 2 9" xfId="14611"/>
    <cellStyle name="SAPLocked 2 9 2 9 2" xfId="14612"/>
    <cellStyle name="SAPLocked 2 9 3" xfId="14613"/>
    <cellStyle name="SAPLocked 2 9 3 2" xfId="14614"/>
    <cellStyle name="SAPLocked 2 9 4" xfId="14615"/>
    <cellStyle name="SAPLocked 2 9 4 2" xfId="14616"/>
    <cellStyle name="SAPLocked 2 9 5" xfId="14617"/>
    <cellStyle name="SAPLocked 2 9 5 2" xfId="14618"/>
    <cellStyle name="SAPLocked 2 9 6" xfId="14619"/>
    <cellStyle name="SAPLocked 2 9 6 2" xfId="14620"/>
    <cellStyle name="SAPLocked 2 9 7" xfId="14621"/>
    <cellStyle name="SAPLocked 2 9 7 2" xfId="14622"/>
    <cellStyle name="SAPLocked 2 9 8" xfId="14623"/>
    <cellStyle name="SAPLocked 2 9 8 2" xfId="14624"/>
    <cellStyle name="SAPLocked 2 9 9" xfId="14625"/>
    <cellStyle name="SAPLocked 2 9 9 2" xfId="14626"/>
    <cellStyle name="SAPLocked 20" xfId="14627"/>
    <cellStyle name="SAPLocked 20 10" xfId="14628"/>
    <cellStyle name="SAPLocked 20 10 2" xfId="14629"/>
    <cellStyle name="SAPLocked 20 11" xfId="14630"/>
    <cellStyle name="SAPLocked 20 11 2" xfId="14631"/>
    <cellStyle name="SAPLocked 20 12" xfId="14632"/>
    <cellStyle name="SAPLocked 20 12 2" xfId="14633"/>
    <cellStyle name="SAPLocked 20 13" xfId="14634"/>
    <cellStyle name="SAPLocked 20 2" xfId="14635"/>
    <cellStyle name="SAPLocked 20 2 10" xfId="14636"/>
    <cellStyle name="SAPLocked 20 2 10 2" xfId="14637"/>
    <cellStyle name="SAPLocked 20 2 11" xfId="14638"/>
    <cellStyle name="SAPLocked 20 2 11 2" xfId="14639"/>
    <cellStyle name="SAPLocked 20 2 12" xfId="14640"/>
    <cellStyle name="SAPLocked 20 2 2" xfId="14641"/>
    <cellStyle name="SAPLocked 20 2 2 2" xfId="14642"/>
    <cellStyle name="SAPLocked 20 2 3" xfId="14643"/>
    <cellStyle name="SAPLocked 20 2 3 2" xfId="14644"/>
    <cellStyle name="SAPLocked 20 2 4" xfId="14645"/>
    <cellStyle name="SAPLocked 20 2 4 2" xfId="14646"/>
    <cellStyle name="SAPLocked 20 2 5" xfId="14647"/>
    <cellStyle name="SAPLocked 20 2 5 2" xfId="14648"/>
    <cellStyle name="SAPLocked 20 2 6" xfId="14649"/>
    <cellStyle name="SAPLocked 20 2 6 2" xfId="14650"/>
    <cellStyle name="SAPLocked 20 2 7" xfId="14651"/>
    <cellStyle name="SAPLocked 20 2 7 2" xfId="14652"/>
    <cellStyle name="SAPLocked 20 2 8" xfId="14653"/>
    <cellStyle name="SAPLocked 20 2 8 2" xfId="14654"/>
    <cellStyle name="SAPLocked 20 2 9" xfId="14655"/>
    <cellStyle name="SAPLocked 20 2 9 2" xfId="14656"/>
    <cellStyle name="SAPLocked 20 3" xfId="14657"/>
    <cellStyle name="SAPLocked 20 3 2" xfId="14658"/>
    <cellStyle name="SAPLocked 20 4" xfId="14659"/>
    <cellStyle name="SAPLocked 20 4 2" xfId="14660"/>
    <cellStyle name="SAPLocked 20 5" xfId="14661"/>
    <cellStyle name="SAPLocked 20 5 2" xfId="14662"/>
    <cellStyle name="SAPLocked 20 6" xfId="14663"/>
    <cellStyle name="SAPLocked 20 6 2" xfId="14664"/>
    <cellStyle name="SAPLocked 20 7" xfId="14665"/>
    <cellStyle name="SAPLocked 20 7 2" xfId="14666"/>
    <cellStyle name="SAPLocked 20 8" xfId="14667"/>
    <cellStyle name="SAPLocked 20 8 2" xfId="14668"/>
    <cellStyle name="SAPLocked 20 9" xfId="14669"/>
    <cellStyle name="SAPLocked 20 9 2" xfId="14670"/>
    <cellStyle name="SAPLocked 21" xfId="14671"/>
    <cellStyle name="SAPLocked 21 10" xfId="14672"/>
    <cellStyle name="SAPLocked 21 10 2" xfId="14673"/>
    <cellStyle name="SAPLocked 21 11" xfId="14674"/>
    <cellStyle name="SAPLocked 21 11 2" xfId="14675"/>
    <cellStyle name="SAPLocked 21 12" xfId="14676"/>
    <cellStyle name="SAPLocked 21 12 2" xfId="14677"/>
    <cellStyle name="SAPLocked 21 13" xfId="14678"/>
    <cellStyle name="SAPLocked 21 2" xfId="14679"/>
    <cellStyle name="SAPLocked 21 2 10" xfId="14680"/>
    <cellStyle name="SAPLocked 21 2 10 2" xfId="14681"/>
    <cellStyle name="SAPLocked 21 2 11" xfId="14682"/>
    <cellStyle name="SAPLocked 21 2 11 2" xfId="14683"/>
    <cellStyle name="SAPLocked 21 2 12" xfId="14684"/>
    <cellStyle name="SAPLocked 21 2 2" xfId="14685"/>
    <cellStyle name="SAPLocked 21 2 2 2" xfId="14686"/>
    <cellStyle name="SAPLocked 21 2 3" xfId="14687"/>
    <cellStyle name="SAPLocked 21 2 3 2" xfId="14688"/>
    <cellStyle name="SAPLocked 21 2 4" xfId="14689"/>
    <cellStyle name="SAPLocked 21 2 4 2" xfId="14690"/>
    <cellStyle name="SAPLocked 21 2 5" xfId="14691"/>
    <cellStyle name="SAPLocked 21 2 5 2" xfId="14692"/>
    <cellStyle name="SAPLocked 21 2 6" xfId="14693"/>
    <cellStyle name="SAPLocked 21 2 6 2" xfId="14694"/>
    <cellStyle name="SAPLocked 21 2 7" xfId="14695"/>
    <cellStyle name="SAPLocked 21 2 7 2" xfId="14696"/>
    <cellStyle name="SAPLocked 21 2 8" xfId="14697"/>
    <cellStyle name="SAPLocked 21 2 8 2" xfId="14698"/>
    <cellStyle name="SAPLocked 21 2 9" xfId="14699"/>
    <cellStyle name="SAPLocked 21 2 9 2" xfId="14700"/>
    <cellStyle name="SAPLocked 21 3" xfId="14701"/>
    <cellStyle name="SAPLocked 21 3 2" xfId="14702"/>
    <cellStyle name="SAPLocked 21 4" xfId="14703"/>
    <cellStyle name="SAPLocked 21 4 2" xfId="14704"/>
    <cellStyle name="SAPLocked 21 5" xfId="14705"/>
    <cellStyle name="SAPLocked 21 5 2" xfId="14706"/>
    <cellStyle name="SAPLocked 21 6" xfId="14707"/>
    <cellStyle name="SAPLocked 21 6 2" xfId="14708"/>
    <cellStyle name="SAPLocked 21 7" xfId="14709"/>
    <cellStyle name="SAPLocked 21 7 2" xfId="14710"/>
    <cellStyle name="SAPLocked 21 8" xfId="14711"/>
    <cellStyle name="SAPLocked 21 8 2" xfId="14712"/>
    <cellStyle name="SAPLocked 21 9" xfId="14713"/>
    <cellStyle name="SAPLocked 21 9 2" xfId="14714"/>
    <cellStyle name="SAPLocked 22" xfId="14715"/>
    <cellStyle name="SAPLocked 22 10" xfId="14716"/>
    <cellStyle name="SAPLocked 22 10 2" xfId="14717"/>
    <cellStyle name="SAPLocked 22 11" xfId="14718"/>
    <cellStyle name="SAPLocked 22 11 2" xfId="14719"/>
    <cellStyle name="SAPLocked 22 12" xfId="14720"/>
    <cellStyle name="SAPLocked 22 2" xfId="14721"/>
    <cellStyle name="SAPLocked 22 2 2" xfId="14722"/>
    <cellStyle name="SAPLocked 22 3" xfId="14723"/>
    <cellStyle name="SAPLocked 22 3 2" xfId="14724"/>
    <cellStyle name="SAPLocked 22 4" xfId="14725"/>
    <cellStyle name="SAPLocked 22 4 2" xfId="14726"/>
    <cellStyle name="SAPLocked 22 5" xfId="14727"/>
    <cellStyle name="SAPLocked 22 5 2" xfId="14728"/>
    <cellStyle name="SAPLocked 22 6" xfId="14729"/>
    <cellStyle name="SAPLocked 22 6 2" xfId="14730"/>
    <cellStyle name="SAPLocked 22 7" xfId="14731"/>
    <cellStyle name="SAPLocked 22 7 2" xfId="14732"/>
    <cellStyle name="SAPLocked 22 8" xfId="14733"/>
    <cellStyle name="SAPLocked 22 8 2" xfId="14734"/>
    <cellStyle name="SAPLocked 22 9" xfId="14735"/>
    <cellStyle name="SAPLocked 22 9 2" xfId="14736"/>
    <cellStyle name="SAPLocked 23" xfId="14737"/>
    <cellStyle name="SAPLocked 23 2" xfId="14738"/>
    <cellStyle name="SAPLocked 24" xfId="14739"/>
    <cellStyle name="SAPLocked 24 2" xfId="14740"/>
    <cellStyle name="SAPLocked 25" xfId="14741"/>
    <cellStyle name="SAPLocked 25 2" xfId="14742"/>
    <cellStyle name="SAPLocked 26" xfId="14743"/>
    <cellStyle name="SAPLocked 26 2" xfId="14744"/>
    <cellStyle name="SAPLocked 27" xfId="14745"/>
    <cellStyle name="SAPLocked 27 2" xfId="14746"/>
    <cellStyle name="SAPLocked 28" xfId="14747"/>
    <cellStyle name="SAPLocked 28 2" xfId="14748"/>
    <cellStyle name="SAPLocked 29" xfId="14749"/>
    <cellStyle name="SAPLocked 29 2" xfId="14750"/>
    <cellStyle name="SAPLocked 3" xfId="14751"/>
    <cellStyle name="SAPLocked 3 10" xfId="14752"/>
    <cellStyle name="SAPLocked 3 10 2" xfId="14753"/>
    <cellStyle name="SAPLocked 3 11" xfId="14754"/>
    <cellStyle name="SAPLocked 3 11 2" xfId="14755"/>
    <cellStyle name="SAPLocked 3 12" xfId="14756"/>
    <cellStyle name="SAPLocked 3 12 2" xfId="14757"/>
    <cellStyle name="SAPLocked 3 13" xfId="14758"/>
    <cellStyle name="SAPLocked 3 2" xfId="14759"/>
    <cellStyle name="SAPLocked 3 2 10" xfId="14760"/>
    <cellStyle name="SAPLocked 3 2 10 2" xfId="14761"/>
    <cellStyle name="SAPLocked 3 2 11" xfId="14762"/>
    <cellStyle name="SAPLocked 3 2 11 2" xfId="14763"/>
    <cellStyle name="SAPLocked 3 2 12" xfId="14764"/>
    <cellStyle name="SAPLocked 3 2 2" xfId="14765"/>
    <cellStyle name="SAPLocked 3 2 2 2" xfId="14766"/>
    <cellStyle name="SAPLocked 3 2 3" xfId="14767"/>
    <cellStyle name="SAPLocked 3 2 3 2" xfId="14768"/>
    <cellStyle name="SAPLocked 3 2 4" xfId="14769"/>
    <cellStyle name="SAPLocked 3 2 4 2" xfId="14770"/>
    <cellStyle name="SAPLocked 3 2 5" xfId="14771"/>
    <cellStyle name="SAPLocked 3 2 5 2" xfId="14772"/>
    <cellStyle name="SAPLocked 3 2 6" xfId="14773"/>
    <cellStyle name="SAPLocked 3 2 6 2" xfId="14774"/>
    <cellStyle name="SAPLocked 3 2 7" xfId="14775"/>
    <cellStyle name="SAPLocked 3 2 7 2" xfId="14776"/>
    <cellStyle name="SAPLocked 3 2 8" xfId="14777"/>
    <cellStyle name="SAPLocked 3 2 8 2" xfId="14778"/>
    <cellStyle name="SAPLocked 3 2 9" xfId="14779"/>
    <cellStyle name="SAPLocked 3 2 9 2" xfId="14780"/>
    <cellStyle name="SAPLocked 3 3" xfId="14781"/>
    <cellStyle name="SAPLocked 3 3 2" xfId="14782"/>
    <cellStyle name="SAPLocked 3 4" xfId="14783"/>
    <cellStyle name="SAPLocked 3 4 2" xfId="14784"/>
    <cellStyle name="SAPLocked 3 5" xfId="14785"/>
    <cellStyle name="SAPLocked 3 5 2" xfId="14786"/>
    <cellStyle name="SAPLocked 3 6" xfId="14787"/>
    <cellStyle name="SAPLocked 3 6 2" xfId="14788"/>
    <cellStyle name="SAPLocked 3 7" xfId="14789"/>
    <cellStyle name="SAPLocked 3 7 2" xfId="14790"/>
    <cellStyle name="SAPLocked 3 8" xfId="14791"/>
    <cellStyle name="SAPLocked 3 8 2" xfId="14792"/>
    <cellStyle name="SAPLocked 3 9" xfId="14793"/>
    <cellStyle name="SAPLocked 3 9 2" xfId="14794"/>
    <cellStyle name="SAPLocked 30" xfId="14795"/>
    <cellStyle name="SAPLocked 30 2" xfId="14796"/>
    <cellStyle name="SAPLocked 31" xfId="14797"/>
    <cellStyle name="SAPLocked 4" xfId="14798"/>
    <cellStyle name="SAPLocked 4 10" xfId="14799"/>
    <cellStyle name="SAPLocked 4 10 2" xfId="14800"/>
    <cellStyle name="SAPLocked 4 11" xfId="14801"/>
    <cellStyle name="SAPLocked 4 11 2" xfId="14802"/>
    <cellStyle name="SAPLocked 4 12" xfId="14803"/>
    <cellStyle name="SAPLocked 4 12 2" xfId="14804"/>
    <cellStyle name="SAPLocked 4 13" xfId="14805"/>
    <cellStyle name="SAPLocked 4 2" xfId="14806"/>
    <cellStyle name="SAPLocked 4 2 10" xfId="14807"/>
    <cellStyle name="SAPLocked 4 2 10 2" xfId="14808"/>
    <cellStyle name="SAPLocked 4 2 11" xfId="14809"/>
    <cellStyle name="SAPLocked 4 2 11 2" xfId="14810"/>
    <cellStyle name="SAPLocked 4 2 12" xfId="14811"/>
    <cellStyle name="SAPLocked 4 2 2" xfId="14812"/>
    <cellStyle name="SAPLocked 4 2 2 2" xfId="14813"/>
    <cellStyle name="SAPLocked 4 2 3" xfId="14814"/>
    <cellStyle name="SAPLocked 4 2 3 2" xfId="14815"/>
    <cellStyle name="SAPLocked 4 2 4" xfId="14816"/>
    <cellStyle name="SAPLocked 4 2 4 2" xfId="14817"/>
    <cellStyle name="SAPLocked 4 2 5" xfId="14818"/>
    <cellStyle name="SAPLocked 4 2 5 2" xfId="14819"/>
    <cellStyle name="SAPLocked 4 2 6" xfId="14820"/>
    <cellStyle name="SAPLocked 4 2 6 2" xfId="14821"/>
    <cellStyle name="SAPLocked 4 2 7" xfId="14822"/>
    <cellStyle name="SAPLocked 4 2 7 2" xfId="14823"/>
    <cellStyle name="SAPLocked 4 2 8" xfId="14824"/>
    <cellStyle name="SAPLocked 4 2 8 2" xfId="14825"/>
    <cellStyle name="SAPLocked 4 2 9" xfId="14826"/>
    <cellStyle name="SAPLocked 4 2 9 2" xfId="14827"/>
    <cellStyle name="SAPLocked 4 3" xfId="14828"/>
    <cellStyle name="SAPLocked 4 3 2" xfId="14829"/>
    <cellStyle name="SAPLocked 4 4" xfId="14830"/>
    <cellStyle name="SAPLocked 4 4 2" xfId="14831"/>
    <cellStyle name="SAPLocked 4 5" xfId="14832"/>
    <cellStyle name="SAPLocked 4 5 2" xfId="14833"/>
    <cellStyle name="SAPLocked 4 6" xfId="14834"/>
    <cellStyle name="SAPLocked 4 6 2" xfId="14835"/>
    <cellStyle name="SAPLocked 4 7" xfId="14836"/>
    <cellStyle name="SAPLocked 4 7 2" xfId="14837"/>
    <cellStyle name="SAPLocked 4 8" xfId="14838"/>
    <cellStyle name="SAPLocked 4 8 2" xfId="14839"/>
    <cellStyle name="SAPLocked 4 9" xfId="14840"/>
    <cellStyle name="SAPLocked 4 9 2" xfId="14841"/>
    <cellStyle name="SAPLocked 5" xfId="14842"/>
    <cellStyle name="SAPLocked 5 10" xfId="14843"/>
    <cellStyle name="SAPLocked 5 10 2" xfId="14844"/>
    <cellStyle name="SAPLocked 5 11" xfId="14845"/>
    <cellStyle name="SAPLocked 5 11 2" xfId="14846"/>
    <cellStyle name="SAPLocked 5 12" xfId="14847"/>
    <cellStyle name="SAPLocked 5 12 2" xfId="14848"/>
    <cellStyle name="SAPLocked 5 13" xfId="14849"/>
    <cellStyle name="SAPLocked 5 2" xfId="14850"/>
    <cellStyle name="SAPLocked 5 2 10" xfId="14851"/>
    <cellStyle name="SAPLocked 5 2 10 2" xfId="14852"/>
    <cellStyle name="SAPLocked 5 2 11" xfId="14853"/>
    <cellStyle name="SAPLocked 5 2 11 2" xfId="14854"/>
    <cellStyle name="SAPLocked 5 2 12" xfId="14855"/>
    <cellStyle name="SAPLocked 5 2 2" xfId="14856"/>
    <cellStyle name="SAPLocked 5 2 2 2" xfId="14857"/>
    <cellStyle name="SAPLocked 5 2 3" xfId="14858"/>
    <cellStyle name="SAPLocked 5 2 3 2" xfId="14859"/>
    <cellStyle name="SAPLocked 5 2 4" xfId="14860"/>
    <cellStyle name="SAPLocked 5 2 4 2" xfId="14861"/>
    <cellStyle name="SAPLocked 5 2 5" xfId="14862"/>
    <cellStyle name="SAPLocked 5 2 5 2" xfId="14863"/>
    <cellStyle name="SAPLocked 5 2 6" xfId="14864"/>
    <cellStyle name="SAPLocked 5 2 6 2" xfId="14865"/>
    <cellStyle name="SAPLocked 5 2 7" xfId="14866"/>
    <cellStyle name="SAPLocked 5 2 7 2" xfId="14867"/>
    <cellStyle name="SAPLocked 5 2 8" xfId="14868"/>
    <cellStyle name="SAPLocked 5 2 8 2" xfId="14869"/>
    <cellStyle name="SAPLocked 5 2 9" xfId="14870"/>
    <cellStyle name="SAPLocked 5 2 9 2" xfId="14871"/>
    <cellStyle name="SAPLocked 5 3" xfId="14872"/>
    <cellStyle name="SAPLocked 5 3 2" xfId="14873"/>
    <cellStyle name="SAPLocked 5 4" xfId="14874"/>
    <cellStyle name="SAPLocked 5 4 2" xfId="14875"/>
    <cellStyle name="SAPLocked 5 5" xfId="14876"/>
    <cellStyle name="SAPLocked 5 5 2" xfId="14877"/>
    <cellStyle name="SAPLocked 5 6" xfId="14878"/>
    <cellStyle name="SAPLocked 5 6 2" xfId="14879"/>
    <cellStyle name="SAPLocked 5 7" xfId="14880"/>
    <cellStyle name="SAPLocked 5 7 2" xfId="14881"/>
    <cellStyle name="SAPLocked 5 8" xfId="14882"/>
    <cellStyle name="SAPLocked 5 8 2" xfId="14883"/>
    <cellStyle name="SAPLocked 5 9" xfId="14884"/>
    <cellStyle name="SAPLocked 5 9 2" xfId="14885"/>
    <cellStyle name="SAPLocked 6" xfId="14886"/>
    <cellStyle name="SAPLocked 6 10" xfId="14887"/>
    <cellStyle name="SAPLocked 6 10 2" xfId="14888"/>
    <cellStyle name="SAPLocked 6 11" xfId="14889"/>
    <cellStyle name="SAPLocked 6 11 2" xfId="14890"/>
    <cellStyle name="SAPLocked 6 12" xfId="14891"/>
    <cellStyle name="SAPLocked 6 12 2" xfId="14892"/>
    <cellStyle name="SAPLocked 6 13" xfId="14893"/>
    <cellStyle name="SAPLocked 6 2" xfId="14894"/>
    <cellStyle name="SAPLocked 6 2 10" xfId="14895"/>
    <cellStyle name="SAPLocked 6 2 10 2" xfId="14896"/>
    <cellStyle name="SAPLocked 6 2 11" xfId="14897"/>
    <cellStyle name="SAPLocked 6 2 11 2" xfId="14898"/>
    <cellStyle name="SAPLocked 6 2 12" xfId="14899"/>
    <cellStyle name="SAPLocked 6 2 2" xfId="14900"/>
    <cellStyle name="SAPLocked 6 2 2 2" xfId="14901"/>
    <cellStyle name="SAPLocked 6 2 3" xfId="14902"/>
    <cellStyle name="SAPLocked 6 2 3 2" xfId="14903"/>
    <cellStyle name="SAPLocked 6 2 4" xfId="14904"/>
    <cellStyle name="SAPLocked 6 2 4 2" xfId="14905"/>
    <cellStyle name="SAPLocked 6 2 5" xfId="14906"/>
    <cellStyle name="SAPLocked 6 2 5 2" xfId="14907"/>
    <cellStyle name="SAPLocked 6 2 6" xfId="14908"/>
    <cellStyle name="SAPLocked 6 2 6 2" xfId="14909"/>
    <cellStyle name="SAPLocked 6 2 7" xfId="14910"/>
    <cellStyle name="SAPLocked 6 2 7 2" xfId="14911"/>
    <cellStyle name="SAPLocked 6 2 8" xfId="14912"/>
    <cellStyle name="SAPLocked 6 2 8 2" xfId="14913"/>
    <cellStyle name="SAPLocked 6 2 9" xfId="14914"/>
    <cellStyle name="SAPLocked 6 2 9 2" xfId="14915"/>
    <cellStyle name="SAPLocked 6 3" xfId="14916"/>
    <cellStyle name="SAPLocked 6 3 2" xfId="14917"/>
    <cellStyle name="SAPLocked 6 4" xfId="14918"/>
    <cellStyle name="SAPLocked 6 4 2" xfId="14919"/>
    <cellStyle name="SAPLocked 6 5" xfId="14920"/>
    <cellStyle name="SAPLocked 6 5 2" xfId="14921"/>
    <cellStyle name="SAPLocked 6 6" xfId="14922"/>
    <cellStyle name="SAPLocked 6 6 2" xfId="14923"/>
    <cellStyle name="SAPLocked 6 7" xfId="14924"/>
    <cellStyle name="SAPLocked 6 7 2" xfId="14925"/>
    <cellStyle name="SAPLocked 6 8" xfId="14926"/>
    <cellStyle name="SAPLocked 6 8 2" xfId="14927"/>
    <cellStyle name="SAPLocked 6 9" xfId="14928"/>
    <cellStyle name="SAPLocked 6 9 2" xfId="14929"/>
    <cellStyle name="SAPLocked 7" xfId="14930"/>
    <cellStyle name="SAPLocked 7 10" xfId="14931"/>
    <cellStyle name="SAPLocked 7 10 2" xfId="14932"/>
    <cellStyle name="SAPLocked 7 11" xfId="14933"/>
    <cellStyle name="SAPLocked 7 11 2" xfId="14934"/>
    <cellStyle name="SAPLocked 7 12" xfId="14935"/>
    <cellStyle name="SAPLocked 7 12 2" xfId="14936"/>
    <cellStyle name="SAPLocked 7 13" xfId="14937"/>
    <cellStyle name="SAPLocked 7 2" xfId="14938"/>
    <cellStyle name="SAPLocked 7 2 10" xfId="14939"/>
    <cellStyle name="SAPLocked 7 2 10 2" xfId="14940"/>
    <cellStyle name="SAPLocked 7 2 11" xfId="14941"/>
    <cellStyle name="SAPLocked 7 2 11 2" xfId="14942"/>
    <cellStyle name="SAPLocked 7 2 12" xfId="14943"/>
    <cellStyle name="SAPLocked 7 2 2" xfId="14944"/>
    <cellStyle name="SAPLocked 7 2 2 2" xfId="14945"/>
    <cellStyle name="SAPLocked 7 2 3" xfId="14946"/>
    <cellStyle name="SAPLocked 7 2 3 2" xfId="14947"/>
    <cellStyle name="SAPLocked 7 2 4" xfId="14948"/>
    <cellStyle name="SAPLocked 7 2 4 2" xfId="14949"/>
    <cellStyle name="SAPLocked 7 2 5" xfId="14950"/>
    <cellStyle name="SAPLocked 7 2 5 2" xfId="14951"/>
    <cellStyle name="SAPLocked 7 2 6" xfId="14952"/>
    <cellStyle name="SAPLocked 7 2 6 2" xfId="14953"/>
    <cellStyle name="SAPLocked 7 2 7" xfId="14954"/>
    <cellStyle name="SAPLocked 7 2 7 2" xfId="14955"/>
    <cellStyle name="SAPLocked 7 2 8" xfId="14956"/>
    <cellStyle name="SAPLocked 7 2 8 2" xfId="14957"/>
    <cellStyle name="SAPLocked 7 2 9" xfId="14958"/>
    <cellStyle name="SAPLocked 7 2 9 2" xfId="14959"/>
    <cellStyle name="SAPLocked 7 3" xfId="14960"/>
    <cellStyle name="SAPLocked 7 3 2" xfId="14961"/>
    <cellStyle name="SAPLocked 7 4" xfId="14962"/>
    <cellStyle name="SAPLocked 7 4 2" xfId="14963"/>
    <cellStyle name="SAPLocked 7 5" xfId="14964"/>
    <cellStyle name="SAPLocked 7 5 2" xfId="14965"/>
    <cellStyle name="SAPLocked 7 6" xfId="14966"/>
    <cellStyle name="SAPLocked 7 6 2" xfId="14967"/>
    <cellStyle name="SAPLocked 7 7" xfId="14968"/>
    <cellStyle name="SAPLocked 7 7 2" xfId="14969"/>
    <cellStyle name="SAPLocked 7 8" xfId="14970"/>
    <cellStyle name="SAPLocked 7 8 2" xfId="14971"/>
    <cellStyle name="SAPLocked 7 9" xfId="14972"/>
    <cellStyle name="SAPLocked 7 9 2" xfId="14973"/>
    <cellStyle name="SAPLocked 8" xfId="14974"/>
    <cellStyle name="SAPLocked 8 10" xfId="14975"/>
    <cellStyle name="SAPLocked 8 10 2" xfId="14976"/>
    <cellStyle name="SAPLocked 8 11" xfId="14977"/>
    <cellStyle name="SAPLocked 8 11 2" xfId="14978"/>
    <cellStyle name="SAPLocked 8 12" xfId="14979"/>
    <cellStyle name="SAPLocked 8 12 2" xfId="14980"/>
    <cellStyle name="SAPLocked 8 13" xfId="14981"/>
    <cellStyle name="SAPLocked 8 2" xfId="14982"/>
    <cellStyle name="SAPLocked 8 2 10" xfId="14983"/>
    <cellStyle name="SAPLocked 8 2 10 2" xfId="14984"/>
    <cellStyle name="SAPLocked 8 2 11" xfId="14985"/>
    <cellStyle name="SAPLocked 8 2 11 2" xfId="14986"/>
    <cellStyle name="SAPLocked 8 2 12" xfId="14987"/>
    <cellStyle name="SAPLocked 8 2 2" xfId="14988"/>
    <cellStyle name="SAPLocked 8 2 2 2" xfId="14989"/>
    <cellStyle name="SAPLocked 8 2 3" xfId="14990"/>
    <cellStyle name="SAPLocked 8 2 3 2" xfId="14991"/>
    <cellStyle name="SAPLocked 8 2 4" xfId="14992"/>
    <cellStyle name="SAPLocked 8 2 4 2" xfId="14993"/>
    <cellStyle name="SAPLocked 8 2 5" xfId="14994"/>
    <cellStyle name="SAPLocked 8 2 5 2" xfId="14995"/>
    <cellStyle name="SAPLocked 8 2 6" xfId="14996"/>
    <cellStyle name="SAPLocked 8 2 6 2" xfId="14997"/>
    <cellStyle name="SAPLocked 8 2 7" xfId="14998"/>
    <cellStyle name="SAPLocked 8 2 7 2" xfId="14999"/>
    <cellStyle name="SAPLocked 8 2 8" xfId="15000"/>
    <cellStyle name="SAPLocked 8 2 8 2" xfId="15001"/>
    <cellStyle name="SAPLocked 8 2 9" xfId="15002"/>
    <cellStyle name="SAPLocked 8 2 9 2" xfId="15003"/>
    <cellStyle name="SAPLocked 8 3" xfId="15004"/>
    <cellStyle name="SAPLocked 8 3 2" xfId="15005"/>
    <cellStyle name="SAPLocked 8 4" xfId="15006"/>
    <cellStyle name="SAPLocked 8 4 2" xfId="15007"/>
    <cellStyle name="SAPLocked 8 5" xfId="15008"/>
    <cellStyle name="SAPLocked 8 5 2" xfId="15009"/>
    <cellStyle name="SAPLocked 8 6" xfId="15010"/>
    <cellStyle name="SAPLocked 8 6 2" xfId="15011"/>
    <cellStyle name="SAPLocked 8 7" xfId="15012"/>
    <cellStyle name="SAPLocked 8 7 2" xfId="15013"/>
    <cellStyle name="SAPLocked 8 8" xfId="15014"/>
    <cellStyle name="SAPLocked 8 8 2" xfId="15015"/>
    <cellStyle name="SAPLocked 8 9" xfId="15016"/>
    <cellStyle name="SAPLocked 8 9 2" xfId="15017"/>
    <cellStyle name="SAPLocked 9" xfId="15018"/>
    <cellStyle name="SAPLocked 9 10" xfId="15019"/>
    <cellStyle name="SAPLocked 9 10 2" xfId="15020"/>
    <cellStyle name="SAPLocked 9 11" xfId="15021"/>
    <cellStyle name="SAPLocked 9 11 2" xfId="15022"/>
    <cellStyle name="SAPLocked 9 12" xfId="15023"/>
    <cellStyle name="SAPLocked 9 12 2" xfId="15024"/>
    <cellStyle name="SAPLocked 9 13" xfId="15025"/>
    <cellStyle name="SAPLocked 9 2" xfId="15026"/>
    <cellStyle name="SAPLocked 9 2 10" xfId="15027"/>
    <cellStyle name="SAPLocked 9 2 10 2" xfId="15028"/>
    <cellStyle name="SAPLocked 9 2 11" xfId="15029"/>
    <cellStyle name="SAPLocked 9 2 11 2" xfId="15030"/>
    <cellStyle name="SAPLocked 9 2 12" xfId="15031"/>
    <cellStyle name="SAPLocked 9 2 2" xfId="15032"/>
    <cellStyle name="SAPLocked 9 2 2 2" xfId="15033"/>
    <cellStyle name="SAPLocked 9 2 3" xfId="15034"/>
    <cellStyle name="SAPLocked 9 2 3 2" xfId="15035"/>
    <cellStyle name="SAPLocked 9 2 4" xfId="15036"/>
    <cellStyle name="SAPLocked 9 2 4 2" xfId="15037"/>
    <cellStyle name="SAPLocked 9 2 5" xfId="15038"/>
    <cellStyle name="SAPLocked 9 2 5 2" xfId="15039"/>
    <cellStyle name="SAPLocked 9 2 6" xfId="15040"/>
    <cellStyle name="SAPLocked 9 2 6 2" xfId="15041"/>
    <cellStyle name="SAPLocked 9 2 7" xfId="15042"/>
    <cellStyle name="SAPLocked 9 2 7 2" xfId="15043"/>
    <cellStyle name="SAPLocked 9 2 8" xfId="15044"/>
    <cellStyle name="SAPLocked 9 2 8 2" xfId="15045"/>
    <cellStyle name="SAPLocked 9 2 9" xfId="15046"/>
    <cellStyle name="SAPLocked 9 2 9 2" xfId="15047"/>
    <cellStyle name="SAPLocked 9 3" xfId="15048"/>
    <cellStyle name="SAPLocked 9 3 2" xfId="15049"/>
    <cellStyle name="SAPLocked 9 4" xfId="15050"/>
    <cellStyle name="SAPLocked 9 4 2" xfId="15051"/>
    <cellStyle name="SAPLocked 9 5" xfId="15052"/>
    <cellStyle name="SAPLocked 9 5 2" xfId="15053"/>
    <cellStyle name="SAPLocked 9 6" xfId="15054"/>
    <cellStyle name="SAPLocked 9 6 2" xfId="15055"/>
    <cellStyle name="SAPLocked 9 7" xfId="15056"/>
    <cellStyle name="SAPLocked 9 7 2" xfId="15057"/>
    <cellStyle name="SAPLocked 9 8" xfId="15058"/>
    <cellStyle name="SAPLocked 9 8 2" xfId="15059"/>
    <cellStyle name="SAPLocked 9 9" xfId="15060"/>
    <cellStyle name="SAPLocked 9 9 2" xfId="15061"/>
    <cellStyle name="SAPMemberCell" xfId="15062"/>
    <cellStyle name="SAPMemberTotalCell" xfId="15063"/>
    <cellStyle name="Standard_CORE_20040805_Movement types_Sets_V0.1_e" xfId="15064"/>
    <cellStyle name="STYL5 - Style5" xfId="15065"/>
    <cellStyle name="STYL5 - Style5 2" xfId="15066"/>
    <cellStyle name="STYL5 - Style5 2 2" xfId="15067"/>
    <cellStyle name="STYL5 - Style5 3" xfId="15068"/>
    <cellStyle name="STYL5 - Style5 3 2" xfId="15069"/>
    <cellStyle name="STYL6 - Style6" xfId="15070"/>
    <cellStyle name="STYL6 - Style6 2" xfId="15071"/>
    <cellStyle name="STYL6 - Style6 2 2" xfId="15072"/>
    <cellStyle name="STYL6 - Style6 3" xfId="15073"/>
    <cellStyle name="STYL6 - Style6 3 2" xfId="15074"/>
    <cellStyle name="STYLE1 - Style1" xfId="15075"/>
    <cellStyle name="STYLE1 - Style1 2" xfId="15076"/>
    <cellStyle name="STYLE1 - Style1 2 2" xfId="15077"/>
    <cellStyle name="STYLE1 - Style1 3" xfId="15078"/>
    <cellStyle name="STYLE1 - Style1 3 2" xfId="15079"/>
    <cellStyle name="STYLE2 - Style2" xfId="15080"/>
    <cellStyle name="STYLE2 - Style2 2" xfId="15081"/>
    <cellStyle name="STYLE2 - Style2 2 2" xfId="15082"/>
    <cellStyle name="STYLE2 - Style2 3" xfId="15083"/>
    <cellStyle name="STYLE2 - Style2 3 2" xfId="15084"/>
    <cellStyle name="STYLE3 - Style3" xfId="15085"/>
    <cellStyle name="STYLE3 - Style3 2" xfId="15086"/>
    <cellStyle name="STYLE3 - Style3 2 2" xfId="15087"/>
    <cellStyle name="STYLE3 - Style3 3" xfId="15088"/>
    <cellStyle name="STYLE3 - Style3 3 2" xfId="15089"/>
    <cellStyle name="STYLE4 - Style4" xfId="15090"/>
    <cellStyle name="STYLE4 - Style4 2" xfId="15091"/>
    <cellStyle name="STYLE4 - Style4 2 2" xfId="15092"/>
    <cellStyle name="STYLE4 - Style4 3" xfId="15093"/>
    <cellStyle name="STYLE4 - Style4 3 2" xfId="15094"/>
    <cellStyle name="Table  - Style5" xfId="15095"/>
    <cellStyle name="Text" xfId="15096"/>
    <cellStyle name="Title  - Style6" xfId="15097"/>
    <cellStyle name="Title 10" xfId="1991"/>
    <cellStyle name="Title 11" xfId="1992"/>
    <cellStyle name="Title 12" xfId="1993"/>
    <cellStyle name="Title 13" xfId="1994"/>
    <cellStyle name="Title 14" xfId="1995"/>
    <cellStyle name="Title 15" xfId="1996"/>
    <cellStyle name="Title 16" xfId="1997"/>
    <cellStyle name="Title 17" xfId="1998"/>
    <cellStyle name="Title 17 2" xfId="1999"/>
    <cellStyle name="Title 17 3" xfId="2000"/>
    <cellStyle name="Title 17 4" xfId="2001"/>
    <cellStyle name="Title 17 5" xfId="2002"/>
    <cellStyle name="Title 18" xfId="2003"/>
    <cellStyle name="Title 19" xfId="2004"/>
    <cellStyle name="Title 2" xfId="2005"/>
    <cellStyle name="Title 2 2" xfId="2006"/>
    <cellStyle name="Title 2 2 2" xfId="2007"/>
    <cellStyle name="Title 2 2 3" xfId="2008"/>
    <cellStyle name="Title 2 2 4" xfId="2009"/>
    <cellStyle name="Title 2 2 5" xfId="2010"/>
    <cellStyle name="Title 2 3" xfId="2011"/>
    <cellStyle name="Title 2 4" xfId="2012"/>
    <cellStyle name="Title 2 5" xfId="2013"/>
    <cellStyle name="Title 2 6" xfId="2014"/>
    <cellStyle name="Title 2 7" xfId="2015"/>
    <cellStyle name="Title 2 8" xfId="2016"/>
    <cellStyle name="Title 20" xfId="2017"/>
    <cellStyle name="Title 21" xfId="2018"/>
    <cellStyle name="Title 22" xfId="2019"/>
    <cellStyle name="Title 3" xfId="2020"/>
    <cellStyle name="Title 3 2" xfId="15098"/>
    <cellStyle name="Title 4" xfId="2021"/>
    <cellStyle name="Title 5" xfId="2022"/>
    <cellStyle name="Title 6" xfId="2023"/>
    <cellStyle name="Title 7" xfId="2024"/>
    <cellStyle name="Title 8" xfId="2025"/>
    <cellStyle name="Title 9" xfId="2026"/>
    <cellStyle name="Total 10" xfId="2027"/>
    <cellStyle name="Total 11" xfId="2028"/>
    <cellStyle name="Total 12" xfId="2029"/>
    <cellStyle name="Total 13" xfId="2030"/>
    <cellStyle name="Total 14" xfId="2031"/>
    <cellStyle name="Total 15" xfId="2032"/>
    <cellStyle name="Total 16" xfId="2033"/>
    <cellStyle name="Total 17" xfId="2034"/>
    <cellStyle name="Total 17 2" xfId="15099"/>
    <cellStyle name="Total 17 3" xfId="15100"/>
    <cellStyle name="Total 17 4" xfId="15101"/>
    <cellStyle name="Total 18" xfId="2035"/>
    <cellStyle name="Total 19" xfId="2036"/>
    <cellStyle name="Total 2" xfId="2037"/>
    <cellStyle name="Total 2 2" xfId="2038"/>
    <cellStyle name="Total 2 2 2" xfId="2039"/>
    <cellStyle name="Total 2 2 2 2" xfId="2040"/>
    <cellStyle name="Total 2 2 2 3" xfId="2041"/>
    <cellStyle name="Total 2 2 2 4" xfId="2042"/>
    <cellStyle name="Total 2 2 2 5" xfId="2043"/>
    <cellStyle name="Total 2 2 3" xfId="2044"/>
    <cellStyle name="Total 2 2 4" xfId="2045"/>
    <cellStyle name="Total 2 2 5" xfId="2046"/>
    <cellStyle name="Total 2 3" xfId="2047"/>
    <cellStyle name="Total 2 3 2" xfId="15102"/>
    <cellStyle name="Total 2 4" xfId="2048"/>
    <cellStyle name="Total 2 4 2" xfId="15103"/>
    <cellStyle name="Total 2 5" xfId="2049"/>
    <cellStyle name="Total 2 5 2" xfId="15104"/>
    <cellStyle name="Total 2 6" xfId="2050"/>
    <cellStyle name="Total 2 6 2" xfId="15105"/>
    <cellStyle name="Total 2 7" xfId="2051"/>
    <cellStyle name="Total 2 7 2" xfId="15106"/>
    <cellStyle name="Total 2 8" xfId="2052"/>
    <cellStyle name="Total 2 9" xfId="2053"/>
    <cellStyle name="Total 20" xfId="2054"/>
    <cellStyle name="Total 21" xfId="2055"/>
    <cellStyle name="Total 22" xfId="2056"/>
    <cellStyle name="Total 23" xfId="2057"/>
    <cellStyle name="Total 24" xfId="2058"/>
    <cellStyle name="Total 3" xfId="2059"/>
    <cellStyle name="Total 3 2" xfId="15107"/>
    <cellStyle name="Total 3 2 2" xfId="15108"/>
    <cellStyle name="Total 3 3" xfId="15109"/>
    <cellStyle name="Total 4" xfId="2060"/>
    <cellStyle name="Total 4 2" xfId="15110"/>
    <cellStyle name="Total 5" xfId="2061"/>
    <cellStyle name="Total 6" xfId="2062"/>
    <cellStyle name="Total 7" xfId="2063"/>
    <cellStyle name="Total 8" xfId="2064"/>
    <cellStyle name="Total 9" xfId="2065"/>
    <cellStyle name="TotCol - Style7" xfId="15111"/>
    <cellStyle name="TotRow - Style8" xfId="15112"/>
    <cellStyle name="Undefiniert" xfId="15113"/>
    <cellStyle name="Undefiniert 2" xfId="15114"/>
    <cellStyle name="UploadThisRowValue" xfId="15115"/>
    <cellStyle name="UploadThisRowValue 2" xfId="15116"/>
    <cellStyle name="UploadThisRowValue 2 2" xfId="15117"/>
    <cellStyle name="UploadThisRowValue 3" xfId="15118"/>
    <cellStyle name="Warning Text 10" xfId="2066"/>
    <cellStyle name="Warning Text 11" xfId="2067"/>
    <cellStyle name="Warning Text 12" xfId="2068"/>
    <cellStyle name="Warning Text 13" xfId="2069"/>
    <cellStyle name="Warning Text 14" xfId="2070"/>
    <cellStyle name="Warning Text 15" xfId="2071"/>
    <cellStyle name="Warning Text 16" xfId="2072"/>
    <cellStyle name="Warning Text 17" xfId="2073"/>
    <cellStyle name="Warning Text 18" xfId="2074"/>
    <cellStyle name="Warning Text 19" xfId="2075"/>
    <cellStyle name="Warning Text 2" xfId="2076"/>
    <cellStyle name="Warning Text 2 2" xfId="2077"/>
    <cellStyle name="Warning Text 2 2 2" xfId="2078"/>
    <cellStyle name="Warning Text 2 2 2 2" xfId="2079"/>
    <cellStyle name="Warning Text 2 2 2 3" xfId="2080"/>
    <cellStyle name="Warning Text 2 2 2 4" xfId="2081"/>
    <cellStyle name="Warning Text 2 2 2 5" xfId="2082"/>
    <cellStyle name="Warning Text 2 2 3" xfId="2083"/>
    <cellStyle name="Warning Text 2 2 4" xfId="2084"/>
    <cellStyle name="Warning Text 2 2 5" xfId="2085"/>
    <cellStyle name="Warning Text 2 3" xfId="2086"/>
    <cellStyle name="Warning Text 2 4" xfId="2087"/>
    <cellStyle name="Warning Text 2 5" xfId="2088"/>
    <cellStyle name="Warning Text 2 6" xfId="2089"/>
    <cellStyle name="Warning Text 2 7" xfId="2090"/>
    <cellStyle name="Warning Text 2 8" xfId="2091"/>
    <cellStyle name="Warning Text 2 9" xfId="2092"/>
    <cellStyle name="Warning Text 20" xfId="2093"/>
    <cellStyle name="Warning Text 21" xfId="2094"/>
    <cellStyle name="Warning Text 22" xfId="2095"/>
    <cellStyle name="Warning Text 3" xfId="2096"/>
    <cellStyle name="Warning Text 3 2" xfId="15119"/>
    <cellStyle name="Warning Text 4" xfId="2097"/>
    <cellStyle name="Warning Text 4 2" xfId="15120"/>
    <cellStyle name="Warning Text 5" xfId="2098"/>
    <cellStyle name="Warning Text 6" xfId="2099"/>
    <cellStyle name="Warning Text 7" xfId="2100"/>
    <cellStyle name="Warning Text 8" xfId="2101"/>
    <cellStyle name="Warning Text 9" xfId="2102"/>
  </cellStyles>
  <dxfs count="8">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FFF99"/>
      <color rgb="FFCCFFFF"/>
      <color rgb="FF0000FF"/>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U%20201406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s==&gt;"/>
      <sheetName val="Reconciliation"/>
      <sheetName val="RevDeltaRoll-in"/>
      <sheetName val="Effect of Rate Change pg1 of 18"/>
      <sheetName val="Effect of Rate Change-pg2-13"/>
      <sheetName val="Effect of Rate Change pg14-18"/>
      <sheetName val="Conroy Exhibit P2"/>
      <sheetName val="Yr End Cust Adj"/>
      <sheetName val="Rate Switch"/>
      <sheetName val="Conroy Exhibit P7"/>
      <sheetName val="Conroy Exhibit R3"/>
      <sheetName val="Conroy Exhibit R4"/>
      <sheetName val="Conroy Exhibit R5pgs 1-11"/>
      <sheetName val="Conroy Exhibit R5 pgs 12-16"/>
      <sheetName val="Rate Summary"/>
      <sheetName val="Class Summary"/>
      <sheetName val="ECR Roll In==&gt;"/>
      <sheetName val="Summary"/>
      <sheetName val="Group1"/>
      <sheetName val="Group2"/>
      <sheetName val="ECR Adjustments"/>
      <sheetName val="ECR Rollin"/>
      <sheetName val="StLtTYRevenueNetOfBaseECR"/>
      <sheetName val="Data==&gt;"/>
      <sheetName val="13thMonth"/>
      <sheetName val="12MonResults"/>
      <sheetName val="12MonLights"/>
      <sheetName val="FACResults"/>
      <sheetName val="FACLights"/>
      <sheetName val="BaseECR"/>
      <sheetName val="BaseECRLights"/>
      <sheetName val="ECRResults"/>
      <sheetName val="ECRLights"/>
      <sheetName val="Rates"/>
      <sheetName val="Rates-Lights"/>
      <sheetName val="Sources ==&gt;"/>
      <sheetName val="1022"/>
      <sheetName val="1055"/>
      <sheetName val="SBR"/>
      <sheetName val="GranVille"/>
      <sheetName val="MiscData"/>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C2" t="str">
            <v>RTS</v>
          </cell>
        </row>
      </sheetData>
      <sheetData sheetId="25">
        <row r="4">
          <cell r="B4" t="str">
            <v>Jan 2014</v>
          </cell>
        </row>
      </sheetData>
      <sheetData sheetId="26">
        <row r="2">
          <cell r="B2" t="str">
            <v>Jan 2014</v>
          </cell>
        </row>
      </sheetData>
      <sheetData sheetId="27">
        <row r="4">
          <cell r="B4" t="str">
            <v>Jan 2014</v>
          </cell>
        </row>
      </sheetData>
      <sheetData sheetId="28">
        <row r="2">
          <cell r="B2" t="str">
            <v>Jan 2014</v>
          </cell>
        </row>
      </sheetData>
      <sheetData sheetId="29">
        <row r="4">
          <cell r="C4" t="str">
            <v>RTS</v>
          </cell>
        </row>
      </sheetData>
      <sheetData sheetId="30">
        <row r="2">
          <cell r="C2" t="str">
            <v>LS</v>
          </cell>
        </row>
      </sheetData>
      <sheetData sheetId="31">
        <row r="4">
          <cell r="C4" t="str">
            <v>RTS</v>
          </cell>
        </row>
      </sheetData>
      <sheetData sheetId="32">
        <row r="2">
          <cell r="C2" t="str">
            <v>LS</v>
          </cell>
        </row>
      </sheetData>
      <sheetData sheetId="33">
        <row r="4">
          <cell r="E4" t="str">
            <v>20100801KURSE010</v>
          </cell>
        </row>
      </sheetData>
      <sheetData sheetId="34">
        <row r="4">
          <cell r="D4" t="str">
            <v>20100801KUUM_300</v>
          </cell>
        </row>
      </sheetData>
      <sheetData sheetId="35" refreshError="1"/>
      <sheetData sheetId="36">
        <row r="3">
          <cell r="B3" t="str">
            <v>JAN 2014</v>
          </cell>
        </row>
      </sheetData>
      <sheetData sheetId="37" refreshError="1"/>
      <sheetData sheetId="38">
        <row r="3">
          <cell r="A3" t="str">
            <v>JAN 2014</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
  <sheetViews>
    <sheetView workbookViewId="0"/>
  </sheetViews>
  <sheetFormatPr defaultRowHeight="1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36"/>
  <sheetViews>
    <sheetView workbookViewId="0">
      <selection sqref="A1:F1"/>
    </sheetView>
  </sheetViews>
  <sheetFormatPr defaultRowHeight="12"/>
  <cols>
    <col min="1" max="1" width="58" customWidth="1"/>
    <col min="2" max="2" width="16.5" bestFit="1" customWidth="1"/>
    <col min="3" max="3" width="1.6640625" customWidth="1"/>
    <col min="4" max="4" width="14.6640625" customWidth="1"/>
    <col min="5" max="5" width="16.83203125" customWidth="1"/>
    <col min="6" max="6" width="14.83203125" customWidth="1"/>
    <col min="7" max="7" width="16" bestFit="1" customWidth="1"/>
    <col min="8" max="8" width="9.5" bestFit="1" customWidth="1"/>
    <col min="9" max="9" width="16.83203125" customWidth="1"/>
    <col min="10" max="10" width="11.83203125" customWidth="1"/>
  </cols>
  <sheetData>
    <row r="1" spans="1:7" ht="18.75">
      <c r="A1" s="1049" t="s">
        <v>690</v>
      </c>
      <c r="B1" s="1049"/>
      <c r="C1" s="1049"/>
      <c r="D1" s="1049"/>
      <c r="E1" s="1049"/>
      <c r="F1" s="1049"/>
    </row>
    <row r="2" spans="1:7" ht="12.75">
      <c r="A2" s="1050" t="s">
        <v>1164</v>
      </c>
      <c r="B2" s="1051"/>
      <c r="C2" s="1051"/>
      <c r="D2" s="1051"/>
      <c r="E2" s="1051"/>
      <c r="F2" s="1051"/>
    </row>
    <row r="3" spans="1:7" ht="12.75">
      <c r="A3" s="380" t="s">
        <v>1165</v>
      </c>
      <c r="B3" s="380"/>
      <c r="C3" s="380"/>
      <c r="D3" s="380"/>
      <c r="E3" s="380"/>
      <c r="F3" s="380"/>
    </row>
    <row r="5" spans="1:7" ht="12.75">
      <c r="A5" s="12" t="s">
        <v>1057</v>
      </c>
      <c r="B5" s="328">
        <f>B7-B6</f>
        <v>45820651</v>
      </c>
    </row>
    <row r="6" spans="1:7" ht="15">
      <c r="A6" t="s">
        <v>1058</v>
      </c>
      <c r="B6" s="329">
        <v>5146303</v>
      </c>
    </row>
    <row r="7" spans="1:7" ht="12.75">
      <c r="A7" t="s">
        <v>1059</v>
      </c>
      <c r="B7" s="330">
        <v>50966954</v>
      </c>
    </row>
    <row r="8" spans="1:7">
      <c r="A8" s="331" t="s">
        <v>1060</v>
      </c>
    </row>
    <row r="9" spans="1:7">
      <c r="A9" s="331" t="s">
        <v>1061</v>
      </c>
    </row>
    <row r="10" spans="1:7">
      <c r="A10" s="332"/>
    </row>
    <row r="11" spans="1:7">
      <c r="A11" s="12" t="s">
        <v>1062</v>
      </c>
    </row>
    <row r="12" spans="1:7" ht="12.75">
      <c r="A12" s="12"/>
      <c r="B12" s="333">
        <v>-1</v>
      </c>
      <c r="D12" s="333">
        <f>B12-1</f>
        <v>-2</v>
      </c>
      <c r="E12" s="333">
        <f>D12-1</f>
        <v>-3</v>
      </c>
      <c r="F12" s="333">
        <f>E12-1</f>
        <v>-4</v>
      </c>
    </row>
    <row r="13" spans="1:7" ht="36">
      <c r="B13" s="65" t="s">
        <v>1063</v>
      </c>
      <c r="D13" s="65" t="s">
        <v>1064</v>
      </c>
      <c r="E13" s="2"/>
      <c r="F13" s="65" t="s">
        <v>1065</v>
      </c>
    </row>
    <row r="14" spans="1:7">
      <c r="A14" s="12" t="s">
        <v>1066</v>
      </c>
    </row>
    <row r="15" spans="1:7">
      <c r="A15" s="44" t="s">
        <v>1067</v>
      </c>
      <c r="B15" s="38">
        <f>Group1!M4</f>
        <v>530115176.17140013</v>
      </c>
      <c r="E15" s="334"/>
      <c r="F15" s="36">
        <f>Group1!N4</f>
        <v>19929591.75</v>
      </c>
      <c r="G15" s="335"/>
    </row>
    <row r="16" spans="1:7">
      <c r="A16" s="43" t="s">
        <v>1068</v>
      </c>
      <c r="B16" s="38">
        <f>Group1!M5</f>
        <v>0</v>
      </c>
      <c r="E16" s="334"/>
      <c r="F16" s="36">
        <f>Group1!N5</f>
        <v>0</v>
      </c>
      <c r="G16" s="11"/>
    </row>
    <row r="17" spans="1:10">
      <c r="A17" s="43" t="s">
        <v>1069</v>
      </c>
      <c r="B17" s="38">
        <f>Group1!M7</f>
        <v>649523.80870000017</v>
      </c>
      <c r="E17" s="334"/>
      <c r="F17" s="36">
        <f>Group1!N7</f>
        <v>24418.74</v>
      </c>
      <c r="G17" s="11"/>
    </row>
    <row r="18" spans="1:10">
      <c r="A18" s="43" t="s">
        <v>1070</v>
      </c>
      <c r="B18" s="38">
        <f>Group1!M9</f>
        <v>3009.6723999999999</v>
      </c>
      <c r="F18" s="36">
        <f>Group1!N9</f>
        <v>113.15</v>
      </c>
      <c r="G18" s="11"/>
    </row>
    <row r="19" spans="1:10">
      <c r="A19" s="44" t="s">
        <v>1071</v>
      </c>
      <c r="B19" s="38">
        <f>Group1!M13</f>
        <v>11485.040199999999</v>
      </c>
      <c r="E19" s="334"/>
      <c r="F19" s="36">
        <f>Group1!N13</f>
        <v>431.78</v>
      </c>
      <c r="G19" s="11"/>
    </row>
    <row r="20" spans="1:10">
      <c r="A20" s="44" t="s">
        <v>1072</v>
      </c>
      <c r="B20" s="38">
        <f>Group1!M14</f>
        <v>131645.54209999999</v>
      </c>
      <c r="E20" s="334"/>
      <c r="F20" s="36">
        <f>Group1!N14</f>
        <v>4949.1899999999996</v>
      </c>
      <c r="G20" s="11"/>
    </row>
    <row r="21" spans="1:10" ht="14.25">
      <c r="A21" s="44" t="s">
        <v>1073</v>
      </c>
      <c r="B21" s="255">
        <f>SUM(Group1!M16:M150)</f>
        <v>11826236.479999997</v>
      </c>
      <c r="E21" s="336"/>
      <c r="F21" s="37">
        <f>SUM(Group1!N16:N150)</f>
        <v>444605.42</v>
      </c>
      <c r="G21" s="11"/>
    </row>
    <row r="22" spans="1:10">
      <c r="B22" s="38">
        <f>SUM(B15:B21)</f>
        <v>542737076.71480012</v>
      </c>
      <c r="D22" s="38">
        <f>ROUND(D34/B34*B22,0)</f>
        <v>20404110</v>
      </c>
      <c r="E22" s="334"/>
      <c r="F22" s="38">
        <f>SUM(F15:F21)</f>
        <v>20404110.030000001</v>
      </c>
      <c r="I22" s="337" t="s">
        <v>1074</v>
      </c>
      <c r="J22" s="54"/>
    </row>
    <row r="23" spans="1:10">
      <c r="B23" s="38"/>
      <c r="D23" s="38"/>
      <c r="F23" s="38"/>
      <c r="I23" s="337" t="s">
        <v>1075</v>
      </c>
      <c r="J23" s="54"/>
    </row>
    <row r="24" spans="1:10" ht="24.75" customHeight="1">
      <c r="B24" s="38"/>
      <c r="E24" s="65" t="s">
        <v>1076</v>
      </c>
      <c r="I24" s="338" t="s">
        <v>1077</v>
      </c>
      <c r="J24" s="339" t="s">
        <v>1078</v>
      </c>
    </row>
    <row r="25" spans="1:10">
      <c r="A25" s="12" t="s">
        <v>1079</v>
      </c>
      <c r="B25" s="38"/>
      <c r="I25" s="54"/>
      <c r="J25" s="54"/>
    </row>
    <row r="26" spans="1:10">
      <c r="A26" s="44" t="s">
        <v>1080</v>
      </c>
      <c r="B26" s="38">
        <f>SUM(Group2!L4:L5)</f>
        <v>193661566.62009999</v>
      </c>
      <c r="E26" s="38">
        <f>SUM(Group2!M4:M5)</f>
        <v>139902282.1101</v>
      </c>
      <c r="F26" s="36">
        <f t="shared" ref="F26:F31" si="0">ROUND($D$32/$E$32*E26,0)</f>
        <v>8948916</v>
      </c>
      <c r="I26" s="325">
        <f t="shared" ref="I26:I31" si="1">$D$34/$B$34*B26</f>
        <v>7280674.2650503889</v>
      </c>
      <c r="J26" s="340">
        <f t="shared" ref="J26:J31" si="2">(F26-I26)/I26</f>
        <v>0.22913286245447287</v>
      </c>
    </row>
    <row r="27" spans="1:10">
      <c r="A27" s="43" t="s">
        <v>1081</v>
      </c>
      <c r="B27" s="38">
        <f>SUM(Group2!L9:L12)</f>
        <v>207759548.47999996</v>
      </c>
      <c r="E27" s="38">
        <f>SUM(Group2!M9:M11)</f>
        <v>133787957.25999995</v>
      </c>
      <c r="F27" s="36">
        <f t="shared" si="0"/>
        <v>8557811</v>
      </c>
      <c r="I27" s="325">
        <f t="shared" si="1"/>
        <v>7810685.5393982427</v>
      </c>
      <c r="J27" s="340">
        <f t="shared" si="2"/>
        <v>9.5654274753880053E-2</v>
      </c>
    </row>
    <row r="28" spans="1:10">
      <c r="A28" s="44" t="s">
        <v>1082</v>
      </c>
      <c r="B28" s="38">
        <f>Group2!L14</f>
        <v>88130653.631699994</v>
      </c>
      <c r="E28" s="38">
        <f>Group2!M14</f>
        <v>48530962.08169999</v>
      </c>
      <c r="F28" s="36">
        <f t="shared" si="0"/>
        <v>3104306</v>
      </c>
      <c r="I28" s="325">
        <f t="shared" si="1"/>
        <v>3313257.2097647758</v>
      </c>
      <c r="J28" s="340">
        <f t="shared" si="2"/>
        <v>-6.3065194319643622E-2</v>
      </c>
    </row>
    <row r="29" spans="1:10">
      <c r="A29" s="44" t="s">
        <v>1083</v>
      </c>
      <c r="B29" s="38">
        <f>Group2!L18</f>
        <v>236525057.41670004</v>
      </c>
      <c r="E29" s="38">
        <f>Group2!M18</f>
        <v>115068259.19670001</v>
      </c>
      <c r="F29" s="36">
        <f t="shared" si="0"/>
        <v>7360396</v>
      </c>
      <c r="I29" s="325">
        <f t="shared" si="1"/>
        <v>8892120.0454370491</v>
      </c>
      <c r="J29" s="340">
        <f t="shared" si="2"/>
        <v>-0.17225633905190543</v>
      </c>
    </row>
    <row r="30" spans="1:10">
      <c r="A30" s="43" t="s">
        <v>1084</v>
      </c>
      <c r="B30" s="38">
        <f>Group2!L23</f>
        <v>86876490.38440001</v>
      </c>
      <c r="E30" s="38">
        <f>Group2!M23</f>
        <v>40512709.804400004</v>
      </c>
      <c r="F30" s="36">
        <f t="shared" si="0"/>
        <v>2591415</v>
      </c>
      <c r="I30" s="325">
        <f t="shared" si="1"/>
        <v>3266107.1518666008</v>
      </c>
      <c r="J30" s="340">
        <f t="shared" si="2"/>
        <v>-0.20657379580489577</v>
      </c>
    </row>
    <row r="31" spans="1:10" ht="14.25">
      <c r="A31" s="43" t="s">
        <v>1085</v>
      </c>
      <c r="B31" s="255">
        <f>Group2!L31</f>
        <v>0</v>
      </c>
      <c r="E31" s="255">
        <f>Group2!M31</f>
        <v>0</v>
      </c>
      <c r="F31" s="37">
        <f t="shared" si="0"/>
        <v>0</v>
      </c>
      <c r="I31" s="325">
        <f t="shared" si="1"/>
        <v>0</v>
      </c>
      <c r="J31" s="340" t="e">
        <f t="shared" si="2"/>
        <v>#DIV/0!</v>
      </c>
    </row>
    <row r="32" spans="1:10">
      <c r="B32" s="38">
        <f>SUM(B26:B31)</f>
        <v>812953316.53289998</v>
      </c>
      <c r="D32" s="38">
        <f>ROUND(D34/B34*B32,0)</f>
        <v>30562844</v>
      </c>
      <c r="E32" s="38">
        <f>SUM(E26:E31)</f>
        <v>477802170.45289999</v>
      </c>
      <c r="F32" s="38">
        <f>SUM(F26:F31)</f>
        <v>30562844</v>
      </c>
    </row>
    <row r="33" spans="1:4">
      <c r="B33" s="38"/>
    </row>
    <row r="34" spans="1:4">
      <c r="A34" t="s">
        <v>1086</v>
      </c>
      <c r="B34" s="38">
        <f>B32+B22</f>
        <v>1355690393.2477002</v>
      </c>
      <c r="D34" s="38">
        <f>B7</f>
        <v>50966954</v>
      </c>
    </row>
    <row r="35" spans="1:4" ht="14.25">
      <c r="A35" s="12" t="s">
        <v>1087</v>
      </c>
      <c r="B35" s="255">
        <v>0</v>
      </c>
    </row>
    <row r="36" spans="1:4" ht="15.75" customHeight="1">
      <c r="A36" s="42" t="s">
        <v>1088</v>
      </c>
      <c r="B36" s="38">
        <f>B34+B35</f>
        <v>1355690393.2477002</v>
      </c>
    </row>
  </sheetData>
  <mergeCells count="2">
    <mergeCell ref="A1:F1"/>
    <mergeCell ref="A2:F2"/>
  </mergeCells>
  <printOptions horizontalCentered="1"/>
  <pageMargins left="0.7" right="0.7" top="1" bottom="0.75" header="0.3" footer="0.3"/>
  <pageSetup scale="91" orientation="landscape" r:id="rId1"/>
  <headerFooter>
    <oddFooter>&amp;R&amp;"Times New Roman,Bold"&amp;11Exhibit 1
Page 1 of 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L188"/>
  <sheetViews>
    <sheetView workbookViewId="0"/>
  </sheetViews>
  <sheetFormatPr defaultRowHeight="12.75"/>
  <cols>
    <col min="1" max="1" width="13.83203125" style="289" customWidth="1"/>
    <col min="2" max="2" width="58.83203125" style="244" customWidth="1"/>
    <col min="3" max="3" width="17.83203125" style="244" customWidth="1"/>
    <col min="4" max="5" width="20.83203125" style="244" customWidth="1"/>
    <col min="6" max="7" width="15.83203125" style="244" customWidth="1"/>
    <col min="8" max="8" width="16.83203125" style="244" customWidth="1"/>
    <col min="9" max="9" width="17.83203125" style="244" customWidth="1"/>
    <col min="10" max="10" width="20.83203125" style="244" customWidth="1"/>
    <col min="11" max="11" width="19.33203125" style="244" customWidth="1"/>
    <col min="12" max="13" width="21.33203125" style="244" customWidth="1"/>
    <col min="14" max="14" width="16.33203125" style="244" customWidth="1"/>
    <col min="15" max="16" width="18.5" style="244" customWidth="1"/>
    <col min="17" max="17" width="19.5" style="244" customWidth="1"/>
    <col min="18" max="18" width="19.6640625" style="244" customWidth="1"/>
    <col min="19" max="19" width="16.83203125" style="244" customWidth="1"/>
    <col min="20" max="20" width="15.83203125" style="244" customWidth="1"/>
    <col min="21" max="23" width="9.33203125" style="244"/>
    <col min="24" max="24" width="11" style="244" bestFit="1" customWidth="1"/>
    <col min="25" max="28" width="9.33203125" style="244"/>
    <col min="29" max="35" width="10.1640625" style="244" bestFit="1" customWidth="1"/>
    <col min="36" max="16384" width="9.33203125" style="244"/>
  </cols>
  <sheetData>
    <row r="1" spans="1:38">
      <c r="A1" s="333">
        <v>0</v>
      </c>
      <c r="B1" s="333">
        <f>A1-1</f>
        <v>-1</v>
      </c>
      <c r="C1" s="333">
        <f t="shared" ref="C1:U1" si="0">B1-1</f>
        <v>-2</v>
      </c>
      <c r="D1" s="333">
        <f>C1-1</f>
        <v>-3</v>
      </c>
      <c r="E1" s="333">
        <f>D1-1</f>
        <v>-4</v>
      </c>
      <c r="F1" s="333">
        <f>E1-1</f>
        <v>-5</v>
      </c>
      <c r="G1" s="333">
        <f t="shared" si="0"/>
        <v>-6</v>
      </c>
      <c r="H1" s="333">
        <f>G1-1</f>
        <v>-7</v>
      </c>
      <c r="I1" s="333">
        <f t="shared" si="0"/>
        <v>-8</v>
      </c>
      <c r="J1" s="333">
        <f t="shared" si="0"/>
        <v>-9</v>
      </c>
      <c r="K1" s="333">
        <f t="shared" si="0"/>
        <v>-10</v>
      </c>
      <c r="L1" s="333">
        <f t="shared" si="0"/>
        <v>-11</v>
      </c>
      <c r="M1" s="333">
        <f t="shared" si="0"/>
        <v>-12</v>
      </c>
      <c r="N1" s="333">
        <f t="shared" si="0"/>
        <v>-13</v>
      </c>
      <c r="O1" s="333">
        <f t="shared" si="0"/>
        <v>-14</v>
      </c>
      <c r="P1" s="333">
        <f t="shared" si="0"/>
        <v>-15</v>
      </c>
      <c r="Q1" s="333">
        <f t="shared" si="0"/>
        <v>-16</v>
      </c>
      <c r="R1" s="333">
        <f t="shared" si="0"/>
        <v>-17</v>
      </c>
      <c r="S1" s="333">
        <f t="shared" si="0"/>
        <v>-18</v>
      </c>
      <c r="T1" s="333">
        <f t="shared" si="0"/>
        <v>-19</v>
      </c>
      <c r="U1" s="333">
        <f t="shared" si="0"/>
        <v>-20</v>
      </c>
    </row>
    <row r="2" spans="1:38" s="246" customFormat="1" ht="38.25">
      <c r="A2" s="341" t="s">
        <v>1089</v>
      </c>
      <c r="B2" s="230" t="s">
        <v>1090</v>
      </c>
      <c r="C2" s="342" t="s">
        <v>1091</v>
      </c>
      <c r="D2" s="343" t="s">
        <v>1092</v>
      </c>
      <c r="E2" s="344" t="s">
        <v>1257</v>
      </c>
      <c r="F2" s="343" t="s">
        <v>1093</v>
      </c>
      <c r="G2" s="344" t="s">
        <v>1094</v>
      </c>
      <c r="H2" s="343" t="s">
        <v>1095</v>
      </c>
      <c r="I2" s="343" t="s">
        <v>1096</v>
      </c>
      <c r="J2" s="345" t="s">
        <v>1097</v>
      </c>
      <c r="K2" s="344" t="s">
        <v>1098</v>
      </c>
      <c r="L2" s="344" t="s">
        <v>1099</v>
      </c>
      <c r="M2" s="344" t="s">
        <v>1100</v>
      </c>
      <c r="N2" s="346" t="s">
        <v>1101</v>
      </c>
      <c r="O2" s="347" t="s">
        <v>1102</v>
      </c>
      <c r="P2" s="347" t="s">
        <v>1103</v>
      </c>
      <c r="Q2" s="347" t="s">
        <v>1104</v>
      </c>
      <c r="R2" s="348" t="s">
        <v>1105</v>
      </c>
      <c r="S2" s="348" t="s">
        <v>1106</v>
      </c>
      <c r="T2" s="246" t="s">
        <v>1107</v>
      </c>
      <c r="U2" s="349" t="s">
        <v>1108</v>
      </c>
      <c r="V2" s="229"/>
      <c r="W2" s="349"/>
      <c r="X2" s="349"/>
      <c r="Y2" s="349"/>
      <c r="Z2" s="349"/>
      <c r="AA2" s="350"/>
      <c r="AB2" s="349"/>
      <c r="AC2" s="229"/>
      <c r="AD2" s="229"/>
      <c r="AE2" s="229"/>
      <c r="AF2" s="229"/>
      <c r="AG2" s="229"/>
      <c r="AH2" s="229"/>
      <c r="AI2" s="229"/>
      <c r="AJ2" s="229"/>
      <c r="AK2" s="229"/>
      <c r="AL2" s="229"/>
    </row>
    <row r="3" spans="1:38" s="352" customFormat="1" ht="22.5" customHeight="1">
      <c r="A3" s="351"/>
      <c r="C3" s="353"/>
      <c r="D3" s="354"/>
      <c r="E3" s="354"/>
      <c r="F3" s="379"/>
      <c r="G3" s="379"/>
      <c r="H3" s="355"/>
      <c r="I3" s="355" t="str">
        <f>TEXT($D$1*-1,"(0)")&amp;" x "&amp;TEXT($F$1*-1,"(0)")</f>
        <v>(3) x (5)</v>
      </c>
      <c r="J3" s="355" t="str">
        <f>TEXT($C$1*-1,"(0)")&amp;" x "&amp;TEXT($G$1*-1,"(0)")</f>
        <v>(2) x (6)</v>
      </c>
      <c r="K3" s="355" t="str">
        <f>TEXT($I$1*-1,"(0)")&amp;" + "&amp;TEXT($J$1*-1,"(0)")</f>
        <v>(8) + (9)</v>
      </c>
      <c r="L3" s="356"/>
      <c r="M3" s="355" t="str">
        <f>TEXT($L$1*-1,"(0)")&amp;" - "&amp;TEXT($K$1*-1,"(0)")</f>
        <v>(11) - (10)</v>
      </c>
      <c r="N3" s="355" t="s">
        <v>1109</v>
      </c>
      <c r="O3" s="355" t="str">
        <f>TEXT($N$1*-1,"(0)")&amp;" ÷ "&amp;TEXT($D$1*-1,"(0)")</f>
        <v>(13) ÷ (3)</v>
      </c>
      <c r="P3" s="355" t="str">
        <f>TEXT($N$1*-1,"(0)")&amp;" ÷ "&amp;TEXT($C$1*-1,"(0)")</f>
        <v>(13) ÷ (2)</v>
      </c>
      <c r="Q3" s="355" t="str">
        <f>TEXT($O$1*-1,"(0)")&amp;" x "&amp;TEXT($D$1*-1,"(0)")&amp;" or "&amp;TEXT($P$1*-1,"(0)")&amp;" x "&amp;TEXT($C$1*-1,"(0)")</f>
        <v>(14) x (3) or (15) x (2)</v>
      </c>
      <c r="R3" s="355" t="str">
        <f>TEXT($N$1*-1,"(0)")&amp;" - "&amp;TEXT($Q$1*-1,"(0)")</f>
        <v>(13) - (16)</v>
      </c>
      <c r="S3" s="355"/>
      <c r="T3" s="355"/>
      <c r="U3" s="355"/>
    </row>
    <row r="4" spans="1:38">
      <c r="A4" s="357" t="s">
        <v>15</v>
      </c>
      <c r="B4" s="245" t="s">
        <v>1110</v>
      </c>
      <c r="D4" s="228">
        <f>SUMIF(_12MonResults_Rate,$A4,_12MonResults_KWH_Total)</f>
        <v>6161445562</v>
      </c>
      <c r="E4" s="228"/>
      <c r="F4" s="358">
        <f>VLOOKUP(A4,Rates!$B$140:$W$173,Rates!$J$3-1,FALSE)</f>
        <v>2.9999999999999997E-4</v>
      </c>
      <c r="H4" s="214">
        <f>SUMIF(_12MonResults_Rate,$A4,_12MonResults_Revenue_BaseFuel)</f>
        <v>178189005.63000003</v>
      </c>
      <c r="I4" s="359">
        <f>D4*F4</f>
        <v>1848433.6685999997</v>
      </c>
      <c r="K4" s="359">
        <f>SUM(I4:J4)</f>
        <v>1848433.6685999997</v>
      </c>
      <c r="L4" s="359">
        <f>SUMIF(_12MonResults_Rate,$A4,_12MonResults_Revenue_Actual)</f>
        <v>531963609.84000015</v>
      </c>
      <c r="M4" s="359">
        <f>L4-K4</f>
        <v>530115176.17140013</v>
      </c>
      <c r="N4" s="359">
        <f>ROUND($L$186/$M$153*M4,2)</f>
        <v>19929591.75</v>
      </c>
      <c r="O4" s="358">
        <f>ROUND(SUM($N$4,$N$5,$N$9,$N$10,$N$11,$N$13,$N$14)/SUM($D$4,$D$5,$D$9,$D$10,$D$11,$D$13,$D$14),5)</f>
        <v>3.2299999999999998E-3</v>
      </c>
      <c r="Q4" s="359">
        <f>ROUND(O4*D4,2)</f>
        <v>19901469.170000002</v>
      </c>
      <c r="R4" s="359">
        <f>N4-Q4</f>
        <v>28122.579999998212</v>
      </c>
      <c r="S4" s="358">
        <f>T4-F4+O4</f>
        <v>7.7520000000000019E-2</v>
      </c>
      <c r="T4" s="358">
        <f>VLOOKUP(A4,Rates!$B$140:$W$173,Rates!$G$3-1,FALSE)</f>
        <v>7.4590000000000017E-2</v>
      </c>
      <c r="U4" s="360">
        <f>(S4-T4)/T4</f>
        <v>3.9281405014076974E-2</v>
      </c>
      <c r="X4" s="361"/>
    </row>
    <row r="5" spans="1:38">
      <c r="A5" s="362" t="s">
        <v>810</v>
      </c>
      <c r="B5" s="244" t="s">
        <v>1111</v>
      </c>
      <c r="D5" s="228">
        <f>SUMIF(_12MonResults_Rate,$A5,_12MonResults_KWH_Total)</f>
        <v>0</v>
      </c>
      <c r="E5" s="228"/>
      <c r="F5" s="358">
        <f>VLOOKUP(A5,Rates!$B$140:$W$173,Rates!$J$3-1,FALSE)</f>
        <v>2.9999999999999997E-4</v>
      </c>
      <c r="H5" s="214">
        <f>SUMIF(_12MonResults_Rate,$A5,_12MonResults_Revenue_BaseFuel)</f>
        <v>0</v>
      </c>
      <c r="I5" s="359">
        <f>D5*F5</f>
        <v>0</v>
      </c>
      <c r="K5" s="359">
        <f t="shared" ref="K5:K14" si="1">SUM(I5:J5)</f>
        <v>0</v>
      </c>
      <c r="L5" s="359">
        <f>SUMIF(_12MonResults_Rate,$A5,_12MonResults_Revenue_Actual)</f>
        <v>0</v>
      </c>
      <c r="M5" s="359">
        <f>L5-K5</f>
        <v>0</v>
      </c>
      <c r="N5" s="359">
        <f>ROUND($L$186/$M$153*M5,2)</f>
        <v>0</v>
      </c>
      <c r="O5" s="358">
        <f>ROUND(SUM($N$4,$N$5,$N$9,$N$10,$N$11,$N$13,$N$14)/SUM($D$4,$D$5,$D$9,$D$10,$D$11,$D$13,$D$14),5)</f>
        <v>3.2299999999999998E-3</v>
      </c>
      <c r="Q5" s="359">
        <f>ROUND(O5*D5,2)</f>
        <v>0</v>
      </c>
      <c r="R5" s="359">
        <f>N5-Q5</f>
        <v>0</v>
      </c>
      <c r="S5" s="358">
        <f>T5-F5+O5</f>
        <v>7.7520000000000019E-2</v>
      </c>
      <c r="T5" s="358">
        <f>VLOOKUP(A5,Rates!$B$140:$W$173,Rates!$G$3-1,FALSE)</f>
        <v>7.4590000000000017E-2</v>
      </c>
      <c r="U5" s="360">
        <f>(S5-T5)/T5</f>
        <v>3.9281405014076974E-2</v>
      </c>
      <c r="X5" s="361"/>
    </row>
    <row r="6" spans="1:38">
      <c r="A6" s="362"/>
      <c r="D6" s="228"/>
      <c r="E6" s="228"/>
      <c r="F6" s="358"/>
      <c r="I6" s="359"/>
      <c r="K6" s="359"/>
      <c r="L6" s="359"/>
      <c r="M6" s="359"/>
      <c r="N6" s="359"/>
      <c r="O6" s="358"/>
      <c r="Q6" s="359"/>
      <c r="R6" s="359"/>
      <c r="S6" s="358"/>
      <c r="T6" s="358"/>
      <c r="U6" s="360"/>
      <c r="X6" s="361"/>
    </row>
    <row r="7" spans="1:38">
      <c r="A7" s="357" t="s">
        <v>219</v>
      </c>
      <c r="B7" s="249" t="s">
        <v>1112</v>
      </c>
      <c r="D7" s="228">
        <f>SUMIF(_12MonResults_Rate,$A7,_12MonResults_KWH_Total)</f>
        <v>7577190</v>
      </c>
      <c r="E7" s="228"/>
      <c r="F7" s="358">
        <f>VLOOKUP(A7,Rates!$B$140:$W$173,Rates!$J$3-1,FALSE)</f>
        <v>2.7E-4</v>
      </c>
      <c r="H7" s="214">
        <f>SUMIF(_12MonResults_Rate,$A7,_12MonResults_Revenue_BaseFuel)</f>
        <v>219132.30000000002</v>
      </c>
      <c r="I7" s="359">
        <f>D7*F7</f>
        <v>2045.8413</v>
      </c>
      <c r="K7" s="359">
        <f t="shared" si="1"/>
        <v>2045.8413</v>
      </c>
      <c r="L7" s="359">
        <f>SUMIF(_12MonResults_Rate,$A7,_12MonResults_Revenue_Actual)</f>
        <v>651569.65000000014</v>
      </c>
      <c r="M7" s="359">
        <f>L7-SUM(K7:K7)</f>
        <v>649523.80870000017</v>
      </c>
      <c r="N7" s="359">
        <f>ROUND($L$186/$M$153*M7,2)</f>
        <v>24418.74</v>
      </c>
      <c r="O7" s="358">
        <f>ROUND($N7/$D7,5)</f>
        <v>3.2200000000000002E-3</v>
      </c>
      <c r="Q7" s="359">
        <f>ROUND(O7*D7,2)</f>
        <v>24398.55</v>
      </c>
      <c r="R7" s="359">
        <f>N7-Q7</f>
        <v>20.190000000002328</v>
      </c>
      <c r="S7" s="358">
        <f>T7-F7+O7</f>
        <v>7.4469999999999995E-2</v>
      </c>
      <c r="T7" s="358">
        <f>VLOOKUP(A7,Rates!$B$140:$W$173,Rates!$G$3-1,FALSE)</f>
        <v>7.152E-2</v>
      </c>
      <c r="U7" s="360">
        <f>(S7-T7)/T7</f>
        <v>4.1247203579418266E-2</v>
      </c>
      <c r="X7" s="361"/>
    </row>
    <row r="8" spans="1:38">
      <c r="A8" s="357"/>
      <c r="D8" s="228"/>
      <c r="E8" s="228"/>
      <c r="F8" s="358"/>
      <c r="I8" s="359"/>
      <c r="K8" s="359"/>
      <c r="L8" s="359"/>
      <c r="M8" s="359"/>
      <c r="N8" s="359"/>
      <c r="O8" s="358"/>
      <c r="Q8" s="359"/>
      <c r="R8" s="359"/>
      <c r="S8" s="358"/>
      <c r="T8" s="358"/>
      <c r="U8" s="360"/>
      <c r="X8" s="361"/>
    </row>
    <row r="9" spans="1:38">
      <c r="A9" s="357" t="s">
        <v>807</v>
      </c>
      <c r="B9" s="245" t="s">
        <v>1113</v>
      </c>
      <c r="D9" s="228">
        <f>SUMIF(_12MonResults_Rate,$A9,_12MonResults_KWH_P1)</f>
        <v>23550</v>
      </c>
      <c r="E9" s="228"/>
      <c r="F9" s="358">
        <f>VLOOKUP(A9,Rates!$B$140:$W$173,Rates!$J$3-1,FALSE)</f>
        <v>2.9999999999999997E-4</v>
      </c>
      <c r="H9" s="214">
        <f>SUMIF(_12MonResults_Rate,$A9,_12MonResults_Revenue_BaseFuel)</f>
        <v>1055.3499999999999</v>
      </c>
      <c r="I9" s="359">
        <f>SUMPRODUCT(D9:D11,F9:F11)</f>
        <v>10.9476</v>
      </c>
      <c r="K9" s="359">
        <f>SUM(I9:J9)</f>
        <v>10.9476</v>
      </c>
      <c r="L9" s="359">
        <f>SUMIF(_12MonResults_Rate,$A9,_12MonResults_Revenue_Actual)</f>
        <v>3020.62</v>
      </c>
      <c r="M9" s="359">
        <f>L9-SUM(K9:K11)</f>
        <v>3009.6723999999999</v>
      </c>
      <c r="N9" s="359">
        <f>ROUND($L$186/$M$153*M9,2)</f>
        <v>113.15</v>
      </c>
      <c r="O9" s="358">
        <f>ROUND(SUM($N$4,$N$5,$N$9,$N$10,$N$11,$N$13,$N$14)/SUM($D$4,$D$5,$D$9,$D$10,$D$11,$D$13,$D$14),5)</f>
        <v>3.2299999999999998E-3</v>
      </c>
      <c r="Q9" s="359">
        <f>ROUND(O9*D9,2)</f>
        <v>76.069999999999993</v>
      </c>
      <c r="R9" s="359">
        <f>N9-Q9</f>
        <v>37.080000000000013</v>
      </c>
      <c r="S9" s="358">
        <f>T9-F9+O9</f>
        <v>5.5949999999999993E-2</v>
      </c>
      <c r="T9" s="358">
        <f>VLOOKUP(A9,Rates!$B$140:$W$173,Rates!$G$3-1,FALSE)</f>
        <v>5.3019999999999998E-2</v>
      </c>
      <c r="U9" s="360">
        <f>(S9-T9)/T9</f>
        <v>5.5262165220671358E-2</v>
      </c>
      <c r="X9" s="361"/>
    </row>
    <row r="10" spans="1:38">
      <c r="A10" s="357" t="s">
        <v>807</v>
      </c>
      <c r="B10" s="245" t="s">
        <v>1114</v>
      </c>
      <c r="D10" s="228">
        <f>SUMIF(_12MonResults_Rate,$A10,_12MonResults_KWH_P2)</f>
        <v>7781</v>
      </c>
      <c r="E10" s="228"/>
      <c r="F10" s="358">
        <f>VLOOKUP(A10,Rates!$B$140:$W$173,Rates!$J$3-1,FALSE)</f>
        <v>2.9999999999999997E-4</v>
      </c>
      <c r="I10" s="359"/>
      <c r="K10" s="359">
        <f t="shared" si="1"/>
        <v>0</v>
      </c>
      <c r="L10" s="359"/>
      <c r="M10" s="359"/>
      <c r="N10" s="359">
        <f>ROUND($L$186/$M$153*M10,2)</f>
        <v>0</v>
      </c>
      <c r="O10" s="358">
        <f>ROUND(SUM($N$4,$N$5,$N$9,$N$10,$N$11,$N$13,$N$14)/SUM($D$4,$D$5,$D$9,$D$10,$D$11,$D$13,$D$14),5)</f>
        <v>3.2299999999999998E-3</v>
      </c>
      <c r="Q10" s="359">
        <f>ROUND(O10*D10,2)</f>
        <v>25.13</v>
      </c>
      <c r="R10" s="359">
        <f>N10-Q10</f>
        <v>-25.13</v>
      </c>
      <c r="S10" s="358">
        <f>T10-F10+O10</f>
        <v>7.7710000000000001E-2</v>
      </c>
      <c r="T10" s="358">
        <f>VLOOKUP(A10,Rates!$B$140:$W$173,Rates!$H$3-1,FALSE)</f>
        <v>7.4779999999999999E-2</v>
      </c>
      <c r="U10" s="360">
        <f>(S10-T10)/T10</f>
        <v>3.9181599358117172E-2</v>
      </c>
      <c r="X10" s="361"/>
    </row>
    <row r="11" spans="1:38">
      <c r="A11" s="357" t="s">
        <v>807</v>
      </c>
      <c r="B11" s="245" t="s">
        <v>1115</v>
      </c>
      <c r="D11" s="228">
        <f>SUMIF(_12MonResults_Rate,$A11,_12MonResults_KWH_P3)</f>
        <v>5161</v>
      </c>
      <c r="E11" s="228"/>
      <c r="F11" s="358">
        <f>VLOOKUP(A11,Rates!$B$140:$W$173,Rates!$J$3-1,FALSE)</f>
        <v>2.9999999999999997E-4</v>
      </c>
      <c r="I11" s="359"/>
      <c r="K11" s="359">
        <f t="shared" si="1"/>
        <v>0</v>
      </c>
      <c r="L11" s="359"/>
      <c r="M11" s="359"/>
      <c r="N11" s="359">
        <f>ROUND($L$186/$M$153*M11,2)</f>
        <v>0</v>
      </c>
      <c r="O11" s="358">
        <f>ROUND(SUM($N$4,$N$5,$N$9,$N$10,$N$11,$N$13,$N$14)/SUM($D$4,$D$5,$D$9,$D$10,$D$11,$D$13,$D$14),5)</f>
        <v>3.2299999999999998E-3</v>
      </c>
      <c r="Q11" s="359">
        <f>ROUND(O11*D11,2)</f>
        <v>16.670000000000002</v>
      </c>
      <c r="R11" s="359">
        <f>N11-Q11</f>
        <v>-16.670000000000002</v>
      </c>
      <c r="S11" s="358">
        <f>T11-F11+O11</f>
        <v>0.14305000000000001</v>
      </c>
      <c r="T11" s="358">
        <f>VLOOKUP(A11,Rates!$B$140:$W$173,Rates!$I$3-1,FALSE)</f>
        <v>0.14011999999999999</v>
      </c>
      <c r="U11" s="360">
        <f>(S11-T11)/T11</f>
        <v>2.0910648015986411E-2</v>
      </c>
      <c r="X11" s="361"/>
    </row>
    <row r="12" spans="1:38">
      <c r="A12" s="357"/>
      <c r="D12" s="228"/>
      <c r="E12" s="228"/>
      <c r="F12" s="358"/>
      <c r="I12" s="359"/>
      <c r="K12" s="359"/>
      <c r="L12" s="359"/>
      <c r="M12" s="359"/>
      <c r="N12" s="359"/>
      <c r="O12" s="358"/>
      <c r="Q12" s="359"/>
      <c r="R12" s="359"/>
      <c r="S12" s="358"/>
      <c r="T12" s="358"/>
      <c r="U12" s="360"/>
      <c r="X12" s="361"/>
    </row>
    <row r="13" spans="1:38">
      <c r="A13" s="357" t="s">
        <v>20</v>
      </c>
      <c r="B13" s="244" t="s">
        <v>91</v>
      </c>
      <c r="D13" s="228">
        <f>SUMIF(_12MonResults_Rate,$A13,_12MonResults_KWH_Total)</f>
        <v>180866</v>
      </c>
      <c r="E13" s="228"/>
      <c r="F13" s="358">
        <f>VLOOKUP(A13,Rates!$B$140:$W$173,Rates!$J$3-1,FALSE)</f>
        <v>2.9999999999999997E-4</v>
      </c>
      <c r="H13" s="214">
        <f>SUMIF(_12MonResults_Rate,$A13,_12MonResults_Revenue_BaseFuel)</f>
        <v>5230.6399999999994</v>
      </c>
      <c r="I13" s="359">
        <f>D13*F13</f>
        <v>54.259799999999998</v>
      </c>
      <c r="K13" s="359">
        <f t="shared" si="1"/>
        <v>54.259799999999998</v>
      </c>
      <c r="L13" s="359">
        <f>SUMIF(_12MonResults_Rate,$A13,_12MonResults_Revenue_Actual)</f>
        <v>11539.3</v>
      </c>
      <c r="M13" s="359">
        <f>L13-K13</f>
        <v>11485.040199999999</v>
      </c>
      <c r="N13" s="359">
        <f>ROUND($L$186/$M$153*M13,2)</f>
        <v>431.78</v>
      </c>
      <c r="O13" s="358">
        <f>ROUND(SUM($N$4,$N$5,$N$9,$N$10,$N$11,$N$13,$N$14)/SUM($D$4,$D$5,$D$9,$D$10,$D$11,$D$13,$D$14),5)</f>
        <v>3.2299999999999998E-3</v>
      </c>
      <c r="Q13" s="359">
        <f>ROUND(O13*D13,2)</f>
        <v>584.20000000000005</v>
      </c>
      <c r="R13" s="359">
        <f>N13-Q13</f>
        <v>-152.42000000000007</v>
      </c>
      <c r="S13" s="358">
        <f>T13-F13+O13</f>
        <v>6.3879999999999992E-2</v>
      </c>
      <c r="T13" s="358">
        <f>VLOOKUP(A13,Rates!$B$140:$W$173,Rates!$G$3-1,FALSE)</f>
        <v>6.0949999999999997E-2</v>
      </c>
      <c r="U13" s="360">
        <f>(S13-T13)/T13</f>
        <v>4.8072190319934295E-2</v>
      </c>
      <c r="X13" s="361"/>
    </row>
    <row r="14" spans="1:38">
      <c r="A14" s="357" t="s">
        <v>21</v>
      </c>
      <c r="B14" s="228" t="s">
        <v>1116</v>
      </c>
      <c r="D14" s="228">
        <f>SUMIF(_12MonResults_Rate,$A14,_12MonResults_KWH_Total)</f>
        <v>1289493</v>
      </c>
      <c r="E14" s="228"/>
      <c r="F14" s="358">
        <f>VLOOKUP(A14,Rates!$B$140:$W$173,Rates!$J$3-1,FALSE)</f>
        <v>2.9999999999999997E-4</v>
      </c>
      <c r="H14" s="214">
        <f>SUMIF(_12MonResults_Rate,$A14,_12MonResults_Revenue_BaseFuel)</f>
        <v>37292.139999999992</v>
      </c>
      <c r="I14" s="359">
        <f>D14*F14</f>
        <v>386.84789999999998</v>
      </c>
      <c r="K14" s="359">
        <f t="shared" si="1"/>
        <v>386.84789999999998</v>
      </c>
      <c r="L14" s="359">
        <f>SUMIF(_12MonResults_Rate,$A14,_12MonResults_Revenue_Actual)</f>
        <v>132032.38999999998</v>
      </c>
      <c r="M14" s="359">
        <f>L14-K14</f>
        <v>131645.54209999999</v>
      </c>
      <c r="N14" s="359">
        <f>ROUND($L$186/$M$153*M14,2)</f>
        <v>4949.1899999999996</v>
      </c>
      <c r="O14" s="358">
        <f>ROUND(SUM($N$4,$N$5,$N$9,$N$10,$N$11,$N$13,$N$14)/SUM($D$4,$D$5,$D$9,$D$10,$D$11,$D$13,$D$14),5)</f>
        <v>3.2299999999999998E-3</v>
      </c>
      <c r="Q14" s="359">
        <f>ROUND(O14*D14,2)</f>
        <v>4165.0600000000004</v>
      </c>
      <c r="R14" s="359">
        <f>N14-Q14</f>
        <v>784.1299999999992</v>
      </c>
      <c r="S14" s="358">
        <f>T14-F14+O14</f>
        <v>7.9860000000000028E-2</v>
      </c>
      <c r="T14" s="358">
        <f>VLOOKUP(A14,Rates!$B$140:$W$173,Rates!$G$3-1,FALSE)</f>
        <v>7.6930000000000026E-2</v>
      </c>
      <c r="U14" s="360">
        <f>(S14-T14)/T14</f>
        <v>3.808657220850125E-2</v>
      </c>
      <c r="X14" s="361"/>
    </row>
    <row r="15" spans="1:38">
      <c r="A15" s="357"/>
      <c r="B15" s="228"/>
      <c r="D15" s="228"/>
      <c r="E15" s="228"/>
      <c r="F15" s="358"/>
      <c r="H15" s="214"/>
      <c r="I15" s="359"/>
      <c r="K15" s="359"/>
      <c r="L15" s="359"/>
      <c r="M15" s="359"/>
      <c r="N15" s="359"/>
      <c r="O15" s="358"/>
      <c r="Q15" s="359"/>
      <c r="R15" s="359"/>
      <c r="S15" s="358"/>
      <c r="T15" s="358"/>
      <c r="U15" s="360"/>
      <c r="X15" s="361"/>
    </row>
    <row r="16" spans="1:38">
      <c r="A16" s="363"/>
      <c r="B16" s="12" t="s">
        <v>1117</v>
      </c>
      <c r="F16" s="359"/>
      <c r="G16" s="364"/>
      <c r="H16" s="364"/>
      <c r="I16" s="359"/>
      <c r="J16" s="364"/>
      <c r="K16" s="359"/>
      <c r="L16" s="359"/>
      <c r="M16" s="359"/>
      <c r="N16" s="359"/>
      <c r="P16" s="364"/>
      <c r="Q16" s="359"/>
      <c r="R16" s="359"/>
      <c r="S16" s="365"/>
      <c r="T16" s="364"/>
      <c r="U16" s="360"/>
      <c r="W16" s="366"/>
      <c r="X16" s="361"/>
    </row>
    <row r="17" spans="1:24">
      <c r="A17" s="381" t="s">
        <v>381</v>
      </c>
      <c r="B17" s="12" t="s">
        <v>1166</v>
      </c>
      <c r="C17" s="244">
        <f t="shared" ref="C17:C24" si="2">SUMIF(_12MonLights_RateCategory,$A17,_12MonLights_Count)</f>
        <v>102508</v>
      </c>
      <c r="D17" s="244">
        <f t="shared" ref="D17:D24" si="3">SUMIF(_12MonLights_RateCategory,$A17,_12MonLights_KWH)</f>
        <v>1328255</v>
      </c>
      <c r="E17" s="388">
        <v>8.3000000000000004E-2</v>
      </c>
      <c r="F17" s="359"/>
      <c r="G17" s="364">
        <f>VLOOKUP($A17,'Rates-Lights'!$C$550:$I$660,5,FALSE)</f>
        <v>0.43</v>
      </c>
      <c r="H17" s="364">
        <f t="shared" ref="H17:H24" si="4">SUMIF(_12MonLights_RateCategory,TEXT(A17,0),_12MonLights_Base_Fuel_Revenue)</f>
        <v>82006.399999999994</v>
      </c>
      <c r="I17" s="359">
        <f t="shared" ref="I17:I24" si="5">C17*F17</f>
        <v>0</v>
      </c>
      <c r="J17" s="364">
        <f t="shared" ref="J17:J24" si="6">ROUND(C17*G17,2)</f>
        <v>44078.44</v>
      </c>
      <c r="K17" s="359">
        <f t="shared" ref="K17:K24" si="7">SUM(I17:J17)</f>
        <v>44078.44</v>
      </c>
      <c r="L17" s="359">
        <f t="shared" ref="L17:L24" si="8">SUMIF(_12MonLights_RateCategory,TEXT($A17,0),_12MonLights_Revenue_Actual)</f>
        <v>459679.61</v>
      </c>
      <c r="M17" s="359">
        <f t="shared" ref="M17:M24" si="9">L17-K17</f>
        <v>415601.17</v>
      </c>
      <c r="N17" s="359">
        <f t="shared" ref="N17:N24" si="10">ROUND($L$186/$M$153*M17,2)</f>
        <v>15624.46</v>
      </c>
      <c r="P17" s="364">
        <f>ROUND((SUMIF($E$17:$E$150,$E17,$N$17:$N$150)/SUMIF($E$17:$E$150,$E17,$C$17:$C$150)),2)</f>
        <v>0.21</v>
      </c>
      <c r="Q17" s="359">
        <f t="shared" ref="Q17:Q24" si="11">P17*C17</f>
        <v>21526.68</v>
      </c>
      <c r="R17" s="359">
        <f t="shared" ref="R17:R24" si="12">N17-Q17</f>
        <v>-5902.2200000000012</v>
      </c>
      <c r="S17" s="365">
        <f t="shared" ref="S17:S24" si="13">T17-G17+P17</f>
        <v>8.4400000000000013</v>
      </c>
      <c r="T17" s="364">
        <f>VLOOKUP($A17,'Rates-Lights'!$C$550:$I$660,3,FALSE)</f>
        <v>8.66</v>
      </c>
      <c r="U17" s="360">
        <f t="shared" ref="U17:U24" si="14">(S17-T17)/T17</f>
        <v>-2.5404157043879775E-2</v>
      </c>
      <c r="W17" s="366"/>
      <c r="X17" s="361"/>
    </row>
    <row r="18" spans="1:24">
      <c r="A18" s="381" t="s">
        <v>380</v>
      </c>
      <c r="B18" s="12" t="s">
        <v>1167</v>
      </c>
      <c r="C18" s="244">
        <f t="shared" si="2"/>
        <v>103542</v>
      </c>
      <c r="D18" s="244">
        <f t="shared" si="3"/>
        <v>1333374</v>
      </c>
      <c r="E18" s="388">
        <v>8.3000000000000004E-2</v>
      </c>
      <c r="F18" s="359"/>
      <c r="G18" s="364">
        <f>VLOOKUP(A18,'Rates-Lights'!$C$550:$I$660,5,FALSE)</f>
        <v>0.43</v>
      </c>
      <c r="H18" s="364">
        <f t="shared" si="4"/>
        <v>82833.600000000006</v>
      </c>
      <c r="I18" s="359">
        <f t="shared" si="5"/>
        <v>0</v>
      </c>
      <c r="J18" s="364">
        <f t="shared" si="6"/>
        <v>44523.06</v>
      </c>
      <c r="K18" s="359">
        <f t="shared" si="7"/>
        <v>44523.06</v>
      </c>
      <c r="L18" s="359">
        <f t="shared" si="8"/>
        <v>610265.62000000011</v>
      </c>
      <c r="M18" s="359">
        <f t="shared" si="9"/>
        <v>565742.56000000006</v>
      </c>
      <c r="N18" s="359">
        <f t="shared" si="10"/>
        <v>21269</v>
      </c>
      <c r="P18" s="364">
        <f t="shared" ref="P18:P24" si="15">ROUND((SUMIF($E$17:$E$150,$E18,$N$17:$N$150)/SUMIF($E$17:$E$150,$E18,$C$17:$C$150)),2)</f>
        <v>0.21</v>
      </c>
      <c r="Q18" s="359">
        <f t="shared" si="11"/>
        <v>21743.82</v>
      </c>
      <c r="R18" s="359">
        <f t="shared" si="12"/>
        <v>-474.81999999999971</v>
      </c>
      <c r="S18" s="365">
        <f t="shared" si="13"/>
        <v>11.380000000000003</v>
      </c>
      <c r="T18" s="364">
        <f>VLOOKUP($A18,'Rates-Lights'!$C$550:$I$660,3,FALSE)</f>
        <v>11.600000000000001</v>
      </c>
      <c r="U18" s="360">
        <f t="shared" si="14"/>
        <v>-1.8965517241379209E-2</v>
      </c>
      <c r="W18" s="366"/>
      <c r="X18" s="361"/>
    </row>
    <row r="19" spans="1:24">
      <c r="A19" s="363" t="s">
        <v>404</v>
      </c>
      <c r="B19" s="12" t="s">
        <v>1168</v>
      </c>
      <c r="C19" s="244">
        <f t="shared" si="2"/>
        <v>242191</v>
      </c>
      <c r="D19" s="244">
        <f t="shared" si="3"/>
        <v>4326349</v>
      </c>
      <c r="E19" s="388">
        <v>0.11700000000000001</v>
      </c>
      <c r="F19" s="359"/>
      <c r="G19" s="364">
        <f>VLOOKUP(A19,'Rates-Lights'!$C$550:$I$660,5,FALSE)</f>
        <v>0.34</v>
      </c>
      <c r="H19" s="364">
        <f t="shared" si="4"/>
        <v>273675.82999999996</v>
      </c>
      <c r="I19" s="359">
        <f t="shared" si="5"/>
        <v>0</v>
      </c>
      <c r="J19" s="364">
        <f t="shared" si="6"/>
        <v>82344.94</v>
      </c>
      <c r="K19" s="359">
        <f t="shared" si="7"/>
        <v>82344.94</v>
      </c>
      <c r="L19" s="359">
        <f t="shared" si="8"/>
        <v>1132308.9000000001</v>
      </c>
      <c r="M19" s="359">
        <f t="shared" si="9"/>
        <v>1049963.9600000002</v>
      </c>
      <c r="N19" s="359">
        <f t="shared" si="10"/>
        <v>39473.22</v>
      </c>
      <c r="P19" s="364">
        <f t="shared" si="15"/>
        <v>0.16</v>
      </c>
      <c r="Q19" s="359">
        <f t="shared" si="11"/>
        <v>38750.559999999998</v>
      </c>
      <c r="R19" s="359">
        <f t="shared" si="12"/>
        <v>722.66000000000349</v>
      </c>
      <c r="S19" s="365">
        <f t="shared" si="13"/>
        <v>8.9600000000000009</v>
      </c>
      <c r="T19" s="364">
        <f>VLOOKUP($A19,'Rates-Lights'!$C$550:$I$660,3,FALSE)</f>
        <v>9.14</v>
      </c>
      <c r="U19" s="360">
        <f t="shared" si="14"/>
        <v>-1.9693654266958391E-2</v>
      </c>
      <c r="W19" s="366"/>
      <c r="X19" s="361"/>
    </row>
    <row r="20" spans="1:24">
      <c r="A20" s="363" t="s">
        <v>403</v>
      </c>
      <c r="B20" s="12" t="s">
        <v>1169</v>
      </c>
      <c r="C20" s="244">
        <f t="shared" si="2"/>
        <v>40086</v>
      </c>
      <c r="D20" s="244">
        <f t="shared" si="3"/>
        <v>716873</v>
      </c>
      <c r="E20" s="388">
        <v>0.11700000000000001</v>
      </c>
      <c r="F20" s="359"/>
      <c r="G20" s="364">
        <f>VLOOKUP(A20,'Rates-Lights'!$C$550:$I$660,5,FALSE)</f>
        <v>0.34</v>
      </c>
      <c r="H20" s="364">
        <f t="shared" si="4"/>
        <v>45297.18</v>
      </c>
      <c r="I20" s="359">
        <f t="shared" si="5"/>
        <v>0</v>
      </c>
      <c r="J20" s="364">
        <f t="shared" si="6"/>
        <v>13629.24</v>
      </c>
      <c r="K20" s="359">
        <f t="shared" si="7"/>
        <v>13629.24</v>
      </c>
      <c r="L20" s="359">
        <f t="shared" si="8"/>
        <v>249817.11</v>
      </c>
      <c r="M20" s="359">
        <f t="shared" si="9"/>
        <v>236187.87</v>
      </c>
      <c r="N20" s="359">
        <f t="shared" si="10"/>
        <v>8879.44</v>
      </c>
      <c r="P20" s="364">
        <f t="shared" si="15"/>
        <v>0.16</v>
      </c>
      <c r="Q20" s="359">
        <f t="shared" si="11"/>
        <v>6413.76</v>
      </c>
      <c r="R20" s="359">
        <f t="shared" si="12"/>
        <v>2465.6800000000003</v>
      </c>
      <c r="S20" s="365">
        <f t="shared" si="13"/>
        <v>12.120000000000001</v>
      </c>
      <c r="T20" s="364">
        <f>VLOOKUP($A20,'Rates-Lights'!$C$550:$I$660,3,FALSE)</f>
        <v>12.3</v>
      </c>
      <c r="U20" s="360">
        <f t="shared" si="14"/>
        <v>-1.4634146341463391E-2</v>
      </c>
      <c r="W20" s="366"/>
      <c r="X20" s="361"/>
    </row>
    <row r="21" spans="1:24">
      <c r="A21" s="363" t="s">
        <v>361</v>
      </c>
      <c r="B21" s="12" t="s">
        <v>1170</v>
      </c>
      <c r="C21" s="244">
        <f t="shared" si="2"/>
        <v>89636</v>
      </c>
      <c r="D21" s="244">
        <f t="shared" si="3"/>
        <v>3309329</v>
      </c>
      <c r="E21" s="388">
        <v>0.24199999999999999</v>
      </c>
      <c r="F21" s="359"/>
      <c r="G21" s="364">
        <f>VLOOKUP(A21,'Rates-Lights'!$C$550:$I$660,5,FALSE)</f>
        <v>0.57999999999999996</v>
      </c>
      <c r="H21" s="364">
        <f t="shared" si="4"/>
        <v>208851.88</v>
      </c>
      <c r="I21" s="359">
        <f t="shared" si="5"/>
        <v>0</v>
      </c>
      <c r="J21" s="364">
        <f t="shared" si="6"/>
        <v>51988.88</v>
      </c>
      <c r="K21" s="359">
        <f t="shared" si="7"/>
        <v>51988.88</v>
      </c>
      <c r="L21" s="359">
        <f t="shared" si="8"/>
        <v>651742.86</v>
      </c>
      <c r="M21" s="359">
        <f t="shared" si="9"/>
        <v>599753.98</v>
      </c>
      <c r="N21" s="359">
        <f t="shared" si="10"/>
        <v>22547.65</v>
      </c>
      <c r="P21" s="364">
        <f t="shared" si="15"/>
        <v>0.28000000000000003</v>
      </c>
      <c r="Q21" s="359">
        <f t="shared" si="11"/>
        <v>25098.080000000002</v>
      </c>
      <c r="R21" s="359">
        <f t="shared" si="12"/>
        <v>-2550.4300000000003</v>
      </c>
      <c r="S21" s="365">
        <f t="shared" si="13"/>
        <v>13.95</v>
      </c>
      <c r="T21" s="364">
        <f>VLOOKUP($A21,'Rates-Lights'!$C$550:$I$660,3,FALSE)</f>
        <v>14.25</v>
      </c>
      <c r="U21" s="360">
        <f t="shared" si="14"/>
        <v>-2.105263157894742E-2</v>
      </c>
      <c r="W21" s="366"/>
      <c r="X21" s="361"/>
    </row>
    <row r="22" spans="1:24">
      <c r="A22" s="363" t="s">
        <v>360</v>
      </c>
      <c r="B22" s="12" t="s">
        <v>1171</v>
      </c>
      <c r="C22" s="244">
        <f t="shared" si="2"/>
        <v>61264</v>
      </c>
      <c r="D22" s="244">
        <f t="shared" si="3"/>
        <v>2273957</v>
      </c>
      <c r="E22" s="388">
        <v>0.24199999999999999</v>
      </c>
      <c r="F22" s="359"/>
      <c r="G22" s="364">
        <f>VLOOKUP(A22,'Rates-Lights'!$C$550:$I$660,5,FALSE)</f>
        <v>0.57999999999999996</v>
      </c>
      <c r="H22" s="364">
        <f t="shared" si="4"/>
        <v>142745.12</v>
      </c>
      <c r="I22" s="359">
        <f t="shared" si="5"/>
        <v>0</v>
      </c>
      <c r="J22" s="364">
        <f t="shared" si="6"/>
        <v>35533.120000000003</v>
      </c>
      <c r="K22" s="359">
        <f t="shared" si="7"/>
        <v>35533.120000000003</v>
      </c>
      <c r="L22" s="359">
        <f t="shared" si="8"/>
        <v>541429.48</v>
      </c>
      <c r="M22" s="359">
        <f t="shared" si="9"/>
        <v>505896.36</v>
      </c>
      <c r="N22" s="359">
        <f t="shared" si="10"/>
        <v>19019.09</v>
      </c>
      <c r="P22" s="364">
        <f t="shared" si="15"/>
        <v>0.28000000000000003</v>
      </c>
      <c r="Q22" s="359">
        <f t="shared" si="11"/>
        <v>17153.920000000002</v>
      </c>
      <c r="R22" s="359">
        <f t="shared" si="12"/>
        <v>1865.1699999999983</v>
      </c>
      <c r="S22" s="365">
        <f t="shared" si="13"/>
        <v>17.110000000000003</v>
      </c>
      <c r="T22" s="364">
        <f>VLOOKUP($A22,'Rates-Lights'!$C$550:$I$660,3,FALSE)</f>
        <v>17.41</v>
      </c>
      <c r="U22" s="360">
        <f t="shared" si="14"/>
        <v>-1.7231476163124478E-2</v>
      </c>
      <c r="W22" s="366"/>
      <c r="X22" s="361"/>
    </row>
    <row r="23" spans="1:24">
      <c r="A23" s="363" t="s">
        <v>393</v>
      </c>
      <c r="B23" s="12" t="s">
        <v>1172</v>
      </c>
      <c r="C23" s="244">
        <f t="shared" si="2"/>
        <v>33237</v>
      </c>
      <c r="D23" s="244">
        <f t="shared" si="3"/>
        <v>2356510</v>
      </c>
      <c r="E23" s="388">
        <v>0.47099999999999997</v>
      </c>
      <c r="F23" s="359"/>
      <c r="G23" s="364">
        <f>VLOOKUP(A23,'Rates-Lights'!$C$550:$I$660,5,FALSE)</f>
        <v>0.79</v>
      </c>
      <c r="H23" s="364">
        <f t="shared" si="4"/>
        <v>150563.60999999996</v>
      </c>
      <c r="I23" s="359">
        <f t="shared" si="5"/>
        <v>0</v>
      </c>
      <c r="J23" s="364">
        <f t="shared" si="6"/>
        <v>26257.23</v>
      </c>
      <c r="K23" s="359">
        <f t="shared" si="7"/>
        <v>26257.23</v>
      </c>
      <c r="L23" s="359">
        <f t="shared" si="8"/>
        <v>383962.41</v>
      </c>
      <c r="M23" s="359">
        <f t="shared" si="9"/>
        <v>357705.18</v>
      </c>
      <c r="N23" s="359">
        <f t="shared" si="10"/>
        <v>13447.87</v>
      </c>
      <c r="P23" s="364">
        <f t="shared" si="15"/>
        <v>0.38</v>
      </c>
      <c r="Q23" s="359">
        <f t="shared" si="11"/>
        <v>12630.06</v>
      </c>
      <c r="R23" s="359">
        <f t="shared" si="12"/>
        <v>817.81000000000131</v>
      </c>
      <c r="S23" s="365">
        <f t="shared" si="13"/>
        <v>22.43</v>
      </c>
      <c r="T23" s="364">
        <f>VLOOKUP($A23,'Rates-Lights'!$C$550:$I$660,3,FALSE)</f>
        <v>22.84</v>
      </c>
      <c r="U23" s="360">
        <f t="shared" si="14"/>
        <v>-1.7950963222416818E-2</v>
      </c>
      <c r="W23" s="366"/>
      <c r="X23" s="361"/>
    </row>
    <row r="24" spans="1:24">
      <c r="A24" s="363" t="s">
        <v>392</v>
      </c>
      <c r="B24" s="12" t="s">
        <v>1173</v>
      </c>
      <c r="C24" s="244">
        <f t="shared" si="2"/>
        <v>5976</v>
      </c>
      <c r="D24" s="244">
        <f t="shared" si="3"/>
        <v>438749</v>
      </c>
      <c r="E24" s="388">
        <v>0.47099999999999997</v>
      </c>
      <c r="F24" s="359"/>
      <c r="G24" s="364">
        <f>VLOOKUP(A24,'Rates-Lights'!$C$550:$I$660,5,FALSE)</f>
        <v>0.79</v>
      </c>
      <c r="H24" s="364">
        <f t="shared" si="4"/>
        <v>27071.279999999999</v>
      </c>
      <c r="I24" s="359">
        <f t="shared" si="5"/>
        <v>0</v>
      </c>
      <c r="J24" s="364">
        <f t="shared" si="6"/>
        <v>4721.04</v>
      </c>
      <c r="K24" s="359">
        <f t="shared" si="7"/>
        <v>4721.04</v>
      </c>
      <c r="L24" s="359">
        <f t="shared" si="8"/>
        <v>75142.39</v>
      </c>
      <c r="M24" s="359">
        <f t="shared" si="9"/>
        <v>70421.350000000006</v>
      </c>
      <c r="N24" s="359">
        <f t="shared" si="10"/>
        <v>2647.48</v>
      </c>
      <c r="P24" s="364">
        <f t="shared" si="15"/>
        <v>0.38</v>
      </c>
      <c r="Q24" s="359">
        <f t="shared" si="11"/>
        <v>2270.88</v>
      </c>
      <c r="R24" s="359">
        <f t="shared" si="12"/>
        <v>376.59999999999991</v>
      </c>
      <c r="S24" s="365">
        <f t="shared" si="13"/>
        <v>24.05</v>
      </c>
      <c r="T24" s="364">
        <f>VLOOKUP($A24,'Rates-Lights'!$C$550:$I$660,3,FALSE)</f>
        <v>24.46</v>
      </c>
      <c r="U24" s="360">
        <f t="shared" si="14"/>
        <v>-1.6762060506950126E-2</v>
      </c>
      <c r="W24" s="366"/>
      <c r="X24" s="361"/>
    </row>
    <row r="25" spans="1:24">
      <c r="A25" s="363"/>
      <c r="B25"/>
      <c r="F25" s="359"/>
      <c r="G25" s="364"/>
      <c r="H25" s="364"/>
      <c r="I25" s="359"/>
      <c r="J25" s="364"/>
      <c r="K25" s="359"/>
      <c r="L25" s="359"/>
      <c r="M25" s="359"/>
      <c r="N25" s="359"/>
      <c r="P25" s="364"/>
      <c r="Q25" s="359"/>
      <c r="R25" s="359"/>
      <c r="S25" s="365"/>
      <c r="T25" s="364"/>
      <c r="U25" s="360"/>
      <c r="W25" s="366"/>
      <c r="X25" s="361"/>
    </row>
    <row r="26" spans="1:24">
      <c r="A26" s="363" t="s">
        <v>415</v>
      </c>
      <c r="B26" t="s">
        <v>1174</v>
      </c>
      <c r="C26" s="244">
        <f>SUMIF(_12MonLights_RateCategory,$A26,_12MonLights_Count)</f>
        <v>131797</v>
      </c>
      <c r="D26" s="244">
        <f>SUMIF(_12MonLights_RateCategory,$A26,_12MonLights_KWH)</f>
        <v>2296343</v>
      </c>
      <c r="E26" s="388">
        <v>0.11700000000000001</v>
      </c>
      <c r="F26" s="359"/>
      <c r="G26" s="364">
        <f>VLOOKUP(A26,'Rates-Lights'!$C$550:$I$660,5,FALSE)</f>
        <v>0.34</v>
      </c>
      <c r="H26" s="364">
        <f>SUMIF(_12MonLights_RateCategory,TEXT(A26,0),_12MonLights_Base_Fuel_Revenue)</f>
        <v>148930.61000000002</v>
      </c>
      <c r="I26" s="359">
        <f>C26*F26</f>
        <v>0</v>
      </c>
      <c r="J26" s="364">
        <f>ROUND(C26*G26,2)</f>
        <v>44810.98</v>
      </c>
      <c r="K26" s="359">
        <f>SUM(I26:J26)</f>
        <v>44810.98</v>
      </c>
      <c r="L26" s="359">
        <f>SUMIF(_12MonLights_RateCategory,TEXT($A26,0),_12MonLights_Revenue_Actual)</f>
        <v>598206.78999999992</v>
      </c>
      <c r="M26" s="359">
        <f>L26-K26</f>
        <v>553395.80999999994</v>
      </c>
      <c r="N26" s="359">
        <f>ROUND($L$186/$M$153*M26,2)</f>
        <v>20804.82</v>
      </c>
      <c r="P26" s="364">
        <f>ROUND((SUMIF($E$17:$E$150,$E26,$N$17:$N$150)/SUMIF($E$17:$E$150,$E26,$C$17:$C$150)),2)</f>
        <v>0.16</v>
      </c>
      <c r="Q26" s="359">
        <f>P26*C26</f>
        <v>21087.52</v>
      </c>
      <c r="R26" s="359">
        <f>N26-Q26</f>
        <v>-282.70000000000073</v>
      </c>
      <c r="S26" s="365">
        <f>T26-G26+P26</f>
        <v>8.82</v>
      </c>
      <c r="T26" s="364">
        <f>VLOOKUP($A26,'Rates-Lights'!$C$550:$I$660,3,FALSE)</f>
        <v>9</v>
      </c>
      <c r="U26" s="360">
        <f>(S26-T26)/T26</f>
        <v>-1.9999999999999969E-2</v>
      </c>
      <c r="W26" s="366"/>
      <c r="X26" s="361"/>
    </row>
    <row r="27" spans="1:24">
      <c r="A27" s="363" t="s">
        <v>365</v>
      </c>
      <c r="B27" s="12" t="s">
        <v>1175</v>
      </c>
      <c r="C27" s="244">
        <f>SUMIF(_12MonLights_RateCategory,$A27,_12MonLights_Count)</f>
        <v>77942</v>
      </c>
      <c r="D27" s="244">
        <f>SUMIF(_12MonLights_RateCategory,$A27,_12MonLights_KWH)</f>
        <v>2855404</v>
      </c>
      <c r="E27" s="388">
        <v>0.24199999999999999</v>
      </c>
      <c r="F27" s="359"/>
      <c r="G27" s="364">
        <f>VLOOKUP(A27,'Rates-Lights'!$C$550:$I$660,5,FALSE)</f>
        <v>0.57999999999999996</v>
      </c>
      <c r="H27" s="364">
        <f>SUMIF(_12MonLights_RateCategory,TEXT(A27,0),_12MonLights_Base_Fuel_Revenue)</f>
        <v>181604.86000000002</v>
      </c>
      <c r="I27" s="359">
        <f>C27*F27</f>
        <v>0</v>
      </c>
      <c r="J27" s="364">
        <f>ROUND(C27*G27,2)</f>
        <v>45206.36</v>
      </c>
      <c r="K27" s="359">
        <f>SUM(I27:J27)</f>
        <v>45206.36</v>
      </c>
      <c r="L27" s="359">
        <f>SUMIF(_12MonLights_RateCategory,TEXT($A27,0),_12MonLights_Revenue_Actual)</f>
        <v>543099.43999999994</v>
      </c>
      <c r="M27" s="359">
        <f>L27-K27</f>
        <v>497893.07999999996</v>
      </c>
      <c r="N27" s="359">
        <f>ROUND($L$186/$M$153*M27,2)</f>
        <v>18718.21</v>
      </c>
      <c r="P27" s="364">
        <f>ROUND((SUMIF($E$17:$E$150,$E27,$N$17:$N$150)/SUMIF($E$17:$E$150,$E27,$C$17:$C$150)),2)</f>
        <v>0.28000000000000003</v>
      </c>
      <c r="Q27" s="359">
        <f>P27*C27</f>
        <v>21823.760000000002</v>
      </c>
      <c r="R27" s="359">
        <f>N27-Q27</f>
        <v>-3105.5500000000029</v>
      </c>
      <c r="S27" s="365">
        <f>T27-G27+P27</f>
        <v>13.339999999999998</v>
      </c>
      <c r="T27" s="364">
        <f>VLOOKUP($A27,'Rates-Lights'!$C$550:$I$660,3,FALSE)</f>
        <v>13.639999999999999</v>
      </c>
      <c r="U27" s="360">
        <f>(S27-T27)/T27</f>
        <v>-2.1994134897360757E-2</v>
      </c>
      <c r="W27" s="366"/>
      <c r="X27" s="361"/>
    </row>
    <row r="28" spans="1:24">
      <c r="A28" s="363" t="s">
        <v>397</v>
      </c>
      <c r="B28" s="12" t="s">
        <v>1176</v>
      </c>
      <c r="C28" s="244">
        <f>SUMIF(_12MonLights_RateCategory,$A28,_12MonLights_Count)</f>
        <v>98454</v>
      </c>
      <c r="D28" s="244">
        <f>SUMIF(_12MonLights_RateCategory,$A28,_12MonLights_KWH)</f>
        <v>6960070</v>
      </c>
      <c r="E28" s="388">
        <v>0.47099999999999997</v>
      </c>
      <c r="F28" s="359"/>
      <c r="G28" s="364">
        <f>VLOOKUP(A28,'Rates-Lights'!$C$550:$I$660,5,FALSE)</f>
        <v>0.79</v>
      </c>
      <c r="H28" s="364">
        <f>SUMIF(_12MonLights_RateCategory,TEXT(A28,0),_12MonLights_Base_Fuel_Revenue)</f>
        <v>445996.61999999994</v>
      </c>
      <c r="I28" s="359">
        <f>C28*F28</f>
        <v>0</v>
      </c>
      <c r="J28" s="364">
        <f>ROUND(C28*G28,2)</f>
        <v>77778.66</v>
      </c>
      <c r="K28" s="359">
        <f>SUM(I28:J28)</f>
        <v>77778.66</v>
      </c>
      <c r="L28" s="359">
        <f>SUMIF(_12MonLights_RateCategory,TEXT($A28,0),_12MonLights_Revenue_Actual)</f>
        <v>970690.29</v>
      </c>
      <c r="M28" s="359">
        <f>L28-K28</f>
        <v>892911.63</v>
      </c>
      <c r="N28" s="359">
        <f>ROUND($L$186/$M$153*M28,2)</f>
        <v>33568.86</v>
      </c>
      <c r="P28" s="364">
        <f>ROUND((SUMIF($E$17:$E$150,$E28,$N$17:$N$150)/SUMIF($E$17:$E$150,$E28,$C$17:$C$150)),2)</f>
        <v>0.38</v>
      </c>
      <c r="Q28" s="359">
        <f>P28*C28</f>
        <v>37412.520000000004</v>
      </c>
      <c r="R28" s="359">
        <f>N28-Q28</f>
        <v>-3843.6600000000035</v>
      </c>
      <c r="S28" s="365">
        <f>T28-G28+P28</f>
        <v>19.05</v>
      </c>
      <c r="T28" s="364">
        <f>VLOOKUP($A28,'Rates-Lights'!$C$550:$I$660,3,FALSE)</f>
        <v>19.46</v>
      </c>
      <c r="U28" s="360">
        <f>(S28-T28)/T28</f>
        <v>-2.1068859198355609E-2</v>
      </c>
      <c r="W28" s="366"/>
      <c r="X28" s="361"/>
    </row>
    <row r="29" spans="1:24">
      <c r="A29" s="363"/>
      <c r="B29" s="12"/>
      <c r="F29" s="359"/>
      <c r="G29" s="364"/>
      <c r="H29" s="364"/>
      <c r="I29" s="359"/>
      <c r="J29" s="364"/>
      <c r="K29" s="359"/>
      <c r="L29" s="359"/>
      <c r="M29" s="359"/>
      <c r="N29" s="359"/>
      <c r="P29" s="364"/>
      <c r="Q29" s="359"/>
      <c r="R29" s="359"/>
      <c r="S29" s="365"/>
      <c r="T29" s="364"/>
      <c r="U29" s="360"/>
      <c r="W29" s="366"/>
      <c r="X29" s="361"/>
    </row>
    <row r="30" spans="1:24">
      <c r="A30" s="363" t="s">
        <v>416</v>
      </c>
      <c r="B30" s="12" t="s">
        <v>1177</v>
      </c>
      <c r="C30" s="244">
        <f>SUMIF(_12MonLights_RateCategory,$A30,_12MonLights_Count)</f>
        <v>432382</v>
      </c>
      <c r="D30" s="244">
        <f>SUMIF(_12MonLights_RateCategory,$A30,_12MonLights_KWH)</f>
        <v>7551359</v>
      </c>
      <c r="E30" s="388">
        <v>0.11700000000000001</v>
      </c>
      <c r="F30" s="359"/>
      <c r="G30" s="364">
        <f>VLOOKUP(A30,'Rates-Lights'!$C$550:$I$660,5,FALSE)</f>
        <v>0.34</v>
      </c>
      <c r="H30" s="364">
        <f>SUMIF(_12MonLights_RateCategory,TEXT(A30,0),_12MonLights_Base_Fuel_Revenue)</f>
        <v>488591.66</v>
      </c>
      <c r="I30" s="359">
        <f>C30*F30</f>
        <v>0</v>
      </c>
      <c r="J30" s="364">
        <f>ROUND(C30*G30,2)</f>
        <v>147009.88</v>
      </c>
      <c r="K30" s="359">
        <f>SUM(I30:J30)</f>
        <v>147009.88</v>
      </c>
      <c r="L30" s="359">
        <f>SUMIF(_12MonLights_RateCategory,TEXT($A30,0),_12MonLights_Revenue_Actual)</f>
        <v>1712683.03</v>
      </c>
      <c r="M30" s="359">
        <f>L30-K30</f>
        <v>1565673.15</v>
      </c>
      <c r="N30" s="359">
        <f>ROUND($L$186/$M$153*M30,2)</f>
        <v>58861.22</v>
      </c>
      <c r="P30" s="364">
        <f>ROUND((SUMIF($E$17:$E$150,$E30,$N$17:$N$150)/SUMIF($E$17:$E$150,$E30,$C$17:$C$150)),2)</f>
        <v>0.16</v>
      </c>
      <c r="Q30" s="359">
        <f>P30*C30</f>
        <v>69181.119999999995</v>
      </c>
      <c r="R30" s="359">
        <f>N30-Q30</f>
        <v>-10319.899999999994</v>
      </c>
      <c r="S30" s="365">
        <f>T30-G30+P30</f>
        <v>7.66</v>
      </c>
      <c r="T30" s="364">
        <f>VLOOKUP($A30,'Rates-Lights'!$C$550:$I$660,3,FALSE)</f>
        <v>7.84</v>
      </c>
      <c r="U30" s="360">
        <f>(S30-T30)/T30</f>
        <v>-2.2959183673469351E-2</v>
      </c>
      <c r="W30" s="366"/>
      <c r="X30" s="361"/>
    </row>
    <row r="31" spans="1:24">
      <c r="A31" s="363"/>
      <c r="B31"/>
      <c r="F31" s="359"/>
      <c r="G31" s="364"/>
      <c r="H31" s="364"/>
      <c r="I31" s="359"/>
      <c r="J31" s="364"/>
      <c r="K31" s="359"/>
      <c r="L31" s="359"/>
      <c r="M31" s="359"/>
      <c r="N31" s="359"/>
      <c r="P31" s="364"/>
      <c r="Q31" s="359"/>
      <c r="R31" s="359"/>
      <c r="S31" s="365"/>
      <c r="T31" s="364"/>
      <c r="U31" s="360"/>
      <c r="W31" s="366"/>
      <c r="X31" s="361"/>
    </row>
    <row r="32" spans="1:24">
      <c r="A32" s="363" t="s">
        <v>338</v>
      </c>
      <c r="B32" t="s">
        <v>1178</v>
      </c>
      <c r="C32" s="244">
        <f>SUMIF(_12MonLights_RateCategory,$A32,_12MonLights_Count)</f>
        <v>7792</v>
      </c>
      <c r="D32" s="244">
        <f>SUMIF(_12MonLights_RateCategory,$A32,_12MonLights_KWH)</f>
        <v>177732</v>
      </c>
      <c r="E32" s="388">
        <v>0.15</v>
      </c>
      <c r="F32" s="359"/>
      <c r="G32" s="364">
        <f>VLOOKUP(A32,'Rates-Lights'!$C$550:$I$660,5,FALSE)</f>
        <v>0.66</v>
      </c>
      <c r="H32" s="364">
        <f>SUMIF(_12MonLights_RateCategory,TEXT(A32,0),_12MonLights_Base_Fuel_Revenue)</f>
        <v>15350.24</v>
      </c>
      <c r="I32" s="359">
        <f>C32*F32</f>
        <v>0</v>
      </c>
      <c r="J32" s="364">
        <f>ROUND(C32*G32,2)</f>
        <v>5142.72</v>
      </c>
      <c r="K32" s="359">
        <f>SUM(I32:J32)</f>
        <v>5142.72</v>
      </c>
      <c r="L32" s="359">
        <f>SUMIF(_12MonLights_RateCategory,TEXT($A32,0),_12MonLights_Revenue_Actual)</f>
        <v>57085.270000000004</v>
      </c>
      <c r="M32" s="359">
        <f>L32-K32</f>
        <v>51942.55</v>
      </c>
      <c r="N32" s="359">
        <f>ROUND($L$186/$M$153*M32,2)</f>
        <v>1952.77</v>
      </c>
      <c r="P32" s="364">
        <f>ROUND((SUMIF($E$17:$E$150,$E32,$N$17:$N$150)/SUMIF($E$17:$E$150,$E32,$C$17:$C$150)),2)</f>
        <v>0.32</v>
      </c>
      <c r="Q32" s="359">
        <f>P32*C32</f>
        <v>2493.44</v>
      </c>
      <c r="R32" s="359">
        <f>N32-Q32</f>
        <v>-540.67000000000007</v>
      </c>
      <c r="S32" s="365">
        <f>T32-G32+P32</f>
        <v>13.91</v>
      </c>
      <c r="T32" s="364">
        <f>VLOOKUP($A32,'Rates-Lights'!$C$550:$I$660,3,FALSE)</f>
        <v>14.25</v>
      </c>
      <c r="U32" s="360">
        <f>(S32-T32)/T32</f>
        <v>-2.3859649122807008E-2</v>
      </c>
      <c r="W32" s="366"/>
      <c r="X32" s="361"/>
    </row>
    <row r="33" spans="1:24">
      <c r="A33" s="363" t="s">
        <v>370</v>
      </c>
      <c r="B33" s="12" t="s">
        <v>1179</v>
      </c>
      <c r="C33" s="244">
        <f>SUMIF(_12MonLights_RateCategory,$A33,_12MonLights_Count)</f>
        <v>60808</v>
      </c>
      <c r="D33" s="244">
        <f>SUMIF(_12MonLights_RateCategory,$A33,_12MonLights_KWH)</f>
        <v>3220302</v>
      </c>
      <c r="E33" s="388">
        <v>0.35</v>
      </c>
      <c r="F33" s="359"/>
      <c r="G33" s="364">
        <f>VLOOKUP(A33,'Rates-Lights'!$C$550:$I$660,5,FALSE)</f>
        <v>0.84</v>
      </c>
      <c r="H33" s="364">
        <f>SUMIF(_12MonLights_RateCategory,TEXT(A33,0),_12MonLights_Base_Fuel_Revenue)</f>
        <v>260866.32</v>
      </c>
      <c r="I33" s="359">
        <f>C33*F33</f>
        <v>0</v>
      </c>
      <c r="J33" s="364">
        <f>ROUND(C33*G33,2)</f>
        <v>51078.720000000001</v>
      </c>
      <c r="K33" s="359">
        <f>SUM(I33:J33)</f>
        <v>51078.720000000001</v>
      </c>
      <c r="L33" s="359">
        <f>SUMIF(_12MonLights_RateCategory,TEXT($A33,0),_12MonLights_Revenue_Actual)</f>
        <v>627552.62</v>
      </c>
      <c r="M33" s="359">
        <f>L33-K33</f>
        <v>576473.9</v>
      </c>
      <c r="N33" s="359">
        <f>ROUND($L$186/$M$153*M33,2)</f>
        <v>21672.44</v>
      </c>
      <c r="P33" s="364">
        <f>ROUND((SUMIF($E$17:$E$150,$E33,$N$17:$N$150)/SUMIF($E$17:$E$150,$E33,$C$17:$C$150)),2)</f>
        <v>0.4</v>
      </c>
      <c r="Q33" s="359">
        <f>P33*C33</f>
        <v>24323.200000000001</v>
      </c>
      <c r="R33" s="359">
        <f>N33-Q33</f>
        <v>-2650.760000000002</v>
      </c>
      <c r="S33" s="365">
        <f>T33-G33+P33</f>
        <v>19.760000000000002</v>
      </c>
      <c r="T33" s="364">
        <f>VLOOKUP($A33,'Rates-Lights'!$C$550:$I$660,3,FALSE)</f>
        <v>20.200000000000003</v>
      </c>
      <c r="U33" s="360">
        <f>(S33-T33)/T33</f>
        <v>-2.1782178217821843E-2</v>
      </c>
      <c r="W33" s="366"/>
      <c r="X33" s="361"/>
    </row>
    <row r="34" spans="1:24">
      <c r="A34" s="363" t="s">
        <v>333</v>
      </c>
      <c r="B34" s="12" t="s">
        <v>1180</v>
      </c>
      <c r="C34" s="244">
        <f>SUMIF(_12MonLights_RateCategory,$A34,_12MonLights_Count)</f>
        <v>12435</v>
      </c>
      <c r="D34" s="244">
        <f>SUMIF(_12MonLights_RateCategory,$A34,_12MonLights_KWH)</f>
        <v>1988852</v>
      </c>
      <c r="E34" s="388">
        <v>1.08</v>
      </c>
      <c r="F34" s="359"/>
      <c r="G34" s="364">
        <f>VLOOKUP(A34,'Rates-Lights'!$C$550:$I$660,5,FALSE)</f>
        <v>1.7</v>
      </c>
      <c r="H34" s="364">
        <f>SUMIF(_12MonLights_RateCategory,TEXT(A34,0),_12MonLights_Base_Fuel_Revenue)</f>
        <v>129448.35</v>
      </c>
      <c r="I34" s="359">
        <f>C34*F34</f>
        <v>0</v>
      </c>
      <c r="J34" s="364">
        <f>ROUND(C34*G34,2)</f>
        <v>21139.5</v>
      </c>
      <c r="K34" s="359">
        <f>SUM(I34:J34)</f>
        <v>21139.5</v>
      </c>
      <c r="L34" s="359">
        <f>SUMIF(_12MonLights_RateCategory,TEXT($A34,0),_12MonLights_Revenue_Actual)</f>
        <v>264269.06</v>
      </c>
      <c r="M34" s="359">
        <f>L34-K34</f>
        <v>243129.56</v>
      </c>
      <c r="N34" s="359">
        <f>ROUND($L$186/$M$153*M34,2)</f>
        <v>9140.42</v>
      </c>
      <c r="P34" s="364">
        <f>ROUND((SUMIF($E$17:$E$150,$E34,$N$17:$N$150)/SUMIF($E$17:$E$150,$E34,$C$17:$C$150)),2)</f>
        <v>0.79</v>
      </c>
      <c r="Q34" s="359">
        <f>P34*C34</f>
        <v>9823.65</v>
      </c>
      <c r="R34" s="359">
        <f>N34-Q34</f>
        <v>-683.22999999999956</v>
      </c>
      <c r="S34" s="365">
        <f>T34-G34+P34</f>
        <v>41.440000000000005</v>
      </c>
      <c r="T34" s="364">
        <f>VLOOKUP($A34,'Rates-Lights'!$C$550:$I$660,3,FALSE)</f>
        <v>42.350000000000009</v>
      </c>
      <c r="U34" s="360">
        <f>(S34-T34)/T34</f>
        <v>-2.1487603305785207E-2</v>
      </c>
      <c r="W34" s="366"/>
      <c r="X34" s="361"/>
    </row>
    <row r="35" spans="1:24">
      <c r="A35" s="363"/>
      <c r="B35" s="25"/>
      <c r="F35" s="359"/>
      <c r="G35" s="364"/>
      <c r="H35" s="364"/>
      <c r="I35" s="359"/>
      <c r="J35" s="364"/>
      <c r="K35" s="359"/>
      <c r="L35" s="359"/>
      <c r="M35" s="359"/>
      <c r="N35" s="359"/>
      <c r="P35" s="364"/>
      <c r="Q35" s="359"/>
      <c r="R35" s="359"/>
      <c r="S35" s="365"/>
      <c r="T35" s="364"/>
      <c r="U35" s="360"/>
      <c r="W35" s="366"/>
      <c r="X35" s="361"/>
    </row>
    <row r="36" spans="1:24">
      <c r="A36" s="363"/>
      <c r="B36" s="25" t="s">
        <v>1181</v>
      </c>
      <c r="F36" s="359"/>
      <c r="G36" s="364"/>
      <c r="H36" s="364"/>
      <c r="I36" s="359"/>
      <c r="J36" s="364"/>
      <c r="K36" s="359"/>
      <c r="L36" s="359"/>
      <c r="M36" s="359"/>
      <c r="N36" s="359"/>
      <c r="P36" s="364"/>
      <c r="Q36" s="359"/>
      <c r="R36" s="359"/>
      <c r="S36" s="365"/>
      <c r="T36" s="364"/>
      <c r="U36" s="360"/>
      <c r="W36" s="366"/>
      <c r="X36" s="361"/>
    </row>
    <row r="37" spans="1:24">
      <c r="A37" s="363" t="s">
        <v>389</v>
      </c>
      <c r="B37" t="s">
        <v>1182</v>
      </c>
      <c r="C37" s="244">
        <f>SUMIF(_12MonLights_RateCategory,$A37,_12MonLights_Count)</f>
        <v>15911</v>
      </c>
      <c r="D37" s="244">
        <f>SUMIF(_12MonLights_RateCategory,$A37,_12MonLights_KWH)</f>
        <v>205409</v>
      </c>
      <c r="E37" s="388">
        <v>8.3000000000000004E-2</v>
      </c>
      <c r="F37" s="359"/>
      <c r="G37" s="364">
        <f>VLOOKUP(A37,'Rates-Lights'!$C$550:$I$660,5,FALSE)</f>
        <v>0.43</v>
      </c>
      <c r="H37" s="364">
        <f>SUMIF(_12MonLights_RateCategory,TEXT(A37,0),_12MonLights_Base_Fuel_Revenue)</f>
        <v>12728.8</v>
      </c>
      <c r="I37" s="359">
        <f>C37*F37</f>
        <v>0</v>
      </c>
      <c r="J37" s="364">
        <f>ROUND(C37*G37,2)</f>
        <v>6841.73</v>
      </c>
      <c r="K37" s="359">
        <f>SUM(I37:J37)</f>
        <v>6841.73</v>
      </c>
      <c r="L37" s="359">
        <f>SUMIF(_12MonLights_RateCategory,TEXT($A37,0),_12MonLights_Revenue_Actual)</f>
        <v>89186.33</v>
      </c>
      <c r="M37" s="359">
        <f>L37-K37</f>
        <v>82344.600000000006</v>
      </c>
      <c r="N37" s="359">
        <f>ROUND($L$186/$M$153*M37,2)</f>
        <v>3095.73</v>
      </c>
      <c r="P37" s="364">
        <f>ROUND((SUMIF($E$17:$E$150,$E37,$N$17:$N$150)/SUMIF($E$17:$E$150,$E37,$C$17:$C$150)),2)</f>
        <v>0.21</v>
      </c>
      <c r="Q37" s="359">
        <f>P37*C37</f>
        <v>3341.31</v>
      </c>
      <c r="R37" s="359">
        <f>N37-Q37</f>
        <v>-245.57999999999993</v>
      </c>
      <c r="S37" s="365">
        <f>T37-G37+P37</f>
        <v>10.550000000000002</v>
      </c>
      <c r="T37" s="364">
        <f>VLOOKUP($A37,'Rates-Lights'!$C$550:$I$660,3,FALSE)</f>
        <v>10.770000000000001</v>
      </c>
      <c r="U37" s="360">
        <f>(S37-T37)/T37</f>
        <v>-2.0427112349117812E-2</v>
      </c>
      <c r="W37" s="366"/>
      <c r="X37" s="361"/>
    </row>
    <row r="38" spans="1:24">
      <c r="A38" s="363" t="s">
        <v>412</v>
      </c>
      <c r="B38" s="12" t="s">
        <v>1183</v>
      </c>
      <c r="C38" s="244">
        <f>SUMIF(_12MonLights_RateCategory,$A38,_12MonLights_Count)</f>
        <v>47650</v>
      </c>
      <c r="D38" s="244">
        <f>SUMIF(_12MonLights_RateCategory,$A38,_12MonLights_KWH)</f>
        <v>844274</v>
      </c>
      <c r="E38" s="388">
        <v>0.11700000000000001</v>
      </c>
      <c r="F38" s="359"/>
      <c r="G38" s="364">
        <f>VLOOKUP(A38,'Rates-Lights'!$C$550:$I$660,5,FALSE)</f>
        <v>0.34</v>
      </c>
      <c r="H38" s="364">
        <f>SUMIF(_12MonLights_RateCategory,TEXT(A38,0),_12MonLights_Base_Fuel_Revenue)</f>
        <v>53844.499999999993</v>
      </c>
      <c r="I38" s="359">
        <f>C38*F38</f>
        <v>0</v>
      </c>
      <c r="J38" s="364">
        <f>ROUND(C38*G38,2)</f>
        <v>16201</v>
      </c>
      <c r="K38" s="359">
        <f>SUM(I38:J38)</f>
        <v>16201</v>
      </c>
      <c r="L38" s="359">
        <f>SUMIF(_12MonLights_RateCategory,TEXT($A38,0),_12MonLights_Revenue_Actual)</f>
        <v>270400.84999999998</v>
      </c>
      <c r="M38" s="359">
        <f>L38-K38</f>
        <v>254199.84999999998</v>
      </c>
      <c r="N38" s="359">
        <f>ROUND($L$186/$M$153*M38,2)</f>
        <v>9556.6</v>
      </c>
      <c r="P38" s="364">
        <f>ROUND((SUMIF($E$17:$E$150,$E38,$N$17:$N$150)/SUMIF($E$17:$E$150,$E38,$C$17:$C$150)),2)</f>
        <v>0.16</v>
      </c>
      <c r="Q38" s="359">
        <f>P38*C38</f>
        <v>7624</v>
      </c>
      <c r="R38" s="359">
        <f>N38-Q38</f>
        <v>1932.6000000000004</v>
      </c>
      <c r="S38" s="365">
        <f>T38-G38+P38</f>
        <v>10.98</v>
      </c>
      <c r="T38" s="364">
        <f>VLOOKUP($A38,'Rates-Lights'!$C$550:$I$660,3,FALSE)</f>
        <v>11.16</v>
      </c>
      <c r="U38" s="360">
        <f>(S38-T38)/T38</f>
        <v>-1.6129032258064491E-2</v>
      </c>
      <c r="W38" s="366"/>
      <c r="X38" s="361"/>
    </row>
    <row r="39" spans="1:24">
      <c r="A39" s="363"/>
      <c r="B39"/>
      <c r="F39" s="359"/>
      <c r="G39" s="364"/>
      <c r="H39" s="364"/>
      <c r="I39" s="359"/>
      <c r="J39" s="364"/>
      <c r="K39" s="359"/>
      <c r="L39" s="359"/>
      <c r="M39" s="359"/>
      <c r="N39" s="359"/>
      <c r="P39" s="364"/>
      <c r="Q39" s="359"/>
      <c r="R39" s="359"/>
      <c r="S39" s="365"/>
      <c r="T39" s="364"/>
      <c r="U39" s="360"/>
      <c r="W39" s="366"/>
      <c r="X39" s="361"/>
    </row>
    <row r="40" spans="1:24">
      <c r="A40" s="363" t="s">
        <v>382</v>
      </c>
      <c r="B40" s="12" t="s">
        <v>1184</v>
      </c>
      <c r="C40" s="244">
        <f>SUMIF(_12MonLights_RateCategory,$A40,_12MonLights_Count)</f>
        <v>618</v>
      </c>
      <c r="D40" s="244">
        <f>SUMIF(_12MonLights_RateCategory,$A40,_12MonLights_KWH)</f>
        <v>7680</v>
      </c>
      <c r="E40" s="388">
        <v>8.3000000000000004E-2</v>
      </c>
      <c r="F40" s="359"/>
      <c r="G40" s="364">
        <f>VLOOKUP(A40,'Rates-Lights'!$C$550:$I$660,5,FALSE)</f>
        <v>0.43</v>
      </c>
      <c r="H40" s="364">
        <f>SUMIF(_12MonLights_RateCategory,TEXT(A40,0),_12MonLights_Base_Fuel_Revenue)</f>
        <v>494.40000000000003</v>
      </c>
      <c r="I40" s="359">
        <f>C40*F40</f>
        <v>0</v>
      </c>
      <c r="J40" s="364">
        <f>ROUND(C40*G40,2)</f>
        <v>265.74</v>
      </c>
      <c r="K40" s="359">
        <f>SUM(I40:J40)</f>
        <v>265.74</v>
      </c>
      <c r="L40" s="359">
        <f>SUMIF(_12MonLights_RateCategory,TEXT($A40,0),_12MonLights_Revenue_Actual)</f>
        <v>4636.3200000000006</v>
      </c>
      <c r="M40" s="359">
        <f>L40-K40</f>
        <v>4370.5800000000008</v>
      </c>
      <c r="N40" s="359">
        <f>ROUND($L$186/$M$153*M40,2)</f>
        <v>164.31</v>
      </c>
      <c r="P40" s="364">
        <f>ROUND((SUMIF($E$17:$E$150,$E40,$N$17:$N$150)/SUMIF($E$17:$E$150,$E40,$C$17:$C$150)),2)</f>
        <v>0.21</v>
      </c>
      <c r="Q40" s="359">
        <f>P40*C40</f>
        <v>129.78</v>
      </c>
      <c r="R40" s="359">
        <f>N40-Q40</f>
        <v>34.53</v>
      </c>
      <c r="S40" s="365">
        <f>T40-G40+P40</f>
        <v>14.640000000000002</v>
      </c>
      <c r="T40" s="364">
        <f>VLOOKUP($A40,'Rates-Lights'!$C$550:$I$660,3,FALSE)</f>
        <v>14.860000000000001</v>
      </c>
      <c r="U40" s="360">
        <f>(S40-T40)/T40</f>
        <v>-1.48048452220726E-2</v>
      </c>
      <c r="W40" s="366"/>
      <c r="X40" s="361"/>
    </row>
    <row r="41" spans="1:24">
      <c r="A41" s="363" t="s">
        <v>384</v>
      </c>
      <c r="B41" s="12" t="s">
        <v>1185</v>
      </c>
      <c r="C41" s="244">
        <f>SUMIF(_12MonLights_RateCategory,$A41,_12MonLights_Count)</f>
        <v>1752</v>
      </c>
      <c r="D41" s="244">
        <f>SUMIF(_12MonLights_RateCategory,$A41,_12MonLights_KWH)</f>
        <v>21977</v>
      </c>
      <c r="E41" s="388">
        <v>8.3000000000000004E-2</v>
      </c>
      <c r="F41" s="359"/>
      <c r="G41" s="364">
        <f>VLOOKUP(A41,'Rates-Lights'!$C$550:$I$660,5,FALSE)</f>
        <v>0.43</v>
      </c>
      <c r="H41" s="364">
        <f>SUMIF(_12MonLights_RateCategory,TEXT(A41,0),_12MonLights_Base_Fuel_Revenue)</f>
        <v>1401.5999999999997</v>
      </c>
      <c r="I41" s="359">
        <f>C41*F41</f>
        <v>0</v>
      </c>
      <c r="J41" s="364">
        <f>ROUND(C41*G41,2)</f>
        <v>753.36</v>
      </c>
      <c r="K41" s="359">
        <f>SUM(I41:J41)</f>
        <v>753.36</v>
      </c>
      <c r="L41" s="359">
        <f>SUMIF(_12MonLights_RateCategory,TEXT($A41,0),_12MonLights_Revenue_Actual)</f>
        <v>19074.52</v>
      </c>
      <c r="M41" s="359">
        <f>L41-K41</f>
        <v>18321.16</v>
      </c>
      <c r="N41" s="359">
        <f>ROUND($L$186/$M$153*M41,2)</f>
        <v>688.78</v>
      </c>
      <c r="P41" s="364">
        <f>ROUND((SUMIF($E$17:$E$150,$E41,$N$17:$N$150)/SUMIF($E$17:$E$150,$E41,$C$17:$C$150)),2)</f>
        <v>0.21</v>
      </c>
      <c r="Q41" s="359">
        <f>P41*C41</f>
        <v>367.91999999999996</v>
      </c>
      <c r="R41" s="359">
        <f>N41-Q41</f>
        <v>320.86</v>
      </c>
      <c r="S41" s="365">
        <f>T41-G41+P41</f>
        <v>21.16</v>
      </c>
      <c r="T41" s="364">
        <f>VLOOKUP($A41,'Rates-Lights'!$C$550:$I$660,3,FALSE)</f>
        <v>21.38</v>
      </c>
      <c r="U41" s="360">
        <f>(S41-T41)/T41</f>
        <v>-1.0289990645462996E-2</v>
      </c>
      <c r="W41" s="366"/>
      <c r="X41" s="361"/>
    </row>
    <row r="42" spans="1:24">
      <c r="A42" s="363" t="s">
        <v>405</v>
      </c>
      <c r="B42" s="12" t="s">
        <v>1186</v>
      </c>
      <c r="C42" s="244">
        <f>SUMIF(_12MonLights_RateCategory,$A42,_12MonLights_Count)</f>
        <v>5601</v>
      </c>
      <c r="D42" s="244">
        <f>SUMIF(_12MonLights_RateCategory,$A42,_12MonLights_KWH)</f>
        <v>105925</v>
      </c>
      <c r="E42" s="388">
        <v>0.11700000000000001</v>
      </c>
      <c r="F42" s="359"/>
      <c r="G42" s="364">
        <f>VLOOKUP(A42,'Rates-Lights'!$C$550:$I$660,5,FALSE)</f>
        <v>0.34</v>
      </c>
      <c r="H42" s="364">
        <f>SUMIF(_12MonLights_RateCategory,TEXT(A42,0),_12MonLights_Base_Fuel_Revenue)</f>
        <v>6329.13</v>
      </c>
      <c r="I42" s="359">
        <f>C42*F42</f>
        <v>0</v>
      </c>
      <c r="J42" s="364">
        <f>ROUND(C42*G42,2)</f>
        <v>1904.34</v>
      </c>
      <c r="K42" s="359">
        <f>SUM(I42:J42)</f>
        <v>1904.34</v>
      </c>
      <c r="L42" s="359">
        <f>SUMIF(_12MonLights_RateCategory,TEXT($A42,0),_12MonLights_Revenue_Actual)</f>
        <v>46331.39</v>
      </c>
      <c r="M42" s="359">
        <f>L42-K42</f>
        <v>44427.05</v>
      </c>
      <c r="N42" s="359">
        <f>ROUND($L$186/$M$153*M42,2)</f>
        <v>1670.23</v>
      </c>
      <c r="O42" s="366"/>
      <c r="P42" s="364">
        <f>ROUND((SUMIF($E$17:$E$150,$E42,$N$17:$N$150)/SUMIF($E$17:$E$150,$E42,$C$17:$C$150)),2)</f>
        <v>0.16</v>
      </c>
      <c r="Q42" s="359">
        <f>P42*C42</f>
        <v>896.16</v>
      </c>
      <c r="R42" s="359">
        <f>N42-Q42</f>
        <v>774.07</v>
      </c>
      <c r="S42" s="365">
        <f>T42-G42+P42</f>
        <v>15.180000000000001</v>
      </c>
      <c r="T42" s="364">
        <f>VLOOKUP($A42,'Rates-Lights'!$C$550:$I$660,3,FALSE)</f>
        <v>15.360000000000001</v>
      </c>
      <c r="U42" s="360">
        <f>(S42-T42)/T42</f>
        <v>-1.1718749999999981E-2</v>
      </c>
      <c r="W42" s="366"/>
      <c r="X42" s="361"/>
    </row>
    <row r="43" spans="1:24">
      <c r="A43" s="363" t="s">
        <v>407</v>
      </c>
      <c r="B43" s="12" t="s">
        <v>1187</v>
      </c>
      <c r="C43" s="244">
        <f>SUMIF(_12MonLights_RateCategory,$A43,_12MonLights_Count)</f>
        <v>13826</v>
      </c>
      <c r="D43" s="244">
        <f>SUMIF(_12MonLights_RateCategory,$A43,_12MonLights_KWH)</f>
        <v>245846</v>
      </c>
      <c r="E43" s="388">
        <v>0.11700000000000001</v>
      </c>
      <c r="F43" s="359"/>
      <c r="G43" s="364">
        <f>VLOOKUP(A43,'Rates-Lights'!$C$550:$I$660,5,FALSE)</f>
        <v>0.34</v>
      </c>
      <c r="H43" s="364">
        <f>SUMIF(_12MonLights_RateCategory,TEXT(A43,0),_12MonLights_Base_Fuel_Revenue)</f>
        <v>15623.38</v>
      </c>
      <c r="I43" s="359">
        <f>C43*F43</f>
        <v>0</v>
      </c>
      <c r="J43" s="364">
        <f>ROUND(C43*G43,2)</f>
        <v>4700.84</v>
      </c>
      <c r="K43" s="359">
        <f>SUM(I43:J43)</f>
        <v>4700.84</v>
      </c>
      <c r="L43" s="359">
        <f>SUMIF(_12MonLights_RateCategory,TEXT($A43,0),_12MonLights_Revenue_Actual)</f>
        <v>155376.51</v>
      </c>
      <c r="M43" s="359">
        <f>L43-K43</f>
        <v>150675.67000000001</v>
      </c>
      <c r="N43" s="359">
        <f>ROUND($L$186/$M$153*M43,2)</f>
        <v>5664.63</v>
      </c>
      <c r="P43" s="364">
        <f>ROUND((SUMIF($E$17:$E$150,$E43,$N$17:$N$150)/SUMIF($E$17:$E$150,$E43,$C$17:$C$150)),2)</f>
        <v>0.16</v>
      </c>
      <c r="Q43" s="359">
        <f>P43*C43</f>
        <v>2212.16</v>
      </c>
      <c r="R43" s="359">
        <f>N43-Q43</f>
        <v>3452.4700000000003</v>
      </c>
      <c r="S43" s="365">
        <f>T43-G43+P43</f>
        <v>21.82</v>
      </c>
      <c r="T43" s="364">
        <f>VLOOKUP($A43,'Rates-Lights'!$C$550:$I$660,3,FALSE)</f>
        <v>22</v>
      </c>
      <c r="U43" s="360">
        <f>(S43-T43)/T43</f>
        <v>-8.1818181818181686E-3</v>
      </c>
      <c r="W43" s="366"/>
      <c r="X43" s="361"/>
    </row>
    <row r="44" spans="1:24">
      <c r="A44" s="363"/>
      <c r="B44"/>
      <c r="F44" s="359"/>
      <c r="G44" s="364"/>
      <c r="H44" s="364"/>
      <c r="I44" s="359"/>
      <c r="J44" s="364"/>
      <c r="K44" s="359"/>
      <c r="L44" s="359"/>
      <c r="M44" s="359"/>
      <c r="N44" s="359"/>
      <c r="P44" s="364"/>
      <c r="Q44" s="359"/>
      <c r="R44" s="359"/>
      <c r="S44" s="365"/>
      <c r="T44" s="364"/>
      <c r="U44" s="360"/>
      <c r="W44" s="366"/>
      <c r="X44" s="361"/>
    </row>
    <row r="45" spans="1:24">
      <c r="A45" s="363" t="s">
        <v>387</v>
      </c>
      <c r="B45" t="s">
        <v>1188</v>
      </c>
      <c r="C45" s="244">
        <f>SUMIF(_12MonLights_RateCategory,$A45,_12MonLights_Count)</f>
        <v>252</v>
      </c>
      <c r="D45" s="244">
        <f>SUMIF(_12MonLights_RateCategory,$A45,_12MonLights_KWH)</f>
        <v>3159</v>
      </c>
      <c r="E45" s="388">
        <v>8.3000000000000004E-2</v>
      </c>
      <c r="F45" s="359"/>
      <c r="G45" s="364">
        <f>VLOOKUP(A45,'Rates-Lights'!$C$550:$I$660,5,FALSE)</f>
        <v>0.43</v>
      </c>
      <c r="H45" s="364">
        <f>SUMIF(_12MonLights_RateCategory,TEXT(A45,0),_12MonLights_Base_Fuel_Revenue)</f>
        <v>201.60000000000005</v>
      </c>
      <c r="I45" s="359">
        <f>C45*F45</f>
        <v>0</v>
      </c>
      <c r="J45" s="364">
        <f>ROUND(C45*G45,2)</f>
        <v>108.36</v>
      </c>
      <c r="K45" s="359">
        <f>SUM(I45:J45)</f>
        <v>108.36</v>
      </c>
      <c r="L45" s="359">
        <f>SUMIF(_12MonLights_RateCategory,TEXT($A45,0),_12MonLights_Revenue_Actual)</f>
        <v>3885.8399999999997</v>
      </c>
      <c r="M45" s="359">
        <f>L45-K45</f>
        <v>3777.4799999999996</v>
      </c>
      <c r="N45" s="359">
        <f>ROUND($L$186/$M$153*M45,2)</f>
        <v>142.01</v>
      </c>
      <c r="P45" s="364">
        <f>ROUND((SUMIF($E$17:$E$150,$E45,$N$17:$N$150)/SUMIF($E$17:$E$150,$E45,$C$17:$C$150)),2)</f>
        <v>0.21</v>
      </c>
      <c r="Q45" s="359">
        <f>P45*C45</f>
        <v>52.919999999999995</v>
      </c>
      <c r="R45" s="359">
        <f>N45-Q45</f>
        <v>89.09</v>
      </c>
      <c r="S45" s="365">
        <f>T45-G45+P45</f>
        <v>30.62</v>
      </c>
      <c r="T45" s="364">
        <f>VLOOKUP($A45,'Rates-Lights'!$C$550:$I$660,3,FALSE)</f>
        <v>30.84</v>
      </c>
      <c r="U45" s="360">
        <f>(S45-T45)/T45</f>
        <v>-7.1335927367055406E-3</v>
      </c>
      <c r="W45" s="366"/>
      <c r="X45" s="361"/>
    </row>
    <row r="46" spans="1:24">
      <c r="A46" s="363" t="s">
        <v>410</v>
      </c>
      <c r="B46" s="12" t="s">
        <v>1189</v>
      </c>
      <c r="C46" s="244">
        <f>SUMIF(_12MonLights_RateCategory,$A46,_12MonLights_Count)</f>
        <v>120</v>
      </c>
      <c r="D46" s="244">
        <f>SUMIF(_12MonLights_RateCategory,$A46,_12MonLights_KWH)</f>
        <v>2120</v>
      </c>
      <c r="E46" s="388">
        <v>0.11700000000000001</v>
      </c>
      <c r="F46" s="359"/>
      <c r="G46" s="364">
        <f>VLOOKUP(A46,'Rates-Lights'!$C$550:$I$660,5,FALSE)</f>
        <v>0.34</v>
      </c>
      <c r="H46" s="364">
        <f>SUMIF(_12MonLights_RateCategory,TEXT(A46,0),_12MonLights_Base_Fuel_Revenue)</f>
        <v>135.6</v>
      </c>
      <c r="I46" s="359">
        <f>C46*F46</f>
        <v>0</v>
      </c>
      <c r="J46" s="364">
        <f>ROUND(C46*G46,2)</f>
        <v>40.799999999999997</v>
      </c>
      <c r="K46" s="359">
        <f>SUM(I46:J46)</f>
        <v>40.799999999999997</v>
      </c>
      <c r="L46" s="359">
        <f>SUMIF(_12MonLights_RateCategory,TEXT($A46,0),_12MonLights_Revenue_Actual)</f>
        <v>1873.2000000000003</v>
      </c>
      <c r="M46" s="359">
        <f>L46-K46</f>
        <v>1832.4000000000003</v>
      </c>
      <c r="N46" s="359">
        <f>ROUND($L$186/$M$153*M46,2)</f>
        <v>68.89</v>
      </c>
      <c r="P46" s="364">
        <f>ROUND((SUMIF($E$17:$E$150,$E46,$N$17:$N$150)/SUMIF($E$17:$E$150,$E46,$C$17:$C$150)),2)</f>
        <v>0.16</v>
      </c>
      <c r="Q46" s="359">
        <f>P46*C46</f>
        <v>19.2</v>
      </c>
      <c r="R46" s="359">
        <f>N46-Q46</f>
        <v>49.69</v>
      </c>
      <c r="S46" s="365">
        <f>T46-G46+P46</f>
        <v>31.04</v>
      </c>
      <c r="T46" s="364">
        <f>VLOOKUP($A46,'Rates-Lights'!$C$550:$I$660,3,FALSE)</f>
        <v>31.22</v>
      </c>
      <c r="U46" s="360">
        <f>(S46-T46)/T46</f>
        <v>-5.765534913516967E-3</v>
      </c>
      <c r="W46" s="366"/>
      <c r="X46" s="361"/>
    </row>
    <row r="47" spans="1:24">
      <c r="A47" s="363"/>
      <c r="B47"/>
      <c r="F47" s="359"/>
      <c r="G47" s="364"/>
      <c r="H47" s="364"/>
      <c r="I47" s="359"/>
      <c r="J47" s="364"/>
      <c r="K47" s="359"/>
      <c r="L47" s="359"/>
      <c r="M47" s="359"/>
      <c r="N47" s="359"/>
      <c r="P47" s="364"/>
      <c r="Q47" s="359"/>
      <c r="R47" s="359"/>
      <c r="S47" s="365"/>
      <c r="T47" s="364"/>
      <c r="U47" s="360"/>
      <c r="W47" s="366"/>
      <c r="X47" s="361"/>
    </row>
    <row r="48" spans="1:24">
      <c r="A48" s="381" t="s">
        <v>715</v>
      </c>
      <c r="B48" s="12" t="s">
        <v>1191</v>
      </c>
      <c r="C48" s="244">
        <f t="shared" ref="C48:C55" si="16">SUMIF(_12MonLights_RateCategory,$A48,_12MonLights_Count)</f>
        <v>24</v>
      </c>
      <c r="D48" s="244">
        <f t="shared" ref="D48:D55" si="17">SUMIF(_12MonLights_RateCategory,$A48,_12MonLights_KWH)</f>
        <v>290</v>
      </c>
      <c r="E48" s="388">
        <v>8.3000000000000004E-2</v>
      </c>
      <c r="F48" s="359"/>
      <c r="G48" s="364">
        <f>VLOOKUP(A48,'Rates-Lights'!$C$550:$I$660,5,FALSE)</f>
        <v>0.43</v>
      </c>
      <c r="H48" s="364">
        <f t="shared" ref="H48:H55" si="18">SUMIF(_12MonLights_RateCategory,TEXT(A48,0),_12MonLights_Base_Fuel_Revenue)</f>
        <v>19.2</v>
      </c>
      <c r="I48" s="359">
        <f t="shared" ref="I48:I55" si="19">C48*F48</f>
        <v>0</v>
      </c>
      <c r="J48" s="364">
        <f t="shared" ref="J48:J55" si="20">ROUND(C48*G48,2)</f>
        <v>10.32</v>
      </c>
      <c r="K48" s="359">
        <f t="shared" ref="K48:K55" si="21">SUM(I48:J48)</f>
        <v>10.32</v>
      </c>
      <c r="L48" s="359">
        <f t="shared" ref="L48:L55" si="22">SUMIF(_12MonLights_RateCategory,TEXT($A48,0),_12MonLights_Revenue_Actual)</f>
        <v>184.44</v>
      </c>
      <c r="M48" s="359">
        <f t="shared" ref="M48:M55" si="23">L48-K48</f>
        <v>174.12</v>
      </c>
      <c r="N48" s="359">
        <f t="shared" ref="N48:N55" si="24">ROUND($L$186/$M$153*M48,2)</f>
        <v>6.55</v>
      </c>
      <c r="P48" s="364">
        <f t="shared" ref="P48:P55" si="25">ROUND((SUMIF($E$17:$E$150,$E48,$N$17:$N$150)/SUMIF($E$17:$E$150,$E48,$C$17:$C$150)),2)</f>
        <v>0.21</v>
      </c>
      <c r="Q48" s="359">
        <f t="shared" ref="Q48:Q55" si="26">P48*C48</f>
        <v>5.04</v>
      </c>
      <c r="R48" s="359">
        <f t="shared" ref="R48:R55" si="27">N48-Q48</f>
        <v>1.5099999999999998</v>
      </c>
      <c r="S48" s="365">
        <f t="shared" ref="S48:S55" si="28">T48-G48+P48</f>
        <v>15.150000000000002</v>
      </c>
      <c r="T48" s="364">
        <f>VLOOKUP($A48,'Rates-Lights'!$C$550:$I$660,3,FALSE)</f>
        <v>15.370000000000001</v>
      </c>
      <c r="U48" s="360">
        <f t="shared" ref="U48:U55" si="29">(S48-T48)/T48</f>
        <v>-1.4313597918022046E-2</v>
      </c>
      <c r="W48" s="366"/>
      <c r="X48" s="361"/>
    </row>
    <row r="49" spans="1:24">
      <c r="A49" s="363" t="s">
        <v>390</v>
      </c>
      <c r="B49" t="s">
        <v>1190</v>
      </c>
      <c r="C49" s="244">
        <f t="shared" si="16"/>
        <v>54348</v>
      </c>
      <c r="D49" s="244">
        <f t="shared" si="17"/>
        <v>695254</v>
      </c>
      <c r="E49" s="388">
        <v>8.3000000000000004E-2</v>
      </c>
      <c r="F49" s="359"/>
      <c r="G49" s="364">
        <f>VLOOKUP(A49,'Rates-Lights'!$C$550:$I$660,5,FALSE)</f>
        <v>0.43</v>
      </c>
      <c r="H49" s="364">
        <f t="shared" si="18"/>
        <v>43478.400000000001</v>
      </c>
      <c r="I49" s="359">
        <f t="shared" si="19"/>
        <v>0</v>
      </c>
      <c r="J49" s="364">
        <f t="shared" si="20"/>
        <v>23369.64</v>
      </c>
      <c r="K49" s="359">
        <f t="shared" si="21"/>
        <v>23369.64</v>
      </c>
      <c r="L49" s="359">
        <f t="shared" si="22"/>
        <v>460286.93000000005</v>
      </c>
      <c r="M49" s="359">
        <f t="shared" si="23"/>
        <v>436917.29000000004</v>
      </c>
      <c r="N49" s="359">
        <f t="shared" si="24"/>
        <v>16425.830000000002</v>
      </c>
      <c r="P49" s="364">
        <f t="shared" si="25"/>
        <v>0.21</v>
      </c>
      <c r="Q49" s="359">
        <f t="shared" si="26"/>
        <v>11413.08</v>
      </c>
      <c r="R49" s="359">
        <f t="shared" si="27"/>
        <v>5012.7500000000018</v>
      </c>
      <c r="S49" s="365">
        <f t="shared" si="28"/>
        <v>16.57</v>
      </c>
      <c r="T49" s="364">
        <f>VLOOKUP($A49,'Rates-Lights'!$C$550:$I$660,3,FALSE)</f>
        <v>16.79</v>
      </c>
      <c r="U49" s="360">
        <f t="shared" si="29"/>
        <v>-1.3103037522334656E-2</v>
      </c>
      <c r="W49" s="366"/>
      <c r="X49" s="361"/>
    </row>
    <row r="50" spans="1:24">
      <c r="A50" s="381" t="s">
        <v>683</v>
      </c>
      <c r="B50" s="12" t="s">
        <v>1192</v>
      </c>
      <c r="C50" s="244">
        <f t="shared" si="16"/>
        <v>111</v>
      </c>
      <c r="D50" s="244">
        <f t="shared" si="17"/>
        <v>2336</v>
      </c>
      <c r="E50" s="388">
        <v>0.11700000000000001</v>
      </c>
      <c r="F50" s="359"/>
      <c r="G50" s="364">
        <f>VLOOKUP(A50,'Rates-Lights'!$C$550:$I$660,5,FALSE)</f>
        <v>0.34</v>
      </c>
      <c r="H50" s="364">
        <f t="shared" si="18"/>
        <v>125.42999999999998</v>
      </c>
      <c r="I50" s="359">
        <f t="shared" si="19"/>
        <v>0</v>
      </c>
      <c r="J50" s="364">
        <f t="shared" si="20"/>
        <v>37.74</v>
      </c>
      <c r="K50" s="359">
        <f t="shared" si="21"/>
        <v>37.74</v>
      </c>
      <c r="L50" s="359">
        <f t="shared" si="22"/>
        <v>1041.75</v>
      </c>
      <c r="M50" s="359">
        <f t="shared" si="23"/>
        <v>1004.01</v>
      </c>
      <c r="N50" s="359">
        <f t="shared" si="24"/>
        <v>37.75</v>
      </c>
      <c r="P50" s="364">
        <f t="shared" si="25"/>
        <v>0.16</v>
      </c>
      <c r="Q50" s="359">
        <f t="shared" si="26"/>
        <v>17.760000000000002</v>
      </c>
      <c r="R50" s="359">
        <f t="shared" si="27"/>
        <v>19.989999999999998</v>
      </c>
      <c r="S50" s="365">
        <f t="shared" si="28"/>
        <v>15.17</v>
      </c>
      <c r="T50" s="364">
        <f>VLOOKUP($A50,'Rates-Lights'!$C$550:$I$660,3,FALSE)</f>
        <v>15.35</v>
      </c>
      <c r="U50" s="360">
        <f t="shared" si="29"/>
        <v>-1.1726384364820829E-2</v>
      </c>
      <c r="W50" s="366"/>
      <c r="X50" s="361"/>
    </row>
    <row r="51" spans="1:24">
      <c r="A51" s="363" t="s">
        <v>414</v>
      </c>
      <c r="B51" s="12" t="s">
        <v>1193</v>
      </c>
      <c r="C51" s="244">
        <f t="shared" si="16"/>
        <v>12575</v>
      </c>
      <c r="D51" s="244">
        <f t="shared" si="17"/>
        <v>223703</v>
      </c>
      <c r="E51" s="388">
        <v>0.11700000000000001</v>
      </c>
      <c r="F51" s="359"/>
      <c r="G51" s="364">
        <f>VLOOKUP(A51,'Rates-Lights'!$C$550:$I$660,5,FALSE)</f>
        <v>0.34</v>
      </c>
      <c r="H51" s="364">
        <f t="shared" si="18"/>
        <v>14209.75</v>
      </c>
      <c r="I51" s="359">
        <f t="shared" si="19"/>
        <v>0</v>
      </c>
      <c r="J51" s="364">
        <f t="shared" si="20"/>
        <v>4275.5</v>
      </c>
      <c r="K51" s="359">
        <f t="shared" si="21"/>
        <v>4275.5</v>
      </c>
      <c r="L51" s="359">
        <f t="shared" si="22"/>
        <v>132818.40000000002</v>
      </c>
      <c r="M51" s="359">
        <f t="shared" si="23"/>
        <v>128542.90000000002</v>
      </c>
      <c r="N51" s="359">
        <f t="shared" si="24"/>
        <v>4832.55</v>
      </c>
      <c r="P51" s="364">
        <f t="shared" si="25"/>
        <v>0.16</v>
      </c>
      <c r="Q51" s="359">
        <f t="shared" si="26"/>
        <v>2012</v>
      </c>
      <c r="R51" s="359">
        <f t="shared" si="27"/>
        <v>2820.55</v>
      </c>
      <c r="S51" s="365">
        <f t="shared" si="28"/>
        <v>20.79</v>
      </c>
      <c r="T51" s="364">
        <f>VLOOKUP($A51,'Rates-Lights'!$C$550:$I$660,3,FALSE)</f>
        <v>20.97</v>
      </c>
      <c r="U51" s="360">
        <f t="shared" si="29"/>
        <v>-8.5836909871244496E-3</v>
      </c>
      <c r="W51" s="366"/>
      <c r="X51" s="361"/>
    </row>
    <row r="52" spans="1:24">
      <c r="A52" s="363" t="s">
        <v>463</v>
      </c>
      <c r="B52" s="12" t="s">
        <v>1194</v>
      </c>
      <c r="C52" s="244">
        <f t="shared" si="16"/>
        <v>278</v>
      </c>
      <c r="D52" s="244">
        <f t="shared" si="17"/>
        <v>12327</v>
      </c>
      <c r="E52" s="388">
        <v>0.24199999999999999</v>
      </c>
      <c r="F52" s="359"/>
      <c r="G52" s="364">
        <f>VLOOKUP(A52,'Rates-Lights'!$C$550:$I$660,5,FALSE)</f>
        <v>0.57999999999999996</v>
      </c>
      <c r="H52" s="364">
        <f t="shared" si="18"/>
        <v>647.74</v>
      </c>
      <c r="I52" s="359">
        <f t="shared" si="19"/>
        <v>0</v>
      </c>
      <c r="J52" s="364">
        <f t="shared" si="20"/>
        <v>161.24</v>
      </c>
      <c r="K52" s="359">
        <f t="shared" si="21"/>
        <v>161.24</v>
      </c>
      <c r="L52" s="359">
        <f t="shared" si="22"/>
        <v>3058.4700000000003</v>
      </c>
      <c r="M52" s="359">
        <f t="shared" si="23"/>
        <v>2897.2300000000005</v>
      </c>
      <c r="N52" s="359">
        <f t="shared" si="24"/>
        <v>108.92</v>
      </c>
      <c r="P52" s="364">
        <f t="shared" si="25"/>
        <v>0.28000000000000003</v>
      </c>
      <c r="Q52" s="359">
        <f t="shared" si="26"/>
        <v>77.84</v>
      </c>
      <c r="R52" s="359">
        <f t="shared" si="27"/>
        <v>31.08</v>
      </c>
      <c r="S52" s="365">
        <f t="shared" si="28"/>
        <v>17.420000000000002</v>
      </c>
      <c r="T52" s="364">
        <f>VLOOKUP($A52,'Rates-Lights'!$C$550:$I$660,3,FALSE)</f>
        <v>17.72</v>
      </c>
      <c r="U52" s="360">
        <f t="shared" si="29"/>
        <v>-1.6930022573363273E-2</v>
      </c>
      <c r="W52" s="366"/>
      <c r="X52" s="361"/>
    </row>
    <row r="53" spans="1:24">
      <c r="A53" s="363" t="s">
        <v>364</v>
      </c>
      <c r="B53" s="12" t="s">
        <v>1195</v>
      </c>
      <c r="C53" s="244">
        <f t="shared" si="16"/>
        <v>16761</v>
      </c>
      <c r="D53" s="244">
        <f t="shared" si="17"/>
        <v>616491</v>
      </c>
      <c r="E53" s="388">
        <v>0.24199999999999999</v>
      </c>
      <c r="F53" s="359"/>
      <c r="G53" s="364">
        <f>VLOOKUP(A53,'Rates-Lights'!$C$550:$I$660,5,FALSE)</f>
        <v>0.57999999999999996</v>
      </c>
      <c r="H53" s="364">
        <f t="shared" si="18"/>
        <v>39053.130000000005</v>
      </c>
      <c r="I53" s="359">
        <f t="shared" si="19"/>
        <v>0</v>
      </c>
      <c r="J53" s="364">
        <f t="shared" si="20"/>
        <v>9721.3799999999992</v>
      </c>
      <c r="K53" s="359">
        <f t="shared" si="21"/>
        <v>9721.3799999999992</v>
      </c>
      <c r="L53" s="359">
        <f t="shared" si="22"/>
        <v>227447.64</v>
      </c>
      <c r="M53" s="359">
        <f t="shared" si="23"/>
        <v>217726.26</v>
      </c>
      <c r="N53" s="359">
        <f t="shared" si="24"/>
        <v>8185.38</v>
      </c>
      <c r="P53" s="364">
        <f t="shared" si="25"/>
        <v>0.28000000000000003</v>
      </c>
      <c r="Q53" s="359">
        <f t="shared" si="26"/>
        <v>4693.0800000000008</v>
      </c>
      <c r="R53" s="359">
        <f t="shared" si="27"/>
        <v>3492.2999999999993</v>
      </c>
      <c r="S53" s="365">
        <f t="shared" si="28"/>
        <v>26.560000000000002</v>
      </c>
      <c r="T53" s="364">
        <f>VLOOKUP($A53,'Rates-Lights'!$C$550:$I$660,3,FALSE)</f>
        <v>26.86</v>
      </c>
      <c r="U53" s="360">
        <f t="shared" si="29"/>
        <v>-1.1169024571853953E-2</v>
      </c>
      <c r="W53" s="366"/>
      <c r="X53" s="361"/>
    </row>
    <row r="54" spans="1:24">
      <c r="A54" s="363" t="s">
        <v>653</v>
      </c>
      <c r="B54" s="12" t="s">
        <v>1196</v>
      </c>
      <c r="C54" s="244">
        <f t="shared" si="16"/>
        <v>286</v>
      </c>
      <c r="D54" s="244">
        <f t="shared" si="17"/>
        <v>21346</v>
      </c>
      <c r="E54" s="388">
        <v>0.47099999999999997</v>
      </c>
      <c r="F54" s="359"/>
      <c r="G54" s="364">
        <f>VLOOKUP(A54,'Rates-Lights'!$C$550:$I$660,5,FALSE)</f>
        <v>0.79</v>
      </c>
      <c r="H54" s="364">
        <f t="shared" si="18"/>
        <v>1295.5800000000002</v>
      </c>
      <c r="I54" s="359">
        <f t="shared" si="19"/>
        <v>0</v>
      </c>
      <c r="J54" s="364">
        <f t="shared" si="20"/>
        <v>225.94</v>
      </c>
      <c r="K54" s="359">
        <f t="shared" si="21"/>
        <v>225.94</v>
      </c>
      <c r="L54" s="359">
        <f t="shared" si="22"/>
        <v>3317.48</v>
      </c>
      <c r="M54" s="359">
        <f t="shared" si="23"/>
        <v>3091.54</v>
      </c>
      <c r="N54" s="359">
        <f t="shared" si="24"/>
        <v>116.23</v>
      </c>
      <c r="P54" s="364">
        <f t="shared" si="25"/>
        <v>0.38</v>
      </c>
      <c r="Q54" s="359">
        <f t="shared" si="26"/>
        <v>108.68</v>
      </c>
      <c r="R54" s="359">
        <f t="shared" si="27"/>
        <v>7.5499999999999972</v>
      </c>
      <c r="S54" s="365">
        <f t="shared" si="28"/>
        <v>21.080000000000002</v>
      </c>
      <c r="T54" s="364">
        <f>VLOOKUP($A54,'Rates-Lights'!$C$550:$I$660,3,FALSE)</f>
        <v>21.490000000000002</v>
      </c>
      <c r="U54" s="360">
        <f t="shared" si="29"/>
        <v>-1.9078641228478369E-2</v>
      </c>
      <c r="W54" s="366"/>
      <c r="X54" s="361"/>
    </row>
    <row r="55" spans="1:24">
      <c r="A55" s="363" t="s">
        <v>396</v>
      </c>
      <c r="B55" s="12" t="s">
        <v>1197</v>
      </c>
      <c r="C55" s="244">
        <f t="shared" si="16"/>
        <v>11333</v>
      </c>
      <c r="D55" s="244">
        <f t="shared" si="17"/>
        <v>796584</v>
      </c>
      <c r="E55" s="388">
        <v>0.47099999999999997</v>
      </c>
      <c r="F55" s="359"/>
      <c r="G55" s="364">
        <f>VLOOKUP(A55,'Rates-Lights'!$C$550:$I$660,5,FALSE)</f>
        <v>0.79</v>
      </c>
      <c r="H55" s="364">
        <f t="shared" si="18"/>
        <v>51338.49</v>
      </c>
      <c r="I55" s="359">
        <f t="shared" si="19"/>
        <v>0</v>
      </c>
      <c r="J55" s="364">
        <f t="shared" si="20"/>
        <v>8953.07</v>
      </c>
      <c r="K55" s="359">
        <f t="shared" si="21"/>
        <v>8953.07</v>
      </c>
      <c r="L55" s="359">
        <f t="shared" si="22"/>
        <v>188439.02000000002</v>
      </c>
      <c r="M55" s="359">
        <f t="shared" si="23"/>
        <v>179485.95</v>
      </c>
      <c r="N55" s="359">
        <f t="shared" si="24"/>
        <v>6747.74</v>
      </c>
      <c r="P55" s="364">
        <f t="shared" si="25"/>
        <v>0.38</v>
      </c>
      <c r="Q55" s="359">
        <f t="shared" si="26"/>
        <v>4306.54</v>
      </c>
      <c r="R55" s="359">
        <f t="shared" si="27"/>
        <v>2441.1999999999998</v>
      </c>
      <c r="S55" s="365">
        <f t="shared" si="28"/>
        <v>32.71</v>
      </c>
      <c r="T55" s="364">
        <f>VLOOKUP($A55,'Rates-Lights'!$C$550:$I$660,3,FALSE)</f>
        <v>33.119999999999997</v>
      </c>
      <c r="U55" s="360">
        <f t="shared" si="29"/>
        <v>-1.2379227053139994E-2</v>
      </c>
      <c r="W55" s="366"/>
      <c r="X55" s="361"/>
    </row>
    <row r="56" spans="1:24">
      <c r="A56" s="363"/>
      <c r="B56"/>
      <c r="F56" s="359"/>
      <c r="G56" s="364"/>
      <c r="H56" s="364"/>
      <c r="I56" s="359"/>
      <c r="J56" s="364"/>
      <c r="K56" s="359"/>
      <c r="L56" s="359"/>
      <c r="M56" s="359"/>
      <c r="N56" s="359"/>
      <c r="P56" s="364"/>
      <c r="Q56" s="359"/>
      <c r="R56" s="359"/>
      <c r="S56" s="365"/>
      <c r="T56" s="364"/>
      <c r="U56" s="360"/>
      <c r="W56" s="366"/>
      <c r="X56" s="361"/>
    </row>
    <row r="57" spans="1:24">
      <c r="A57" s="363" t="s">
        <v>432</v>
      </c>
      <c r="B57" t="s">
        <v>1198</v>
      </c>
      <c r="C57" s="244">
        <f>SUMIF(_12MonLights_RateCategory,$A57,_12MonLights_Count)</f>
        <v>0</v>
      </c>
      <c r="D57" s="244">
        <f>SUMIF(_12MonLights_RateCategory,$A57,_12MonLights_KWH)</f>
        <v>0</v>
      </c>
      <c r="E57" s="388">
        <v>0.06</v>
      </c>
      <c r="F57" s="359"/>
      <c r="G57" s="364">
        <f>VLOOKUP(A57,'Rates-Lights'!$C$550:$I$660,5,FALSE)</f>
        <v>0.33</v>
      </c>
      <c r="H57" s="364">
        <f>SUMIF(_12MonLights_RateCategory,TEXT(A57,0),_12MonLights_Base_Fuel_Revenue)</f>
        <v>0</v>
      </c>
      <c r="I57" s="359">
        <f>C57*F57</f>
        <v>0</v>
      </c>
      <c r="J57" s="364">
        <f>ROUND(C57*G57,2)</f>
        <v>0</v>
      </c>
      <c r="K57" s="359">
        <f>SUM(I57:J57)</f>
        <v>0</v>
      </c>
      <c r="L57" s="359">
        <f>SUMIF(_12MonLights_RateCategory,TEXT($A57,0),_12MonLights_Revenue_Actual)</f>
        <v>0</v>
      </c>
      <c r="M57" s="359">
        <f>L57-K57</f>
        <v>0</v>
      </c>
      <c r="N57" s="359">
        <f>ROUND($L$186/$M$153*M57,2)</f>
        <v>0</v>
      </c>
      <c r="P57" s="364">
        <f>ROUND((SUMIF($E$17:$E$150,$E57,$N$17:$N$150)/SUMIF($E$17:$E$150,$E57,$C$17:$C$150)),2)</f>
        <v>0.16</v>
      </c>
      <c r="Q57" s="359">
        <f>P57*C57</f>
        <v>0</v>
      </c>
      <c r="R57" s="359">
        <f>N57-Q57</f>
        <v>0</v>
      </c>
      <c r="S57" s="365">
        <f>T57-G57+P57</f>
        <v>22.32</v>
      </c>
      <c r="T57" s="364">
        <f>VLOOKUP($A57,'Rates-Lights'!$C$550:$I$660,3,FALSE)</f>
        <v>22.49</v>
      </c>
      <c r="U57" s="360">
        <f>(S57-T57)/T57</f>
        <v>-7.5589150733658588E-3</v>
      </c>
      <c r="W57" s="366"/>
      <c r="X57" s="361"/>
    </row>
    <row r="58" spans="1:24">
      <c r="A58" s="363" t="s">
        <v>433</v>
      </c>
      <c r="B58" s="12" t="s">
        <v>1199</v>
      </c>
      <c r="C58" s="244">
        <f>SUMIF(_12MonLights_RateCategory,$A58,_12MonLights_Count)</f>
        <v>0</v>
      </c>
      <c r="D58" s="244">
        <f>SUMIF(_12MonLights_RateCategory,$A58,_12MonLights_KWH)</f>
        <v>0</v>
      </c>
      <c r="E58" s="388">
        <v>0.11700000000000001</v>
      </c>
      <c r="F58" s="359"/>
      <c r="G58" s="364">
        <f>VLOOKUP(A58,'Rates-Lights'!$C$550:$I$660,5,FALSE)</f>
        <v>0.34</v>
      </c>
      <c r="H58" s="364">
        <f>SUMIF(_12MonLights_RateCategory,TEXT(A58,0),_12MonLights_Base_Fuel_Revenue)</f>
        <v>0</v>
      </c>
      <c r="I58" s="359">
        <f>C58*F58</f>
        <v>0</v>
      </c>
      <c r="J58" s="364">
        <f>ROUND(C58*G58,2)</f>
        <v>0</v>
      </c>
      <c r="K58" s="359">
        <f>SUM(I58:J58)</f>
        <v>0</v>
      </c>
      <c r="L58" s="359">
        <f>SUMIF(_12MonLights_RateCategory,TEXT($A58,0),_12MonLights_Revenue_Actual)</f>
        <v>0</v>
      </c>
      <c r="M58" s="359">
        <f>L58-K58</f>
        <v>0</v>
      </c>
      <c r="N58" s="359">
        <f>ROUND($L$186/$M$153*M58,2)</f>
        <v>0</v>
      </c>
      <c r="P58" s="364">
        <f>ROUND((SUMIF($E$17:$E$150,$E58,$N$17:$N$150)/SUMIF($E$17:$E$150,$E58,$C$17:$C$150)),2)</f>
        <v>0.16</v>
      </c>
      <c r="Q58" s="359">
        <f>P58*C58</f>
        <v>0</v>
      </c>
      <c r="R58" s="359">
        <f>N58-Q58</f>
        <v>0</v>
      </c>
      <c r="S58" s="365">
        <f>T58-G58+P58</f>
        <v>23.32</v>
      </c>
      <c r="T58" s="364">
        <f>VLOOKUP($A58,'Rates-Lights'!$C$550:$I$660,3,FALSE)</f>
        <v>23.5</v>
      </c>
      <c r="U58" s="360">
        <f>(S58-T58)/T58</f>
        <v>-7.6595744680850947E-3</v>
      </c>
      <c r="W58" s="366"/>
      <c r="X58" s="361"/>
    </row>
    <row r="59" spans="1:24">
      <c r="A59" s="363"/>
      <c r="B59"/>
      <c r="F59" s="359"/>
      <c r="G59" s="364"/>
      <c r="H59" s="364"/>
      <c r="I59" s="359"/>
      <c r="J59" s="364"/>
      <c r="K59" s="359"/>
      <c r="L59" s="359"/>
      <c r="M59" s="359"/>
      <c r="N59" s="359"/>
      <c r="P59" s="364"/>
      <c r="Q59" s="359"/>
      <c r="R59" s="359"/>
      <c r="S59" s="365"/>
      <c r="T59" s="364"/>
      <c r="U59" s="360"/>
      <c r="W59" s="366"/>
      <c r="X59" s="361"/>
    </row>
    <row r="60" spans="1:24">
      <c r="A60" s="363"/>
      <c r="B60" t="s">
        <v>1200</v>
      </c>
      <c r="F60" s="359"/>
      <c r="G60" s="364"/>
      <c r="H60" s="364"/>
      <c r="I60" s="359"/>
      <c r="J60" s="364"/>
      <c r="K60" s="359"/>
      <c r="L60" s="359"/>
      <c r="M60" s="359"/>
      <c r="N60" s="359"/>
      <c r="P60" s="364"/>
      <c r="Q60" s="359"/>
      <c r="R60" s="359"/>
      <c r="S60" s="365"/>
      <c r="T60" s="364"/>
      <c r="U60" s="360"/>
      <c r="W60" s="366"/>
      <c r="X60" s="361"/>
    </row>
    <row r="61" spans="1:24">
      <c r="A61" s="363" t="s">
        <v>339</v>
      </c>
      <c r="B61" s="12" t="s">
        <v>1201</v>
      </c>
      <c r="C61" s="244">
        <f t="shared" ref="C61:C82" si="30">SUMIF(_12MonLights_RateCategory,$A61,_12MonLights_Count)</f>
        <v>2105</v>
      </c>
      <c r="D61" s="244">
        <f t="shared" ref="D61:D82" si="31">SUMIF(_12MonLights_RateCategory,$A61,_12MonLights_KWH)</f>
        <v>60135</v>
      </c>
      <c r="E61" s="388">
        <v>0.18099999999999999</v>
      </c>
      <c r="F61" s="359"/>
      <c r="G61" s="364">
        <f>VLOOKUP(A61,'Rates-Lights'!$C$550:$I$660,5,FALSE)</f>
        <v>2.41</v>
      </c>
      <c r="H61" s="364">
        <f t="shared" ref="H61:H82" si="32">SUMIF(_12MonLights_RateCategory,TEXT(A61,0),_12MonLights_Base_Fuel_Revenue)</f>
        <v>3683.75</v>
      </c>
      <c r="I61" s="359">
        <f t="shared" ref="I61:I77" si="33">C61*F61</f>
        <v>0</v>
      </c>
      <c r="J61" s="364">
        <f t="shared" ref="J61:J77" si="34">ROUND(C61*G61,2)</f>
        <v>5073.05</v>
      </c>
      <c r="K61" s="359">
        <f t="shared" ref="K61:K77" si="35">SUM(I61:J61)</f>
        <v>5073.05</v>
      </c>
      <c r="L61" s="359">
        <f t="shared" ref="L61:L82" si="36">SUMIF(_12MonLights_RateCategory,TEXT($A61,0),_12MonLights_Revenue_Actual)</f>
        <v>59092.439999999995</v>
      </c>
      <c r="M61" s="359">
        <f t="shared" ref="M61:M77" si="37">L61-K61</f>
        <v>54019.389999999992</v>
      </c>
      <c r="N61" s="359">
        <f t="shared" ref="N61:N82" si="38">ROUND($L$186/$M$153*M61,2)</f>
        <v>2030.85</v>
      </c>
      <c r="O61" s="366"/>
      <c r="P61" s="364">
        <f t="shared" ref="P61:P82" si="39">ROUND((SUMIF($E$17:$E$150,$E61,$N$17:$N$150)/SUMIF($E$17:$E$150,$E61,$C$17:$C$150)),2)</f>
        <v>1.0900000000000001</v>
      </c>
      <c r="Q61" s="359">
        <f t="shared" ref="Q61:Q77" si="40">P61*C61</f>
        <v>2294.4500000000003</v>
      </c>
      <c r="R61" s="359">
        <f t="shared" ref="R61:R77" si="41">N61-Q61</f>
        <v>-263.60000000000036</v>
      </c>
      <c r="S61" s="365">
        <f t="shared" ref="S61:S77" si="42">T61-G61+P61</f>
        <v>54.010000000000005</v>
      </c>
      <c r="T61" s="364">
        <f>VLOOKUP($A61,'Rates-Lights'!$C$550:$I$660,3,FALSE)</f>
        <v>55.33</v>
      </c>
      <c r="U61" s="360">
        <f t="shared" ref="U61:U77" si="43">(S61-T61)/T61</f>
        <v>-2.3856858846918367E-2</v>
      </c>
      <c r="W61" s="366"/>
      <c r="X61" s="361"/>
    </row>
    <row r="62" spans="1:24">
      <c r="A62" s="363" t="s">
        <v>344</v>
      </c>
      <c r="B62" s="12" t="s">
        <v>1202</v>
      </c>
      <c r="C62" s="244">
        <f t="shared" si="30"/>
        <v>305</v>
      </c>
      <c r="D62" s="244">
        <f t="shared" si="31"/>
        <v>8366</v>
      </c>
      <c r="E62" s="388">
        <v>0.18099999999999999</v>
      </c>
      <c r="F62" s="359"/>
      <c r="G62" s="364">
        <f>VLOOKUP(A62,'Rates-Lights'!$C$550:$I$660,5,FALSE)</f>
        <v>2.41</v>
      </c>
      <c r="H62" s="364">
        <f t="shared" si="32"/>
        <v>533.75</v>
      </c>
      <c r="I62" s="359">
        <f t="shared" si="33"/>
        <v>0</v>
      </c>
      <c r="J62" s="364">
        <f t="shared" si="34"/>
        <v>735.05</v>
      </c>
      <c r="K62" s="359">
        <f t="shared" si="35"/>
        <v>735.05</v>
      </c>
      <c r="L62" s="359">
        <f t="shared" si="36"/>
        <v>12474</v>
      </c>
      <c r="M62" s="359">
        <f t="shared" si="37"/>
        <v>11738.95</v>
      </c>
      <c r="N62" s="359">
        <f t="shared" si="38"/>
        <v>441.32</v>
      </c>
      <c r="P62" s="364">
        <f t="shared" si="39"/>
        <v>1.0900000000000001</v>
      </c>
      <c r="Q62" s="359">
        <f t="shared" si="40"/>
        <v>332.45000000000005</v>
      </c>
      <c r="R62" s="359">
        <f t="shared" si="41"/>
        <v>108.86999999999995</v>
      </c>
      <c r="S62" s="365">
        <f t="shared" si="42"/>
        <v>81.84</v>
      </c>
      <c r="T62" s="364">
        <f>VLOOKUP($A62,'Rates-Lights'!$C$550:$I$660,3,FALSE)</f>
        <v>83.16</v>
      </c>
      <c r="U62" s="360">
        <f t="shared" si="43"/>
        <v>-1.5873015873015792E-2</v>
      </c>
      <c r="W62" s="366"/>
      <c r="X62" s="361"/>
    </row>
    <row r="63" spans="1:24">
      <c r="A63" s="363" t="s">
        <v>347</v>
      </c>
      <c r="B63" s="12" t="s">
        <v>1203</v>
      </c>
      <c r="C63" s="244">
        <f t="shared" si="30"/>
        <v>517</v>
      </c>
      <c r="D63" s="244">
        <f t="shared" si="31"/>
        <v>11768</v>
      </c>
      <c r="E63" s="388">
        <v>0.18099999999999999</v>
      </c>
      <c r="F63" s="359"/>
      <c r="G63" s="364">
        <f>VLOOKUP(A63,'Rates-Lights'!$C$550:$I$660,5,FALSE)</f>
        <v>2.41</v>
      </c>
      <c r="H63" s="364">
        <f t="shared" si="32"/>
        <v>904.75</v>
      </c>
      <c r="I63" s="359">
        <f t="shared" si="33"/>
        <v>0</v>
      </c>
      <c r="J63" s="364">
        <f t="shared" si="34"/>
        <v>1245.97</v>
      </c>
      <c r="K63" s="359">
        <f t="shared" si="35"/>
        <v>1245.97</v>
      </c>
      <c r="L63" s="359">
        <f t="shared" si="36"/>
        <v>15423.240000000002</v>
      </c>
      <c r="M63" s="359">
        <f t="shared" si="37"/>
        <v>14177.270000000002</v>
      </c>
      <c r="N63" s="359">
        <f t="shared" si="38"/>
        <v>532.99</v>
      </c>
      <c r="P63" s="364">
        <f t="shared" si="39"/>
        <v>1.0900000000000001</v>
      </c>
      <c r="Q63" s="359">
        <f t="shared" si="40"/>
        <v>563.53000000000009</v>
      </c>
      <c r="R63" s="359">
        <f t="shared" si="41"/>
        <v>-30.540000000000077</v>
      </c>
      <c r="S63" s="365">
        <f t="shared" si="42"/>
        <v>58.460000000000008</v>
      </c>
      <c r="T63" s="364">
        <f>VLOOKUP($A63,'Rates-Lights'!$C$550:$I$660,3,FALSE)</f>
        <v>59.78</v>
      </c>
      <c r="U63" s="360">
        <f t="shared" si="43"/>
        <v>-2.2080963532954051E-2</v>
      </c>
      <c r="W63" s="366"/>
      <c r="X63" s="361"/>
    </row>
    <row r="64" spans="1:24">
      <c r="A64" s="363" t="s">
        <v>348</v>
      </c>
      <c r="B64" s="12" t="s">
        <v>1204</v>
      </c>
      <c r="C64" s="244">
        <f t="shared" si="30"/>
        <v>60</v>
      </c>
      <c r="D64" s="244">
        <f t="shared" si="31"/>
        <v>1644</v>
      </c>
      <c r="E64" s="388">
        <v>0.18099999999999999</v>
      </c>
      <c r="F64" s="359"/>
      <c r="G64" s="364">
        <f>VLOOKUP(A64,'Rates-Lights'!$C$550:$I$660,5,FALSE)</f>
        <v>2.41</v>
      </c>
      <c r="H64" s="364">
        <f t="shared" si="32"/>
        <v>105</v>
      </c>
      <c r="I64" s="359">
        <f t="shared" si="33"/>
        <v>0</v>
      </c>
      <c r="J64" s="364">
        <f t="shared" si="34"/>
        <v>144.6</v>
      </c>
      <c r="K64" s="359">
        <f t="shared" si="35"/>
        <v>144.6</v>
      </c>
      <c r="L64" s="359">
        <f t="shared" si="36"/>
        <v>1852.5</v>
      </c>
      <c r="M64" s="359">
        <f t="shared" si="37"/>
        <v>1707.9</v>
      </c>
      <c r="N64" s="359">
        <f t="shared" si="38"/>
        <v>64.209999999999994</v>
      </c>
      <c r="P64" s="364">
        <f t="shared" si="39"/>
        <v>1.0900000000000001</v>
      </c>
      <c r="Q64" s="359">
        <f t="shared" si="40"/>
        <v>65.400000000000006</v>
      </c>
      <c r="R64" s="359">
        <f t="shared" si="41"/>
        <v>-1.1900000000000119</v>
      </c>
      <c r="S64" s="365">
        <f t="shared" si="42"/>
        <v>60.430000000000007</v>
      </c>
      <c r="T64" s="364">
        <f>VLOOKUP($A64,'Rates-Lights'!$C$550:$I$660,3,FALSE)</f>
        <v>61.75</v>
      </c>
      <c r="U64" s="360">
        <f t="shared" si="43"/>
        <v>-2.137651821862337E-2</v>
      </c>
      <c r="W64" s="366"/>
      <c r="X64" s="361"/>
    </row>
    <row r="65" spans="1:24">
      <c r="A65" s="363" t="s">
        <v>349</v>
      </c>
      <c r="B65" s="12" t="s">
        <v>1205</v>
      </c>
      <c r="C65" s="244">
        <f t="shared" si="30"/>
        <v>12</v>
      </c>
      <c r="D65" s="244">
        <f t="shared" si="31"/>
        <v>329</v>
      </c>
      <c r="E65" s="388">
        <v>0.18099999999999999</v>
      </c>
      <c r="F65" s="359"/>
      <c r="G65" s="364">
        <f>VLOOKUP(A65,'Rates-Lights'!$C$550:$I$660,5,FALSE)</f>
        <v>2.41</v>
      </c>
      <c r="H65" s="364">
        <f t="shared" si="32"/>
        <v>21</v>
      </c>
      <c r="I65" s="359">
        <f t="shared" si="33"/>
        <v>0</v>
      </c>
      <c r="J65" s="364">
        <f t="shared" si="34"/>
        <v>28.92</v>
      </c>
      <c r="K65" s="359">
        <f t="shared" si="35"/>
        <v>28.92</v>
      </c>
      <c r="L65" s="359">
        <f t="shared" si="36"/>
        <v>378.66</v>
      </c>
      <c r="M65" s="359">
        <f t="shared" si="37"/>
        <v>349.74</v>
      </c>
      <c r="N65" s="359">
        <f t="shared" si="38"/>
        <v>13.15</v>
      </c>
      <c r="P65" s="364">
        <f t="shared" si="39"/>
        <v>1.0900000000000001</v>
      </c>
      <c r="Q65" s="359">
        <f t="shared" si="40"/>
        <v>13.080000000000002</v>
      </c>
      <c r="R65" s="359">
        <f t="shared" si="41"/>
        <v>6.9999999999998508E-2</v>
      </c>
      <c r="S65" s="365">
        <f t="shared" si="42"/>
        <v>61.790000000000006</v>
      </c>
      <c r="T65" s="364">
        <f>VLOOKUP($A65,'Rates-Lights'!$C$550:$I$660,3,FALSE)</f>
        <v>63.11</v>
      </c>
      <c r="U65" s="360">
        <f t="shared" si="43"/>
        <v>-2.0915861194739236E-2</v>
      </c>
      <c r="W65" s="366"/>
      <c r="X65" s="361"/>
    </row>
    <row r="66" spans="1:24">
      <c r="A66" s="363" t="s">
        <v>351</v>
      </c>
      <c r="B66" s="12" t="s">
        <v>1206</v>
      </c>
      <c r="C66" s="244">
        <f t="shared" si="30"/>
        <v>60</v>
      </c>
      <c r="D66" s="244">
        <f t="shared" si="31"/>
        <v>1656</v>
      </c>
      <c r="E66" s="388">
        <v>0.18099999999999999</v>
      </c>
      <c r="F66" s="359"/>
      <c r="G66" s="364">
        <f>VLOOKUP(A66,'Rates-Lights'!$C$550:$I$660,5,FALSE)</f>
        <v>2.41</v>
      </c>
      <c r="H66" s="364">
        <f t="shared" si="32"/>
        <v>105</v>
      </c>
      <c r="I66" s="359">
        <f t="shared" si="33"/>
        <v>0</v>
      </c>
      <c r="J66" s="364">
        <f t="shared" si="34"/>
        <v>144.6</v>
      </c>
      <c r="K66" s="359">
        <f t="shared" si="35"/>
        <v>144.6</v>
      </c>
      <c r="L66" s="359">
        <f t="shared" si="36"/>
        <v>2428.2000000000003</v>
      </c>
      <c r="M66" s="359">
        <f t="shared" si="37"/>
        <v>2283.6000000000004</v>
      </c>
      <c r="N66" s="359">
        <f t="shared" si="38"/>
        <v>85.85</v>
      </c>
      <c r="P66" s="364">
        <f t="shared" si="39"/>
        <v>1.0900000000000001</v>
      </c>
      <c r="Q66" s="359">
        <f t="shared" si="40"/>
        <v>65.400000000000006</v>
      </c>
      <c r="R66" s="359">
        <f t="shared" si="41"/>
        <v>20.449999999999989</v>
      </c>
      <c r="S66" s="365">
        <f t="shared" si="42"/>
        <v>79.62</v>
      </c>
      <c r="T66" s="364">
        <f>VLOOKUP($A66,'Rates-Lights'!$C$550:$I$660,3,FALSE)</f>
        <v>80.94</v>
      </c>
      <c r="U66" s="360">
        <f t="shared" si="43"/>
        <v>-1.6308376575240837E-2</v>
      </c>
      <c r="W66" s="366"/>
      <c r="X66" s="361"/>
    </row>
    <row r="67" spans="1:24">
      <c r="A67" s="363" t="s">
        <v>352</v>
      </c>
      <c r="B67" s="12" t="s">
        <v>1207</v>
      </c>
      <c r="C67" s="244">
        <f t="shared" si="30"/>
        <v>113</v>
      </c>
      <c r="D67" s="244">
        <f t="shared" si="31"/>
        <v>2972</v>
      </c>
      <c r="E67" s="388">
        <v>0.18099999999999999</v>
      </c>
      <c r="F67" s="359"/>
      <c r="G67" s="364">
        <f>VLOOKUP(A67,'Rates-Lights'!$C$550:$I$660,5,FALSE)</f>
        <v>2.41</v>
      </c>
      <c r="H67" s="364">
        <f t="shared" si="32"/>
        <v>197.75</v>
      </c>
      <c r="I67" s="359">
        <f t="shared" si="33"/>
        <v>0</v>
      </c>
      <c r="J67" s="364">
        <f t="shared" si="34"/>
        <v>272.33</v>
      </c>
      <c r="K67" s="359">
        <f t="shared" si="35"/>
        <v>272.33</v>
      </c>
      <c r="L67" s="359">
        <f t="shared" si="36"/>
        <v>4264.38</v>
      </c>
      <c r="M67" s="359">
        <f t="shared" si="37"/>
        <v>3992.05</v>
      </c>
      <c r="N67" s="359">
        <f t="shared" si="38"/>
        <v>150.08000000000001</v>
      </c>
      <c r="P67" s="364">
        <f t="shared" si="39"/>
        <v>1.0900000000000001</v>
      </c>
      <c r="Q67" s="359">
        <f t="shared" si="40"/>
        <v>123.17000000000002</v>
      </c>
      <c r="R67" s="359">
        <f t="shared" si="41"/>
        <v>26.909999999999997</v>
      </c>
      <c r="S67" s="365">
        <f t="shared" si="42"/>
        <v>77.650000000000006</v>
      </c>
      <c r="T67" s="364">
        <f>VLOOKUP($A67,'Rates-Lights'!$C$550:$I$660,3,FALSE)</f>
        <v>78.97</v>
      </c>
      <c r="U67" s="360">
        <f t="shared" si="43"/>
        <v>-1.6715208306951921E-2</v>
      </c>
      <c r="W67" s="366"/>
      <c r="X67" s="361"/>
    </row>
    <row r="68" spans="1:24">
      <c r="A68" s="363" t="s">
        <v>354</v>
      </c>
      <c r="B68" s="12" t="s">
        <v>1208</v>
      </c>
      <c r="C68" s="244">
        <f t="shared" si="30"/>
        <v>295</v>
      </c>
      <c r="D68" s="244">
        <f t="shared" si="31"/>
        <v>8501</v>
      </c>
      <c r="E68" s="388">
        <v>0.18099999999999999</v>
      </c>
      <c r="F68" s="359"/>
      <c r="G68" s="364">
        <f>VLOOKUP(A68,'Rates-Lights'!$C$550:$I$660,5,FALSE)</f>
        <v>2.41</v>
      </c>
      <c r="H68" s="364">
        <f t="shared" si="32"/>
        <v>516.25</v>
      </c>
      <c r="I68" s="359">
        <f t="shared" si="33"/>
        <v>0</v>
      </c>
      <c r="J68" s="364">
        <f t="shared" si="34"/>
        <v>710.95</v>
      </c>
      <c r="K68" s="359">
        <f t="shared" si="35"/>
        <v>710.95</v>
      </c>
      <c r="L68" s="359">
        <f t="shared" si="36"/>
        <v>9184.5</v>
      </c>
      <c r="M68" s="359">
        <f t="shared" si="37"/>
        <v>8473.5499999999993</v>
      </c>
      <c r="N68" s="359">
        <f t="shared" si="38"/>
        <v>318.56</v>
      </c>
      <c r="P68" s="364">
        <f t="shared" si="39"/>
        <v>1.0900000000000001</v>
      </c>
      <c r="Q68" s="359">
        <f t="shared" si="40"/>
        <v>321.55</v>
      </c>
      <c r="R68" s="359">
        <f t="shared" si="41"/>
        <v>-2.9900000000000091</v>
      </c>
      <c r="S68" s="365">
        <f t="shared" si="42"/>
        <v>59.910000000000011</v>
      </c>
      <c r="T68" s="364">
        <f>VLOOKUP($A68,'Rates-Lights'!$C$550:$I$660,3,FALSE)</f>
        <v>61.230000000000004</v>
      </c>
      <c r="U68" s="360">
        <f t="shared" si="43"/>
        <v>-2.1558059774620171E-2</v>
      </c>
      <c r="W68" s="366"/>
      <c r="X68" s="361"/>
    </row>
    <row r="69" spans="1:24">
      <c r="A69" s="363" t="s">
        <v>355</v>
      </c>
      <c r="B69" s="12" t="s">
        <v>1209</v>
      </c>
      <c r="C69" s="244">
        <f t="shared" si="30"/>
        <v>12</v>
      </c>
      <c r="D69" s="244">
        <f t="shared" si="31"/>
        <v>329</v>
      </c>
      <c r="E69" s="388">
        <v>0.18099999999999999</v>
      </c>
      <c r="F69" s="359"/>
      <c r="G69" s="364">
        <f>VLOOKUP(A69,'Rates-Lights'!$C$550:$I$660,5,FALSE)</f>
        <v>2.41</v>
      </c>
      <c r="H69" s="364">
        <f t="shared" si="32"/>
        <v>21</v>
      </c>
      <c r="I69" s="359">
        <f t="shared" si="33"/>
        <v>0</v>
      </c>
      <c r="J69" s="364">
        <f t="shared" si="34"/>
        <v>28.92</v>
      </c>
      <c r="K69" s="359">
        <f t="shared" si="35"/>
        <v>28.92</v>
      </c>
      <c r="L69" s="359">
        <f t="shared" si="36"/>
        <v>340.14</v>
      </c>
      <c r="M69" s="359">
        <f t="shared" si="37"/>
        <v>311.21999999999997</v>
      </c>
      <c r="N69" s="359">
        <f t="shared" si="38"/>
        <v>11.7</v>
      </c>
      <c r="P69" s="364">
        <f t="shared" si="39"/>
        <v>1.0900000000000001</v>
      </c>
      <c r="Q69" s="359">
        <f t="shared" si="40"/>
        <v>13.080000000000002</v>
      </c>
      <c r="R69" s="359">
        <f t="shared" si="41"/>
        <v>-1.3800000000000026</v>
      </c>
      <c r="S69" s="365">
        <f t="shared" si="42"/>
        <v>55.370000000000005</v>
      </c>
      <c r="T69" s="364">
        <f>VLOOKUP($A69,'Rates-Lights'!$C$550:$I$660,3,FALSE)</f>
        <v>56.69</v>
      </c>
      <c r="U69" s="360">
        <f t="shared" si="43"/>
        <v>-2.3284529899453048E-2</v>
      </c>
      <c r="W69" s="366"/>
      <c r="X69" s="361"/>
    </row>
    <row r="70" spans="1:24">
      <c r="A70" s="363" t="s">
        <v>341</v>
      </c>
      <c r="B70" s="12" t="s">
        <v>1210</v>
      </c>
      <c r="C70" s="244">
        <f t="shared" si="30"/>
        <v>185</v>
      </c>
      <c r="D70" s="244">
        <f t="shared" si="31"/>
        <v>4950</v>
      </c>
      <c r="E70" s="388">
        <v>0.18099999999999999</v>
      </c>
      <c r="F70" s="359"/>
      <c r="G70" s="364">
        <f>VLOOKUP(A70,'Rates-Lights'!$C$550:$I$660,5,FALSE)</f>
        <v>2.41</v>
      </c>
      <c r="H70" s="364">
        <f t="shared" si="32"/>
        <v>323.75</v>
      </c>
      <c r="I70" s="359">
        <f t="shared" si="33"/>
        <v>0</v>
      </c>
      <c r="J70" s="364">
        <f t="shared" si="34"/>
        <v>445.85</v>
      </c>
      <c r="K70" s="359">
        <f t="shared" si="35"/>
        <v>445.85</v>
      </c>
      <c r="L70" s="359">
        <f t="shared" si="36"/>
        <v>6706.8000000000011</v>
      </c>
      <c r="M70" s="359">
        <f t="shared" si="37"/>
        <v>6260.9500000000007</v>
      </c>
      <c r="N70" s="359">
        <f t="shared" si="38"/>
        <v>235.38</v>
      </c>
      <c r="P70" s="364">
        <f t="shared" si="39"/>
        <v>1.0900000000000001</v>
      </c>
      <c r="Q70" s="359">
        <f t="shared" si="40"/>
        <v>201.65</v>
      </c>
      <c r="R70" s="359">
        <f t="shared" si="41"/>
        <v>33.72999999999999</v>
      </c>
      <c r="S70" s="365">
        <f t="shared" si="42"/>
        <v>73.2</v>
      </c>
      <c r="T70" s="364">
        <f>VLOOKUP($A70,'Rates-Lights'!$C$550:$I$660,3,FALSE)</f>
        <v>74.52</v>
      </c>
      <c r="U70" s="360">
        <f t="shared" si="43"/>
        <v>-1.7713365539452405E-2</v>
      </c>
      <c r="W70" s="366"/>
      <c r="X70" s="361"/>
    </row>
    <row r="71" spans="1:24">
      <c r="A71" s="363" t="s">
        <v>350</v>
      </c>
      <c r="B71" s="12" t="s">
        <v>1211</v>
      </c>
      <c r="C71" s="244">
        <f t="shared" si="30"/>
        <v>12</v>
      </c>
      <c r="D71" s="244">
        <f t="shared" si="31"/>
        <v>329</v>
      </c>
      <c r="E71" s="388">
        <v>0.18099999999999999</v>
      </c>
      <c r="F71" s="359"/>
      <c r="G71" s="364">
        <f>VLOOKUP(A71,'Rates-Lights'!$C$550:$I$660,5,FALSE)</f>
        <v>2.41</v>
      </c>
      <c r="H71" s="364">
        <f t="shared" si="32"/>
        <v>21</v>
      </c>
      <c r="I71" s="359">
        <f t="shared" si="33"/>
        <v>0</v>
      </c>
      <c r="J71" s="364">
        <f t="shared" si="34"/>
        <v>28.92</v>
      </c>
      <c r="K71" s="359">
        <f t="shared" si="35"/>
        <v>28.92</v>
      </c>
      <c r="L71" s="359">
        <f t="shared" si="36"/>
        <v>493.8</v>
      </c>
      <c r="M71" s="359">
        <f t="shared" si="37"/>
        <v>464.88</v>
      </c>
      <c r="N71" s="359">
        <f t="shared" si="38"/>
        <v>17.48</v>
      </c>
      <c r="P71" s="364">
        <f t="shared" si="39"/>
        <v>1.0900000000000001</v>
      </c>
      <c r="Q71" s="359">
        <f t="shared" si="40"/>
        <v>13.080000000000002</v>
      </c>
      <c r="R71" s="359">
        <f t="shared" si="41"/>
        <v>4.3999999999999986</v>
      </c>
      <c r="S71" s="365">
        <f t="shared" si="42"/>
        <v>80.98</v>
      </c>
      <c r="T71" s="364">
        <f>VLOOKUP($A71,'Rates-Lights'!$C$550:$I$660,3,FALSE)</f>
        <v>82.3</v>
      </c>
      <c r="U71" s="360">
        <f t="shared" si="43"/>
        <v>-1.6038882138517535E-2</v>
      </c>
      <c r="W71" s="366"/>
      <c r="X71" s="361"/>
    </row>
    <row r="72" spans="1:24">
      <c r="A72" s="363" t="s">
        <v>342</v>
      </c>
      <c r="B72" s="12" t="s">
        <v>1212</v>
      </c>
      <c r="C72" s="244">
        <f t="shared" si="30"/>
        <v>235</v>
      </c>
      <c r="D72" s="244">
        <f t="shared" si="31"/>
        <v>6809</v>
      </c>
      <c r="E72" s="388">
        <v>0.18099999999999999</v>
      </c>
      <c r="F72" s="359"/>
      <c r="G72" s="364">
        <f>VLOOKUP(A72,'Rates-Lights'!$C$550:$I$660,5,FALSE)</f>
        <v>2.41</v>
      </c>
      <c r="H72" s="364">
        <f t="shared" si="32"/>
        <v>411.25</v>
      </c>
      <c r="I72" s="359">
        <f t="shared" si="33"/>
        <v>0</v>
      </c>
      <c r="J72" s="364">
        <f t="shared" si="34"/>
        <v>566.35</v>
      </c>
      <c r="K72" s="359">
        <f t="shared" si="35"/>
        <v>566.35</v>
      </c>
      <c r="L72" s="359">
        <f t="shared" si="36"/>
        <v>8942.4</v>
      </c>
      <c r="M72" s="359">
        <f t="shared" si="37"/>
        <v>8376.0499999999993</v>
      </c>
      <c r="N72" s="359">
        <f t="shared" si="38"/>
        <v>314.89999999999998</v>
      </c>
      <c r="P72" s="364">
        <f t="shared" si="39"/>
        <v>1.0900000000000001</v>
      </c>
      <c r="Q72" s="359">
        <f t="shared" si="40"/>
        <v>256.15000000000003</v>
      </c>
      <c r="R72" s="359">
        <f t="shared" si="41"/>
        <v>58.749999999999943</v>
      </c>
      <c r="S72" s="365">
        <f t="shared" si="42"/>
        <v>73.2</v>
      </c>
      <c r="T72" s="364">
        <f>VLOOKUP($A72,'Rates-Lights'!$C$550:$I$660,3,FALSE)</f>
        <v>74.52</v>
      </c>
      <c r="U72" s="360">
        <f t="shared" si="43"/>
        <v>-1.7713365539452405E-2</v>
      </c>
      <c r="W72" s="366"/>
      <c r="X72" s="361"/>
    </row>
    <row r="73" spans="1:24">
      <c r="A73" s="363" t="s">
        <v>346</v>
      </c>
      <c r="B73" s="12" t="s">
        <v>1213</v>
      </c>
      <c r="C73" s="244">
        <f t="shared" si="30"/>
        <v>48</v>
      </c>
      <c r="D73" s="244">
        <f t="shared" si="31"/>
        <v>1339</v>
      </c>
      <c r="E73" s="388">
        <v>0.18099999999999999</v>
      </c>
      <c r="F73" s="359"/>
      <c r="G73" s="364">
        <f>VLOOKUP(A73,'Rates-Lights'!$C$550:$I$660,5,FALSE)</f>
        <v>2.41</v>
      </c>
      <c r="H73" s="364">
        <f t="shared" si="32"/>
        <v>84</v>
      </c>
      <c r="I73" s="359">
        <f t="shared" si="33"/>
        <v>0</v>
      </c>
      <c r="J73" s="364">
        <f t="shared" si="34"/>
        <v>115.68</v>
      </c>
      <c r="K73" s="359">
        <f t="shared" si="35"/>
        <v>115.68</v>
      </c>
      <c r="L73" s="359">
        <f t="shared" si="36"/>
        <v>1821.12</v>
      </c>
      <c r="M73" s="359">
        <f t="shared" si="37"/>
        <v>1705.4399999999998</v>
      </c>
      <c r="N73" s="359">
        <f t="shared" si="38"/>
        <v>64.12</v>
      </c>
      <c r="P73" s="364">
        <f t="shared" si="39"/>
        <v>1.0900000000000001</v>
      </c>
      <c r="Q73" s="359">
        <f t="shared" si="40"/>
        <v>52.320000000000007</v>
      </c>
      <c r="R73" s="359">
        <f t="shared" si="41"/>
        <v>11.799999999999997</v>
      </c>
      <c r="S73" s="365">
        <f t="shared" si="42"/>
        <v>74.56</v>
      </c>
      <c r="T73" s="364">
        <f>VLOOKUP($A73,'Rates-Lights'!$C$550:$I$660,3,FALSE)</f>
        <v>75.88</v>
      </c>
      <c r="U73" s="360">
        <f t="shared" si="43"/>
        <v>-1.7395888244596643E-2</v>
      </c>
      <c r="W73" s="366"/>
      <c r="X73" s="361"/>
    </row>
    <row r="74" spans="1:24">
      <c r="A74" s="363" t="s">
        <v>353</v>
      </c>
      <c r="B74" s="12" t="s">
        <v>1214</v>
      </c>
      <c r="C74" s="244">
        <f t="shared" si="30"/>
        <v>36</v>
      </c>
      <c r="D74" s="244">
        <f t="shared" si="31"/>
        <v>1022</v>
      </c>
      <c r="E74" s="388">
        <v>0.18099999999999999</v>
      </c>
      <c r="F74" s="359"/>
      <c r="G74" s="364">
        <f>VLOOKUP(A74,'Rates-Lights'!$C$550:$I$660,5,FALSE)</f>
        <v>2.41</v>
      </c>
      <c r="H74" s="364">
        <f t="shared" si="32"/>
        <v>63</v>
      </c>
      <c r="I74" s="359">
        <f t="shared" si="33"/>
        <v>0</v>
      </c>
      <c r="J74" s="364">
        <f t="shared" si="34"/>
        <v>86.76</v>
      </c>
      <c r="K74" s="359">
        <f t="shared" si="35"/>
        <v>86.76</v>
      </c>
      <c r="L74" s="359">
        <f t="shared" si="36"/>
        <v>1421.46</v>
      </c>
      <c r="M74" s="359">
        <f t="shared" si="37"/>
        <v>1334.7</v>
      </c>
      <c r="N74" s="359">
        <f t="shared" si="38"/>
        <v>50.18</v>
      </c>
      <c r="P74" s="364">
        <f t="shared" si="39"/>
        <v>1.0900000000000001</v>
      </c>
      <c r="Q74" s="359">
        <f t="shared" si="40"/>
        <v>39.24</v>
      </c>
      <c r="R74" s="359">
        <f t="shared" si="41"/>
        <v>10.939999999999998</v>
      </c>
      <c r="S74" s="365">
        <f t="shared" si="42"/>
        <v>77.650000000000006</v>
      </c>
      <c r="T74" s="364">
        <f>VLOOKUP($A74,'Rates-Lights'!$C$550:$I$660,3,FALSE)</f>
        <v>78.97</v>
      </c>
      <c r="U74" s="360">
        <f t="shared" si="43"/>
        <v>-1.6715208306951921E-2</v>
      </c>
      <c r="W74" s="366"/>
      <c r="X74" s="361"/>
    </row>
    <row r="75" spans="1:24">
      <c r="A75" s="363" t="s">
        <v>345</v>
      </c>
      <c r="B75" s="12" t="s">
        <v>1215</v>
      </c>
      <c r="C75" s="244">
        <f t="shared" si="30"/>
        <v>24</v>
      </c>
      <c r="D75" s="244">
        <f t="shared" si="31"/>
        <v>681</v>
      </c>
      <c r="E75" s="388">
        <v>0.18099999999999999</v>
      </c>
      <c r="F75" s="359"/>
      <c r="G75" s="364">
        <f>VLOOKUP(A75,'Rates-Lights'!$C$550:$I$660,5,FALSE)</f>
        <v>2.41</v>
      </c>
      <c r="H75" s="364">
        <f t="shared" si="32"/>
        <v>42</v>
      </c>
      <c r="I75" s="359">
        <f t="shared" si="33"/>
        <v>0</v>
      </c>
      <c r="J75" s="364">
        <f t="shared" si="34"/>
        <v>57.84</v>
      </c>
      <c r="K75" s="359">
        <f t="shared" si="35"/>
        <v>57.84</v>
      </c>
      <c r="L75" s="359">
        <f t="shared" si="36"/>
        <v>927.11999999999989</v>
      </c>
      <c r="M75" s="359">
        <f t="shared" si="37"/>
        <v>869.27999999999986</v>
      </c>
      <c r="N75" s="359">
        <f t="shared" si="38"/>
        <v>32.68</v>
      </c>
      <c r="P75" s="364">
        <f t="shared" si="39"/>
        <v>1.0900000000000001</v>
      </c>
      <c r="Q75" s="359">
        <f t="shared" si="40"/>
        <v>26.160000000000004</v>
      </c>
      <c r="R75" s="359">
        <f t="shared" si="41"/>
        <v>6.519999999999996</v>
      </c>
      <c r="S75" s="365">
        <f t="shared" si="42"/>
        <v>75.94</v>
      </c>
      <c r="T75" s="364">
        <f>VLOOKUP($A75,'Rates-Lights'!$C$550:$I$660,3,FALSE)</f>
        <v>77.259999999999991</v>
      </c>
      <c r="U75" s="360">
        <f t="shared" si="43"/>
        <v>-1.7085166968677106E-2</v>
      </c>
      <c r="W75" s="366"/>
      <c r="X75" s="361"/>
    </row>
    <row r="76" spans="1:24">
      <c r="A76" s="363" t="s">
        <v>343</v>
      </c>
      <c r="B76" s="12" t="s">
        <v>1216</v>
      </c>
      <c r="C76" s="244">
        <f t="shared" si="30"/>
        <v>605</v>
      </c>
      <c r="D76" s="244">
        <f t="shared" si="31"/>
        <v>17245</v>
      </c>
      <c r="E76" s="388">
        <v>0.18099999999999999</v>
      </c>
      <c r="F76" s="359"/>
      <c r="G76" s="364">
        <f>VLOOKUP(A76,'Rates-Lights'!$C$550:$I$660,5,FALSE)</f>
        <v>2.41</v>
      </c>
      <c r="H76" s="364">
        <f t="shared" si="32"/>
        <v>1058.75</v>
      </c>
      <c r="I76" s="359">
        <f t="shared" si="33"/>
        <v>0</v>
      </c>
      <c r="J76" s="364">
        <f t="shared" si="34"/>
        <v>1458.05</v>
      </c>
      <c r="K76" s="359">
        <f t="shared" si="35"/>
        <v>1458.05</v>
      </c>
      <c r="L76" s="359">
        <f t="shared" si="36"/>
        <v>19642.14</v>
      </c>
      <c r="M76" s="359">
        <f t="shared" si="37"/>
        <v>18184.09</v>
      </c>
      <c r="N76" s="359">
        <f t="shared" si="38"/>
        <v>683.63</v>
      </c>
      <c r="P76" s="364">
        <f t="shared" si="39"/>
        <v>1.0900000000000001</v>
      </c>
      <c r="Q76" s="359">
        <f t="shared" si="40"/>
        <v>659.45</v>
      </c>
      <c r="R76" s="359">
        <f t="shared" si="41"/>
        <v>24.17999999999995</v>
      </c>
      <c r="S76" s="365">
        <f t="shared" si="42"/>
        <v>62.870000000000005</v>
      </c>
      <c r="T76" s="364">
        <f>VLOOKUP($A76,'Rates-Lights'!$C$550:$I$660,3,FALSE)</f>
        <v>64.19</v>
      </c>
      <c r="U76" s="360">
        <f t="shared" si="43"/>
        <v>-2.0563950771148049E-2</v>
      </c>
      <c r="W76" s="366"/>
      <c r="X76" s="361"/>
    </row>
    <row r="77" spans="1:24">
      <c r="A77" s="363" t="s">
        <v>472</v>
      </c>
      <c r="B77" s="12" t="s">
        <v>1217</v>
      </c>
      <c r="C77" s="244">
        <f t="shared" si="30"/>
        <v>24</v>
      </c>
      <c r="D77" s="244">
        <f t="shared" si="31"/>
        <v>663</v>
      </c>
      <c r="E77" s="388">
        <v>0.18099999999999999</v>
      </c>
      <c r="F77" s="359"/>
      <c r="G77" s="364">
        <f>VLOOKUP(A77,'Rates-Lights'!$C$550:$I$660,5,FALSE)</f>
        <v>2.41</v>
      </c>
      <c r="H77" s="364">
        <f t="shared" si="32"/>
        <v>42</v>
      </c>
      <c r="I77" s="359">
        <f t="shared" si="33"/>
        <v>0</v>
      </c>
      <c r="J77" s="364">
        <f t="shared" si="34"/>
        <v>57.84</v>
      </c>
      <c r="K77" s="359">
        <f t="shared" si="35"/>
        <v>57.84</v>
      </c>
      <c r="L77" s="359">
        <f t="shared" si="36"/>
        <v>910.79999999999984</v>
      </c>
      <c r="M77" s="359">
        <f t="shared" si="37"/>
        <v>852.95999999999981</v>
      </c>
      <c r="N77" s="359">
        <f t="shared" si="38"/>
        <v>32.07</v>
      </c>
      <c r="P77" s="364">
        <f t="shared" si="39"/>
        <v>1.0900000000000001</v>
      </c>
      <c r="Q77" s="359">
        <f t="shared" si="40"/>
        <v>26.160000000000004</v>
      </c>
      <c r="R77" s="359">
        <f t="shared" si="41"/>
        <v>5.9099999999999966</v>
      </c>
      <c r="S77" s="365">
        <f t="shared" si="42"/>
        <v>74.58</v>
      </c>
      <c r="T77" s="364">
        <f>VLOOKUP($A77,'Rates-Lights'!$C$550:$I$660,3,FALSE)</f>
        <v>75.899999999999991</v>
      </c>
      <c r="U77" s="360">
        <f t="shared" si="43"/>
        <v>-1.7391304347826E-2</v>
      </c>
      <c r="W77" s="366"/>
      <c r="X77" s="361"/>
    </row>
    <row r="78" spans="1:24">
      <c r="A78" s="363" t="s">
        <v>645</v>
      </c>
      <c r="B78" s="12" t="s">
        <v>1218</v>
      </c>
      <c r="C78" s="244">
        <f t="shared" si="30"/>
        <v>0</v>
      </c>
      <c r="D78" s="244">
        <f t="shared" si="31"/>
        <v>0</v>
      </c>
      <c r="E78" s="388">
        <v>0.18099999999999999</v>
      </c>
      <c r="F78" s="359"/>
      <c r="G78" s="364">
        <f>VLOOKUP(A78,'Rates-Lights'!$C$550:$I$660,5,FALSE)</f>
        <v>2.41</v>
      </c>
      <c r="H78" s="364">
        <f t="shared" si="32"/>
        <v>0</v>
      </c>
      <c r="I78" s="359">
        <f>C78*F78</f>
        <v>0</v>
      </c>
      <c r="J78" s="364">
        <f>ROUND(C78*G78,2)</f>
        <v>0</v>
      </c>
      <c r="K78" s="359">
        <f>SUM(I78:J78)</f>
        <v>0</v>
      </c>
      <c r="L78" s="359">
        <f t="shared" si="36"/>
        <v>0</v>
      </c>
      <c r="M78" s="359">
        <f>L78-K78</f>
        <v>0</v>
      </c>
      <c r="N78" s="359">
        <f t="shared" si="38"/>
        <v>0</v>
      </c>
      <c r="P78" s="364">
        <f t="shared" si="39"/>
        <v>1.0900000000000001</v>
      </c>
      <c r="Q78" s="359">
        <f>P78*C78</f>
        <v>0</v>
      </c>
      <c r="R78" s="359">
        <f>N78-Q78</f>
        <v>0</v>
      </c>
      <c r="S78" s="365">
        <f>T78-G78+P78</f>
        <v>79.52</v>
      </c>
      <c r="T78" s="364">
        <f>VLOOKUP($A78,'Rates-Lights'!$C$550:$I$660,3,FALSE)</f>
        <v>80.839999999999989</v>
      </c>
      <c r="U78" s="360">
        <f>(S78-T78)/T78</f>
        <v>-1.6328550222661966E-2</v>
      </c>
      <c r="W78" s="366"/>
      <c r="X78" s="361"/>
    </row>
    <row r="79" spans="1:24">
      <c r="A79" s="363" t="s">
        <v>646</v>
      </c>
      <c r="B79" s="12" t="s">
        <v>1219</v>
      </c>
      <c r="C79" s="244">
        <f t="shared" si="30"/>
        <v>0</v>
      </c>
      <c r="D79" s="244">
        <f t="shared" si="31"/>
        <v>0</v>
      </c>
      <c r="E79" s="388">
        <v>0.18099999999999999</v>
      </c>
      <c r="F79" s="359"/>
      <c r="G79" s="364">
        <f>VLOOKUP(A79,'Rates-Lights'!$C$550:$I$660,5,FALSE)</f>
        <v>2.41</v>
      </c>
      <c r="H79" s="364">
        <f t="shared" si="32"/>
        <v>0</v>
      </c>
      <c r="I79" s="359">
        <f>C79*F79</f>
        <v>0</v>
      </c>
      <c r="J79" s="364">
        <f>ROUND(C79*G79,2)</f>
        <v>0</v>
      </c>
      <c r="K79" s="359">
        <f>SUM(I79:J79)</f>
        <v>0</v>
      </c>
      <c r="L79" s="359">
        <f t="shared" si="36"/>
        <v>0</v>
      </c>
      <c r="M79" s="359">
        <f>L79-K79</f>
        <v>0</v>
      </c>
      <c r="N79" s="359">
        <f t="shared" si="38"/>
        <v>0</v>
      </c>
      <c r="P79" s="364">
        <f t="shared" si="39"/>
        <v>1.0900000000000001</v>
      </c>
      <c r="Q79" s="359">
        <f>P79*C79</f>
        <v>0</v>
      </c>
      <c r="R79" s="359">
        <f>N79-Q79</f>
        <v>0</v>
      </c>
      <c r="S79" s="365">
        <f>T79-G79+P79</f>
        <v>83.44</v>
      </c>
      <c r="T79" s="364">
        <f>VLOOKUP($A79,'Rates-Lights'!$C$550:$I$660,3,FALSE)</f>
        <v>84.759999999999991</v>
      </c>
      <c r="U79" s="360">
        <f>(S79-T79)/T79</f>
        <v>-1.5573383671543102E-2</v>
      </c>
      <c r="W79" s="366"/>
      <c r="X79" s="361"/>
    </row>
    <row r="80" spans="1:24">
      <c r="A80" s="363" t="s">
        <v>647</v>
      </c>
      <c r="B80" s="12" t="s">
        <v>1220</v>
      </c>
      <c r="C80" s="244">
        <f t="shared" si="30"/>
        <v>0</v>
      </c>
      <c r="D80" s="244">
        <f t="shared" si="31"/>
        <v>0</v>
      </c>
      <c r="E80" s="388">
        <v>0.18099999999999999</v>
      </c>
      <c r="F80" s="359"/>
      <c r="G80" s="364">
        <f>VLOOKUP(A80,'Rates-Lights'!$C$550:$I$660,5,FALSE)</f>
        <v>2.41</v>
      </c>
      <c r="H80" s="364">
        <f t="shared" si="32"/>
        <v>0</v>
      </c>
      <c r="I80" s="359">
        <f>C80*F80</f>
        <v>0</v>
      </c>
      <c r="J80" s="364">
        <f>ROUND(C80*G80,2)</f>
        <v>0</v>
      </c>
      <c r="K80" s="359">
        <f>SUM(I80:J80)</f>
        <v>0</v>
      </c>
      <c r="L80" s="359">
        <f t="shared" si="36"/>
        <v>0</v>
      </c>
      <c r="M80" s="359">
        <f>L80-K80</f>
        <v>0</v>
      </c>
      <c r="N80" s="359">
        <f t="shared" si="38"/>
        <v>0</v>
      </c>
      <c r="P80" s="364">
        <f t="shared" si="39"/>
        <v>1.0900000000000001</v>
      </c>
      <c r="Q80" s="359">
        <f>P80*C80</f>
        <v>0</v>
      </c>
      <c r="R80" s="359">
        <f>N80-Q80</f>
        <v>0</v>
      </c>
      <c r="S80" s="365">
        <f>T80-G80+P80</f>
        <v>84.8</v>
      </c>
      <c r="T80" s="364">
        <f>VLOOKUP($A80,'Rates-Lights'!$C$550:$I$660,3,FALSE)</f>
        <v>86.11999999999999</v>
      </c>
      <c r="U80" s="360">
        <f>(S80-T80)/T80</f>
        <v>-1.5327450069670149E-2</v>
      </c>
      <c r="W80" s="366"/>
      <c r="X80" s="361"/>
    </row>
    <row r="81" spans="1:24">
      <c r="A81" s="363" t="s">
        <v>648</v>
      </c>
      <c r="B81" s="12" t="s">
        <v>1221</v>
      </c>
      <c r="C81" s="244">
        <f t="shared" si="30"/>
        <v>0</v>
      </c>
      <c r="D81" s="244">
        <f t="shared" si="31"/>
        <v>0</v>
      </c>
      <c r="E81" s="388">
        <v>0.18099999999999999</v>
      </c>
      <c r="F81" s="359"/>
      <c r="G81" s="364">
        <f>VLOOKUP(A81,'Rates-Lights'!$C$550:$I$660,5,FALSE)</f>
        <v>2.41</v>
      </c>
      <c r="H81" s="364">
        <f t="shared" si="32"/>
        <v>0</v>
      </c>
      <c r="I81" s="359">
        <f>C81*F81</f>
        <v>0</v>
      </c>
      <c r="J81" s="364">
        <f>ROUND(C81*G81,2)</f>
        <v>0</v>
      </c>
      <c r="K81" s="359">
        <f>SUM(I81:J81)</f>
        <v>0</v>
      </c>
      <c r="L81" s="359">
        <f t="shared" si="36"/>
        <v>0</v>
      </c>
      <c r="M81" s="359">
        <f>L81-K81</f>
        <v>0</v>
      </c>
      <c r="N81" s="359">
        <f t="shared" si="38"/>
        <v>0</v>
      </c>
      <c r="P81" s="364">
        <f t="shared" si="39"/>
        <v>1.0900000000000001</v>
      </c>
      <c r="Q81" s="359">
        <f>P81*C81</f>
        <v>0</v>
      </c>
      <c r="R81" s="359">
        <f>N81-Q81</f>
        <v>0</v>
      </c>
      <c r="S81" s="365">
        <f>T81-G81+P81</f>
        <v>81.899999999999991</v>
      </c>
      <c r="T81" s="364">
        <f>VLOOKUP($A81,'Rates-Lights'!$C$550:$I$660,3,FALSE)</f>
        <v>83.219999999999985</v>
      </c>
      <c r="U81" s="360">
        <f>(S81-T81)/T81</f>
        <v>-1.5861571737563005E-2</v>
      </c>
      <c r="W81" s="366"/>
      <c r="X81" s="361"/>
    </row>
    <row r="82" spans="1:24">
      <c r="A82" s="363" t="s">
        <v>340</v>
      </c>
      <c r="B82" s="12" t="s">
        <v>1201</v>
      </c>
      <c r="C82" s="244">
        <f t="shared" si="30"/>
        <v>0</v>
      </c>
      <c r="D82" s="244">
        <f t="shared" si="31"/>
        <v>0</v>
      </c>
      <c r="E82" s="388">
        <v>0.18099999999999999</v>
      </c>
      <c r="F82" s="359"/>
      <c r="G82" s="364">
        <f>VLOOKUP(A82,'Rates-Lights'!$C$550:$I$660,5,FALSE)</f>
        <v>2.41</v>
      </c>
      <c r="H82" s="364">
        <f t="shared" si="32"/>
        <v>0</v>
      </c>
      <c r="I82" s="359">
        <f>C82*F82</f>
        <v>0</v>
      </c>
      <c r="J82" s="364">
        <f>ROUND(C82*G82,2)</f>
        <v>0</v>
      </c>
      <c r="K82" s="359">
        <f>SUM(I82:J82)</f>
        <v>0</v>
      </c>
      <c r="L82" s="359">
        <f t="shared" si="36"/>
        <v>0</v>
      </c>
      <c r="M82" s="359">
        <f>L82-K82</f>
        <v>0</v>
      </c>
      <c r="N82" s="359">
        <f t="shared" si="38"/>
        <v>0</v>
      </c>
      <c r="P82" s="364">
        <f t="shared" si="39"/>
        <v>1.0900000000000001</v>
      </c>
      <c r="Q82" s="359">
        <f>P82*C82</f>
        <v>0</v>
      </c>
      <c r="R82" s="359">
        <f>N82-Q82</f>
        <v>0</v>
      </c>
      <c r="S82" s="365">
        <f>T82-G82+P82</f>
        <v>54.010000000000005</v>
      </c>
      <c r="T82" s="364">
        <f>VLOOKUP($A82,'Rates-Lights'!$C$550:$I$660,3,FALSE)</f>
        <v>55.33</v>
      </c>
      <c r="U82" s="360">
        <f>(S82-T82)/T82</f>
        <v>-2.3856858846918367E-2</v>
      </c>
      <c r="W82" s="366"/>
      <c r="X82" s="361"/>
    </row>
    <row r="83" spans="1:24">
      <c r="A83" s="363"/>
      <c r="B83"/>
      <c r="F83" s="359"/>
      <c r="G83" s="364"/>
      <c r="H83" s="364"/>
      <c r="I83" s="359"/>
      <c r="J83" s="364"/>
      <c r="K83" s="359"/>
      <c r="L83" s="359"/>
      <c r="M83" s="359"/>
      <c r="N83" s="359"/>
      <c r="P83" s="364"/>
      <c r="Q83" s="359"/>
      <c r="R83" s="359"/>
      <c r="S83" s="365"/>
      <c r="T83" s="364"/>
      <c r="U83" s="360"/>
      <c r="W83" s="366"/>
      <c r="X83" s="361"/>
    </row>
    <row r="84" spans="1:24">
      <c r="A84" s="363" t="s">
        <v>337</v>
      </c>
      <c r="B84" t="s">
        <v>1222</v>
      </c>
      <c r="C84" s="244">
        <f t="shared" ref="C84:C89" si="44">SUMIF(_12MonLights_RateCategory,$A84,_12MonLights_Count)</f>
        <v>695</v>
      </c>
      <c r="D84" s="244">
        <f t="shared" ref="D84:D89" si="45">SUMIF(_12MonLights_RateCategory,$A84,_12MonLights_KWH)</f>
        <v>15581</v>
      </c>
      <c r="E84" s="388">
        <v>0.15</v>
      </c>
      <c r="F84" s="359"/>
      <c r="G84" s="364">
        <f>VLOOKUP(A84,'Rates-Lights'!$C$550:$I$660,5,FALSE)</f>
        <v>0.66</v>
      </c>
      <c r="H84" s="364">
        <f t="shared" ref="H84:H89" si="46">SUMIF(_12MonLights_RateCategory,TEXT(A84,0),_12MonLights_Base_Fuel_Revenue)</f>
        <v>1369.1499999999999</v>
      </c>
      <c r="I84" s="359">
        <f t="shared" ref="I84:I89" si="47">C84*F84</f>
        <v>0</v>
      </c>
      <c r="J84" s="364">
        <f t="shared" ref="J84:J89" si="48">ROUND(C84*G84,2)</f>
        <v>458.7</v>
      </c>
      <c r="K84" s="359">
        <f t="shared" ref="K84:K89" si="49">SUM(I84:J84)</f>
        <v>458.7</v>
      </c>
      <c r="L84" s="359">
        <f t="shared" ref="L84:L89" si="50">SUMIF(_12MonLights_RateCategory,TEXT($A84,0),_12MonLights_Revenue_Actual)</f>
        <v>5432.04</v>
      </c>
      <c r="M84" s="359">
        <f t="shared" ref="M84:M89" si="51">L84-K84</f>
        <v>4973.34</v>
      </c>
      <c r="N84" s="359">
        <f t="shared" ref="N84:N89" si="52">ROUND($L$186/$M$153*M84,2)</f>
        <v>186.97</v>
      </c>
      <c r="P84" s="364">
        <f t="shared" ref="P84:P89" si="53">ROUND((SUMIF($E$17:$E$150,$E84,$N$17:$N$150)/SUMIF($E$17:$E$150,$E84,$C$17:$C$150)),2)</f>
        <v>0.32</v>
      </c>
      <c r="Q84" s="359">
        <f t="shared" ref="Q84:Q89" si="54">P84*C84</f>
        <v>222.4</v>
      </c>
      <c r="R84" s="359">
        <f t="shared" ref="R84:R89" si="55">N84-Q84</f>
        <v>-35.430000000000007</v>
      </c>
      <c r="S84" s="365">
        <f t="shared" ref="S84:S89" si="56">T84-G84+P84</f>
        <v>15.13</v>
      </c>
      <c r="T84" s="364">
        <f>VLOOKUP($A84,'Rates-Lights'!$C$550:$I$660,3,FALSE)</f>
        <v>15.47</v>
      </c>
      <c r="U84" s="360">
        <f t="shared" ref="U84:U89" si="57">(S84-T84)/T84</f>
        <v>-2.1978021978021969E-2</v>
      </c>
      <c r="W84" s="366"/>
      <c r="X84" s="361"/>
    </row>
    <row r="85" spans="1:24">
      <c r="A85" s="363" t="s">
        <v>334</v>
      </c>
      <c r="B85" s="12" t="s">
        <v>1223</v>
      </c>
      <c r="C85" s="244">
        <f t="shared" si="44"/>
        <v>2129</v>
      </c>
      <c r="D85" s="244">
        <f t="shared" si="45"/>
        <v>46087</v>
      </c>
      <c r="E85" s="388">
        <v>0.15</v>
      </c>
      <c r="F85" s="359"/>
      <c r="G85" s="364">
        <f>VLOOKUP(A85,'Rates-Lights'!$C$550:$I$660,5,FALSE)</f>
        <v>0.66</v>
      </c>
      <c r="H85" s="364">
        <f t="shared" si="46"/>
        <v>4194.13</v>
      </c>
      <c r="I85" s="359">
        <f t="shared" si="47"/>
        <v>0</v>
      </c>
      <c r="J85" s="364">
        <f t="shared" si="48"/>
        <v>1405.14</v>
      </c>
      <c r="K85" s="359">
        <f t="shared" si="49"/>
        <v>1405.14</v>
      </c>
      <c r="L85" s="359">
        <f t="shared" si="50"/>
        <v>29166.25</v>
      </c>
      <c r="M85" s="359">
        <f t="shared" si="51"/>
        <v>27761.11</v>
      </c>
      <c r="N85" s="359">
        <f t="shared" si="52"/>
        <v>1043.67</v>
      </c>
      <c r="P85" s="364">
        <f t="shared" si="53"/>
        <v>0.32</v>
      </c>
      <c r="Q85" s="359">
        <f t="shared" si="54"/>
        <v>681.28</v>
      </c>
      <c r="R85" s="359">
        <f t="shared" si="55"/>
        <v>362.3900000000001</v>
      </c>
      <c r="S85" s="365">
        <f t="shared" si="56"/>
        <v>28.03</v>
      </c>
      <c r="T85" s="364">
        <f>VLOOKUP($A85,'Rates-Lights'!$C$550:$I$660,3,FALSE)</f>
        <v>28.37</v>
      </c>
      <c r="U85" s="360">
        <f t="shared" si="57"/>
        <v>-1.198449065914698E-2</v>
      </c>
      <c r="W85" s="366"/>
      <c r="X85" s="361"/>
    </row>
    <row r="86" spans="1:24">
      <c r="A86" s="363" t="s">
        <v>369</v>
      </c>
      <c r="B86" s="12" t="s">
        <v>1224</v>
      </c>
      <c r="C86" s="244">
        <f t="shared" si="44"/>
        <v>3649</v>
      </c>
      <c r="D86" s="244">
        <f t="shared" si="45"/>
        <v>189959</v>
      </c>
      <c r="E86" s="388">
        <v>0.35</v>
      </c>
      <c r="F86" s="359"/>
      <c r="G86" s="364">
        <f>VLOOKUP(A86,'Rates-Lights'!$C$550:$I$660,5,FALSE)</f>
        <v>0.84</v>
      </c>
      <c r="H86" s="364">
        <f t="shared" si="46"/>
        <v>15654.210000000001</v>
      </c>
      <c r="I86" s="359">
        <f t="shared" si="47"/>
        <v>0</v>
      </c>
      <c r="J86" s="364">
        <f t="shared" si="48"/>
        <v>3065.16</v>
      </c>
      <c r="K86" s="359">
        <f t="shared" si="49"/>
        <v>3065.16</v>
      </c>
      <c r="L86" s="359">
        <f t="shared" si="50"/>
        <v>40276.729999999996</v>
      </c>
      <c r="M86" s="359">
        <f t="shared" si="51"/>
        <v>37211.569999999992</v>
      </c>
      <c r="N86" s="359">
        <f t="shared" si="52"/>
        <v>1398.96</v>
      </c>
      <c r="P86" s="364">
        <f t="shared" si="53"/>
        <v>0.4</v>
      </c>
      <c r="Q86" s="359">
        <f t="shared" si="54"/>
        <v>1459.6000000000001</v>
      </c>
      <c r="R86" s="359">
        <f t="shared" si="55"/>
        <v>-60.6400000000001</v>
      </c>
      <c r="S86" s="365">
        <f t="shared" si="56"/>
        <v>21.490000000000002</v>
      </c>
      <c r="T86" s="364">
        <f>VLOOKUP($A86,'Rates-Lights'!$C$550:$I$660,3,FALSE)</f>
        <v>21.930000000000003</v>
      </c>
      <c r="U86" s="360">
        <f t="shared" si="57"/>
        <v>-2.0063839489284141E-2</v>
      </c>
      <c r="W86" s="366"/>
      <c r="X86" s="361"/>
    </row>
    <row r="87" spans="1:24">
      <c r="A87" s="363" t="s">
        <v>366</v>
      </c>
      <c r="B87" s="12" t="s">
        <v>1225</v>
      </c>
      <c r="C87" s="244">
        <f t="shared" si="44"/>
        <v>7466</v>
      </c>
      <c r="D87" s="244">
        <f t="shared" si="45"/>
        <v>390906</v>
      </c>
      <c r="E87" s="388">
        <v>0.35</v>
      </c>
      <c r="F87" s="359"/>
      <c r="G87" s="364">
        <f>VLOOKUP(A87,'Rates-Lights'!$C$550:$I$660,5,FALSE)</f>
        <v>0.84</v>
      </c>
      <c r="H87" s="364">
        <f t="shared" si="46"/>
        <v>32029.14</v>
      </c>
      <c r="I87" s="359">
        <f t="shared" si="47"/>
        <v>0</v>
      </c>
      <c r="J87" s="364">
        <f t="shared" si="48"/>
        <v>6271.44</v>
      </c>
      <c r="K87" s="359">
        <f t="shared" si="49"/>
        <v>6271.44</v>
      </c>
      <c r="L87" s="359">
        <f t="shared" si="50"/>
        <v>131755.31</v>
      </c>
      <c r="M87" s="359">
        <f t="shared" si="51"/>
        <v>125483.87</v>
      </c>
      <c r="N87" s="359">
        <f t="shared" si="52"/>
        <v>4717.55</v>
      </c>
      <c r="P87" s="364">
        <f t="shared" si="53"/>
        <v>0.4</v>
      </c>
      <c r="Q87" s="359">
        <f t="shared" si="54"/>
        <v>2986.4</v>
      </c>
      <c r="R87" s="359">
        <f t="shared" si="55"/>
        <v>1731.15</v>
      </c>
      <c r="S87" s="365">
        <f t="shared" si="56"/>
        <v>34.39</v>
      </c>
      <c r="T87" s="364">
        <f>VLOOKUP($A87,'Rates-Lights'!$C$550:$I$660,3,FALSE)</f>
        <v>34.830000000000005</v>
      </c>
      <c r="U87" s="360">
        <f t="shared" si="57"/>
        <v>-1.2632787826586413E-2</v>
      </c>
      <c r="W87" s="366"/>
      <c r="X87" s="361"/>
    </row>
    <row r="88" spans="1:24">
      <c r="A88" s="363" t="s">
        <v>332</v>
      </c>
      <c r="B88" s="12" t="s">
        <v>1226</v>
      </c>
      <c r="C88" s="244">
        <f t="shared" si="44"/>
        <v>529</v>
      </c>
      <c r="D88" s="244">
        <f t="shared" si="45"/>
        <v>82792</v>
      </c>
      <c r="E88" s="388">
        <v>1.08</v>
      </c>
      <c r="F88" s="359"/>
      <c r="G88" s="364">
        <f>VLOOKUP(A88,'Rates-Lights'!$C$550:$I$660,5,FALSE)</f>
        <v>1.7</v>
      </c>
      <c r="H88" s="364">
        <f t="shared" si="46"/>
        <v>5506.8899999999994</v>
      </c>
      <c r="I88" s="359">
        <f t="shared" si="47"/>
        <v>0</v>
      </c>
      <c r="J88" s="364">
        <f t="shared" si="48"/>
        <v>899.3</v>
      </c>
      <c r="K88" s="359">
        <f t="shared" si="49"/>
        <v>899.3</v>
      </c>
      <c r="L88" s="359">
        <f t="shared" si="50"/>
        <v>11790.61</v>
      </c>
      <c r="M88" s="359">
        <f t="shared" si="51"/>
        <v>10891.310000000001</v>
      </c>
      <c r="N88" s="359">
        <f t="shared" si="52"/>
        <v>409.46</v>
      </c>
      <c r="P88" s="364">
        <f t="shared" si="53"/>
        <v>0.79</v>
      </c>
      <c r="Q88" s="359">
        <f t="shared" si="54"/>
        <v>417.91</v>
      </c>
      <c r="R88" s="359">
        <f t="shared" si="55"/>
        <v>-8.4500000000000455</v>
      </c>
      <c r="S88" s="365">
        <f t="shared" si="56"/>
        <v>44.79</v>
      </c>
      <c r="T88" s="364">
        <f>VLOOKUP($A88,'Rates-Lights'!$C$550:$I$660,3,FALSE)</f>
        <v>45.7</v>
      </c>
      <c r="U88" s="360">
        <f t="shared" si="57"/>
        <v>-1.9912472647702486E-2</v>
      </c>
      <c r="W88" s="366"/>
      <c r="X88" s="361"/>
    </row>
    <row r="89" spans="1:24">
      <c r="A89" s="363" t="s">
        <v>329</v>
      </c>
      <c r="B89" s="12" t="s">
        <v>1227</v>
      </c>
      <c r="C89" s="244">
        <f t="shared" si="44"/>
        <v>1888</v>
      </c>
      <c r="D89" s="244">
        <f t="shared" si="45"/>
        <v>295494</v>
      </c>
      <c r="E89" s="388">
        <v>1.08</v>
      </c>
      <c r="F89" s="359"/>
      <c r="G89" s="364">
        <f>VLOOKUP(A89,'Rates-Lights'!$C$550:$I$660,5,FALSE)</f>
        <v>1.7</v>
      </c>
      <c r="H89" s="364">
        <f t="shared" si="46"/>
        <v>19654.080000000002</v>
      </c>
      <c r="I89" s="359">
        <f t="shared" si="47"/>
        <v>0</v>
      </c>
      <c r="J89" s="364">
        <f t="shared" si="48"/>
        <v>3209.6</v>
      </c>
      <c r="K89" s="359">
        <f t="shared" si="49"/>
        <v>3209.6</v>
      </c>
      <c r="L89" s="359">
        <f t="shared" si="50"/>
        <v>54285.59</v>
      </c>
      <c r="M89" s="359">
        <f t="shared" si="51"/>
        <v>51075.99</v>
      </c>
      <c r="N89" s="359">
        <f t="shared" si="52"/>
        <v>1920.19</v>
      </c>
      <c r="P89" s="364">
        <f t="shared" si="53"/>
        <v>0.79</v>
      </c>
      <c r="Q89" s="359">
        <f t="shared" si="54"/>
        <v>1491.52</v>
      </c>
      <c r="R89" s="359">
        <f t="shared" si="55"/>
        <v>428.67000000000007</v>
      </c>
      <c r="S89" s="365">
        <f t="shared" si="56"/>
        <v>57.68</v>
      </c>
      <c r="T89" s="364">
        <f>VLOOKUP($A89,'Rates-Lights'!$C$550:$I$660,3,FALSE)</f>
        <v>58.59</v>
      </c>
      <c r="U89" s="360">
        <f t="shared" si="57"/>
        <v>-1.5531660692951078E-2</v>
      </c>
      <c r="W89" s="366"/>
      <c r="X89" s="361"/>
    </row>
    <row r="90" spans="1:24">
      <c r="A90" s="363"/>
      <c r="B90"/>
      <c r="F90" s="359"/>
      <c r="G90" s="364"/>
      <c r="H90" s="364"/>
      <c r="I90" s="359"/>
      <c r="J90" s="364"/>
      <c r="K90" s="359"/>
      <c r="L90" s="359"/>
      <c r="M90" s="359"/>
      <c r="N90" s="359"/>
      <c r="P90" s="364"/>
      <c r="Q90" s="359"/>
      <c r="R90" s="359"/>
      <c r="S90" s="365"/>
      <c r="T90" s="364"/>
      <c r="U90" s="360"/>
      <c r="W90" s="366"/>
      <c r="X90" s="361"/>
    </row>
    <row r="91" spans="1:24">
      <c r="A91" s="363"/>
      <c r="B91" s="45" t="s">
        <v>1228</v>
      </c>
      <c r="F91" s="359"/>
      <c r="G91" s="364"/>
      <c r="H91" s="364"/>
      <c r="I91" s="359"/>
      <c r="J91" s="364"/>
      <c r="K91" s="359"/>
      <c r="L91" s="359"/>
      <c r="M91" s="359"/>
      <c r="N91" s="359"/>
      <c r="P91" s="364"/>
      <c r="Q91" s="359"/>
      <c r="R91" s="359"/>
      <c r="S91" s="365"/>
      <c r="T91" s="364"/>
      <c r="U91" s="360"/>
      <c r="W91" s="366"/>
      <c r="X91" s="361"/>
    </row>
    <row r="92" spans="1:24">
      <c r="A92" s="381" t="s">
        <v>372</v>
      </c>
      <c r="B92" t="s">
        <v>1229</v>
      </c>
      <c r="C92" s="244">
        <f>SUMIF(_12MonLights_RateCategory,$A92,_12MonLights_Count)</f>
        <v>78858</v>
      </c>
      <c r="D92" s="244">
        <f>SUMIF(_12MonLights_RateCategory,$A92,_12MonLights_KWH)</f>
        <v>746717</v>
      </c>
      <c r="E92" s="388">
        <v>0.06</v>
      </c>
      <c r="F92" s="359"/>
      <c r="G92" s="364">
        <f>VLOOKUP(A92,'Rates-Lights'!$C$550:$I$660,5,FALSE)</f>
        <v>0.33</v>
      </c>
      <c r="H92" s="364">
        <f>SUMIF(_12MonLights_RateCategory,TEXT(A92,0),_12MonLights_Base_Fuel_Revenue)</f>
        <v>44949.060000000005</v>
      </c>
      <c r="I92" s="359">
        <f>C92*F92</f>
        <v>0</v>
      </c>
      <c r="J92" s="364">
        <f>ROUND(C92*G92,2)</f>
        <v>26023.14</v>
      </c>
      <c r="K92" s="359">
        <f>SUM(I92:J92)</f>
        <v>26023.14</v>
      </c>
      <c r="L92" s="359">
        <f>SUMIF(_12MonLights_RateCategory,TEXT($A92,0),_12MonLights_Revenue_Actual)</f>
        <v>313917.90999999997</v>
      </c>
      <c r="M92" s="359">
        <f>L92-K92</f>
        <v>287894.76999999996</v>
      </c>
      <c r="N92" s="359">
        <f>ROUND($L$186/$M$153*M92,2)</f>
        <v>10823.36</v>
      </c>
      <c r="P92" s="364">
        <f>ROUND((SUMIF($E$17:$E$150,$E92,$N$17:$N$150)/SUMIF($E$17:$E$150,$E92,$C$17:$C$150)),2)</f>
        <v>0.16</v>
      </c>
      <c r="Q92" s="359">
        <f>P92*C92</f>
        <v>12617.28</v>
      </c>
      <c r="R92" s="359">
        <f>N92-Q92</f>
        <v>-1793.92</v>
      </c>
      <c r="S92" s="365">
        <f>T92-G92+P92</f>
        <v>7.37</v>
      </c>
      <c r="T92" s="364">
        <f>VLOOKUP($A92,'Rates-Lights'!$C$550:$I$660,3,FALSE)</f>
        <v>7.54</v>
      </c>
      <c r="U92" s="360">
        <f>(S92-T92)/T92</f>
        <v>-2.2546419098143228E-2</v>
      </c>
      <c r="W92" s="366"/>
      <c r="X92" s="361"/>
    </row>
    <row r="93" spans="1:24">
      <c r="A93" s="381" t="s">
        <v>371</v>
      </c>
      <c r="B93" s="12" t="s">
        <v>1230</v>
      </c>
      <c r="C93" s="244">
        <f>SUMIF(_12MonLights_RateCategory,$A93,_12MonLights_Count)</f>
        <v>43380</v>
      </c>
      <c r="D93" s="244">
        <f>SUMIF(_12MonLights_RateCategory,$A93,_12MonLights_KWH)</f>
        <v>403281</v>
      </c>
      <c r="E93" s="388">
        <v>0.06</v>
      </c>
      <c r="F93" s="359"/>
      <c r="G93" s="364">
        <f>VLOOKUP(A93,'Rates-Lights'!$C$550:$I$660,5,FALSE)</f>
        <v>0.33</v>
      </c>
      <c r="H93" s="364">
        <f>SUMIF(_12MonLights_RateCategory,TEXT(A93,0),_12MonLights_Base_Fuel_Revenue)</f>
        <v>24726.6</v>
      </c>
      <c r="I93" s="359">
        <f>C93*F93</f>
        <v>0</v>
      </c>
      <c r="J93" s="364">
        <f>ROUND(C93*G93,2)</f>
        <v>14315.4</v>
      </c>
      <c r="K93" s="359">
        <f>SUM(I93:J93)</f>
        <v>14315.4</v>
      </c>
      <c r="L93" s="359">
        <f>SUMIF(_12MonLights_RateCategory,TEXT($A93,0),_12MonLights_Revenue_Actual)</f>
        <v>230749.87999999998</v>
      </c>
      <c r="M93" s="359">
        <f>L93-K93</f>
        <v>216434.47999999998</v>
      </c>
      <c r="N93" s="359">
        <f>ROUND($L$186/$M$153*M93,2)</f>
        <v>8136.82</v>
      </c>
      <c r="P93" s="364">
        <f>ROUND((SUMIF($E$17:$E$150,$E93,$N$17:$N$150)/SUMIF($E$17:$E$150,$E93,$C$17:$C$150)),2)</f>
        <v>0.16</v>
      </c>
      <c r="Q93" s="359">
        <f>P93*C93</f>
        <v>6940.8</v>
      </c>
      <c r="R93" s="359">
        <f>N93-Q93</f>
        <v>1196.0199999999995</v>
      </c>
      <c r="S93" s="365">
        <f>T93-G93+P93</f>
        <v>10.32</v>
      </c>
      <c r="T93" s="364">
        <f>VLOOKUP($A93,'Rates-Lights'!$C$550:$I$660,3,FALSE)</f>
        <v>10.49</v>
      </c>
      <c r="U93" s="360">
        <f>(S93-T93)/T93</f>
        <v>-1.620591039084842E-2</v>
      </c>
      <c r="W93" s="366"/>
      <c r="X93" s="361"/>
    </row>
    <row r="94" spans="1:24">
      <c r="A94" s="363" t="s">
        <v>398</v>
      </c>
      <c r="B94" t="s">
        <v>1172</v>
      </c>
      <c r="C94" s="244">
        <f>SUMIF(_12MonLights_RateCategory,$A94,_12MonLights_Count)</f>
        <v>1654</v>
      </c>
      <c r="D94" s="244">
        <f>SUMIF(_12MonLights_RateCategory,$A94,_12MonLights_KWH)</f>
        <v>117132</v>
      </c>
      <c r="E94" s="388">
        <v>0.47099999999999997</v>
      </c>
      <c r="F94" s="359"/>
      <c r="G94" s="364">
        <f>VLOOKUP(A94,'Rates-Lights'!$C$550:$I$660,5,FALSE)</f>
        <v>0.79</v>
      </c>
      <c r="H94" s="364">
        <f>SUMIF(_12MonLights_RateCategory,TEXT(A94,0),_12MonLights_Base_Fuel_Revenue)</f>
        <v>7492.619999999999</v>
      </c>
      <c r="I94" s="359">
        <f>C94*F94</f>
        <v>0</v>
      </c>
      <c r="J94" s="364">
        <f>ROUND(C94*G94,2)</f>
        <v>1306.6600000000001</v>
      </c>
      <c r="K94" s="359">
        <f>SUM(I94:J94)</f>
        <v>1306.6600000000001</v>
      </c>
      <c r="L94" s="359">
        <f>SUMIF(_12MonLights_RateCategory,TEXT($A94,0),_12MonLights_Revenue_Actual)</f>
        <v>9828.25</v>
      </c>
      <c r="M94" s="359">
        <f>L94-K94</f>
        <v>8521.59</v>
      </c>
      <c r="N94" s="359">
        <f>ROUND($L$186/$M$153*M94,2)</f>
        <v>320.37</v>
      </c>
      <c r="P94" s="364">
        <f>ROUND((SUMIF($E$17:$E$150,$E94,$N$17:$N$150)/SUMIF($E$17:$E$150,$E94,$C$17:$C$150)),2)</f>
        <v>0.38</v>
      </c>
      <c r="Q94" s="359">
        <f>P94*C94</f>
        <v>628.52</v>
      </c>
      <c r="R94" s="359">
        <f>N94-Q94</f>
        <v>-308.14999999999998</v>
      </c>
      <c r="S94" s="365">
        <f>T94-G94+P94</f>
        <v>11.300000000000002</v>
      </c>
      <c r="T94" s="364">
        <f>VLOOKUP($A94,'Rates-Lights'!$C$550:$I$660,3,FALSE)</f>
        <v>11.71</v>
      </c>
      <c r="U94" s="360">
        <f>(S94-T94)/T94</f>
        <v>-3.5012809564474667E-2</v>
      </c>
      <c r="W94" s="366"/>
      <c r="X94" s="361"/>
    </row>
    <row r="95" spans="1:24">
      <c r="A95" s="363"/>
      <c r="B95" s="45"/>
      <c r="F95" s="359"/>
      <c r="G95" s="364"/>
      <c r="H95" s="364"/>
      <c r="I95" s="359"/>
      <c r="J95" s="364"/>
      <c r="K95" s="359"/>
      <c r="L95" s="359"/>
      <c r="M95" s="359"/>
      <c r="N95" s="359"/>
      <c r="P95" s="364"/>
      <c r="Q95" s="359"/>
      <c r="R95" s="359"/>
      <c r="S95" s="365"/>
      <c r="T95" s="364"/>
      <c r="U95" s="360"/>
      <c r="W95" s="366"/>
      <c r="X95" s="361"/>
    </row>
    <row r="96" spans="1:24">
      <c r="A96" s="363" t="s">
        <v>391</v>
      </c>
      <c r="B96" t="s">
        <v>1231</v>
      </c>
      <c r="C96" s="244">
        <f>SUMIF(_12MonLights_RateCategory,$A96,_12MonLights_Count)</f>
        <v>2020</v>
      </c>
      <c r="D96" s="244">
        <f>SUMIF(_12MonLights_RateCategory,$A96,_12MonLights_KWH)</f>
        <v>25021</v>
      </c>
      <c r="E96" s="388">
        <v>8.3000000000000004E-2</v>
      </c>
      <c r="F96" s="359"/>
      <c r="G96" s="364">
        <f>VLOOKUP(A96,'Rates-Lights'!$C$550:$I$660,5,FALSE)</f>
        <v>0.43</v>
      </c>
      <c r="H96" s="364">
        <f>SUMIF(_12MonLights_RateCategory,TEXT(A96,0),_12MonLights_Base_Fuel_Revenue)</f>
        <v>1615.9999999999998</v>
      </c>
      <c r="I96" s="359">
        <f>C96*F96</f>
        <v>0</v>
      </c>
      <c r="J96" s="364">
        <f>ROUND(C96*G96,2)</f>
        <v>868.6</v>
      </c>
      <c r="K96" s="359">
        <f>SUM(I96:J96)</f>
        <v>868.6</v>
      </c>
      <c r="L96" s="359">
        <f>SUMIF(_12MonLights_RateCategory,TEXT($A96,0),_12MonLights_Revenue_Actual)</f>
        <v>7598.1399999999994</v>
      </c>
      <c r="M96" s="359">
        <f>L96-K96</f>
        <v>6729.5399999999991</v>
      </c>
      <c r="N96" s="359">
        <f>ROUND($L$186/$M$153*M96,2)</f>
        <v>253</v>
      </c>
      <c r="P96" s="364">
        <f>ROUND((SUMIF($E$17:$E$150,$E96,$N$17:$N$150)/SUMIF($E$17:$E$150,$E96,$C$17:$C$150)),2)</f>
        <v>0.21</v>
      </c>
      <c r="Q96" s="359">
        <f>P96*C96</f>
        <v>424.2</v>
      </c>
      <c r="R96" s="359">
        <f>N96-Q96</f>
        <v>-171.2</v>
      </c>
      <c r="S96" s="365">
        <f>T96-G96+P96</f>
        <v>7.22</v>
      </c>
      <c r="T96" s="364">
        <f>VLOOKUP($A96,'Rates-Lights'!$C$550:$I$660,3,FALSE)</f>
        <v>7.4399999999999995</v>
      </c>
      <c r="U96" s="360">
        <f>(S96-T96)/T96</f>
        <v>-2.956989247311825E-2</v>
      </c>
      <c r="W96" s="366"/>
      <c r="X96" s="361"/>
    </row>
    <row r="97" spans="1:24">
      <c r="A97" s="363"/>
      <c r="B97" s="45"/>
      <c r="F97" s="359"/>
      <c r="G97" s="364"/>
      <c r="H97" s="364"/>
      <c r="I97" s="359"/>
      <c r="J97" s="364"/>
      <c r="K97" s="359"/>
      <c r="L97" s="359"/>
      <c r="M97" s="359"/>
      <c r="N97" s="359"/>
      <c r="P97" s="364"/>
      <c r="Q97" s="359"/>
      <c r="R97" s="359"/>
      <c r="S97" s="365"/>
      <c r="T97" s="364"/>
      <c r="U97" s="360"/>
      <c r="W97" s="366"/>
      <c r="X97" s="361"/>
    </row>
    <row r="98" spans="1:24">
      <c r="A98" s="363" t="s">
        <v>336</v>
      </c>
      <c r="B98" t="s">
        <v>1232</v>
      </c>
      <c r="C98" s="244">
        <f>SUMIF(_12MonLights_RateCategory,$A98,_12MonLights_Count)</f>
        <v>1771</v>
      </c>
      <c r="D98" s="244">
        <f>SUMIF(_12MonLights_RateCategory,$A98,_12MonLights_KWH)</f>
        <v>40113</v>
      </c>
      <c r="E98" s="388">
        <v>0.15</v>
      </c>
      <c r="F98" s="359"/>
      <c r="G98" s="364">
        <f>VLOOKUP(A98,'Rates-Lights'!$C$550:$I$660,5,FALSE)</f>
        <v>0.66</v>
      </c>
      <c r="H98" s="364">
        <f>SUMIF(_12MonLights_RateCategory,TEXT(A98,0),_12MonLights_Base_Fuel_Revenue)</f>
        <v>3488.8700000000003</v>
      </c>
      <c r="I98" s="359">
        <f>C98*F98</f>
        <v>0</v>
      </c>
      <c r="J98" s="364">
        <f>ROUND(C98*G98,2)</f>
        <v>1168.8599999999999</v>
      </c>
      <c r="K98" s="359">
        <f>SUM(I98:J98)</f>
        <v>1168.8599999999999</v>
      </c>
      <c r="L98" s="359">
        <f>SUMIF(_12MonLights_RateCategory,TEXT($A98,0),_12MonLights_Revenue_Actual)</f>
        <v>16801.62</v>
      </c>
      <c r="M98" s="359">
        <f>L98-K98</f>
        <v>15632.759999999998</v>
      </c>
      <c r="N98" s="359">
        <f>ROUND($L$186/$M$153*M98,2)</f>
        <v>587.71</v>
      </c>
      <c r="P98" s="364">
        <f>ROUND((SUMIF($E$17:$E$150,$E98,$N$17:$N$150)/SUMIF($E$17:$E$150,$E98,$C$17:$C$150)),2)</f>
        <v>0.32</v>
      </c>
      <c r="Q98" s="359">
        <f>P98*C98</f>
        <v>566.72</v>
      </c>
      <c r="R98" s="359">
        <f>N98-Q98</f>
        <v>20.990000000000009</v>
      </c>
      <c r="S98" s="365">
        <f>T98-G98+P98</f>
        <v>18.309999999999999</v>
      </c>
      <c r="T98" s="364">
        <f>VLOOKUP($A98,'Rates-Lights'!$C$550:$I$660,3,FALSE)</f>
        <v>18.649999999999999</v>
      </c>
      <c r="U98" s="360">
        <f>(S98-T98)/T98</f>
        <v>-1.8230563002680958E-2</v>
      </c>
      <c r="W98" s="366"/>
      <c r="X98" s="361"/>
    </row>
    <row r="99" spans="1:24">
      <c r="A99" s="363" t="s">
        <v>368</v>
      </c>
      <c r="B99" s="12" t="s">
        <v>1233</v>
      </c>
      <c r="C99" s="244">
        <f>SUMIF(_12MonLights_RateCategory,$A99,_12MonLights_Count)</f>
        <v>12226</v>
      </c>
      <c r="D99" s="244">
        <f>SUMIF(_12MonLights_RateCategory,$A99,_12MonLights_KWH)</f>
        <v>643021</v>
      </c>
      <c r="E99" s="388">
        <v>0.35</v>
      </c>
      <c r="F99" s="359"/>
      <c r="G99" s="364">
        <f>VLOOKUP(A99,'Rates-Lights'!$C$550:$I$660,5,FALSE)</f>
        <v>0.84</v>
      </c>
      <c r="H99" s="364">
        <f>SUMIF(_12MonLights_RateCategory,TEXT(A99,0),_12MonLights_Base_Fuel_Revenue)</f>
        <v>52449.54</v>
      </c>
      <c r="I99" s="359">
        <f>C99*F99</f>
        <v>0</v>
      </c>
      <c r="J99" s="364">
        <f>ROUND(C99*G99,2)</f>
        <v>10269.84</v>
      </c>
      <c r="K99" s="359">
        <f>SUM(I99:J99)</f>
        <v>10269.84</v>
      </c>
      <c r="L99" s="359">
        <f>SUMIF(_12MonLights_RateCategory,TEXT($A99,0),_12MonLights_Revenue_Actual)</f>
        <v>152232.16</v>
      </c>
      <c r="M99" s="359">
        <f>L99-K99</f>
        <v>141962.32</v>
      </c>
      <c r="N99" s="359">
        <f>ROUND($L$186/$M$153*M99,2)</f>
        <v>5337.05</v>
      </c>
      <c r="P99" s="364">
        <f>ROUND((SUMIF($E$17:$E$150,$E99,$N$17:$N$150)/SUMIF($E$17:$E$150,$E99,$C$17:$C$150)),2)</f>
        <v>0.4</v>
      </c>
      <c r="Q99" s="359">
        <f>P99*C99</f>
        <v>4890.4000000000005</v>
      </c>
      <c r="R99" s="359">
        <f>N99-Q99</f>
        <v>446.64999999999964</v>
      </c>
      <c r="S99" s="365">
        <f>T99-G99+P99</f>
        <v>24.15</v>
      </c>
      <c r="T99" s="364">
        <f>VLOOKUP($A99,'Rates-Lights'!$C$550:$I$660,3,FALSE)</f>
        <v>24.59</v>
      </c>
      <c r="U99" s="360">
        <f>(S99-T99)/T99</f>
        <v>-1.7893452623017538E-2</v>
      </c>
      <c r="W99" s="366"/>
      <c r="X99" s="361"/>
    </row>
    <row r="100" spans="1:24">
      <c r="A100" s="363" t="s">
        <v>331</v>
      </c>
      <c r="B100" s="12" t="s">
        <v>1234</v>
      </c>
      <c r="C100" s="244">
        <f>SUMIF(_12MonLights_RateCategory,$A100,_12MonLights_Count)</f>
        <v>2718</v>
      </c>
      <c r="D100" s="244">
        <f>SUMIF(_12MonLights_RateCategory,$A100,_12MonLights_KWH)</f>
        <v>425762</v>
      </c>
      <c r="E100" s="388">
        <v>1.08</v>
      </c>
      <c r="F100" s="359"/>
      <c r="G100" s="364">
        <f>VLOOKUP(A100,'Rates-Lights'!$C$550:$I$660,5,FALSE)</f>
        <v>1.7</v>
      </c>
      <c r="H100" s="364">
        <f>SUMIF(_12MonLights_RateCategory,TEXT(A100,0),_12MonLights_Base_Fuel_Revenue)</f>
        <v>28294.38</v>
      </c>
      <c r="I100" s="359">
        <f>C100*F100</f>
        <v>0</v>
      </c>
      <c r="J100" s="364">
        <f>ROUND(C100*G100,2)</f>
        <v>4620.6000000000004</v>
      </c>
      <c r="K100" s="359">
        <f>SUM(I100:J100)</f>
        <v>4620.6000000000004</v>
      </c>
      <c r="L100" s="359">
        <f>SUMIF(_12MonLights_RateCategory,TEXT($A100,0),_12MonLights_Revenue_Actual)</f>
        <v>62522.84</v>
      </c>
      <c r="M100" s="359">
        <f>L100-K100</f>
        <v>57902.239999999998</v>
      </c>
      <c r="N100" s="359">
        <f>ROUND($L$186/$M$153*M100,2)</f>
        <v>2176.83</v>
      </c>
      <c r="P100" s="364">
        <f>ROUND((SUMIF($E$17:$E$150,$E100,$N$17:$N$150)/SUMIF($E$17:$E$150,$E100,$C$17:$C$150)),2)</f>
        <v>0.79</v>
      </c>
      <c r="Q100" s="359">
        <f>P100*C100</f>
        <v>2147.2200000000003</v>
      </c>
      <c r="R100" s="359">
        <f>N100-Q100</f>
        <v>29.609999999999673</v>
      </c>
      <c r="S100" s="365">
        <f>T100-G100+P100</f>
        <v>45.830000000000005</v>
      </c>
      <c r="T100" s="364">
        <f>VLOOKUP($A100,'Rates-Lights'!$C$550:$I$660,3,FALSE)</f>
        <v>46.740000000000009</v>
      </c>
      <c r="U100" s="360">
        <f>(S100-T100)/T100</f>
        <v>-1.946940522036807E-2</v>
      </c>
      <c r="W100" s="366"/>
      <c r="X100" s="361"/>
    </row>
    <row r="101" spans="1:24">
      <c r="A101" s="363"/>
      <c r="B101"/>
      <c r="F101" s="359"/>
      <c r="G101" s="364"/>
      <c r="H101" s="364"/>
      <c r="I101" s="359"/>
      <c r="J101" s="364"/>
      <c r="K101" s="359"/>
      <c r="L101" s="359"/>
      <c r="M101" s="359"/>
      <c r="N101" s="359"/>
      <c r="P101" s="364"/>
      <c r="Q101" s="359"/>
      <c r="R101" s="359"/>
      <c r="S101" s="365"/>
      <c r="T101" s="364"/>
      <c r="U101" s="360"/>
      <c r="W101" s="366"/>
      <c r="X101" s="361"/>
    </row>
    <row r="102" spans="1:24">
      <c r="A102" s="381" t="s">
        <v>401</v>
      </c>
      <c r="B102" t="s">
        <v>1235</v>
      </c>
      <c r="C102" s="244">
        <f t="shared" ref="C102:C107" si="58">SUMIF(_12MonLights_RateCategory,$A102,_12MonLights_Count)</f>
        <v>12844</v>
      </c>
      <c r="D102" s="244">
        <f t="shared" ref="D102:D107" si="59">SUMIF(_12MonLights_RateCategory,$A102,_12MonLights_KWH)</f>
        <v>400786</v>
      </c>
      <c r="E102" s="388">
        <v>0.20699999999999999</v>
      </c>
      <c r="F102" s="359"/>
      <c r="G102" s="364">
        <f>VLOOKUP(A102,'Rates-Lights'!$C$550:$I$660,5,FALSE)</f>
        <v>0.39</v>
      </c>
      <c r="H102" s="364">
        <f t="shared" ref="H102:H107" si="60">SUMIF(_12MonLights_RateCategory,TEXT(A102,0),_12MonLights_Base_Fuel_Revenue)</f>
        <v>25559.559999999998</v>
      </c>
      <c r="I102" s="359">
        <f t="shared" ref="I102:I107" si="61">C102*F102</f>
        <v>0</v>
      </c>
      <c r="J102" s="364">
        <f t="shared" ref="J102:J107" si="62">ROUND(C102*G102,2)</f>
        <v>5009.16</v>
      </c>
      <c r="K102" s="359">
        <f t="shared" ref="K102:K107" si="63">SUM(I102:J102)</f>
        <v>5009.16</v>
      </c>
      <c r="L102" s="359">
        <f t="shared" ref="L102:L107" si="64">SUMIF(_12MonLights_RateCategory,TEXT($A102,0),_12MonLights_Revenue_Actual)</f>
        <v>62005.61</v>
      </c>
      <c r="M102" s="359">
        <f t="shared" ref="M102:M107" si="65">L102-K102</f>
        <v>56996.45</v>
      </c>
      <c r="N102" s="359">
        <f t="shared" ref="N102:N107" si="66">ROUND($L$186/$M$153*M102,2)</f>
        <v>2142.77</v>
      </c>
      <c r="P102" s="364">
        <f t="shared" ref="P102:P107" si="67">ROUND((SUMIF($E$17:$E$150,$E102,$N$17:$N$150)/SUMIF($E$17:$E$150,$E102,$C$17:$C$150)),2)</f>
        <v>0.18</v>
      </c>
      <c r="Q102" s="359">
        <f t="shared" ref="Q102:Q107" si="68">P102*C102</f>
        <v>2311.92</v>
      </c>
      <c r="R102" s="359">
        <f t="shared" ref="R102:R107" si="69">N102-Q102</f>
        <v>-169.15000000000009</v>
      </c>
      <c r="S102" s="365">
        <f t="shared" ref="S102:S107" si="70">T102-G102+P102</f>
        <v>9.3500000000000014</v>
      </c>
      <c r="T102" s="364">
        <f>VLOOKUP($A102,'Rates-Lights'!$C$550:$I$660,3,FALSE)</f>
        <v>9.5600000000000023</v>
      </c>
      <c r="U102" s="360">
        <f t="shared" ref="U102:U107" si="71">(S102-T102)/T102</f>
        <v>-2.1966527196652805E-2</v>
      </c>
      <c r="W102" s="366"/>
      <c r="X102" s="361"/>
    </row>
    <row r="103" spans="1:24">
      <c r="A103" s="363" t="s">
        <v>400</v>
      </c>
      <c r="B103" s="12" t="s">
        <v>1236</v>
      </c>
      <c r="C103" s="244">
        <f t="shared" si="58"/>
        <v>1654</v>
      </c>
      <c r="D103" s="244">
        <f t="shared" si="59"/>
        <v>53258</v>
      </c>
      <c r="E103" s="388">
        <v>0.20699999999999999</v>
      </c>
      <c r="F103" s="359"/>
      <c r="G103" s="364">
        <f>VLOOKUP(A103,'Rates-Lights'!$C$550:$I$660,5,FALSE)</f>
        <v>0.39</v>
      </c>
      <c r="H103" s="364">
        <f t="shared" si="60"/>
        <v>3291.46</v>
      </c>
      <c r="I103" s="359">
        <f t="shared" si="61"/>
        <v>0</v>
      </c>
      <c r="J103" s="364">
        <f t="shared" si="62"/>
        <v>645.05999999999995</v>
      </c>
      <c r="K103" s="359">
        <f t="shared" si="63"/>
        <v>645.05999999999995</v>
      </c>
      <c r="L103" s="359">
        <f t="shared" si="64"/>
        <v>10176.15</v>
      </c>
      <c r="M103" s="359">
        <f t="shared" si="65"/>
        <v>9531.09</v>
      </c>
      <c r="N103" s="359">
        <f t="shared" si="66"/>
        <v>358.32</v>
      </c>
      <c r="P103" s="364">
        <f t="shared" si="67"/>
        <v>0.18</v>
      </c>
      <c r="Q103" s="359">
        <f t="shared" si="68"/>
        <v>297.71999999999997</v>
      </c>
      <c r="R103" s="359">
        <f t="shared" si="69"/>
        <v>60.600000000000023</v>
      </c>
      <c r="S103" s="365">
        <f t="shared" si="70"/>
        <v>11.66</v>
      </c>
      <c r="T103" s="364">
        <f>VLOOKUP($A103,'Rates-Lights'!$C$550:$I$660,3,FALSE)</f>
        <v>11.870000000000001</v>
      </c>
      <c r="U103" s="360">
        <f t="shared" si="71"/>
        <v>-1.7691659646166879E-2</v>
      </c>
      <c r="W103" s="366"/>
      <c r="X103" s="361"/>
    </row>
    <row r="104" spans="1:24">
      <c r="A104" s="363" t="s">
        <v>328</v>
      </c>
      <c r="B104" s="12" t="s">
        <v>1237</v>
      </c>
      <c r="C104" s="244">
        <f t="shared" si="58"/>
        <v>8761</v>
      </c>
      <c r="D104" s="244">
        <f t="shared" si="59"/>
        <v>391569</v>
      </c>
      <c r="E104" s="388">
        <v>0.29399999999999998</v>
      </c>
      <c r="F104" s="359"/>
      <c r="G104" s="364">
        <f>VLOOKUP(A104,'Rates-Lights'!$C$550:$I$660,5,FALSE)</f>
        <v>0.44</v>
      </c>
      <c r="H104" s="364">
        <f t="shared" si="60"/>
        <v>24881.240000000005</v>
      </c>
      <c r="I104" s="359">
        <f t="shared" si="61"/>
        <v>0</v>
      </c>
      <c r="J104" s="364">
        <f t="shared" si="62"/>
        <v>3854.84</v>
      </c>
      <c r="K104" s="359">
        <f t="shared" si="63"/>
        <v>3854.84</v>
      </c>
      <c r="L104" s="359">
        <f t="shared" si="64"/>
        <v>49287.609999999993</v>
      </c>
      <c r="M104" s="359">
        <f t="shared" si="65"/>
        <v>45432.76999999999</v>
      </c>
      <c r="N104" s="359">
        <f t="shared" si="66"/>
        <v>1708.04</v>
      </c>
      <c r="P104" s="364">
        <f t="shared" si="67"/>
        <v>0.21</v>
      </c>
      <c r="Q104" s="359">
        <f t="shared" si="68"/>
        <v>1839.81</v>
      </c>
      <c r="R104" s="359">
        <f t="shared" si="69"/>
        <v>-131.76999999999998</v>
      </c>
      <c r="S104" s="365">
        <f t="shared" si="70"/>
        <v>11.090000000000002</v>
      </c>
      <c r="T104" s="364">
        <f>VLOOKUP($A104,'Rates-Lights'!$C$550:$I$660,3,FALSE)</f>
        <v>11.32</v>
      </c>
      <c r="U104" s="360">
        <f t="shared" si="71"/>
        <v>-2.0318021201413308E-2</v>
      </c>
      <c r="W104" s="366"/>
      <c r="X104" s="361"/>
    </row>
    <row r="105" spans="1:24">
      <c r="A105" s="363" t="s">
        <v>327</v>
      </c>
      <c r="B105" s="12" t="s">
        <v>1238</v>
      </c>
      <c r="C105" s="244">
        <f t="shared" si="58"/>
        <v>5333</v>
      </c>
      <c r="D105" s="244">
        <f t="shared" si="59"/>
        <v>244226</v>
      </c>
      <c r="E105" s="388">
        <v>0.29399999999999998</v>
      </c>
      <c r="F105" s="359"/>
      <c r="G105" s="364">
        <f>VLOOKUP(A105,'Rates-Lights'!$C$550:$I$660,5,FALSE)</f>
        <v>0.44</v>
      </c>
      <c r="H105" s="364">
        <f t="shared" si="60"/>
        <v>15145.720000000003</v>
      </c>
      <c r="I105" s="359">
        <f t="shared" si="61"/>
        <v>0</v>
      </c>
      <c r="J105" s="364">
        <f t="shared" si="62"/>
        <v>2346.52</v>
      </c>
      <c r="K105" s="359">
        <f t="shared" si="63"/>
        <v>2346.52</v>
      </c>
      <c r="L105" s="359">
        <f t="shared" si="64"/>
        <v>36314.630000000005</v>
      </c>
      <c r="M105" s="359">
        <f t="shared" si="65"/>
        <v>33968.110000000008</v>
      </c>
      <c r="N105" s="359">
        <f t="shared" si="66"/>
        <v>1277.03</v>
      </c>
      <c r="P105" s="364">
        <f t="shared" si="67"/>
        <v>0.21</v>
      </c>
      <c r="Q105" s="359">
        <f t="shared" si="68"/>
        <v>1119.93</v>
      </c>
      <c r="R105" s="359">
        <f t="shared" si="69"/>
        <v>157.09999999999991</v>
      </c>
      <c r="S105" s="365">
        <f t="shared" si="70"/>
        <v>13.130000000000003</v>
      </c>
      <c r="T105" s="364">
        <f>VLOOKUP($A105,'Rates-Lights'!$C$550:$I$660,3,FALSE)</f>
        <v>13.360000000000001</v>
      </c>
      <c r="U105" s="360">
        <f t="shared" si="71"/>
        <v>-1.7215568862275345E-2</v>
      </c>
      <c r="W105" s="366"/>
      <c r="X105" s="361"/>
    </row>
    <row r="106" spans="1:24">
      <c r="A106" s="363" t="s">
        <v>437</v>
      </c>
      <c r="B106" s="12" t="s">
        <v>1239</v>
      </c>
      <c r="C106" s="244">
        <f t="shared" si="58"/>
        <v>17850</v>
      </c>
      <c r="D106" s="244">
        <f t="shared" si="59"/>
        <v>1203900</v>
      </c>
      <c r="E106" s="388">
        <v>0.45300000000000001</v>
      </c>
      <c r="F106" s="359"/>
      <c r="G106" s="364">
        <f>VLOOKUP(A106,'Rates-Lights'!$C$550:$I$660,5,FALSE)</f>
        <v>0.51</v>
      </c>
      <c r="H106" s="364">
        <f t="shared" si="60"/>
        <v>78004.499999999985</v>
      </c>
      <c r="I106" s="359">
        <f t="shared" si="61"/>
        <v>0</v>
      </c>
      <c r="J106" s="364">
        <f t="shared" si="62"/>
        <v>9103.5</v>
      </c>
      <c r="K106" s="359">
        <f t="shared" si="63"/>
        <v>9103.5</v>
      </c>
      <c r="L106" s="359">
        <f t="shared" si="64"/>
        <v>113617.94</v>
      </c>
      <c r="M106" s="359">
        <f t="shared" si="65"/>
        <v>104514.44</v>
      </c>
      <c r="N106" s="359">
        <f t="shared" si="66"/>
        <v>3929.2</v>
      </c>
      <c r="O106" s="366"/>
      <c r="P106" s="364">
        <f t="shared" si="67"/>
        <v>0.24</v>
      </c>
      <c r="Q106" s="359">
        <f t="shared" si="68"/>
        <v>4284</v>
      </c>
      <c r="R106" s="359">
        <f t="shared" si="69"/>
        <v>-354.80000000000018</v>
      </c>
      <c r="S106" s="365">
        <f t="shared" si="70"/>
        <v>12.54</v>
      </c>
      <c r="T106" s="364">
        <f>VLOOKUP($A106,'Rates-Lights'!$C$550:$I$660,3,FALSE)</f>
        <v>12.809999999999999</v>
      </c>
      <c r="U106" s="360">
        <f t="shared" si="71"/>
        <v>-2.1077283372365307E-2</v>
      </c>
      <c r="W106" s="366"/>
      <c r="X106" s="361"/>
    </row>
    <row r="107" spans="1:24">
      <c r="A107" s="363" t="s">
        <v>357</v>
      </c>
      <c r="B107" s="12" t="s">
        <v>1240</v>
      </c>
      <c r="C107" s="244">
        <f t="shared" si="58"/>
        <v>17601</v>
      </c>
      <c r="D107" s="244">
        <f t="shared" si="59"/>
        <v>1203727</v>
      </c>
      <c r="E107" s="388">
        <v>0.45300000000000001</v>
      </c>
      <c r="F107" s="359"/>
      <c r="G107" s="364">
        <f>VLOOKUP(A107,'Rates-Lights'!$C$550:$I$660,5,FALSE)</f>
        <v>0.51</v>
      </c>
      <c r="H107" s="364">
        <f t="shared" si="60"/>
        <v>76916.37000000001</v>
      </c>
      <c r="I107" s="359">
        <f t="shared" si="61"/>
        <v>0</v>
      </c>
      <c r="J107" s="364">
        <f t="shared" si="62"/>
        <v>8976.51</v>
      </c>
      <c r="K107" s="359">
        <f t="shared" si="63"/>
        <v>8976.51</v>
      </c>
      <c r="L107" s="359">
        <f t="shared" si="64"/>
        <v>132554.60999999999</v>
      </c>
      <c r="M107" s="359">
        <f t="shared" si="65"/>
        <v>123578.09999999999</v>
      </c>
      <c r="N107" s="359">
        <f t="shared" si="66"/>
        <v>4645.8999999999996</v>
      </c>
      <c r="P107" s="364">
        <f t="shared" si="67"/>
        <v>0.24</v>
      </c>
      <c r="Q107" s="359">
        <f t="shared" si="68"/>
        <v>4224.24</v>
      </c>
      <c r="R107" s="359">
        <f t="shared" si="69"/>
        <v>421.65999999999985</v>
      </c>
      <c r="S107" s="365">
        <f t="shared" si="70"/>
        <v>14.809999999999999</v>
      </c>
      <c r="T107" s="364">
        <f>VLOOKUP($A107,'Rates-Lights'!$C$550:$I$660,3,FALSE)</f>
        <v>15.079999999999998</v>
      </c>
      <c r="U107" s="360">
        <f t="shared" si="71"/>
        <v>-1.7904509283819602E-2</v>
      </c>
      <c r="W107" s="366"/>
      <c r="X107" s="361"/>
    </row>
    <row r="108" spans="1:24">
      <c r="A108" s="363"/>
      <c r="B108"/>
      <c r="F108" s="359"/>
      <c r="G108" s="364"/>
      <c r="H108" s="364"/>
      <c r="I108" s="359"/>
      <c r="J108" s="364"/>
      <c r="K108" s="359"/>
      <c r="L108" s="359"/>
      <c r="M108" s="359"/>
      <c r="N108" s="359"/>
      <c r="P108" s="364"/>
      <c r="Q108" s="359"/>
      <c r="R108" s="359"/>
      <c r="S108" s="365"/>
      <c r="T108" s="364"/>
      <c r="U108" s="360"/>
      <c r="W108" s="366"/>
      <c r="X108" s="361"/>
    </row>
    <row r="109" spans="1:24">
      <c r="A109" s="363" t="s">
        <v>402</v>
      </c>
      <c r="B109" t="s">
        <v>1241</v>
      </c>
      <c r="C109" s="244">
        <f>SUMIF(_12MonLights_RateCategory,$A109,_12MonLights_Count)</f>
        <v>85932</v>
      </c>
      <c r="D109" s="244">
        <f>SUMIF(_12MonLights_RateCategory,$A109,_12MonLights_KWH)</f>
        <v>2603522</v>
      </c>
      <c r="E109" s="388">
        <v>0.20699999999999999</v>
      </c>
      <c r="F109" s="359"/>
      <c r="G109" s="364">
        <f>VLOOKUP(A109,'Rates-Lights'!$C$550:$I$660,5,FALSE)</f>
        <v>0.39</v>
      </c>
      <c r="H109" s="364">
        <f>SUMIF(_12MonLights_RateCategory,TEXT(A109,0),_12MonLights_Base_Fuel_Revenue)</f>
        <v>171004.68000000002</v>
      </c>
      <c r="I109" s="359">
        <f>C109*F109</f>
        <v>0</v>
      </c>
      <c r="J109" s="364">
        <f>ROUND(C109*G109,2)</f>
        <v>33513.480000000003</v>
      </c>
      <c r="K109" s="359">
        <f>SUM(I109:J109)</f>
        <v>33513.480000000003</v>
      </c>
      <c r="L109" s="359">
        <f>SUMIF(_12MonLights_RateCategory,TEXT($A109,0),_12MonLights_Revenue_Actual)</f>
        <v>449499.75000000006</v>
      </c>
      <c r="M109" s="359">
        <f>L109-K109</f>
        <v>415986.27000000008</v>
      </c>
      <c r="N109" s="359">
        <f>ROUND($L$186/$M$153*M109,2)</f>
        <v>15638.93</v>
      </c>
      <c r="P109" s="364">
        <f>ROUND((SUMIF($E$17:$E$150,$E109,$N$17:$N$150)/SUMIF($E$17:$E$150,$E109,$C$17:$C$150)),2)</f>
        <v>0.18</v>
      </c>
      <c r="Q109" s="359">
        <f>P109*C109</f>
        <v>15467.76</v>
      </c>
      <c r="R109" s="359">
        <f>N109-Q109</f>
        <v>171.17000000000007</v>
      </c>
      <c r="S109" s="365">
        <f>T109-G109+P109</f>
        <v>10.360000000000001</v>
      </c>
      <c r="T109" s="364">
        <f>VLOOKUP($A109,'Rates-Lights'!$C$550:$I$660,3,FALSE)</f>
        <v>10.570000000000002</v>
      </c>
      <c r="U109" s="360">
        <f>(S109-T109)/T109</f>
        <v>-1.9867549668874249E-2</v>
      </c>
      <c r="W109" s="366"/>
      <c r="X109" s="361"/>
    </row>
    <row r="110" spans="1:24">
      <c r="A110" s="363"/>
      <c r="B110"/>
      <c r="F110" s="359"/>
      <c r="G110" s="364"/>
      <c r="H110" s="364"/>
      <c r="I110" s="359"/>
      <c r="J110" s="364"/>
      <c r="K110" s="359"/>
      <c r="L110" s="359"/>
      <c r="M110" s="359"/>
      <c r="N110" s="359"/>
      <c r="P110" s="364"/>
      <c r="Q110" s="359"/>
      <c r="R110" s="359"/>
      <c r="S110" s="365"/>
      <c r="T110" s="364"/>
      <c r="U110" s="360"/>
      <c r="W110" s="366"/>
      <c r="X110" s="361"/>
    </row>
    <row r="111" spans="1:24">
      <c r="A111" s="363" t="s">
        <v>326</v>
      </c>
      <c r="B111" s="367" t="s">
        <v>1242</v>
      </c>
      <c r="C111" s="244">
        <f>SUMIF(_12MonLights_RateCategory,$A111,_12MonLights_Count)</f>
        <v>60</v>
      </c>
      <c r="D111" s="244">
        <f>SUMIF(_12MonLights_RateCategory,$A111,_12MonLights_KWH)</f>
        <v>939</v>
      </c>
      <c r="E111" s="388">
        <v>0.10199999999999999</v>
      </c>
      <c r="F111" s="359"/>
      <c r="G111" s="364">
        <f>VLOOKUP(A111,'Rates-Lights'!$C$550:$I$660,5,FALSE)</f>
        <v>0.12</v>
      </c>
      <c r="H111" s="364">
        <f>SUMIF(_12MonLights_RateCategory,TEXT(A111,0),_12MonLights_Base_Fuel_Revenue)</f>
        <v>59.400000000000013</v>
      </c>
      <c r="I111" s="359">
        <f>C111*F111</f>
        <v>0</v>
      </c>
      <c r="J111" s="364">
        <f>ROUND(C111*G111,2)</f>
        <v>7.2</v>
      </c>
      <c r="K111" s="359">
        <f>SUM(I111:J111)</f>
        <v>7.2</v>
      </c>
      <c r="L111" s="359">
        <f>SUMIF(_12MonLights_RateCategory,TEXT($A111,0),_12MonLights_Revenue_Actual)</f>
        <v>101.7</v>
      </c>
      <c r="M111" s="359">
        <f>L111-K111</f>
        <v>94.5</v>
      </c>
      <c r="N111" s="359">
        <f>ROUND($L$186/$M$153*M111,2)</f>
        <v>3.55</v>
      </c>
      <c r="P111" s="364">
        <f>ROUND((SUMIF($E$17:$E$150,$E111,$N$17:$N$150)/SUMIF($E$17:$E$150,$E111,$C$17:$C$150)),2)</f>
        <v>0.06</v>
      </c>
      <c r="Q111" s="359">
        <f>P111*C111</f>
        <v>3.5999999999999996</v>
      </c>
      <c r="R111" s="359">
        <f>N111-Q111</f>
        <v>-4.9999999999999822E-2</v>
      </c>
      <c r="S111" s="365">
        <f>T111-G111+P111</f>
        <v>3.33</v>
      </c>
      <c r="T111" s="364">
        <f>VLOOKUP($A111,'Rates-Lights'!$C$550:$I$660,3,FALSE)</f>
        <v>3.39</v>
      </c>
      <c r="U111" s="360">
        <f>(S111-T111)/T111</f>
        <v>-1.7699115044247801E-2</v>
      </c>
      <c r="W111" s="366"/>
      <c r="X111" s="361"/>
    </row>
    <row r="112" spans="1:24">
      <c r="A112" s="363" t="s">
        <v>356</v>
      </c>
      <c r="B112" s="368" t="s">
        <v>1243</v>
      </c>
      <c r="C112" s="244">
        <f>SUMIF(_12MonLights_RateCategory,$A112,_12MonLights_Count)</f>
        <v>8111</v>
      </c>
      <c r="D112" s="244">
        <f>SUMIF(_12MonLights_RateCategory,$A112,_12MonLights_KWH)</f>
        <v>242256</v>
      </c>
      <c r="E112" s="388">
        <v>0.20100000000000001</v>
      </c>
      <c r="F112" s="359"/>
      <c r="G112" s="364">
        <f>VLOOKUP(A112,'Rates-Lights'!$C$550:$I$660,5,FALSE)</f>
        <v>0.16</v>
      </c>
      <c r="H112" s="364">
        <f>SUMIF(_12MonLights_RateCategory,TEXT(A112,0),_12MonLights_Base_Fuel_Revenue)</f>
        <v>15735.34</v>
      </c>
      <c r="I112" s="359">
        <f>C112*F112</f>
        <v>0</v>
      </c>
      <c r="J112" s="364">
        <f>ROUND(C112*G112,2)</f>
        <v>1297.76</v>
      </c>
      <c r="K112" s="359">
        <f>SUM(I112:J112)</f>
        <v>1297.76</v>
      </c>
      <c r="L112" s="359">
        <f>SUMIF(_12MonLights_RateCategory,TEXT($A112,0),_12MonLights_Revenue_Actual)</f>
        <v>18291.990000000002</v>
      </c>
      <c r="M112" s="359">
        <f>L112-K112</f>
        <v>16994.230000000003</v>
      </c>
      <c r="N112" s="359">
        <f>ROUND($L$186/$M$153*M112,2)</f>
        <v>638.9</v>
      </c>
      <c r="P112" s="364">
        <f>ROUND((SUMIF($E$17:$E$150,$E112,$N$17:$N$150)/SUMIF($E$17:$E$150,$E112,$C$17:$C$150)),2)</f>
        <v>0.08</v>
      </c>
      <c r="Q112" s="359">
        <f>P112*C112</f>
        <v>648.88</v>
      </c>
      <c r="R112" s="359">
        <f>N112-Q112</f>
        <v>-9.9800000000000182</v>
      </c>
      <c r="S112" s="365">
        <f>T112-G112+P112</f>
        <v>4.4600000000000009</v>
      </c>
      <c r="T112" s="364">
        <f>VLOOKUP($A112,'Rates-Lights'!$C$550:$I$660,3,FALSE)</f>
        <v>4.5400000000000009</v>
      </c>
      <c r="U112" s="360">
        <f>(S112-T112)/T112</f>
        <v>-1.7621145374449351E-2</v>
      </c>
      <c r="W112" s="366"/>
      <c r="X112" s="361"/>
    </row>
    <row r="113" spans="1:24">
      <c r="A113" s="363" t="s">
        <v>374</v>
      </c>
      <c r="B113" s="368" t="s">
        <v>1244</v>
      </c>
      <c r="C113" s="244">
        <f>SUMIF(_12MonLights_RateCategory,$A113,_12MonLights_Count)</f>
        <v>982</v>
      </c>
      <c r="D113" s="244">
        <f>SUMIF(_12MonLights_RateCategory,$A113,_12MonLights_KWH)</f>
        <v>32760</v>
      </c>
      <c r="E113" s="388">
        <v>0.32700000000000001</v>
      </c>
      <c r="F113" s="359"/>
      <c r="G113" s="364">
        <f>VLOOKUP(A113,'Rates-Lights'!$C$550:$I$660,5,FALSE)</f>
        <v>0.24</v>
      </c>
      <c r="H113" s="364">
        <f>SUMIF(_12MonLights_RateCategory,TEXT(A113,0),_12MonLights_Base_Fuel_Revenue)</f>
        <v>687.40000000000009</v>
      </c>
      <c r="I113" s="359">
        <f>C113*F113</f>
        <v>0</v>
      </c>
      <c r="J113" s="364">
        <f>ROUND(C113*G113,2)</f>
        <v>235.68</v>
      </c>
      <c r="K113" s="359">
        <f>SUM(I113:J113)</f>
        <v>235.68</v>
      </c>
      <c r="L113" s="359">
        <f>SUMIF(_12MonLights_RateCategory,TEXT($A113,0),_12MonLights_Revenue_Actual)</f>
        <v>2189.48</v>
      </c>
      <c r="M113" s="359">
        <f>L113-K113</f>
        <v>1953.8</v>
      </c>
      <c r="N113" s="359">
        <f>ROUND($L$186/$M$153*M113,2)</f>
        <v>73.45</v>
      </c>
      <c r="P113" s="364">
        <f>ROUND((SUMIF($E$17:$E$150,$E113,$N$17:$N$150)/SUMIF($E$17:$E$150,$E113,$C$17:$C$150)),2)</f>
        <v>0.08</v>
      </c>
      <c r="Q113" s="359">
        <f>P113*C113</f>
        <v>78.56</v>
      </c>
      <c r="R113" s="359">
        <f>N113-Q113</f>
        <v>-5.1099999999999994</v>
      </c>
      <c r="S113" s="365">
        <f>T113-G113+P113</f>
        <v>6.62</v>
      </c>
      <c r="T113" s="364">
        <f>VLOOKUP($A113,'Rates-Lights'!$C$550:$I$660,3,FALSE)</f>
        <v>6.78</v>
      </c>
      <c r="U113" s="360">
        <f>(S113-T113)/T113</f>
        <v>-2.3598820058997071E-2</v>
      </c>
      <c r="W113" s="366"/>
      <c r="X113" s="361"/>
    </row>
    <row r="114" spans="1:24">
      <c r="A114" s="363" t="s">
        <v>373</v>
      </c>
      <c r="B114" s="368" t="s">
        <v>1245</v>
      </c>
      <c r="C114" s="244">
        <f>SUMIF(_12MonLights_RateCategory,$A114,_12MonLights_Count)</f>
        <v>52</v>
      </c>
      <c r="D114" s="244">
        <f>SUMIF(_12MonLights_RateCategory,$A114,_12MonLights_KWH)</f>
        <v>1728</v>
      </c>
      <c r="E114" s="388">
        <v>0.32700000000000001</v>
      </c>
      <c r="F114" s="359"/>
      <c r="G114" s="364">
        <f>VLOOKUP(A114,'Rates-Lights'!$C$550:$I$660,5,FALSE)</f>
        <v>0.24</v>
      </c>
      <c r="H114" s="364">
        <f>SUMIF(_12MonLights_RateCategory,TEXT(A114,0),_12MonLights_Base_Fuel_Revenue)</f>
        <v>36.400000000000006</v>
      </c>
      <c r="I114" s="359">
        <f>C114*F114</f>
        <v>0</v>
      </c>
      <c r="J114" s="364">
        <f>ROUND(C114*G114,2)</f>
        <v>12.48</v>
      </c>
      <c r="K114" s="359">
        <f>SUM(I114:J114)</f>
        <v>12.48</v>
      </c>
      <c r="L114" s="359">
        <f>SUMIF(_12MonLights_RateCategory,TEXT($A114,0),_12MonLights_Revenue_Actual)</f>
        <v>123.03999999999999</v>
      </c>
      <c r="M114" s="359">
        <f>L114-K114</f>
        <v>110.55999999999999</v>
      </c>
      <c r="N114" s="359">
        <f>ROUND($L$186/$M$153*M114,2)</f>
        <v>4.16</v>
      </c>
      <c r="P114" s="364">
        <f>ROUND((SUMIF($E$17:$E$150,$E114,$N$17:$N$150)/SUMIF($E$17:$E$150,$E114,$C$17:$C$150)),2)</f>
        <v>0.08</v>
      </c>
      <c r="Q114" s="359">
        <f>P114*C114</f>
        <v>4.16</v>
      </c>
      <c r="R114" s="359">
        <f>N114-Q114</f>
        <v>0</v>
      </c>
      <c r="S114" s="365">
        <f>T114-G114+P114</f>
        <v>7.58</v>
      </c>
      <c r="T114" s="364">
        <f>VLOOKUP($A114,'Rates-Lights'!$C$550:$I$660,3,FALSE)</f>
        <v>7.74</v>
      </c>
      <c r="U114" s="360">
        <f>(S114-T114)/T114</f>
        <v>-2.0671834625323016E-2</v>
      </c>
      <c r="W114" s="366"/>
      <c r="X114" s="361"/>
    </row>
    <row r="115" spans="1:24">
      <c r="A115" s="363" t="s">
        <v>399</v>
      </c>
      <c r="B115" s="368" t="s">
        <v>1246</v>
      </c>
      <c r="C115" s="244">
        <f>SUMIF(_12MonLights_RateCategory,$A115,_12MonLights_Count)</f>
        <v>24</v>
      </c>
      <c r="D115" s="244">
        <f>SUMIF(_12MonLights_RateCategory,$A115,_12MonLights_KWH)</f>
        <v>1603</v>
      </c>
      <c r="E115" s="388">
        <v>0.44700000000000001</v>
      </c>
      <c r="F115" s="359"/>
      <c r="G115" s="364">
        <f>VLOOKUP(A115,'Rates-Lights'!$C$550:$I$660,5,FALSE)</f>
        <v>0.33</v>
      </c>
      <c r="H115" s="364">
        <f>SUMIF(_12MonLights_RateCategory,TEXT(A115,0),_12MonLights_Base_Fuel_Revenue)</f>
        <v>103.19999999999997</v>
      </c>
      <c r="I115" s="359">
        <f>C115*F115</f>
        <v>0</v>
      </c>
      <c r="J115" s="364">
        <f>ROUND(C115*G115,2)</f>
        <v>7.92</v>
      </c>
      <c r="K115" s="359">
        <f>SUM(I115:J115)</f>
        <v>7.92</v>
      </c>
      <c r="L115" s="359">
        <f>SUMIF(_12MonLights_RateCategory,TEXT($A115,0),_12MonLights_Revenue_Actual)</f>
        <v>108.72000000000001</v>
      </c>
      <c r="M115" s="359">
        <f>L115-K115</f>
        <v>100.80000000000001</v>
      </c>
      <c r="N115" s="359">
        <f>ROUND($L$186/$M$153*M115,2)</f>
        <v>3.79</v>
      </c>
      <c r="P115" s="364">
        <f>ROUND((SUMIF($E$17:$E$150,$E115,$N$17:$N$150)/SUMIF($E$17:$E$150,$E115,$C$17:$C$150)),2)</f>
        <v>0.16</v>
      </c>
      <c r="Q115" s="359">
        <f>P115*C115</f>
        <v>3.84</v>
      </c>
      <c r="R115" s="359">
        <f>N115-Q115</f>
        <v>-4.9999999999999822E-2</v>
      </c>
      <c r="S115" s="365">
        <f>T115-G115+P115</f>
        <v>8.89</v>
      </c>
      <c r="T115" s="364">
        <f>VLOOKUP($A115,'Rates-Lights'!$C$550:$I$660,3,FALSE)</f>
        <v>9.06</v>
      </c>
      <c r="U115" s="360">
        <f>(S115-T115)/T115</f>
        <v>-1.8763796909492265E-2</v>
      </c>
      <c r="V115" s="288"/>
      <c r="W115" s="366"/>
      <c r="X115" s="361"/>
    </row>
    <row r="116" spans="1:24">
      <c r="A116" s="363"/>
      <c r="B116"/>
      <c r="F116" s="359"/>
      <c r="G116" s="364"/>
      <c r="H116" s="364"/>
      <c r="I116" s="359"/>
      <c r="J116" s="364"/>
      <c r="K116" s="359"/>
      <c r="L116" s="359"/>
      <c r="M116" s="359"/>
      <c r="N116" s="359"/>
      <c r="P116" s="364"/>
      <c r="Q116" s="359"/>
      <c r="R116" s="359"/>
      <c r="S116" s="365"/>
      <c r="T116" s="364"/>
      <c r="U116" s="360"/>
      <c r="V116" s="288"/>
      <c r="W116" s="366"/>
      <c r="X116" s="361"/>
    </row>
    <row r="117" spans="1:24">
      <c r="A117" s="363"/>
      <c r="B117" s="382" t="s">
        <v>1247</v>
      </c>
      <c r="F117" s="359"/>
      <c r="G117" s="364"/>
      <c r="H117" s="364"/>
      <c r="I117" s="359"/>
      <c r="J117" s="364"/>
      <c r="K117" s="359"/>
      <c r="L117" s="359"/>
      <c r="M117" s="359"/>
      <c r="N117" s="359"/>
      <c r="P117" s="364"/>
      <c r="Q117" s="359"/>
      <c r="R117" s="359"/>
      <c r="S117" s="365"/>
      <c r="T117" s="364"/>
      <c r="U117" s="360"/>
      <c r="V117" s="288"/>
      <c r="W117" s="366"/>
      <c r="X117" s="361"/>
    </row>
    <row r="118" spans="1:24">
      <c r="A118" s="363" t="s">
        <v>335</v>
      </c>
      <c r="B118" t="s">
        <v>1248</v>
      </c>
      <c r="C118" s="244">
        <f>SUMIF(_12MonLights_RateCategory,$A118,_12MonLights_Count)</f>
        <v>40</v>
      </c>
      <c r="D118" s="244">
        <f>SUMIF(_12MonLights_RateCategory,$A118,_12MonLights_KWH)</f>
        <v>6985</v>
      </c>
      <c r="E118" s="388">
        <v>0.15</v>
      </c>
      <c r="F118" s="359"/>
      <c r="G118" s="364">
        <f>VLOOKUP(A118,'Rates-Lights'!$C$550:$I$660,5,FALSE)</f>
        <v>0.66</v>
      </c>
      <c r="H118" s="364">
        <f>SUMIF(_12MonLights_RateCategory,TEXT(A118,0),_12MonLights_Base_Fuel_Revenue)</f>
        <v>78.800000000000125</v>
      </c>
      <c r="I118" s="359">
        <f>C118*F118</f>
        <v>0</v>
      </c>
      <c r="J118" s="364">
        <f>ROUND(C118*G118,2)</f>
        <v>26.4</v>
      </c>
      <c r="K118" s="359">
        <f>SUM(I118:J118)</f>
        <v>26.4</v>
      </c>
      <c r="L118" s="359">
        <f>SUMIF(_12MonLights_RateCategory,TEXT($A118,0),_12MonLights_Revenue_Actual)</f>
        <v>4179.04</v>
      </c>
      <c r="M118" s="359">
        <f>L118-K118</f>
        <v>4152.6400000000003</v>
      </c>
      <c r="N118" s="359">
        <f>ROUND($L$186/$M$153*M118,2)</f>
        <v>156.12</v>
      </c>
      <c r="P118" s="364">
        <f>ROUND((SUMIF($E$17:$E$150,$E118,$N$17:$N$150)/SUMIF($E$17:$E$150,$E118,$C$17:$C$150)),2)</f>
        <v>0.32</v>
      </c>
      <c r="Q118" s="359">
        <f>P118*C118</f>
        <v>12.8</v>
      </c>
      <c r="R118" s="359">
        <f>N118-Q118</f>
        <v>143.32</v>
      </c>
      <c r="S118" s="365">
        <f>T118-G118+P118</f>
        <v>26.81</v>
      </c>
      <c r="T118" s="364">
        <f>VLOOKUP($A118,'Rates-Lights'!$C$550:$I$660,3,FALSE)</f>
        <v>27.15</v>
      </c>
      <c r="U118" s="360">
        <f>(S118-T118)/T118</f>
        <v>-1.2523020257826882E-2</v>
      </c>
      <c r="W118" s="366"/>
      <c r="X118" s="361"/>
    </row>
    <row r="119" spans="1:24">
      <c r="A119" s="363" t="s">
        <v>367</v>
      </c>
      <c r="B119" s="12" t="s">
        <v>1249</v>
      </c>
      <c r="C119" s="244">
        <f>SUMIF(_12MonLights_RateCategory,$A119,_12MonLights_Count)</f>
        <v>3477</v>
      </c>
      <c r="D119" s="244">
        <f>SUMIF(_12MonLights_RateCategory,$A119,_12MonLights_KWH)</f>
        <v>182118</v>
      </c>
      <c r="E119" s="388">
        <v>0.35</v>
      </c>
      <c r="F119" s="359"/>
      <c r="G119" s="364">
        <f>VLOOKUP(A119,'Rates-Lights'!$C$550:$I$660,5,FALSE)</f>
        <v>0.84</v>
      </c>
      <c r="H119" s="364">
        <f>SUMIF(_12MonLights_RateCategory,TEXT(A119,0),_12MonLights_Base_Fuel_Revenue)</f>
        <v>14916.330000000002</v>
      </c>
      <c r="I119" s="359">
        <f>C119*F119</f>
        <v>0</v>
      </c>
      <c r="J119" s="364">
        <f>ROUND(C119*G119,2)</f>
        <v>2920.68</v>
      </c>
      <c r="K119" s="359">
        <f>SUM(I119:J119)</f>
        <v>2920.68</v>
      </c>
      <c r="L119" s="359">
        <f>SUMIF(_12MonLights_RateCategory,TEXT($A119,0),_12MonLights_Revenue_Actual)</f>
        <v>58098.469999999994</v>
      </c>
      <c r="M119" s="359">
        <f>L119-K119</f>
        <v>55177.789999999994</v>
      </c>
      <c r="N119" s="359">
        <f>ROUND($L$186/$M$153*M119,2)</f>
        <v>2074.4</v>
      </c>
      <c r="P119" s="364">
        <f>ROUND((SUMIF($E$17:$E$150,$E119,$N$17:$N$150)/SUMIF($E$17:$E$150,$E119,$C$17:$C$150)),2)</f>
        <v>0.4</v>
      </c>
      <c r="Q119" s="359">
        <f>P119*C119</f>
        <v>1390.8000000000002</v>
      </c>
      <c r="R119" s="359">
        <f>N119-Q119</f>
        <v>683.59999999999991</v>
      </c>
      <c r="S119" s="365">
        <f>T119-G119+P119</f>
        <v>32.660000000000004</v>
      </c>
      <c r="T119" s="364">
        <f>VLOOKUP($A119,'Rates-Lights'!$C$550:$I$660,3,FALSE)</f>
        <v>33.100000000000009</v>
      </c>
      <c r="U119" s="360">
        <f>(S119-T119)/T119</f>
        <v>-1.3293051359516759E-2</v>
      </c>
      <c r="W119" s="366"/>
      <c r="X119" s="361"/>
    </row>
    <row r="120" spans="1:24">
      <c r="A120" s="363" t="s">
        <v>330</v>
      </c>
      <c r="B120" s="12" t="s">
        <v>1250</v>
      </c>
      <c r="C120" s="244">
        <f>SUMIF(_12MonLights_RateCategory,$A120,_12MonLights_Count)</f>
        <v>637</v>
      </c>
      <c r="D120" s="244">
        <f>SUMIF(_12MonLights_RateCategory,$A120,_12MonLights_KWH)</f>
        <v>116451</v>
      </c>
      <c r="E120" s="388">
        <v>1.08</v>
      </c>
      <c r="F120" s="359"/>
      <c r="G120" s="364">
        <f>VLOOKUP(A120,'Rates-Lights'!$C$550:$I$660,5,FALSE)</f>
        <v>1.7</v>
      </c>
      <c r="H120" s="364">
        <f>SUMIF(_12MonLights_RateCategory,TEXT(A120,0),_12MonLights_Base_Fuel_Revenue)</f>
        <v>6631.170000000001</v>
      </c>
      <c r="I120" s="359">
        <f>C120*F120</f>
        <v>0</v>
      </c>
      <c r="J120" s="364">
        <f>ROUND(C120*G120,2)</f>
        <v>1082.9000000000001</v>
      </c>
      <c r="K120" s="359">
        <f>SUM(I120:J120)</f>
        <v>1082.9000000000001</v>
      </c>
      <c r="L120" s="359">
        <f>SUMIF(_12MonLights_RateCategory,TEXT($A120,0),_12MonLights_Revenue_Actual)</f>
        <v>20221.510000000002</v>
      </c>
      <c r="M120" s="359">
        <f>L120-K120</f>
        <v>19138.61</v>
      </c>
      <c r="N120" s="359">
        <f>ROUND($L$186/$M$153*M120,2)</f>
        <v>719.51</v>
      </c>
      <c r="O120" s="366"/>
      <c r="P120" s="364">
        <f>ROUND((SUMIF($E$17:$E$150,$E120,$N$17:$N$150)/SUMIF($E$17:$E$150,$E120,$C$17:$C$150)),2)</f>
        <v>0.79</v>
      </c>
      <c r="Q120" s="359">
        <f>P120*C120</f>
        <v>503.23</v>
      </c>
      <c r="R120" s="359">
        <f>N120-Q120</f>
        <v>216.27999999999997</v>
      </c>
      <c r="S120" s="365">
        <f>T120-G120+P120</f>
        <v>54.34</v>
      </c>
      <c r="T120" s="364">
        <f>VLOOKUP($A120,'Rates-Lights'!$C$550:$I$660,3,FALSE)</f>
        <v>55.250000000000007</v>
      </c>
      <c r="U120" s="360">
        <f>(S120-T120)/T120</f>
        <v>-1.6470588235294181E-2</v>
      </c>
      <c r="W120" s="366"/>
      <c r="X120" s="361"/>
    </row>
    <row r="121" spans="1:24">
      <c r="A121" s="363"/>
      <c r="B121" s="382"/>
      <c r="F121" s="359"/>
      <c r="G121" s="364"/>
      <c r="H121" s="364"/>
      <c r="I121" s="359"/>
      <c r="J121" s="364"/>
      <c r="K121" s="359"/>
      <c r="L121" s="359"/>
      <c r="M121" s="359"/>
      <c r="N121" s="359"/>
      <c r="P121" s="364"/>
      <c r="Q121" s="359"/>
      <c r="R121" s="359"/>
      <c r="S121" s="365"/>
      <c r="T121" s="364"/>
      <c r="U121" s="360"/>
      <c r="V121" s="288"/>
      <c r="W121" s="366"/>
      <c r="X121" s="361"/>
    </row>
    <row r="122" spans="1:24">
      <c r="A122" s="363" t="s">
        <v>375</v>
      </c>
      <c r="B122" t="s">
        <v>1251</v>
      </c>
      <c r="C122" s="244">
        <f>SUMIF(_12MonLights_RateCategory,$A122,_12MonLights_Count)</f>
        <v>24</v>
      </c>
      <c r="D122" s="244">
        <f>SUMIF(_12MonLights_RateCategory,$A122,_12MonLights_KWH)</f>
        <v>214</v>
      </c>
      <c r="E122" s="388">
        <v>0.06</v>
      </c>
      <c r="F122" s="359"/>
      <c r="G122" s="364">
        <f>VLOOKUP(A122,'Rates-Lights'!$C$550:$I$660,5,FALSE)</f>
        <v>0.33</v>
      </c>
      <c r="H122" s="364">
        <f>SUMIF(_12MonLights_RateCategory,TEXT(A122,0),_12MonLights_Base_Fuel_Revenue)</f>
        <v>13.680000000000001</v>
      </c>
      <c r="I122" s="359">
        <f>C122*F122</f>
        <v>0</v>
      </c>
      <c r="J122" s="364">
        <f>ROUND(C122*G122,2)</f>
        <v>7.92</v>
      </c>
      <c r="K122" s="359">
        <f>SUM(I122:J122)</f>
        <v>7.92</v>
      </c>
      <c r="L122" s="359">
        <f>SUMIF(_12MonLights_RateCategory,TEXT($A122,0),_12MonLights_Revenue_Actual)</f>
        <v>163.32</v>
      </c>
      <c r="M122" s="359">
        <f>L122-K122</f>
        <v>155.4</v>
      </c>
      <c r="N122" s="359">
        <f>ROUND($L$186/$M$153*M122,2)</f>
        <v>5.84</v>
      </c>
      <c r="P122" s="364">
        <f>ROUND((SUMIF($E$17:$E$150,$E122,$N$17:$N$150)/SUMIF($E$17:$E$150,$E122,$C$17:$C$150)),2)</f>
        <v>0.16</v>
      </c>
      <c r="Q122" s="359">
        <f>P122*C122</f>
        <v>3.84</v>
      </c>
      <c r="R122" s="359">
        <f>N122-Q122</f>
        <v>2</v>
      </c>
      <c r="S122" s="365">
        <f>T122-G122+P122</f>
        <v>13.440000000000001</v>
      </c>
      <c r="T122" s="364">
        <f>VLOOKUP($A122,'Rates-Lights'!$C$550:$I$660,3,FALSE)</f>
        <v>13.610000000000001</v>
      </c>
      <c r="U122" s="360">
        <f>(S122-T122)/T122</f>
        <v>-1.2490815576781772E-2</v>
      </c>
      <c r="W122" s="366"/>
      <c r="X122" s="361"/>
    </row>
    <row r="123" spans="1:24">
      <c r="A123" s="363" t="s">
        <v>376</v>
      </c>
      <c r="B123" s="12" t="s">
        <v>1252</v>
      </c>
      <c r="C123" s="244">
        <f>SUMIF(_12MonLights_RateCategory,$A123,_12MonLights_Count)</f>
        <v>2863</v>
      </c>
      <c r="D123" s="244">
        <f>SUMIF(_12MonLights_RateCategory,$A123,_12MonLights_KWH)</f>
        <v>25815</v>
      </c>
      <c r="E123" s="388">
        <v>0.06</v>
      </c>
      <c r="F123" s="359"/>
      <c r="G123" s="364">
        <f>VLOOKUP(A123,'Rates-Lights'!$C$550:$I$660,5,FALSE)</f>
        <v>0.33</v>
      </c>
      <c r="H123" s="364">
        <f>SUMIF(_12MonLights_RateCategory,TEXT(A123,0),_12MonLights_Base_Fuel_Revenue)</f>
        <v>1631.9099999999999</v>
      </c>
      <c r="I123" s="359">
        <f>C123*F123</f>
        <v>0</v>
      </c>
      <c r="J123" s="364">
        <f>ROUND(C123*G123,2)</f>
        <v>944.79</v>
      </c>
      <c r="K123" s="359">
        <f>SUM(I123:J123)</f>
        <v>944.79</v>
      </c>
      <c r="L123" s="359">
        <f>SUMIF(_12MonLights_RateCategory,TEXT($A123,0),_12MonLights_Revenue_Actual)</f>
        <v>29174.410000000003</v>
      </c>
      <c r="M123" s="359">
        <f>L123-K123</f>
        <v>28229.620000000003</v>
      </c>
      <c r="N123" s="359">
        <f>ROUND($L$186/$M$153*M123,2)</f>
        <v>1061.29</v>
      </c>
      <c r="P123" s="364">
        <f>ROUND((SUMIF($E$17:$E$150,$E123,$N$17:$N$150)/SUMIF($E$17:$E$150,$E123,$C$17:$C$150)),2)</f>
        <v>0.16</v>
      </c>
      <c r="Q123" s="359">
        <f>P123*C123</f>
        <v>458.08</v>
      </c>
      <c r="R123" s="359">
        <f>N123-Q123</f>
        <v>603.21</v>
      </c>
      <c r="S123" s="365">
        <f>T123-G123+P123</f>
        <v>20.09</v>
      </c>
      <c r="T123" s="364">
        <f>VLOOKUP($A123,'Rates-Lights'!$C$550:$I$660,3,FALSE)</f>
        <v>20.259999999999998</v>
      </c>
      <c r="U123" s="360">
        <f>(S123-T123)/T123</f>
        <v>-8.3909180651529202E-3</v>
      </c>
      <c r="W123" s="366"/>
      <c r="X123" s="361"/>
    </row>
    <row r="124" spans="1:24">
      <c r="A124" s="363"/>
      <c r="B124" s="382"/>
      <c r="F124" s="359"/>
      <c r="G124" s="364"/>
      <c r="H124" s="364"/>
      <c r="I124" s="359"/>
      <c r="J124" s="364"/>
      <c r="K124" s="359"/>
      <c r="L124" s="359"/>
      <c r="M124" s="359"/>
      <c r="N124" s="359"/>
      <c r="P124" s="364"/>
      <c r="Q124" s="359"/>
      <c r="R124" s="359"/>
      <c r="S124" s="365"/>
      <c r="T124" s="364"/>
      <c r="U124" s="360"/>
      <c r="V124" s="288"/>
      <c r="W124" s="366"/>
      <c r="X124" s="361"/>
    </row>
    <row r="125" spans="1:24">
      <c r="A125" s="363" t="s">
        <v>379</v>
      </c>
      <c r="B125" t="s">
        <v>1253</v>
      </c>
      <c r="C125" s="244">
        <f>SUMIF(_12MonLights_RateCategory,$A125,_12MonLights_Count)</f>
        <v>10144</v>
      </c>
      <c r="D125" s="244">
        <f>SUMIF(_12MonLights_RateCategory,$A125,_12MonLights_KWH)</f>
        <v>95167</v>
      </c>
      <c r="E125" s="388">
        <v>0.06</v>
      </c>
      <c r="F125" s="359"/>
      <c r="G125" s="364">
        <f>VLOOKUP(A125,'Rates-Lights'!$C$550:$I$660,5,FALSE)</f>
        <v>0.33</v>
      </c>
      <c r="H125" s="364">
        <f>SUMIF(_12MonLights_RateCategory,TEXT(A125,0),_12MonLights_Base_Fuel_Revenue)</f>
        <v>5782.079999999999</v>
      </c>
      <c r="I125" s="359">
        <f>C125*F125</f>
        <v>0</v>
      </c>
      <c r="J125" s="364">
        <f>ROUND(C125*G125,2)</f>
        <v>3347.52</v>
      </c>
      <c r="K125" s="359">
        <f>SUM(I125:J125)</f>
        <v>3347.52</v>
      </c>
      <c r="L125" s="359">
        <f>SUMIF(_12MonLights_RateCategory,TEXT($A125,0),_12MonLights_Revenue_Actual)</f>
        <v>50783.35</v>
      </c>
      <c r="M125" s="359">
        <f>L125-K125</f>
        <v>47435.83</v>
      </c>
      <c r="N125" s="359">
        <f>ROUND($L$186/$M$153*M125,2)</f>
        <v>1783.34</v>
      </c>
      <c r="P125" s="364">
        <f>ROUND((SUMIF($E$17:$E$150,$E125,$N$17:$N$150)/SUMIF($E$17:$E$150,$E125,$C$17:$C$150)),2)</f>
        <v>0.16</v>
      </c>
      <c r="Q125" s="359">
        <f>P125*C125</f>
        <v>1623.04</v>
      </c>
      <c r="R125" s="359">
        <f>N125-Q125</f>
        <v>160.29999999999995</v>
      </c>
      <c r="S125" s="365">
        <f>T125-G125+P125</f>
        <v>9.4500000000000011</v>
      </c>
      <c r="T125" s="364">
        <f>VLOOKUP($A125,'Rates-Lights'!$C$550:$I$660,3,FALSE)</f>
        <v>9.620000000000001</v>
      </c>
      <c r="U125" s="360">
        <f>(S125-T125)/T125</f>
        <v>-1.7671517671517662E-2</v>
      </c>
      <c r="W125" s="366"/>
      <c r="X125" s="361"/>
    </row>
    <row r="126" spans="1:24">
      <c r="A126" s="363"/>
      <c r="B126"/>
      <c r="F126" s="359"/>
      <c r="G126" s="364"/>
      <c r="H126" s="364"/>
      <c r="I126" s="359"/>
      <c r="J126" s="364"/>
      <c r="K126" s="359"/>
      <c r="L126" s="359"/>
      <c r="M126" s="359"/>
      <c r="N126" s="359"/>
      <c r="P126" s="364"/>
      <c r="Q126" s="359"/>
      <c r="R126" s="359"/>
      <c r="S126" s="365"/>
      <c r="T126" s="364"/>
      <c r="U126" s="360"/>
      <c r="W126" s="366"/>
      <c r="X126" s="361"/>
    </row>
    <row r="127" spans="1:24">
      <c r="A127" s="363" t="s">
        <v>386</v>
      </c>
      <c r="B127" t="s">
        <v>1254</v>
      </c>
      <c r="C127" s="244">
        <f>SUMIF(_12MonLights_RateCategory,$A127,_12MonLights_Count)</f>
        <v>336</v>
      </c>
      <c r="D127" s="244">
        <f>SUMIF(_12MonLights_RateCategory,$A127,_12MonLights_KWH)</f>
        <v>4221</v>
      </c>
      <c r="E127" s="388">
        <v>8.3000000000000004E-2</v>
      </c>
      <c r="F127" s="359"/>
      <c r="G127" s="364">
        <f>VLOOKUP(A127,'Rates-Lights'!$C$550:$I$660,5,FALSE)</f>
        <v>0.43</v>
      </c>
      <c r="H127" s="364">
        <f>SUMIF(_12MonLights_RateCategory,TEXT(A127,0),_12MonLights_Base_Fuel_Revenue)</f>
        <v>268.8</v>
      </c>
      <c r="I127" s="359">
        <f>C127*F127</f>
        <v>0</v>
      </c>
      <c r="J127" s="364">
        <f>ROUND(C127*G127,2)</f>
        <v>144.47999999999999</v>
      </c>
      <c r="K127" s="359">
        <f>SUM(I127:J127)</f>
        <v>144.47999999999999</v>
      </c>
      <c r="L127" s="359">
        <f>SUMIF(_12MonLights_RateCategory,TEXT($A127,0),_12MonLights_Revenue_Actual)</f>
        <v>5181.1200000000008</v>
      </c>
      <c r="M127" s="359">
        <f>L127-K127</f>
        <v>5036.6400000000012</v>
      </c>
      <c r="N127" s="359">
        <f>ROUND($L$186/$M$153*M127,2)</f>
        <v>189.35</v>
      </c>
      <c r="O127" s="366"/>
      <c r="P127" s="364">
        <f>ROUND((SUMIF($E$17:$E$150,$E127,$N$17:$N$150)/SUMIF($E$17:$E$150,$E127,$C$17:$C$150)),2)</f>
        <v>0.21</v>
      </c>
      <c r="Q127" s="359">
        <f>P127*C127</f>
        <v>70.56</v>
      </c>
      <c r="R127" s="359">
        <f>N127-Q127</f>
        <v>118.78999999999999</v>
      </c>
      <c r="S127" s="365">
        <f>T127-G127+P127</f>
        <v>30.62</v>
      </c>
      <c r="T127" s="364">
        <f>VLOOKUP($A127,'Rates-Lights'!$C$550:$I$660,3,FALSE)</f>
        <v>30.84</v>
      </c>
      <c r="U127" s="360">
        <f>(S127-T127)/T127</f>
        <v>-7.1335927367055406E-3</v>
      </c>
      <c r="W127" s="366"/>
      <c r="X127" s="361"/>
    </row>
    <row r="128" spans="1:24">
      <c r="A128" s="363" t="s">
        <v>409</v>
      </c>
      <c r="B128" s="12" t="s">
        <v>1255</v>
      </c>
      <c r="C128" s="244">
        <f>SUMIF(_12MonLights_RateCategory,$A128,_12MonLights_Count)</f>
        <v>1150</v>
      </c>
      <c r="D128" s="244">
        <f>SUMIF(_12MonLights_RateCategory,$A128,_12MonLights_KWH)</f>
        <v>20188</v>
      </c>
      <c r="E128" s="388">
        <v>0.11700000000000001</v>
      </c>
      <c r="F128" s="359"/>
      <c r="G128" s="364">
        <f>VLOOKUP(A128,'Rates-Lights'!$C$550:$I$660,5,FALSE)</f>
        <v>0.34</v>
      </c>
      <c r="H128" s="364">
        <f>SUMIF(_12MonLights_RateCategory,TEXT(A128,0),_12MonLights_Base_Fuel_Revenue)</f>
        <v>1299.4999999999998</v>
      </c>
      <c r="I128" s="359">
        <f>C128*F128</f>
        <v>0</v>
      </c>
      <c r="J128" s="364">
        <f>ROUND(C128*G128,2)</f>
        <v>391</v>
      </c>
      <c r="K128" s="359">
        <f>SUM(I128:J128)</f>
        <v>391</v>
      </c>
      <c r="L128" s="359">
        <f>SUMIF(_12MonLights_RateCategory,TEXT($A128,0),_12MonLights_Revenue_Actual)</f>
        <v>17982.719999999998</v>
      </c>
      <c r="M128" s="359">
        <f>L128-K128</f>
        <v>17591.719999999998</v>
      </c>
      <c r="N128" s="359">
        <f>ROUND($L$186/$M$153*M128,2)</f>
        <v>661.36</v>
      </c>
      <c r="P128" s="364">
        <f>ROUND((SUMIF($E$17:$E$150,$E128,$N$17:$N$150)/SUMIF($E$17:$E$150,$E128,$C$17:$C$150)),2)</f>
        <v>0.16</v>
      </c>
      <c r="Q128" s="359">
        <f>P128*C128</f>
        <v>184</v>
      </c>
      <c r="R128" s="359">
        <f>N128-Q128</f>
        <v>477.36</v>
      </c>
      <c r="S128" s="365">
        <f>T128-G128+P128</f>
        <v>31.04</v>
      </c>
      <c r="T128" s="364">
        <f>VLOOKUP($A128,'Rates-Lights'!$C$550:$I$660,3,FALSE)</f>
        <v>31.22</v>
      </c>
      <c r="U128" s="360">
        <f>(S128-T128)/T128</f>
        <v>-5.765534913516967E-3</v>
      </c>
      <c r="W128" s="366"/>
      <c r="X128" s="361"/>
    </row>
    <row r="129" spans="1:24">
      <c r="A129" s="387" t="s">
        <v>1256</v>
      </c>
      <c r="B129"/>
      <c r="F129" s="359"/>
      <c r="G129" s="364"/>
      <c r="H129" s="364"/>
      <c r="I129" s="359"/>
      <c r="J129" s="364"/>
      <c r="K129" s="359"/>
      <c r="L129" s="359"/>
      <c r="M129" s="359"/>
      <c r="N129" s="359"/>
      <c r="P129" s="364"/>
      <c r="Q129" s="359"/>
      <c r="R129" s="359"/>
      <c r="S129" s="365"/>
      <c r="T129" s="364"/>
      <c r="U129" s="360"/>
      <c r="W129" s="366"/>
      <c r="X129" s="361"/>
    </row>
    <row r="130" spans="1:24">
      <c r="A130" s="383" t="s">
        <v>418</v>
      </c>
      <c r="B130" s="384" t="s">
        <v>419</v>
      </c>
      <c r="C130" s="244">
        <f t="shared" ref="C130:C150" si="72">SUMIF(_12MonLights_RateCategory,$A130,_12MonLights_Count)</f>
        <v>0</v>
      </c>
      <c r="D130" s="244">
        <f t="shared" ref="D130:D150" si="73">SUMIF(_12MonLights_RateCategory,$A130,_12MonLights_KWH)</f>
        <v>0</v>
      </c>
      <c r="E130" s="388">
        <v>0.10199999999999999</v>
      </c>
      <c r="F130" s="359"/>
      <c r="G130" s="364">
        <f>VLOOKUP(A130,'Rates-Lights'!$C$550:$I$660,5,FALSE)</f>
        <v>0</v>
      </c>
      <c r="H130" s="364">
        <f t="shared" ref="H130:H150" si="74">SUMIF(_12MonLights_RateCategory,TEXT(A130,0),_12MonLights_Base_Fuel_Revenue)</f>
        <v>0</v>
      </c>
      <c r="I130" s="359">
        <f t="shared" ref="I130:I137" si="75">C130*F130</f>
        <v>0</v>
      </c>
      <c r="J130" s="364">
        <f t="shared" ref="J130:J137" si="76">ROUND(C130*G130,2)</f>
        <v>0</v>
      </c>
      <c r="K130" s="359">
        <f t="shared" ref="K130:K137" si="77">SUM(I130:J130)</f>
        <v>0</v>
      </c>
      <c r="L130" s="359">
        <f t="shared" ref="L130:L150" si="78">SUMIF(_12MonLights_RateCategory,TEXT($A130,0),_12MonLights_Revenue_Actual)</f>
        <v>0</v>
      </c>
      <c r="M130" s="359">
        <f t="shared" ref="M130:M137" si="79">L130-K130</f>
        <v>0</v>
      </c>
      <c r="N130" s="359">
        <f t="shared" ref="N130:N150" si="80">ROUND($L$186/$M$153*M130,2)</f>
        <v>0</v>
      </c>
      <c r="P130" s="364">
        <f t="shared" ref="P130:P150" si="81">ROUND((SUMIF($E$17:$E$150,$E130,$N$17:$N$150)/SUMIF($E$17:$E$150,$E130,$C$17:$C$150)),2)</f>
        <v>0.06</v>
      </c>
      <c r="Q130" s="359">
        <f t="shared" ref="Q130:Q137" si="82">P130*C130</f>
        <v>0</v>
      </c>
      <c r="R130" s="359">
        <f t="shared" ref="R130:R137" si="83">N130-Q130</f>
        <v>0</v>
      </c>
      <c r="S130" s="365">
        <f t="shared" ref="S130:S137" si="84">T130-G130+P130</f>
        <v>0.06</v>
      </c>
      <c r="T130" s="364">
        <f>VLOOKUP($A130,'Rates-Lights'!$C$550:$I$660,3,FALSE)</f>
        <v>0</v>
      </c>
      <c r="U130" s="360" t="e">
        <f t="shared" ref="U130:U137" si="85">(S130-T130)/T130</f>
        <v>#DIV/0!</v>
      </c>
      <c r="W130" s="366"/>
      <c r="X130" s="361"/>
    </row>
    <row r="131" spans="1:24">
      <c r="A131" s="383" t="s">
        <v>420</v>
      </c>
      <c r="B131" s="385" t="s">
        <v>421</v>
      </c>
      <c r="C131" s="244">
        <f t="shared" si="72"/>
        <v>0</v>
      </c>
      <c r="D131" s="244">
        <f t="shared" si="73"/>
        <v>0</v>
      </c>
      <c r="E131" s="388">
        <v>0.20100000000000001</v>
      </c>
      <c r="F131" s="359"/>
      <c r="G131" s="364">
        <f>VLOOKUP(A131,'Rates-Lights'!$C$550:$I$660,5,FALSE)</f>
        <v>0</v>
      </c>
      <c r="H131" s="364">
        <f t="shared" si="74"/>
        <v>0</v>
      </c>
      <c r="I131" s="359">
        <f t="shared" si="75"/>
        <v>0</v>
      </c>
      <c r="J131" s="364">
        <f t="shared" si="76"/>
        <v>0</v>
      </c>
      <c r="K131" s="359">
        <f t="shared" si="77"/>
        <v>0</v>
      </c>
      <c r="L131" s="359">
        <f t="shared" si="78"/>
        <v>0</v>
      </c>
      <c r="M131" s="359">
        <f t="shared" si="79"/>
        <v>0</v>
      </c>
      <c r="N131" s="359">
        <f t="shared" si="80"/>
        <v>0</v>
      </c>
      <c r="P131" s="364">
        <f t="shared" si="81"/>
        <v>0.08</v>
      </c>
      <c r="Q131" s="359">
        <f t="shared" si="82"/>
        <v>0</v>
      </c>
      <c r="R131" s="359">
        <f t="shared" si="83"/>
        <v>0</v>
      </c>
      <c r="S131" s="365">
        <f t="shared" si="84"/>
        <v>0.08</v>
      </c>
      <c r="T131" s="364">
        <f>VLOOKUP($A131,'Rates-Lights'!$C$550:$I$660,3,FALSE)</f>
        <v>0</v>
      </c>
      <c r="U131" s="360" t="e">
        <f t="shared" si="85"/>
        <v>#DIV/0!</v>
      </c>
      <c r="W131" s="366"/>
      <c r="X131" s="361"/>
    </row>
    <row r="132" spans="1:24">
      <c r="A132" s="383" t="s">
        <v>424</v>
      </c>
      <c r="B132" s="385" t="s">
        <v>425</v>
      </c>
      <c r="C132" s="244">
        <f t="shared" si="72"/>
        <v>0</v>
      </c>
      <c r="D132" s="244">
        <f t="shared" si="73"/>
        <v>0</v>
      </c>
      <c r="E132" s="388">
        <v>0.44700000000000001</v>
      </c>
      <c r="F132" s="359"/>
      <c r="G132" s="364">
        <f>VLOOKUP(A132,'Rates-Lights'!$C$550:$I$660,5,FALSE)</f>
        <v>0</v>
      </c>
      <c r="H132" s="364">
        <f t="shared" si="74"/>
        <v>0</v>
      </c>
      <c r="I132" s="359">
        <f t="shared" si="75"/>
        <v>0</v>
      </c>
      <c r="J132" s="364">
        <f t="shared" si="76"/>
        <v>0</v>
      </c>
      <c r="K132" s="359">
        <f t="shared" si="77"/>
        <v>0</v>
      </c>
      <c r="L132" s="359">
        <f t="shared" si="78"/>
        <v>0</v>
      </c>
      <c r="M132" s="359">
        <f t="shared" si="79"/>
        <v>0</v>
      </c>
      <c r="N132" s="359">
        <f t="shared" si="80"/>
        <v>0</v>
      </c>
      <c r="P132" s="364">
        <f t="shared" si="81"/>
        <v>0.16</v>
      </c>
      <c r="Q132" s="359">
        <f t="shared" si="82"/>
        <v>0</v>
      </c>
      <c r="R132" s="359">
        <f t="shared" si="83"/>
        <v>0</v>
      </c>
      <c r="S132" s="365">
        <f t="shared" si="84"/>
        <v>0.16</v>
      </c>
      <c r="T132" s="364">
        <f>VLOOKUP($A132,'Rates-Lights'!$C$550:$I$660,3,FALSE)</f>
        <v>0</v>
      </c>
      <c r="U132" s="360" t="e">
        <f t="shared" si="85"/>
        <v>#DIV/0!</v>
      </c>
      <c r="W132" s="366"/>
      <c r="X132" s="361"/>
    </row>
    <row r="133" spans="1:24">
      <c r="A133" s="383" t="s">
        <v>426</v>
      </c>
      <c r="B133" s="385" t="s">
        <v>427</v>
      </c>
      <c r="C133" s="244">
        <f t="shared" si="72"/>
        <v>0</v>
      </c>
      <c r="D133" s="244">
        <f t="shared" si="73"/>
        <v>0</v>
      </c>
      <c r="E133" s="388">
        <v>0.06</v>
      </c>
      <c r="F133" s="359"/>
      <c r="G133" s="364">
        <f>VLOOKUP(A133,'Rates-Lights'!$C$550:$I$660,5,FALSE)</f>
        <v>0</v>
      </c>
      <c r="H133" s="364">
        <f t="shared" si="74"/>
        <v>0</v>
      </c>
      <c r="I133" s="359">
        <f t="shared" si="75"/>
        <v>0</v>
      </c>
      <c r="J133" s="364">
        <f t="shared" si="76"/>
        <v>0</v>
      </c>
      <c r="K133" s="359">
        <f t="shared" si="77"/>
        <v>0</v>
      </c>
      <c r="L133" s="359">
        <f t="shared" si="78"/>
        <v>0</v>
      </c>
      <c r="M133" s="359">
        <f t="shared" si="79"/>
        <v>0</v>
      </c>
      <c r="N133" s="359">
        <f t="shared" si="80"/>
        <v>0</v>
      </c>
      <c r="P133" s="364">
        <f t="shared" si="81"/>
        <v>0.16</v>
      </c>
      <c r="Q133" s="359">
        <f t="shared" si="82"/>
        <v>0</v>
      </c>
      <c r="R133" s="359">
        <f t="shared" si="83"/>
        <v>0</v>
      </c>
      <c r="S133" s="365">
        <f t="shared" si="84"/>
        <v>0.16</v>
      </c>
      <c r="T133" s="364">
        <f>VLOOKUP($A133,'Rates-Lights'!$C$550:$I$660,3,FALSE)</f>
        <v>0</v>
      </c>
      <c r="U133" s="360" t="e">
        <f t="shared" si="85"/>
        <v>#DIV/0!</v>
      </c>
      <c r="W133" s="366"/>
      <c r="X133" s="361"/>
    </row>
    <row r="134" spans="1:24">
      <c r="A134" s="383" t="s">
        <v>362</v>
      </c>
      <c r="B134" s="386" t="s">
        <v>271</v>
      </c>
      <c r="C134" s="244">
        <f t="shared" si="72"/>
        <v>0</v>
      </c>
      <c r="D134" s="244">
        <f t="shared" si="73"/>
        <v>0</v>
      </c>
      <c r="E134" s="388">
        <v>0.24199999999999999</v>
      </c>
      <c r="F134" s="359"/>
      <c r="G134" s="364">
        <f>VLOOKUP(A134,'Rates-Lights'!$C$550:$I$660,5,FALSE)</f>
        <v>0</v>
      </c>
      <c r="H134" s="364">
        <f t="shared" si="74"/>
        <v>0</v>
      </c>
      <c r="I134" s="359">
        <f t="shared" si="75"/>
        <v>0</v>
      </c>
      <c r="J134" s="364">
        <f t="shared" si="76"/>
        <v>0</v>
      </c>
      <c r="K134" s="359">
        <f t="shared" si="77"/>
        <v>0</v>
      </c>
      <c r="L134" s="359">
        <f t="shared" si="78"/>
        <v>0</v>
      </c>
      <c r="M134" s="359">
        <f t="shared" si="79"/>
        <v>0</v>
      </c>
      <c r="N134" s="359">
        <f t="shared" si="80"/>
        <v>0</v>
      </c>
      <c r="P134" s="364">
        <f t="shared" si="81"/>
        <v>0.28000000000000003</v>
      </c>
      <c r="Q134" s="359">
        <f t="shared" si="82"/>
        <v>0</v>
      </c>
      <c r="R134" s="359">
        <f t="shared" si="83"/>
        <v>0</v>
      </c>
      <c r="S134" s="365">
        <f t="shared" si="84"/>
        <v>0.28000000000000003</v>
      </c>
      <c r="T134" s="364">
        <f>VLOOKUP($A134,'Rates-Lights'!$C$550:$I$660,3,FALSE)</f>
        <v>0</v>
      </c>
      <c r="U134" s="360" t="e">
        <f t="shared" si="85"/>
        <v>#DIV/0!</v>
      </c>
      <c r="W134" s="366"/>
      <c r="X134" s="361"/>
    </row>
    <row r="135" spans="1:24">
      <c r="A135" s="383" t="s">
        <v>394</v>
      </c>
      <c r="B135" s="386" t="s">
        <v>303</v>
      </c>
      <c r="C135" s="244">
        <f t="shared" si="72"/>
        <v>0</v>
      </c>
      <c r="D135" s="244">
        <f t="shared" si="73"/>
        <v>0</v>
      </c>
      <c r="E135" s="388">
        <v>0.47099999999999997</v>
      </c>
      <c r="F135" s="359"/>
      <c r="G135" s="364">
        <f>VLOOKUP(A135,'Rates-Lights'!$C$550:$I$660,5,FALSE)</f>
        <v>0</v>
      </c>
      <c r="H135" s="364">
        <f t="shared" si="74"/>
        <v>0</v>
      </c>
      <c r="I135" s="359">
        <f t="shared" si="75"/>
        <v>0</v>
      </c>
      <c r="J135" s="364">
        <f t="shared" si="76"/>
        <v>0</v>
      </c>
      <c r="K135" s="359">
        <f t="shared" si="77"/>
        <v>0</v>
      </c>
      <c r="L135" s="359">
        <f t="shared" si="78"/>
        <v>0</v>
      </c>
      <c r="M135" s="359">
        <f t="shared" si="79"/>
        <v>0</v>
      </c>
      <c r="N135" s="359">
        <f t="shared" si="80"/>
        <v>0</v>
      </c>
      <c r="P135" s="364">
        <f t="shared" si="81"/>
        <v>0.38</v>
      </c>
      <c r="Q135" s="359">
        <f t="shared" si="82"/>
        <v>0</v>
      </c>
      <c r="R135" s="359">
        <f t="shared" si="83"/>
        <v>0</v>
      </c>
      <c r="S135" s="365">
        <f t="shared" si="84"/>
        <v>0.38</v>
      </c>
      <c r="T135" s="364">
        <f>VLOOKUP($A135,'Rates-Lights'!$C$550:$I$660,3,FALSE)</f>
        <v>0</v>
      </c>
      <c r="U135" s="360" t="e">
        <f t="shared" si="85"/>
        <v>#DIV/0!</v>
      </c>
      <c r="W135" s="366"/>
      <c r="X135" s="361"/>
    </row>
    <row r="136" spans="1:24">
      <c r="A136" s="383" t="s">
        <v>358</v>
      </c>
      <c r="B136" s="386" t="s">
        <v>267</v>
      </c>
      <c r="C136" s="244">
        <f t="shared" si="72"/>
        <v>0</v>
      </c>
      <c r="D136" s="244">
        <f t="shared" si="73"/>
        <v>0</v>
      </c>
      <c r="E136" s="388">
        <v>0.45300000000000001</v>
      </c>
      <c r="F136" s="359"/>
      <c r="G136" s="364">
        <f>VLOOKUP(A136,'Rates-Lights'!$C$550:$I$660,5,FALSE)</f>
        <v>0</v>
      </c>
      <c r="H136" s="364">
        <f t="shared" si="74"/>
        <v>0</v>
      </c>
      <c r="I136" s="359">
        <f t="shared" si="75"/>
        <v>0</v>
      </c>
      <c r="J136" s="364">
        <f t="shared" si="76"/>
        <v>0</v>
      </c>
      <c r="K136" s="359">
        <f t="shared" si="77"/>
        <v>0</v>
      </c>
      <c r="L136" s="359">
        <f t="shared" si="78"/>
        <v>0</v>
      </c>
      <c r="M136" s="359">
        <f t="shared" si="79"/>
        <v>0</v>
      </c>
      <c r="N136" s="359">
        <f t="shared" si="80"/>
        <v>0</v>
      </c>
      <c r="P136" s="364">
        <f t="shared" si="81"/>
        <v>0.24</v>
      </c>
      <c r="Q136" s="359">
        <f t="shared" si="82"/>
        <v>0</v>
      </c>
      <c r="R136" s="359">
        <f t="shared" si="83"/>
        <v>0</v>
      </c>
      <c r="S136" s="365">
        <f t="shared" si="84"/>
        <v>0.24</v>
      </c>
      <c r="T136" s="364">
        <f>VLOOKUP($A136,'Rates-Lights'!$C$550:$I$660,3,FALSE)</f>
        <v>0</v>
      </c>
      <c r="U136" s="360" t="e">
        <f t="shared" si="85"/>
        <v>#DIV/0!</v>
      </c>
      <c r="W136" s="366"/>
      <c r="X136" s="361"/>
    </row>
    <row r="137" spans="1:24">
      <c r="A137" s="383" t="s">
        <v>359</v>
      </c>
      <c r="B137" s="386" t="s">
        <v>268</v>
      </c>
      <c r="C137" s="244">
        <f t="shared" si="72"/>
        <v>0</v>
      </c>
      <c r="D137" s="244">
        <f t="shared" si="73"/>
        <v>0</v>
      </c>
      <c r="E137" s="388">
        <v>0.45300000000000001</v>
      </c>
      <c r="F137" s="359"/>
      <c r="G137" s="364">
        <f>VLOOKUP(A137,'Rates-Lights'!$C$550:$I$660,5,FALSE)</f>
        <v>0</v>
      </c>
      <c r="H137" s="364">
        <f t="shared" si="74"/>
        <v>0</v>
      </c>
      <c r="I137" s="359">
        <f t="shared" si="75"/>
        <v>0</v>
      </c>
      <c r="J137" s="364">
        <f t="shared" si="76"/>
        <v>0</v>
      </c>
      <c r="K137" s="359">
        <f t="shared" si="77"/>
        <v>0</v>
      </c>
      <c r="L137" s="359">
        <f t="shared" si="78"/>
        <v>0</v>
      </c>
      <c r="M137" s="359">
        <f t="shared" si="79"/>
        <v>0</v>
      </c>
      <c r="N137" s="359">
        <f t="shared" si="80"/>
        <v>0</v>
      </c>
      <c r="P137" s="364">
        <f t="shared" si="81"/>
        <v>0.24</v>
      </c>
      <c r="Q137" s="359">
        <f t="shared" si="82"/>
        <v>0</v>
      </c>
      <c r="R137" s="359">
        <f t="shared" si="83"/>
        <v>0</v>
      </c>
      <c r="S137" s="365">
        <f t="shared" si="84"/>
        <v>0.24</v>
      </c>
      <c r="T137" s="364">
        <f>VLOOKUP($A137,'Rates-Lights'!$C$550:$I$660,3,FALSE)</f>
        <v>0</v>
      </c>
      <c r="U137" s="360" t="e">
        <f t="shared" si="85"/>
        <v>#DIV/0!</v>
      </c>
      <c r="W137" s="366"/>
      <c r="X137" s="361"/>
    </row>
    <row r="138" spans="1:24">
      <c r="A138" s="383" t="s">
        <v>377</v>
      </c>
      <c r="B138" s="386" t="s">
        <v>286</v>
      </c>
      <c r="C138" s="244">
        <f t="shared" si="72"/>
        <v>0</v>
      </c>
      <c r="D138" s="244">
        <f t="shared" si="73"/>
        <v>0</v>
      </c>
      <c r="E138" s="388">
        <v>0.06</v>
      </c>
      <c r="F138" s="359"/>
      <c r="G138" s="364">
        <f>VLOOKUP(A138,'Rates-Lights'!$C$550:$I$660,5,FALSE)</f>
        <v>0</v>
      </c>
      <c r="H138" s="364">
        <f t="shared" si="74"/>
        <v>0</v>
      </c>
      <c r="I138" s="359">
        <f t="shared" ref="I138:I145" si="86">C138*F138</f>
        <v>0</v>
      </c>
      <c r="J138" s="364">
        <f t="shared" ref="J138:J145" si="87">ROUND(C138*G138,2)</f>
        <v>0</v>
      </c>
      <c r="K138" s="359">
        <f t="shared" ref="K138:K145" si="88">SUM(I138:J138)</f>
        <v>0</v>
      </c>
      <c r="L138" s="359">
        <f t="shared" si="78"/>
        <v>0</v>
      </c>
      <c r="M138" s="359">
        <f t="shared" ref="M138:M145" si="89">L138-K138</f>
        <v>0</v>
      </c>
      <c r="N138" s="359">
        <f t="shared" si="80"/>
        <v>0</v>
      </c>
      <c r="P138" s="364">
        <f t="shared" si="81"/>
        <v>0.16</v>
      </c>
      <c r="Q138" s="359">
        <f t="shared" ref="Q138:Q149" si="90">P138*C138</f>
        <v>0</v>
      </c>
      <c r="R138" s="359">
        <f t="shared" ref="R138:R145" si="91">N138-Q138</f>
        <v>0</v>
      </c>
      <c r="S138" s="365">
        <f t="shared" ref="S138:S149" si="92">T138-G138+P138</f>
        <v>0.16</v>
      </c>
      <c r="T138" s="364">
        <f>VLOOKUP($A138,'Rates-Lights'!$C$550:$I$660,3,FALSE)</f>
        <v>0</v>
      </c>
      <c r="U138" s="360" t="e">
        <f t="shared" ref="U138:U145" si="93">(S138-T138)/T138</f>
        <v>#DIV/0!</v>
      </c>
      <c r="W138" s="366"/>
      <c r="X138" s="361"/>
    </row>
    <row r="139" spans="1:24">
      <c r="A139" s="383" t="s">
        <v>383</v>
      </c>
      <c r="B139" s="386" t="s">
        <v>292</v>
      </c>
      <c r="C139" s="244">
        <f t="shared" si="72"/>
        <v>0</v>
      </c>
      <c r="D139" s="244">
        <f t="shared" si="73"/>
        <v>0</v>
      </c>
      <c r="E139" s="388">
        <v>8.3000000000000004E-2</v>
      </c>
      <c r="F139" s="359"/>
      <c r="G139" s="364">
        <f>VLOOKUP(A139,'Rates-Lights'!$C$550:$I$660,5,FALSE)</f>
        <v>0</v>
      </c>
      <c r="H139" s="364">
        <f t="shared" si="74"/>
        <v>0</v>
      </c>
      <c r="I139" s="359">
        <f t="shared" si="86"/>
        <v>0</v>
      </c>
      <c r="J139" s="364">
        <f t="shared" si="87"/>
        <v>0</v>
      </c>
      <c r="K139" s="359">
        <f t="shared" si="88"/>
        <v>0</v>
      </c>
      <c r="L139" s="359">
        <f t="shared" si="78"/>
        <v>0</v>
      </c>
      <c r="M139" s="359">
        <f t="shared" si="89"/>
        <v>0</v>
      </c>
      <c r="N139" s="359">
        <f t="shared" si="80"/>
        <v>0</v>
      </c>
      <c r="P139" s="364">
        <f t="shared" si="81"/>
        <v>0.21</v>
      </c>
      <c r="Q139" s="359">
        <f t="shared" si="90"/>
        <v>0</v>
      </c>
      <c r="R139" s="359">
        <f t="shared" si="91"/>
        <v>0</v>
      </c>
      <c r="S139" s="365">
        <f t="shared" si="92"/>
        <v>0.21</v>
      </c>
      <c r="T139" s="364">
        <f>VLOOKUP($A139,'Rates-Lights'!$C$550:$I$660,3,FALSE)</f>
        <v>0</v>
      </c>
      <c r="U139" s="360" t="e">
        <f t="shared" si="93"/>
        <v>#DIV/0!</v>
      </c>
      <c r="W139" s="366"/>
      <c r="X139" s="361"/>
    </row>
    <row r="140" spans="1:24">
      <c r="A140" s="383" t="s">
        <v>385</v>
      </c>
      <c r="B140" s="386" t="s">
        <v>294</v>
      </c>
      <c r="C140" s="244">
        <f t="shared" si="72"/>
        <v>0</v>
      </c>
      <c r="D140" s="244">
        <f t="shared" si="73"/>
        <v>0</v>
      </c>
      <c r="E140" s="388">
        <v>8.3000000000000004E-2</v>
      </c>
      <c r="F140" s="359"/>
      <c r="G140" s="364">
        <f>VLOOKUP(A140,'Rates-Lights'!$C$550:$I$660,5,FALSE)</f>
        <v>0</v>
      </c>
      <c r="H140" s="364">
        <f t="shared" si="74"/>
        <v>0</v>
      </c>
      <c r="I140" s="359">
        <f t="shared" si="86"/>
        <v>0</v>
      </c>
      <c r="J140" s="364">
        <f t="shared" si="87"/>
        <v>0</v>
      </c>
      <c r="K140" s="359">
        <f t="shared" si="88"/>
        <v>0</v>
      </c>
      <c r="L140" s="359">
        <f t="shared" si="78"/>
        <v>0</v>
      </c>
      <c r="M140" s="359">
        <f t="shared" si="89"/>
        <v>0</v>
      </c>
      <c r="N140" s="359">
        <f t="shared" si="80"/>
        <v>0</v>
      </c>
      <c r="P140" s="364">
        <f t="shared" si="81"/>
        <v>0.21</v>
      </c>
      <c r="Q140" s="359">
        <f t="shared" si="90"/>
        <v>0</v>
      </c>
      <c r="R140" s="359">
        <f t="shared" si="91"/>
        <v>0</v>
      </c>
      <c r="S140" s="365">
        <f t="shared" si="92"/>
        <v>0.21</v>
      </c>
      <c r="T140" s="364">
        <f>VLOOKUP($A140,'Rates-Lights'!$C$550:$I$660,3,FALSE)</f>
        <v>0</v>
      </c>
      <c r="U140" s="360" t="e">
        <f t="shared" si="93"/>
        <v>#DIV/0!</v>
      </c>
      <c r="W140" s="366"/>
      <c r="X140" s="361"/>
    </row>
    <row r="141" spans="1:24">
      <c r="A141" s="383" t="s">
        <v>406</v>
      </c>
      <c r="B141" s="386" t="s">
        <v>315</v>
      </c>
      <c r="C141" s="244">
        <f t="shared" si="72"/>
        <v>0</v>
      </c>
      <c r="D141" s="244">
        <f t="shared" si="73"/>
        <v>0</v>
      </c>
      <c r="E141" s="388">
        <v>0.11700000000000001</v>
      </c>
      <c r="F141" s="359"/>
      <c r="G141" s="364">
        <f>VLOOKUP(A141,'Rates-Lights'!$C$550:$I$660,5,FALSE)</f>
        <v>0</v>
      </c>
      <c r="H141" s="364">
        <f t="shared" si="74"/>
        <v>0</v>
      </c>
      <c r="I141" s="359">
        <f t="shared" si="86"/>
        <v>0</v>
      </c>
      <c r="J141" s="364">
        <f t="shared" si="87"/>
        <v>0</v>
      </c>
      <c r="K141" s="359">
        <f t="shared" si="88"/>
        <v>0</v>
      </c>
      <c r="L141" s="359">
        <f t="shared" si="78"/>
        <v>0</v>
      </c>
      <c r="M141" s="359">
        <f t="shared" si="89"/>
        <v>0</v>
      </c>
      <c r="N141" s="359">
        <f t="shared" si="80"/>
        <v>0</v>
      </c>
      <c r="P141" s="364">
        <f t="shared" si="81"/>
        <v>0.16</v>
      </c>
      <c r="Q141" s="359">
        <f t="shared" si="90"/>
        <v>0</v>
      </c>
      <c r="R141" s="359">
        <f t="shared" si="91"/>
        <v>0</v>
      </c>
      <c r="S141" s="365">
        <f t="shared" si="92"/>
        <v>0.16</v>
      </c>
      <c r="T141" s="364">
        <f>VLOOKUP($A141,'Rates-Lights'!$C$550:$I$660,3,FALSE)</f>
        <v>0</v>
      </c>
      <c r="U141" s="360" t="e">
        <f t="shared" si="93"/>
        <v>#DIV/0!</v>
      </c>
      <c r="W141" s="366"/>
      <c r="X141" s="361"/>
    </row>
    <row r="142" spans="1:24">
      <c r="A142" s="383" t="s">
        <v>408</v>
      </c>
      <c r="B142" s="386" t="s">
        <v>317</v>
      </c>
      <c r="C142" s="244">
        <f t="shared" si="72"/>
        <v>0</v>
      </c>
      <c r="D142" s="244">
        <f t="shared" si="73"/>
        <v>0</v>
      </c>
      <c r="E142" s="388">
        <v>0.11700000000000001</v>
      </c>
      <c r="F142" s="359"/>
      <c r="G142" s="364">
        <f>VLOOKUP(A142,'Rates-Lights'!$C$550:$I$660,5,FALSE)</f>
        <v>0</v>
      </c>
      <c r="H142" s="364">
        <f t="shared" si="74"/>
        <v>0</v>
      </c>
      <c r="I142" s="359">
        <f t="shared" si="86"/>
        <v>0</v>
      </c>
      <c r="J142" s="364">
        <f t="shared" si="87"/>
        <v>0</v>
      </c>
      <c r="K142" s="359">
        <f t="shared" si="88"/>
        <v>0</v>
      </c>
      <c r="L142" s="359">
        <f t="shared" si="78"/>
        <v>0</v>
      </c>
      <c r="M142" s="359">
        <f t="shared" si="89"/>
        <v>0</v>
      </c>
      <c r="N142" s="359">
        <f t="shared" si="80"/>
        <v>0</v>
      </c>
      <c r="P142" s="364">
        <f t="shared" si="81"/>
        <v>0.16</v>
      </c>
      <c r="Q142" s="359">
        <f t="shared" si="90"/>
        <v>0</v>
      </c>
      <c r="R142" s="359">
        <f t="shared" si="91"/>
        <v>0</v>
      </c>
      <c r="S142" s="365">
        <f t="shared" si="92"/>
        <v>0.16</v>
      </c>
      <c r="T142" s="364">
        <f>VLOOKUP($A142,'Rates-Lights'!$C$550:$I$660,3,FALSE)</f>
        <v>0</v>
      </c>
      <c r="U142" s="360" t="e">
        <f t="shared" si="93"/>
        <v>#DIV/0!</v>
      </c>
      <c r="W142" s="366"/>
      <c r="X142" s="361"/>
    </row>
    <row r="143" spans="1:24">
      <c r="A143" s="383" t="s">
        <v>378</v>
      </c>
      <c r="B143" s="386" t="s">
        <v>287</v>
      </c>
      <c r="C143" s="244">
        <f t="shared" si="72"/>
        <v>0</v>
      </c>
      <c r="D143" s="244">
        <f t="shared" si="73"/>
        <v>0</v>
      </c>
      <c r="E143" s="388">
        <v>0.06</v>
      </c>
      <c r="F143" s="359"/>
      <c r="G143" s="364">
        <f>VLOOKUP(A143,'Rates-Lights'!$C$550:$I$660,5,FALSE)</f>
        <v>0</v>
      </c>
      <c r="H143" s="364">
        <f t="shared" si="74"/>
        <v>0</v>
      </c>
      <c r="I143" s="359">
        <f t="shared" si="86"/>
        <v>0</v>
      </c>
      <c r="J143" s="364">
        <f t="shared" si="87"/>
        <v>0</v>
      </c>
      <c r="K143" s="359">
        <f t="shared" si="88"/>
        <v>0</v>
      </c>
      <c r="L143" s="359">
        <f t="shared" si="78"/>
        <v>0</v>
      </c>
      <c r="M143" s="359">
        <f t="shared" si="89"/>
        <v>0</v>
      </c>
      <c r="N143" s="359">
        <f t="shared" si="80"/>
        <v>0</v>
      </c>
      <c r="P143" s="364">
        <f t="shared" si="81"/>
        <v>0.16</v>
      </c>
      <c r="Q143" s="359">
        <f t="shared" si="90"/>
        <v>0</v>
      </c>
      <c r="R143" s="359">
        <f t="shared" si="91"/>
        <v>0</v>
      </c>
      <c r="S143" s="365">
        <f t="shared" si="92"/>
        <v>0.16</v>
      </c>
      <c r="T143" s="364">
        <f>VLOOKUP($A143,'Rates-Lights'!$C$550:$I$660,3,FALSE)</f>
        <v>0</v>
      </c>
      <c r="U143" s="360" t="e">
        <f t="shared" si="93"/>
        <v>#DIV/0!</v>
      </c>
      <c r="W143" s="366"/>
      <c r="X143" s="361"/>
    </row>
    <row r="144" spans="1:24">
      <c r="A144" s="383" t="s">
        <v>388</v>
      </c>
      <c r="B144" s="386" t="s">
        <v>297</v>
      </c>
      <c r="C144" s="244">
        <f t="shared" si="72"/>
        <v>0</v>
      </c>
      <c r="D144" s="244">
        <f t="shared" si="73"/>
        <v>0</v>
      </c>
      <c r="E144" s="388">
        <v>8.3000000000000004E-2</v>
      </c>
      <c r="F144" s="359"/>
      <c r="G144" s="364">
        <f>VLOOKUP(A144,'Rates-Lights'!$C$550:$I$660,5,FALSE)</f>
        <v>0</v>
      </c>
      <c r="H144" s="364">
        <f t="shared" si="74"/>
        <v>0</v>
      </c>
      <c r="I144" s="359">
        <f t="shared" si="86"/>
        <v>0</v>
      </c>
      <c r="J144" s="364">
        <f t="shared" si="87"/>
        <v>0</v>
      </c>
      <c r="K144" s="359">
        <f t="shared" si="88"/>
        <v>0</v>
      </c>
      <c r="L144" s="359">
        <f t="shared" si="78"/>
        <v>0</v>
      </c>
      <c r="M144" s="359">
        <f t="shared" si="89"/>
        <v>0</v>
      </c>
      <c r="N144" s="359">
        <f t="shared" si="80"/>
        <v>0</v>
      </c>
      <c r="P144" s="364">
        <f t="shared" si="81"/>
        <v>0.21</v>
      </c>
      <c r="Q144" s="359">
        <f t="shared" si="90"/>
        <v>0</v>
      </c>
      <c r="R144" s="359">
        <f t="shared" si="91"/>
        <v>0</v>
      </c>
      <c r="S144" s="365">
        <f t="shared" si="92"/>
        <v>0.21</v>
      </c>
      <c r="T144" s="364">
        <f>VLOOKUP($A144,'Rates-Lights'!$C$550:$I$660,3,FALSE)</f>
        <v>0</v>
      </c>
      <c r="U144" s="360" t="e">
        <f t="shared" si="93"/>
        <v>#DIV/0!</v>
      </c>
      <c r="W144" s="366"/>
      <c r="X144" s="361"/>
    </row>
    <row r="145" spans="1:24">
      <c r="A145" s="383" t="s">
        <v>411</v>
      </c>
      <c r="B145" s="386" t="s">
        <v>320</v>
      </c>
      <c r="C145" s="244">
        <f t="shared" si="72"/>
        <v>0</v>
      </c>
      <c r="D145" s="244">
        <f t="shared" si="73"/>
        <v>0</v>
      </c>
      <c r="E145" s="388">
        <v>0.11700000000000001</v>
      </c>
      <c r="F145" s="359"/>
      <c r="G145" s="364">
        <f>VLOOKUP(A145,'Rates-Lights'!$C$550:$I$660,5,FALSE)</f>
        <v>0</v>
      </c>
      <c r="H145" s="364">
        <f t="shared" si="74"/>
        <v>0</v>
      </c>
      <c r="I145" s="359">
        <f t="shared" si="86"/>
        <v>0</v>
      </c>
      <c r="J145" s="364">
        <f t="shared" si="87"/>
        <v>0</v>
      </c>
      <c r="K145" s="359">
        <f t="shared" si="88"/>
        <v>0</v>
      </c>
      <c r="L145" s="359">
        <f t="shared" si="78"/>
        <v>0</v>
      </c>
      <c r="M145" s="359">
        <f t="shared" si="89"/>
        <v>0</v>
      </c>
      <c r="N145" s="359">
        <f t="shared" si="80"/>
        <v>0</v>
      </c>
      <c r="P145" s="364">
        <f t="shared" si="81"/>
        <v>0.16</v>
      </c>
      <c r="Q145" s="359">
        <f t="shared" si="90"/>
        <v>0</v>
      </c>
      <c r="R145" s="359">
        <f t="shared" si="91"/>
        <v>0</v>
      </c>
      <c r="S145" s="365">
        <f t="shared" si="92"/>
        <v>0.16</v>
      </c>
      <c r="T145" s="364">
        <f>VLOOKUP($A145,'Rates-Lights'!$C$550:$I$660,3,FALSE)</f>
        <v>0</v>
      </c>
      <c r="U145" s="360" t="e">
        <f t="shared" si="93"/>
        <v>#DIV/0!</v>
      </c>
      <c r="W145" s="366"/>
      <c r="X145" s="361"/>
    </row>
    <row r="146" spans="1:24">
      <c r="A146" s="383" t="s">
        <v>439</v>
      </c>
      <c r="B146" s="385" t="s">
        <v>417</v>
      </c>
      <c r="C146" s="244">
        <f t="shared" si="72"/>
        <v>0</v>
      </c>
      <c r="D146" s="244">
        <f t="shared" si="73"/>
        <v>0</v>
      </c>
      <c r="E146" s="388">
        <v>8.3000000000000004E-2</v>
      </c>
      <c r="F146" s="359"/>
      <c r="G146" s="364">
        <f>VLOOKUP(A146,'Rates-Lights'!$C$550:$I$660,5,FALSE)</f>
        <v>0</v>
      </c>
      <c r="H146" s="364">
        <f t="shared" si="74"/>
        <v>0</v>
      </c>
      <c r="I146" s="359">
        <f>C146*F146</f>
        <v>0</v>
      </c>
      <c r="J146" s="364">
        <f>ROUND(C146*G146,2)</f>
        <v>0</v>
      </c>
      <c r="K146" s="359">
        <f>SUM(I146:J146)</f>
        <v>0</v>
      </c>
      <c r="L146" s="359">
        <f t="shared" si="78"/>
        <v>0</v>
      </c>
      <c r="M146" s="359">
        <f>L146-K146</f>
        <v>0</v>
      </c>
      <c r="N146" s="359">
        <f t="shared" si="80"/>
        <v>0</v>
      </c>
      <c r="P146" s="364">
        <f t="shared" si="81"/>
        <v>0.21</v>
      </c>
      <c r="Q146" s="359">
        <f t="shared" si="90"/>
        <v>0</v>
      </c>
      <c r="R146" s="359">
        <f>N146-Q146</f>
        <v>0</v>
      </c>
      <c r="S146" s="365">
        <f t="shared" si="92"/>
        <v>0.21</v>
      </c>
      <c r="T146" s="364">
        <f>VLOOKUP($A146,'Rates-Lights'!$C$550:$I$660,3,FALSE)</f>
        <v>0</v>
      </c>
      <c r="U146" s="360" t="e">
        <f>(S146-T146)/T146</f>
        <v>#DIV/0!</v>
      </c>
      <c r="W146" s="366"/>
      <c r="X146" s="361"/>
    </row>
    <row r="147" spans="1:24">
      <c r="A147" s="383" t="s">
        <v>413</v>
      </c>
      <c r="B147" s="386" t="s">
        <v>322</v>
      </c>
      <c r="C147" s="244">
        <f t="shared" si="72"/>
        <v>0</v>
      </c>
      <c r="D147" s="244">
        <f t="shared" si="73"/>
        <v>0</v>
      </c>
      <c r="E147" s="388">
        <v>0.11700000000000001</v>
      </c>
      <c r="F147" s="359"/>
      <c r="G147" s="364">
        <f>VLOOKUP(A147,'Rates-Lights'!$C$550:$I$660,5,FALSE)</f>
        <v>0</v>
      </c>
      <c r="H147" s="364">
        <f t="shared" si="74"/>
        <v>0</v>
      </c>
      <c r="I147" s="359">
        <f>C147*F147</f>
        <v>0</v>
      </c>
      <c r="J147" s="364">
        <f>ROUND(C147*G147,2)</f>
        <v>0</v>
      </c>
      <c r="K147" s="359">
        <f>SUM(I147:J147)</f>
        <v>0</v>
      </c>
      <c r="L147" s="359">
        <f t="shared" si="78"/>
        <v>0</v>
      </c>
      <c r="M147" s="359">
        <f>L147-K147</f>
        <v>0</v>
      </c>
      <c r="N147" s="359">
        <f t="shared" si="80"/>
        <v>0</v>
      </c>
      <c r="P147" s="364">
        <f t="shared" si="81"/>
        <v>0.16</v>
      </c>
      <c r="Q147" s="359">
        <f t="shared" si="90"/>
        <v>0</v>
      </c>
      <c r="R147" s="359">
        <f>N147-Q147</f>
        <v>0</v>
      </c>
      <c r="S147" s="365">
        <f t="shared" si="92"/>
        <v>0.16</v>
      </c>
      <c r="T147" s="364">
        <f>VLOOKUP($A147,'Rates-Lights'!$C$550:$I$660,3,FALSE)</f>
        <v>0</v>
      </c>
      <c r="U147" s="360" t="e">
        <f>(S147-T147)/T147</f>
        <v>#DIV/0!</v>
      </c>
      <c r="W147" s="366"/>
      <c r="X147" s="361"/>
    </row>
    <row r="148" spans="1:24">
      <c r="A148" s="383" t="s">
        <v>363</v>
      </c>
      <c r="B148" s="386" t="s">
        <v>272</v>
      </c>
      <c r="C148" s="244">
        <f t="shared" si="72"/>
        <v>0</v>
      </c>
      <c r="D148" s="244">
        <f t="shared" si="73"/>
        <v>0</v>
      </c>
      <c r="E148" s="388">
        <v>0.24199999999999999</v>
      </c>
      <c r="F148" s="359"/>
      <c r="G148" s="364">
        <f>VLOOKUP(A148,'Rates-Lights'!$C$550:$I$660,5,FALSE)</f>
        <v>0</v>
      </c>
      <c r="H148" s="364">
        <f t="shared" si="74"/>
        <v>0</v>
      </c>
      <c r="I148" s="359">
        <f>C148*F148</f>
        <v>0</v>
      </c>
      <c r="J148" s="364">
        <f>ROUND(C148*G148,2)</f>
        <v>0</v>
      </c>
      <c r="K148" s="359">
        <f>SUM(I148:J148)</f>
        <v>0</v>
      </c>
      <c r="L148" s="359">
        <f t="shared" si="78"/>
        <v>0</v>
      </c>
      <c r="M148" s="359">
        <f>L148-K148</f>
        <v>0</v>
      </c>
      <c r="N148" s="359">
        <f t="shared" si="80"/>
        <v>0</v>
      </c>
      <c r="P148" s="364">
        <f t="shared" si="81"/>
        <v>0.28000000000000003</v>
      </c>
      <c r="Q148" s="359">
        <f t="shared" si="90"/>
        <v>0</v>
      </c>
      <c r="R148" s="359">
        <f>N148-Q148</f>
        <v>0</v>
      </c>
      <c r="S148" s="365">
        <f t="shared" si="92"/>
        <v>0.28000000000000003</v>
      </c>
      <c r="T148" s="364">
        <f>VLOOKUP($A148,'Rates-Lights'!$C$550:$I$660,3,FALSE)</f>
        <v>0</v>
      </c>
      <c r="U148" s="360" t="e">
        <f>(S148-T148)/T148</f>
        <v>#DIV/0!</v>
      </c>
      <c r="W148" s="366"/>
      <c r="X148" s="361"/>
    </row>
    <row r="149" spans="1:24">
      <c r="A149" s="383" t="s">
        <v>395</v>
      </c>
      <c r="B149" s="386" t="s">
        <v>304</v>
      </c>
      <c r="C149" s="244">
        <f t="shared" si="72"/>
        <v>0</v>
      </c>
      <c r="D149" s="244">
        <f t="shared" si="73"/>
        <v>0</v>
      </c>
      <c r="E149" s="388">
        <v>0.47099999999999997</v>
      </c>
      <c r="F149" s="359"/>
      <c r="G149" s="364">
        <f>VLOOKUP(A149,'Rates-Lights'!$C$550:$I$660,5,FALSE)</f>
        <v>0</v>
      </c>
      <c r="H149" s="364">
        <f t="shared" si="74"/>
        <v>0</v>
      </c>
      <c r="I149" s="359">
        <f>C149*F149</f>
        <v>0</v>
      </c>
      <c r="J149" s="364">
        <f>ROUND(C149*G149,2)</f>
        <v>0</v>
      </c>
      <c r="K149" s="359">
        <f>SUM(I149:J149)</f>
        <v>0</v>
      </c>
      <c r="L149" s="359">
        <f t="shared" si="78"/>
        <v>0</v>
      </c>
      <c r="M149" s="359">
        <f>L149-K149</f>
        <v>0</v>
      </c>
      <c r="N149" s="359">
        <f t="shared" si="80"/>
        <v>0</v>
      </c>
      <c r="P149" s="364">
        <f t="shared" si="81"/>
        <v>0.38</v>
      </c>
      <c r="Q149" s="359">
        <f t="shared" si="90"/>
        <v>0</v>
      </c>
      <c r="R149" s="359">
        <f>N149-Q149</f>
        <v>0</v>
      </c>
      <c r="S149" s="365">
        <f t="shared" si="92"/>
        <v>0.38</v>
      </c>
      <c r="T149" s="364">
        <f>VLOOKUP($A149,'Rates-Lights'!$C$550:$I$660,3,FALSE)</f>
        <v>0</v>
      </c>
      <c r="U149" s="360" t="e">
        <f>(S149-T149)/T149</f>
        <v>#DIV/0!</v>
      </c>
      <c r="W149" s="366"/>
      <c r="X149" s="361"/>
    </row>
    <row r="150" spans="1:24">
      <c r="A150" s="383" t="s">
        <v>422</v>
      </c>
      <c r="B150" s="385" t="s">
        <v>423</v>
      </c>
      <c r="C150" s="244">
        <f t="shared" si="72"/>
        <v>0</v>
      </c>
      <c r="D150" s="244">
        <f t="shared" si="73"/>
        <v>0</v>
      </c>
      <c r="E150" s="388">
        <v>0.18099999999999999</v>
      </c>
      <c r="F150" s="359"/>
      <c r="G150" s="364">
        <f>VLOOKUP(A150,'Rates-Lights'!$C$550:$I$660,5,FALSE)</f>
        <v>0</v>
      </c>
      <c r="H150" s="364">
        <f t="shared" si="74"/>
        <v>0</v>
      </c>
      <c r="I150" s="359">
        <f>C150*F150</f>
        <v>0</v>
      </c>
      <c r="J150" s="364">
        <f>ROUND(C150*G150,2)</f>
        <v>0</v>
      </c>
      <c r="K150" s="359">
        <f>SUM(I150:J150)</f>
        <v>0</v>
      </c>
      <c r="L150" s="359">
        <f t="shared" si="78"/>
        <v>0</v>
      </c>
      <c r="M150" s="359">
        <f>L150-K150</f>
        <v>0</v>
      </c>
      <c r="N150" s="359">
        <f t="shared" si="80"/>
        <v>0</v>
      </c>
      <c r="P150" s="364">
        <f t="shared" si="81"/>
        <v>1.0900000000000001</v>
      </c>
      <c r="Q150" s="359">
        <f>P150*C150</f>
        <v>0</v>
      </c>
      <c r="R150" s="359">
        <f>N150-Q150</f>
        <v>0</v>
      </c>
      <c r="S150" s="365">
        <f>T150-G150+P150</f>
        <v>1.0900000000000001</v>
      </c>
      <c r="T150" s="364">
        <f>VLOOKUP($A150,'Rates-Lights'!$C$550:$I$660,3,FALSE)</f>
        <v>0</v>
      </c>
      <c r="U150" s="360" t="e">
        <f>(S150-T150)/T150</f>
        <v>#DIV/0!</v>
      </c>
      <c r="W150" s="366"/>
      <c r="X150" s="361"/>
    </row>
    <row r="151" spans="1:24">
      <c r="O151" s="366"/>
    </row>
    <row r="153" spans="1:24">
      <c r="B153" s="290" t="s">
        <v>465</v>
      </c>
      <c r="D153" s="183">
        <f>SUM(D4:D150)</f>
        <v>6225849819</v>
      </c>
      <c r="E153" s="183"/>
      <c r="K153" s="359">
        <f>SUM(K4:K150)</f>
        <v>2782705.2551999995</v>
      </c>
      <c r="L153" s="359">
        <f>SUM(L4:L150)</f>
        <v>545519781.97000027</v>
      </c>
      <c r="M153" s="359">
        <f>SUM(M4:M150)</f>
        <v>542737076.71480024</v>
      </c>
      <c r="N153" s="330">
        <f>SUM(N4:N150)</f>
        <v>20404110.030000001</v>
      </c>
      <c r="Q153" s="359">
        <f>SUM(Q4:Q152)</f>
        <v>20374816.62999998</v>
      </c>
      <c r="R153" s="359">
        <f>SUM(R4:R151)</f>
        <v>29293.399999998204</v>
      </c>
    </row>
    <row r="154" spans="1:24">
      <c r="B154" s="290"/>
      <c r="D154" s="183"/>
      <c r="E154" s="183"/>
      <c r="K154" s="359"/>
      <c r="L154" s="359"/>
      <c r="M154" s="359"/>
      <c r="N154" s="330"/>
      <c r="Q154" s="359"/>
      <c r="R154" s="359"/>
    </row>
    <row r="155" spans="1:24">
      <c r="M155" s="377">
        <f>N153/M153</f>
        <v>3.7594833493791391E-2</v>
      </c>
      <c r="Q155" s="369"/>
      <c r="R155" s="369"/>
      <c r="S155" s="369"/>
    </row>
    <row r="156" spans="1:24">
      <c r="Q156" s="364"/>
      <c r="R156" s="364"/>
      <c r="S156" s="364"/>
    </row>
    <row r="157" spans="1:24">
      <c r="O157" s="247"/>
      <c r="Q157" s="364"/>
      <c r="R157" s="364"/>
      <c r="S157" s="364"/>
    </row>
    <row r="158" spans="1:24">
      <c r="O158" s="245"/>
      <c r="Q158" s="364"/>
      <c r="R158" s="364"/>
      <c r="S158" s="364"/>
    </row>
    <row r="159" spans="1:24">
      <c r="O159" s="247"/>
      <c r="Q159" s="364"/>
      <c r="R159" s="364"/>
      <c r="S159" s="364"/>
    </row>
    <row r="160" spans="1:24">
      <c r="L160" s="245"/>
      <c r="O160" s="245"/>
      <c r="Q160" s="364"/>
      <c r="R160" s="364"/>
      <c r="S160" s="364"/>
    </row>
    <row r="161" spans="3:19">
      <c r="O161" s="247"/>
      <c r="Q161" s="364"/>
      <c r="R161" s="364"/>
      <c r="S161" s="364"/>
    </row>
    <row r="162" spans="3:19">
      <c r="L162" s="245"/>
      <c r="O162" s="245"/>
      <c r="Q162" s="364"/>
      <c r="R162" s="364"/>
      <c r="S162" s="364"/>
    </row>
    <row r="163" spans="3:19">
      <c r="O163" s="247"/>
      <c r="Q163" s="364"/>
      <c r="R163" s="364"/>
      <c r="S163" s="364"/>
    </row>
    <row r="165" spans="3:19">
      <c r="Q165" s="369"/>
      <c r="R165" s="369"/>
      <c r="S165" s="369"/>
    </row>
    <row r="166" spans="3:19">
      <c r="Q166" s="364"/>
      <c r="R166" s="364"/>
      <c r="S166" s="364"/>
    </row>
    <row r="167" spans="3:19">
      <c r="O167" s="247"/>
      <c r="Q167" s="364"/>
      <c r="R167" s="364"/>
      <c r="S167" s="364"/>
    </row>
    <row r="168" spans="3:19">
      <c r="O168" s="245"/>
      <c r="Q168" s="364"/>
      <c r="R168" s="364"/>
      <c r="S168" s="364"/>
    </row>
    <row r="169" spans="3:19">
      <c r="O169" s="247"/>
      <c r="Q169" s="364"/>
      <c r="R169" s="364"/>
      <c r="S169" s="364"/>
    </row>
    <row r="170" spans="3:19">
      <c r="O170" s="245"/>
      <c r="Q170" s="364"/>
      <c r="R170" s="364"/>
      <c r="S170" s="364"/>
    </row>
    <row r="171" spans="3:19">
      <c r="O171" s="247"/>
      <c r="Q171" s="364"/>
      <c r="R171" s="364"/>
      <c r="S171" s="364"/>
    </row>
    <row r="172" spans="3:19">
      <c r="O172" s="245"/>
      <c r="Q172" s="364"/>
      <c r="R172" s="364"/>
      <c r="S172" s="364"/>
    </row>
    <row r="173" spans="3:19">
      <c r="L173" s="288">
        <f>L153</f>
        <v>545519781.97000027</v>
      </c>
      <c r="O173" s="247"/>
      <c r="Q173" s="364"/>
      <c r="R173" s="364"/>
      <c r="S173" s="364"/>
    </row>
    <row r="174" spans="3:19">
      <c r="K174" s="251"/>
      <c r="L174" s="288"/>
      <c r="N174" s="245"/>
    </row>
    <row r="175" spans="3:19">
      <c r="C175" s="250"/>
      <c r="F175" s="245"/>
      <c r="L175" s="244">
        <f>L173+L174</f>
        <v>545519781.97000027</v>
      </c>
      <c r="N175" s="370"/>
    </row>
    <row r="176" spans="3:19">
      <c r="F176" s="245"/>
      <c r="K176" s="251" t="s">
        <v>1118</v>
      </c>
      <c r="L176" s="244">
        <f>Group2!L38</f>
        <v>812953316.53289998</v>
      </c>
      <c r="M176" s="244">
        <f>SUM(M4:M14)</f>
        <v>530910840.23480016</v>
      </c>
      <c r="N176" s="371"/>
    </row>
    <row r="177" spans="10:14">
      <c r="K177" s="251" t="s">
        <v>1119</v>
      </c>
      <c r="L177" s="244">
        <v>1279049062</v>
      </c>
      <c r="M177" s="244">
        <f>SUM(M16:M150)</f>
        <v>11826236.479999997</v>
      </c>
      <c r="N177" s="244">
        <f>L186/M153*M177</f>
        <v>444605.39067010174</v>
      </c>
    </row>
    <row r="178" spans="10:14">
      <c r="L178" s="244">
        <f>L177-SUM(L175:L176)</f>
        <v>-79424036.502900124</v>
      </c>
    </row>
    <row r="179" spans="10:14" ht="15">
      <c r="K179" s="250" t="s">
        <v>1120</v>
      </c>
      <c r="L179" s="244">
        <f>M153</f>
        <v>542737076.71480024</v>
      </c>
      <c r="M179" s="248"/>
    </row>
    <row r="180" spans="10:14">
      <c r="K180" s="250" t="s">
        <v>1121</v>
      </c>
      <c r="L180" s="244">
        <f>Q153</f>
        <v>20374816.62999998</v>
      </c>
    </row>
    <row r="181" spans="10:14">
      <c r="K181" s="251" t="s">
        <v>1122</v>
      </c>
      <c r="L181" s="244">
        <f>L179+L180</f>
        <v>563111893.34480023</v>
      </c>
    </row>
    <row r="182" spans="10:14">
      <c r="K182" s="251" t="s">
        <v>1123</v>
      </c>
      <c r="L182" s="244">
        <f>L181-L173</f>
        <v>17592111.374799967</v>
      </c>
    </row>
    <row r="185" spans="10:14">
      <c r="K185" s="244" t="s">
        <v>1124</v>
      </c>
      <c r="L185" s="244" t="s">
        <v>817</v>
      </c>
    </row>
    <row r="186" spans="10:14">
      <c r="J186" s="244" t="s">
        <v>1125</v>
      </c>
      <c r="K186" s="244">
        <f>M153</f>
        <v>542737076.71480024</v>
      </c>
      <c r="L186" s="244">
        <f>Summary!$D$22</f>
        <v>20404110</v>
      </c>
    </row>
    <row r="187" spans="10:14">
      <c r="J187" s="244" t="s">
        <v>1126</v>
      </c>
      <c r="K187" s="244">
        <f>L176</f>
        <v>812953316.53289998</v>
      </c>
      <c r="L187" s="244">
        <f>Summary!$D$32</f>
        <v>30562844</v>
      </c>
    </row>
    <row r="188" spans="10:14">
      <c r="J188" s="244" t="s">
        <v>1124</v>
      </c>
      <c r="K188" s="244">
        <f>K186+K187</f>
        <v>1355690393.2477002</v>
      </c>
      <c r="L188" s="330">
        <f>Summary!$B$7</f>
        <v>50966954</v>
      </c>
    </row>
  </sheetData>
  <autoFilter ref="B17:B150"/>
  <pageMargins left="0.5" right="0.5" top="1.25" bottom="0.75" header="0.5" footer="0.5"/>
  <pageSetup scale="64" fitToWidth="2" fitToHeight="0" pageOrder="overThenDown" orientation="landscape" r:id="rId1"/>
  <headerFooter>
    <oddHeader xml:space="preserve">&amp;C&amp;"Times New Roman,Bold"&amp;16KENTUCKY UTILITIES COMPANY&amp;"Times New Roman,Regular"&amp;12
Group 1 ECR Rollin Calculations 
Using Regenerated Revenues for the  Twelve Months Ending September 2011
Case No. 2011-00231
</oddHeader>
    <oddFooter>&amp;R&amp;"Times New Roman,Bold"&amp;11Exhibit 2
Page &amp;P of &amp;N</oddFooter>
  </headerFooter>
  <rowBreaks count="1" manualBreakCount="1">
    <brk id="145" min="2" max="20" man="1"/>
  </rowBreaks>
  <colBreaks count="1" manualBreakCount="1">
    <brk id="11" min="3" max="1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B58"/>
  <sheetViews>
    <sheetView workbookViewId="0"/>
  </sheetViews>
  <sheetFormatPr defaultRowHeight="12.75"/>
  <cols>
    <col min="1" max="1" width="9.33203125" style="289"/>
    <col min="2" max="2" width="60.83203125" style="244" customWidth="1"/>
    <col min="3" max="3" width="16.83203125" style="244" customWidth="1"/>
    <col min="4" max="4" width="15.83203125" style="244" customWidth="1"/>
    <col min="5" max="6" width="11.83203125" style="244" customWidth="1"/>
    <col min="7" max="7" width="15.83203125" style="244" customWidth="1"/>
    <col min="8" max="8" width="19.1640625" style="244" customWidth="1"/>
    <col min="9" max="9" width="20.83203125" style="244" customWidth="1"/>
    <col min="10" max="10" width="19.33203125" style="244" customWidth="1"/>
    <col min="11" max="12" width="17.83203125" style="244" customWidth="1"/>
    <col min="13" max="13" width="20.83203125" style="244" customWidth="1"/>
    <col min="14" max="14" width="17.83203125" style="244" customWidth="1"/>
    <col min="15" max="15" width="16.33203125" style="244" customWidth="1"/>
    <col min="16" max="16" width="13.83203125" style="244" customWidth="1"/>
    <col min="17" max="18" width="19.83203125" style="244" customWidth="1"/>
    <col min="19" max="20" width="15.83203125" style="244" customWidth="1"/>
    <col min="21" max="21" width="9.6640625" style="244" bestFit="1" customWidth="1"/>
    <col min="22" max="23" width="9.33203125" style="244"/>
    <col min="24" max="24" width="11" style="244" bestFit="1" customWidth="1"/>
    <col min="25" max="28" width="9.33203125" style="244"/>
    <col min="29" max="29" width="11.33203125" style="244" bestFit="1" customWidth="1"/>
    <col min="30" max="35" width="10.1640625" style="244" bestFit="1" customWidth="1"/>
    <col min="36" max="42" width="9.33203125" style="244"/>
    <col min="43" max="46" width="10.1640625" style="244" bestFit="1" customWidth="1"/>
    <col min="47" max="49" width="11.33203125" style="244" bestFit="1" customWidth="1"/>
    <col min="50" max="16384" width="9.33203125" style="244"/>
  </cols>
  <sheetData>
    <row r="1" spans="1:54">
      <c r="A1" s="333">
        <v>0</v>
      </c>
      <c r="B1" s="333">
        <f>A1-1</f>
        <v>-1</v>
      </c>
      <c r="C1" s="333">
        <f>B1-1</f>
        <v>-2</v>
      </c>
      <c r="D1" s="333">
        <f t="shared" ref="D1:U1" si="0">C1-1</f>
        <v>-3</v>
      </c>
      <c r="E1" s="333">
        <f t="shared" si="0"/>
        <v>-4</v>
      </c>
      <c r="F1" s="333">
        <f t="shared" si="0"/>
        <v>-5</v>
      </c>
      <c r="G1" s="333">
        <f>F1-1</f>
        <v>-6</v>
      </c>
      <c r="H1" s="333">
        <f t="shared" si="0"/>
        <v>-7</v>
      </c>
      <c r="I1" s="333">
        <f t="shared" si="0"/>
        <v>-8</v>
      </c>
      <c r="J1" s="333">
        <f t="shared" si="0"/>
        <v>-9</v>
      </c>
      <c r="K1" s="333">
        <f t="shared" si="0"/>
        <v>-10</v>
      </c>
      <c r="L1" s="333">
        <f t="shared" si="0"/>
        <v>-11</v>
      </c>
      <c r="M1" s="333">
        <f t="shared" si="0"/>
        <v>-12</v>
      </c>
      <c r="N1" s="333">
        <f t="shared" si="0"/>
        <v>-13</v>
      </c>
      <c r="O1" s="333">
        <f t="shared" si="0"/>
        <v>-14</v>
      </c>
      <c r="P1" s="333">
        <f t="shared" si="0"/>
        <v>-15</v>
      </c>
      <c r="Q1" s="333">
        <f t="shared" si="0"/>
        <v>-16</v>
      </c>
      <c r="R1" s="333">
        <f t="shared" si="0"/>
        <v>-17</v>
      </c>
      <c r="S1" s="333">
        <f t="shared" si="0"/>
        <v>-18</v>
      </c>
      <c r="T1" s="333">
        <f t="shared" si="0"/>
        <v>-19</v>
      </c>
      <c r="U1" s="333">
        <f t="shared" si="0"/>
        <v>-20</v>
      </c>
      <c r="AB1" s="372" t="s">
        <v>1127</v>
      </c>
      <c r="AC1" s="373"/>
      <c r="AD1" s="373"/>
      <c r="AE1" s="373"/>
      <c r="AF1" s="373"/>
      <c r="AG1" s="373"/>
      <c r="AH1" s="373"/>
      <c r="AI1" s="373"/>
      <c r="AJ1" s="373"/>
      <c r="AK1" s="373"/>
      <c r="AL1" s="373"/>
      <c r="AM1" s="373"/>
      <c r="AN1" s="373"/>
      <c r="AP1" s="372" t="s">
        <v>1127</v>
      </c>
      <c r="AQ1" s="373"/>
      <c r="AR1" s="373"/>
      <c r="AS1" s="373"/>
      <c r="AT1" s="373"/>
      <c r="AU1" s="373"/>
      <c r="AV1" s="373"/>
      <c r="AW1" s="373"/>
      <c r="AX1" s="373"/>
      <c r="AY1" s="373"/>
      <c r="AZ1" s="373"/>
      <c r="BA1" s="373"/>
      <c r="BB1" s="373"/>
    </row>
    <row r="2" spans="1:54" s="246" customFormat="1" ht="62.25" customHeight="1">
      <c r="A2" s="258" t="s">
        <v>1089</v>
      </c>
      <c r="B2" s="230" t="s">
        <v>1090</v>
      </c>
      <c r="C2" s="343" t="s">
        <v>1092</v>
      </c>
      <c r="D2" s="344" t="s">
        <v>1128</v>
      </c>
      <c r="E2" s="343" t="s">
        <v>1093</v>
      </c>
      <c r="F2" s="343" t="s">
        <v>1129</v>
      </c>
      <c r="G2" s="343" t="s">
        <v>1095</v>
      </c>
      <c r="H2" s="343" t="s">
        <v>1096</v>
      </c>
      <c r="I2" s="345" t="s">
        <v>1130</v>
      </c>
      <c r="J2" s="344" t="s">
        <v>1098</v>
      </c>
      <c r="K2" s="344" t="s">
        <v>1099</v>
      </c>
      <c r="L2" s="343" t="s">
        <v>1063</v>
      </c>
      <c r="M2" s="344" t="s">
        <v>1131</v>
      </c>
      <c r="N2" s="346" t="s">
        <v>1101</v>
      </c>
      <c r="O2" s="347" t="s">
        <v>1102</v>
      </c>
      <c r="P2" s="347" t="s">
        <v>1132</v>
      </c>
      <c r="Q2" s="374" t="s">
        <v>1133</v>
      </c>
      <c r="R2" s="348" t="s">
        <v>1105</v>
      </c>
      <c r="S2" s="348" t="s">
        <v>1106</v>
      </c>
      <c r="T2" s="348" t="s">
        <v>1107</v>
      </c>
      <c r="U2" s="349" t="s">
        <v>1108</v>
      </c>
      <c r="V2" s="229"/>
      <c r="W2" s="349"/>
      <c r="X2" s="349"/>
      <c r="Y2" s="349"/>
      <c r="Z2" s="349"/>
      <c r="AA2" s="350"/>
      <c r="AB2" s="373" t="s">
        <v>1134</v>
      </c>
      <c r="AC2" s="373"/>
      <c r="AD2" s="373"/>
      <c r="AE2" s="373"/>
      <c r="AF2" s="373"/>
      <c r="AG2" s="373"/>
      <c r="AH2" s="373"/>
      <c r="AI2" s="373"/>
      <c r="AJ2" s="373"/>
      <c r="AK2" s="373"/>
      <c r="AL2" s="373"/>
      <c r="AM2" s="373"/>
      <c r="AN2" s="373"/>
      <c r="AO2" s="244"/>
      <c r="AP2" s="375" t="s">
        <v>1135</v>
      </c>
      <c r="AQ2" s="373"/>
      <c r="AR2" s="373"/>
      <c r="AS2" s="373"/>
      <c r="AT2" s="373"/>
      <c r="AU2" s="373"/>
      <c r="AV2" s="373"/>
      <c r="AW2" s="373"/>
      <c r="AX2" s="373"/>
      <c r="AY2" s="373"/>
      <c r="AZ2" s="373"/>
      <c r="BA2" s="373"/>
      <c r="BB2" s="373"/>
    </row>
    <row r="3" spans="1:54" s="352" customFormat="1" ht="22.5" customHeight="1">
      <c r="A3" s="351"/>
      <c r="C3" s="1052"/>
      <c r="D3" s="1052"/>
      <c r="E3" s="1053"/>
      <c r="F3" s="1053"/>
      <c r="G3" s="355"/>
      <c r="H3" s="355" t="str">
        <f>TEXT($C$1*-1,"(0)")&amp;" x "&amp;TEXT($E$1*-1,"(0)")</f>
        <v>(2) x (4)</v>
      </c>
      <c r="I3" s="355" t="str">
        <f>TEXT($D$1*-1,"(0)")&amp;" x "&amp;TEXT($F$1*-1,"(0)")</f>
        <v>(3) x (5)</v>
      </c>
      <c r="J3" s="355" t="str">
        <f>TEXT($H$1*-1,"(0)")&amp;" + "&amp;TEXT($I$1*-1,"(0)")</f>
        <v>(7) + (8)</v>
      </c>
      <c r="K3" s="356"/>
      <c r="L3" s="355" t="str">
        <f>TEXT($K$1*-1,"(0)")&amp;" - "&amp;TEXT($J$1*-1,"(0)")</f>
        <v>(10) - (9)</v>
      </c>
      <c r="M3" s="355" t="str">
        <f>TEXT($L$1*-1,"(0)")&amp;" - "&amp;TEXT($G$1*-1,"(0)")</f>
        <v>(11) - (6)</v>
      </c>
      <c r="N3" s="355" t="s">
        <v>1109</v>
      </c>
      <c r="O3" s="355" t="str">
        <f>TEXT($N$1*-1,"(0)")&amp;" ÷ "&amp;TEXT($C$1*-1,"(0)")</f>
        <v>(13) ÷ (2)</v>
      </c>
      <c r="P3" s="355" t="str">
        <f>TEXT($N$1*-1,"(0)")&amp;" ÷ "&amp;TEXT($D$1*-1,"(0)")</f>
        <v>(13) ÷ (3)</v>
      </c>
      <c r="Q3" s="355" t="str">
        <f>TEXT($O$1*-1,"(0)")&amp;" x "&amp;TEXT($C$1*-1,"(0)")&amp;" or "&amp;TEXT($P$1*-1,"(0)")&amp;" x "&amp;TEXT($D$1*-1,"(0)")</f>
        <v>(14) x (2) or (15) x (3)</v>
      </c>
      <c r="R3" s="355" t="str">
        <f>TEXT($N$1*-1,"(0)")&amp;" - "&amp;TEXT($Q$1*-1,"(0)")</f>
        <v>(13) - (16)</v>
      </c>
      <c r="S3" s="355"/>
      <c r="T3" s="355"/>
      <c r="U3" s="355"/>
      <c r="AB3" s="54" t="s">
        <v>1136</v>
      </c>
      <c r="AC3" s="21">
        <v>41333</v>
      </c>
      <c r="AD3" s="21">
        <f>EOMONTH(AC3,-1)</f>
        <v>41305</v>
      </c>
      <c r="AE3" s="21">
        <f t="shared" ref="AE3:AN3" si="1">EOMONTH(AD3,-1)</f>
        <v>41274</v>
      </c>
      <c r="AF3" s="21">
        <f t="shared" si="1"/>
        <v>41243</v>
      </c>
      <c r="AG3" s="21">
        <f t="shared" si="1"/>
        <v>41213</v>
      </c>
      <c r="AH3" s="21">
        <f t="shared" si="1"/>
        <v>41182</v>
      </c>
      <c r="AI3" s="21">
        <f t="shared" si="1"/>
        <v>41152</v>
      </c>
      <c r="AJ3" s="21">
        <f t="shared" si="1"/>
        <v>41121</v>
      </c>
      <c r="AK3" s="21">
        <f t="shared" si="1"/>
        <v>41090</v>
      </c>
      <c r="AL3" s="21">
        <f t="shared" si="1"/>
        <v>41060</v>
      </c>
      <c r="AM3" s="21">
        <f t="shared" si="1"/>
        <v>41029</v>
      </c>
      <c r="AN3" s="21">
        <f t="shared" si="1"/>
        <v>40999</v>
      </c>
      <c r="AO3" s="244"/>
      <c r="AP3" s="54" t="s">
        <v>1136</v>
      </c>
      <c r="AQ3" s="21">
        <f>AC3</f>
        <v>41333</v>
      </c>
      <c r="AR3" s="21">
        <f t="shared" ref="AR3:BB3" si="2">EOMONTH(AQ3,-1)</f>
        <v>41305</v>
      </c>
      <c r="AS3" s="21">
        <f t="shared" si="2"/>
        <v>41274</v>
      </c>
      <c r="AT3" s="21">
        <f t="shared" si="2"/>
        <v>41243</v>
      </c>
      <c r="AU3" s="21">
        <f t="shared" si="2"/>
        <v>41213</v>
      </c>
      <c r="AV3" s="21">
        <f t="shared" si="2"/>
        <v>41182</v>
      </c>
      <c r="AW3" s="21">
        <f t="shared" si="2"/>
        <v>41152</v>
      </c>
      <c r="AX3" s="21">
        <f t="shared" si="2"/>
        <v>41121</v>
      </c>
      <c r="AY3" s="21">
        <f t="shared" si="2"/>
        <v>41090</v>
      </c>
      <c r="AZ3" s="21">
        <f t="shared" si="2"/>
        <v>41060</v>
      </c>
      <c r="BA3" s="21">
        <f t="shared" si="2"/>
        <v>41029</v>
      </c>
      <c r="BB3" s="21">
        <f t="shared" si="2"/>
        <v>40999</v>
      </c>
    </row>
    <row r="4" spans="1:54">
      <c r="A4" s="362" t="s">
        <v>224</v>
      </c>
      <c r="B4" s="244" t="s">
        <v>112</v>
      </c>
      <c r="C4" s="228">
        <f>SUMIF(_12MonResults_Rate,$A4,_12MonResults_KWH_Total)</f>
        <v>767571547</v>
      </c>
      <c r="D4" s="244">
        <v>0</v>
      </c>
      <c r="E4" s="358">
        <f>VLOOKUP(A4,Rates!$B$140:$W$173,Rates!$J$3-1,FALSE)</f>
        <v>4.4999999999999999E-4</v>
      </c>
      <c r="G4" s="244">
        <f>SUMIF(_12MonResults_Rate,$A4,_12MonResults_Revenue_BaseFuel)</f>
        <v>22198169.130000003</v>
      </c>
      <c r="H4" s="359">
        <f>C4*E4</f>
        <v>345407.19614999997</v>
      </c>
      <c r="J4" s="359">
        <f>SUM(H4:I4)</f>
        <v>345407.19614999997</v>
      </c>
      <c r="K4" s="359">
        <f>SUMIF(_12MonResults_Rate,$A4,_12MonResults_Revenue_Actual)</f>
        <v>86190749.689999998</v>
      </c>
      <c r="L4" s="359">
        <f>K4-J4</f>
        <v>85845342.493849993</v>
      </c>
      <c r="M4" s="359">
        <f>K4-J4-G4</f>
        <v>63647173.36384999</v>
      </c>
      <c r="N4" s="359">
        <f>ROUND($K$54/$M$38*M4,2)</f>
        <v>4071221.84</v>
      </c>
      <c r="O4" s="358">
        <f>ROUND(SUM($N$4:$N$5)/SUM($C$4:$C$5),5)</f>
        <v>4.81E-3</v>
      </c>
      <c r="Q4" s="359">
        <f>O4*C4</f>
        <v>3692019.1410699999</v>
      </c>
      <c r="R4" s="359">
        <f>N4-Q4</f>
        <v>379202.69892999995</v>
      </c>
      <c r="S4" s="358">
        <f>T4-E4+O4</f>
        <v>9.2350000000000002E-2</v>
      </c>
      <c r="T4" s="358">
        <f>VLOOKUP(A4,Rates!$B$140:$W$173,Rates!$G$3-1,FALSE)</f>
        <v>8.7990000000000013E-2</v>
      </c>
      <c r="U4" s="360">
        <f>(S4-T4)/T4</f>
        <v>4.9551085350607892E-2</v>
      </c>
      <c r="X4" s="361"/>
      <c r="AB4" s="54" t="s">
        <v>1137</v>
      </c>
      <c r="AC4" s="54">
        <f>MONTH(AC3)</f>
        <v>2</v>
      </c>
      <c r="AD4" s="54">
        <f t="shared" ref="AD4:AN4" si="3">MONTH(AD3)</f>
        <v>1</v>
      </c>
      <c r="AE4" s="54">
        <f t="shared" si="3"/>
        <v>12</v>
      </c>
      <c r="AF4" s="54">
        <f t="shared" si="3"/>
        <v>11</v>
      </c>
      <c r="AG4" s="54">
        <f t="shared" si="3"/>
        <v>10</v>
      </c>
      <c r="AH4" s="54">
        <f t="shared" si="3"/>
        <v>9</v>
      </c>
      <c r="AI4" s="54">
        <f t="shared" si="3"/>
        <v>8</v>
      </c>
      <c r="AJ4" s="54">
        <f t="shared" si="3"/>
        <v>7</v>
      </c>
      <c r="AK4" s="54">
        <f t="shared" si="3"/>
        <v>6</v>
      </c>
      <c r="AL4" s="54">
        <f t="shared" si="3"/>
        <v>5</v>
      </c>
      <c r="AM4" s="54">
        <f t="shared" si="3"/>
        <v>4</v>
      </c>
      <c r="AN4" s="54">
        <f t="shared" si="3"/>
        <v>3</v>
      </c>
      <c r="AP4" s="54" t="s">
        <v>1137</v>
      </c>
      <c r="AQ4" s="54">
        <f>MONTH(AQ3)</f>
        <v>2</v>
      </c>
      <c r="AR4" s="54">
        <f t="shared" ref="AR4:BB4" si="4">MONTH(AR3)</f>
        <v>1</v>
      </c>
      <c r="AS4" s="54">
        <f t="shared" si="4"/>
        <v>12</v>
      </c>
      <c r="AT4" s="54">
        <f t="shared" si="4"/>
        <v>11</v>
      </c>
      <c r="AU4" s="54">
        <f t="shared" si="4"/>
        <v>10</v>
      </c>
      <c r="AV4" s="54">
        <f t="shared" si="4"/>
        <v>9</v>
      </c>
      <c r="AW4" s="54">
        <f t="shared" si="4"/>
        <v>8</v>
      </c>
      <c r="AX4" s="54">
        <f t="shared" si="4"/>
        <v>7</v>
      </c>
      <c r="AY4" s="54">
        <f t="shared" si="4"/>
        <v>6</v>
      </c>
      <c r="AZ4" s="54">
        <f t="shared" si="4"/>
        <v>5</v>
      </c>
      <c r="BA4" s="54">
        <f t="shared" si="4"/>
        <v>4</v>
      </c>
      <c r="BB4" s="54">
        <f t="shared" si="4"/>
        <v>3</v>
      </c>
    </row>
    <row r="5" spans="1:54">
      <c r="A5" s="362" t="s">
        <v>18</v>
      </c>
      <c r="B5" s="244" t="s">
        <v>64</v>
      </c>
      <c r="C5" s="228">
        <f>SUMIF(_12MonResults_Rate,$A5,_12MonResults_KWH_Total)</f>
        <v>1091324875</v>
      </c>
      <c r="D5" s="244">
        <v>0</v>
      </c>
      <c r="E5" s="358">
        <f>VLOOKUP(A5,Rates!$B$140:$W$173,Rates!$J$3-1,FALSE)</f>
        <v>4.4999999999999999E-4</v>
      </c>
      <c r="G5" s="244">
        <f>SUMIF(_12MonResults_Rate,$A5,_12MonResults_Revenue_BaseFuel)</f>
        <v>31561115.380000003</v>
      </c>
      <c r="H5" s="359">
        <f>C5*E5</f>
        <v>491096.19374999998</v>
      </c>
      <c r="J5" s="359">
        <f>SUM(H5:I5)</f>
        <v>491096.19374999998</v>
      </c>
      <c r="K5" s="359">
        <f>SUMIF(_12MonResults_Rate,$A5,_12MonResults_Revenue_Actual)</f>
        <v>108307320.31999999</v>
      </c>
      <c r="L5" s="359">
        <f>K5-J5</f>
        <v>107816224.12625</v>
      </c>
      <c r="M5" s="359">
        <f>K5-J5-G5</f>
        <v>76255108.746250004</v>
      </c>
      <c r="N5" s="359">
        <f>ROUND($K$54/$M$38*M5,2)</f>
        <v>4877694.45</v>
      </c>
      <c r="O5" s="358">
        <f>ROUND(SUM($N$4:$N$5)/SUM($C$4:$C$5),5)</f>
        <v>4.81E-3</v>
      </c>
      <c r="Q5" s="359">
        <f>O5*C5</f>
        <v>5249272.6487499997</v>
      </c>
      <c r="R5" s="359">
        <f>N5-Q5</f>
        <v>-371578.19874999952</v>
      </c>
      <c r="S5" s="358">
        <f>T5-E5+O5</f>
        <v>9.2350000000000002E-2</v>
      </c>
      <c r="T5" s="358">
        <f>VLOOKUP(A5,Rates!$B$140:$W$173,Rates!$G$3-1,FALSE)</f>
        <v>8.7990000000000013E-2</v>
      </c>
      <c r="U5" s="360">
        <f>(S5-T5)/T5</f>
        <v>4.9551085350607892E-2</v>
      </c>
      <c r="X5" s="361"/>
      <c r="AB5" s="376" t="s">
        <v>1138</v>
      </c>
      <c r="AC5" s="54">
        <v>5</v>
      </c>
      <c r="AD5" s="54">
        <v>6</v>
      </c>
      <c r="AE5" s="54">
        <v>7</v>
      </c>
      <c r="AF5" s="54">
        <v>8</v>
      </c>
      <c r="AG5" s="54">
        <v>9</v>
      </c>
      <c r="AH5" s="54"/>
      <c r="AI5" s="54"/>
      <c r="AJ5" s="54"/>
      <c r="AK5" s="54"/>
      <c r="AL5" s="54"/>
      <c r="AM5" s="54"/>
      <c r="AN5" s="54"/>
      <c r="AP5" s="376" t="s">
        <v>1138</v>
      </c>
      <c r="AQ5" s="54">
        <v>5</v>
      </c>
      <c r="AR5" s="54">
        <v>6</v>
      </c>
      <c r="AS5" s="54">
        <v>7</v>
      </c>
      <c r="AT5" s="54">
        <v>8</v>
      </c>
      <c r="AU5" s="54">
        <v>9</v>
      </c>
      <c r="AV5" s="54"/>
      <c r="AW5" s="54"/>
      <c r="AX5" s="54"/>
      <c r="AY5" s="54"/>
      <c r="AZ5" s="54"/>
      <c r="BA5" s="54"/>
      <c r="BB5" s="54"/>
    </row>
    <row r="6" spans="1:54">
      <c r="A6" s="362"/>
      <c r="B6" s="245"/>
      <c r="E6" s="358"/>
      <c r="H6" s="359"/>
      <c r="J6" s="359"/>
      <c r="K6" s="359"/>
      <c r="L6" s="359"/>
      <c r="M6" s="359"/>
      <c r="N6" s="359"/>
      <c r="O6" s="358"/>
      <c r="Q6" s="359"/>
      <c r="R6" s="359"/>
      <c r="S6" s="358"/>
      <c r="T6" s="358"/>
      <c r="U6" s="360"/>
      <c r="X6" s="361"/>
      <c r="AB6" s="54"/>
      <c r="AC6" s="21">
        <f>SUMIF($AC$4:$AN$4,AC5,$AC$3:$AN$3)</f>
        <v>41060</v>
      </c>
      <c r="AD6" s="21">
        <f>SUMIF($AC$4:$AN$4,AD5,$AC$3:$AN$3)</f>
        <v>41090</v>
      </c>
      <c r="AE6" s="21">
        <f>SUMIF($AC$4:$AN$4,AE5,$AC$3:$AN$3)</f>
        <v>41121</v>
      </c>
      <c r="AF6" s="21">
        <f>SUMIF($AC$4:$AN$4,AF5,$AC$3:$AN$3)</f>
        <v>41152</v>
      </c>
      <c r="AG6" s="21">
        <f>SUMIF($AC$4:$AN$4,AG5,$AC$3:$AN$3)</f>
        <v>41182</v>
      </c>
      <c r="AH6" s="54"/>
      <c r="AI6" s="54"/>
      <c r="AJ6" s="54"/>
      <c r="AK6" s="54"/>
      <c r="AL6" s="54"/>
      <c r="AM6" s="54"/>
      <c r="AN6" s="54"/>
      <c r="AP6" s="54"/>
      <c r="AQ6" s="21">
        <f>SUMIF($AQ$4:$BB$4,AQ5,$AQ$3:$BB$3)</f>
        <v>41060</v>
      </c>
      <c r="AR6" s="21">
        <f>SUMIF($AQ$4:$BB$4,AR5,$AQ$3:$BB$3)</f>
        <v>41090</v>
      </c>
      <c r="AS6" s="21">
        <f>SUMIF($AQ$4:$BB$4,AS5,$AQ$3:$BB$3)</f>
        <v>41121</v>
      </c>
      <c r="AT6" s="21">
        <f>SUMIF($AQ$4:$BB$4,AT5,$AQ$3:$BB$3)</f>
        <v>41152</v>
      </c>
      <c r="AU6" s="21">
        <f>SUMIF($AQ$4:$BB$4,AU5,$AQ$3:$BB$3)</f>
        <v>41182</v>
      </c>
      <c r="AV6" s="54"/>
      <c r="AW6" s="54"/>
      <c r="AX6" s="54"/>
      <c r="AY6" s="54"/>
      <c r="AZ6" s="54"/>
      <c r="BA6" s="54"/>
      <c r="BB6" s="54"/>
    </row>
    <row r="7" spans="1:54">
      <c r="A7" s="362"/>
      <c r="B7" s="245"/>
      <c r="E7" s="358"/>
      <c r="H7" s="359"/>
      <c r="J7" s="359"/>
      <c r="K7" s="359"/>
      <c r="L7" s="359"/>
      <c r="M7" s="359"/>
      <c r="N7" s="359"/>
      <c r="O7" s="358"/>
      <c r="Q7" s="359"/>
      <c r="R7" s="359"/>
      <c r="S7" s="358"/>
      <c r="T7" s="358"/>
      <c r="U7" s="360"/>
      <c r="X7" s="361"/>
      <c r="AB7" s="54" t="s">
        <v>1139</v>
      </c>
      <c r="AC7" s="54">
        <v>1</v>
      </c>
      <c r="AD7" s="54">
        <v>2</v>
      </c>
      <c r="AE7" s="54">
        <v>3</v>
      </c>
      <c r="AF7" s="54">
        <v>4</v>
      </c>
      <c r="AG7" s="54">
        <v>10</v>
      </c>
      <c r="AH7" s="54">
        <v>11</v>
      </c>
      <c r="AI7" s="54">
        <v>12</v>
      </c>
      <c r="AJ7" s="54"/>
      <c r="AK7" s="54"/>
      <c r="AL7" s="54"/>
      <c r="AM7" s="54"/>
      <c r="AN7" s="54"/>
      <c r="AP7" s="54" t="s">
        <v>1139</v>
      </c>
      <c r="AQ7" s="54">
        <v>1</v>
      </c>
      <c r="AR7" s="54">
        <v>2</v>
      </c>
      <c r="AS7" s="54">
        <v>3</v>
      </c>
      <c r="AT7" s="54">
        <v>4</v>
      </c>
      <c r="AU7" s="54">
        <v>10</v>
      </c>
      <c r="AV7" s="54">
        <v>11</v>
      </c>
      <c r="AW7" s="54">
        <v>12</v>
      </c>
      <c r="AX7" s="54"/>
      <c r="AY7" s="54"/>
      <c r="AZ7" s="54"/>
      <c r="BA7" s="54"/>
      <c r="BB7" s="54"/>
    </row>
    <row r="8" spans="1:54">
      <c r="A8" s="362"/>
      <c r="B8" s="245"/>
      <c r="E8" s="358"/>
      <c r="H8" s="359"/>
      <c r="J8" s="359"/>
      <c r="K8" s="359"/>
      <c r="L8" s="359"/>
      <c r="M8" s="359"/>
      <c r="N8" s="359"/>
      <c r="O8" s="358"/>
      <c r="Q8" s="359"/>
      <c r="R8" s="359"/>
      <c r="S8" s="358"/>
      <c r="T8" s="358"/>
      <c r="U8" s="360"/>
      <c r="X8" s="361"/>
      <c r="AB8" s="54"/>
      <c r="AC8" s="21">
        <f>SUMIF($AC$4:$AN$4,AC7,$AC$3:$AN$3)</f>
        <v>41305</v>
      </c>
      <c r="AD8" s="21">
        <f t="shared" ref="AD8:AI8" si="5">SUMIF($AC$4:$AN$4,AD7,$AC$3:$AN$3)</f>
        <v>41333</v>
      </c>
      <c r="AE8" s="21">
        <f t="shared" si="5"/>
        <v>40999</v>
      </c>
      <c r="AF8" s="21">
        <f t="shared" si="5"/>
        <v>41029</v>
      </c>
      <c r="AG8" s="21">
        <f t="shared" si="5"/>
        <v>41213</v>
      </c>
      <c r="AH8" s="21">
        <f t="shared" si="5"/>
        <v>41243</v>
      </c>
      <c r="AI8" s="21">
        <f t="shared" si="5"/>
        <v>41274</v>
      </c>
      <c r="AJ8" s="54"/>
      <c r="AK8" s="54"/>
      <c r="AL8" s="54"/>
      <c r="AM8" s="54"/>
      <c r="AN8" s="54"/>
      <c r="AP8" s="54"/>
      <c r="AQ8" s="21">
        <f>SUMIF($AQ$4:$BB$4,AQ7,$AQ$3:$BB$3)</f>
        <v>41305</v>
      </c>
      <c r="AR8" s="21">
        <f t="shared" ref="AR8:AW8" si="6">SUMIF($AQ$4:$BB$4,AR7,$AQ$3:$BB$3)</f>
        <v>41333</v>
      </c>
      <c r="AS8" s="21">
        <f t="shared" si="6"/>
        <v>40999</v>
      </c>
      <c r="AT8" s="21">
        <f t="shared" si="6"/>
        <v>41029</v>
      </c>
      <c r="AU8" s="21">
        <f t="shared" si="6"/>
        <v>41213</v>
      </c>
      <c r="AV8" s="21">
        <f t="shared" si="6"/>
        <v>41243</v>
      </c>
      <c r="AW8" s="21">
        <f t="shared" si="6"/>
        <v>41274</v>
      </c>
      <c r="AX8" s="54"/>
      <c r="AY8" s="54"/>
      <c r="AZ8" s="54"/>
      <c r="BA8" s="54"/>
      <c r="BB8" s="54"/>
    </row>
    <row r="9" spans="1:54">
      <c r="A9" s="362" t="s">
        <v>25</v>
      </c>
      <c r="B9" s="245" t="s">
        <v>1140</v>
      </c>
      <c r="C9" s="228">
        <f>SUM(AC9:AI9)</f>
        <v>0</v>
      </c>
      <c r="D9" s="244">
        <f>SUM(AQ9:AW9)</f>
        <v>0</v>
      </c>
      <c r="F9" s="359">
        <f>VLOOKUP(A9,Rates!$B$140:$W$173,Rates!$T$3-1,FALSE)</f>
        <v>0.11</v>
      </c>
      <c r="G9" s="244">
        <f>SUMIF(_12MonResults_Rate,$A9,_12MonResults_Revenue_BaseFuel)</f>
        <v>66298523.550000012</v>
      </c>
      <c r="I9" s="359">
        <f>D9*F9</f>
        <v>0</v>
      </c>
      <c r="J9" s="359">
        <f>SUM(H9:I9)</f>
        <v>0</v>
      </c>
      <c r="K9" s="359">
        <f>SUMIF(_12MonResults_Rate,$A9,_12MonResults_Revenue_Actual)</f>
        <v>187691234.47999996</v>
      </c>
      <c r="L9" s="359">
        <f>K9-J9-J10</f>
        <v>187691234.47999996</v>
      </c>
      <c r="M9" s="359">
        <f>K9-J9-J10-G9-G10</f>
        <v>121392710.92999995</v>
      </c>
      <c r="N9" s="359">
        <f>ROUND($K$54/$M$38*M9,2)</f>
        <v>7764942.7199999997</v>
      </c>
      <c r="P9" s="252" t="e">
        <f>ROUND(SUM($N$9:$N$12)/SUM($D$9:$D$12),2)</f>
        <v>#DIV/0!</v>
      </c>
      <c r="Q9" s="359" t="e">
        <f>P9*D9</f>
        <v>#DIV/0!</v>
      </c>
      <c r="R9" s="359" t="e">
        <f>N9-Q9-Q10</f>
        <v>#DIV/0!</v>
      </c>
      <c r="S9" s="365" t="e">
        <f>T9-F9+P9</f>
        <v>#DIV/0!</v>
      </c>
      <c r="T9" s="359">
        <v>12.78</v>
      </c>
      <c r="U9" s="360" t="e">
        <f>(S9-T9)/T9</f>
        <v>#DIV/0!</v>
      </c>
      <c r="X9" s="361"/>
      <c r="AC9">
        <f>SUMIFS(_12MonResults_KWH_Total,_12MonResults_RevMonth,TEXT(AC$6,"mmm yyyy"),_12MonResults_Rate,$A9)</f>
        <v>0</v>
      </c>
      <c r="AD9">
        <f>SUMIFS(_12MonResults_KWH_Total,_12MonResults_RevMonth,TEXT(AD$6,"mmm yyyy"),_12MonResults_Rate,$A9)</f>
        <v>0</v>
      </c>
      <c r="AE9">
        <f>SUMIFS(_12MonResults_KWH_Total,_12MonResults_RevMonth,TEXT(AE$6,"mmm yyyy"),_12MonResults_Rate,$A9)</f>
        <v>0</v>
      </c>
      <c r="AF9">
        <f>SUMIFS(_12MonResults_KWH_Total,_12MonResults_RevMonth,TEXT(AF$6,"mmm yyyy"),_12MonResults_Rate,$A9)</f>
        <v>0</v>
      </c>
      <c r="AG9">
        <f>SUMIFS(_12MonResults_KWH_Total,_12MonResults_RevMonth,TEXT(AG$6,"mmm yyyy"),_12MonResults_Rate,$A9)</f>
        <v>0</v>
      </c>
      <c r="AQ9">
        <f t="shared" ref="AQ9:AW9" si="7">SUMIFS(_12MonResults_Demand_Measured_kW_P,_12MonResults_RevMonth,TEXT(AQ$6,"mmm yyyy"),_12MonResults_Rate,$A9)</f>
        <v>0</v>
      </c>
      <c r="AR9">
        <f t="shared" si="7"/>
        <v>0</v>
      </c>
      <c r="AS9">
        <f t="shared" si="7"/>
        <v>0</v>
      </c>
      <c r="AT9">
        <f t="shared" si="7"/>
        <v>0</v>
      </c>
      <c r="AU9">
        <f t="shared" si="7"/>
        <v>0</v>
      </c>
      <c r="AV9">
        <f t="shared" si="7"/>
        <v>0</v>
      </c>
      <c r="AW9">
        <f t="shared" si="7"/>
        <v>0</v>
      </c>
    </row>
    <row r="10" spans="1:54">
      <c r="A10" s="362" t="s">
        <v>25</v>
      </c>
      <c r="B10" s="245" t="s">
        <v>1141</v>
      </c>
      <c r="C10" s="228">
        <f>SUM(AC10:AI10)</f>
        <v>0</v>
      </c>
      <c r="D10" s="244">
        <f>SUM(AQ10:AW10)</f>
        <v>0</v>
      </c>
      <c r="F10" s="359">
        <f>VLOOKUP(A10,Rates!$B$140:$W$173,Rates!$T$3-1,FALSE)</f>
        <v>0.11</v>
      </c>
      <c r="I10" s="359">
        <f>D10*F10</f>
        <v>0</v>
      </c>
      <c r="J10" s="359">
        <f>SUM(H10:I10)</f>
        <v>0</v>
      </c>
      <c r="K10" s="359"/>
      <c r="L10" s="359"/>
      <c r="M10" s="359"/>
      <c r="N10" s="359"/>
      <c r="P10" s="252" t="e">
        <f>ROUND(SUM($N$9:$N$12)/SUM($D$9:$D$12),2)</f>
        <v>#DIV/0!</v>
      </c>
      <c r="Q10" s="359" t="e">
        <f>P10*D10</f>
        <v>#DIV/0!</v>
      </c>
      <c r="R10" s="359"/>
      <c r="S10" s="365" t="e">
        <f>T10-F10+P10</f>
        <v>#DIV/0!</v>
      </c>
      <c r="T10" s="359">
        <v>10.53</v>
      </c>
      <c r="U10" s="360" t="e">
        <f>(S10-T10)/T10</f>
        <v>#DIV/0!</v>
      </c>
      <c r="X10" s="361"/>
      <c r="AC10">
        <f t="shared" ref="AC10:AI10" si="8">SUMIFS(_12MonResults_KWH_Total,_12MonResults_RevMonth,TEXT(AC$8,"mmm yyyy"),_12MonResults_Rate,$A10)</f>
        <v>0</v>
      </c>
      <c r="AD10">
        <f t="shared" si="8"/>
        <v>0</v>
      </c>
      <c r="AE10">
        <f t="shared" si="8"/>
        <v>0</v>
      </c>
      <c r="AF10">
        <f t="shared" si="8"/>
        <v>0</v>
      </c>
      <c r="AG10">
        <f t="shared" si="8"/>
        <v>0</v>
      </c>
      <c r="AH10">
        <f t="shared" si="8"/>
        <v>0</v>
      </c>
      <c r="AI10">
        <f t="shared" si="8"/>
        <v>0</v>
      </c>
      <c r="AQ10">
        <f t="shared" ref="AQ10:AW10" si="9">SUMIFS(_12MonResults_Demand_Measured_kW_I,_12MonResults_RevMonth,TEXT(AQ$8,"mmm yyyy"),_12MonResults_Rate,$A10)</f>
        <v>0</v>
      </c>
      <c r="AR10">
        <f t="shared" si="9"/>
        <v>0</v>
      </c>
      <c r="AS10">
        <f t="shared" si="9"/>
        <v>0</v>
      </c>
      <c r="AT10">
        <f t="shared" si="9"/>
        <v>0</v>
      </c>
      <c r="AU10">
        <f t="shared" si="9"/>
        <v>0</v>
      </c>
      <c r="AV10">
        <f t="shared" si="9"/>
        <v>0</v>
      </c>
      <c r="AW10">
        <f t="shared" si="9"/>
        <v>0</v>
      </c>
    </row>
    <row r="11" spans="1:54">
      <c r="A11" s="362" t="s">
        <v>26</v>
      </c>
      <c r="B11" s="245" t="s">
        <v>1142</v>
      </c>
      <c r="C11" s="228">
        <f>SUM(AC11:AI11)</f>
        <v>0</v>
      </c>
      <c r="D11" s="244">
        <f>SUM(AQ11:AW11)</f>
        <v>0</v>
      </c>
      <c r="F11" s="359">
        <f>VLOOKUP(A11,Rates!$B$140:$W$173,Rates!$T$3-1,FALSE)</f>
        <v>0.11</v>
      </c>
      <c r="G11" s="244">
        <f>SUMIF(_12MonResults_Rate,$A11,_12MonResults_Revenue_BaseFuel)</f>
        <v>7673067.6700000009</v>
      </c>
      <c r="I11" s="359">
        <f>D11*F11</f>
        <v>0</v>
      </c>
      <c r="J11" s="359">
        <f>SUM(H11:I11)</f>
        <v>0</v>
      </c>
      <c r="K11" s="359">
        <f>SUMIF(_12MonResults_Rate,$A11,_12MonResults_Revenue_Actual)</f>
        <v>20068314</v>
      </c>
      <c r="L11" s="359">
        <f>K11-J11-J12</f>
        <v>20068314</v>
      </c>
      <c r="M11" s="359">
        <f>K11-J11-J12-G11-G12</f>
        <v>12395246.329999998</v>
      </c>
      <c r="N11" s="359">
        <f>ROUND($K$54/$M$38*M11,2)</f>
        <v>792867.85</v>
      </c>
      <c r="P11" s="252" t="e">
        <f>ROUND(SUM($N$9:$N$12)/SUM($D$9:$D$12),2)</f>
        <v>#DIV/0!</v>
      </c>
      <c r="Q11" s="359" t="e">
        <f>P11*D11</f>
        <v>#DIV/0!</v>
      </c>
      <c r="R11" s="359" t="e">
        <f>N11-Q11-Q12</f>
        <v>#DIV/0!</v>
      </c>
      <c r="S11" s="365" t="e">
        <f>T11-F11+P11</f>
        <v>#DIV/0!</v>
      </c>
      <c r="T11" s="359">
        <v>12.6</v>
      </c>
      <c r="U11" s="360" t="e">
        <f>(S11-T11)/T11</f>
        <v>#DIV/0!</v>
      </c>
      <c r="X11" s="361"/>
      <c r="AC11">
        <f>SUMIFS(_12MonResults_KWH_Total,_12MonResults_RevMonth,TEXT(AC$6,"mmm yyyy"),_12MonResults_Rate,$A11)</f>
        <v>0</v>
      </c>
      <c r="AD11">
        <f>SUMIFS(_12MonResults_KWH_Total,_12MonResults_RevMonth,TEXT(AD$6,"mmm yyyy"),_12MonResults_Rate,$A11)</f>
        <v>0</v>
      </c>
      <c r="AE11">
        <f>SUMIFS(_12MonResults_KWH_Total,_12MonResults_RevMonth,TEXT(AE$6,"mmm yyyy"),_12MonResults_Rate,$A11)</f>
        <v>0</v>
      </c>
      <c r="AF11">
        <f>SUMIFS(_12MonResults_KWH_Total,_12MonResults_RevMonth,TEXT(AF$6,"mmm yyyy"),_12MonResults_Rate,$A11)</f>
        <v>0</v>
      </c>
      <c r="AG11">
        <f>SUMIFS(_12MonResults_KWH_Total,_12MonResults_RevMonth,TEXT(AG$6,"mmm yyyy"),_12MonResults_Rate,$A11)</f>
        <v>0</v>
      </c>
      <c r="AQ11">
        <f t="shared" ref="AQ11:AW11" si="10">SUMIFS(_12MonResults_Demand_Measured_kW_P,_12MonResults_RevMonth,TEXT(AQ$6,"mmm yyyy"),_12MonResults_Rate,$A11)</f>
        <v>0</v>
      </c>
      <c r="AR11">
        <f t="shared" si="10"/>
        <v>0</v>
      </c>
      <c r="AS11">
        <f t="shared" si="10"/>
        <v>0</v>
      </c>
      <c r="AT11">
        <f t="shared" si="10"/>
        <v>0</v>
      </c>
      <c r="AU11">
        <f t="shared" si="10"/>
        <v>0</v>
      </c>
      <c r="AV11">
        <f t="shared" si="10"/>
        <v>0</v>
      </c>
      <c r="AW11">
        <f t="shared" si="10"/>
        <v>0</v>
      </c>
    </row>
    <row r="12" spans="1:54">
      <c r="A12" s="362" t="s">
        <v>26</v>
      </c>
      <c r="B12" s="245" t="s">
        <v>1143</v>
      </c>
      <c r="C12" s="228">
        <f>SUM(AC12:AI12)</f>
        <v>0</v>
      </c>
      <c r="D12" s="244">
        <f>SUM(AQ12:AW12)</f>
        <v>0</v>
      </c>
      <c r="F12" s="359">
        <f>VLOOKUP(A12,Rates!$B$140:$W$173,Rates!$T$3-1,FALSE)</f>
        <v>0.11</v>
      </c>
      <c r="I12" s="359">
        <f>D12*F12</f>
        <v>0</v>
      </c>
      <c r="J12" s="359">
        <f>SUM(H12:I12)</f>
        <v>0</v>
      </c>
      <c r="K12" s="359"/>
      <c r="L12" s="359"/>
      <c r="M12" s="359"/>
      <c r="N12" s="359"/>
      <c r="P12" s="252" t="e">
        <f>ROUND(SUM($N$9:$N$12)/SUM($D$9:$D$12),2)</f>
        <v>#DIV/0!</v>
      </c>
      <c r="Q12" s="359" t="e">
        <f>P12*D12</f>
        <v>#DIV/0!</v>
      </c>
      <c r="R12" s="359"/>
      <c r="S12" s="365" t="e">
        <f>T12-F12+P12</f>
        <v>#DIV/0!</v>
      </c>
      <c r="T12" s="359">
        <v>10.33</v>
      </c>
      <c r="U12" s="360" t="e">
        <f>(S12-T12)/T12</f>
        <v>#DIV/0!</v>
      </c>
      <c r="X12" s="361"/>
      <c r="AC12">
        <f t="shared" ref="AC12:AI12" si="11">SUMIFS(_12MonResults_KWH_Total,_12MonResults_RevMonth,TEXT(AC$8,"mmm yyyy"),_12MonResults_Rate,$A12)</f>
        <v>0</v>
      </c>
      <c r="AD12">
        <f t="shared" si="11"/>
        <v>0</v>
      </c>
      <c r="AE12">
        <f t="shared" si="11"/>
        <v>0</v>
      </c>
      <c r="AF12">
        <f t="shared" si="11"/>
        <v>0</v>
      </c>
      <c r="AG12">
        <f t="shared" si="11"/>
        <v>0</v>
      </c>
      <c r="AH12">
        <f t="shared" si="11"/>
        <v>0</v>
      </c>
      <c r="AI12">
        <f t="shared" si="11"/>
        <v>0</v>
      </c>
      <c r="AQ12">
        <f t="shared" ref="AQ12:AW12" si="12">SUMIFS(_12MonResults_Demand_Measured_kW_I,_12MonResults_RevMonth,TEXT(AQ$8,"mmm yyyy"),_12MonResults_Rate,$A12)</f>
        <v>0</v>
      </c>
      <c r="AR12">
        <f t="shared" si="12"/>
        <v>0</v>
      </c>
      <c r="AS12">
        <f t="shared" si="12"/>
        <v>0</v>
      </c>
      <c r="AT12">
        <f t="shared" si="12"/>
        <v>0</v>
      </c>
      <c r="AU12">
        <f t="shared" si="12"/>
        <v>0</v>
      </c>
      <c r="AV12">
        <f t="shared" si="12"/>
        <v>0</v>
      </c>
      <c r="AW12">
        <f t="shared" si="12"/>
        <v>0</v>
      </c>
    </row>
    <row r="13" spans="1:54">
      <c r="A13" s="357"/>
      <c r="B13" s="245"/>
      <c r="F13" s="359"/>
      <c r="G13" s="359"/>
      <c r="I13" s="359"/>
      <c r="J13" s="359"/>
      <c r="K13" s="359"/>
      <c r="L13" s="359"/>
      <c r="M13" s="359"/>
      <c r="N13" s="359"/>
      <c r="P13" s="359"/>
      <c r="Q13" s="359"/>
      <c r="R13" s="359"/>
      <c r="S13" s="365"/>
      <c r="T13" s="359"/>
      <c r="U13" s="360"/>
      <c r="X13" s="361"/>
    </row>
    <row r="14" spans="1:54">
      <c r="A14" s="362" t="s">
        <v>220</v>
      </c>
      <c r="B14" s="245" t="s">
        <v>1144</v>
      </c>
      <c r="C14" s="228">
        <f>SUMIF(_12MonResults_Rate,$A14,_12MonResults_KWH_Total)</f>
        <v>1369283940</v>
      </c>
      <c r="D14" s="244">
        <f>SUMIF(_12MonResults_Rate,$A14,_12MonResults_Demand_Measured_kW_P)</f>
        <v>2999066.9100000006</v>
      </c>
      <c r="F14" s="359">
        <f>VLOOKUP(A14,Rates!$B$140:$W$173,Rates!$T$3-1,FALSE)</f>
        <v>0.03</v>
      </c>
      <c r="G14" s="244">
        <f>SUMIF(_12MonResults_Rate,$A14,_12MonResults_Revenue_BaseFuel)</f>
        <v>39599691.550000004</v>
      </c>
      <c r="I14" s="359">
        <f>D14*F14</f>
        <v>89972.007300000012</v>
      </c>
      <c r="J14" s="359">
        <f>SUM(H14:I14)</f>
        <v>89972.007300000012</v>
      </c>
      <c r="K14" s="359">
        <f>SUMIF(_12MonResults_Rate,$A14,_12MonResults_Revenue_Actual)</f>
        <v>88409517.989999995</v>
      </c>
      <c r="L14" s="359">
        <f>K14-J14-J15-J16</f>
        <v>88130653.631699994</v>
      </c>
      <c r="M14" s="359">
        <f>K14-SUM(J14:J16)-SUM(G14:G16)</f>
        <v>48530962.08169999</v>
      </c>
      <c r="N14" s="359">
        <f>ROUND($K$54/$M$38*M14,2)</f>
        <v>3104306.16</v>
      </c>
      <c r="P14" s="252">
        <f>ROUND(SUM($N$14:$N$16)/SUM($D$14:$D$16),2)</f>
        <v>0.33</v>
      </c>
      <c r="Q14" s="359">
        <f>P14*D14</f>
        <v>989692.08030000026</v>
      </c>
      <c r="R14" s="359">
        <f>N14-Q14-Q15-Q16</f>
        <v>36798.218699999154</v>
      </c>
      <c r="S14" s="365">
        <f>T14-F14+P14</f>
        <v>4.67</v>
      </c>
      <c r="T14" s="359">
        <v>4.37</v>
      </c>
      <c r="U14" s="360">
        <f>(S14-T14)/T14</f>
        <v>6.8649885583523987E-2</v>
      </c>
      <c r="X14" s="361"/>
    </row>
    <row r="15" spans="1:54">
      <c r="A15" s="362" t="s">
        <v>220</v>
      </c>
      <c r="B15" s="245" t="s">
        <v>1145</v>
      </c>
      <c r="D15" s="244">
        <f>SUMIF(_12MonResults_Rate,$A15,_12MonResults_Demand_Measured_kW_I)</f>
        <v>3065387.17</v>
      </c>
      <c r="F15" s="359">
        <f>VLOOKUP(A15,Rates!$B$140:$W$173,Rates!$T$3-1,FALSE)</f>
        <v>0.03</v>
      </c>
      <c r="I15" s="359">
        <f>D15*F15</f>
        <v>91961.615099999995</v>
      </c>
      <c r="J15" s="359">
        <f>SUM(H15:I15)</f>
        <v>91961.615099999995</v>
      </c>
      <c r="K15" s="359"/>
      <c r="L15" s="359"/>
      <c r="M15" s="359"/>
      <c r="N15" s="359"/>
      <c r="P15" s="252">
        <f>ROUND(SUM($N$14:$N$16)/SUM($D$14:$D$16),2)</f>
        <v>0.33</v>
      </c>
      <c r="Q15" s="359">
        <f>P15*D15</f>
        <v>1011577.7661</v>
      </c>
      <c r="R15" s="359"/>
      <c r="S15" s="365">
        <f>T15-F15+P15</f>
        <v>3.2100000000000004</v>
      </c>
      <c r="T15" s="359">
        <v>2.91</v>
      </c>
      <c r="U15" s="360">
        <f>(S15-T15)/T15</f>
        <v>0.10309278350515473</v>
      </c>
      <c r="X15" s="361"/>
    </row>
    <row r="16" spans="1:54">
      <c r="A16" s="362" t="s">
        <v>220</v>
      </c>
      <c r="B16" s="245" t="s">
        <v>1146</v>
      </c>
      <c r="D16" s="244">
        <f>SUMIF(_12MonResults_Rate,$A16,_12MonResults_Demand_Measured_kW_B)</f>
        <v>3231024.5300000007</v>
      </c>
      <c r="F16" s="359">
        <f>VLOOKUP(A16,Rates!$B$140:$W$173,Rates!$T$3-1,FALSE)</f>
        <v>0.03</v>
      </c>
      <c r="I16" s="359">
        <f>D16*F16</f>
        <v>96930.735900000014</v>
      </c>
      <c r="J16" s="359">
        <f>SUM(H16:I16)</f>
        <v>96930.735900000014</v>
      </c>
      <c r="K16" s="359"/>
      <c r="L16" s="359"/>
      <c r="M16" s="359"/>
      <c r="N16" s="359"/>
      <c r="P16" s="252">
        <f>ROUND(SUM($N$14:$N$16)/SUM($D$14:$D$16),2)</f>
        <v>0.33</v>
      </c>
      <c r="Q16" s="359">
        <f>P16*D16</f>
        <v>1066238.0949000004</v>
      </c>
      <c r="R16" s="359"/>
      <c r="S16" s="365">
        <f>T16-F16+P16</f>
        <v>3.83</v>
      </c>
      <c r="T16" s="359">
        <v>3.53</v>
      </c>
      <c r="U16" s="360">
        <f>(S16-T16)/T16</f>
        <v>8.4985835694051076E-2</v>
      </c>
      <c r="X16" s="361"/>
    </row>
    <row r="17" spans="1:24">
      <c r="A17" s="357"/>
      <c r="F17" s="359"/>
      <c r="G17" s="359"/>
      <c r="I17" s="359"/>
      <c r="J17" s="359"/>
      <c r="K17" s="359"/>
      <c r="L17" s="359"/>
      <c r="M17" s="359"/>
      <c r="N17" s="359"/>
      <c r="P17" s="359"/>
      <c r="Q17" s="359"/>
      <c r="R17" s="359"/>
      <c r="S17" s="365"/>
      <c r="T17" s="359"/>
      <c r="U17" s="360"/>
      <c r="X17" s="361"/>
    </row>
    <row r="18" spans="1:24">
      <c r="A18" s="362" t="s">
        <v>221</v>
      </c>
      <c r="B18" s="245" t="s">
        <v>1147</v>
      </c>
      <c r="C18" s="228">
        <f>SUMIF(_12MonResults_Rate,$A18,_12MonResults_KWH_Total)</f>
        <v>4199750975</v>
      </c>
      <c r="D18" s="244">
        <f>SUMIF(_12MonResults_Rate,$A18,_12MonResults_Demand_Measured_kW_P)</f>
        <v>8793019.540000001</v>
      </c>
      <c r="F18" s="359">
        <f>VLOOKUP(A18,Rates!$B$140:$W$173,Rates!$T$3-1,FALSE)</f>
        <v>0.03</v>
      </c>
      <c r="G18" s="244">
        <f>SUMIF(_12MonResults_Rate,$A18,_12MonResults_Revenue_BaseFuel)</f>
        <v>121456798.22</v>
      </c>
      <c r="I18" s="359">
        <f>D18*F18</f>
        <v>263790.58620000002</v>
      </c>
      <c r="J18" s="359">
        <f>SUM(H18:I18)</f>
        <v>263790.58620000002</v>
      </c>
      <c r="K18" s="359">
        <f>SUMIF(_12MonResults_Rate,$A18,_12MonResults_Revenue_Actual)</f>
        <v>237333208.67000002</v>
      </c>
      <c r="L18" s="359">
        <f>K18-J18-J19-J20</f>
        <v>236525057.41670004</v>
      </c>
      <c r="M18" s="359">
        <f>K18-SUM(J18:J20)-SUM(G18:G20)</f>
        <v>115068259.19670001</v>
      </c>
      <c r="N18" s="359">
        <f>ROUND($K$54/$M$38*M18,2)</f>
        <v>7360396.1500000004</v>
      </c>
      <c r="P18" s="252">
        <f>ROUND(SUM($N$18:$N$20)/SUM($D$18:$D$20),2)</f>
        <v>0.27</v>
      </c>
      <c r="Q18" s="359">
        <f>P18*D18</f>
        <v>2374115.2758000004</v>
      </c>
      <c r="R18" s="359">
        <f>N18-Q18-Q19-Q20</f>
        <v>87034.870299999602</v>
      </c>
      <c r="S18" s="365">
        <f>T18-F18+P18</f>
        <v>4.33</v>
      </c>
      <c r="T18" s="359">
        <v>4.09</v>
      </c>
      <c r="U18" s="360">
        <f>(S18-T18)/T18</f>
        <v>5.8679706601467048E-2</v>
      </c>
      <c r="X18" s="361"/>
    </row>
    <row r="19" spans="1:24">
      <c r="A19" s="362" t="s">
        <v>221</v>
      </c>
      <c r="B19" s="245" t="s">
        <v>1148</v>
      </c>
      <c r="D19" s="244">
        <f>SUMIF(_12MonResults_Rate,$A19,_12MonResults_Demand_Measured_kW_I)</f>
        <v>8951442.459999999</v>
      </c>
      <c r="F19" s="359">
        <f>VLOOKUP(A19,Rates!$B$140:$W$173,Rates!$T$3-1,FALSE)</f>
        <v>0.03</v>
      </c>
      <c r="I19" s="359">
        <f>D19*F19</f>
        <v>268543.27379999997</v>
      </c>
      <c r="J19" s="359">
        <f>SUM(H19:I19)</f>
        <v>268543.27379999997</v>
      </c>
      <c r="K19" s="359"/>
      <c r="L19" s="359"/>
      <c r="M19" s="359"/>
      <c r="N19" s="359"/>
      <c r="P19" s="252">
        <f>ROUND(SUM($N$18:$N$20)/SUM($D$18:$D$20),2)</f>
        <v>0.27</v>
      </c>
      <c r="Q19" s="359">
        <f>P19*D19</f>
        <v>2416889.4641999998</v>
      </c>
      <c r="R19" s="359"/>
      <c r="S19" s="365">
        <f>T19-F19+P19</f>
        <v>2.97</v>
      </c>
      <c r="T19" s="359">
        <v>2.73</v>
      </c>
      <c r="U19" s="360">
        <f>(S19-T19)/T19</f>
        <v>8.7912087912087988E-2</v>
      </c>
      <c r="X19" s="361"/>
    </row>
    <row r="20" spans="1:24">
      <c r="A20" s="362" t="s">
        <v>221</v>
      </c>
      <c r="B20" s="245" t="s">
        <v>1149</v>
      </c>
      <c r="D20" s="244">
        <f>SUMIF(_12MonResults_Rate,$A20,_12MonResults_Demand_Measured_kW_B)</f>
        <v>9193913.1099999994</v>
      </c>
      <c r="F20" s="359">
        <f>VLOOKUP(A20,Rates!$B$140:$W$173,Rates!$T$3-1,FALSE)</f>
        <v>0.03</v>
      </c>
      <c r="I20" s="359">
        <f>D20*F20</f>
        <v>275817.3933</v>
      </c>
      <c r="J20" s="359">
        <f>SUM(H20:I20)</f>
        <v>275817.3933</v>
      </c>
      <c r="K20" s="359"/>
      <c r="L20" s="359"/>
      <c r="M20" s="359"/>
      <c r="N20" s="359"/>
      <c r="P20" s="252">
        <f>ROUND(SUM($N$18:$N$20)/SUM($D$18:$D$20),2)</f>
        <v>0.27</v>
      </c>
      <c r="Q20" s="359">
        <f>P20*D20</f>
        <v>2482356.5397000001</v>
      </c>
      <c r="R20" s="359"/>
      <c r="S20" s="365">
        <f>T20-F20+P20</f>
        <v>1.94</v>
      </c>
      <c r="T20" s="359">
        <v>1.7</v>
      </c>
      <c r="U20" s="360">
        <f>(S20-T20)/T20</f>
        <v>0.14117647058823529</v>
      </c>
      <c r="X20" s="361"/>
    </row>
    <row r="21" spans="1:24">
      <c r="A21" s="357"/>
      <c r="B21" s="245"/>
      <c r="F21" s="359"/>
      <c r="G21" s="359"/>
      <c r="I21" s="359"/>
      <c r="J21" s="359"/>
      <c r="K21" s="359"/>
      <c r="L21" s="359"/>
      <c r="M21" s="359"/>
      <c r="N21" s="359"/>
      <c r="P21" s="359"/>
      <c r="Q21" s="359"/>
      <c r="R21" s="359"/>
      <c r="S21" s="365"/>
      <c r="T21" s="359"/>
      <c r="U21" s="360"/>
      <c r="X21" s="361"/>
    </row>
    <row r="22" spans="1:24">
      <c r="A22" s="357"/>
      <c r="B22" s="245"/>
      <c r="F22" s="359"/>
      <c r="G22" s="359"/>
      <c r="I22" s="359"/>
      <c r="J22" s="359"/>
      <c r="K22" s="359"/>
      <c r="L22" s="359"/>
      <c r="M22" s="359"/>
      <c r="N22" s="359"/>
      <c r="P22" s="359"/>
      <c r="Q22" s="359"/>
      <c r="R22" s="359"/>
      <c r="S22" s="365"/>
      <c r="T22" s="359"/>
      <c r="U22" s="360"/>
      <c r="X22" s="361"/>
    </row>
    <row r="23" spans="1:24">
      <c r="A23" s="357" t="s">
        <v>19</v>
      </c>
      <c r="B23" s="245" t="s">
        <v>1150</v>
      </c>
      <c r="C23" s="228">
        <f>SUMIF(_12MonResults_Rate,$A23,_12MonResults_KWH_Total)</f>
        <v>1603173602</v>
      </c>
      <c r="D23" s="244">
        <f>SUMIF(_12MonResults_Rate,$A23,_12MonResults_Demand_Measured_kW_P)</f>
        <v>3420627.01</v>
      </c>
      <c r="F23" s="359">
        <f>VLOOKUP(A23,Rates!$B$140:$W$173,Rates!$T$3-1,FALSE)</f>
        <v>0.02</v>
      </c>
      <c r="G23" s="244">
        <f>SUMIF(_12MonResults_Rate,$A23,_12MonResults_Revenue_BaseFuel)</f>
        <v>46363780.580000006</v>
      </c>
      <c r="I23" s="359">
        <f>D23*F23</f>
        <v>68412.540200000003</v>
      </c>
      <c r="J23" s="359">
        <f>SUM(H23:I23)</f>
        <v>68412.540200000003</v>
      </c>
      <c r="K23" s="359">
        <f>SUMIF(_12MonResults_Rate,$A23,_12MonResults_Revenue_Actual)</f>
        <v>87086910.450000003</v>
      </c>
      <c r="L23" s="359">
        <f>K23-J23-J24-J25</f>
        <v>86876490.38440001</v>
      </c>
      <c r="M23" s="359">
        <f>K23-SUM(J23:J25)-SUM(G23:G25)</f>
        <v>40512709.804400004</v>
      </c>
      <c r="N23" s="359">
        <f>ROUND($K$54/$M$38*M23,2)</f>
        <v>2591414.83</v>
      </c>
      <c r="P23" s="252">
        <f>ROUND(SUM($N$23:$N$25)/SUM($D$23:$D$25),2)</f>
        <v>0.25</v>
      </c>
      <c r="Q23" s="359">
        <f>P23*D23</f>
        <v>855156.75249999994</v>
      </c>
      <c r="R23" s="359">
        <f>N23-Q23-Q24-Q25</f>
        <v>-38835.989999999874</v>
      </c>
      <c r="S23" s="365">
        <f>T23-F23+P23</f>
        <v>3.96</v>
      </c>
      <c r="T23" s="359">
        <v>3.73</v>
      </c>
      <c r="U23" s="360">
        <f>(S23-T23)/T23</f>
        <v>6.1662198391420904E-2</v>
      </c>
      <c r="X23" s="361"/>
    </row>
    <row r="24" spans="1:24">
      <c r="A24" s="357" t="s">
        <v>19</v>
      </c>
      <c r="B24" s="245" t="s">
        <v>1151</v>
      </c>
      <c r="D24" s="244">
        <f>SUMIF(_12MonResults_Rate,$A24,_12MonResults_Demand_Measured_kW_I)</f>
        <v>3497096.3400000003</v>
      </c>
      <c r="F24" s="359">
        <f>VLOOKUP(A24,Rates!$B$140:$W$173,Rates!$T$3-1,FALSE)</f>
        <v>0.02</v>
      </c>
      <c r="I24" s="359">
        <f>D24*F24</f>
        <v>69941.926800000001</v>
      </c>
      <c r="J24" s="359">
        <f>SUM(H24:I24)</f>
        <v>69941.926800000001</v>
      </c>
      <c r="K24" s="359"/>
      <c r="L24" s="359"/>
      <c r="M24" s="359"/>
      <c r="N24" s="359"/>
      <c r="P24" s="252">
        <f>ROUND(SUM($N$23:$N$25)/SUM($D$23:$D$25),2)</f>
        <v>0.25</v>
      </c>
      <c r="Q24" s="359">
        <f>P24*D24</f>
        <v>874274.08500000008</v>
      </c>
      <c r="R24" s="359"/>
      <c r="S24" s="365">
        <f>T24-F24+P24</f>
        <v>2.72</v>
      </c>
      <c r="T24" s="359">
        <v>2.4900000000000002</v>
      </c>
      <c r="U24" s="360">
        <f>(S24-T24)/T24</f>
        <v>9.2369477911646569E-2</v>
      </c>
      <c r="X24" s="361"/>
    </row>
    <row r="25" spans="1:24">
      <c r="A25" s="357" t="s">
        <v>19</v>
      </c>
      <c r="B25" s="245" t="s">
        <v>1152</v>
      </c>
      <c r="D25" s="244">
        <f>SUMIF(_12MonResults_Rate,$A25,_12MonResults_Demand_Measured_kW_B)</f>
        <v>3603279.9299999997</v>
      </c>
      <c r="F25" s="359">
        <f>VLOOKUP(A25,Rates!$B$140:$W$173,Rates!$T$3-1,FALSE)</f>
        <v>0.02</v>
      </c>
      <c r="I25" s="359">
        <f>D25*F25</f>
        <v>72065.598599999998</v>
      </c>
      <c r="J25" s="359">
        <f>SUM(H25:I25)</f>
        <v>72065.598599999998</v>
      </c>
      <c r="K25" s="359"/>
      <c r="L25" s="359"/>
      <c r="M25" s="359"/>
      <c r="N25" s="359"/>
      <c r="P25" s="252">
        <f>ROUND(SUM($N$23:$N$25)/SUM($D$23:$D$25),2)</f>
        <v>0.25</v>
      </c>
      <c r="Q25" s="359">
        <f>P25*D25</f>
        <v>900819.98249999993</v>
      </c>
      <c r="R25" s="359"/>
      <c r="S25" s="365">
        <f>T25-F25+P25</f>
        <v>1.27</v>
      </c>
      <c r="T25" s="359">
        <v>1.04</v>
      </c>
      <c r="U25" s="360">
        <f>(S25-T25)/T25</f>
        <v>0.22115384615384612</v>
      </c>
      <c r="X25" s="361"/>
    </row>
    <row r="26" spans="1:24">
      <c r="A26" s="357"/>
      <c r="F26" s="359"/>
      <c r="G26" s="359"/>
      <c r="I26" s="359"/>
      <c r="J26" s="359"/>
      <c r="K26" s="359"/>
      <c r="L26" s="359"/>
      <c r="M26" s="359"/>
      <c r="N26" s="359"/>
      <c r="P26" s="359"/>
      <c r="Q26" s="359"/>
      <c r="R26" s="359"/>
      <c r="S26" s="365"/>
      <c r="T26" s="359"/>
      <c r="U26" s="360"/>
      <c r="X26" s="361"/>
    </row>
    <row r="27" spans="1:24">
      <c r="A27" s="357" t="s">
        <v>27</v>
      </c>
      <c r="B27" s="245" t="s">
        <v>1153</v>
      </c>
      <c r="C27" s="228">
        <f>SUMIF(_12MonResults_Rate,$A27,_12MonResults_KWH_Total)</f>
        <v>0</v>
      </c>
      <c r="D27" s="244">
        <f>SUMIF(_12MonResults_Rate,$A27,_12MonResults_Demand_Measured_kW_P)</f>
        <v>0</v>
      </c>
      <c r="E27" s="244">
        <v>0</v>
      </c>
      <c r="F27" s="359">
        <f>VLOOKUP(A27,Rates!$B$140:$W$173,Rates!$T$3-1,FALSE)</f>
        <v>0.01</v>
      </c>
      <c r="G27" s="244">
        <f>SUMIF(_12MonResults_Rate,$A27,_12MonResults_Revenue_BaseFuel)</f>
        <v>0</v>
      </c>
      <c r="I27" s="359">
        <f>D27*F27</f>
        <v>0</v>
      </c>
      <c r="J27" s="359">
        <f>SUM(H27:I27)</f>
        <v>0</v>
      </c>
      <c r="K27" s="359">
        <f>SUMIF(_12MonResults_Rate,$A27,_12MonResults_Revenue_Actual)</f>
        <v>0</v>
      </c>
      <c r="L27" s="359">
        <f>K27-J27-J28-J29</f>
        <v>0</v>
      </c>
      <c r="M27" s="359">
        <f>K27-SUM(J27:J29)-SUM(G27:G29)</f>
        <v>0</v>
      </c>
      <c r="N27" s="359">
        <f>ROUND($K$54/$M$38*M27,2)</f>
        <v>0</v>
      </c>
      <c r="P27" s="252" t="e">
        <f>P31</f>
        <v>#DIV/0!</v>
      </c>
      <c r="Q27" s="359" t="e">
        <f>P27*D27</f>
        <v>#DIV/0!</v>
      </c>
      <c r="R27" s="359" t="e">
        <f>N27-Q27-Q28-Q29</f>
        <v>#DIV/0!</v>
      </c>
      <c r="S27" s="365" t="e">
        <f>T27-F27+P27</f>
        <v>#DIV/0!</v>
      </c>
      <c r="T27" s="359">
        <v>2.48</v>
      </c>
      <c r="U27" s="360" t="e">
        <f>(S27-T27)/T27</f>
        <v>#DIV/0!</v>
      </c>
      <c r="X27" s="361"/>
    </row>
    <row r="28" spans="1:24">
      <c r="A28" s="357" t="s">
        <v>27</v>
      </c>
      <c r="B28" s="245" t="s">
        <v>1154</v>
      </c>
      <c r="D28" s="244">
        <f>SUMIF(_12MonResults_Rate,$A28,_12MonResults_Demand_Measured_kW_I)</f>
        <v>0</v>
      </c>
      <c r="E28" s="244">
        <v>0</v>
      </c>
      <c r="F28" s="359">
        <f>VLOOKUP(A28,Rates!$B$140:$W$173,Rates!$T$3-1,FALSE)</f>
        <v>0.01</v>
      </c>
      <c r="I28" s="359">
        <f>D28*F28</f>
        <v>0</v>
      </c>
      <c r="J28" s="359">
        <f>SUM(H28:I28)</f>
        <v>0</v>
      </c>
      <c r="K28" s="359"/>
      <c r="L28" s="359"/>
      <c r="M28" s="359"/>
      <c r="N28" s="359"/>
      <c r="P28" s="252" t="e">
        <f>P27</f>
        <v>#DIV/0!</v>
      </c>
      <c r="Q28" s="359" t="e">
        <f>P28*D28</f>
        <v>#DIV/0!</v>
      </c>
      <c r="R28" s="359"/>
      <c r="S28" s="365" t="e">
        <f>T28-F28+P28</f>
        <v>#DIV/0!</v>
      </c>
      <c r="T28" s="359">
        <v>1.59</v>
      </c>
      <c r="U28" s="360" t="e">
        <f>(S28-T28)/T28</f>
        <v>#DIV/0!</v>
      </c>
      <c r="X28" s="361"/>
    </row>
    <row r="29" spans="1:24">
      <c r="A29" s="357" t="s">
        <v>27</v>
      </c>
      <c r="B29" s="249" t="s">
        <v>1155</v>
      </c>
      <c r="D29" s="244">
        <f>SUMIF(_12MonResults_Rate,$A29,_12MonResults_Demand_Measured_kW_B)</f>
        <v>0</v>
      </c>
      <c r="E29" s="244">
        <v>0</v>
      </c>
      <c r="F29" s="359">
        <f>VLOOKUP(A29,Rates!$B$140:$W$173,Rates!$T$3-1,FALSE)</f>
        <v>0.01</v>
      </c>
      <c r="I29" s="359">
        <f>D29*F29</f>
        <v>0</v>
      </c>
      <c r="J29" s="359">
        <f>SUM(H29:I29)</f>
        <v>0</v>
      </c>
      <c r="K29" s="359"/>
      <c r="L29" s="359"/>
      <c r="M29" s="359"/>
      <c r="N29" s="359"/>
      <c r="P29" s="252" t="e">
        <f>P28</f>
        <v>#DIV/0!</v>
      </c>
      <c r="Q29" s="359" t="e">
        <f>P29*D29</f>
        <v>#DIV/0!</v>
      </c>
      <c r="R29" s="359"/>
      <c r="S29" s="365" t="e">
        <f>T29-F29+P29</f>
        <v>#DIV/0!</v>
      </c>
      <c r="T29" s="359">
        <v>1.75</v>
      </c>
      <c r="U29" s="360" t="e">
        <f>(S29-T29)/T29</f>
        <v>#DIV/0!</v>
      </c>
      <c r="X29" s="361"/>
    </row>
    <row r="30" spans="1:24">
      <c r="A30" s="357"/>
      <c r="J30" s="359"/>
      <c r="K30" s="359"/>
      <c r="L30" s="359"/>
      <c r="M30" s="359"/>
      <c r="N30" s="359"/>
      <c r="P30" s="359"/>
      <c r="Q30" s="359"/>
      <c r="R30" s="359"/>
      <c r="S30" s="358"/>
      <c r="T30" s="358"/>
      <c r="U30" s="360"/>
      <c r="X30" s="361"/>
    </row>
    <row r="31" spans="1:24">
      <c r="A31" s="362" t="s">
        <v>28</v>
      </c>
      <c r="B31" s="245" t="s">
        <v>1156</v>
      </c>
      <c r="C31" s="228">
        <f>SUMIF(_12MonResults_Rate,$A31,_12MonResults_KWH_Total)</f>
        <v>0</v>
      </c>
      <c r="D31" s="244">
        <f>SUMIF(_12MonResults_Rate,$A31,_12MonResults_Demand_Measured_kW_P)</f>
        <v>0</v>
      </c>
      <c r="E31" s="244">
        <v>0</v>
      </c>
      <c r="F31" s="359">
        <f>VLOOKUP(A31,Rates!$B$140:$W$173,Rates!$T$3-1,FALSE)</f>
        <v>0.01</v>
      </c>
      <c r="G31" s="244">
        <f>SUMIF(_12MonResults_Rate,$A31,_12MonResults_Revenue_BaseFuel)</f>
        <v>0</v>
      </c>
      <c r="I31" s="359">
        <f>D31*F31</f>
        <v>0</v>
      </c>
      <c r="J31" s="359">
        <f>SUM(H31:I31)</f>
        <v>0</v>
      </c>
      <c r="K31" s="359">
        <f>SUMIF(_12MonResults_Rate,$A31,_12MonResults_Revenue_Actual)</f>
        <v>0</v>
      </c>
      <c r="L31" s="359">
        <f>K31-J31-J32-J33</f>
        <v>0</v>
      </c>
      <c r="M31" s="359">
        <f>K31-SUM(J31:J33)-SUM(G31:G33)</f>
        <v>0</v>
      </c>
      <c r="N31" s="359">
        <f>ROUND($K$54/$M$38*M31,2)</f>
        <v>0</v>
      </c>
      <c r="P31" s="252" t="e">
        <f>ROUND(SUM($N$31:$N$33)/SUM($D$31:$D$33),2)</f>
        <v>#DIV/0!</v>
      </c>
      <c r="Q31" s="359" t="e">
        <f>P31*D31</f>
        <v>#DIV/0!</v>
      </c>
      <c r="R31" s="359" t="e">
        <f>N31-Q31-Q32-Q33</f>
        <v>#DIV/0!</v>
      </c>
      <c r="S31" s="365" t="e">
        <f>T31-F31+P31</f>
        <v>#DIV/0!</v>
      </c>
      <c r="T31" s="359">
        <v>2.48</v>
      </c>
      <c r="U31" s="360" t="e">
        <f>(S31-T31)/T31</f>
        <v>#DIV/0!</v>
      </c>
      <c r="X31" s="361"/>
    </row>
    <row r="32" spans="1:24">
      <c r="A32" s="362" t="s">
        <v>28</v>
      </c>
      <c r="B32" s="245" t="s">
        <v>1157</v>
      </c>
      <c r="D32" s="244">
        <f>SUMIF(_12MonResults_Rate,$A32,_12MonResults_Demand_Measured_kW_I)</f>
        <v>0</v>
      </c>
      <c r="E32" s="244">
        <v>0</v>
      </c>
      <c r="F32" s="359">
        <f>VLOOKUP(A32,Rates!$B$140:$W$173,Rates!$T$3-1,FALSE)</f>
        <v>0.01</v>
      </c>
      <c r="I32" s="359">
        <f>D32*F32</f>
        <v>0</v>
      </c>
      <c r="J32" s="359">
        <f>SUM(H32:I32)</f>
        <v>0</v>
      </c>
      <c r="K32" s="359"/>
      <c r="L32" s="359"/>
      <c r="M32" s="359"/>
      <c r="N32" s="359"/>
      <c r="P32" s="252" t="e">
        <f>ROUND(SUM($N$31:$N$33)/SUM($D$31:$D$33),2)</f>
        <v>#DIV/0!</v>
      </c>
      <c r="Q32" s="359" t="e">
        <f>P32*D32</f>
        <v>#DIV/0!</v>
      </c>
      <c r="R32" s="359"/>
      <c r="S32" s="365" t="e">
        <f>T32-F32+P32</f>
        <v>#DIV/0!</v>
      </c>
      <c r="T32" s="359">
        <v>1.59</v>
      </c>
      <c r="U32" s="360" t="e">
        <f>(S32-T32)/T32</f>
        <v>#DIV/0!</v>
      </c>
      <c r="X32" s="361"/>
    </row>
    <row r="33" spans="1:24">
      <c r="A33" s="362" t="s">
        <v>28</v>
      </c>
      <c r="B33" s="245" t="s">
        <v>1158</v>
      </c>
      <c r="D33" s="244">
        <f>SUMIF(_12MonResults_Rate,$A33,_12MonResults_Demand_Measured_kW_B)</f>
        <v>0</v>
      </c>
      <c r="E33" s="244">
        <v>0</v>
      </c>
      <c r="F33" s="359">
        <f>VLOOKUP(A33,Rates!$B$140:$W$173,Rates!$T$3-1,FALSE)</f>
        <v>0.01</v>
      </c>
      <c r="I33" s="359">
        <f>D33*F33</f>
        <v>0</v>
      </c>
      <c r="J33" s="359">
        <f>SUM(H33:I33)</f>
        <v>0</v>
      </c>
      <c r="K33" s="359"/>
      <c r="L33" s="359"/>
      <c r="M33" s="359"/>
      <c r="N33" s="359"/>
      <c r="P33" s="252" t="e">
        <f>ROUND(SUM($N$31:$N$33)/SUM($D$31:$D$33),2)</f>
        <v>#DIV/0!</v>
      </c>
      <c r="Q33" s="359" t="e">
        <f>P33*D33</f>
        <v>#DIV/0!</v>
      </c>
      <c r="R33" s="359"/>
      <c r="S33" s="365" t="e">
        <f>T33-F33+P33</f>
        <v>#DIV/0!</v>
      </c>
      <c r="T33" s="359">
        <v>1</v>
      </c>
      <c r="U33" s="360" t="e">
        <f>(S33-T33)/T33</f>
        <v>#DIV/0!</v>
      </c>
      <c r="X33" s="361"/>
    </row>
    <row r="34" spans="1:24">
      <c r="A34" s="357"/>
      <c r="J34" s="359"/>
      <c r="K34" s="359"/>
      <c r="L34" s="359"/>
      <c r="M34" s="359"/>
      <c r="N34" s="359"/>
      <c r="P34" s="359"/>
      <c r="Q34" s="359"/>
      <c r="R34" s="359"/>
      <c r="S34" s="358"/>
      <c r="T34" s="358"/>
      <c r="U34" s="360"/>
      <c r="X34" s="361"/>
    </row>
    <row r="35" spans="1:24">
      <c r="A35" s="357"/>
      <c r="F35" s="359"/>
      <c r="G35" s="359"/>
      <c r="I35" s="359"/>
      <c r="J35" s="359"/>
      <c r="K35" s="359"/>
      <c r="L35" s="359"/>
      <c r="M35" s="359"/>
      <c r="N35" s="359"/>
      <c r="P35" s="359"/>
      <c r="Q35" s="359"/>
      <c r="R35" s="359"/>
      <c r="S35" s="365"/>
      <c r="T35" s="359"/>
      <c r="U35" s="360"/>
      <c r="X35" s="361"/>
    </row>
    <row r="38" spans="1:24">
      <c r="B38" s="244" t="s">
        <v>465</v>
      </c>
      <c r="C38" s="183">
        <f>SUM(C4:C35)</f>
        <v>9031104939</v>
      </c>
      <c r="D38" s="183">
        <f>SUM(D4:D35)</f>
        <v>46754857</v>
      </c>
      <c r="G38" s="330">
        <f>SUM(G4:G37)</f>
        <v>335151146.07999998</v>
      </c>
      <c r="H38" s="359"/>
      <c r="I38" s="359"/>
      <c r="J38" s="359">
        <f>SUM(J4:J35)</f>
        <v>2133939.0671000001</v>
      </c>
      <c r="K38" s="359">
        <f>SUM(K4:K35)</f>
        <v>815087255.60000002</v>
      </c>
      <c r="L38" s="359">
        <f>SUM(L4:L35)</f>
        <v>812953316.53289998</v>
      </c>
      <c r="M38" s="359">
        <f>SUM(M4:M35)</f>
        <v>477802170.45289999</v>
      </c>
      <c r="N38" s="330">
        <f>SUM(N4:N34)</f>
        <v>30562844</v>
      </c>
      <c r="Q38" s="359" t="e">
        <f>SUM(Q4:Q37)</f>
        <v>#DIV/0!</v>
      </c>
      <c r="R38" s="359" t="e">
        <f>SUM(R4:R36)</f>
        <v>#DIV/0!</v>
      </c>
    </row>
    <row r="39" spans="1:24">
      <c r="K39" s="288"/>
      <c r="L39" s="288"/>
      <c r="M39" s="288"/>
      <c r="R39" s="377" t="e">
        <f>R38/N38</f>
        <v>#DIV/0!</v>
      </c>
    </row>
    <row r="40" spans="1:24">
      <c r="M40" s="366"/>
      <c r="N40" s="324"/>
    </row>
    <row r="41" spans="1:24">
      <c r="K41" s="250" t="s">
        <v>1126</v>
      </c>
      <c r="L41" s="288">
        <f>L38</f>
        <v>812953316.53289998</v>
      </c>
    </row>
    <row r="42" spans="1:24">
      <c r="B42" s="245" t="s">
        <v>1125</v>
      </c>
      <c r="C42" s="244">
        <f>Group1!D153</f>
        <v>6225849819</v>
      </c>
      <c r="D42" s="244">
        <v>0</v>
      </c>
      <c r="K42" s="250" t="s">
        <v>1125</v>
      </c>
      <c r="L42" s="288">
        <f>Group1!M153</f>
        <v>542737076.71480024</v>
      </c>
    </row>
    <row r="43" spans="1:24">
      <c r="B43" s="244" t="s">
        <v>1260</v>
      </c>
      <c r="C43" s="244">
        <f>C38+C42</f>
        <v>15256954758</v>
      </c>
      <c r="D43" s="244">
        <f>D38+D42</f>
        <v>46754857</v>
      </c>
      <c r="E43" s="245"/>
      <c r="K43" s="250" t="s">
        <v>60</v>
      </c>
      <c r="L43" s="366">
        <f>L41+L42</f>
        <v>1355690393.2477002</v>
      </c>
    </row>
    <row r="44" spans="1:24">
      <c r="B44" s="244" t="s">
        <v>1159</v>
      </c>
      <c r="C44" s="244">
        <f>'12MonResults'!K476</f>
        <v>18586399040</v>
      </c>
      <c r="D44" s="244">
        <f>'12MonResults'!O476</f>
        <v>65786884.110000022</v>
      </c>
      <c r="J44" s="251" t="s">
        <v>1261</v>
      </c>
      <c r="K44" s="244">
        <v>1279049062</v>
      </c>
    </row>
    <row r="45" spans="1:24">
      <c r="B45" s="245"/>
      <c r="C45" s="244">
        <f>C43-C44</f>
        <v>-3329444282</v>
      </c>
      <c r="D45" s="244">
        <f>D43-D44</f>
        <v>-19032027.110000022</v>
      </c>
      <c r="K45" s="246" t="s">
        <v>1262</v>
      </c>
    </row>
    <row r="46" spans="1:24" ht="15">
      <c r="J46" s="251" t="s">
        <v>1160</v>
      </c>
      <c r="K46" s="244">
        <f>K38-J38</f>
        <v>812953316.53289998</v>
      </c>
      <c r="M46" s="248"/>
    </row>
    <row r="47" spans="1:24">
      <c r="J47" s="250" t="s">
        <v>1121</v>
      </c>
      <c r="K47" s="244" t="e">
        <f>Q38</f>
        <v>#DIV/0!</v>
      </c>
    </row>
    <row r="48" spans="1:24">
      <c r="J48" s="251" t="s">
        <v>1122</v>
      </c>
      <c r="K48" s="244" t="e">
        <f>K46+K47</f>
        <v>#DIV/0!</v>
      </c>
    </row>
    <row r="49" spans="9:14">
      <c r="J49" s="251" t="s">
        <v>1161</v>
      </c>
      <c r="K49" s="244" t="e">
        <f>K48-K38</f>
        <v>#DIV/0!</v>
      </c>
    </row>
    <row r="52" spans="9:14">
      <c r="J52" s="244" t="s">
        <v>1124</v>
      </c>
      <c r="K52" s="244" t="s">
        <v>817</v>
      </c>
    </row>
    <row r="53" spans="9:14">
      <c r="I53" s="244" t="s">
        <v>1125</v>
      </c>
      <c r="J53" s="244">
        <f>Group1!M153</f>
        <v>542737076.71480024</v>
      </c>
      <c r="K53" s="244">
        <f>Summary!$D$22</f>
        <v>20404110</v>
      </c>
    </row>
    <row r="54" spans="9:14">
      <c r="I54" s="244" t="s">
        <v>1126</v>
      </c>
      <c r="J54" s="244">
        <f>L38</f>
        <v>812953316.53289998</v>
      </c>
      <c r="K54" s="244">
        <f>Summary!$D$32</f>
        <v>30562844</v>
      </c>
    </row>
    <row r="55" spans="9:14">
      <c r="I55" s="244" t="s">
        <v>1124</v>
      </c>
      <c r="J55" s="244">
        <f>J53+J54</f>
        <v>1355690393.2477002</v>
      </c>
      <c r="K55" s="330">
        <f>Summary!$B$7</f>
        <v>50966954</v>
      </c>
      <c r="L55" s="330"/>
    </row>
    <row r="56" spans="9:14">
      <c r="M56" s="245"/>
    </row>
    <row r="57" spans="9:14">
      <c r="N57" s="378"/>
    </row>
    <row r="58" spans="9:14">
      <c r="N58" s="364"/>
    </row>
  </sheetData>
  <mergeCells count="2">
    <mergeCell ref="C3:D3"/>
    <mergeCell ref="E3:F3"/>
  </mergeCells>
  <pageMargins left="0.5" right="0.5" top="1.25" bottom="0.75" header="0.5" footer="0.5"/>
  <pageSetup scale="69" fitToWidth="2" fitToHeight="0" pageOrder="overThenDown" orientation="landscape" r:id="rId1"/>
  <headerFooter>
    <oddHeader xml:space="preserve">&amp;C&amp;"Times New Roman,Bold"&amp;16KENTUCKY UTILITIES COMPANY&amp;"Times New Roman,Regular"&amp;12
Group 2 ECR Rollin Calculations
 Using Regenerated Revenues for the  Twelve Months Ending September 2011
Case No. 2011-00231
</oddHeader>
    <oddFooter>&amp;R&amp;"Times New Roman,Bold"&amp;11Exhibit 3
Page &amp;P of &amp;N</oddFooter>
  </headerFooter>
  <colBreaks count="1" manualBreakCount="1">
    <brk id="11" min="3" max="3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41"/>
  <sheetViews>
    <sheetView workbookViewId="0"/>
  </sheetViews>
  <sheetFormatPr defaultRowHeight="12"/>
  <cols>
    <col min="1" max="1" width="13.33203125" customWidth="1"/>
    <col min="2" max="2" width="14.1640625" style="38" bestFit="1" customWidth="1"/>
    <col min="3" max="3" width="18.6640625" customWidth="1"/>
    <col min="6" max="6" width="26.6640625" bestFit="1" customWidth="1"/>
    <col min="7" max="7" width="12.5" bestFit="1" customWidth="1"/>
    <col min="13" max="13" width="26.6640625" bestFit="1" customWidth="1"/>
    <col min="14" max="14" width="15.1640625" bestFit="1" customWidth="1"/>
  </cols>
  <sheetData>
    <row r="1" spans="1:13">
      <c r="A1" t="s">
        <v>813</v>
      </c>
    </row>
    <row r="2" spans="1:13">
      <c r="A2" s="4"/>
      <c r="B2" s="256"/>
    </row>
    <row r="3" spans="1:13" ht="48">
      <c r="A3" t="s">
        <v>812</v>
      </c>
      <c r="C3" s="2" t="s">
        <v>811</v>
      </c>
      <c r="F3" s="65" t="s">
        <v>925</v>
      </c>
    </row>
    <row r="4" spans="1:13">
      <c r="A4" t="s">
        <v>15</v>
      </c>
      <c r="B4" s="38">
        <v>1949992.85</v>
      </c>
      <c r="C4" s="36">
        <f>ROUND((B4/$G$7*-1)*$G$8,0)</f>
        <v>3724062</v>
      </c>
      <c r="G4" s="38"/>
      <c r="M4" s="38">
        <f>SUM(B4:C4)</f>
        <v>5674054.8499999996</v>
      </c>
    </row>
    <row r="5" spans="1:13" ht="14.25">
      <c r="A5" t="s">
        <v>810</v>
      </c>
      <c r="B5" s="38">
        <v>287.69</v>
      </c>
      <c r="C5" s="36">
        <f>ROUND((B5/$G$7*-1)*$G$8,0)</f>
        <v>549</v>
      </c>
      <c r="G5" s="255"/>
      <c r="M5" s="38">
        <f>SUM(B5:C5)</f>
        <v>836.69</v>
      </c>
    </row>
    <row r="6" spans="1:13" ht="12.75">
      <c r="C6" s="38"/>
      <c r="F6" t="s">
        <v>60</v>
      </c>
      <c r="G6" s="38">
        <v>14710734</v>
      </c>
      <c r="H6" s="244" t="s">
        <v>926</v>
      </c>
    </row>
    <row r="7" spans="1:13" ht="14.25">
      <c r="A7" t="s">
        <v>219</v>
      </c>
      <c r="B7" s="38">
        <v>43467.26</v>
      </c>
      <c r="C7" s="36">
        <f>ROUND((B7/$G$7*-1)*$G$8,0)</f>
        <v>83013</v>
      </c>
      <c r="F7" t="s">
        <v>809</v>
      </c>
      <c r="G7" s="255">
        <f>-$B$140</f>
        <v>-5055612.8099999996</v>
      </c>
      <c r="M7" s="38">
        <f>SUM(B7:C7)</f>
        <v>126480.26000000001</v>
      </c>
    </row>
    <row r="8" spans="1:13" ht="14.25">
      <c r="C8" s="36"/>
      <c r="F8" t="s">
        <v>808</v>
      </c>
      <c r="G8" s="63">
        <f>G6+G7</f>
        <v>9655121.1900000013</v>
      </c>
    </row>
    <row r="9" spans="1:13">
      <c r="A9" t="s">
        <v>807</v>
      </c>
      <c r="B9" s="38">
        <v>0</v>
      </c>
      <c r="C9" s="36">
        <f>ROUND((B9/$G$7*-1)*$G$8,0)</f>
        <v>0</v>
      </c>
    </row>
    <row r="10" spans="1:13">
      <c r="A10" t="s">
        <v>807</v>
      </c>
      <c r="B10" s="38">
        <v>0</v>
      </c>
      <c r="C10" s="36">
        <f>ROUND((B10/$G$7*-1)*$G$8,0)</f>
        <v>0</v>
      </c>
    </row>
    <row r="11" spans="1:13">
      <c r="A11" t="s">
        <v>807</v>
      </c>
      <c r="B11" s="38">
        <v>0</v>
      </c>
      <c r="C11" s="36">
        <f>ROUND((B11/$G$7*-1)*$G$8,0)</f>
        <v>0</v>
      </c>
    </row>
    <row r="12" spans="1:13">
      <c r="C12" s="36"/>
    </row>
    <row r="13" spans="1:13">
      <c r="A13" t="s">
        <v>20</v>
      </c>
      <c r="B13" s="38">
        <v>3.8</v>
      </c>
      <c r="C13" s="36">
        <f>ROUND((B13/$G$7*-1)*$G$8,0)</f>
        <v>7</v>
      </c>
      <c r="M13" s="38">
        <f>SUM(B13:C13)</f>
        <v>10.8</v>
      </c>
    </row>
    <row r="14" spans="1:13">
      <c r="A14" t="s">
        <v>21</v>
      </c>
      <c r="B14" s="38">
        <v>367.21</v>
      </c>
      <c r="C14" s="36">
        <f>ROUND((B14/$G$7*-1)*$G$8,0)</f>
        <v>701</v>
      </c>
      <c r="M14" s="38">
        <f>SUM(B14:C14)</f>
        <v>1068.21</v>
      </c>
    </row>
    <row r="15" spans="1:13">
      <c r="C15" s="36"/>
    </row>
    <row r="16" spans="1:13">
      <c r="C16" s="36"/>
    </row>
    <row r="17" spans="1:13">
      <c r="A17" t="s">
        <v>432</v>
      </c>
      <c r="B17" s="38">
        <v>0</v>
      </c>
      <c r="C17" s="36">
        <f t="shared" ref="C17:C48" si="0">ROUND((B17/$G$7*-1)*$G$8,0)</f>
        <v>0</v>
      </c>
      <c r="E17" t="str">
        <f>VLOOKUP(A17,MiscData!$AC$4:$AE$115,3,FALSE)</f>
        <v>LS</v>
      </c>
      <c r="F17" s="38">
        <f>C17</f>
        <v>0</v>
      </c>
      <c r="M17" s="38">
        <f t="shared" ref="M17:M80" si="1">SUM(B17:C17)</f>
        <v>0</v>
      </c>
    </row>
    <row r="18" spans="1:13">
      <c r="A18" t="s">
        <v>433</v>
      </c>
      <c r="B18" s="38">
        <v>0</v>
      </c>
      <c r="C18" s="36">
        <f t="shared" si="0"/>
        <v>0</v>
      </c>
      <c r="E18" t="str">
        <f>VLOOKUP(A18,MiscData!$AC$4:$AE$115,3,FALSE)</f>
        <v>LS</v>
      </c>
      <c r="F18" s="38">
        <f t="shared" ref="F18:F81" si="2">C18</f>
        <v>0</v>
      </c>
      <c r="M18" s="38">
        <f t="shared" si="1"/>
        <v>0</v>
      </c>
    </row>
    <row r="19" spans="1:13">
      <c r="A19" t="s">
        <v>372</v>
      </c>
      <c r="B19" s="38">
        <v>2225.31</v>
      </c>
      <c r="C19" s="36">
        <f>ROUND((B19/$G$7*-1)*$G$8,0)</f>
        <v>4250</v>
      </c>
      <c r="E19" t="str">
        <f>VLOOKUP(A19,MiscData!$AC$4:$AE$115,3,FALSE)</f>
        <v>RLS</v>
      </c>
      <c r="F19" s="38">
        <f t="shared" si="2"/>
        <v>4250</v>
      </c>
      <c r="M19" s="38">
        <f t="shared" si="1"/>
        <v>6475.3099999999995</v>
      </c>
    </row>
    <row r="20" spans="1:13">
      <c r="A20" t="s">
        <v>371</v>
      </c>
      <c r="B20" s="38">
        <v>1803.17</v>
      </c>
      <c r="C20" s="36">
        <f t="shared" si="0"/>
        <v>3444</v>
      </c>
      <c r="E20" t="str">
        <f>VLOOKUP(A20,MiscData!$AC$4:$AE$115,3,FALSE)</f>
        <v>RLS</v>
      </c>
      <c r="F20" s="38">
        <f t="shared" si="2"/>
        <v>3444</v>
      </c>
      <c r="M20" s="38">
        <f t="shared" si="1"/>
        <v>5247.17</v>
      </c>
    </row>
    <row r="21" spans="1:13">
      <c r="A21" t="s">
        <v>381</v>
      </c>
      <c r="B21" s="38">
        <v>3071.04</v>
      </c>
      <c r="C21" s="36">
        <f t="shared" si="0"/>
        <v>5865</v>
      </c>
      <c r="E21" t="str">
        <f>VLOOKUP(A21,MiscData!$AC$4:$AE$115,3,FALSE)</f>
        <v>LS</v>
      </c>
      <c r="F21" s="38">
        <f t="shared" si="2"/>
        <v>5865</v>
      </c>
      <c r="M21" s="38">
        <f t="shared" si="1"/>
        <v>8936.0400000000009</v>
      </c>
    </row>
    <row r="22" spans="1:13">
      <c r="A22" t="s">
        <v>380</v>
      </c>
      <c r="B22" s="38">
        <v>4338.3100000000004</v>
      </c>
      <c r="C22" s="36">
        <f t="shared" si="0"/>
        <v>8285</v>
      </c>
      <c r="E22" t="str">
        <f>VLOOKUP(A22,MiscData!$AC$4:$AE$115,3,FALSE)</f>
        <v>LS</v>
      </c>
      <c r="F22" s="38">
        <f t="shared" si="2"/>
        <v>8285</v>
      </c>
      <c r="M22" s="38">
        <f t="shared" si="1"/>
        <v>12623.310000000001</v>
      </c>
    </row>
    <row r="23" spans="1:13">
      <c r="A23" t="s">
        <v>404</v>
      </c>
      <c r="B23" s="38">
        <v>7961.11</v>
      </c>
      <c r="C23" s="36">
        <f t="shared" si="0"/>
        <v>15204</v>
      </c>
      <c r="E23" t="str">
        <f>VLOOKUP(A23,MiscData!$AC$4:$AE$115,3,FALSE)</f>
        <v>LS</v>
      </c>
      <c r="F23" s="38">
        <f t="shared" si="2"/>
        <v>15204</v>
      </c>
      <c r="M23" s="38">
        <f t="shared" si="1"/>
        <v>23165.11</v>
      </c>
    </row>
    <row r="24" spans="1:13">
      <c r="A24" t="s">
        <v>403</v>
      </c>
      <c r="B24" s="38">
        <v>1754.23</v>
      </c>
      <c r="C24" s="36">
        <f t="shared" si="0"/>
        <v>3350</v>
      </c>
      <c r="E24" t="str">
        <f>VLOOKUP(A24,MiscData!$AC$4:$AE$115,3,FALSE)</f>
        <v>LS</v>
      </c>
      <c r="F24" s="38">
        <f t="shared" si="2"/>
        <v>3350</v>
      </c>
      <c r="M24" s="38">
        <f t="shared" si="1"/>
        <v>5104.2299999999996</v>
      </c>
    </row>
    <row r="25" spans="1:13">
      <c r="A25" t="s">
        <v>361</v>
      </c>
      <c r="B25" s="38">
        <v>3548.19</v>
      </c>
      <c r="C25" s="36">
        <f t="shared" si="0"/>
        <v>6776</v>
      </c>
      <c r="E25" t="str">
        <f>VLOOKUP(A25,MiscData!$AC$4:$AE$115,3,FALSE)</f>
        <v>LS</v>
      </c>
      <c r="F25" s="38">
        <f t="shared" si="2"/>
        <v>6776</v>
      </c>
      <c r="M25" s="38">
        <f t="shared" si="1"/>
        <v>10324.19</v>
      </c>
    </row>
    <row r="26" spans="1:13">
      <c r="A26" t="s">
        <v>360</v>
      </c>
      <c r="B26" s="38">
        <v>3791.62</v>
      </c>
      <c r="C26" s="36">
        <f t="shared" si="0"/>
        <v>7241</v>
      </c>
      <c r="E26" t="str">
        <f>VLOOKUP(A26,MiscData!$AC$4:$AE$115,3,FALSE)</f>
        <v>LS</v>
      </c>
      <c r="F26" s="38">
        <f t="shared" si="2"/>
        <v>7241</v>
      </c>
      <c r="M26" s="38">
        <f t="shared" si="1"/>
        <v>11032.619999999999</v>
      </c>
    </row>
    <row r="27" spans="1:13">
      <c r="A27" t="s">
        <v>393</v>
      </c>
      <c r="B27" s="38">
        <v>873.8</v>
      </c>
      <c r="C27" s="36">
        <f t="shared" si="0"/>
        <v>1669</v>
      </c>
      <c r="E27" t="str">
        <f>VLOOKUP(A27,MiscData!$AC$4:$AE$115,3,FALSE)</f>
        <v>LS</v>
      </c>
      <c r="F27" s="38">
        <f t="shared" si="2"/>
        <v>1669</v>
      </c>
      <c r="M27" s="38">
        <f t="shared" si="1"/>
        <v>2542.8000000000002</v>
      </c>
    </row>
    <row r="28" spans="1:13">
      <c r="A28" t="s">
        <v>392</v>
      </c>
      <c r="B28" s="38">
        <v>503.5</v>
      </c>
      <c r="C28" s="36">
        <f t="shared" si="0"/>
        <v>962</v>
      </c>
      <c r="E28" t="str">
        <f>VLOOKUP(A28,MiscData!$AC$4:$AE$115,3,FALSE)</f>
        <v>LS</v>
      </c>
      <c r="F28" s="38">
        <f t="shared" si="2"/>
        <v>962</v>
      </c>
      <c r="M28" s="38">
        <f t="shared" si="1"/>
        <v>1465.5</v>
      </c>
    </row>
    <row r="29" spans="1:13">
      <c r="A29" t="s">
        <v>401</v>
      </c>
      <c r="B29" s="38">
        <v>466.6</v>
      </c>
      <c r="C29" s="36">
        <f t="shared" si="0"/>
        <v>891</v>
      </c>
      <c r="E29" t="str">
        <f>VLOOKUP(A29,MiscData!$AC$4:$AE$115,3,FALSE)</f>
        <v>RLS</v>
      </c>
      <c r="F29" s="38">
        <f t="shared" si="2"/>
        <v>891</v>
      </c>
      <c r="M29" s="38">
        <f t="shared" si="1"/>
        <v>1357.6</v>
      </c>
    </row>
    <row r="30" spans="1:13">
      <c r="A30" t="s">
        <v>400</v>
      </c>
      <c r="B30" s="38">
        <v>70.16</v>
      </c>
      <c r="C30" s="36">
        <f t="shared" si="0"/>
        <v>134</v>
      </c>
      <c r="E30" t="str">
        <f>VLOOKUP(A30,MiscData!$AC$4:$AE$115,3,FALSE)</f>
        <v>RLS</v>
      </c>
      <c r="F30" s="38">
        <f t="shared" si="2"/>
        <v>134</v>
      </c>
      <c r="M30" s="38">
        <f t="shared" si="1"/>
        <v>204.16</v>
      </c>
    </row>
    <row r="31" spans="1:13">
      <c r="A31" t="s">
        <v>328</v>
      </c>
      <c r="B31" s="38">
        <v>403.47</v>
      </c>
      <c r="C31" s="36">
        <f t="shared" si="0"/>
        <v>771</v>
      </c>
      <c r="E31" t="str">
        <f>VLOOKUP(A31,MiscData!$AC$4:$AE$115,3,FALSE)</f>
        <v>RLS</v>
      </c>
      <c r="F31" s="38">
        <f t="shared" si="2"/>
        <v>771</v>
      </c>
      <c r="M31" s="38">
        <f t="shared" si="1"/>
        <v>1174.47</v>
      </c>
    </row>
    <row r="32" spans="1:13">
      <c r="A32" t="s">
        <v>327</v>
      </c>
      <c r="B32" s="38">
        <v>301.7</v>
      </c>
      <c r="C32" s="36">
        <f t="shared" si="0"/>
        <v>576</v>
      </c>
      <c r="E32" t="str">
        <f>VLOOKUP(A32,MiscData!$AC$4:$AE$115,3,FALSE)</f>
        <v>RLS</v>
      </c>
      <c r="F32" s="38">
        <f t="shared" si="2"/>
        <v>576</v>
      </c>
      <c r="M32" s="38">
        <f t="shared" si="1"/>
        <v>877.7</v>
      </c>
    </row>
    <row r="33" spans="1:13">
      <c r="A33" t="s">
        <v>437</v>
      </c>
      <c r="B33" s="38">
        <v>865.08</v>
      </c>
      <c r="C33" s="36">
        <f t="shared" si="0"/>
        <v>1652</v>
      </c>
      <c r="E33" t="str">
        <f>VLOOKUP(A33,MiscData!$AC$4:$AE$115,3,FALSE)</f>
        <v>RLS</v>
      </c>
      <c r="F33" s="38">
        <f t="shared" si="2"/>
        <v>1652</v>
      </c>
      <c r="M33" s="38">
        <f t="shared" si="1"/>
        <v>2517.08</v>
      </c>
    </row>
    <row r="34" spans="1:13">
      <c r="A34" t="s">
        <v>357</v>
      </c>
      <c r="B34" s="38">
        <v>904.57</v>
      </c>
      <c r="C34" s="36">
        <f t="shared" si="0"/>
        <v>1728</v>
      </c>
      <c r="E34" t="str">
        <f>VLOOKUP(A34,MiscData!$AC$4:$AE$115,3,FALSE)</f>
        <v>RLS</v>
      </c>
      <c r="F34" s="38">
        <f t="shared" si="2"/>
        <v>1728</v>
      </c>
      <c r="M34" s="38">
        <f t="shared" si="1"/>
        <v>2632.57</v>
      </c>
    </row>
    <row r="35" spans="1:13">
      <c r="A35" t="s">
        <v>326</v>
      </c>
      <c r="B35" s="38">
        <v>2.35</v>
      </c>
      <c r="C35" s="36">
        <f t="shared" si="0"/>
        <v>4</v>
      </c>
      <c r="E35" t="str">
        <f>VLOOKUP(A35,MiscData!$AC$4:$AE$115,3,FALSE)</f>
        <v>RLS</v>
      </c>
      <c r="F35" s="38">
        <f t="shared" si="2"/>
        <v>4</v>
      </c>
      <c r="M35" s="38">
        <f t="shared" si="1"/>
        <v>6.35</v>
      </c>
    </row>
    <row r="36" spans="1:13">
      <c r="A36" t="s">
        <v>418</v>
      </c>
      <c r="B36" s="38">
        <v>0</v>
      </c>
      <c r="C36" s="36">
        <f t="shared" si="0"/>
        <v>0</v>
      </c>
      <c r="E36" t="e">
        <f>VLOOKUP(A36,MiscData!$AC$4:$AE$115,3,FALSE)</f>
        <v>#N/A</v>
      </c>
      <c r="F36" s="38">
        <f t="shared" si="2"/>
        <v>0</v>
      </c>
      <c r="M36" s="38">
        <f t="shared" si="1"/>
        <v>0</v>
      </c>
    </row>
    <row r="37" spans="1:13">
      <c r="A37" t="s">
        <v>356</v>
      </c>
      <c r="B37" s="38">
        <v>176.08</v>
      </c>
      <c r="C37" s="36">
        <f t="shared" si="0"/>
        <v>336</v>
      </c>
      <c r="E37" t="str">
        <f>VLOOKUP(A37,MiscData!$AC$4:$AE$115,3,FALSE)</f>
        <v>RLS</v>
      </c>
      <c r="F37" s="38">
        <f t="shared" si="2"/>
        <v>336</v>
      </c>
      <c r="M37" s="38">
        <f t="shared" si="1"/>
        <v>512.08000000000004</v>
      </c>
    </row>
    <row r="38" spans="1:13">
      <c r="A38" t="s">
        <v>420</v>
      </c>
      <c r="B38" s="38">
        <v>0</v>
      </c>
      <c r="C38" s="36">
        <f t="shared" si="0"/>
        <v>0</v>
      </c>
      <c r="E38" t="e">
        <f>VLOOKUP(A38,MiscData!$AC$4:$AE$115,3,FALSE)</f>
        <v>#N/A</v>
      </c>
      <c r="F38" s="38">
        <f t="shared" si="2"/>
        <v>0</v>
      </c>
      <c r="M38" s="38">
        <f t="shared" si="1"/>
        <v>0</v>
      </c>
    </row>
    <row r="39" spans="1:13">
      <c r="A39" t="s">
        <v>374</v>
      </c>
      <c r="B39" s="38">
        <v>56.5</v>
      </c>
      <c r="C39" s="36">
        <f t="shared" si="0"/>
        <v>108</v>
      </c>
      <c r="E39" t="str">
        <f>VLOOKUP(A39,MiscData!$AC$4:$AE$115,3,FALSE)</f>
        <v>RLS</v>
      </c>
      <c r="F39" s="38">
        <f t="shared" si="2"/>
        <v>108</v>
      </c>
      <c r="M39" s="38">
        <f t="shared" si="1"/>
        <v>164.5</v>
      </c>
    </row>
    <row r="40" spans="1:13">
      <c r="A40" t="s">
        <v>373</v>
      </c>
      <c r="B40" s="38">
        <v>11.04</v>
      </c>
      <c r="C40" s="36">
        <f t="shared" si="0"/>
        <v>21</v>
      </c>
      <c r="E40" t="str">
        <f>VLOOKUP(A40,MiscData!$AC$4:$AE$115,3,FALSE)</f>
        <v>RLS</v>
      </c>
      <c r="F40" s="38">
        <f t="shared" si="2"/>
        <v>21</v>
      </c>
      <c r="M40" s="38">
        <f t="shared" si="1"/>
        <v>32.04</v>
      </c>
    </row>
    <row r="41" spans="1:13">
      <c r="A41" t="s">
        <v>399</v>
      </c>
      <c r="B41" s="38">
        <v>1.1599999999999999</v>
      </c>
      <c r="C41" s="36">
        <f t="shared" si="0"/>
        <v>2</v>
      </c>
      <c r="E41" t="str">
        <f>VLOOKUP(A41,MiscData!$AC$4:$AE$115,3,FALSE)</f>
        <v>RLS</v>
      </c>
      <c r="F41" s="38">
        <f t="shared" si="2"/>
        <v>2</v>
      </c>
      <c r="M41" s="38">
        <f t="shared" si="1"/>
        <v>3.16</v>
      </c>
    </row>
    <row r="42" spans="1:13">
      <c r="A42" t="s">
        <v>424</v>
      </c>
      <c r="B42" s="38">
        <v>0</v>
      </c>
      <c r="C42" s="36">
        <f t="shared" si="0"/>
        <v>0</v>
      </c>
      <c r="E42" t="e">
        <f>VLOOKUP(A42,MiscData!$AC$4:$AE$115,3,FALSE)</f>
        <v>#N/A</v>
      </c>
      <c r="F42" s="38">
        <f t="shared" si="2"/>
        <v>0</v>
      </c>
      <c r="M42" s="38">
        <f t="shared" si="1"/>
        <v>0</v>
      </c>
    </row>
    <row r="43" spans="1:13">
      <c r="A43" t="s">
        <v>426</v>
      </c>
      <c r="B43" s="38">
        <v>0</v>
      </c>
      <c r="C43" s="36">
        <f t="shared" si="0"/>
        <v>0</v>
      </c>
      <c r="E43" t="e">
        <f>VLOOKUP(A43,MiscData!$AC$4:$AE$115,3,FALSE)</f>
        <v>#N/A</v>
      </c>
      <c r="F43" s="38">
        <f t="shared" si="2"/>
        <v>0</v>
      </c>
      <c r="M43" s="38">
        <f t="shared" si="1"/>
        <v>0</v>
      </c>
    </row>
    <row r="44" spans="1:13">
      <c r="A44" t="s">
        <v>376</v>
      </c>
      <c r="B44" s="38">
        <v>149.62</v>
      </c>
      <c r="C44" s="36">
        <f t="shared" si="0"/>
        <v>286</v>
      </c>
      <c r="E44" t="str">
        <f>VLOOKUP(A44,MiscData!$AC$4:$AE$115,3,FALSE)</f>
        <v>RLS</v>
      </c>
      <c r="F44" s="38">
        <f t="shared" si="2"/>
        <v>286</v>
      </c>
      <c r="M44" s="38">
        <f t="shared" si="1"/>
        <v>435.62</v>
      </c>
    </row>
    <row r="45" spans="1:13">
      <c r="A45" t="s">
        <v>382</v>
      </c>
      <c r="B45" s="38">
        <v>23.66</v>
      </c>
      <c r="C45" s="36">
        <f t="shared" si="0"/>
        <v>45</v>
      </c>
      <c r="E45" t="str">
        <f>VLOOKUP(A45,MiscData!$AC$4:$AE$115,3,FALSE)</f>
        <v>LS</v>
      </c>
      <c r="F45" s="38">
        <f t="shared" si="2"/>
        <v>45</v>
      </c>
      <c r="M45" s="38">
        <f t="shared" si="1"/>
        <v>68.66</v>
      </c>
    </row>
    <row r="46" spans="1:13">
      <c r="A46" t="s">
        <v>384</v>
      </c>
      <c r="B46" s="38">
        <v>73.010000000000005</v>
      </c>
      <c r="C46" s="36">
        <f t="shared" si="0"/>
        <v>139</v>
      </c>
      <c r="E46" t="str">
        <f>VLOOKUP(A46,MiscData!$AC$4:$AE$115,3,FALSE)</f>
        <v>LS</v>
      </c>
      <c r="F46" s="38">
        <f t="shared" si="2"/>
        <v>139</v>
      </c>
      <c r="M46" s="38">
        <f t="shared" si="1"/>
        <v>212.01</v>
      </c>
    </row>
    <row r="47" spans="1:13">
      <c r="A47" t="s">
        <v>405</v>
      </c>
      <c r="B47" s="38">
        <v>128.84</v>
      </c>
      <c r="C47" s="36">
        <f t="shared" si="0"/>
        <v>246</v>
      </c>
      <c r="E47" t="str">
        <f>VLOOKUP(A47,MiscData!$AC$4:$AE$115,3,FALSE)</f>
        <v>LS</v>
      </c>
      <c r="F47" s="38">
        <f t="shared" si="2"/>
        <v>246</v>
      </c>
      <c r="M47" s="38">
        <f t="shared" si="1"/>
        <v>374.84000000000003</v>
      </c>
    </row>
    <row r="48" spans="1:13">
      <c r="A48" t="s">
        <v>407</v>
      </c>
      <c r="B48" s="38">
        <v>458.54</v>
      </c>
      <c r="C48" s="36">
        <f t="shared" si="0"/>
        <v>876</v>
      </c>
      <c r="E48" t="str">
        <f>VLOOKUP(A48,MiscData!$AC$4:$AE$115,3,FALSE)</f>
        <v>LS</v>
      </c>
      <c r="F48" s="38">
        <f t="shared" si="2"/>
        <v>876</v>
      </c>
      <c r="M48" s="38">
        <f t="shared" si="1"/>
        <v>1334.54</v>
      </c>
    </row>
    <row r="49" spans="1:13">
      <c r="A49" t="s">
        <v>379</v>
      </c>
      <c r="B49" s="38">
        <v>308.47000000000003</v>
      </c>
      <c r="C49" s="36">
        <f t="shared" ref="C49:C80" si="3">ROUND((B49/$G$7*-1)*$G$8,0)</f>
        <v>589</v>
      </c>
      <c r="E49" t="str">
        <f>VLOOKUP(A49,MiscData!$AC$4:$AE$115,3,FALSE)</f>
        <v>RLS</v>
      </c>
      <c r="F49" s="38">
        <f t="shared" si="2"/>
        <v>589</v>
      </c>
      <c r="M49" s="38">
        <f t="shared" si="1"/>
        <v>897.47</v>
      </c>
    </row>
    <row r="50" spans="1:13">
      <c r="A50" t="s">
        <v>389</v>
      </c>
      <c r="B50" s="38">
        <v>515.77</v>
      </c>
      <c r="C50" s="36">
        <f t="shared" si="3"/>
        <v>985</v>
      </c>
      <c r="E50" t="str">
        <f>VLOOKUP(A50,MiscData!$AC$4:$AE$115,3,FALSE)</f>
        <v>LS</v>
      </c>
      <c r="F50" s="38">
        <f t="shared" si="2"/>
        <v>985</v>
      </c>
      <c r="M50" s="38">
        <f t="shared" si="1"/>
        <v>1500.77</v>
      </c>
    </row>
    <row r="51" spans="1:13">
      <c r="A51" t="s">
        <v>412</v>
      </c>
      <c r="B51" s="38">
        <v>959.74</v>
      </c>
      <c r="C51" s="36">
        <f t="shared" si="3"/>
        <v>1833</v>
      </c>
      <c r="E51" t="str">
        <f>VLOOKUP(A51,MiscData!$AC$4:$AE$115,3,FALSE)</f>
        <v>LS</v>
      </c>
      <c r="F51" s="38">
        <f t="shared" si="2"/>
        <v>1833</v>
      </c>
      <c r="M51" s="38">
        <f t="shared" si="1"/>
        <v>2792.74</v>
      </c>
    </row>
    <row r="52" spans="1:13">
      <c r="A52" t="s">
        <v>386</v>
      </c>
      <c r="B52" s="38">
        <v>42.11</v>
      </c>
      <c r="C52" s="36">
        <f t="shared" si="3"/>
        <v>80</v>
      </c>
      <c r="E52" t="str">
        <f>VLOOKUP(A52,MiscData!$AC$4:$AE$115,3,FALSE)</f>
        <v>RLS</v>
      </c>
      <c r="F52" s="38">
        <f t="shared" si="2"/>
        <v>80</v>
      </c>
      <c r="M52" s="38">
        <f t="shared" si="1"/>
        <v>122.11</v>
      </c>
    </row>
    <row r="53" spans="1:13">
      <c r="A53" t="s">
        <v>409</v>
      </c>
      <c r="B53" s="38">
        <v>157.16999999999999</v>
      </c>
      <c r="C53" s="36">
        <f t="shared" si="3"/>
        <v>300</v>
      </c>
      <c r="E53" t="str">
        <f>VLOOKUP(A53,MiscData!$AC$4:$AE$115,3,FALSE)</f>
        <v>RLS</v>
      </c>
      <c r="F53" s="38">
        <f t="shared" si="2"/>
        <v>300</v>
      </c>
      <c r="M53" s="38">
        <f t="shared" si="1"/>
        <v>457.16999999999996</v>
      </c>
    </row>
    <row r="54" spans="1:13">
      <c r="A54" t="s">
        <v>390</v>
      </c>
      <c r="B54" s="38">
        <v>3472.1</v>
      </c>
      <c r="C54" s="36">
        <f t="shared" si="3"/>
        <v>6631</v>
      </c>
      <c r="E54" t="str">
        <f>VLOOKUP(A54,MiscData!$AC$4:$AE$115,3,FALSE)</f>
        <v>LS</v>
      </c>
      <c r="F54" s="38">
        <f t="shared" si="2"/>
        <v>6631</v>
      </c>
      <c r="M54" s="38">
        <f t="shared" si="1"/>
        <v>10103.1</v>
      </c>
    </row>
    <row r="55" spans="1:13">
      <c r="A55" t="s">
        <v>414</v>
      </c>
      <c r="B55" s="38">
        <v>517.16999999999996</v>
      </c>
      <c r="C55" s="36">
        <f t="shared" si="3"/>
        <v>988</v>
      </c>
      <c r="E55" t="str">
        <f>VLOOKUP(A55,MiscData!$AC$4:$AE$115,3,FALSE)</f>
        <v>LS</v>
      </c>
      <c r="F55" s="38">
        <f t="shared" si="2"/>
        <v>988</v>
      </c>
      <c r="M55" s="38">
        <f t="shared" si="1"/>
        <v>1505.17</v>
      </c>
    </row>
    <row r="56" spans="1:13">
      <c r="A56" t="s">
        <v>364</v>
      </c>
      <c r="B56" s="38">
        <v>619.30999999999995</v>
      </c>
      <c r="C56" s="36">
        <f t="shared" si="3"/>
        <v>1183</v>
      </c>
      <c r="E56" t="str">
        <f>VLOOKUP(A56,MiscData!$AC$4:$AE$115,3,FALSE)</f>
        <v>LS</v>
      </c>
      <c r="F56" s="38">
        <f t="shared" si="2"/>
        <v>1183</v>
      </c>
      <c r="M56" s="38">
        <f t="shared" si="1"/>
        <v>1802.31</v>
      </c>
    </row>
    <row r="57" spans="1:13">
      <c r="A57" t="s">
        <v>396</v>
      </c>
      <c r="B57" s="38">
        <v>104.26</v>
      </c>
      <c r="C57" s="36">
        <f t="shared" si="3"/>
        <v>199</v>
      </c>
      <c r="E57" t="str">
        <f>VLOOKUP(A57,MiscData!$AC$4:$AE$115,3,FALSE)</f>
        <v>LS</v>
      </c>
      <c r="F57" s="38">
        <f t="shared" si="2"/>
        <v>199</v>
      </c>
      <c r="M57" s="38">
        <f t="shared" si="1"/>
        <v>303.26</v>
      </c>
    </row>
    <row r="58" spans="1:13">
      <c r="A58" t="s">
        <v>339</v>
      </c>
      <c r="B58" s="38">
        <v>416.02</v>
      </c>
      <c r="C58" s="36">
        <f t="shared" si="3"/>
        <v>795</v>
      </c>
      <c r="E58" t="str">
        <f>VLOOKUP(A58,MiscData!$AC$4:$AE$115,3,FALSE)</f>
        <v>LS</v>
      </c>
      <c r="F58" s="38">
        <f t="shared" si="2"/>
        <v>795</v>
      </c>
      <c r="M58" s="38">
        <f t="shared" si="1"/>
        <v>1211.02</v>
      </c>
    </row>
    <row r="59" spans="1:13">
      <c r="A59" t="s">
        <v>344</v>
      </c>
      <c r="B59" s="38">
        <v>102.73</v>
      </c>
      <c r="C59" s="36">
        <f t="shared" si="3"/>
        <v>196</v>
      </c>
      <c r="E59" t="str">
        <f>VLOOKUP(A59,MiscData!$AC$4:$AE$115,3,FALSE)</f>
        <v>LS</v>
      </c>
      <c r="F59" s="38">
        <f t="shared" si="2"/>
        <v>196</v>
      </c>
      <c r="M59" s="38">
        <f t="shared" si="1"/>
        <v>298.73</v>
      </c>
    </row>
    <row r="60" spans="1:13">
      <c r="A60" t="s">
        <v>347</v>
      </c>
      <c r="B60" s="38">
        <v>106.33</v>
      </c>
      <c r="C60" s="36">
        <f t="shared" si="3"/>
        <v>203</v>
      </c>
      <c r="E60" t="str">
        <f>VLOOKUP(A60,MiscData!$AC$4:$AE$115,3,FALSE)</f>
        <v>LS</v>
      </c>
      <c r="F60" s="38">
        <f t="shared" si="2"/>
        <v>203</v>
      </c>
      <c r="M60" s="38">
        <f t="shared" si="1"/>
        <v>309.33</v>
      </c>
    </row>
    <row r="61" spans="1:13">
      <c r="A61" t="s">
        <v>348</v>
      </c>
      <c r="B61" s="38">
        <v>13.48</v>
      </c>
      <c r="C61" s="36">
        <f t="shared" si="3"/>
        <v>26</v>
      </c>
      <c r="E61" t="str">
        <f>VLOOKUP(A61,MiscData!$AC$4:$AE$115,3,FALSE)</f>
        <v>LS</v>
      </c>
      <c r="F61" s="38">
        <f t="shared" si="2"/>
        <v>26</v>
      </c>
      <c r="M61" s="38">
        <f t="shared" si="1"/>
        <v>39.480000000000004</v>
      </c>
    </row>
    <row r="62" spans="1:13">
      <c r="A62" t="s">
        <v>349</v>
      </c>
      <c r="B62" s="38">
        <v>2.77</v>
      </c>
      <c r="C62" s="36">
        <f t="shared" si="3"/>
        <v>5</v>
      </c>
      <c r="E62" t="str">
        <f>VLOOKUP(A62,MiscData!$AC$4:$AE$115,3,FALSE)</f>
        <v>LS</v>
      </c>
      <c r="F62" s="38">
        <f t="shared" si="2"/>
        <v>5</v>
      </c>
      <c r="M62" s="38">
        <f t="shared" si="1"/>
        <v>7.77</v>
      </c>
    </row>
    <row r="63" spans="1:13">
      <c r="A63" t="s">
        <v>351</v>
      </c>
      <c r="B63" s="38">
        <v>18.45</v>
      </c>
      <c r="C63" s="36">
        <f t="shared" si="3"/>
        <v>35</v>
      </c>
      <c r="E63" t="str">
        <f>VLOOKUP(A63,MiscData!$AC$4:$AE$115,3,FALSE)</f>
        <v>LS</v>
      </c>
      <c r="F63" s="38">
        <f t="shared" si="2"/>
        <v>35</v>
      </c>
      <c r="M63" s="38">
        <f t="shared" si="1"/>
        <v>53.45</v>
      </c>
    </row>
    <row r="64" spans="1:13">
      <c r="A64" t="s">
        <v>352</v>
      </c>
      <c r="B64" s="38">
        <v>35.869999999999997</v>
      </c>
      <c r="C64" s="36">
        <f t="shared" si="3"/>
        <v>69</v>
      </c>
      <c r="E64" t="str">
        <f>VLOOKUP(A64,MiscData!$AC$4:$AE$115,3,FALSE)</f>
        <v>LS</v>
      </c>
      <c r="F64" s="38">
        <f t="shared" si="2"/>
        <v>69</v>
      </c>
      <c r="M64" s="38">
        <f t="shared" si="1"/>
        <v>104.87</v>
      </c>
    </row>
    <row r="65" spans="1:13">
      <c r="A65" t="s">
        <v>354</v>
      </c>
      <c r="B65" s="38">
        <v>66.72</v>
      </c>
      <c r="C65" s="36">
        <f t="shared" si="3"/>
        <v>127</v>
      </c>
      <c r="E65" t="str">
        <f>VLOOKUP(A65,MiscData!$AC$4:$AE$115,3,FALSE)</f>
        <v>LS</v>
      </c>
      <c r="F65" s="38">
        <f t="shared" si="2"/>
        <v>127</v>
      </c>
      <c r="M65" s="38">
        <f t="shared" si="1"/>
        <v>193.72</v>
      </c>
    </row>
    <row r="66" spans="1:13">
      <c r="A66" t="s">
        <v>355</v>
      </c>
      <c r="B66" s="38">
        <v>2.4300000000000002</v>
      </c>
      <c r="C66" s="36">
        <f t="shared" si="3"/>
        <v>5</v>
      </c>
      <c r="E66" t="str">
        <f>VLOOKUP(A66,MiscData!$AC$4:$AE$115,3,FALSE)</f>
        <v>LS</v>
      </c>
      <c r="F66" s="38">
        <f t="shared" si="2"/>
        <v>5</v>
      </c>
      <c r="M66" s="38">
        <f t="shared" si="1"/>
        <v>7.43</v>
      </c>
    </row>
    <row r="67" spans="1:13">
      <c r="A67" t="s">
        <v>341</v>
      </c>
      <c r="B67" s="38">
        <v>46.99</v>
      </c>
      <c r="C67" s="36">
        <f t="shared" si="3"/>
        <v>90</v>
      </c>
      <c r="E67" t="str">
        <f>VLOOKUP(A67,MiscData!$AC$4:$AE$115,3,FALSE)</f>
        <v>LS</v>
      </c>
      <c r="F67" s="38">
        <f t="shared" si="2"/>
        <v>90</v>
      </c>
      <c r="M67" s="38">
        <f t="shared" si="1"/>
        <v>136.99</v>
      </c>
    </row>
    <row r="68" spans="1:13">
      <c r="A68" t="s">
        <v>350</v>
      </c>
      <c r="B68" s="38">
        <v>3.76</v>
      </c>
      <c r="C68" s="36">
        <f t="shared" si="3"/>
        <v>7</v>
      </c>
      <c r="E68" t="str">
        <f>VLOOKUP(A68,MiscData!$AC$4:$AE$115,3,FALSE)</f>
        <v>LS</v>
      </c>
      <c r="F68" s="38">
        <f t="shared" si="2"/>
        <v>7</v>
      </c>
      <c r="M68" s="38">
        <f t="shared" si="1"/>
        <v>10.76</v>
      </c>
    </row>
    <row r="69" spans="1:13">
      <c r="A69" t="s">
        <v>342</v>
      </c>
      <c r="B69" s="38">
        <v>67.14</v>
      </c>
      <c r="C69" s="36">
        <f t="shared" si="3"/>
        <v>128</v>
      </c>
      <c r="E69" t="str">
        <f>VLOOKUP(A69,MiscData!$AC$4:$AE$115,3,FALSE)</f>
        <v>LS</v>
      </c>
      <c r="F69" s="38">
        <f t="shared" si="2"/>
        <v>128</v>
      </c>
      <c r="M69" s="38">
        <f t="shared" si="1"/>
        <v>195.14</v>
      </c>
    </row>
    <row r="70" spans="1:13">
      <c r="A70" t="s">
        <v>346</v>
      </c>
      <c r="B70" s="38">
        <v>13.71</v>
      </c>
      <c r="C70" s="36">
        <f t="shared" si="3"/>
        <v>26</v>
      </c>
      <c r="E70" t="str">
        <f>VLOOKUP(A70,MiscData!$AC$4:$AE$115,3,FALSE)</f>
        <v>LS</v>
      </c>
      <c r="F70" s="38">
        <f t="shared" si="2"/>
        <v>26</v>
      </c>
      <c r="M70" s="38">
        <f t="shared" si="1"/>
        <v>39.71</v>
      </c>
    </row>
    <row r="71" spans="1:13">
      <c r="A71" t="s">
        <v>353</v>
      </c>
      <c r="B71" s="38">
        <v>10.76</v>
      </c>
      <c r="C71" s="36">
        <f t="shared" si="3"/>
        <v>21</v>
      </c>
      <c r="E71" t="str">
        <f>VLOOKUP(A71,MiscData!$AC$4:$AE$115,3,FALSE)</f>
        <v>LS</v>
      </c>
      <c r="F71" s="38">
        <f t="shared" si="2"/>
        <v>21</v>
      </c>
      <c r="M71" s="38">
        <f t="shared" si="1"/>
        <v>31.759999999999998</v>
      </c>
    </row>
    <row r="72" spans="1:13">
      <c r="A72" t="s">
        <v>345</v>
      </c>
      <c r="B72" s="38">
        <v>7</v>
      </c>
      <c r="C72" s="36">
        <f t="shared" si="3"/>
        <v>13</v>
      </c>
      <c r="E72" t="str">
        <f>VLOOKUP(A72,MiscData!$AC$4:$AE$115,3,FALSE)</f>
        <v>LS</v>
      </c>
      <c r="F72" s="38">
        <f t="shared" si="2"/>
        <v>13</v>
      </c>
      <c r="M72" s="38">
        <f t="shared" si="1"/>
        <v>20</v>
      </c>
    </row>
    <row r="73" spans="1:13">
      <c r="A73" t="s">
        <v>343</v>
      </c>
      <c r="B73" s="38">
        <v>143.9</v>
      </c>
      <c r="C73" s="36">
        <f t="shared" si="3"/>
        <v>275</v>
      </c>
      <c r="E73" t="str">
        <f>VLOOKUP(A73,MiscData!$AC$4:$AE$115,3,FALSE)</f>
        <v>LS</v>
      </c>
      <c r="F73" s="38">
        <f t="shared" si="2"/>
        <v>275</v>
      </c>
      <c r="M73" s="38">
        <f t="shared" si="1"/>
        <v>418.9</v>
      </c>
    </row>
    <row r="74" spans="1:13">
      <c r="A74" t="s">
        <v>472</v>
      </c>
      <c r="B74" s="38">
        <v>4.96</v>
      </c>
      <c r="C74" s="36">
        <f t="shared" si="3"/>
        <v>9</v>
      </c>
      <c r="E74" t="str">
        <f>VLOOKUP(A74,MiscData!$AC$4:$AE$115,3,FALSE)</f>
        <v>LS</v>
      </c>
      <c r="F74" s="38">
        <f t="shared" si="2"/>
        <v>9</v>
      </c>
      <c r="M74" s="38">
        <f t="shared" si="1"/>
        <v>13.96</v>
      </c>
    </row>
    <row r="75" spans="1:13">
      <c r="A75" t="s">
        <v>340</v>
      </c>
      <c r="B75" s="38">
        <v>21.26</v>
      </c>
      <c r="C75" s="36">
        <f t="shared" si="3"/>
        <v>41</v>
      </c>
      <c r="E75" t="e">
        <f>VLOOKUP(A75,MiscData!$AC$4:$AE$115,3,FALSE)</f>
        <v>#N/A</v>
      </c>
      <c r="F75" s="38">
        <f t="shared" si="2"/>
        <v>41</v>
      </c>
      <c r="M75" s="38">
        <f t="shared" si="1"/>
        <v>62.260000000000005</v>
      </c>
    </row>
    <row r="76" spans="1:13">
      <c r="A76" t="s">
        <v>362</v>
      </c>
      <c r="B76" s="38">
        <v>936.28</v>
      </c>
      <c r="C76" s="36">
        <f t="shared" si="3"/>
        <v>1788</v>
      </c>
      <c r="E76" t="str">
        <f>VLOOKUP(A76,MiscData!$AC$4:$AE$115,3,FALSE)</f>
        <v>LS</v>
      </c>
      <c r="F76" s="38">
        <f t="shared" si="2"/>
        <v>1788</v>
      </c>
      <c r="M76" s="38">
        <f t="shared" si="1"/>
        <v>2724.2799999999997</v>
      </c>
    </row>
    <row r="77" spans="1:13">
      <c r="A77" t="s">
        <v>394</v>
      </c>
      <c r="B77" s="38">
        <v>2048.62</v>
      </c>
      <c r="C77" s="36">
        <f t="shared" si="3"/>
        <v>3912</v>
      </c>
      <c r="E77" t="str">
        <f>VLOOKUP(A77,MiscData!$AC$4:$AE$115,3,FALSE)</f>
        <v>LS</v>
      </c>
      <c r="F77" s="38">
        <f t="shared" si="2"/>
        <v>3912</v>
      </c>
      <c r="M77" s="38">
        <f t="shared" si="1"/>
        <v>5960.62</v>
      </c>
    </row>
    <row r="78" spans="1:13">
      <c r="A78" t="s">
        <v>415</v>
      </c>
      <c r="B78" s="38">
        <v>4197.2</v>
      </c>
      <c r="C78" s="36">
        <f t="shared" si="3"/>
        <v>8016</v>
      </c>
      <c r="E78" t="str">
        <f>VLOOKUP(A78,MiscData!$AC$4:$AE$115,3,FALSE)</f>
        <v>LS</v>
      </c>
      <c r="F78" s="38">
        <f t="shared" si="2"/>
        <v>8016</v>
      </c>
      <c r="M78" s="38">
        <f t="shared" si="1"/>
        <v>12213.2</v>
      </c>
    </row>
    <row r="79" spans="1:13">
      <c r="A79" t="s">
        <v>365</v>
      </c>
      <c r="B79" s="38">
        <v>3670.73</v>
      </c>
      <c r="C79" s="36">
        <f t="shared" si="3"/>
        <v>7010</v>
      </c>
      <c r="E79" t="str">
        <f>VLOOKUP(A79,MiscData!$AC$4:$AE$115,3,FALSE)</f>
        <v>LS</v>
      </c>
      <c r="F79" s="38">
        <f t="shared" si="2"/>
        <v>7010</v>
      </c>
      <c r="M79" s="38">
        <f t="shared" si="1"/>
        <v>10680.73</v>
      </c>
    </row>
    <row r="80" spans="1:13">
      <c r="A80" t="s">
        <v>397</v>
      </c>
      <c r="B80" s="38">
        <v>6531.96</v>
      </c>
      <c r="C80" s="36">
        <f t="shared" si="3"/>
        <v>12475</v>
      </c>
      <c r="E80" t="str">
        <f>VLOOKUP(A80,MiscData!$AC$4:$AE$115,3,FALSE)</f>
        <v>LS</v>
      </c>
      <c r="F80" s="38">
        <f t="shared" si="2"/>
        <v>12475</v>
      </c>
      <c r="M80" s="38">
        <f t="shared" si="1"/>
        <v>19006.96</v>
      </c>
    </row>
    <row r="81" spans="1:13">
      <c r="A81" t="s">
        <v>391</v>
      </c>
      <c r="B81" s="38">
        <v>60.54</v>
      </c>
      <c r="C81" s="36">
        <f t="shared" ref="C81:C112" si="4">ROUND((B81/$G$7*-1)*$G$8,0)</f>
        <v>116</v>
      </c>
      <c r="E81" t="str">
        <f>VLOOKUP(A81,MiscData!$AC$4:$AE$115,3,FALSE)</f>
        <v>RLS</v>
      </c>
      <c r="F81" s="38">
        <f t="shared" si="2"/>
        <v>116</v>
      </c>
      <c r="M81" s="38">
        <f t="shared" ref="M81:M120" si="5">SUM(B81:C81)</f>
        <v>176.54</v>
      </c>
    </row>
    <row r="82" spans="1:13">
      <c r="A82" t="s">
        <v>416</v>
      </c>
      <c r="B82" s="38">
        <v>11656.13</v>
      </c>
      <c r="C82" s="36">
        <f t="shared" si="4"/>
        <v>22261</v>
      </c>
      <c r="E82" t="str">
        <f>VLOOKUP(A82,MiscData!$AC$4:$AE$115,3,FALSE)</f>
        <v>LS</v>
      </c>
      <c r="F82" s="38">
        <f t="shared" ref="F82:F120" si="6">C82</f>
        <v>22261</v>
      </c>
      <c r="M82" s="38">
        <f t="shared" si="5"/>
        <v>33917.129999999997</v>
      </c>
    </row>
    <row r="83" spans="1:13">
      <c r="A83" t="s">
        <v>358</v>
      </c>
      <c r="B83" s="38">
        <v>275.14</v>
      </c>
      <c r="C83" s="36">
        <f t="shared" si="4"/>
        <v>525</v>
      </c>
      <c r="E83" t="str">
        <f>VLOOKUP(A83,MiscData!$AC$4:$AE$115,3,FALSE)</f>
        <v>RLS</v>
      </c>
      <c r="F83" s="38">
        <f t="shared" si="6"/>
        <v>525</v>
      </c>
      <c r="M83" s="38">
        <f t="shared" si="5"/>
        <v>800.14</v>
      </c>
    </row>
    <row r="84" spans="1:13">
      <c r="A84" t="s">
        <v>402</v>
      </c>
      <c r="B84" s="38">
        <v>3948.46</v>
      </c>
      <c r="C84" s="36">
        <f t="shared" si="4"/>
        <v>7541</v>
      </c>
      <c r="E84" t="str">
        <f>VLOOKUP(A84,MiscData!$AC$4:$AE$115,3,FALSE)</f>
        <v>RLS</v>
      </c>
      <c r="F84" s="38">
        <f t="shared" si="6"/>
        <v>7541</v>
      </c>
      <c r="M84" s="38">
        <f t="shared" si="5"/>
        <v>11489.46</v>
      </c>
    </row>
    <row r="85" spans="1:13">
      <c r="A85" t="s">
        <v>359</v>
      </c>
      <c r="B85" s="38">
        <v>139.16999999999999</v>
      </c>
      <c r="C85" s="36">
        <f t="shared" si="4"/>
        <v>266</v>
      </c>
      <c r="E85" t="e">
        <f>VLOOKUP(A85,MiscData!$AC$4:$AE$115,3,FALSE)</f>
        <v>#N/A</v>
      </c>
      <c r="F85" s="38">
        <f t="shared" si="6"/>
        <v>266</v>
      </c>
      <c r="M85" s="38">
        <f t="shared" si="5"/>
        <v>405.16999999999996</v>
      </c>
    </row>
    <row r="86" spans="1:13">
      <c r="A86" t="s">
        <v>398</v>
      </c>
      <c r="B86" s="38">
        <v>68.56</v>
      </c>
      <c r="C86" s="36">
        <f t="shared" si="4"/>
        <v>131</v>
      </c>
      <c r="E86" t="str">
        <f>VLOOKUP(A86,MiscData!$AC$4:$AE$115,3,FALSE)</f>
        <v>RLS</v>
      </c>
      <c r="F86" s="38">
        <f t="shared" si="6"/>
        <v>131</v>
      </c>
      <c r="M86" s="38">
        <f t="shared" si="5"/>
        <v>199.56</v>
      </c>
    </row>
    <row r="87" spans="1:13">
      <c r="A87" t="s">
        <v>375</v>
      </c>
      <c r="B87" s="38">
        <v>1.27</v>
      </c>
      <c r="C87" s="36">
        <f t="shared" si="4"/>
        <v>2</v>
      </c>
      <c r="E87" t="str">
        <f>VLOOKUP(A87,MiscData!$AC$4:$AE$115,3,FALSE)</f>
        <v>RLS</v>
      </c>
      <c r="F87" s="38">
        <f t="shared" si="6"/>
        <v>2</v>
      </c>
      <c r="M87" s="38">
        <f t="shared" si="5"/>
        <v>3.27</v>
      </c>
    </row>
    <row r="88" spans="1:13">
      <c r="A88" t="s">
        <v>377</v>
      </c>
      <c r="B88" s="38">
        <v>60.63</v>
      </c>
      <c r="C88" s="36">
        <f t="shared" si="4"/>
        <v>116</v>
      </c>
      <c r="E88" t="e">
        <f>VLOOKUP(A88,MiscData!$AC$4:$AE$115,3,FALSE)</f>
        <v>#N/A</v>
      </c>
      <c r="F88" s="38">
        <f t="shared" si="6"/>
        <v>116</v>
      </c>
      <c r="M88" s="38">
        <f t="shared" si="5"/>
        <v>176.63</v>
      </c>
    </row>
    <row r="89" spans="1:13">
      <c r="A89" t="s">
        <v>383</v>
      </c>
      <c r="B89" s="38">
        <v>17.55</v>
      </c>
      <c r="C89" s="36">
        <f t="shared" si="4"/>
        <v>34</v>
      </c>
      <c r="E89" t="e">
        <f>VLOOKUP(A89,MiscData!$AC$4:$AE$115,3,FALSE)</f>
        <v>#N/A</v>
      </c>
      <c r="F89" s="38">
        <f t="shared" si="6"/>
        <v>34</v>
      </c>
      <c r="M89" s="38">
        <f t="shared" si="5"/>
        <v>51.55</v>
      </c>
    </row>
    <row r="90" spans="1:13">
      <c r="A90" t="s">
        <v>385</v>
      </c>
      <c r="B90" s="38">
        <v>75.040000000000006</v>
      </c>
      <c r="C90" s="36">
        <f t="shared" si="4"/>
        <v>143</v>
      </c>
      <c r="E90" t="e">
        <f>VLOOKUP(A90,MiscData!$AC$4:$AE$115,3,FALSE)</f>
        <v>#N/A</v>
      </c>
      <c r="F90" s="38">
        <f t="shared" si="6"/>
        <v>143</v>
      </c>
      <c r="M90" s="38">
        <f t="shared" si="5"/>
        <v>218.04000000000002</v>
      </c>
    </row>
    <row r="91" spans="1:13">
      <c r="A91" t="s">
        <v>406</v>
      </c>
      <c r="B91" s="38">
        <v>162.71</v>
      </c>
      <c r="C91" s="36">
        <f t="shared" si="4"/>
        <v>311</v>
      </c>
      <c r="E91" t="e">
        <f>VLOOKUP(A91,MiscData!$AC$4:$AE$115,3,FALSE)</f>
        <v>#N/A</v>
      </c>
      <c r="F91" s="38">
        <f t="shared" si="6"/>
        <v>311</v>
      </c>
      <c r="M91" s="38">
        <f t="shared" si="5"/>
        <v>473.71000000000004</v>
      </c>
    </row>
    <row r="92" spans="1:13">
      <c r="A92" t="s">
        <v>408</v>
      </c>
      <c r="B92" s="38">
        <v>667.73</v>
      </c>
      <c r="C92" s="36">
        <f t="shared" si="4"/>
        <v>1275</v>
      </c>
      <c r="E92" t="e">
        <f>VLOOKUP(A92,MiscData!$AC$4:$AE$115,3,FALSE)</f>
        <v>#N/A</v>
      </c>
      <c r="F92" s="38">
        <f t="shared" si="6"/>
        <v>1275</v>
      </c>
      <c r="M92" s="38">
        <f t="shared" si="5"/>
        <v>1942.73</v>
      </c>
    </row>
    <row r="93" spans="1:13">
      <c r="A93" t="s">
        <v>378</v>
      </c>
      <c r="B93" s="38">
        <v>34.18</v>
      </c>
      <c r="C93" s="36">
        <f t="shared" si="4"/>
        <v>65</v>
      </c>
      <c r="E93" t="e">
        <f>VLOOKUP(A93,MiscData!$AC$4:$AE$115,3,FALSE)</f>
        <v>#N/A</v>
      </c>
      <c r="F93" s="38">
        <f t="shared" si="6"/>
        <v>65</v>
      </c>
      <c r="M93" s="38">
        <f t="shared" si="5"/>
        <v>99.18</v>
      </c>
    </row>
    <row r="94" spans="1:13">
      <c r="A94" t="s">
        <v>388</v>
      </c>
      <c r="B94" s="38">
        <v>85.91</v>
      </c>
      <c r="C94" s="36">
        <f t="shared" si="4"/>
        <v>164</v>
      </c>
      <c r="E94" t="e">
        <f>VLOOKUP(A94,MiscData!$AC$4:$AE$115,3,FALSE)</f>
        <v>#N/A</v>
      </c>
      <c r="F94" s="38">
        <f t="shared" si="6"/>
        <v>164</v>
      </c>
      <c r="M94" s="38">
        <f t="shared" si="5"/>
        <v>249.91</v>
      </c>
    </row>
    <row r="95" spans="1:13">
      <c r="A95" t="s">
        <v>411</v>
      </c>
      <c r="B95" s="38">
        <v>865.24</v>
      </c>
      <c r="C95" s="36">
        <f t="shared" si="4"/>
        <v>1652</v>
      </c>
      <c r="E95" t="e">
        <f>VLOOKUP(A95,MiscData!$AC$4:$AE$115,3,FALSE)</f>
        <v>#N/A</v>
      </c>
      <c r="F95" s="38">
        <f t="shared" si="6"/>
        <v>1652</v>
      </c>
      <c r="M95" s="38">
        <f t="shared" si="5"/>
        <v>2517.2399999999998</v>
      </c>
    </row>
    <row r="96" spans="1:13">
      <c r="A96" t="s">
        <v>387</v>
      </c>
      <c r="B96" s="38">
        <v>31.58</v>
      </c>
      <c r="C96" s="36">
        <f t="shared" si="4"/>
        <v>60</v>
      </c>
      <c r="E96" t="str">
        <f>VLOOKUP(A96,MiscData!$AC$4:$AE$115,3,FALSE)</f>
        <v>LS</v>
      </c>
      <c r="F96" s="38">
        <f t="shared" si="6"/>
        <v>60</v>
      </c>
      <c r="M96" s="38">
        <f t="shared" si="5"/>
        <v>91.58</v>
      </c>
    </row>
    <row r="97" spans="1:13">
      <c r="A97" t="s">
        <v>410</v>
      </c>
      <c r="B97" s="38">
        <v>15.42</v>
      </c>
      <c r="C97" s="36">
        <f t="shared" si="4"/>
        <v>29</v>
      </c>
      <c r="E97" t="str">
        <f>VLOOKUP(A97,MiscData!$AC$4:$AE$115,3,FALSE)</f>
        <v>LS</v>
      </c>
      <c r="F97" s="38">
        <f t="shared" si="6"/>
        <v>29</v>
      </c>
      <c r="M97" s="38">
        <f t="shared" si="5"/>
        <v>44.42</v>
      </c>
    </row>
    <row r="98" spans="1:13">
      <c r="A98" t="s">
        <v>439</v>
      </c>
      <c r="B98" s="38">
        <v>48.57</v>
      </c>
      <c r="C98" s="36">
        <f t="shared" si="4"/>
        <v>93</v>
      </c>
      <c r="E98" t="e">
        <f>VLOOKUP(A98,MiscData!$AC$4:$AE$115,3,FALSE)</f>
        <v>#N/A</v>
      </c>
      <c r="F98" s="38">
        <f t="shared" si="6"/>
        <v>93</v>
      </c>
      <c r="M98" s="38">
        <f t="shared" si="5"/>
        <v>141.57</v>
      </c>
    </row>
    <row r="99" spans="1:13">
      <c r="A99" t="s">
        <v>715</v>
      </c>
      <c r="B99" s="38">
        <v>0</v>
      </c>
      <c r="C99" s="36">
        <f t="shared" si="4"/>
        <v>0</v>
      </c>
      <c r="E99" t="str">
        <f>VLOOKUP(A99,MiscData!$AC$4:$AE$115,3,FALSE)</f>
        <v>LS</v>
      </c>
      <c r="F99" s="38">
        <f t="shared" si="6"/>
        <v>0</v>
      </c>
      <c r="M99" s="38">
        <f t="shared" si="5"/>
        <v>0</v>
      </c>
    </row>
    <row r="100" spans="1:13">
      <c r="A100" t="s">
        <v>413</v>
      </c>
      <c r="B100" s="38">
        <v>483.93</v>
      </c>
      <c r="C100" s="36">
        <f t="shared" si="4"/>
        <v>924</v>
      </c>
      <c r="E100" t="e">
        <f>VLOOKUP(A100,MiscData!$AC$4:$AE$115,3,FALSE)</f>
        <v>#N/A</v>
      </c>
      <c r="F100" s="38">
        <f t="shared" si="6"/>
        <v>924</v>
      </c>
      <c r="M100" s="38">
        <f t="shared" si="5"/>
        <v>1407.93</v>
      </c>
    </row>
    <row r="101" spans="1:13">
      <c r="A101" t="s">
        <v>363</v>
      </c>
      <c r="B101" s="38">
        <v>1008.06</v>
      </c>
      <c r="C101" s="36">
        <f t="shared" si="4"/>
        <v>1925</v>
      </c>
      <c r="E101" t="e">
        <f>VLOOKUP(A101,MiscData!$AC$4:$AE$115,3,FALSE)</f>
        <v>#N/A</v>
      </c>
      <c r="F101" s="38">
        <f t="shared" si="6"/>
        <v>1925</v>
      </c>
      <c r="M101" s="38">
        <f t="shared" si="5"/>
        <v>2933.06</v>
      </c>
    </row>
    <row r="102" spans="1:13">
      <c r="A102" t="s">
        <v>463</v>
      </c>
      <c r="B102" s="38">
        <v>7.31</v>
      </c>
      <c r="C102" s="36">
        <f t="shared" si="4"/>
        <v>14</v>
      </c>
      <c r="E102" t="str">
        <f>VLOOKUP(A102,MiscData!$AC$4:$AE$115,3,FALSE)</f>
        <v>LS</v>
      </c>
      <c r="F102" s="38">
        <f t="shared" si="6"/>
        <v>14</v>
      </c>
      <c r="M102" s="38">
        <f t="shared" si="5"/>
        <v>21.31</v>
      </c>
    </row>
    <row r="103" spans="1:13">
      <c r="A103" t="s">
        <v>395</v>
      </c>
      <c r="B103" s="38">
        <v>1318.68</v>
      </c>
      <c r="C103" s="36">
        <f t="shared" si="4"/>
        <v>2518</v>
      </c>
      <c r="E103" t="str">
        <f>VLOOKUP(A103,MiscData!$AC$4:$AE$115,3,FALSE)</f>
        <v>LS</v>
      </c>
      <c r="F103" s="38">
        <f t="shared" si="6"/>
        <v>2518</v>
      </c>
      <c r="M103" s="38">
        <f t="shared" si="5"/>
        <v>3836.6800000000003</v>
      </c>
    </row>
    <row r="104" spans="1:13">
      <c r="A104" t="s">
        <v>653</v>
      </c>
      <c r="B104" s="38">
        <v>0.62</v>
      </c>
      <c r="C104" s="36">
        <f t="shared" si="4"/>
        <v>1</v>
      </c>
      <c r="E104" t="str">
        <f>VLOOKUP(A104,MiscData!$AC$4:$AE$115,3,FALSE)</f>
        <v>LS</v>
      </c>
      <c r="F104" s="38">
        <f t="shared" si="6"/>
        <v>1</v>
      </c>
      <c r="M104" s="38">
        <f t="shared" si="5"/>
        <v>1.62</v>
      </c>
    </row>
    <row r="105" spans="1:13">
      <c r="A105" t="s">
        <v>422</v>
      </c>
      <c r="B105" s="38">
        <v>0</v>
      </c>
      <c r="C105" s="36">
        <f t="shared" si="4"/>
        <v>0</v>
      </c>
      <c r="E105" t="e">
        <f>VLOOKUP(A105,MiscData!$AC$4:$AE$115,3,FALSE)</f>
        <v>#N/A</v>
      </c>
      <c r="F105" s="38">
        <f t="shared" si="6"/>
        <v>0</v>
      </c>
      <c r="M105" s="38">
        <f t="shared" si="5"/>
        <v>0</v>
      </c>
    </row>
    <row r="106" spans="1:13">
      <c r="A106" t="s">
        <v>338</v>
      </c>
      <c r="B106" s="38">
        <v>343.71</v>
      </c>
      <c r="C106" s="36">
        <f t="shared" si="4"/>
        <v>656</v>
      </c>
      <c r="E106" t="str">
        <f>VLOOKUP(A106,MiscData!$AC$4:$AE$115,3,FALSE)</f>
        <v>LS</v>
      </c>
      <c r="F106" s="38">
        <f t="shared" si="6"/>
        <v>656</v>
      </c>
      <c r="M106" s="38">
        <f t="shared" si="5"/>
        <v>999.71</v>
      </c>
    </row>
    <row r="107" spans="1:13">
      <c r="A107" t="s">
        <v>336</v>
      </c>
      <c r="B107" s="38">
        <v>117.38</v>
      </c>
      <c r="C107" s="36">
        <f t="shared" si="4"/>
        <v>224</v>
      </c>
      <c r="E107" t="str">
        <f>VLOOKUP(A107,MiscData!$AC$4:$AE$115,3,FALSE)</f>
        <v>RLS</v>
      </c>
      <c r="F107" s="38">
        <f t="shared" si="6"/>
        <v>224</v>
      </c>
      <c r="M107" s="38">
        <f t="shared" si="5"/>
        <v>341.38</v>
      </c>
    </row>
    <row r="108" spans="1:13">
      <c r="A108" t="s">
        <v>335</v>
      </c>
      <c r="B108" s="38">
        <v>31.5</v>
      </c>
      <c r="C108" s="36">
        <f t="shared" si="4"/>
        <v>60</v>
      </c>
      <c r="E108" t="str">
        <f>VLOOKUP(A108,MiscData!$AC$4:$AE$115,3,FALSE)</f>
        <v>RLS</v>
      </c>
      <c r="F108" s="38">
        <f t="shared" si="6"/>
        <v>60</v>
      </c>
      <c r="M108" s="38">
        <f t="shared" si="5"/>
        <v>91.5</v>
      </c>
    </row>
    <row r="109" spans="1:13">
      <c r="A109" t="s">
        <v>370</v>
      </c>
      <c r="B109" s="38">
        <v>3887.33</v>
      </c>
      <c r="C109" s="36">
        <f t="shared" si="4"/>
        <v>7424</v>
      </c>
      <c r="E109" t="str">
        <f>VLOOKUP(A109,MiscData!$AC$4:$AE$115,3,FALSE)</f>
        <v>LS</v>
      </c>
      <c r="F109" s="38">
        <f t="shared" si="6"/>
        <v>7424</v>
      </c>
      <c r="M109" s="38">
        <f t="shared" si="5"/>
        <v>11311.33</v>
      </c>
    </row>
    <row r="110" spans="1:13">
      <c r="A110" t="s">
        <v>368</v>
      </c>
      <c r="B110" s="38">
        <v>1087.53</v>
      </c>
      <c r="C110" s="36">
        <f t="shared" si="4"/>
        <v>2077</v>
      </c>
      <c r="E110" t="str">
        <f>VLOOKUP(A110,MiscData!$AC$4:$AE$115,3,FALSE)</f>
        <v>RLS</v>
      </c>
      <c r="F110" s="38">
        <f t="shared" si="6"/>
        <v>2077</v>
      </c>
      <c r="M110" s="38">
        <f t="shared" si="5"/>
        <v>3164.5299999999997</v>
      </c>
    </row>
    <row r="111" spans="1:13">
      <c r="A111" t="s">
        <v>367</v>
      </c>
      <c r="B111" s="38">
        <v>404.29</v>
      </c>
      <c r="C111" s="36">
        <f t="shared" si="4"/>
        <v>772</v>
      </c>
      <c r="E111" t="str">
        <f>VLOOKUP(A111,MiscData!$AC$4:$AE$115,3,FALSE)</f>
        <v>RLS</v>
      </c>
      <c r="F111" s="38">
        <f t="shared" si="6"/>
        <v>772</v>
      </c>
      <c r="M111" s="38">
        <f t="shared" si="5"/>
        <v>1176.29</v>
      </c>
    </row>
    <row r="112" spans="1:13">
      <c r="A112" t="s">
        <v>333</v>
      </c>
      <c r="B112" s="38">
        <v>1874.2</v>
      </c>
      <c r="C112" s="36">
        <f t="shared" si="4"/>
        <v>3579</v>
      </c>
      <c r="E112" t="str">
        <f>VLOOKUP(A112,MiscData!$AC$4:$AE$115,3,FALSE)</f>
        <v>LS</v>
      </c>
      <c r="F112" s="38">
        <f t="shared" si="6"/>
        <v>3579</v>
      </c>
      <c r="M112" s="38">
        <f t="shared" si="5"/>
        <v>5453.2</v>
      </c>
    </row>
    <row r="113" spans="1:13">
      <c r="A113" t="s">
        <v>331</v>
      </c>
      <c r="B113" s="38">
        <v>537.35</v>
      </c>
      <c r="C113" s="36">
        <f t="shared" ref="C113:C123" si="7">ROUND((B113/$G$7*-1)*$G$8,0)</f>
        <v>1026</v>
      </c>
      <c r="E113" t="str">
        <f>VLOOKUP(A113,MiscData!$AC$4:$AE$115,3,FALSE)</f>
        <v>RLS</v>
      </c>
      <c r="F113" s="38">
        <f t="shared" si="6"/>
        <v>1026</v>
      </c>
      <c r="M113" s="38">
        <f t="shared" si="5"/>
        <v>1563.35</v>
      </c>
    </row>
    <row r="114" spans="1:13">
      <c r="A114" t="s">
        <v>330</v>
      </c>
      <c r="B114" s="38">
        <v>186.14</v>
      </c>
      <c r="C114" s="36">
        <f t="shared" si="7"/>
        <v>355</v>
      </c>
      <c r="E114" t="str">
        <f>VLOOKUP(A114,MiscData!$AC$4:$AE$115,3,FALSE)</f>
        <v>RLS</v>
      </c>
      <c r="F114" s="38">
        <f t="shared" si="6"/>
        <v>355</v>
      </c>
      <c r="M114" s="38">
        <f t="shared" si="5"/>
        <v>541.14</v>
      </c>
    </row>
    <row r="115" spans="1:13">
      <c r="A115" t="s">
        <v>337</v>
      </c>
      <c r="B115" s="38">
        <v>37.96</v>
      </c>
      <c r="C115" s="36">
        <f t="shared" si="7"/>
        <v>72</v>
      </c>
      <c r="E115" t="str">
        <f>VLOOKUP(A115,MiscData!$AC$4:$AE$115,3,FALSE)</f>
        <v>LS</v>
      </c>
      <c r="F115" s="38">
        <f t="shared" si="6"/>
        <v>72</v>
      </c>
      <c r="M115" s="38">
        <f t="shared" si="5"/>
        <v>109.96000000000001</v>
      </c>
    </row>
    <row r="116" spans="1:13">
      <c r="A116" t="s">
        <v>334</v>
      </c>
      <c r="B116" s="38">
        <v>288.62</v>
      </c>
      <c r="C116" s="36">
        <f t="shared" si="7"/>
        <v>551</v>
      </c>
      <c r="E116" t="str">
        <f>VLOOKUP(A116,MiscData!$AC$4:$AE$115,3,FALSE)</f>
        <v>LS</v>
      </c>
      <c r="F116" s="38">
        <f t="shared" si="6"/>
        <v>551</v>
      </c>
      <c r="M116" s="38">
        <f t="shared" si="5"/>
        <v>839.62</v>
      </c>
    </row>
    <row r="117" spans="1:13">
      <c r="A117" t="s">
        <v>369</v>
      </c>
      <c r="B117" s="38">
        <v>278.56</v>
      </c>
      <c r="C117" s="36">
        <f t="shared" si="7"/>
        <v>532</v>
      </c>
      <c r="E117" t="str">
        <f>VLOOKUP(A117,MiscData!$AC$4:$AE$115,3,FALSE)</f>
        <v>LS</v>
      </c>
      <c r="F117" s="38">
        <f t="shared" si="6"/>
        <v>532</v>
      </c>
      <c r="M117" s="38">
        <f t="shared" si="5"/>
        <v>810.56</v>
      </c>
    </row>
    <row r="118" spans="1:13">
      <c r="A118" t="s">
        <v>366</v>
      </c>
      <c r="B118" s="38">
        <v>954.59</v>
      </c>
      <c r="C118" s="36">
        <f t="shared" si="7"/>
        <v>1823</v>
      </c>
      <c r="E118" t="str">
        <f>VLOOKUP(A118,MiscData!$AC$4:$AE$115,3,FALSE)</f>
        <v>LS</v>
      </c>
      <c r="F118" s="38">
        <f t="shared" si="6"/>
        <v>1823</v>
      </c>
      <c r="M118" s="38">
        <f t="shared" si="5"/>
        <v>2777.59</v>
      </c>
    </row>
    <row r="119" spans="1:13">
      <c r="A119" t="s">
        <v>332</v>
      </c>
      <c r="B119" s="38">
        <v>97.11</v>
      </c>
      <c r="C119" s="36">
        <f t="shared" si="7"/>
        <v>185</v>
      </c>
      <c r="E119" t="str">
        <f>VLOOKUP(A119,MiscData!$AC$4:$AE$115,3,FALSE)</f>
        <v>LS</v>
      </c>
      <c r="F119" s="38">
        <f t="shared" si="6"/>
        <v>185</v>
      </c>
      <c r="M119" s="38">
        <f t="shared" si="5"/>
        <v>282.11</v>
      </c>
    </row>
    <row r="120" spans="1:13">
      <c r="A120" t="s">
        <v>329</v>
      </c>
      <c r="B120" s="38">
        <v>403.66</v>
      </c>
      <c r="C120" s="36">
        <f t="shared" si="7"/>
        <v>771</v>
      </c>
      <c r="E120" t="str">
        <f>VLOOKUP(A120,MiscData!$AC$4:$AE$115,3,FALSE)</f>
        <v>LS</v>
      </c>
      <c r="F120" s="38">
        <f t="shared" si="6"/>
        <v>771</v>
      </c>
      <c r="M120" s="38">
        <f t="shared" si="5"/>
        <v>1174.6600000000001</v>
      </c>
    </row>
    <row r="121" spans="1:13">
      <c r="C121" s="36">
        <f t="shared" si="7"/>
        <v>0</v>
      </c>
    </row>
    <row r="122" spans="1:13">
      <c r="A122" t="s">
        <v>224</v>
      </c>
      <c r="B122" s="38">
        <v>436201.51</v>
      </c>
      <c r="C122" s="36">
        <f t="shared" si="7"/>
        <v>833050</v>
      </c>
      <c r="M122" s="38">
        <f>SUM(B122:C122)</f>
        <v>1269251.51</v>
      </c>
    </row>
    <row r="123" spans="1:13">
      <c r="A123" t="s">
        <v>18</v>
      </c>
      <c r="B123" s="38">
        <v>471346.54</v>
      </c>
      <c r="C123" s="36">
        <f t="shared" si="7"/>
        <v>900169</v>
      </c>
      <c r="M123" s="38">
        <f>SUM(B123:C123)</f>
        <v>1371515.54</v>
      </c>
    </row>
    <row r="124" spans="1:13">
      <c r="C124" s="36"/>
    </row>
    <row r="125" spans="1:13">
      <c r="A125" t="s">
        <v>25</v>
      </c>
      <c r="B125" s="38">
        <v>963884.3</v>
      </c>
      <c r="C125" s="36">
        <f>ROUND((B125/$G$7*-1)*$G$8,0)</f>
        <v>1840809</v>
      </c>
      <c r="M125" s="38">
        <f>SUM(B125:C125)</f>
        <v>2804693.3</v>
      </c>
    </row>
    <row r="126" spans="1:13">
      <c r="A126" t="s">
        <v>26</v>
      </c>
      <c r="B126" s="285">
        <v>239821.48</v>
      </c>
      <c r="C126" s="36">
        <f>ROUND((B126/$G$7*-1)*$G$8,0)</f>
        <v>458007</v>
      </c>
      <c r="M126" s="38">
        <f>SUM(B126:C126)</f>
        <v>697828.48</v>
      </c>
    </row>
    <row r="127" spans="1:13">
      <c r="C127" s="36"/>
    </row>
    <row r="128" spans="1:13">
      <c r="A128" t="s">
        <v>220</v>
      </c>
      <c r="B128" s="38">
        <v>76656.88</v>
      </c>
      <c r="C128" s="36">
        <f>ROUND((B128/$G$7*-1)*$G$8,0)</f>
        <v>146398</v>
      </c>
      <c r="M128" s="38">
        <f>SUM(B128:C128)</f>
        <v>223054.88</v>
      </c>
    </row>
    <row r="129" spans="1:13">
      <c r="C129" s="36"/>
    </row>
    <row r="130" spans="1:13">
      <c r="A130" t="s">
        <v>221</v>
      </c>
      <c r="B130" s="285">
        <v>572888.69999999995</v>
      </c>
      <c r="C130" s="36">
        <f>ROUND((B130/$G$7*-1)*$G$8,0)</f>
        <v>1094093</v>
      </c>
      <c r="M130" s="38">
        <f>SUM(B130:C130)</f>
        <v>1666981.7</v>
      </c>
    </row>
    <row r="131" spans="1:13">
      <c r="C131" s="36"/>
    </row>
    <row r="132" spans="1:13">
      <c r="A132" t="s">
        <v>19</v>
      </c>
      <c r="B132" s="38">
        <v>241123.72</v>
      </c>
      <c r="C132" s="36">
        <f>ROUND((B132/$G$7*-1)*$G$8,0)</f>
        <v>460494</v>
      </c>
      <c r="M132" s="38">
        <f>SUM(B132:C132)</f>
        <v>701617.72</v>
      </c>
    </row>
    <row r="133" spans="1:13">
      <c r="C133" s="36"/>
    </row>
    <row r="134" spans="1:13">
      <c r="A134" t="s">
        <v>28</v>
      </c>
      <c r="B134" s="38">
        <v>59570.87</v>
      </c>
      <c r="C134" s="36">
        <f>ROUND((B134/$G$7*-1)*$G$8,0)</f>
        <v>113767</v>
      </c>
      <c r="M134" s="38">
        <f>SUM(B134:C134)</f>
        <v>173337.87</v>
      </c>
    </row>
    <row r="136" spans="1:13">
      <c r="A136" t="s">
        <v>745</v>
      </c>
      <c r="B136" s="36">
        <f>SUMIF($E$17:$E$120,A136,$B$17:$B$120)</f>
        <v>0</v>
      </c>
      <c r="C136" s="36">
        <f>SUMIF($E$17:$E$120,A136,$F$17:$F$120)</f>
        <v>0</v>
      </c>
      <c r="M136" s="38">
        <f>SUM(B136:C136)</f>
        <v>0</v>
      </c>
    </row>
    <row r="137" spans="1:13">
      <c r="A137" t="s">
        <v>702</v>
      </c>
      <c r="B137" s="36">
        <f>SUMIF($E$17:$E$120,A137,$B$17:$B$120)</f>
        <v>0</v>
      </c>
      <c r="C137" s="36">
        <f>SUMIF($E$17:$E$120,A137,$F$17:$F$120)</f>
        <v>0</v>
      </c>
      <c r="M137" s="38">
        <f>SUM(B137:C137)</f>
        <v>0</v>
      </c>
    </row>
    <row r="138" spans="1:13">
      <c r="A138" t="s">
        <v>703</v>
      </c>
      <c r="B138" s="36">
        <f>SUMIF($E$17:$E$120,A138,$B$17:$B$120)</f>
        <v>0</v>
      </c>
      <c r="C138" s="36">
        <f>SUMIF($E$17:$E$120,A138,$F$17:$F$120)</f>
        <v>0</v>
      </c>
      <c r="M138" s="38">
        <f>SUM(B138:C138)</f>
        <v>0</v>
      </c>
    </row>
    <row r="140" spans="1:13">
      <c r="B140" s="38">
        <f>SUM(B4:B16,B121:B138)</f>
        <v>5055612.8099999996</v>
      </c>
      <c r="C140" s="38">
        <f>SUM(C4:C134)</f>
        <v>9828313</v>
      </c>
      <c r="M140" s="38">
        <f>SUM(M4:M134)</f>
        <v>14974615.999999998</v>
      </c>
    </row>
    <row r="141" spans="1:13">
      <c r="C141" s="38"/>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I160"/>
  <sheetViews>
    <sheetView workbookViewId="0"/>
  </sheetViews>
  <sheetFormatPr defaultRowHeight="12"/>
  <cols>
    <col min="1" max="1" width="52.6640625" style="64" customWidth="1"/>
    <col min="2" max="2" width="9.33203125" style="64"/>
    <col min="3" max="4" width="18.33203125" style="64" bestFit="1" customWidth="1"/>
    <col min="5" max="5" width="17.83203125" style="64" bestFit="1" customWidth="1"/>
    <col min="6" max="6" width="3.33203125" style="64" customWidth="1"/>
    <col min="7" max="7" width="12.5" style="64" bestFit="1" customWidth="1"/>
    <col min="8" max="8" width="18.1640625" style="64" bestFit="1" customWidth="1"/>
    <col min="9" max="9" width="15.1640625" style="64" customWidth="1"/>
    <col min="10" max="10" width="3.5" style="64" customWidth="1"/>
    <col min="11" max="11" width="19.6640625" style="64" bestFit="1" customWidth="1"/>
    <col min="12" max="12" width="16.5" style="64" customWidth="1"/>
    <col min="13" max="13" width="15.1640625" style="64" bestFit="1" customWidth="1"/>
    <col min="14" max="14" width="3.83203125" style="64" customWidth="1"/>
    <col min="15" max="15" width="10" style="66" bestFit="1" customWidth="1"/>
    <col min="16" max="16" width="19.83203125" style="66" customWidth="1"/>
    <col min="17" max="26" width="9.33203125" style="64"/>
    <col min="27" max="27" width="10.6640625" style="64" bestFit="1" customWidth="1"/>
    <col min="28" max="30" width="18.6640625" style="64" bestFit="1" customWidth="1"/>
    <col min="31" max="32" width="19.1640625" style="64" bestFit="1" customWidth="1"/>
    <col min="33" max="33" width="12.33203125" style="64" bestFit="1" customWidth="1"/>
    <col min="34" max="34" width="9.33203125" style="64"/>
    <col min="35" max="35" width="10" style="64" bestFit="1" customWidth="1"/>
    <col min="36" max="16384" width="9.33203125" style="64"/>
  </cols>
  <sheetData>
    <row r="1" spans="1:35">
      <c r="Y1" s="64" t="s">
        <v>165</v>
      </c>
      <c r="AB1" s="53" t="str">
        <f>TEXT(MiscData!$D$1,"mmmyy")&amp;"-"&amp;TEXT(MiscData!$B$23,"mmmyy")</f>
        <v>Mar14-Jul14</v>
      </c>
    </row>
    <row r="2" spans="1:35">
      <c r="Y2" s="64" t="s">
        <v>166</v>
      </c>
      <c r="AB2" s="53" t="str">
        <f>TEXT(MiscData!$A$24,"mmmyy")&amp;"-"&amp;TEXT(MiscData!$B$24,"mmmyy")</f>
        <v>Aug14-Aug14</v>
      </c>
    </row>
    <row r="3" spans="1:35">
      <c r="Y3" s="67" t="s">
        <v>167</v>
      </c>
      <c r="AB3" s="53" t="str">
        <f>TEXT(MiscData!$A$25,"mmmyy")&amp;"-"&amp;TEXT(MiscData!$F$1,"mmmyy")</f>
        <v>Sep14-Feb15</v>
      </c>
    </row>
    <row r="4" spans="1:35" ht="12.75">
      <c r="A4" s="68" t="str">
        <f>"Based on Sales for the 12 months ended "&amp;TEXT(MiscData!F1,"mmmm dd, yyyy")</f>
        <v>Based on Sales for the 12 months ended February 28, 2015</v>
      </c>
      <c r="B4" s="69"/>
      <c r="C4" s="70"/>
      <c r="D4" s="71"/>
      <c r="E4" s="71"/>
      <c r="F4" s="72"/>
      <c r="G4" s="69"/>
      <c r="H4" s="73"/>
      <c r="I4" s="73"/>
      <c r="J4" s="70"/>
      <c r="K4" s="70"/>
      <c r="L4" s="70"/>
      <c r="M4" s="70"/>
      <c r="N4" s="69"/>
      <c r="O4" s="74"/>
      <c r="P4" s="74"/>
      <c r="AB4" s="64" t="s">
        <v>100</v>
      </c>
    </row>
    <row r="5" spans="1:35" ht="12.75">
      <c r="A5" s="75" t="str">
        <f>"Including the "&amp;MiscData!D24&amp;" effective on "&amp;TEXT(MiscData!$A$24,"mmmm dd, yyyy")</f>
        <v>Including the  effective on August 01, 2014</v>
      </c>
      <c r="B5" s="69"/>
      <c r="C5" s="72"/>
      <c r="D5" s="72"/>
      <c r="E5" s="72"/>
      <c r="F5" s="72"/>
      <c r="G5" s="69"/>
      <c r="H5" s="73"/>
      <c r="I5" s="73"/>
      <c r="J5" s="70"/>
      <c r="K5" s="73"/>
      <c r="L5" s="73"/>
      <c r="M5" s="73"/>
      <c r="N5" s="69"/>
      <c r="O5" s="76"/>
      <c r="P5" s="74"/>
      <c r="AB5" s="64" t="s">
        <v>164</v>
      </c>
    </row>
    <row r="6" spans="1:35" ht="12.75">
      <c r="A6" s="75" t="str">
        <f>"Including the "&amp;MiscData!D25&amp;" effective on "&amp;TEXT(MiscData!$A$25-3,"mmmm dd, yyyy")</f>
        <v>Including the base period forecast effective on August 29, 2014</v>
      </c>
      <c r="B6" s="69"/>
      <c r="C6" s="72"/>
      <c r="D6" s="72"/>
      <c r="E6" s="72"/>
      <c r="F6" s="72"/>
      <c r="G6" s="69"/>
      <c r="H6" s="73"/>
      <c r="I6" s="73"/>
      <c r="J6" s="70"/>
      <c r="K6" s="73" t="s">
        <v>149</v>
      </c>
      <c r="L6" s="73" t="s">
        <v>149</v>
      </c>
      <c r="M6" s="73" t="s">
        <v>149</v>
      </c>
      <c r="N6" s="69"/>
      <c r="O6" s="74"/>
      <c r="P6" s="74"/>
      <c r="AB6" s="64" t="s">
        <v>495</v>
      </c>
    </row>
    <row r="7" spans="1:35" ht="12.75">
      <c r="A7" s="75"/>
      <c r="B7" s="69"/>
      <c r="C7" s="73" t="s">
        <v>510</v>
      </c>
      <c r="D7" s="73" t="s">
        <v>510</v>
      </c>
      <c r="E7" s="73" t="s">
        <v>510</v>
      </c>
      <c r="F7" s="77"/>
      <c r="G7" s="73" t="str">
        <f>$AB$1</f>
        <v>Mar14-Jul14</v>
      </c>
      <c r="H7" s="73" t="str">
        <f>$AB$2</f>
        <v>Aug14-Aug14</v>
      </c>
      <c r="I7" s="73" t="s">
        <v>743</v>
      </c>
      <c r="J7" s="73"/>
      <c r="K7" s="73" t="s">
        <v>511</v>
      </c>
      <c r="L7" s="73" t="s">
        <v>512</v>
      </c>
      <c r="M7" s="73" t="s">
        <v>741</v>
      </c>
      <c r="N7" s="73"/>
      <c r="O7" s="74"/>
      <c r="P7" s="74"/>
      <c r="AB7" s="67" t="s">
        <v>496</v>
      </c>
    </row>
    <row r="8" spans="1:35" ht="12.75">
      <c r="A8" s="78"/>
      <c r="B8" s="69"/>
      <c r="C8" s="79" t="str">
        <f>$AB$1&amp;" Rates"</f>
        <v>Mar14-Jul14 Rates</v>
      </c>
      <c r="D8" s="79" t="str">
        <f>$AB$2&amp;" Rates"</f>
        <v>Aug14-Aug14 Rates</v>
      </c>
      <c r="E8" s="79" t="str">
        <f>$AB$3&amp;" Rates"</f>
        <v>Sep14-Feb15 Rates</v>
      </c>
      <c r="F8" s="73"/>
      <c r="G8" s="80" t="s">
        <v>127</v>
      </c>
      <c r="H8" s="80" t="s">
        <v>127</v>
      </c>
      <c r="I8" s="80" t="s">
        <v>127</v>
      </c>
      <c r="J8" s="73"/>
      <c r="K8" s="80" t="str">
        <f>"Ended "&amp;TEXT(MiscData!F1,"mmmm dd, yyyy")</f>
        <v>Ended February 28, 2015</v>
      </c>
      <c r="L8" s="80" t="s">
        <v>513</v>
      </c>
      <c r="M8" s="80" t="s">
        <v>742</v>
      </c>
      <c r="N8" s="73"/>
      <c r="O8" s="74"/>
      <c r="P8" s="74"/>
      <c r="AB8" s="64" t="s">
        <v>502</v>
      </c>
    </row>
    <row r="9" spans="1:35" ht="12.75">
      <c r="A9" s="78"/>
      <c r="B9" s="69"/>
      <c r="C9" s="81"/>
      <c r="D9" s="82"/>
      <c r="E9" s="82"/>
      <c r="F9" s="70"/>
      <c r="G9" s="70"/>
      <c r="H9" s="70"/>
      <c r="I9" s="70"/>
      <c r="J9" s="70"/>
      <c r="K9" s="70"/>
      <c r="L9" s="70"/>
      <c r="M9" s="70"/>
      <c r="N9" s="70"/>
      <c r="O9" s="83"/>
      <c r="P9" s="83"/>
    </row>
    <row r="10" spans="1:35" ht="12.75">
      <c r="A10" s="78"/>
      <c r="B10" s="69"/>
      <c r="C10" s="81"/>
      <c r="D10" s="82"/>
      <c r="E10" s="82"/>
      <c r="F10" s="70"/>
      <c r="G10" s="70"/>
      <c r="H10" s="70"/>
      <c r="I10" s="70"/>
      <c r="J10" s="70"/>
      <c r="K10" s="70"/>
      <c r="L10" s="70"/>
      <c r="M10" s="70"/>
      <c r="N10" s="70"/>
      <c r="O10" s="83"/>
      <c r="P10" s="83"/>
    </row>
    <row r="11" spans="1:35" ht="12.75">
      <c r="A11" s="78"/>
      <c r="B11" s="69"/>
      <c r="C11" s="81"/>
      <c r="D11" s="82"/>
      <c r="E11" s="82"/>
      <c r="F11" s="70"/>
      <c r="G11" s="70"/>
      <c r="H11" s="70"/>
      <c r="I11" s="70"/>
      <c r="J11" s="70"/>
      <c r="K11" s="70"/>
      <c r="L11" s="70"/>
      <c r="M11" s="70"/>
      <c r="N11" s="70"/>
      <c r="O11" s="83"/>
      <c r="P11" s="83"/>
    </row>
    <row r="12" spans="1:35" ht="13.5" thickBot="1">
      <c r="A12" s="78"/>
      <c r="B12" s="69"/>
      <c r="C12" s="81"/>
      <c r="D12" s="82"/>
      <c r="E12" s="82"/>
      <c r="F12" s="70"/>
      <c r="G12" s="70"/>
      <c r="H12" s="70"/>
      <c r="I12" s="70"/>
      <c r="J12" s="70"/>
      <c r="K12" s="70"/>
      <c r="L12" s="70"/>
      <c r="M12" s="70"/>
      <c r="N12" s="70"/>
      <c r="O12" s="83"/>
      <c r="P12" s="83"/>
    </row>
    <row r="13" spans="1:35" ht="12.75">
      <c r="A13" s="84" t="s">
        <v>509</v>
      </c>
      <c r="B13" s="85"/>
      <c r="C13" s="86"/>
      <c r="D13" s="85"/>
      <c r="E13" s="85"/>
      <c r="F13" s="86"/>
      <c r="G13" s="86"/>
      <c r="H13" s="86"/>
      <c r="I13" s="86"/>
      <c r="J13" s="86"/>
      <c r="K13" s="85"/>
      <c r="L13" s="85"/>
      <c r="M13" s="85"/>
      <c r="N13" s="87"/>
      <c r="O13" s="88"/>
      <c r="P13" s="88"/>
    </row>
    <row r="14" spans="1:35" ht="12.75">
      <c r="A14" s="89" t="s">
        <v>539</v>
      </c>
      <c r="B14" s="69"/>
      <c r="C14" s="90"/>
      <c r="D14" s="69"/>
      <c r="E14" s="69"/>
      <c r="F14" s="90"/>
      <c r="G14" s="90"/>
      <c r="H14" s="90"/>
      <c r="I14" s="90"/>
      <c r="J14" s="90"/>
      <c r="K14" s="69"/>
      <c r="L14" s="69"/>
      <c r="M14" s="69"/>
      <c r="N14" s="91"/>
      <c r="O14" s="88"/>
      <c r="P14" s="88"/>
    </row>
    <row r="15" spans="1:35" ht="12.75">
      <c r="A15" s="92" t="s">
        <v>514</v>
      </c>
      <c r="B15" s="69"/>
      <c r="C15" s="72"/>
      <c r="D15" s="72"/>
      <c r="E15" s="72"/>
      <c r="F15" s="69"/>
      <c r="G15" s="69"/>
      <c r="H15" s="93"/>
      <c r="I15" s="94"/>
      <c r="J15" s="95"/>
      <c r="K15" s="93"/>
      <c r="L15" s="94"/>
      <c r="M15" s="94"/>
      <c r="N15" s="96"/>
      <c r="O15" s="93"/>
      <c r="P15" s="97"/>
      <c r="Y15" s="64" t="s">
        <v>190</v>
      </c>
      <c r="AB15" s="72" t="str">
        <f>MiscData!$C$23&amp;$Y$15</f>
        <v>20140101KURSE010</v>
      </c>
      <c r="AC15" s="72" t="str">
        <f>MiscData!$C$23&amp;$Y$16</f>
        <v>20140101KURSE020</v>
      </c>
      <c r="AD15" s="72"/>
      <c r="AE15" s="72"/>
      <c r="AF15" s="72"/>
      <c r="AG15" s="98" t="s">
        <v>190</v>
      </c>
      <c r="AI15" s="98"/>
    </row>
    <row r="16" spans="1:35" ht="12.75">
      <c r="A16" s="99" t="s">
        <v>515</v>
      </c>
      <c r="B16" s="100" t="s">
        <v>372</v>
      </c>
      <c r="C16" s="101">
        <f>SUMIF(_12MonLights_TariffRateCategory,MiscData!$C$23&amp;$B16,_12MonLights_Count)+SUMIF(_12MonLights_TariffRateCategory,MiscData!$C$23&amp;$B16,_12MonLights_Count_Adj)</f>
        <v>78858</v>
      </c>
      <c r="D16" s="101">
        <f>SUMIF(_12MonLights_TariffRateCategory,MiscData!$C$24&amp;$B16,_12MonLights_Count)+SUMIF(_12MonLights_TariffRateCategory,MiscData!$C$23&amp;$B16,_12MonLights_Count_Adj)</f>
        <v>78858</v>
      </c>
      <c r="E16" s="101">
        <f>SUMIF(_12MonLights_TariffRateCategory,MiscData!$C$25&amp;$B16,_12MonLights_Count)+SUMIF(_12MonLights_TariffRateCategory,MiscData!$C$23&amp;$B16,_12MonLights_Count_Adj)</f>
        <v>78858</v>
      </c>
      <c r="F16" s="69"/>
      <c r="G16" s="102">
        <f>SUMIF(_Lights_Tariff_Category,MiscData!$C$23&amp;$B16,_Lights_Rates)</f>
        <v>7.54</v>
      </c>
      <c r="H16" s="102">
        <f>SUMIF(_Lights_Tariff_Category,MiscData!$C$24&amp;$B16,_Lights_Rates)</f>
        <v>7.54</v>
      </c>
      <c r="I16" s="102">
        <f>SUMIF(_Lights_Tariff_Category,MiscData!$C$25&amp;$B16,_Lights_Rates)-SUMIF(_Lights_Tariff_Category,MiscData!$C$25&amp;$B16,_Rates_Lights_ECR)</f>
        <v>7.21</v>
      </c>
      <c r="J16" s="69"/>
      <c r="K16" s="102">
        <f t="shared" ref="K16:K25" si="0">ROUND(SUM($C16*$G16,$D16*$H16,$E16*$I16),2)</f>
        <v>1757744.82</v>
      </c>
      <c r="L16" s="102">
        <f t="shared" ref="L16:L25" si="1">ROUND(SUM($C16*$H16,$D16*$H16,$E16*$I16),2)</f>
        <v>1757744.82</v>
      </c>
      <c r="M16" s="102">
        <f t="shared" ref="M16:M25" si="2">ROUND(SUM($C16*$I16,$D16*$I16,$E16*$I16),2)</f>
        <v>1705698.54</v>
      </c>
      <c r="N16" s="96"/>
      <c r="O16" s="93"/>
      <c r="P16" s="97"/>
      <c r="Y16" s="67" t="s">
        <v>191</v>
      </c>
      <c r="AB16" s="72" t="str">
        <f>MiscData!$C$24&amp;$Y$15</f>
        <v>20140101KURSE010</v>
      </c>
      <c r="AC16" s="72" t="str">
        <f>MiscData!$C$24&amp;$Y$16</f>
        <v>20140101KURSE020</v>
      </c>
      <c r="AD16" s="72"/>
      <c r="AE16" s="72"/>
      <c r="AF16" s="72"/>
      <c r="AG16" s="98" t="s">
        <v>191</v>
      </c>
      <c r="AI16" s="98"/>
    </row>
    <row r="17" spans="1:35" ht="12.75">
      <c r="A17" s="103" t="s">
        <v>516</v>
      </c>
      <c r="B17" s="104" t="s">
        <v>371</v>
      </c>
      <c r="C17" s="101">
        <f>SUMIF(_12MonLights_TariffRateCategory,MiscData!$C$23&amp;$B17,_12MonLights_Count)+SUMIF(_12MonLights_TariffRateCategory,MiscData!$C$23&amp;$B17,_12MonLights_Count_Adj)</f>
        <v>43380</v>
      </c>
      <c r="D17" s="101">
        <f>SUMIF(_12MonLights_TariffRateCategory,MiscData!$C$24&amp;$B17,_12MonLights_Count)+SUMIF(_12MonLights_TariffRateCategory,MiscData!$C$23&amp;$B17,_12MonLights_Count_Adj)</f>
        <v>43380</v>
      </c>
      <c r="E17" s="101">
        <f>SUMIF(_12MonLights_TariffRateCategory,MiscData!$C$25&amp;$B17,_12MonLights_Count)+SUMIF(_12MonLights_TariffRateCategory,MiscData!$C$23&amp;$B17,_12MonLights_Count_Adj)</f>
        <v>43380</v>
      </c>
      <c r="F17" s="69"/>
      <c r="G17" s="102">
        <f>SUMIF(_Lights_Tariff_Category,MiscData!$C$23&amp;$B17,_Lights_Rates)</f>
        <v>10.49</v>
      </c>
      <c r="H17" s="102">
        <f>SUMIF(_Lights_Tariff_Category,MiscData!$C$24&amp;$B17,_Lights_Rates)</f>
        <v>10.49</v>
      </c>
      <c r="I17" s="102">
        <f>SUMIF(_Lights_Tariff_Category,MiscData!$C$25&amp;$B17,_Lights_Rates)-SUMIF(_Lights_Tariff_Category,MiscData!$C$25&amp;$B17,_Rates_Lights_ECR)</f>
        <v>10.16</v>
      </c>
      <c r="J17" s="69"/>
      <c r="K17" s="102">
        <f t="shared" si="0"/>
        <v>1350853.2</v>
      </c>
      <c r="L17" s="102">
        <f t="shared" si="1"/>
        <v>1350853.2</v>
      </c>
      <c r="M17" s="102">
        <f t="shared" si="2"/>
        <v>1322222.3999999999</v>
      </c>
      <c r="N17" s="96"/>
      <c r="O17" s="93"/>
      <c r="P17" s="97"/>
      <c r="AB17" s="72" t="str">
        <f>MiscData!$C$25&amp;$Y$15</f>
        <v>20140101KURSE010</v>
      </c>
      <c r="AC17" s="72" t="str">
        <f>MiscData!$C$25&amp;$Y$16</f>
        <v>20140101KURSE020</v>
      </c>
      <c r="AD17" s="72"/>
      <c r="AE17" s="72"/>
      <c r="AF17" s="72"/>
      <c r="AG17" s="98" t="s">
        <v>192</v>
      </c>
      <c r="AI17" s="98"/>
    </row>
    <row r="18" spans="1:35" ht="12.75">
      <c r="A18" s="103" t="s">
        <v>517</v>
      </c>
      <c r="B18" s="104" t="s">
        <v>381</v>
      </c>
      <c r="C18" s="101">
        <f>SUMIF(_12MonLights_TariffRateCategory,MiscData!$C$23&amp;$B18,_12MonLights_Count)+SUMIF(_12MonLights_TariffRateCategory,MiscData!$C$23&amp;$B18,_12MonLights_Count_Adj)</f>
        <v>102508</v>
      </c>
      <c r="D18" s="101">
        <f>SUMIF(_12MonLights_TariffRateCategory,MiscData!$C$24&amp;$B18,_12MonLights_Count)+SUMIF(_12MonLights_TariffRateCategory,MiscData!$C$23&amp;$B18,_12MonLights_Count_Adj)</f>
        <v>102508</v>
      </c>
      <c r="E18" s="101">
        <f>SUMIF(_12MonLights_TariffRateCategory,MiscData!$C$25&amp;$B18,_12MonLights_Count)+SUMIF(_12MonLights_TariffRateCategory,MiscData!$C$23&amp;$B18,_12MonLights_Count_Adj)</f>
        <v>102508</v>
      </c>
      <c r="F18" s="69"/>
      <c r="G18" s="102">
        <f>SUMIF(_Lights_Tariff_Category,MiscData!$C$23&amp;$B18,_Lights_Rates)</f>
        <v>8.66</v>
      </c>
      <c r="H18" s="102">
        <f>SUMIF(_Lights_Tariff_Category,MiscData!$C$24&amp;$B18,_Lights_Rates)</f>
        <v>8.66</v>
      </c>
      <c r="I18" s="102">
        <f>SUMIF(_Lights_Tariff_Category,MiscData!$C$25&amp;$B18,_Lights_Rates)-SUMIF(_Lights_Tariff_Category,MiscData!$C$25&amp;$B18,_Rates_Lights_ECR)</f>
        <v>8.23</v>
      </c>
      <c r="J18" s="69"/>
      <c r="K18" s="102">
        <f t="shared" si="0"/>
        <v>2619079.4</v>
      </c>
      <c r="L18" s="102">
        <f t="shared" si="1"/>
        <v>2619079.4</v>
      </c>
      <c r="M18" s="102">
        <f t="shared" si="2"/>
        <v>2530922.52</v>
      </c>
      <c r="N18" s="96"/>
      <c r="O18" s="105"/>
      <c r="P18" s="106"/>
      <c r="AG18" s="98" t="s">
        <v>193</v>
      </c>
      <c r="AI18" s="98"/>
    </row>
    <row r="19" spans="1:35" ht="12.75">
      <c r="A19" s="103" t="s">
        <v>518</v>
      </c>
      <c r="B19" s="104" t="s">
        <v>380</v>
      </c>
      <c r="C19" s="101">
        <f>SUMIF(_12MonLights_TariffRateCategory,MiscData!$C$23&amp;$B19,_12MonLights_Count)+SUMIF(_12MonLights_TariffRateCategory,MiscData!$C$23&amp;$B19,_12MonLights_Count_Adj)</f>
        <v>103542</v>
      </c>
      <c r="D19" s="101">
        <f>SUMIF(_12MonLights_TariffRateCategory,MiscData!$C$24&amp;$B19,_12MonLights_Count)+SUMIF(_12MonLights_TariffRateCategory,MiscData!$C$23&amp;$B19,_12MonLights_Count_Adj)</f>
        <v>103542</v>
      </c>
      <c r="E19" s="101">
        <f>SUMIF(_12MonLights_TariffRateCategory,MiscData!$C$25&amp;$B19,_12MonLights_Count)+SUMIF(_12MonLights_TariffRateCategory,MiscData!$C$23&amp;$B19,_12MonLights_Count_Adj)</f>
        <v>103542</v>
      </c>
      <c r="F19" s="69"/>
      <c r="G19" s="102">
        <f>SUMIF(_Lights_Tariff_Category,MiscData!$C$23&amp;$B19,_Lights_Rates)</f>
        <v>11.600000000000001</v>
      </c>
      <c r="H19" s="102">
        <f>SUMIF(_Lights_Tariff_Category,MiscData!$C$24&amp;$B19,_Lights_Rates)</f>
        <v>11.600000000000001</v>
      </c>
      <c r="I19" s="102">
        <f>SUMIF(_Lights_Tariff_Category,MiscData!$C$25&amp;$B19,_Lights_Rates)-SUMIF(_Lights_Tariff_Category,MiscData!$C$25&amp;$B19,_Rates_Lights_ECR)</f>
        <v>11.170000000000002</v>
      </c>
      <c r="J19" s="69"/>
      <c r="K19" s="102">
        <f t="shared" si="0"/>
        <v>3558738.54</v>
      </c>
      <c r="L19" s="102">
        <f t="shared" si="1"/>
        <v>3558738.54</v>
      </c>
      <c r="M19" s="102">
        <f t="shared" si="2"/>
        <v>3469692.42</v>
      </c>
      <c r="N19" s="96"/>
      <c r="O19" s="107"/>
      <c r="P19" s="97"/>
      <c r="AB19" s="72" t="str">
        <f>MiscData!$C$23&amp;$Y$15</f>
        <v>20140101KURSE010</v>
      </c>
      <c r="AC19" s="72" t="str">
        <f>MiscData!$C$23&amp;$Y$16</f>
        <v>20140101KURSE020</v>
      </c>
      <c r="AD19" s="72"/>
      <c r="AE19" s="72"/>
      <c r="AF19" s="72"/>
      <c r="AG19" s="98" t="s">
        <v>194</v>
      </c>
      <c r="AI19" s="98"/>
    </row>
    <row r="20" spans="1:35" ht="12.75">
      <c r="A20" s="103" t="s">
        <v>519</v>
      </c>
      <c r="B20" s="104" t="s">
        <v>404</v>
      </c>
      <c r="C20" s="101">
        <f>SUMIF(_12MonLights_TariffRateCategory,MiscData!$C$23&amp;$B20,_12MonLights_Count)+SUMIF(_12MonLights_TariffRateCategory,MiscData!$C$23&amp;$B20,_12MonLights_Count_Adj)</f>
        <v>242239</v>
      </c>
      <c r="D20" s="101">
        <f>SUMIF(_12MonLights_TariffRateCategory,MiscData!$C$24&amp;$B20,_12MonLights_Count)+SUMIF(_12MonLights_TariffRateCategory,MiscData!$C$23&amp;$B20,_12MonLights_Count_Adj)</f>
        <v>242239</v>
      </c>
      <c r="E20" s="101">
        <f>SUMIF(_12MonLights_TariffRateCategory,MiscData!$C$25&amp;$B20,_12MonLights_Count)+SUMIF(_12MonLights_TariffRateCategory,MiscData!$C$23&amp;$B20,_12MonLights_Count_Adj)</f>
        <v>242239</v>
      </c>
      <c r="F20" s="69"/>
      <c r="G20" s="102">
        <f>SUMIF(_Lights_Tariff_Category,MiscData!$C$23&amp;$B20,_Lights_Rates)</f>
        <v>9.14</v>
      </c>
      <c r="H20" s="102">
        <f>SUMIF(_Lights_Tariff_Category,MiscData!$C$24&amp;$B20,_Lights_Rates)</f>
        <v>9.14</v>
      </c>
      <c r="I20" s="102">
        <f>SUMIF(_Lights_Tariff_Category,MiscData!$C$25&amp;$B20,_Lights_Rates)-SUMIF(_Lights_Tariff_Category,MiscData!$C$25&amp;$B20,_Rates_Lights_ECR)</f>
        <v>8.8000000000000007</v>
      </c>
      <c r="J20" s="69"/>
      <c r="K20" s="102">
        <f t="shared" si="0"/>
        <v>6559832.1200000001</v>
      </c>
      <c r="L20" s="102">
        <f t="shared" si="1"/>
        <v>6559832.1200000001</v>
      </c>
      <c r="M20" s="102">
        <f t="shared" si="2"/>
        <v>6395109.5999999996</v>
      </c>
      <c r="N20" s="96"/>
      <c r="O20" s="107"/>
      <c r="P20" s="97"/>
      <c r="AB20" s="72" t="str">
        <f>MiscData!$C$24&amp;$Y$15</f>
        <v>20140101KURSE010</v>
      </c>
      <c r="AC20" s="72" t="str">
        <f>MiscData!$C$24&amp;$Y$16</f>
        <v>20140101KURSE020</v>
      </c>
      <c r="AD20" s="72"/>
      <c r="AE20" s="72"/>
      <c r="AF20" s="72"/>
      <c r="AG20" s="98" t="s">
        <v>477</v>
      </c>
      <c r="AI20" s="98"/>
    </row>
    <row r="21" spans="1:35" ht="12.75">
      <c r="A21" s="103" t="s">
        <v>520</v>
      </c>
      <c r="B21" s="104" t="s">
        <v>403</v>
      </c>
      <c r="C21" s="101">
        <f>SUMIF(_12MonLights_TariffRateCategory,MiscData!$C$23&amp;$B21,_12MonLights_Count)+SUMIF(_12MonLights_TariffRateCategory,MiscData!$C$23&amp;$B21,_12MonLights_Count_Adj)</f>
        <v>40086</v>
      </c>
      <c r="D21" s="101">
        <f>SUMIF(_12MonLights_TariffRateCategory,MiscData!$C$24&amp;$B21,_12MonLights_Count)+SUMIF(_12MonLights_TariffRateCategory,MiscData!$C$23&amp;$B21,_12MonLights_Count_Adj)</f>
        <v>40086</v>
      </c>
      <c r="E21" s="101">
        <f>SUMIF(_12MonLights_TariffRateCategory,MiscData!$C$25&amp;$B21,_12MonLights_Count)+SUMIF(_12MonLights_TariffRateCategory,MiscData!$C$23&amp;$B21,_12MonLights_Count_Adj)</f>
        <v>40086</v>
      </c>
      <c r="F21" s="69"/>
      <c r="G21" s="102">
        <f>SUMIF(_Lights_Tariff_Category,MiscData!$C$23&amp;$B21,_Lights_Rates)</f>
        <v>12.3</v>
      </c>
      <c r="H21" s="102">
        <f>SUMIF(_Lights_Tariff_Category,MiscData!$C$24&amp;$B21,_Lights_Rates)</f>
        <v>12.3</v>
      </c>
      <c r="I21" s="102">
        <f>SUMIF(_Lights_Tariff_Category,MiscData!$C$25&amp;$B21,_Lights_Rates)-SUMIF(_Lights_Tariff_Category,MiscData!$C$25&amp;$B21,_Rates_Lights_ECR)</f>
        <v>11.96</v>
      </c>
      <c r="J21" s="69"/>
      <c r="K21" s="102">
        <f t="shared" si="0"/>
        <v>1465544.16</v>
      </c>
      <c r="L21" s="102">
        <f t="shared" si="1"/>
        <v>1465544.16</v>
      </c>
      <c r="M21" s="102">
        <f t="shared" si="2"/>
        <v>1438285.68</v>
      </c>
      <c r="N21" s="96"/>
      <c r="O21" s="107"/>
      <c r="P21" s="97"/>
      <c r="AB21" s="72" t="str">
        <f>MiscData!$C$25&amp;$Y$15</f>
        <v>20140101KURSE010</v>
      </c>
      <c r="AC21" s="72" t="str">
        <f>MiscData!$C$25&amp;$Y$16</f>
        <v>20140101KURSE020</v>
      </c>
      <c r="AD21" s="72"/>
      <c r="AE21" s="72"/>
      <c r="AF21" s="72"/>
      <c r="AG21" s="98" t="s">
        <v>177</v>
      </c>
    </row>
    <row r="22" spans="1:35" ht="12.75">
      <c r="A22" s="103" t="s">
        <v>521</v>
      </c>
      <c r="B22" s="104" t="s">
        <v>361</v>
      </c>
      <c r="C22" s="101">
        <f>SUMIF(_12MonLights_TariffRateCategory,MiscData!$C$23&amp;$B22,_12MonLights_Count)+SUMIF(_12MonLights_TariffRateCategory,MiscData!$C$23&amp;$B22,_12MonLights_Count_Adj)</f>
        <v>89637</v>
      </c>
      <c r="D22" s="101">
        <f>SUMIF(_12MonLights_TariffRateCategory,MiscData!$C$24&amp;$B22,_12MonLights_Count)+SUMIF(_12MonLights_TariffRateCategory,MiscData!$C$23&amp;$B22,_12MonLights_Count_Adj)</f>
        <v>89637</v>
      </c>
      <c r="E22" s="101">
        <f>SUMIF(_12MonLights_TariffRateCategory,MiscData!$C$25&amp;$B22,_12MonLights_Count)+SUMIF(_12MonLights_TariffRateCategory,MiscData!$C$23&amp;$B22,_12MonLights_Count_Adj)</f>
        <v>89637</v>
      </c>
      <c r="F22" s="69"/>
      <c r="G22" s="102">
        <f>SUMIF(_Lights_Tariff_Category,MiscData!$C$23&amp;$B22,_Lights_Rates)</f>
        <v>14.25</v>
      </c>
      <c r="H22" s="102">
        <f>SUMIF(_Lights_Tariff_Category,MiscData!$C$24&amp;$B22,_Lights_Rates)</f>
        <v>14.25</v>
      </c>
      <c r="I22" s="102">
        <f>SUMIF(_Lights_Tariff_Category,MiscData!$C$25&amp;$B22,_Lights_Rates)-SUMIF(_Lights_Tariff_Category,MiscData!$C$25&amp;$B22,_Rates_Lights_ECR)</f>
        <v>13.67</v>
      </c>
      <c r="J22" s="69"/>
      <c r="K22" s="102">
        <f t="shared" si="0"/>
        <v>3779992.29</v>
      </c>
      <c r="L22" s="102">
        <f t="shared" si="1"/>
        <v>3779992.29</v>
      </c>
      <c r="M22" s="102">
        <f t="shared" si="2"/>
        <v>3676013.37</v>
      </c>
      <c r="N22" s="96"/>
      <c r="O22" s="95"/>
      <c r="P22" s="94"/>
      <c r="AG22" s="98" t="s">
        <v>178</v>
      </c>
    </row>
    <row r="23" spans="1:35" ht="15">
      <c r="A23" s="103" t="s">
        <v>522</v>
      </c>
      <c r="B23" s="104" t="s">
        <v>360</v>
      </c>
      <c r="C23" s="101">
        <f>SUMIF(_12MonLights_TariffRateCategory,MiscData!$C$23&amp;$B23,_12MonLights_Count)+SUMIF(_12MonLights_TariffRateCategory,MiscData!$C$23&amp;$B23,_12MonLights_Count_Adj)</f>
        <v>61264</v>
      </c>
      <c r="D23" s="101">
        <f>SUMIF(_12MonLights_TariffRateCategory,MiscData!$C$24&amp;$B23,_12MonLights_Count)+SUMIF(_12MonLights_TariffRateCategory,MiscData!$C$23&amp;$B23,_12MonLights_Count_Adj)</f>
        <v>61264</v>
      </c>
      <c r="E23" s="101">
        <f>SUMIF(_12MonLights_TariffRateCategory,MiscData!$C$25&amp;$B23,_12MonLights_Count)+SUMIF(_12MonLights_TariffRateCategory,MiscData!$C$23&amp;$B23,_12MonLights_Count_Adj)</f>
        <v>61264</v>
      </c>
      <c r="F23" s="69"/>
      <c r="G23" s="102">
        <f>SUMIF(_Lights_Tariff_Category,MiscData!$C$23&amp;$B23,_Lights_Rates)</f>
        <v>17.41</v>
      </c>
      <c r="H23" s="102">
        <f>SUMIF(_Lights_Tariff_Category,MiscData!$C$24&amp;$B23,_Lights_Rates)</f>
        <v>17.41</v>
      </c>
      <c r="I23" s="102">
        <f>SUMIF(_Lights_Tariff_Category,MiscData!$C$25&amp;$B23,_Lights_Rates)-SUMIF(_Lights_Tariff_Category,MiscData!$C$25&amp;$B23,_Rates_Lights_ECR)</f>
        <v>16.830000000000002</v>
      </c>
      <c r="J23" s="69"/>
      <c r="K23" s="102">
        <f t="shared" si="0"/>
        <v>3164285.6</v>
      </c>
      <c r="L23" s="102">
        <f t="shared" si="1"/>
        <v>3164285.6</v>
      </c>
      <c r="M23" s="102">
        <f t="shared" si="2"/>
        <v>3093219.36</v>
      </c>
      <c r="N23" s="108"/>
      <c r="O23" s="109"/>
      <c r="P23" s="110"/>
      <c r="AG23" s="98" t="s">
        <v>185</v>
      </c>
    </row>
    <row r="24" spans="1:35" ht="12.75">
      <c r="A24" s="103" t="s">
        <v>523</v>
      </c>
      <c r="B24" s="104" t="s">
        <v>393</v>
      </c>
      <c r="C24" s="101">
        <f>SUMIF(_12MonLights_TariffRateCategory,MiscData!$C$23&amp;$B24,_12MonLights_Count)+SUMIF(_12MonLights_TariffRateCategory,MiscData!$C$23&amp;$B24,_12MonLights_Count_Adj)</f>
        <v>33237</v>
      </c>
      <c r="D24" s="101">
        <f>SUMIF(_12MonLights_TariffRateCategory,MiscData!$C$24&amp;$B24,_12MonLights_Count)+SUMIF(_12MonLights_TariffRateCategory,MiscData!$C$23&amp;$B24,_12MonLights_Count_Adj)</f>
        <v>33237</v>
      </c>
      <c r="E24" s="101">
        <f>SUMIF(_12MonLights_TariffRateCategory,MiscData!$C$25&amp;$B24,_12MonLights_Count)+SUMIF(_12MonLights_TariffRateCategory,MiscData!$C$23&amp;$B24,_12MonLights_Count_Adj)</f>
        <v>33237</v>
      </c>
      <c r="F24" s="69"/>
      <c r="G24" s="102">
        <f>SUMIF(_Lights_Tariff_Category,MiscData!$C$23&amp;$B24,_Lights_Rates)</f>
        <v>22.84</v>
      </c>
      <c r="H24" s="102">
        <f>SUMIF(_Lights_Tariff_Category,MiscData!$C$24&amp;$B24,_Lights_Rates)</f>
        <v>22.84</v>
      </c>
      <c r="I24" s="102">
        <f>SUMIF(_Lights_Tariff_Category,MiscData!$C$25&amp;$B24,_Lights_Rates)-SUMIF(_Lights_Tariff_Category,MiscData!$C$25&amp;$B24,_Rates_Lights_ECR)</f>
        <v>22.05</v>
      </c>
      <c r="J24" s="69"/>
      <c r="K24" s="102">
        <f t="shared" si="0"/>
        <v>2251142.0099999998</v>
      </c>
      <c r="L24" s="102">
        <f t="shared" si="1"/>
        <v>2251142.0099999998</v>
      </c>
      <c r="M24" s="102">
        <f t="shared" si="2"/>
        <v>2198627.5499999998</v>
      </c>
      <c r="N24" s="96"/>
      <c r="O24" s="111"/>
      <c r="P24" s="106"/>
      <c r="AG24" s="98" t="s">
        <v>179</v>
      </c>
    </row>
    <row r="25" spans="1:35" ht="12.75">
      <c r="A25" s="103" t="s">
        <v>524</v>
      </c>
      <c r="B25" s="104" t="s">
        <v>392</v>
      </c>
      <c r="C25" s="101">
        <f>SUMIF(_12MonLights_TariffRateCategory,MiscData!$C$23&amp;$B25,_12MonLights_Count)+SUMIF(_12MonLights_TariffRateCategory,MiscData!$C$23&amp;$B25,_12MonLights_Count_Adj)</f>
        <v>5976</v>
      </c>
      <c r="D25" s="101">
        <f>SUMIF(_12MonLights_TariffRateCategory,MiscData!$C$24&amp;$B25,_12MonLights_Count)+SUMIF(_12MonLights_TariffRateCategory,MiscData!$C$23&amp;$B25,_12MonLights_Count_Adj)</f>
        <v>5976</v>
      </c>
      <c r="E25" s="101">
        <f>SUMIF(_12MonLights_TariffRateCategory,MiscData!$C$25&amp;$B25,_12MonLights_Count)+SUMIF(_12MonLights_TariffRateCategory,MiscData!$C$23&amp;$B25,_12MonLights_Count_Adj)</f>
        <v>5976</v>
      </c>
      <c r="F25" s="69"/>
      <c r="G25" s="102">
        <f>SUMIF(_Lights_Tariff_Category,MiscData!$C$23&amp;$B25,_Lights_Rates)</f>
        <v>24.46</v>
      </c>
      <c r="H25" s="102">
        <f>SUMIF(_Lights_Tariff_Category,MiscData!$C$24&amp;$B25,_Lights_Rates)</f>
        <v>24.46</v>
      </c>
      <c r="I25" s="102">
        <f>SUMIF(_Lights_Tariff_Category,MiscData!$C$25&amp;$B25,_Lights_Rates)-SUMIF(_Lights_Tariff_Category,MiscData!$C$25&amp;$B25,_Rates_Lights_ECR)</f>
        <v>23.67</v>
      </c>
      <c r="J25" s="69"/>
      <c r="K25" s="102">
        <f t="shared" si="0"/>
        <v>433797.84</v>
      </c>
      <c r="L25" s="102">
        <f t="shared" si="1"/>
        <v>433797.84</v>
      </c>
      <c r="M25" s="102">
        <f t="shared" si="2"/>
        <v>424355.76</v>
      </c>
      <c r="N25" s="96"/>
      <c r="O25" s="111"/>
      <c r="P25" s="111"/>
      <c r="AG25" s="98" t="s">
        <v>186</v>
      </c>
    </row>
    <row r="26" spans="1:35" ht="12.75">
      <c r="A26" s="92" t="s">
        <v>531</v>
      </c>
      <c r="B26" s="69"/>
      <c r="C26" s="90"/>
      <c r="D26" s="69"/>
      <c r="E26" s="69"/>
      <c r="F26" s="90"/>
      <c r="G26" s="90"/>
      <c r="H26" s="90"/>
      <c r="I26" s="90"/>
      <c r="J26" s="90"/>
      <c r="K26" s="69"/>
      <c r="L26" s="69"/>
      <c r="M26" s="69"/>
      <c r="N26" s="91"/>
      <c r="O26" s="88"/>
      <c r="P26" s="88"/>
      <c r="AG26" s="98" t="s">
        <v>180</v>
      </c>
    </row>
    <row r="27" spans="1:35" ht="12.75">
      <c r="A27" s="103" t="s">
        <v>525</v>
      </c>
      <c r="B27" s="104" t="s">
        <v>401</v>
      </c>
      <c r="C27" s="101">
        <f>SUMIF(_12MonLights_TariffRateCategory,MiscData!$C$23&amp;$B27,_12MonLights_Count)+SUMIF(_12MonLights_TariffRateCategory,MiscData!$C$23&amp;$B27,_12MonLights_Count_Adj)</f>
        <v>12844</v>
      </c>
      <c r="D27" s="101">
        <f>SUMIF(_12MonLights_TariffRateCategory,MiscData!$C$24&amp;$B27,_12MonLights_Count)+SUMIF(_12MonLights_TariffRateCategory,MiscData!$C$23&amp;$B27,_12MonLights_Count_Adj)</f>
        <v>12844</v>
      </c>
      <c r="E27" s="101">
        <f>SUMIF(_12MonLights_TariffRateCategory,MiscData!$C$25&amp;$B27,_12MonLights_Count)+SUMIF(_12MonLights_TariffRateCategory,MiscData!$C$23&amp;$B27,_12MonLights_Count_Adj)</f>
        <v>12844</v>
      </c>
      <c r="F27" s="69"/>
      <c r="G27" s="102">
        <f>SUMIF(_Lights_Tariff_Category,MiscData!$C$23&amp;$B27,_Lights_Rates)</f>
        <v>9.5600000000000023</v>
      </c>
      <c r="H27" s="102">
        <f>SUMIF(_Lights_Tariff_Category,MiscData!$C$24&amp;$B27,_Lights_Rates)</f>
        <v>9.5600000000000023</v>
      </c>
      <c r="I27" s="102">
        <f>SUMIF(_Lights_Tariff_Category,MiscData!$C$25&amp;$B27,_Lights_Rates)-SUMIF(_Lights_Tariff_Category,MiscData!$C$25&amp;$B27,_Rates_Lights_ECR)</f>
        <v>9.1700000000000017</v>
      </c>
      <c r="J27" s="69"/>
      <c r="K27" s="102">
        <f t="shared" ref="K27:K32" si="3">ROUND(SUM($C27*$G27,$D27*$H27,$E27*$I27),2)</f>
        <v>363356.76</v>
      </c>
      <c r="L27" s="102">
        <f t="shared" ref="L27:L32" si="4">ROUND(SUM($C27*$H27,$D27*$H27,$E27*$I27),2)</f>
        <v>363356.76</v>
      </c>
      <c r="M27" s="102">
        <f t="shared" ref="M27:M32" si="5">ROUND(SUM($C27*$I27,$D27*$I27,$E27*$I27),2)</f>
        <v>353338.44</v>
      </c>
      <c r="N27" s="96"/>
      <c r="O27" s="93"/>
      <c r="P27" s="97"/>
      <c r="Y27" s="67" t="s">
        <v>192</v>
      </c>
      <c r="AB27" s="72" t="str">
        <f>MiscData!$C$23&amp;$Y27</f>
        <v>20140101KURSE025</v>
      </c>
      <c r="AC27" s="72"/>
      <c r="AD27" s="72"/>
      <c r="AE27" s="72"/>
      <c r="AF27" s="72"/>
      <c r="AG27" s="98" t="s">
        <v>181</v>
      </c>
    </row>
    <row r="28" spans="1:35" ht="12.75">
      <c r="A28" s="103" t="s">
        <v>526</v>
      </c>
      <c r="B28" s="104" t="s">
        <v>400</v>
      </c>
      <c r="C28" s="101">
        <f>SUMIF(_12MonLights_TariffRateCategory,MiscData!$C$23&amp;$B28,_12MonLights_Count)+SUMIF(_12MonLights_TariffRateCategory,MiscData!$C$23&amp;$B28,_12MonLights_Count_Adj)</f>
        <v>1654</v>
      </c>
      <c r="D28" s="101">
        <f>SUMIF(_12MonLights_TariffRateCategory,MiscData!$C$24&amp;$B28,_12MonLights_Count)+SUMIF(_12MonLights_TariffRateCategory,MiscData!$C$23&amp;$B28,_12MonLights_Count_Adj)</f>
        <v>1654</v>
      </c>
      <c r="E28" s="101">
        <f>SUMIF(_12MonLights_TariffRateCategory,MiscData!$C$25&amp;$B28,_12MonLights_Count)+SUMIF(_12MonLights_TariffRateCategory,MiscData!$C$23&amp;$B28,_12MonLights_Count_Adj)</f>
        <v>1654</v>
      </c>
      <c r="F28" s="69"/>
      <c r="G28" s="102">
        <f>SUMIF(_Lights_Tariff_Category,MiscData!$C$23&amp;$B28,_Lights_Rates)</f>
        <v>11.870000000000001</v>
      </c>
      <c r="H28" s="102">
        <f>SUMIF(_Lights_Tariff_Category,MiscData!$C$24&amp;$B28,_Lights_Rates)</f>
        <v>11.870000000000001</v>
      </c>
      <c r="I28" s="102">
        <f>SUMIF(_Lights_Tariff_Category,MiscData!$C$25&amp;$B28,_Lights_Rates)-SUMIF(_Lights_Tariff_Category,MiscData!$C$25&amp;$B28,_Rates_Lights_ECR)</f>
        <v>11.48</v>
      </c>
      <c r="J28" s="69"/>
      <c r="K28" s="102">
        <f t="shared" si="3"/>
        <v>58253.88</v>
      </c>
      <c r="L28" s="102">
        <f t="shared" si="4"/>
        <v>58253.88</v>
      </c>
      <c r="M28" s="102">
        <f t="shared" si="5"/>
        <v>56963.76</v>
      </c>
      <c r="N28" s="96"/>
      <c r="O28" s="93"/>
      <c r="P28" s="97"/>
      <c r="AB28" s="72" t="str">
        <f>MiscData!$C$24&amp;$Y27</f>
        <v>20140101KURSE025</v>
      </c>
      <c r="AC28" s="72"/>
      <c r="AD28" s="72"/>
      <c r="AE28" s="72"/>
      <c r="AF28" s="72"/>
      <c r="AG28" s="98" t="s">
        <v>182</v>
      </c>
    </row>
    <row r="29" spans="1:35" ht="12.75">
      <c r="A29" s="103" t="s">
        <v>527</v>
      </c>
      <c r="B29" s="104" t="s">
        <v>328</v>
      </c>
      <c r="C29" s="101">
        <f>SUMIF(_12MonLights_TariffRateCategory,MiscData!$C$23&amp;$B29,_12MonLights_Count)+SUMIF(_12MonLights_TariffRateCategory,MiscData!$C$23&amp;$B29,_12MonLights_Count_Adj)</f>
        <v>8761</v>
      </c>
      <c r="D29" s="101">
        <f>SUMIF(_12MonLights_TariffRateCategory,MiscData!$C$24&amp;$B29,_12MonLights_Count)+SUMIF(_12MonLights_TariffRateCategory,MiscData!$C$23&amp;$B29,_12MonLights_Count_Adj)</f>
        <v>8761</v>
      </c>
      <c r="E29" s="101">
        <f>SUMIF(_12MonLights_TariffRateCategory,MiscData!$C$25&amp;$B29,_12MonLights_Count)+SUMIF(_12MonLights_TariffRateCategory,MiscData!$C$23&amp;$B29,_12MonLights_Count_Adj)</f>
        <v>8761</v>
      </c>
      <c r="F29" s="69"/>
      <c r="G29" s="102">
        <f>SUMIF(_Lights_Tariff_Category,MiscData!$C$23&amp;$B29,_Lights_Rates)</f>
        <v>11.32</v>
      </c>
      <c r="H29" s="102">
        <f>SUMIF(_Lights_Tariff_Category,MiscData!$C$24&amp;$B29,_Lights_Rates)</f>
        <v>11.32</v>
      </c>
      <c r="I29" s="102">
        <f>SUMIF(_Lights_Tariff_Category,MiscData!$C$25&amp;$B29,_Lights_Rates)-SUMIF(_Lights_Tariff_Category,MiscData!$C$25&amp;$B29,_Rates_Lights_ECR)</f>
        <v>10.88</v>
      </c>
      <c r="J29" s="69"/>
      <c r="K29" s="102">
        <f t="shared" si="3"/>
        <v>293668.71999999997</v>
      </c>
      <c r="L29" s="102">
        <f t="shared" si="4"/>
        <v>293668.71999999997</v>
      </c>
      <c r="M29" s="102">
        <f t="shared" si="5"/>
        <v>285959.03999999998</v>
      </c>
      <c r="N29" s="96"/>
      <c r="O29" s="93"/>
      <c r="P29" s="97"/>
      <c r="AB29" s="72" t="str">
        <f>MiscData!$C$25&amp;$Y27</f>
        <v>20140101KURSE025</v>
      </c>
      <c r="AC29" s="72"/>
      <c r="AD29" s="72"/>
      <c r="AE29" s="72"/>
      <c r="AF29" s="72"/>
      <c r="AG29" s="98" t="s">
        <v>183</v>
      </c>
    </row>
    <row r="30" spans="1:35" ht="12.75">
      <c r="A30" s="103" t="s">
        <v>528</v>
      </c>
      <c r="B30" s="104" t="s">
        <v>327</v>
      </c>
      <c r="C30" s="101">
        <f>SUMIF(_12MonLights_TariffRateCategory,MiscData!$C$23&amp;$B30,_12MonLights_Count)+SUMIF(_12MonLights_TariffRateCategory,MiscData!$C$23&amp;$B30,_12MonLights_Count_Adj)</f>
        <v>5333</v>
      </c>
      <c r="D30" s="101">
        <f>SUMIF(_12MonLights_TariffRateCategory,MiscData!$C$24&amp;$B30,_12MonLights_Count)+SUMIF(_12MonLights_TariffRateCategory,MiscData!$C$23&amp;$B30,_12MonLights_Count_Adj)</f>
        <v>5333</v>
      </c>
      <c r="E30" s="101">
        <f>SUMIF(_12MonLights_TariffRateCategory,MiscData!$C$25&amp;$B30,_12MonLights_Count)+SUMIF(_12MonLights_TariffRateCategory,MiscData!$C$23&amp;$B30,_12MonLights_Count_Adj)</f>
        <v>5333</v>
      </c>
      <c r="F30" s="69"/>
      <c r="G30" s="102">
        <f>SUMIF(_Lights_Tariff_Category,MiscData!$C$23&amp;$B30,_Lights_Rates)</f>
        <v>13.360000000000001</v>
      </c>
      <c r="H30" s="102">
        <f>SUMIF(_Lights_Tariff_Category,MiscData!$C$24&amp;$B30,_Lights_Rates)</f>
        <v>13.360000000000001</v>
      </c>
      <c r="I30" s="102">
        <f>SUMIF(_Lights_Tariff_Category,MiscData!$C$25&amp;$B30,_Lights_Rates)-SUMIF(_Lights_Tariff_Category,MiscData!$C$25&amp;$B30,_Rates_Lights_ECR)</f>
        <v>12.920000000000002</v>
      </c>
      <c r="J30" s="69"/>
      <c r="K30" s="102">
        <f t="shared" si="3"/>
        <v>211400.12</v>
      </c>
      <c r="L30" s="102">
        <f t="shared" si="4"/>
        <v>211400.12</v>
      </c>
      <c r="M30" s="102">
        <f t="shared" si="5"/>
        <v>206707.08</v>
      </c>
      <c r="N30" s="96"/>
      <c r="O30" s="105"/>
      <c r="P30" s="106"/>
      <c r="AG30" s="98" t="s">
        <v>169</v>
      </c>
    </row>
    <row r="31" spans="1:35" ht="12.75">
      <c r="A31" s="103" t="s">
        <v>529</v>
      </c>
      <c r="B31" s="104" t="s">
        <v>437</v>
      </c>
      <c r="C31" s="101">
        <f>SUMIF(_12MonLights_TariffRateCategory,MiscData!$C$23&amp;$B31,_12MonLights_Count)+SUMIF(_12MonLights_TariffRateCategory,MiscData!$C$23&amp;$B31,_12MonLights_Count_Adj)</f>
        <v>17850</v>
      </c>
      <c r="D31" s="101">
        <f>SUMIF(_12MonLights_TariffRateCategory,MiscData!$C$24&amp;$B31,_12MonLights_Count)+SUMIF(_12MonLights_TariffRateCategory,MiscData!$C$23&amp;$B31,_12MonLights_Count_Adj)</f>
        <v>17850</v>
      </c>
      <c r="E31" s="101">
        <f>SUMIF(_12MonLights_TariffRateCategory,MiscData!$C$25&amp;$B31,_12MonLights_Count)+SUMIF(_12MonLights_TariffRateCategory,MiscData!$C$23&amp;$B31,_12MonLights_Count_Adj)</f>
        <v>17850</v>
      </c>
      <c r="F31" s="69"/>
      <c r="G31" s="102">
        <f>SUMIF(_Lights_Tariff_Category,MiscData!$C$23&amp;$B31,_Lights_Rates)</f>
        <v>12.809999999999999</v>
      </c>
      <c r="H31" s="102">
        <f>SUMIF(_Lights_Tariff_Category,MiscData!$C$24&amp;$B31,_Lights_Rates)</f>
        <v>12.809999999999999</v>
      </c>
      <c r="I31" s="102">
        <f>SUMIF(_Lights_Tariff_Category,MiscData!$C$25&amp;$B31,_Lights_Rates)-SUMIF(_Lights_Tariff_Category,MiscData!$C$25&amp;$B31,_Rates_Lights_ECR)</f>
        <v>12.299999999999999</v>
      </c>
      <c r="J31" s="69"/>
      <c r="K31" s="102">
        <f t="shared" si="3"/>
        <v>676872</v>
      </c>
      <c r="L31" s="102">
        <f t="shared" si="4"/>
        <v>676872</v>
      </c>
      <c r="M31" s="102">
        <f t="shared" si="5"/>
        <v>658665</v>
      </c>
      <c r="N31" s="96"/>
      <c r="O31" s="107"/>
      <c r="P31" s="97"/>
      <c r="AB31" s="72" t="str">
        <f>MiscData!$C$23&amp;$Y27</f>
        <v>20140101KURSE025</v>
      </c>
      <c r="AC31" s="72"/>
      <c r="AD31" s="72"/>
      <c r="AE31" s="72"/>
      <c r="AF31" s="72"/>
      <c r="AG31" s="98" t="s">
        <v>172</v>
      </c>
    </row>
    <row r="32" spans="1:35" ht="12.75">
      <c r="A32" s="103" t="s">
        <v>530</v>
      </c>
      <c r="B32" s="104" t="s">
        <v>357</v>
      </c>
      <c r="C32" s="101">
        <f>SUMIF(_12MonLights_TariffRateCategory,MiscData!$C$23&amp;$B32,_12MonLights_Count)+SUMIF(_12MonLights_TariffRateCategory,MiscData!$C$23&amp;$B32,_12MonLights_Count_Adj)</f>
        <v>17601</v>
      </c>
      <c r="D32" s="101">
        <f>SUMIF(_12MonLights_TariffRateCategory,MiscData!$C$24&amp;$B32,_12MonLights_Count)+SUMIF(_12MonLights_TariffRateCategory,MiscData!$C$23&amp;$B32,_12MonLights_Count_Adj)</f>
        <v>17601</v>
      </c>
      <c r="E32" s="101">
        <f>SUMIF(_12MonLights_TariffRateCategory,MiscData!$C$25&amp;$B32,_12MonLights_Count)+SUMIF(_12MonLights_TariffRateCategory,MiscData!$C$23&amp;$B32,_12MonLights_Count_Adj)</f>
        <v>17601</v>
      </c>
      <c r="F32" s="69"/>
      <c r="G32" s="102">
        <f>SUMIF(_Lights_Tariff_Category,MiscData!$C$23&amp;$B32,_Lights_Rates)</f>
        <v>15.079999999999998</v>
      </c>
      <c r="H32" s="102">
        <f>SUMIF(_Lights_Tariff_Category,MiscData!$C$24&amp;$B32,_Lights_Rates)</f>
        <v>15.079999999999998</v>
      </c>
      <c r="I32" s="102">
        <f>SUMIF(_Lights_Tariff_Category,MiscData!$C$25&amp;$B32,_Lights_Rates)-SUMIF(_Lights_Tariff_Category,MiscData!$C$25&amp;$B32,_Rates_Lights_ECR)</f>
        <v>14.569999999999999</v>
      </c>
      <c r="J32" s="69"/>
      <c r="K32" s="102">
        <f t="shared" si="3"/>
        <v>787292.73</v>
      </c>
      <c r="L32" s="102">
        <f t="shared" si="4"/>
        <v>787292.73</v>
      </c>
      <c r="M32" s="102">
        <f t="shared" si="5"/>
        <v>769339.71</v>
      </c>
      <c r="N32" s="96"/>
      <c r="O32" s="107"/>
      <c r="P32" s="97"/>
      <c r="AB32" s="72" t="str">
        <f>MiscData!$C$24&amp;$Y27</f>
        <v>20140101KURSE025</v>
      </c>
      <c r="AC32" s="72"/>
      <c r="AD32" s="72"/>
      <c r="AE32" s="72"/>
      <c r="AF32" s="72"/>
      <c r="AG32" s="98" t="s">
        <v>170</v>
      </c>
    </row>
    <row r="33" spans="1:33" ht="12.75">
      <c r="A33" s="92" t="s">
        <v>532</v>
      </c>
      <c r="B33" s="69"/>
      <c r="C33" s="72"/>
      <c r="D33" s="72"/>
      <c r="E33" s="72"/>
      <c r="F33" s="69"/>
      <c r="G33" s="69"/>
      <c r="H33" s="93"/>
      <c r="I33" s="94"/>
      <c r="J33" s="95"/>
      <c r="K33" s="93"/>
      <c r="L33" s="94"/>
      <c r="M33" s="94"/>
      <c r="N33" s="96"/>
      <c r="O33" s="107"/>
      <c r="P33" s="97"/>
      <c r="AB33" s="72" t="str">
        <f>MiscData!$C$25&amp;$Y27</f>
        <v>20140101KURSE025</v>
      </c>
      <c r="AC33" s="72"/>
      <c r="AD33" s="72"/>
      <c r="AE33" s="72"/>
      <c r="AF33" s="72"/>
      <c r="AG33" s="98" t="s">
        <v>173</v>
      </c>
    </row>
    <row r="34" spans="1:33" ht="12.75">
      <c r="A34" s="103" t="s">
        <v>533</v>
      </c>
      <c r="B34" s="104" t="s">
        <v>326</v>
      </c>
      <c r="C34" s="101">
        <f>SUMIF(_12MonLights_TariffRateCategory,MiscData!$C$23&amp;$B34,_12MonLights_Count)+SUMIF(_12MonLights_TariffRateCategory,MiscData!$C$23&amp;$B34,_12MonLights_Count_Adj)</f>
        <v>60</v>
      </c>
      <c r="D34" s="101">
        <f>SUMIF(_12MonLights_TariffRateCategory,MiscData!$C$24&amp;$B34,_12MonLights_Count)+SUMIF(_12MonLights_TariffRateCategory,MiscData!$C$23&amp;$B34,_12MonLights_Count_Adj)</f>
        <v>60</v>
      </c>
      <c r="E34" s="101">
        <f>SUMIF(_12MonLights_TariffRateCategory,MiscData!$C$25&amp;$B34,_12MonLights_Count)+SUMIF(_12MonLights_TariffRateCategory,MiscData!$C$23&amp;$B34,_12MonLights_Count_Adj)</f>
        <v>60</v>
      </c>
      <c r="F34" s="69"/>
      <c r="G34" s="102">
        <f>SUMIF(_Lights_Tariff_Category,MiscData!$C$23&amp;$B34,_Lights_Rates)</f>
        <v>3.39</v>
      </c>
      <c r="H34" s="102">
        <f>SUMIF(_Lights_Tariff_Category,MiscData!$C$24&amp;$B34,_Lights_Rates)</f>
        <v>3.39</v>
      </c>
      <c r="I34" s="102">
        <f>SUMIF(_Lights_Tariff_Category,MiscData!$C$25&amp;$B34,_Lights_Rates)-SUMIF(_Lights_Tariff_Category,MiscData!$C$25&amp;$B34,_Rates_Lights_ECR)</f>
        <v>3.27</v>
      </c>
      <c r="J34" s="69"/>
      <c r="K34" s="102">
        <f t="shared" ref="K34:K41" si="6">ROUND(SUM($C34*$G34,$D34*$H34,$E34*$I34),2)</f>
        <v>603</v>
      </c>
      <c r="L34" s="102">
        <f t="shared" ref="L34:L41" si="7">ROUND(SUM($C34*$H34,$D34*$H34,$E34*$I34),2)</f>
        <v>603</v>
      </c>
      <c r="M34" s="102">
        <f t="shared" ref="M34:M41" si="8">ROUND(SUM($C34*$I34,$D34*$I34,$E34*$I34),2)</f>
        <v>588.6</v>
      </c>
      <c r="N34" s="96"/>
      <c r="O34" s="95"/>
      <c r="P34" s="94"/>
      <c r="AG34" s="98" t="s">
        <v>176</v>
      </c>
    </row>
    <row r="35" spans="1:33" ht="15">
      <c r="A35" s="103" t="s">
        <v>534</v>
      </c>
      <c r="B35" s="104" t="s">
        <v>418</v>
      </c>
      <c r="C35" s="101">
        <f>SUMIF(_12MonLights_TariffRateCategory,MiscData!$C$23&amp;$B35,_12MonLights_Count)+SUMIF(_12MonLights_TariffRateCategory,MiscData!$C$23&amp;$B35,_12MonLights_Count_Adj)</f>
        <v>0</v>
      </c>
      <c r="D35" s="101">
        <f>SUMIF(_12MonLights_TariffRateCategory,MiscData!$C$24&amp;$B35,_12MonLights_Count)+SUMIF(_12MonLights_TariffRateCategory,MiscData!$C$23&amp;$B35,_12MonLights_Count_Adj)</f>
        <v>0</v>
      </c>
      <c r="E35" s="101">
        <f>SUMIF(_12MonLights_TariffRateCategory,MiscData!$C$25&amp;$B35,_12MonLights_Count)+SUMIF(_12MonLights_TariffRateCategory,MiscData!$C$23&amp;$B35,_12MonLights_Count_Adj)</f>
        <v>0</v>
      </c>
      <c r="F35" s="69"/>
      <c r="G35" s="102">
        <f>SUMIF(_Lights_Tariff_Category,MiscData!$C$23&amp;$B35,_Lights_Rates)</f>
        <v>0</v>
      </c>
      <c r="H35" s="102">
        <f>SUMIF(_Lights_Tariff_Category,MiscData!$C$24&amp;$B35,_Lights_Rates)</f>
        <v>0</v>
      </c>
      <c r="I35" s="102">
        <f>SUMIF(_Lights_Tariff_Category,MiscData!$C$25&amp;$B35,_Lights_Rates)-SUMIF(_Lights_Tariff_Category,MiscData!$C$25&amp;$B35,_Rates_Lights_ECR)</f>
        <v>0</v>
      </c>
      <c r="J35" s="69"/>
      <c r="K35" s="102">
        <f t="shared" si="6"/>
        <v>0</v>
      </c>
      <c r="L35" s="102">
        <f t="shared" si="7"/>
        <v>0</v>
      </c>
      <c r="M35" s="102">
        <f t="shared" si="8"/>
        <v>0</v>
      </c>
      <c r="N35" s="108"/>
      <c r="O35" s="109"/>
      <c r="P35" s="110"/>
      <c r="AG35" s="98" t="s">
        <v>171</v>
      </c>
    </row>
    <row r="36" spans="1:33" ht="12.75">
      <c r="A36" s="103" t="s">
        <v>535</v>
      </c>
      <c r="B36" s="104" t="s">
        <v>356</v>
      </c>
      <c r="C36" s="101">
        <f>SUMIF(_12MonLights_TariffRateCategory,MiscData!$C$23&amp;$B36,_12MonLights_Count)+SUMIF(_12MonLights_TariffRateCategory,MiscData!$C$23&amp;$B36,_12MonLights_Count_Adj)</f>
        <v>8111</v>
      </c>
      <c r="D36" s="101">
        <f>SUMIF(_12MonLights_TariffRateCategory,MiscData!$C$24&amp;$B36,_12MonLights_Count)+SUMIF(_12MonLights_TariffRateCategory,MiscData!$C$23&amp;$B36,_12MonLights_Count_Adj)</f>
        <v>8111</v>
      </c>
      <c r="E36" s="101">
        <f>SUMIF(_12MonLights_TariffRateCategory,MiscData!$C$25&amp;$B36,_12MonLights_Count)+SUMIF(_12MonLights_TariffRateCategory,MiscData!$C$23&amp;$B36,_12MonLights_Count_Adj)</f>
        <v>8111</v>
      </c>
      <c r="F36" s="69"/>
      <c r="G36" s="102">
        <f>SUMIF(_Lights_Tariff_Category,MiscData!$C$23&amp;$B36,_Lights_Rates)</f>
        <v>4.5400000000000009</v>
      </c>
      <c r="H36" s="102">
        <f>SUMIF(_Lights_Tariff_Category,MiscData!$C$24&amp;$B36,_Lights_Rates)</f>
        <v>4.5400000000000009</v>
      </c>
      <c r="I36" s="102">
        <f>SUMIF(_Lights_Tariff_Category,MiscData!$C$25&amp;$B36,_Lights_Rates)-SUMIF(_Lights_Tariff_Category,MiscData!$C$25&amp;$B36,_Rates_Lights_ECR)</f>
        <v>4.3800000000000008</v>
      </c>
      <c r="J36" s="69"/>
      <c r="K36" s="102">
        <f t="shared" si="6"/>
        <v>109174.06</v>
      </c>
      <c r="L36" s="102">
        <f t="shared" si="7"/>
        <v>109174.06</v>
      </c>
      <c r="M36" s="102">
        <f t="shared" si="8"/>
        <v>106578.54</v>
      </c>
      <c r="N36" s="96"/>
      <c r="O36" s="111"/>
      <c r="P36" s="106"/>
      <c r="AG36" s="98" t="s">
        <v>174</v>
      </c>
    </row>
    <row r="37" spans="1:33" ht="12.75">
      <c r="A37" s="103" t="s">
        <v>536</v>
      </c>
      <c r="B37" s="104" t="s">
        <v>420</v>
      </c>
      <c r="C37" s="101">
        <f>SUMIF(_12MonLights_TariffRateCategory,MiscData!$C$23&amp;$B37,_12MonLights_Count)+SUMIF(_12MonLights_TariffRateCategory,MiscData!$C$23&amp;$B37,_12MonLights_Count_Adj)</f>
        <v>0</v>
      </c>
      <c r="D37" s="101">
        <f>SUMIF(_12MonLights_TariffRateCategory,MiscData!$C$24&amp;$B37,_12MonLights_Count)+SUMIF(_12MonLights_TariffRateCategory,MiscData!$C$23&amp;$B37,_12MonLights_Count_Adj)</f>
        <v>0</v>
      </c>
      <c r="E37" s="101">
        <f>SUMIF(_12MonLights_TariffRateCategory,MiscData!$C$25&amp;$B37,_12MonLights_Count)+SUMIF(_12MonLights_TariffRateCategory,MiscData!$C$23&amp;$B37,_12MonLights_Count_Adj)</f>
        <v>0</v>
      </c>
      <c r="F37" s="69"/>
      <c r="G37" s="102">
        <f>SUMIF(_Lights_Tariff_Category,MiscData!$C$23&amp;$B37,_Lights_Rates)</f>
        <v>0</v>
      </c>
      <c r="H37" s="102">
        <f>SUMIF(_Lights_Tariff_Category,MiscData!$C$24&amp;$B37,_Lights_Rates)</f>
        <v>0</v>
      </c>
      <c r="I37" s="102">
        <f>SUMIF(_Lights_Tariff_Category,MiscData!$C$25&amp;$B37,_Lights_Rates)-SUMIF(_Lights_Tariff_Category,MiscData!$C$25&amp;$B37,_Rates_Lights_ECR)</f>
        <v>0</v>
      </c>
      <c r="J37" s="69"/>
      <c r="K37" s="102">
        <f t="shared" si="6"/>
        <v>0</v>
      </c>
      <c r="L37" s="102">
        <f t="shared" si="7"/>
        <v>0</v>
      </c>
      <c r="M37" s="102">
        <f t="shared" si="8"/>
        <v>0</v>
      </c>
      <c r="N37" s="96"/>
      <c r="O37" s="111"/>
      <c r="P37" s="111"/>
      <c r="AG37" s="98" t="s">
        <v>175</v>
      </c>
    </row>
    <row r="38" spans="1:33" ht="12.75">
      <c r="A38" s="99" t="s">
        <v>515</v>
      </c>
      <c r="B38" s="104" t="s">
        <v>374</v>
      </c>
      <c r="C38" s="101">
        <f>SUMIF(_12MonLights_TariffRateCategory,MiscData!$C$23&amp;$B38,_12MonLights_Count)+SUMIF(_12MonLights_TariffRateCategory,MiscData!$C$23&amp;$B38,_12MonLights_Count_Adj)</f>
        <v>982</v>
      </c>
      <c r="D38" s="101">
        <f>SUMIF(_12MonLights_TariffRateCategory,MiscData!$C$24&amp;$B38,_12MonLights_Count)+SUMIF(_12MonLights_TariffRateCategory,MiscData!$C$23&amp;$B38,_12MonLights_Count_Adj)</f>
        <v>982</v>
      </c>
      <c r="E38" s="101">
        <f>SUMIF(_12MonLights_TariffRateCategory,MiscData!$C$25&amp;$B38,_12MonLights_Count)+SUMIF(_12MonLights_TariffRateCategory,MiscData!$C$23&amp;$B38,_12MonLights_Count_Adj)</f>
        <v>982</v>
      </c>
      <c r="F38" s="69"/>
      <c r="G38" s="102">
        <f>SUMIF(_Lights_Tariff_Category,MiscData!$C$23&amp;$B38,_Lights_Rates)</f>
        <v>6.78</v>
      </c>
      <c r="H38" s="102">
        <f>SUMIF(_Lights_Tariff_Category,MiscData!$C$24&amp;$B38,_Lights_Rates)</f>
        <v>6.78</v>
      </c>
      <c r="I38" s="102">
        <f>SUMIF(_Lights_Tariff_Category,MiscData!$C$25&amp;$B38,_Lights_Rates)-SUMIF(_Lights_Tariff_Category,MiscData!$C$25&amp;$B38,_Rates_Lights_ECR)</f>
        <v>6.54</v>
      </c>
      <c r="J38" s="69"/>
      <c r="K38" s="102">
        <f t="shared" si="6"/>
        <v>19738.2</v>
      </c>
      <c r="L38" s="102">
        <f t="shared" si="7"/>
        <v>19738.2</v>
      </c>
      <c r="M38" s="102">
        <f t="shared" si="8"/>
        <v>19266.84</v>
      </c>
      <c r="N38" s="91"/>
      <c r="O38" s="88"/>
      <c r="P38" s="88"/>
      <c r="AG38" s="98" t="s">
        <v>168</v>
      </c>
    </row>
    <row r="39" spans="1:33" ht="12.75">
      <c r="A39" s="103" t="s">
        <v>516</v>
      </c>
      <c r="B39" s="104" t="s">
        <v>373</v>
      </c>
      <c r="C39" s="101">
        <f>SUMIF(_12MonLights_TariffRateCategory,MiscData!$C$23&amp;$B39,_12MonLights_Count)+SUMIF(_12MonLights_TariffRateCategory,MiscData!$C$23&amp;$B39,_12MonLights_Count_Adj)</f>
        <v>52</v>
      </c>
      <c r="D39" s="101">
        <f>SUMIF(_12MonLights_TariffRateCategory,MiscData!$C$24&amp;$B39,_12MonLights_Count)+SUMIF(_12MonLights_TariffRateCategory,MiscData!$C$23&amp;$B39,_12MonLights_Count_Adj)</f>
        <v>52</v>
      </c>
      <c r="E39" s="101">
        <f>SUMIF(_12MonLights_TariffRateCategory,MiscData!$C$25&amp;$B39,_12MonLights_Count)+SUMIF(_12MonLights_TariffRateCategory,MiscData!$C$23&amp;$B39,_12MonLights_Count_Adj)</f>
        <v>52</v>
      </c>
      <c r="F39" s="69"/>
      <c r="G39" s="102">
        <f>SUMIF(_Lights_Tariff_Category,MiscData!$C$23&amp;$B39,_Lights_Rates)</f>
        <v>7.74</v>
      </c>
      <c r="H39" s="102">
        <f>SUMIF(_Lights_Tariff_Category,MiscData!$C$24&amp;$B39,_Lights_Rates)</f>
        <v>7.74</v>
      </c>
      <c r="I39" s="102">
        <f>SUMIF(_Lights_Tariff_Category,MiscData!$C$25&amp;$B39,_Lights_Rates)-SUMIF(_Lights_Tariff_Category,MiscData!$C$25&amp;$B39,_Rates_Lights_ECR)</f>
        <v>7.5</v>
      </c>
      <c r="J39" s="69"/>
      <c r="K39" s="102">
        <f t="shared" si="6"/>
        <v>1194.96</v>
      </c>
      <c r="L39" s="102">
        <f t="shared" si="7"/>
        <v>1194.96</v>
      </c>
      <c r="M39" s="102">
        <f t="shared" si="8"/>
        <v>1170</v>
      </c>
      <c r="N39" s="96"/>
      <c r="O39" s="93"/>
      <c r="P39" s="97"/>
      <c r="Y39" s="67" t="s">
        <v>194</v>
      </c>
      <c r="AB39" s="72" t="str">
        <f>MiscData!$C$23&amp;$Y39</f>
        <v>20140101KURSE715</v>
      </c>
      <c r="AC39" s="72"/>
      <c r="AD39" s="72"/>
      <c r="AE39" s="72"/>
      <c r="AF39" s="72"/>
      <c r="AG39" s="98" t="s">
        <v>231</v>
      </c>
    </row>
    <row r="40" spans="1:33" ht="12.75">
      <c r="A40" s="103" t="s">
        <v>537</v>
      </c>
      <c r="B40" s="104" t="s">
        <v>399</v>
      </c>
      <c r="C40" s="101">
        <f>SUMIF(_12MonLights_TariffRateCategory,MiscData!$C$23&amp;$B40,_12MonLights_Count)+SUMIF(_12MonLights_TariffRateCategory,MiscData!$C$23&amp;$B40,_12MonLights_Count_Adj)</f>
        <v>24</v>
      </c>
      <c r="D40" s="101">
        <f>SUMIF(_12MonLights_TariffRateCategory,MiscData!$C$24&amp;$B40,_12MonLights_Count)+SUMIF(_12MonLights_TariffRateCategory,MiscData!$C$23&amp;$B40,_12MonLights_Count_Adj)</f>
        <v>24</v>
      </c>
      <c r="E40" s="101">
        <f>SUMIF(_12MonLights_TariffRateCategory,MiscData!$C$25&amp;$B40,_12MonLights_Count)+SUMIF(_12MonLights_TariffRateCategory,MiscData!$C$23&amp;$B40,_12MonLights_Count_Adj)</f>
        <v>24</v>
      </c>
      <c r="F40" s="69"/>
      <c r="G40" s="102">
        <f>SUMIF(_Lights_Tariff_Category,MiscData!$C$23&amp;$B40,_Lights_Rates)</f>
        <v>9.06</v>
      </c>
      <c r="H40" s="102">
        <f>SUMIF(_Lights_Tariff_Category,MiscData!$C$24&amp;$B40,_Lights_Rates)</f>
        <v>9.06</v>
      </c>
      <c r="I40" s="102">
        <f>SUMIF(_Lights_Tariff_Category,MiscData!$C$25&amp;$B40,_Lights_Rates)-SUMIF(_Lights_Tariff_Category,MiscData!$C$25&amp;$B40,_Rates_Lights_ECR)</f>
        <v>8.73</v>
      </c>
      <c r="J40" s="69"/>
      <c r="K40" s="102">
        <f t="shared" si="6"/>
        <v>644.4</v>
      </c>
      <c r="L40" s="102">
        <f t="shared" si="7"/>
        <v>644.4</v>
      </c>
      <c r="M40" s="102">
        <f t="shared" si="8"/>
        <v>628.55999999999995</v>
      </c>
      <c r="N40" s="96"/>
      <c r="O40" s="93"/>
      <c r="P40" s="97"/>
      <c r="AB40" s="72" t="str">
        <f>MiscData!$C$24&amp;$Y39</f>
        <v>20140101KURSE715</v>
      </c>
      <c r="AC40" s="72"/>
      <c r="AD40" s="72"/>
      <c r="AE40" s="72"/>
      <c r="AF40" s="72"/>
      <c r="AG40" s="98" t="s">
        <v>189</v>
      </c>
    </row>
    <row r="41" spans="1:33" ht="12.75">
      <c r="A41" s="103" t="s">
        <v>538</v>
      </c>
      <c r="B41" s="104" t="s">
        <v>424</v>
      </c>
      <c r="C41" s="101">
        <f>SUMIF(_12MonLights_TariffRateCategory,MiscData!$C$23&amp;$B41,_12MonLights_Count)+SUMIF(_12MonLights_TariffRateCategory,MiscData!$C$23&amp;$B41,_12MonLights_Count_Adj)</f>
        <v>0</v>
      </c>
      <c r="D41" s="101">
        <f>SUMIF(_12MonLights_TariffRateCategory,MiscData!$C$24&amp;$B41,_12MonLights_Count)+SUMIF(_12MonLights_TariffRateCategory,MiscData!$C$23&amp;$B41,_12MonLights_Count_Adj)</f>
        <v>0</v>
      </c>
      <c r="E41" s="101">
        <f>SUMIF(_12MonLights_TariffRateCategory,MiscData!$C$25&amp;$B41,_12MonLights_Count)+SUMIF(_12MonLights_TariffRateCategory,MiscData!$C$23&amp;$B41,_12MonLights_Count_Adj)</f>
        <v>0</v>
      </c>
      <c r="F41" s="69"/>
      <c r="G41" s="102">
        <f>SUMIF(_Lights_Tariff_Category,MiscData!$C$23&amp;$B41,_Lights_Rates)</f>
        <v>0</v>
      </c>
      <c r="H41" s="102">
        <f>SUMIF(_Lights_Tariff_Category,MiscData!$C$24&amp;$B41,_Lights_Rates)</f>
        <v>0</v>
      </c>
      <c r="I41" s="102">
        <f>SUMIF(_Lights_Tariff_Category,MiscData!$C$25&amp;$B41,_Lights_Rates)-SUMIF(_Lights_Tariff_Category,MiscData!$C$25&amp;$B41,_Rates_Lights_ECR)</f>
        <v>0</v>
      </c>
      <c r="J41" s="69"/>
      <c r="K41" s="102">
        <f t="shared" si="6"/>
        <v>0</v>
      </c>
      <c r="L41" s="102">
        <f t="shared" si="7"/>
        <v>0</v>
      </c>
      <c r="M41" s="102">
        <f t="shared" si="8"/>
        <v>0</v>
      </c>
      <c r="N41" s="96"/>
      <c r="O41" s="93"/>
      <c r="P41" s="97"/>
      <c r="AB41" s="72" t="str">
        <f>MiscData!$C$25&amp;$Y39</f>
        <v>20140101KURSE715</v>
      </c>
      <c r="AC41" s="72"/>
      <c r="AD41" s="72"/>
      <c r="AE41" s="72"/>
      <c r="AF41" s="72"/>
      <c r="AG41" s="98" t="s">
        <v>184</v>
      </c>
    </row>
    <row r="42" spans="1:33" ht="12.75">
      <c r="A42" s="112"/>
      <c r="B42" s="69"/>
      <c r="C42" s="101"/>
      <c r="D42" s="69"/>
      <c r="E42" s="69"/>
      <c r="F42" s="69"/>
      <c r="G42" s="69"/>
      <c r="H42" s="113"/>
      <c r="I42" s="114"/>
      <c r="J42" s="69"/>
      <c r="K42" s="113"/>
      <c r="L42" s="114"/>
      <c r="M42" s="114"/>
      <c r="N42" s="96"/>
      <c r="O42" s="105"/>
      <c r="P42" s="106"/>
      <c r="AG42" s="98" t="s">
        <v>233</v>
      </c>
    </row>
    <row r="43" spans="1:33" ht="12.75">
      <c r="A43" s="115" t="s">
        <v>540</v>
      </c>
      <c r="B43" s="69"/>
      <c r="C43" s="116"/>
      <c r="D43" s="69"/>
      <c r="E43" s="69"/>
      <c r="F43" s="101"/>
      <c r="G43" s="69"/>
      <c r="H43" s="117"/>
      <c r="I43" s="118"/>
      <c r="J43" s="69"/>
      <c r="K43" s="107"/>
      <c r="L43" s="118"/>
      <c r="M43" s="118"/>
      <c r="N43" s="96"/>
      <c r="O43" s="107"/>
      <c r="P43" s="97"/>
      <c r="AB43" s="72" t="str">
        <f>MiscData!$C$23&amp;$Y39</f>
        <v>20140101KURSE715</v>
      </c>
      <c r="AC43" s="72"/>
      <c r="AD43" s="72"/>
      <c r="AE43" s="72"/>
      <c r="AF43" s="72"/>
      <c r="AG43" s="98" t="s">
        <v>232</v>
      </c>
    </row>
    <row r="44" spans="1:33" ht="12.75">
      <c r="A44" s="92" t="s">
        <v>514</v>
      </c>
      <c r="B44" s="69"/>
      <c r="C44" s="72"/>
      <c r="D44" s="72"/>
      <c r="E44" s="72"/>
      <c r="F44" s="69"/>
      <c r="G44" s="69"/>
      <c r="H44" s="93"/>
      <c r="I44" s="94"/>
      <c r="J44" s="95"/>
      <c r="K44" s="93"/>
      <c r="L44" s="94"/>
      <c r="M44" s="94"/>
      <c r="N44" s="96"/>
      <c r="O44" s="107"/>
      <c r="P44" s="97"/>
      <c r="AB44" s="72" t="str">
        <f>MiscData!$C$25&amp;$Y39</f>
        <v>20140101KURSE715</v>
      </c>
      <c r="AC44" s="72"/>
      <c r="AD44" s="72"/>
      <c r="AE44" s="72"/>
      <c r="AF44" s="72"/>
      <c r="AG44" s="98" t="s">
        <v>432</v>
      </c>
    </row>
    <row r="45" spans="1:33" ht="12.75">
      <c r="A45" s="103" t="s">
        <v>541</v>
      </c>
      <c r="B45" s="104" t="s">
        <v>426</v>
      </c>
      <c r="C45" s="101">
        <f>SUMIF(_12MonLights_TariffRateCategory,MiscData!$C$23&amp;$B45,_12MonLights_Count)+SUMIF(_12MonLights_TariffRateCategory,MiscData!$C$23&amp;$B45,_12MonLights_Count_Adj)</f>
        <v>0</v>
      </c>
      <c r="D45" s="101">
        <f>SUMIF(_12MonLights_TariffRateCategory,MiscData!$C$24&amp;$B45,_12MonLights_Count)+SUMIF(_12MonLights_TariffRateCategory,MiscData!$C$23&amp;$B45,_12MonLights_Count_Adj)</f>
        <v>0</v>
      </c>
      <c r="E45" s="101">
        <f>SUMIF(_12MonLights_TariffRateCategory,MiscData!$C$25&amp;$B45,_12MonLights_Count)+SUMIF(_12MonLights_TariffRateCategory,MiscData!$C$23&amp;$B45,_12MonLights_Count_Adj)</f>
        <v>0</v>
      </c>
      <c r="F45" s="69"/>
      <c r="G45" s="102">
        <f>SUMIF(_Lights_Tariff_Category,MiscData!$C$23&amp;$B45,_Lights_Rates)</f>
        <v>0</v>
      </c>
      <c r="H45" s="102">
        <f>SUMIF(_Lights_Tariff_Category,MiscData!$C$24&amp;$B45,_Lights_Rates)</f>
        <v>0</v>
      </c>
      <c r="I45" s="102">
        <f>SUMIF(_Lights_Tariff_Category,MiscData!$C$25&amp;$B45,_Lights_Rates)-SUMIF(_Lights_Tariff_Category,MiscData!$C$25&amp;$B45,_Rates_Lights_ECR)</f>
        <v>0</v>
      </c>
      <c r="J45" s="69"/>
      <c r="K45" s="102">
        <f t="shared" ref="K45:K59" si="9">ROUND(SUM($C45*$G45,$D45*$H45,$E45*$I45),2)</f>
        <v>0</v>
      </c>
      <c r="L45" s="102">
        <f t="shared" ref="L45:L59" si="10">ROUND(SUM($C45*$H45,$D45*$H45,$E45*$I45),2)</f>
        <v>0</v>
      </c>
      <c r="M45" s="102">
        <f t="shared" ref="M45:M59" si="11">ROUND(SUM($C45*$I45,$D45*$I45,$E45*$I45),2)</f>
        <v>0</v>
      </c>
      <c r="N45" s="96"/>
      <c r="O45" s="95"/>
      <c r="P45" s="94"/>
      <c r="AG45" s="98" t="s">
        <v>433</v>
      </c>
    </row>
    <row r="46" spans="1:33" ht="15">
      <c r="A46" s="103" t="s">
        <v>542</v>
      </c>
      <c r="B46" s="104" t="s">
        <v>376</v>
      </c>
      <c r="C46" s="101">
        <f>SUMIF(_12MonLights_TariffRateCategory,MiscData!$C$23&amp;$B46,_12MonLights_Count)+SUMIF(_12MonLights_TariffRateCategory,MiscData!$C$23&amp;$B46,_12MonLights_Count_Adj)</f>
        <v>2863</v>
      </c>
      <c r="D46" s="101">
        <f>SUMIF(_12MonLights_TariffRateCategory,MiscData!$C$24&amp;$B46,_12MonLights_Count)+SUMIF(_12MonLights_TariffRateCategory,MiscData!$C$23&amp;$B46,_12MonLights_Count_Adj)</f>
        <v>2863</v>
      </c>
      <c r="E46" s="101">
        <f>SUMIF(_12MonLights_TariffRateCategory,MiscData!$C$25&amp;$B46,_12MonLights_Count)+SUMIF(_12MonLights_TariffRateCategory,MiscData!$C$23&amp;$B46,_12MonLights_Count_Adj)</f>
        <v>2863</v>
      </c>
      <c r="F46" s="69"/>
      <c r="G46" s="102">
        <f>SUMIF(_Lights_Tariff_Category,MiscData!$C$23&amp;$B46,_Lights_Rates)</f>
        <v>20.259999999999998</v>
      </c>
      <c r="H46" s="102">
        <f>SUMIF(_Lights_Tariff_Category,MiscData!$C$24&amp;$B46,_Lights_Rates)</f>
        <v>20.259999999999998</v>
      </c>
      <c r="I46" s="102">
        <f>SUMIF(_Lights_Tariff_Category,MiscData!$C$25&amp;$B46,_Lights_Rates)-SUMIF(_Lights_Tariff_Category,MiscData!$C$25&amp;$B46,_Rates_Lights_ECR)</f>
        <v>19.93</v>
      </c>
      <c r="J46" s="69"/>
      <c r="K46" s="102">
        <f t="shared" si="9"/>
        <v>173068.35</v>
      </c>
      <c r="L46" s="102">
        <f t="shared" si="10"/>
        <v>173068.35</v>
      </c>
      <c r="M46" s="102">
        <f t="shared" si="11"/>
        <v>171178.77</v>
      </c>
      <c r="N46" s="108"/>
      <c r="O46" s="109"/>
      <c r="P46" s="110"/>
      <c r="AG46" s="98" t="s">
        <v>339</v>
      </c>
    </row>
    <row r="47" spans="1:33" ht="12.75">
      <c r="A47" s="103" t="s">
        <v>543</v>
      </c>
      <c r="B47" s="104" t="s">
        <v>382</v>
      </c>
      <c r="C47" s="101">
        <f>SUMIF(_12MonLights_TariffRateCategory,MiscData!$C$23&amp;$B47,_12MonLights_Count)+SUMIF(_12MonLights_TariffRateCategory,MiscData!$C$23&amp;$B47,_12MonLights_Count_Adj)</f>
        <v>618</v>
      </c>
      <c r="D47" s="101">
        <f>SUMIF(_12MonLights_TariffRateCategory,MiscData!$C$24&amp;$B47,_12MonLights_Count)+SUMIF(_12MonLights_TariffRateCategory,MiscData!$C$23&amp;$B47,_12MonLights_Count_Adj)</f>
        <v>618</v>
      </c>
      <c r="E47" s="101">
        <f>SUMIF(_12MonLights_TariffRateCategory,MiscData!$C$25&amp;$B47,_12MonLights_Count)+SUMIF(_12MonLights_TariffRateCategory,MiscData!$C$23&amp;$B47,_12MonLights_Count_Adj)</f>
        <v>618</v>
      </c>
      <c r="F47" s="69"/>
      <c r="G47" s="102">
        <f>SUMIF(_Lights_Tariff_Category,MiscData!$C$23&amp;$B47,_Lights_Rates)</f>
        <v>14.860000000000001</v>
      </c>
      <c r="H47" s="102">
        <f>SUMIF(_Lights_Tariff_Category,MiscData!$C$24&amp;$B47,_Lights_Rates)</f>
        <v>14.860000000000001</v>
      </c>
      <c r="I47" s="102">
        <f>SUMIF(_Lights_Tariff_Category,MiscData!$C$25&amp;$B47,_Lights_Rates)-SUMIF(_Lights_Tariff_Category,MiscData!$C$25&amp;$B47,_Rates_Lights_ECR)</f>
        <v>14.430000000000001</v>
      </c>
      <c r="J47" s="69"/>
      <c r="K47" s="102">
        <f t="shared" si="9"/>
        <v>27284.7</v>
      </c>
      <c r="L47" s="102">
        <f t="shared" si="10"/>
        <v>27284.7</v>
      </c>
      <c r="M47" s="102">
        <f t="shared" si="11"/>
        <v>26753.22</v>
      </c>
      <c r="N47" s="96"/>
      <c r="O47" s="111"/>
      <c r="P47" s="106"/>
      <c r="AG47" s="98" t="s">
        <v>344</v>
      </c>
    </row>
    <row r="48" spans="1:33" ht="12.75">
      <c r="A48" s="103" t="s">
        <v>544</v>
      </c>
      <c r="B48" s="104" t="s">
        <v>384</v>
      </c>
      <c r="C48" s="101">
        <f>SUMIF(_12MonLights_TariffRateCategory,MiscData!$C$23&amp;$B48,_12MonLights_Count)+SUMIF(_12MonLights_TariffRateCategory,MiscData!$C$23&amp;$B48,_12MonLights_Count_Adj)</f>
        <v>1752</v>
      </c>
      <c r="D48" s="101">
        <f>SUMIF(_12MonLights_TariffRateCategory,MiscData!$C$24&amp;$B48,_12MonLights_Count)+SUMIF(_12MonLights_TariffRateCategory,MiscData!$C$23&amp;$B48,_12MonLights_Count_Adj)</f>
        <v>1752</v>
      </c>
      <c r="E48" s="101">
        <f>SUMIF(_12MonLights_TariffRateCategory,MiscData!$C$25&amp;$B48,_12MonLights_Count)+SUMIF(_12MonLights_TariffRateCategory,MiscData!$C$23&amp;$B48,_12MonLights_Count_Adj)</f>
        <v>1752</v>
      </c>
      <c r="F48" s="69"/>
      <c r="G48" s="102">
        <f>SUMIF(_Lights_Tariff_Category,MiscData!$C$23&amp;$B48,_Lights_Rates)</f>
        <v>21.38</v>
      </c>
      <c r="H48" s="102">
        <f>SUMIF(_Lights_Tariff_Category,MiscData!$C$24&amp;$B48,_Lights_Rates)</f>
        <v>21.38</v>
      </c>
      <c r="I48" s="102">
        <f>SUMIF(_Lights_Tariff_Category,MiscData!$C$25&amp;$B48,_Lights_Rates)-SUMIF(_Lights_Tariff_Category,MiscData!$C$25&amp;$B48,_Rates_Lights_ECR)</f>
        <v>20.95</v>
      </c>
      <c r="J48" s="69"/>
      <c r="K48" s="102">
        <f t="shared" si="9"/>
        <v>111619.92</v>
      </c>
      <c r="L48" s="102">
        <f t="shared" si="10"/>
        <v>111619.92</v>
      </c>
      <c r="M48" s="102">
        <f t="shared" si="11"/>
        <v>110113.2</v>
      </c>
      <c r="N48" s="96"/>
      <c r="O48" s="111"/>
      <c r="P48" s="111"/>
      <c r="AG48" s="98" t="s">
        <v>347</v>
      </c>
    </row>
    <row r="49" spans="1:33" ht="12.75">
      <c r="A49" s="103" t="s">
        <v>545</v>
      </c>
      <c r="B49" s="104" t="s">
        <v>405</v>
      </c>
      <c r="C49" s="101">
        <f>SUMIF(_12MonLights_TariffRateCategory,MiscData!$C$23&amp;$B49,_12MonLights_Count)+SUMIF(_12MonLights_TariffRateCategory,MiscData!$C$23&amp;$B49,_12MonLights_Count_Adj)</f>
        <v>5601</v>
      </c>
      <c r="D49" s="101">
        <f>SUMIF(_12MonLights_TariffRateCategory,MiscData!$C$24&amp;$B49,_12MonLights_Count)+SUMIF(_12MonLights_TariffRateCategory,MiscData!$C$23&amp;$B49,_12MonLights_Count_Adj)</f>
        <v>5601</v>
      </c>
      <c r="E49" s="101">
        <f>SUMIF(_12MonLights_TariffRateCategory,MiscData!$C$25&amp;$B49,_12MonLights_Count)+SUMIF(_12MonLights_TariffRateCategory,MiscData!$C$23&amp;$B49,_12MonLights_Count_Adj)</f>
        <v>5601</v>
      </c>
      <c r="F49" s="69"/>
      <c r="G49" s="102">
        <f>SUMIF(_Lights_Tariff_Category,MiscData!$C$23&amp;$B49,_Lights_Rates)</f>
        <v>15.360000000000001</v>
      </c>
      <c r="H49" s="102">
        <f>SUMIF(_Lights_Tariff_Category,MiscData!$C$24&amp;$B49,_Lights_Rates)</f>
        <v>15.360000000000001</v>
      </c>
      <c r="I49" s="102">
        <f>SUMIF(_Lights_Tariff_Category,MiscData!$C$25&amp;$B49,_Lights_Rates)-SUMIF(_Lights_Tariff_Category,MiscData!$C$25&amp;$B49,_Rates_Lights_ECR)</f>
        <v>15.020000000000001</v>
      </c>
      <c r="J49" s="69"/>
      <c r="K49" s="102">
        <f t="shared" si="9"/>
        <v>256189.74</v>
      </c>
      <c r="L49" s="102">
        <f t="shared" si="10"/>
        <v>256189.74</v>
      </c>
      <c r="M49" s="102">
        <f t="shared" si="11"/>
        <v>252381.06</v>
      </c>
      <c r="N49" s="91"/>
      <c r="O49" s="88"/>
      <c r="P49" s="88"/>
      <c r="AG49" s="98" t="s">
        <v>348</v>
      </c>
    </row>
    <row r="50" spans="1:33" ht="12.75">
      <c r="A50" s="103" t="s">
        <v>546</v>
      </c>
      <c r="B50" s="104" t="s">
        <v>407</v>
      </c>
      <c r="C50" s="101">
        <f>SUMIF(_12MonLights_TariffRateCategory,MiscData!$C$23&amp;$B50,_12MonLights_Count)+SUMIF(_12MonLights_TariffRateCategory,MiscData!$C$23&amp;$B50,_12MonLights_Count_Adj)</f>
        <v>13826</v>
      </c>
      <c r="D50" s="101">
        <f>SUMIF(_12MonLights_TariffRateCategory,MiscData!$C$24&amp;$B50,_12MonLights_Count)+SUMIF(_12MonLights_TariffRateCategory,MiscData!$C$23&amp;$B50,_12MonLights_Count_Adj)</f>
        <v>13826</v>
      </c>
      <c r="E50" s="101">
        <f>SUMIF(_12MonLights_TariffRateCategory,MiscData!$C$25&amp;$B50,_12MonLights_Count)+SUMIF(_12MonLights_TariffRateCategory,MiscData!$C$23&amp;$B50,_12MonLights_Count_Adj)</f>
        <v>13826</v>
      </c>
      <c r="F50" s="69"/>
      <c r="G50" s="102">
        <f>SUMIF(_Lights_Tariff_Category,MiscData!$C$23&amp;$B50,_Lights_Rates)</f>
        <v>22</v>
      </c>
      <c r="H50" s="102">
        <f>SUMIF(_Lights_Tariff_Category,MiscData!$C$24&amp;$B50,_Lights_Rates)</f>
        <v>22</v>
      </c>
      <c r="I50" s="102">
        <f>SUMIF(_Lights_Tariff_Category,MiscData!$C$25&amp;$B50,_Lights_Rates)-SUMIF(_Lights_Tariff_Category,MiscData!$C$25&amp;$B50,_Rates_Lights_ECR)</f>
        <v>21.66</v>
      </c>
      <c r="J50" s="69"/>
      <c r="K50" s="102">
        <f t="shared" si="9"/>
        <v>907815.16</v>
      </c>
      <c r="L50" s="102">
        <f t="shared" si="10"/>
        <v>907815.16</v>
      </c>
      <c r="M50" s="102">
        <f t="shared" si="11"/>
        <v>898413.48</v>
      </c>
      <c r="N50" s="96"/>
      <c r="O50" s="93"/>
      <c r="P50" s="97"/>
      <c r="Y50" s="67" t="s">
        <v>193</v>
      </c>
      <c r="AB50" s="72" t="str">
        <f>MiscData!$C$23&amp;$Y50</f>
        <v>20140101KURSE080</v>
      </c>
      <c r="AG50" s="98" t="s">
        <v>349</v>
      </c>
    </row>
    <row r="51" spans="1:33" ht="12.75">
      <c r="A51" s="103" t="s">
        <v>547</v>
      </c>
      <c r="B51" s="104" t="s">
        <v>379</v>
      </c>
      <c r="C51" s="101">
        <f>SUMIF(_12MonLights_TariffRateCategory,MiscData!$C$23&amp;$B51,_12MonLights_Count)+SUMIF(_12MonLights_TariffRateCategory,MiscData!$C$23&amp;$B51,_12MonLights_Count_Adj)</f>
        <v>10144</v>
      </c>
      <c r="D51" s="101">
        <f>SUMIF(_12MonLights_TariffRateCategory,MiscData!$C$24&amp;$B51,_12MonLights_Count)+SUMIF(_12MonLights_TariffRateCategory,MiscData!$C$23&amp;$B51,_12MonLights_Count_Adj)</f>
        <v>10144</v>
      </c>
      <c r="E51" s="101">
        <f>SUMIF(_12MonLights_TariffRateCategory,MiscData!$C$25&amp;$B51,_12MonLights_Count)+SUMIF(_12MonLights_TariffRateCategory,MiscData!$C$23&amp;$B51,_12MonLights_Count_Adj)</f>
        <v>10144</v>
      </c>
      <c r="F51" s="69"/>
      <c r="G51" s="102">
        <f>SUMIF(_Lights_Tariff_Category,MiscData!$C$23&amp;$B51,_Lights_Rates)</f>
        <v>9.620000000000001</v>
      </c>
      <c r="H51" s="102">
        <f>SUMIF(_Lights_Tariff_Category,MiscData!$C$24&amp;$B51,_Lights_Rates)</f>
        <v>9.620000000000001</v>
      </c>
      <c r="I51" s="102">
        <f>SUMIF(_Lights_Tariff_Category,MiscData!$C$25&amp;$B51,_Lights_Rates)-SUMIF(_Lights_Tariff_Category,MiscData!$C$25&amp;$B51,_Rates_Lights_ECR)</f>
        <v>9.2900000000000009</v>
      </c>
      <c r="J51" s="69"/>
      <c r="K51" s="102">
        <f t="shared" si="9"/>
        <v>289408.32</v>
      </c>
      <c r="L51" s="102">
        <f t="shared" si="10"/>
        <v>289408.32</v>
      </c>
      <c r="M51" s="102">
        <f t="shared" si="11"/>
        <v>282713.28000000003</v>
      </c>
      <c r="N51" s="96"/>
      <c r="O51" s="93"/>
      <c r="P51" s="97"/>
      <c r="AB51" s="72" t="str">
        <f>MiscData!$C$24&amp;$Y50</f>
        <v>20140101KURSE080</v>
      </c>
      <c r="AG51" s="98" t="s">
        <v>351</v>
      </c>
    </row>
    <row r="52" spans="1:33" ht="12.75">
      <c r="A52" s="103" t="s">
        <v>548</v>
      </c>
      <c r="B52" s="104" t="s">
        <v>389</v>
      </c>
      <c r="C52" s="101">
        <f>SUMIF(_12MonLights_TariffRateCategory,MiscData!$C$23&amp;$B52,_12MonLights_Count)+SUMIF(_12MonLights_TariffRateCategory,MiscData!$C$23&amp;$B52,_12MonLights_Count_Adj)</f>
        <v>15911</v>
      </c>
      <c r="D52" s="101">
        <f>SUMIF(_12MonLights_TariffRateCategory,MiscData!$C$24&amp;$B52,_12MonLights_Count)+SUMIF(_12MonLights_TariffRateCategory,MiscData!$C$23&amp;$B52,_12MonLights_Count_Adj)</f>
        <v>15911</v>
      </c>
      <c r="E52" s="101">
        <f>SUMIF(_12MonLights_TariffRateCategory,MiscData!$C$25&amp;$B52,_12MonLights_Count)+SUMIF(_12MonLights_TariffRateCategory,MiscData!$C$23&amp;$B52,_12MonLights_Count_Adj)</f>
        <v>15911</v>
      </c>
      <c r="F52" s="69"/>
      <c r="G52" s="102">
        <f>SUMIF(_Lights_Tariff_Category,MiscData!$C$23&amp;$B52,_Lights_Rates)</f>
        <v>10.770000000000001</v>
      </c>
      <c r="H52" s="102">
        <f>SUMIF(_Lights_Tariff_Category,MiscData!$C$24&amp;$B52,_Lights_Rates)</f>
        <v>10.770000000000001</v>
      </c>
      <c r="I52" s="102">
        <f>SUMIF(_Lights_Tariff_Category,MiscData!$C$25&amp;$B52,_Lights_Rates)-SUMIF(_Lights_Tariff_Category,MiscData!$C$25&amp;$B52,_Rates_Lights_ECR)</f>
        <v>10.340000000000002</v>
      </c>
      <c r="J52" s="69"/>
      <c r="K52" s="102">
        <f t="shared" si="9"/>
        <v>507242.68</v>
      </c>
      <c r="L52" s="102">
        <f t="shared" si="10"/>
        <v>507242.68</v>
      </c>
      <c r="M52" s="102">
        <f t="shared" si="11"/>
        <v>493559.22</v>
      </c>
      <c r="N52" s="96"/>
      <c r="O52" s="93"/>
      <c r="P52" s="97"/>
      <c r="AB52" s="72" t="str">
        <f>MiscData!$C$25&amp;$Y50</f>
        <v>20140101KURSE080</v>
      </c>
      <c r="AG52" s="98" t="s">
        <v>352</v>
      </c>
    </row>
    <row r="53" spans="1:33" ht="12.75">
      <c r="A53" s="103" t="s">
        <v>549</v>
      </c>
      <c r="B53" s="104" t="s">
        <v>412</v>
      </c>
      <c r="C53" s="101">
        <f>SUMIF(_12MonLights_TariffRateCategory,MiscData!$C$23&amp;$B53,_12MonLights_Count)+SUMIF(_12MonLights_TariffRateCategory,MiscData!$C$23&amp;$B53,_12MonLights_Count_Adj)</f>
        <v>47650</v>
      </c>
      <c r="D53" s="101">
        <f>SUMIF(_12MonLights_TariffRateCategory,MiscData!$C$24&amp;$B53,_12MonLights_Count)+SUMIF(_12MonLights_TariffRateCategory,MiscData!$C$23&amp;$B53,_12MonLights_Count_Adj)</f>
        <v>47650</v>
      </c>
      <c r="E53" s="101">
        <f>SUMIF(_12MonLights_TariffRateCategory,MiscData!$C$25&amp;$B53,_12MonLights_Count)+SUMIF(_12MonLights_TariffRateCategory,MiscData!$C$23&amp;$B53,_12MonLights_Count_Adj)</f>
        <v>47650</v>
      </c>
      <c r="F53" s="69"/>
      <c r="G53" s="102">
        <f>SUMIF(_Lights_Tariff_Category,MiscData!$C$23&amp;$B53,_Lights_Rates)</f>
        <v>11.16</v>
      </c>
      <c r="H53" s="102">
        <f>SUMIF(_Lights_Tariff_Category,MiscData!$C$24&amp;$B53,_Lights_Rates)</f>
        <v>11.16</v>
      </c>
      <c r="I53" s="102">
        <f>SUMIF(_Lights_Tariff_Category,MiscData!$C$25&amp;$B53,_Lights_Rates)-SUMIF(_Lights_Tariff_Category,MiscData!$C$25&amp;$B53,_Rates_Lights_ECR)</f>
        <v>10.82</v>
      </c>
      <c r="J53" s="69"/>
      <c r="K53" s="102">
        <f t="shared" si="9"/>
        <v>1579121</v>
      </c>
      <c r="L53" s="102">
        <f t="shared" si="10"/>
        <v>1579121</v>
      </c>
      <c r="M53" s="102">
        <f t="shared" si="11"/>
        <v>1546719</v>
      </c>
      <c r="N53" s="96"/>
      <c r="O53" s="105"/>
      <c r="P53" s="106"/>
      <c r="AE53" s="66"/>
      <c r="AG53" s="98" t="s">
        <v>354</v>
      </c>
    </row>
    <row r="54" spans="1:33" ht="12.75">
      <c r="A54" s="103" t="s">
        <v>550</v>
      </c>
      <c r="B54" s="104" t="s">
        <v>386</v>
      </c>
      <c r="C54" s="101">
        <f>SUMIF(_12MonLights_TariffRateCategory,MiscData!$C$23&amp;$B54,_12MonLights_Count)+SUMIF(_12MonLights_TariffRateCategory,MiscData!$C$23&amp;$B54,_12MonLights_Count_Adj)</f>
        <v>336</v>
      </c>
      <c r="D54" s="101">
        <f>SUMIF(_12MonLights_TariffRateCategory,MiscData!$C$24&amp;$B54,_12MonLights_Count)+SUMIF(_12MonLights_TariffRateCategory,MiscData!$C$23&amp;$B54,_12MonLights_Count_Adj)</f>
        <v>336</v>
      </c>
      <c r="E54" s="101">
        <f>SUMIF(_12MonLights_TariffRateCategory,MiscData!$C$25&amp;$B54,_12MonLights_Count)+SUMIF(_12MonLights_TariffRateCategory,MiscData!$C$23&amp;$B54,_12MonLights_Count_Adj)</f>
        <v>336</v>
      </c>
      <c r="F54" s="69"/>
      <c r="G54" s="102">
        <f>SUMIF(_Lights_Tariff_Category,MiscData!$C$23&amp;$B54,_Lights_Rates)</f>
        <v>30.84</v>
      </c>
      <c r="H54" s="102">
        <f>SUMIF(_Lights_Tariff_Category,MiscData!$C$24&amp;$B54,_Lights_Rates)</f>
        <v>30.84</v>
      </c>
      <c r="I54" s="102">
        <f>SUMIF(_Lights_Tariff_Category,MiscData!$C$25&amp;$B54,_Lights_Rates)-SUMIF(_Lights_Tariff_Category,MiscData!$C$25&amp;$B54,_Rates_Lights_ECR)</f>
        <v>30.41</v>
      </c>
      <c r="J54" s="69"/>
      <c r="K54" s="102">
        <f t="shared" si="9"/>
        <v>30942.240000000002</v>
      </c>
      <c r="L54" s="102">
        <f t="shared" si="10"/>
        <v>30942.240000000002</v>
      </c>
      <c r="M54" s="102">
        <f t="shared" si="11"/>
        <v>30653.279999999999</v>
      </c>
      <c r="N54" s="96"/>
      <c r="O54" s="107"/>
      <c r="P54" s="97"/>
      <c r="AB54" s="72" t="str">
        <f>MiscData!$C$23&amp;$Y50</f>
        <v>20140101KURSE080</v>
      </c>
      <c r="AE54" s="66"/>
      <c r="AG54" s="98" t="s">
        <v>355</v>
      </c>
    </row>
    <row r="55" spans="1:33" ht="12.75">
      <c r="A55" s="103" t="s">
        <v>551</v>
      </c>
      <c r="B55" s="104" t="s">
        <v>409</v>
      </c>
      <c r="C55" s="101">
        <f>SUMIF(_12MonLights_TariffRateCategory,MiscData!$C$23&amp;$B55,_12MonLights_Count)+SUMIF(_12MonLights_TariffRateCategory,MiscData!$C$23&amp;$B55,_12MonLights_Count_Adj)</f>
        <v>1150</v>
      </c>
      <c r="D55" s="101">
        <f>SUMIF(_12MonLights_TariffRateCategory,MiscData!$C$24&amp;$B55,_12MonLights_Count)+SUMIF(_12MonLights_TariffRateCategory,MiscData!$C$23&amp;$B55,_12MonLights_Count_Adj)</f>
        <v>1150</v>
      </c>
      <c r="E55" s="101">
        <f>SUMIF(_12MonLights_TariffRateCategory,MiscData!$C$25&amp;$B55,_12MonLights_Count)+SUMIF(_12MonLights_TariffRateCategory,MiscData!$C$23&amp;$B55,_12MonLights_Count_Adj)</f>
        <v>1150</v>
      </c>
      <c r="F55" s="69"/>
      <c r="G55" s="102">
        <f>SUMIF(_Lights_Tariff_Category,MiscData!$C$23&amp;$B55,_Lights_Rates)</f>
        <v>31.22</v>
      </c>
      <c r="H55" s="102">
        <f>SUMIF(_Lights_Tariff_Category,MiscData!$C$24&amp;$B55,_Lights_Rates)</f>
        <v>31.22</v>
      </c>
      <c r="I55" s="102">
        <f>SUMIF(_Lights_Tariff_Category,MiscData!$C$25&amp;$B55,_Lights_Rates)-SUMIF(_Lights_Tariff_Category,MiscData!$C$25&amp;$B55,_Rates_Lights_ECR)</f>
        <v>30.88</v>
      </c>
      <c r="J55" s="69"/>
      <c r="K55" s="102">
        <f t="shared" si="9"/>
        <v>107318</v>
      </c>
      <c r="L55" s="102">
        <f t="shared" si="10"/>
        <v>107318</v>
      </c>
      <c r="M55" s="102">
        <f t="shared" si="11"/>
        <v>106536</v>
      </c>
      <c r="N55" s="96"/>
      <c r="O55" s="107"/>
      <c r="P55" s="97"/>
      <c r="AB55" s="72" t="str">
        <f>MiscData!$C$24&amp;$Y50</f>
        <v>20140101KURSE080</v>
      </c>
      <c r="AE55" s="66"/>
      <c r="AG55" s="98" t="s">
        <v>341</v>
      </c>
    </row>
    <row r="56" spans="1:33" ht="12.75">
      <c r="A56" s="103" t="s">
        <v>552</v>
      </c>
      <c r="B56" s="104" t="s">
        <v>390</v>
      </c>
      <c r="C56" s="101">
        <f>SUMIF(_12MonLights_TariffRateCategory,MiscData!$C$23&amp;$B56,_12MonLights_Count)+SUMIF(_12MonLights_TariffRateCategory,MiscData!$C$23&amp;$B56,_12MonLights_Count_Adj)</f>
        <v>54348</v>
      </c>
      <c r="D56" s="101">
        <f>SUMIF(_12MonLights_TariffRateCategory,MiscData!$C$24&amp;$B56,_12MonLights_Count)+SUMIF(_12MonLights_TariffRateCategory,MiscData!$C$23&amp;$B56,_12MonLights_Count_Adj)</f>
        <v>54348</v>
      </c>
      <c r="E56" s="101">
        <f>SUMIF(_12MonLights_TariffRateCategory,MiscData!$C$25&amp;$B56,_12MonLights_Count)+SUMIF(_12MonLights_TariffRateCategory,MiscData!$C$23&amp;$B56,_12MonLights_Count_Adj)</f>
        <v>54348</v>
      </c>
      <c r="F56" s="69"/>
      <c r="G56" s="102">
        <f>SUMIF(_Lights_Tariff_Category,MiscData!$C$23&amp;$B56,_Lights_Rates)</f>
        <v>16.79</v>
      </c>
      <c r="H56" s="102">
        <f>SUMIF(_Lights_Tariff_Category,MiscData!$C$24&amp;$B56,_Lights_Rates)</f>
        <v>16.79</v>
      </c>
      <c r="I56" s="102">
        <f>SUMIF(_Lights_Tariff_Category,MiscData!$C$25&amp;$B56,_Lights_Rates)-SUMIF(_Lights_Tariff_Category,MiscData!$C$25&amp;$B56,_Rates_Lights_ECR)</f>
        <v>16.36</v>
      </c>
      <c r="J56" s="69"/>
      <c r="K56" s="102">
        <f t="shared" si="9"/>
        <v>2714139.12</v>
      </c>
      <c r="L56" s="102">
        <f t="shared" si="10"/>
        <v>2714139.12</v>
      </c>
      <c r="M56" s="102">
        <f t="shared" si="11"/>
        <v>2667399.84</v>
      </c>
      <c r="N56" s="96"/>
      <c r="O56" s="107"/>
      <c r="P56" s="97"/>
      <c r="AB56" s="72" t="str">
        <f>MiscData!$C$25&amp;$Y50</f>
        <v>20140101KURSE080</v>
      </c>
      <c r="AE56" s="66"/>
      <c r="AG56" s="98" t="s">
        <v>350</v>
      </c>
    </row>
    <row r="57" spans="1:33" ht="12.75">
      <c r="A57" s="103" t="s">
        <v>553</v>
      </c>
      <c r="B57" s="104" t="s">
        <v>414</v>
      </c>
      <c r="C57" s="101">
        <f>SUMIF(_12MonLights_TariffRateCategory,MiscData!$C$23&amp;$B57,_12MonLights_Count)+SUMIF(_12MonLights_TariffRateCategory,MiscData!$C$23&amp;$B57,_12MonLights_Count_Adj)</f>
        <v>12575</v>
      </c>
      <c r="D57" s="101">
        <f>SUMIF(_12MonLights_TariffRateCategory,MiscData!$C$24&amp;$B57,_12MonLights_Count)+SUMIF(_12MonLights_TariffRateCategory,MiscData!$C$23&amp;$B57,_12MonLights_Count_Adj)</f>
        <v>12575</v>
      </c>
      <c r="E57" s="101">
        <f>SUMIF(_12MonLights_TariffRateCategory,MiscData!$C$25&amp;$B57,_12MonLights_Count)+SUMIF(_12MonLights_TariffRateCategory,MiscData!$C$23&amp;$B57,_12MonLights_Count_Adj)</f>
        <v>12575</v>
      </c>
      <c r="F57" s="69"/>
      <c r="G57" s="102">
        <f>SUMIF(_Lights_Tariff_Category,MiscData!$C$23&amp;$B57,_Lights_Rates)</f>
        <v>20.97</v>
      </c>
      <c r="H57" s="102">
        <f>SUMIF(_Lights_Tariff_Category,MiscData!$C$24&amp;$B57,_Lights_Rates)</f>
        <v>20.97</v>
      </c>
      <c r="I57" s="102">
        <f>SUMIF(_Lights_Tariff_Category,MiscData!$C$25&amp;$B57,_Lights_Rates)-SUMIF(_Lights_Tariff_Category,MiscData!$C$25&amp;$B57,_Rates_Lights_ECR)</f>
        <v>20.63</v>
      </c>
      <c r="J57" s="69"/>
      <c r="K57" s="102">
        <f t="shared" si="9"/>
        <v>786817.75</v>
      </c>
      <c r="L57" s="102">
        <f t="shared" si="10"/>
        <v>786817.75</v>
      </c>
      <c r="M57" s="102">
        <f t="shared" si="11"/>
        <v>778266.75</v>
      </c>
      <c r="N57" s="96"/>
      <c r="O57" s="95"/>
      <c r="P57" s="94"/>
      <c r="AE57" s="66"/>
      <c r="AG57" s="98" t="s">
        <v>342</v>
      </c>
    </row>
    <row r="58" spans="1:33" ht="15">
      <c r="A58" s="103" t="s">
        <v>554</v>
      </c>
      <c r="B58" s="104" t="s">
        <v>364</v>
      </c>
      <c r="C58" s="101">
        <f>SUMIF(_12MonLights_TariffRateCategory,MiscData!$C$23&amp;$B58,_12MonLights_Count)+SUMIF(_12MonLights_TariffRateCategory,MiscData!$C$23&amp;$B58,_12MonLights_Count_Adj)</f>
        <v>16761</v>
      </c>
      <c r="D58" s="101">
        <f>SUMIF(_12MonLights_TariffRateCategory,MiscData!$C$24&amp;$B58,_12MonLights_Count)+SUMIF(_12MonLights_TariffRateCategory,MiscData!$C$23&amp;$B58,_12MonLights_Count_Adj)</f>
        <v>16761</v>
      </c>
      <c r="E58" s="101">
        <f>SUMIF(_12MonLights_TariffRateCategory,MiscData!$C$25&amp;$B58,_12MonLights_Count)+SUMIF(_12MonLights_TariffRateCategory,MiscData!$C$23&amp;$B58,_12MonLights_Count_Adj)</f>
        <v>16761</v>
      </c>
      <c r="F58" s="69"/>
      <c r="G58" s="102">
        <f>SUMIF(_Lights_Tariff_Category,MiscData!$C$23&amp;$B58,_Lights_Rates)</f>
        <v>26.86</v>
      </c>
      <c r="H58" s="102">
        <f>SUMIF(_Lights_Tariff_Category,MiscData!$C$24&amp;$B58,_Lights_Rates)</f>
        <v>26.86</v>
      </c>
      <c r="I58" s="102">
        <f>SUMIF(_Lights_Tariff_Category,MiscData!$C$25&amp;$B58,_Lights_Rates)-SUMIF(_Lights_Tariff_Category,MiscData!$C$25&amp;$B58,_Rates_Lights_ECR)</f>
        <v>26.28</v>
      </c>
      <c r="J58" s="69"/>
      <c r="K58" s="102">
        <f t="shared" si="9"/>
        <v>1340880</v>
      </c>
      <c r="L58" s="102">
        <f t="shared" si="10"/>
        <v>1340880</v>
      </c>
      <c r="M58" s="102">
        <f t="shared" si="11"/>
        <v>1321437.24</v>
      </c>
      <c r="N58" s="108"/>
      <c r="O58" s="109"/>
      <c r="P58" s="110"/>
      <c r="AE58" s="66"/>
      <c r="AG58" s="98" t="s">
        <v>346</v>
      </c>
    </row>
    <row r="59" spans="1:33" ht="12.75">
      <c r="A59" s="103" t="s">
        <v>555</v>
      </c>
      <c r="B59" s="104" t="s">
        <v>396</v>
      </c>
      <c r="C59" s="101">
        <f>SUMIF(_12MonLights_TariffRateCategory,MiscData!$C$23&amp;$B59,_12MonLights_Count)+SUMIF(_12MonLights_TariffRateCategory,MiscData!$C$23&amp;$B59,_12MonLights_Count_Adj)</f>
        <v>11333</v>
      </c>
      <c r="D59" s="101">
        <f>SUMIF(_12MonLights_TariffRateCategory,MiscData!$C$24&amp;$B59,_12MonLights_Count)+SUMIF(_12MonLights_TariffRateCategory,MiscData!$C$23&amp;$B59,_12MonLights_Count_Adj)</f>
        <v>11333</v>
      </c>
      <c r="E59" s="101">
        <f>SUMIF(_12MonLights_TariffRateCategory,MiscData!$C$25&amp;$B59,_12MonLights_Count)+SUMIF(_12MonLights_TariffRateCategory,MiscData!$C$23&amp;$B59,_12MonLights_Count_Adj)</f>
        <v>11333</v>
      </c>
      <c r="F59" s="69"/>
      <c r="G59" s="102">
        <f>SUMIF(_Lights_Tariff_Category,MiscData!$C$23&amp;$B59,_Lights_Rates)</f>
        <v>33.119999999999997</v>
      </c>
      <c r="H59" s="102">
        <f>SUMIF(_Lights_Tariff_Category,MiscData!$C$24&amp;$B59,_Lights_Rates)</f>
        <v>33.119999999999997</v>
      </c>
      <c r="I59" s="102">
        <f>SUMIF(_Lights_Tariff_Category,MiscData!$C$25&amp;$B59,_Lights_Rates)-SUMIF(_Lights_Tariff_Category,MiscData!$C$25&amp;$B59,_Rates_Lights_ECR)</f>
        <v>32.33</v>
      </c>
      <c r="J59" s="69"/>
      <c r="K59" s="102">
        <f t="shared" si="9"/>
        <v>1117093.81</v>
      </c>
      <c r="L59" s="102">
        <f t="shared" si="10"/>
        <v>1117093.81</v>
      </c>
      <c r="M59" s="102">
        <f t="shared" si="11"/>
        <v>1099187.67</v>
      </c>
      <c r="N59" s="96"/>
      <c r="O59" s="111"/>
      <c r="P59" s="106"/>
      <c r="AE59" s="66"/>
      <c r="AG59" s="98" t="s">
        <v>353</v>
      </c>
    </row>
    <row r="60" spans="1:33" ht="12.75">
      <c r="A60" s="92" t="s">
        <v>556</v>
      </c>
      <c r="B60" s="69"/>
      <c r="C60" s="69"/>
      <c r="D60" s="69"/>
      <c r="E60" s="69"/>
      <c r="F60" s="114"/>
      <c r="G60" s="69"/>
      <c r="H60" s="69"/>
      <c r="I60" s="114" t="s">
        <v>152</v>
      </c>
      <c r="J60" s="69"/>
      <c r="K60" s="69"/>
      <c r="L60" s="119"/>
      <c r="M60" s="119"/>
      <c r="N60" s="96"/>
      <c r="O60" s="111"/>
      <c r="P60" s="111"/>
      <c r="AE60" s="120"/>
      <c r="AG60" s="98" t="s">
        <v>345</v>
      </c>
    </row>
    <row r="61" spans="1:33" ht="12.75">
      <c r="A61" s="155" t="s">
        <v>630</v>
      </c>
      <c r="B61" s="156">
        <v>0</v>
      </c>
      <c r="C61" s="101">
        <f>SUMIF(GranVille!$B$41:$B$95,$B61,GranVille!W$41:W$95)</f>
        <v>0</v>
      </c>
      <c r="D61" s="101">
        <f>SUMIF(GranVille!$B$41:$B$95,$B61,GranVille!X$41:X$95)</f>
        <v>0</v>
      </c>
      <c r="E61" s="101">
        <f>SUMIF(GranVille!$B$41:$B$95,$B61,GranVille!Y$41:Y$95)</f>
        <v>4624</v>
      </c>
      <c r="F61" s="69"/>
      <c r="G61" s="102">
        <f>SUMIF(GranVille!$B$2:$B$14,$B61,GranVille!$P$2:$P$15)</f>
        <v>49.34</v>
      </c>
      <c r="H61" s="102">
        <f>SUMIF(GranVille!$B$2:$B$14,$B61,GranVille!$P$2:$P$15)</f>
        <v>49.34</v>
      </c>
      <c r="I61" s="102">
        <f>SUMIF(_Lights_Tariff_Category,MiscData!$C$25&amp;$B61,_Lights_Rates)-SUMIF(_Lights_Tariff_Category,MiscData!$C$25&amp;$B61,_Rates_Lights_ECR)</f>
        <v>0</v>
      </c>
      <c r="J61" s="69"/>
      <c r="K61" s="102">
        <f t="shared" ref="K61:K74" si="12">ROUND(SUM($C61*$G61,$D61*$H61,$E61*$I61),2)</f>
        <v>0</v>
      </c>
      <c r="L61" s="102">
        <f t="shared" ref="L61:L74" si="13">ROUND(SUM($C61*$H61,$D61*$H61,$E61*$I61),2)</f>
        <v>0</v>
      </c>
      <c r="M61" s="102">
        <f t="shared" ref="M61:M74" si="14">ROUND(SUM($C61*$I61,$D61*$I61,$E61*$I61),2)</f>
        <v>0</v>
      </c>
      <c r="N61" s="91"/>
      <c r="O61" s="88"/>
      <c r="P61" s="88"/>
      <c r="AE61" s="66"/>
      <c r="AG61" s="98" t="s">
        <v>343</v>
      </c>
    </row>
    <row r="62" spans="1:33" ht="12.75">
      <c r="A62" s="155" t="s">
        <v>632</v>
      </c>
      <c r="B62" s="104"/>
      <c r="C62" s="101"/>
      <c r="D62" s="101"/>
      <c r="E62" s="101"/>
      <c r="F62" s="69"/>
      <c r="G62" s="102"/>
      <c r="H62" s="102"/>
      <c r="I62" s="102"/>
      <c r="J62" s="69"/>
      <c r="K62" s="102"/>
      <c r="L62" s="102"/>
      <c r="M62" s="102"/>
      <c r="N62" s="96"/>
      <c r="O62" s="93"/>
      <c r="P62" s="97"/>
      <c r="S62" s="66"/>
      <c r="T62" s="66"/>
      <c r="U62" s="66"/>
      <c r="V62" s="66"/>
      <c r="W62" s="66"/>
      <c r="Y62" s="64" t="str">
        <f>AG20</f>
        <v>KURSE040</v>
      </c>
      <c r="AB62" s="72" t="str">
        <f>MiscData!$C$23&amp;$Y$62</f>
        <v>20140101KURSE040</v>
      </c>
      <c r="AE62" s="66"/>
      <c r="AG62" s="98"/>
    </row>
    <row r="63" spans="1:33" ht="12.75">
      <c r="A63" s="155" t="s">
        <v>633</v>
      </c>
      <c r="B63" s="156">
        <v>1</v>
      </c>
      <c r="C63" s="101">
        <f>SUMIF(GranVille!$B$41:$B$95,$B63,GranVille!W$41:W$95)</f>
        <v>0</v>
      </c>
      <c r="D63" s="101">
        <f>SUMIF(GranVille!$B$41:$B$95,$B63,GranVille!X$41:X$95)</f>
        <v>0</v>
      </c>
      <c r="E63" s="101">
        <f>SUMIF(GranVille!$B$41:$B$95,$B63,GranVille!Y$41:Y$95)</f>
        <v>0</v>
      </c>
      <c r="F63" s="69"/>
      <c r="G63" s="102">
        <f>SUMIF(GranVille!$B$2:$B$14,$B63,GranVille!$P$2:$P$15)</f>
        <v>17.78</v>
      </c>
      <c r="H63" s="102">
        <f>SUMIF(GranVille!$B$2:$B$14,$B63,GranVille!$P$2:$P$15)</f>
        <v>17.78</v>
      </c>
      <c r="I63" s="102">
        <f>SUMIF(GranVille!$B$2:$B$14,$B63,GranVille!$Q$2:$Q$15)</f>
        <v>17.78</v>
      </c>
      <c r="J63" s="69"/>
      <c r="K63" s="102">
        <f t="shared" si="12"/>
        <v>0</v>
      </c>
      <c r="L63" s="102">
        <f t="shared" si="13"/>
        <v>0</v>
      </c>
      <c r="M63" s="102">
        <f t="shared" si="14"/>
        <v>0</v>
      </c>
      <c r="N63" s="96"/>
      <c r="O63" s="93"/>
      <c r="P63" s="97"/>
      <c r="S63" s="66"/>
      <c r="T63" s="66"/>
      <c r="U63" s="66"/>
      <c r="V63" s="66"/>
      <c r="W63" s="66"/>
      <c r="AB63" s="72" t="str">
        <f>MiscData!$C$24&amp;$Y$62</f>
        <v>20140101KURSE040</v>
      </c>
      <c r="AE63" s="66"/>
      <c r="AG63" s="98" t="s">
        <v>340</v>
      </c>
    </row>
    <row r="64" spans="1:33" ht="12.75">
      <c r="A64" s="155" t="s">
        <v>634</v>
      </c>
      <c r="B64" s="156">
        <v>2</v>
      </c>
      <c r="C64" s="101">
        <f>SUMIF(GranVille!$B$41:$B$95,$B64,GranVille!W$41:W$95)</f>
        <v>0</v>
      </c>
      <c r="D64" s="101">
        <f>SUMIF(GranVille!$B$41:$B$95,$B64,GranVille!X$41:X$95)</f>
        <v>0</v>
      </c>
      <c r="E64" s="101">
        <f>SUMIF(GranVille!$B$41:$B$95,$B64,GranVille!Y$41:Y$95)</f>
        <v>329</v>
      </c>
      <c r="F64" s="69"/>
      <c r="G64" s="102">
        <f>SUMIF(GranVille!$B$2:$B$14,$B64,GranVille!$P$2:$P$15)</f>
        <v>19.79</v>
      </c>
      <c r="H64" s="102">
        <f>SUMIF(GranVille!$B$2:$B$14,$B64,GranVille!$P$2:$P$15)</f>
        <v>19.79</v>
      </c>
      <c r="I64" s="102">
        <f>SUMIF(GranVille!$B$2:$B$14,$B64,GranVille!$Q$2:$Q$15)</f>
        <v>19.79</v>
      </c>
      <c r="J64" s="69"/>
      <c r="K64" s="102">
        <f t="shared" si="12"/>
        <v>6510.91</v>
      </c>
      <c r="L64" s="102">
        <f t="shared" si="13"/>
        <v>6510.91</v>
      </c>
      <c r="M64" s="102">
        <f t="shared" si="14"/>
        <v>6510.91</v>
      </c>
      <c r="N64" s="96"/>
      <c r="O64" s="93"/>
      <c r="P64" s="97"/>
      <c r="S64" s="66"/>
      <c r="T64" s="66"/>
      <c r="U64" s="66"/>
      <c r="V64" s="66"/>
      <c r="W64" s="66"/>
      <c r="AB64" s="72" t="str">
        <f>MiscData!$C$25&amp;$Y$62</f>
        <v>20140101KURSE040</v>
      </c>
      <c r="AE64" s="66"/>
      <c r="AG64" s="98" t="s">
        <v>426</v>
      </c>
    </row>
    <row r="65" spans="1:33" ht="12.75">
      <c r="A65" s="155" t="s">
        <v>635</v>
      </c>
      <c r="B65" s="156">
        <v>3</v>
      </c>
      <c r="C65" s="101">
        <f>SUMIF(GranVille!$B$41:$B$95,$B65,GranVille!W$41:W$95)</f>
        <v>0</v>
      </c>
      <c r="D65" s="101">
        <f>SUMIF(GranVille!$B$41:$B$95,$B65,GranVille!X$41:X$95)</f>
        <v>0</v>
      </c>
      <c r="E65" s="101">
        <f>SUMIF(GranVille!$B$41:$B$95,$B65,GranVille!Y$41:Y$95)</f>
        <v>288</v>
      </c>
      <c r="F65" s="69"/>
      <c r="G65" s="102">
        <f>SUMIF(GranVille!$B$2:$B$14,$B65,GranVille!$P$2:$P$15)</f>
        <v>3.09</v>
      </c>
      <c r="H65" s="102">
        <f>SUMIF(GranVille!$B$2:$B$14,$B65,GranVille!$P$2:$P$15)</f>
        <v>3.09</v>
      </c>
      <c r="I65" s="102">
        <f>SUMIF(GranVille!$B$2:$B$14,$B65,GranVille!$Q$2:$Q$15)</f>
        <v>3.09</v>
      </c>
      <c r="J65" s="69"/>
      <c r="K65" s="102">
        <f t="shared" si="12"/>
        <v>889.92</v>
      </c>
      <c r="L65" s="102">
        <f t="shared" si="13"/>
        <v>889.92</v>
      </c>
      <c r="M65" s="102">
        <f t="shared" si="14"/>
        <v>889.92</v>
      </c>
      <c r="N65" s="96"/>
      <c r="O65" s="93"/>
      <c r="P65" s="106"/>
      <c r="S65" s="66"/>
      <c r="T65" s="66"/>
      <c r="U65" s="66"/>
      <c r="V65" s="66"/>
      <c r="W65" s="66"/>
      <c r="AE65" s="66"/>
      <c r="AG65" s="98" t="s">
        <v>382</v>
      </c>
    </row>
    <row r="66" spans="1:33" ht="12.75">
      <c r="A66" s="155" t="s">
        <v>636</v>
      </c>
      <c r="B66" s="156">
        <v>4</v>
      </c>
      <c r="C66" s="101">
        <f>SUMIF(GranVille!$B$41:$B$95,$B66,GranVille!W$41:W$95)</f>
        <v>0</v>
      </c>
      <c r="D66" s="101">
        <f>SUMIF(GranVille!$B$41:$B$95,$B66,GranVille!X$41:X$95)</f>
        <v>0</v>
      </c>
      <c r="E66" s="101">
        <f>SUMIF(GranVille!$B$41:$B$95,$B66,GranVille!Y$41:Y$95)</f>
        <v>1210</v>
      </c>
      <c r="F66" s="69"/>
      <c r="G66" s="102">
        <f>SUMIF(GranVille!$B$2:$B$14,$B66,GranVille!$P$2:$P$15)</f>
        <v>4.26</v>
      </c>
      <c r="H66" s="102">
        <f>SUMIF(GranVille!$B$2:$B$14,$B66,GranVille!$P$2:$P$15)</f>
        <v>4.26</v>
      </c>
      <c r="I66" s="102">
        <f>SUMIF(GranVille!$B$2:$B$14,$B66,GranVille!$Q$2:$Q$15)</f>
        <v>4.26</v>
      </c>
      <c r="J66" s="69"/>
      <c r="K66" s="102">
        <f t="shared" si="12"/>
        <v>5154.6000000000004</v>
      </c>
      <c r="L66" s="102">
        <f t="shared" si="13"/>
        <v>5154.6000000000004</v>
      </c>
      <c r="M66" s="102">
        <f t="shared" si="14"/>
        <v>5154.6000000000004</v>
      </c>
      <c r="N66" s="96"/>
      <c r="O66" s="107"/>
      <c r="P66" s="97"/>
      <c r="S66" s="66"/>
      <c r="T66" s="66"/>
      <c r="U66" s="66"/>
      <c r="V66" s="66"/>
      <c r="W66" s="66"/>
      <c r="Y66" s="64" t="str">
        <f>Y62</f>
        <v>KURSE040</v>
      </c>
      <c r="AB66" s="72" t="str">
        <f>MiscData!$C$23&amp;$Y$62</f>
        <v>20140101KURSE040</v>
      </c>
      <c r="AE66" s="66"/>
      <c r="AG66" s="98" t="s">
        <v>402</v>
      </c>
    </row>
    <row r="67" spans="1:33" ht="12.75">
      <c r="A67" s="155" t="s">
        <v>637</v>
      </c>
      <c r="B67" s="156">
        <v>5</v>
      </c>
      <c r="C67" s="101">
        <f>SUMIF(GranVille!$B$41:$B$95,$B67,GranVille!W$41:W$95)</f>
        <v>0</v>
      </c>
      <c r="D67" s="101">
        <f>SUMIF(GranVille!$B$41:$B$95,$B67,GranVille!X$41:X$95)</f>
        <v>0</v>
      </c>
      <c r="E67" s="101">
        <f>SUMIF(GranVille!$B$41:$B$95,$B67,GranVille!Y$41:Y$95)</f>
        <v>1200</v>
      </c>
      <c r="F67" s="69"/>
      <c r="G67" s="102">
        <f>SUMIF(GranVille!$B$2:$B$14,$B67,GranVille!$P$2:$P$15)</f>
        <v>2.84</v>
      </c>
      <c r="H67" s="102">
        <f>SUMIF(GranVille!$B$2:$B$14,$B67,GranVille!$P$2:$P$15)</f>
        <v>2.84</v>
      </c>
      <c r="I67" s="102">
        <f>SUMIF(GranVille!$B$2:$B$14,$B67,GranVille!$Q$2:$Q$15)</f>
        <v>2.84</v>
      </c>
      <c r="J67" s="69"/>
      <c r="K67" s="102">
        <f t="shared" si="12"/>
        <v>3408</v>
      </c>
      <c r="L67" s="102">
        <f t="shared" si="13"/>
        <v>3408</v>
      </c>
      <c r="M67" s="102">
        <f t="shared" si="14"/>
        <v>3408</v>
      </c>
      <c r="N67" s="96"/>
      <c r="O67" s="107"/>
      <c r="P67" s="97"/>
      <c r="S67" s="66"/>
      <c r="T67" s="66"/>
      <c r="U67" s="66"/>
      <c r="V67" s="66"/>
      <c r="W67" s="66"/>
      <c r="AB67" s="72" t="str">
        <f>MiscData!$C$24&amp;$Y$62</f>
        <v>20140101KURSE040</v>
      </c>
      <c r="AE67" s="66"/>
      <c r="AG67" s="98" t="s">
        <v>358</v>
      </c>
    </row>
    <row r="68" spans="1:33" ht="12.75">
      <c r="A68" s="155" t="s">
        <v>638</v>
      </c>
      <c r="B68" s="156">
        <v>7</v>
      </c>
      <c r="C68" s="101">
        <f>SUMIF(GranVille!$B$41:$B$95,$B68,GranVille!W$41:W$95)</f>
        <v>0</v>
      </c>
      <c r="D68" s="101">
        <f>SUMIF(GranVille!$B$41:$B$95,$B68,GranVille!X$41:X$95)</f>
        <v>0</v>
      </c>
      <c r="E68" s="101">
        <f>SUMIF(GranVille!$B$41:$B$95,$B68,GranVille!Y$41:Y$95)</f>
        <v>0</v>
      </c>
      <c r="F68" s="69"/>
      <c r="G68" s="102">
        <f>SUMIF(GranVille!$B$2:$B$14,$B68,GranVille!$P$2:$P$15)</f>
        <v>3.52</v>
      </c>
      <c r="H68" s="102">
        <f>SUMIF(GranVille!$B$2:$B$14,$B68,GranVille!$P$2:$P$15)</f>
        <v>3.52</v>
      </c>
      <c r="I68" s="102">
        <f>SUMIF(GranVille!$B$2:$B$14,$B68,GranVille!$Q$2:$Q$15)</f>
        <v>3.52</v>
      </c>
      <c r="J68" s="69"/>
      <c r="K68" s="102">
        <f t="shared" si="12"/>
        <v>0</v>
      </c>
      <c r="L68" s="102">
        <f t="shared" si="13"/>
        <v>0</v>
      </c>
      <c r="M68" s="102">
        <f t="shared" si="14"/>
        <v>0</v>
      </c>
      <c r="N68" s="96"/>
      <c r="O68" s="107"/>
      <c r="P68" s="97"/>
      <c r="S68" s="66"/>
      <c r="T68" s="66"/>
      <c r="U68" s="66"/>
      <c r="V68" s="66"/>
      <c r="W68" s="66"/>
      <c r="AB68" s="72" t="str">
        <f>MiscData!$C$25&amp;$Y$62</f>
        <v>20140101KURSE040</v>
      </c>
      <c r="AE68" s="66"/>
      <c r="AG68" s="98" t="s">
        <v>394</v>
      </c>
    </row>
    <row r="69" spans="1:33" ht="12.75">
      <c r="A69" s="155" t="s">
        <v>603</v>
      </c>
      <c r="B69" s="156">
        <v>6</v>
      </c>
      <c r="C69" s="101">
        <f>SUMIF(GranVille!$B$41:$B$95,$B69,GranVille!W$41:W$95)</f>
        <v>0</v>
      </c>
      <c r="D69" s="101">
        <f>SUMIF(GranVille!$B$41:$B$95,$B69,GranVille!X$41:X$95)</f>
        <v>0</v>
      </c>
      <c r="E69" s="101">
        <f>SUMIF(GranVille!$B$41:$B$95,$B69,GranVille!Y$41:Y$95)</f>
        <v>413</v>
      </c>
      <c r="F69" s="69"/>
      <c r="G69" s="102">
        <f>SUMIF(GranVille!$B$2:$B$14,$B69,GranVille!$P$2:$P$15)</f>
        <v>1.31</v>
      </c>
      <c r="H69" s="102">
        <f>SUMIF(GranVille!$B$2:$B$14,$B69,GranVille!$P$2:$P$15)</f>
        <v>1.31</v>
      </c>
      <c r="I69" s="102">
        <f>SUMIF(GranVille!$B$2:$B$14,$B69,GranVille!$Q$2:$Q$15)</f>
        <v>1.31</v>
      </c>
      <c r="J69" s="69"/>
      <c r="K69" s="102">
        <f t="shared" si="12"/>
        <v>541.03</v>
      </c>
      <c r="L69" s="102">
        <f t="shared" si="13"/>
        <v>541.03</v>
      </c>
      <c r="M69" s="102">
        <f t="shared" si="14"/>
        <v>541.03</v>
      </c>
      <c r="N69" s="96"/>
      <c r="O69" s="107"/>
      <c r="P69" s="97"/>
      <c r="S69" s="66"/>
      <c r="T69" s="66"/>
      <c r="U69" s="66"/>
      <c r="V69" s="66"/>
      <c r="W69" s="66"/>
      <c r="AB69" s="72" t="str">
        <f>MiscData!$C$23&amp;$Y$62</f>
        <v>20140101KURSE040</v>
      </c>
      <c r="AE69" s="66"/>
      <c r="AG69" s="98" t="s">
        <v>359</v>
      </c>
    </row>
    <row r="70" spans="1:33" ht="12.75">
      <c r="A70" s="155" t="s">
        <v>605</v>
      </c>
      <c r="B70" s="156">
        <v>8</v>
      </c>
      <c r="C70" s="101">
        <f>SUMIF(GranVille!$B$41:$B$95,$B70,GranVille!W$41:W$95)</f>
        <v>0</v>
      </c>
      <c r="D70" s="101">
        <f>SUMIF(GranVille!$B$41:$B$95,$B70,GranVille!X$41:X$95)</f>
        <v>0</v>
      </c>
      <c r="E70" s="101">
        <f>SUMIF(GranVille!$B$41:$B$95,$B70,GranVille!Y$41:Y$95)</f>
        <v>689</v>
      </c>
      <c r="F70" s="69"/>
      <c r="G70" s="102">
        <f>SUMIF(GranVille!$B$2:$B$14,$B70,GranVille!$P$2:$P$15)</f>
        <v>18.46</v>
      </c>
      <c r="H70" s="102">
        <f>SUMIF(GranVille!$B$2:$B$14,$B70,GranVille!$P$2:$P$15)</f>
        <v>18.46</v>
      </c>
      <c r="I70" s="102">
        <f>SUMIF(GranVille!$B$2:$B$14,$B70,GranVille!$Q$2:$Q$15)</f>
        <v>18.46</v>
      </c>
      <c r="J70" s="69"/>
      <c r="K70" s="102">
        <f t="shared" si="12"/>
        <v>12718.94</v>
      </c>
      <c r="L70" s="102">
        <f t="shared" si="13"/>
        <v>12718.94</v>
      </c>
      <c r="M70" s="102">
        <f t="shared" si="14"/>
        <v>12718.94</v>
      </c>
      <c r="N70" s="96"/>
      <c r="O70" s="107"/>
      <c r="P70" s="97"/>
      <c r="S70" s="66"/>
      <c r="T70" s="66"/>
      <c r="U70" s="66"/>
      <c r="V70" s="66"/>
      <c r="W70" s="66"/>
      <c r="AB70" s="72" t="str">
        <f>MiscData!$C$24&amp;$Y$62</f>
        <v>20140101KURSE040</v>
      </c>
      <c r="AE70" s="66"/>
      <c r="AG70" s="98" t="s">
        <v>398</v>
      </c>
    </row>
    <row r="71" spans="1:33" ht="12.75">
      <c r="A71" s="155" t="s">
        <v>606</v>
      </c>
      <c r="B71" s="156">
        <v>9</v>
      </c>
      <c r="C71" s="101">
        <f>SUMIF(GranVille!$B$41:$B$95,$B71,GranVille!W$41:W$95)</f>
        <v>0</v>
      </c>
      <c r="D71" s="101">
        <f>SUMIF(GranVille!$B$41:$B$95,$B71,GranVille!X$41:X$95)</f>
        <v>0</v>
      </c>
      <c r="E71" s="101">
        <f>SUMIF(GranVille!$B$41:$B$95,$B71,GranVille!Y$41:Y$95)</f>
        <v>0</v>
      </c>
      <c r="F71" s="69"/>
      <c r="G71" s="102">
        <f>SUMIF(GranVille!$B$2:$B$14,$B71,GranVille!$P$2:$P$15)</f>
        <v>17.809999999999999</v>
      </c>
      <c r="H71" s="102">
        <f>SUMIF(GranVille!$B$2:$B$14,$B71,GranVille!$P$2:$P$15)</f>
        <v>17.809999999999999</v>
      </c>
      <c r="I71" s="102">
        <f>SUMIF(GranVille!$B$2:$B$14,$B71,GranVille!$Q$2:$Q$15)</f>
        <v>17.809999999999999</v>
      </c>
      <c r="J71" s="69"/>
      <c r="K71" s="102">
        <f t="shared" si="12"/>
        <v>0</v>
      </c>
      <c r="L71" s="102">
        <f t="shared" si="13"/>
        <v>0</v>
      </c>
      <c r="M71" s="102">
        <f t="shared" si="14"/>
        <v>0</v>
      </c>
      <c r="N71" s="96"/>
      <c r="O71" s="107"/>
      <c r="P71" s="97"/>
      <c r="S71" s="66"/>
      <c r="T71" s="66"/>
      <c r="U71" s="66"/>
      <c r="V71" s="66"/>
      <c r="W71" s="66"/>
      <c r="AB71" s="72" t="str">
        <f>MiscData!$C$25&amp;$Y$62</f>
        <v>20140101KURSE040</v>
      </c>
      <c r="AE71" s="66"/>
      <c r="AG71" s="98" t="s">
        <v>376</v>
      </c>
    </row>
    <row r="72" spans="1:33" ht="12.75">
      <c r="A72" s="155" t="s">
        <v>639</v>
      </c>
      <c r="B72" s="156">
        <v>10</v>
      </c>
      <c r="C72" s="101">
        <f>SUMIF(GranVille!$B$41:$B$95,$B72,GranVille!W$41:W$95)</f>
        <v>0</v>
      </c>
      <c r="D72" s="101">
        <f>SUMIF(GranVille!$B$41:$B$95,$B72,GranVille!X$41:X$95)</f>
        <v>0</v>
      </c>
      <c r="E72" s="101">
        <f>SUMIF(GranVille!$B$41:$B$95,$B72,GranVille!Y$41:Y$95)</f>
        <v>0</v>
      </c>
      <c r="F72" s="69"/>
      <c r="G72" s="102">
        <f>SUMIF(GranVille!$B$2:$B$14,$B72,GranVille!$P$2:$P$15)</f>
        <v>2.52</v>
      </c>
      <c r="H72" s="102">
        <f>SUMIF(GranVille!$B$2:$B$14,$B72,GranVille!$P$2:$P$15)</f>
        <v>2.52</v>
      </c>
      <c r="I72" s="102">
        <f>SUMIF(GranVille!$B$2:$B$14,$B72,GranVille!$Q$2:$Q$15)</f>
        <v>2.52</v>
      </c>
      <c r="J72" s="69"/>
      <c r="K72" s="102">
        <f t="shared" si="12"/>
        <v>0</v>
      </c>
      <c r="L72" s="102">
        <f t="shared" si="13"/>
        <v>0</v>
      </c>
      <c r="M72" s="102">
        <f t="shared" si="14"/>
        <v>0</v>
      </c>
      <c r="N72" s="96"/>
      <c r="O72" s="107"/>
      <c r="P72" s="97"/>
      <c r="S72" s="66"/>
      <c r="T72" s="66"/>
      <c r="U72" s="66"/>
      <c r="V72" s="66"/>
      <c r="W72" s="66"/>
      <c r="AB72" s="72" t="str">
        <f>MiscData!$C$23&amp;$Y$62</f>
        <v>20140101KURSE040</v>
      </c>
      <c r="AE72" s="66"/>
      <c r="AG72" s="98" t="s">
        <v>384</v>
      </c>
    </row>
    <row r="73" spans="1:33" ht="12.75">
      <c r="A73" s="155" t="s">
        <v>608</v>
      </c>
      <c r="B73" s="156">
        <v>11</v>
      </c>
      <c r="C73" s="101">
        <f>SUMIF(GranVille!$B$41:$B$95,$B73,GranVille!W$41:W$95)</f>
        <v>0</v>
      </c>
      <c r="D73" s="101">
        <f>SUMIF(GranVille!$B$41:$B$95,$B73,GranVille!X$41:X$95)</f>
        <v>0</v>
      </c>
      <c r="E73" s="101">
        <f>SUMIF(GranVille!$B$41:$B$95,$B73,GranVille!Y$41:Y$95)</f>
        <v>666</v>
      </c>
      <c r="F73" s="69"/>
      <c r="G73" s="102">
        <f>SUMIF(GranVille!$B$2:$B$14,$B73,GranVille!$P$2:$P$15)</f>
        <v>4.28</v>
      </c>
      <c r="H73" s="102">
        <f>SUMIF(GranVille!$B$2:$B$14,$B73,GranVille!$P$2:$P$15)</f>
        <v>4.28</v>
      </c>
      <c r="I73" s="102">
        <f>SUMIF(GranVille!$B$2:$B$14,$B73,GranVille!$Q$2:$Q$15)</f>
        <v>4.28</v>
      </c>
      <c r="J73" s="69"/>
      <c r="K73" s="102">
        <f t="shared" si="12"/>
        <v>2850.48</v>
      </c>
      <c r="L73" s="102">
        <f t="shared" si="13"/>
        <v>2850.48</v>
      </c>
      <c r="M73" s="102">
        <f t="shared" si="14"/>
        <v>2850.48</v>
      </c>
      <c r="N73" s="96"/>
      <c r="O73" s="107"/>
      <c r="P73" s="97"/>
      <c r="S73" s="66"/>
      <c r="T73" s="66"/>
      <c r="U73" s="66"/>
      <c r="V73" s="66"/>
      <c r="W73" s="66"/>
      <c r="AB73" s="72" t="str">
        <f>MiscData!$C$24&amp;$Y$62</f>
        <v>20140101KURSE040</v>
      </c>
      <c r="AE73" s="66"/>
      <c r="AG73" s="98" t="s">
        <v>386</v>
      </c>
    </row>
    <row r="74" spans="1:33" ht="12.75">
      <c r="A74" s="155" t="s">
        <v>609</v>
      </c>
      <c r="B74" s="156">
        <v>12</v>
      </c>
      <c r="C74" s="101">
        <f>SUMIF(GranVille!$B$41:$B$95,$B74,GranVille!W$41:W$95)</f>
        <v>0</v>
      </c>
      <c r="D74" s="101">
        <f>SUMIF(GranVille!$B$41:$B$95,$B74,GranVille!X$41:X$95)</f>
        <v>0</v>
      </c>
      <c r="E74" s="101">
        <f>SUMIF(GranVille!$B$41:$B$95,$B74,GranVille!Y$41:Y$95)</f>
        <v>0</v>
      </c>
      <c r="F74" s="69"/>
      <c r="G74" s="102">
        <f>SUMIF(GranVille!$B$2:$B$14,$B74,GranVille!$P$2:$P$15)</f>
        <v>4.75</v>
      </c>
      <c r="H74" s="102">
        <f>SUMIF(GranVille!$B$2:$B$14,$B74,GranVille!$P$2:$P$15)</f>
        <v>4.75</v>
      </c>
      <c r="I74" s="102">
        <f>SUMIF(GranVille!$B$2:$B$14,$B74,GranVille!$Q$2:$Q$15)</f>
        <v>4.75</v>
      </c>
      <c r="J74" s="69"/>
      <c r="K74" s="102">
        <f t="shared" si="12"/>
        <v>0</v>
      </c>
      <c r="L74" s="102">
        <f t="shared" si="13"/>
        <v>0</v>
      </c>
      <c r="M74" s="102">
        <f t="shared" si="14"/>
        <v>0</v>
      </c>
      <c r="N74" s="96"/>
      <c r="O74" s="107"/>
      <c r="P74" s="97"/>
      <c r="S74" s="66"/>
      <c r="T74" s="66"/>
      <c r="U74" s="66"/>
      <c r="V74" s="66"/>
      <c r="W74" s="66"/>
      <c r="AB74" s="72" t="str">
        <f>MiscData!$C$25&amp;$Y$62</f>
        <v>20140101KURSE040</v>
      </c>
      <c r="AE74" s="66"/>
      <c r="AG74" s="98" t="s">
        <v>409</v>
      </c>
    </row>
    <row r="75" spans="1:33" ht="15">
      <c r="A75" s="121" t="s">
        <v>557</v>
      </c>
      <c r="B75" s="69"/>
      <c r="C75" s="122">
        <f>SUM(C16:C74)</f>
        <v>1068867</v>
      </c>
      <c r="D75" s="122">
        <f>SUM(D16:D74)</f>
        <v>1068867</v>
      </c>
      <c r="E75" s="122">
        <f>SUM(E16:E74)</f>
        <v>1078286</v>
      </c>
      <c r="F75" s="122"/>
      <c r="G75" s="123"/>
      <c r="H75" s="124"/>
      <c r="I75" s="123"/>
      <c r="J75" s="123"/>
      <c r="K75" s="123">
        <f>SUM(K16:K74)</f>
        <v>39444223.479999997</v>
      </c>
      <c r="L75" s="123">
        <f>SUM(L16:L74)</f>
        <v>39444223.479999997</v>
      </c>
      <c r="M75" s="123">
        <f>SUM(M16:M74)</f>
        <v>38530738.660000004</v>
      </c>
      <c r="N75" s="125"/>
      <c r="O75" s="110"/>
      <c r="P75" s="110"/>
      <c r="S75" s="66"/>
      <c r="T75" s="66"/>
      <c r="U75" s="66"/>
      <c r="V75" s="66"/>
      <c r="W75" s="66"/>
      <c r="AE75" s="66"/>
      <c r="AG75" s="98" t="s">
        <v>326</v>
      </c>
    </row>
    <row r="76" spans="1:33" ht="13.5" thickBot="1">
      <c r="A76" s="121"/>
      <c r="B76" s="69"/>
      <c r="C76" s="114"/>
      <c r="D76" s="114"/>
      <c r="E76" s="114"/>
      <c r="F76" s="114"/>
      <c r="G76" s="69"/>
      <c r="H76" s="126"/>
      <c r="I76" s="114"/>
      <c r="J76" s="69"/>
      <c r="K76" s="69"/>
      <c r="L76" s="114"/>
      <c r="M76" s="114"/>
      <c r="N76" s="96"/>
      <c r="O76" s="95"/>
      <c r="P76" s="106"/>
      <c r="S76" s="66"/>
      <c r="T76" s="66"/>
      <c r="U76" s="66"/>
      <c r="V76" s="66"/>
      <c r="W76" s="66"/>
      <c r="AE76" s="66"/>
      <c r="AG76" s="98" t="s">
        <v>356</v>
      </c>
    </row>
    <row r="77" spans="1:33" ht="12.75">
      <c r="A77" s="84" t="s">
        <v>558</v>
      </c>
      <c r="B77" s="85"/>
      <c r="C77" s="86"/>
      <c r="D77" s="85"/>
      <c r="E77" s="85"/>
      <c r="F77" s="86"/>
      <c r="G77" s="86"/>
      <c r="H77" s="86"/>
      <c r="I77" s="86"/>
      <c r="J77" s="86"/>
      <c r="K77" s="85"/>
      <c r="L77" s="85"/>
      <c r="M77" s="85"/>
      <c r="N77" s="127"/>
      <c r="O77" s="128"/>
      <c r="P77" s="129"/>
      <c r="AE77" s="66"/>
      <c r="AG77" s="98" t="s">
        <v>374</v>
      </c>
    </row>
    <row r="78" spans="1:33" ht="12.75">
      <c r="A78" s="130" t="s">
        <v>559</v>
      </c>
      <c r="B78" s="69"/>
      <c r="C78" s="90"/>
      <c r="D78" s="69"/>
      <c r="E78" s="69"/>
      <c r="F78" s="90"/>
      <c r="G78" s="90"/>
      <c r="H78" s="90"/>
      <c r="I78" s="90"/>
      <c r="J78" s="90"/>
      <c r="K78" s="69"/>
      <c r="L78" s="69"/>
      <c r="M78" s="69"/>
      <c r="N78" s="96"/>
      <c r="O78" s="111"/>
      <c r="P78" s="131"/>
      <c r="AE78" s="66"/>
      <c r="AG78" s="98" t="s">
        <v>399</v>
      </c>
    </row>
    <row r="79" spans="1:33" ht="15">
      <c r="A79" s="92" t="s">
        <v>514</v>
      </c>
      <c r="B79" s="69"/>
      <c r="C79" s="72"/>
      <c r="D79" s="72"/>
      <c r="E79" s="72"/>
      <c r="F79" s="69"/>
      <c r="G79" s="69"/>
      <c r="H79" s="93"/>
      <c r="I79" s="94"/>
      <c r="J79" s="95"/>
      <c r="K79" s="93"/>
      <c r="L79" s="94"/>
      <c r="M79" s="94"/>
      <c r="N79" s="96"/>
      <c r="O79" s="111"/>
      <c r="P79" s="132"/>
      <c r="AE79" s="66"/>
      <c r="AG79" s="98" t="s">
        <v>391</v>
      </c>
    </row>
    <row r="80" spans="1:33" ht="12.75">
      <c r="A80" s="103" t="s">
        <v>560</v>
      </c>
      <c r="B80" s="104" t="s">
        <v>362</v>
      </c>
      <c r="C80" s="101">
        <f>SUMIF(_12MonLights_TariffRateCategory,MiscData!$C$23&amp;$B80,_12MonLights_Count)+SUMIF(_12MonLights_TariffRateCategory,MiscData!$C$23&amp;$B80,_12MonLights_Count_Adj)</f>
        <v>0</v>
      </c>
      <c r="D80" s="101">
        <f>SUMIF(_12MonLights_TariffRateCategory,MiscData!$C$24&amp;$B80,_12MonLights_Count)+SUMIF(_12MonLights_TariffRateCategory,MiscData!$C$23&amp;$B80,_12MonLights_Count_Adj)</f>
        <v>0</v>
      </c>
      <c r="E80" s="101">
        <f>SUMIF(_12MonLights_TariffRateCategory,MiscData!$C$25&amp;$B80,_12MonLights_Count)+SUMIF(_12MonLights_TariffRateCategory,MiscData!$C$23&amp;$B80,_12MonLights_Count_Adj)</f>
        <v>0</v>
      </c>
      <c r="F80" s="69"/>
      <c r="G80" s="102">
        <f>SUMIF(_Lights_Tariff_Category,MiscData!$C$23&amp;$B80,_Lights_Rates)</f>
        <v>0</v>
      </c>
      <c r="H80" s="102">
        <f>SUMIF(_Lights_Tariff_Category,MiscData!$C$24&amp;$B80,_Lights_Rates)</f>
        <v>0</v>
      </c>
      <c r="I80" s="102">
        <f>SUMIF(_Lights_Tariff_Category,MiscData!$C$25&amp;$B80,_Lights_Rates)-SUMIF(_Lights_Tariff_Category,MiscData!$C$25&amp;$B80,_Rates_Lights_ECR)</f>
        <v>0</v>
      </c>
      <c r="J80" s="69"/>
      <c r="K80" s="102">
        <f t="shared" ref="K80:K86" si="15">ROUND(SUM($C80*$G80,$D80*$H80,$E80*$I80),2)</f>
        <v>0</v>
      </c>
      <c r="L80" s="102">
        <f t="shared" ref="L80:L86" si="16">ROUND(SUM($C80*$H80,$D80*$H80,$E80*$I80),2)</f>
        <v>0</v>
      </c>
      <c r="M80" s="102">
        <f t="shared" ref="M80:M86" si="17">ROUND(SUM($C80*$I80,$D80*$I80,$E80*$I80),2)</f>
        <v>0</v>
      </c>
      <c r="N80" s="96"/>
      <c r="O80" s="111"/>
      <c r="P80" s="94"/>
      <c r="AE80" s="66"/>
      <c r="AG80" s="98" t="s">
        <v>416</v>
      </c>
    </row>
    <row r="81" spans="1:33" ht="15">
      <c r="A81" s="103" t="s">
        <v>575</v>
      </c>
      <c r="B81" s="104" t="s">
        <v>394</v>
      </c>
      <c r="C81" s="101">
        <f>SUMIF(_12MonLights_TariffRateCategory,MiscData!$C$23&amp;$B81,_12MonLights_Count)+SUMIF(_12MonLights_TariffRateCategory,MiscData!$C$23&amp;$B81,_12MonLights_Count_Adj)</f>
        <v>0</v>
      </c>
      <c r="D81" s="101">
        <f>SUMIF(_12MonLights_TariffRateCategory,MiscData!$C$24&amp;$B81,_12MonLights_Count)+SUMIF(_12MonLights_TariffRateCategory,MiscData!$C$23&amp;$B81,_12MonLights_Count_Adj)</f>
        <v>0</v>
      </c>
      <c r="E81" s="101">
        <f>SUMIF(_12MonLights_TariffRateCategory,MiscData!$C$25&amp;$B81,_12MonLights_Count)+SUMIF(_12MonLights_TariffRateCategory,MiscData!$C$23&amp;$B81,_12MonLights_Count_Adj)</f>
        <v>0</v>
      </c>
      <c r="F81" s="69"/>
      <c r="G81" s="102">
        <f>SUMIF(_Lights_Tariff_Category,MiscData!$C$23&amp;$B81,_Lights_Rates)</f>
        <v>0</v>
      </c>
      <c r="H81" s="102">
        <f>SUMIF(_Lights_Tariff_Category,MiscData!$C$24&amp;$B81,_Lights_Rates)</f>
        <v>0</v>
      </c>
      <c r="I81" s="102">
        <f>SUMIF(_Lights_Tariff_Category,MiscData!$C$25&amp;$B81,_Lights_Rates)-SUMIF(_Lights_Tariff_Category,MiscData!$C$25&amp;$B81,_Rates_Lights_ECR)</f>
        <v>0</v>
      </c>
      <c r="J81" s="69"/>
      <c r="K81" s="102">
        <f t="shared" si="15"/>
        <v>0</v>
      </c>
      <c r="L81" s="102">
        <f t="shared" si="16"/>
        <v>0</v>
      </c>
      <c r="M81" s="102">
        <f t="shared" si="17"/>
        <v>0</v>
      </c>
      <c r="N81" s="133"/>
      <c r="O81" s="97"/>
      <c r="P81" s="132"/>
      <c r="AE81" s="66"/>
      <c r="AG81" s="98" t="s">
        <v>362</v>
      </c>
    </row>
    <row r="82" spans="1:33" ht="15">
      <c r="A82" s="103" t="s">
        <v>561</v>
      </c>
      <c r="B82" s="104" t="s">
        <v>415</v>
      </c>
      <c r="C82" s="101">
        <f>SUMIF(_12MonLights_TariffRateCategory,MiscData!$C$23&amp;$B82,_12MonLights_Count)+SUMIF(_12MonLights_TariffRateCategory,MiscData!$C$23&amp;$B82,_12MonLights_Count_Adj)</f>
        <v>131818</v>
      </c>
      <c r="D82" s="101">
        <f>SUMIF(_12MonLights_TariffRateCategory,MiscData!$C$24&amp;$B82,_12MonLights_Count)+SUMIF(_12MonLights_TariffRateCategory,MiscData!$C$23&amp;$B82,_12MonLights_Count_Adj)</f>
        <v>131818</v>
      </c>
      <c r="E82" s="101">
        <f>SUMIF(_12MonLights_TariffRateCategory,MiscData!$C$25&amp;$B82,_12MonLights_Count)+SUMIF(_12MonLights_TariffRateCategory,MiscData!$C$23&amp;$B82,_12MonLights_Count_Adj)</f>
        <v>131818</v>
      </c>
      <c r="F82" s="69"/>
      <c r="G82" s="102">
        <f>SUMIF(_Lights_Tariff_Category,MiscData!$C$23&amp;$B82,_Lights_Rates)</f>
        <v>9</v>
      </c>
      <c r="H82" s="102">
        <f>SUMIF(_Lights_Tariff_Category,MiscData!$C$24&amp;$B82,_Lights_Rates)</f>
        <v>9</v>
      </c>
      <c r="I82" s="102">
        <f>SUMIF(_Lights_Tariff_Category,MiscData!$C$25&amp;$B82,_Lights_Rates)-SUMIF(_Lights_Tariff_Category,MiscData!$C$25&amp;$B82,_Rates_Lights_ECR)</f>
        <v>8.66</v>
      </c>
      <c r="J82" s="69"/>
      <c r="K82" s="102">
        <f t="shared" si="15"/>
        <v>3514267.88</v>
      </c>
      <c r="L82" s="102">
        <f t="shared" si="16"/>
        <v>3514267.88</v>
      </c>
      <c r="M82" s="102">
        <f t="shared" si="17"/>
        <v>3424631.64</v>
      </c>
      <c r="N82" s="96"/>
      <c r="O82" s="111"/>
      <c r="P82" s="134"/>
      <c r="AE82" s="66"/>
      <c r="AG82" s="98" t="s">
        <v>407</v>
      </c>
    </row>
    <row r="83" spans="1:33" ht="15">
      <c r="A83" s="103" t="s">
        <v>562</v>
      </c>
      <c r="B83" s="104" t="s">
        <v>365</v>
      </c>
      <c r="C83" s="101">
        <f>SUMIF(_12MonLights_TariffRateCategory,MiscData!$C$23&amp;$B83,_12MonLights_Count)+SUMIF(_12MonLights_TariffRateCategory,MiscData!$C$23&amp;$B83,_12MonLights_Count_Adj)</f>
        <v>78093</v>
      </c>
      <c r="D83" s="101">
        <f>SUMIF(_12MonLights_TariffRateCategory,MiscData!$C$24&amp;$B83,_12MonLights_Count)+SUMIF(_12MonLights_TariffRateCategory,MiscData!$C$23&amp;$B83,_12MonLights_Count_Adj)</f>
        <v>78093</v>
      </c>
      <c r="E83" s="101">
        <f>SUMIF(_12MonLights_TariffRateCategory,MiscData!$C$25&amp;$B83,_12MonLights_Count)+SUMIF(_12MonLights_TariffRateCategory,MiscData!$C$23&amp;$B83,_12MonLights_Count_Adj)</f>
        <v>78093</v>
      </c>
      <c r="F83" s="69"/>
      <c r="G83" s="102">
        <f>SUMIF(_Lights_Tariff_Category,MiscData!$C$23&amp;$B83,_Lights_Rates)</f>
        <v>13.639999999999999</v>
      </c>
      <c r="H83" s="102">
        <f>SUMIF(_Lights_Tariff_Category,MiscData!$C$24&amp;$B83,_Lights_Rates)</f>
        <v>13.639999999999999</v>
      </c>
      <c r="I83" s="102">
        <f>SUMIF(_Lights_Tariff_Category,MiscData!$C$25&amp;$B83,_Lights_Rates)-SUMIF(_Lights_Tariff_Category,MiscData!$C$25&amp;$B83,_Rates_Lights_ECR)</f>
        <v>13.059999999999999</v>
      </c>
      <c r="J83" s="69"/>
      <c r="K83" s="102">
        <f t="shared" si="15"/>
        <v>3150271.62</v>
      </c>
      <c r="L83" s="102">
        <f t="shared" si="16"/>
        <v>3150271.62</v>
      </c>
      <c r="M83" s="102">
        <f t="shared" si="17"/>
        <v>3059683.74</v>
      </c>
      <c r="N83" s="96"/>
      <c r="O83" s="111"/>
      <c r="P83" s="134"/>
      <c r="AE83" s="66"/>
      <c r="AG83" s="98" t="s">
        <v>375</v>
      </c>
    </row>
    <row r="84" spans="1:33" ht="12.75">
      <c r="A84" s="103" t="s">
        <v>563</v>
      </c>
      <c r="B84" s="104" t="s">
        <v>397</v>
      </c>
      <c r="C84" s="101">
        <f>SUMIF(_12MonLights_TariffRateCategory,MiscData!$C$23&amp;$B84,_12MonLights_Count)+SUMIF(_12MonLights_TariffRateCategory,MiscData!$C$23&amp;$B84,_12MonLights_Count_Adj)</f>
        <v>98657</v>
      </c>
      <c r="D84" s="101">
        <f>SUMIF(_12MonLights_TariffRateCategory,MiscData!$C$24&amp;$B84,_12MonLights_Count)+SUMIF(_12MonLights_TariffRateCategory,MiscData!$C$23&amp;$B84,_12MonLights_Count_Adj)</f>
        <v>98657</v>
      </c>
      <c r="E84" s="101">
        <f>SUMIF(_12MonLights_TariffRateCategory,MiscData!$C$25&amp;$B84,_12MonLights_Count)+SUMIF(_12MonLights_TariffRateCategory,MiscData!$C$23&amp;$B84,_12MonLights_Count_Adj)</f>
        <v>98657</v>
      </c>
      <c r="F84" s="69"/>
      <c r="G84" s="102">
        <f>SUMIF(_Lights_Tariff_Category,MiscData!$C$23&amp;$B84,_Lights_Rates)</f>
        <v>19.46</v>
      </c>
      <c r="H84" s="102">
        <f>SUMIF(_Lights_Tariff_Category,MiscData!$C$24&amp;$B84,_Lights_Rates)</f>
        <v>19.46</v>
      </c>
      <c r="I84" s="102">
        <f>SUMIF(_Lights_Tariff_Category,MiscData!$C$25&amp;$B84,_Lights_Rates)-SUMIF(_Lights_Tariff_Category,MiscData!$C$25&amp;$B84,_Rates_Lights_ECR)</f>
        <v>18.670000000000002</v>
      </c>
      <c r="J84" s="69"/>
      <c r="K84" s="102">
        <f t="shared" si="15"/>
        <v>5681656.6299999999</v>
      </c>
      <c r="L84" s="102">
        <f t="shared" si="16"/>
        <v>5681656.6299999999</v>
      </c>
      <c r="M84" s="102">
        <f t="shared" si="17"/>
        <v>5525778.5700000003</v>
      </c>
      <c r="N84" s="96"/>
      <c r="O84" s="111"/>
      <c r="P84" s="94"/>
      <c r="Y84" s="64" t="str">
        <f>AG15</f>
        <v>KURSE010</v>
      </c>
      <c r="AC84" s="72" t="str">
        <f>MiscData!$C$23&amp;$Y97</f>
        <v>20140101KUCME112</v>
      </c>
      <c r="AD84" s="72"/>
      <c r="AE84" s="66"/>
      <c r="AG84" s="98" t="s">
        <v>383</v>
      </c>
    </row>
    <row r="85" spans="1:33" ht="12.75">
      <c r="A85" s="103" t="s">
        <v>564</v>
      </c>
      <c r="B85" s="104" t="s">
        <v>391</v>
      </c>
      <c r="C85" s="101">
        <f>SUMIF(_12MonLights_TariffRateCategory,MiscData!$C$23&amp;$B85,_12MonLights_Count)+SUMIF(_12MonLights_TariffRateCategory,MiscData!$C$23&amp;$B85,_12MonLights_Count_Adj)</f>
        <v>2020</v>
      </c>
      <c r="D85" s="101">
        <f>SUMIF(_12MonLights_TariffRateCategory,MiscData!$C$24&amp;$B85,_12MonLights_Count)+SUMIF(_12MonLights_TariffRateCategory,MiscData!$C$23&amp;$B85,_12MonLights_Count_Adj)</f>
        <v>2020</v>
      </c>
      <c r="E85" s="101">
        <f>SUMIF(_12MonLights_TariffRateCategory,MiscData!$C$25&amp;$B85,_12MonLights_Count)+SUMIF(_12MonLights_TariffRateCategory,MiscData!$C$23&amp;$B85,_12MonLights_Count_Adj)</f>
        <v>2020</v>
      </c>
      <c r="F85" s="69"/>
      <c r="G85" s="102">
        <f>SUMIF(_Lights_Tariff_Category,MiscData!$C$23&amp;$B85,_Lights_Rates)</f>
        <v>7.4399999999999995</v>
      </c>
      <c r="H85" s="102">
        <f>SUMIF(_Lights_Tariff_Category,MiscData!$C$24&amp;$B85,_Lights_Rates)</f>
        <v>7.4399999999999995</v>
      </c>
      <c r="I85" s="102">
        <f>SUMIF(_Lights_Tariff_Category,MiscData!$C$25&amp;$B85,_Lights_Rates)-SUMIF(_Lights_Tariff_Category,MiscData!$C$25&amp;$B85,_Rates_Lights_ECR)</f>
        <v>7.01</v>
      </c>
      <c r="J85" s="69"/>
      <c r="K85" s="102">
        <f t="shared" si="15"/>
        <v>44217.8</v>
      </c>
      <c r="L85" s="102">
        <f t="shared" si="16"/>
        <v>44217.8</v>
      </c>
      <c r="M85" s="102">
        <f t="shared" si="17"/>
        <v>42480.6</v>
      </c>
      <c r="N85" s="96"/>
      <c r="O85" s="111"/>
      <c r="P85" s="94"/>
      <c r="Y85" s="64" t="str">
        <f>AG16</f>
        <v>KURSE020</v>
      </c>
      <c r="AC85" s="72" t="str">
        <f>MiscData!$C$24&amp;$Y97</f>
        <v>20140101KUCME112</v>
      </c>
      <c r="AD85" s="72"/>
      <c r="AE85" s="66"/>
      <c r="AG85" s="98" t="s">
        <v>406</v>
      </c>
    </row>
    <row r="86" spans="1:33" ht="12.75">
      <c r="A86" s="103" t="s">
        <v>565</v>
      </c>
      <c r="B86" s="104" t="s">
        <v>416</v>
      </c>
      <c r="C86" s="101">
        <f>SUMIF(_12MonLights_TariffRateCategory,MiscData!$C$23&amp;$B86,_12MonLights_Count)+SUMIF(_12MonLights_TariffRateCategory,MiscData!$C$23&amp;$B86,_12MonLights_Count_Adj)</f>
        <v>432525</v>
      </c>
      <c r="D86" s="101">
        <f>SUMIF(_12MonLights_TariffRateCategory,MiscData!$C$24&amp;$B86,_12MonLights_Count)+SUMIF(_12MonLights_TariffRateCategory,MiscData!$C$23&amp;$B86,_12MonLights_Count_Adj)</f>
        <v>432525</v>
      </c>
      <c r="E86" s="101">
        <f>SUMIF(_12MonLights_TariffRateCategory,MiscData!$C$25&amp;$B86,_12MonLights_Count)+SUMIF(_12MonLights_TariffRateCategory,MiscData!$C$23&amp;$B86,_12MonLights_Count_Adj)</f>
        <v>432525</v>
      </c>
      <c r="F86" s="69"/>
      <c r="G86" s="102">
        <f>SUMIF(_Lights_Tariff_Category,MiscData!$C$23&amp;$B86,_Lights_Rates)</f>
        <v>7.84</v>
      </c>
      <c r="H86" s="102">
        <f>SUMIF(_Lights_Tariff_Category,MiscData!$C$24&amp;$B86,_Lights_Rates)</f>
        <v>7.84</v>
      </c>
      <c r="I86" s="102">
        <f>SUMIF(_Lights_Tariff_Category,MiscData!$C$25&amp;$B86,_Lights_Rates)-SUMIF(_Lights_Tariff_Category,MiscData!$C$25&amp;$B86,_Rates_Lights_ECR)</f>
        <v>7.5</v>
      </c>
      <c r="J86" s="69"/>
      <c r="K86" s="102">
        <f t="shared" si="15"/>
        <v>10025929.5</v>
      </c>
      <c r="L86" s="102">
        <f t="shared" si="16"/>
        <v>10025929.5</v>
      </c>
      <c r="M86" s="102">
        <f t="shared" si="17"/>
        <v>9731812.5</v>
      </c>
      <c r="N86" s="96"/>
      <c r="O86" s="111"/>
      <c r="P86" s="94"/>
      <c r="Y86" s="64" t="str">
        <f>AG17</f>
        <v>KURSE025</v>
      </c>
      <c r="AC86" s="72" t="str">
        <f>MiscData!$C$25&amp;$Y97</f>
        <v>20140101KUCME112</v>
      </c>
      <c r="AD86" s="72"/>
      <c r="AE86" s="66"/>
      <c r="AG86" s="98" t="s">
        <v>377</v>
      </c>
    </row>
    <row r="87" spans="1:33" ht="15">
      <c r="A87" s="92" t="s">
        <v>531</v>
      </c>
      <c r="B87" s="69"/>
      <c r="C87" s="90"/>
      <c r="D87" s="69"/>
      <c r="E87" s="69"/>
      <c r="F87" s="90"/>
      <c r="G87" s="90"/>
      <c r="H87" s="90"/>
      <c r="I87" s="90"/>
      <c r="J87" s="90"/>
      <c r="K87" s="69"/>
      <c r="L87" s="69"/>
      <c r="M87" s="69"/>
      <c r="N87" s="96"/>
      <c r="O87" s="111"/>
      <c r="P87" s="134"/>
      <c r="AC87" s="72" t="str">
        <f>MiscData!$C$25&amp;$Y97</f>
        <v>20140101KUCME112</v>
      </c>
      <c r="AD87" s="72"/>
      <c r="AE87" s="66"/>
      <c r="AG87" s="98" t="s">
        <v>437</v>
      </c>
    </row>
    <row r="88" spans="1:33" ht="15">
      <c r="A88" s="103" t="s">
        <v>566</v>
      </c>
      <c r="B88" s="104" t="s">
        <v>358</v>
      </c>
      <c r="C88" s="101">
        <f>SUMIF(_12MonLights_TariffRateCategory,MiscData!$C$23&amp;$B88,_12MonLights_Count)+SUMIF(_12MonLights_TariffRateCategory,MiscData!$C$23&amp;$B88,_12MonLights_Count_Adj)</f>
        <v>0</v>
      </c>
      <c r="D88" s="101">
        <f>SUMIF(_12MonLights_TariffRateCategory,MiscData!$C$24&amp;$B88,_12MonLights_Count)+SUMIF(_12MonLights_TariffRateCategory,MiscData!$C$23&amp;$B88,_12MonLights_Count_Adj)</f>
        <v>0</v>
      </c>
      <c r="E88" s="101">
        <f>SUMIF(_12MonLights_TariffRateCategory,MiscData!$C$25&amp;$B88,_12MonLights_Count)+SUMIF(_12MonLights_TariffRateCategory,MiscData!$C$23&amp;$B88,_12MonLights_Count_Adj)</f>
        <v>0</v>
      </c>
      <c r="F88" s="69"/>
      <c r="G88" s="102">
        <f>SUMIF(_Lights_Tariff_Category,MiscData!$C$23&amp;$B88,_Lights_Rates)</f>
        <v>0</v>
      </c>
      <c r="H88" s="102">
        <f>SUMIF(_Lights_Tariff_Category,MiscData!$C$24&amp;$B88,_Lights_Rates)</f>
        <v>0</v>
      </c>
      <c r="I88" s="102">
        <f>SUMIF(_Lights_Tariff_Category,MiscData!$C$25&amp;$B88,_Lights_Rates)-SUMIF(_Lights_Tariff_Category,MiscData!$C$25&amp;$B88,_Rates_Lights_ECR)</f>
        <v>0</v>
      </c>
      <c r="J88" s="69"/>
      <c r="K88" s="102">
        <f>ROUND(SUM($C88*$G88,$D88*$H88,$E88*$I88),2)</f>
        <v>0</v>
      </c>
      <c r="L88" s="102">
        <f>ROUND(SUM($C88*$H88,$D88*$H88,$E88*$I88),2)</f>
        <v>0</v>
      </c>
      <c r="M88" s="102">
        <f>ROUND(SUM($C88*$I88,$D88*$I88,$E88*$I88),2)</f>
        <v>0</v>
      </c>
      <c r="N88" s="96"/>
      <c r="O88" s="111"/>
      <c r="P88" s="135"/>
      <c r="AE88" s="66"/>
      <c r="AG88" s="98" t="s">
        <v>408</v>
      </c>
    </row>
    <row r="89" spans="1:33" ht="15">
      <c r="A89" s="103" t="s">
        <v>567</v>
      </c>
      <c r="B89" s="104" t="s">
        <v>402</v>
      </c>
      <c r="C89" s="101">
        <f>SUMIF(_12MonLights_TariffRateCategory,MiscData!$C$23&amp;$B89,_12MonLights_Count)+SUMIF(_12MonLights_TariffRateCategory,MiscData!$C$23&amp;$B89,_12MonLights_Count_Adj)</f>
        <v>86011</v>
      </c>
      <c r="D89" s="101">
        <f>SUMIF(_12MonLights_TariffRateCategory,MiscData!$C$24&amp;$B89,_12MonLights_Count)+SUMIF(_12MonLights_TariffRateCategory,MiscData!$C$23&amp;$B89,_12MonLights_Count_Adj)</f>
        <v>86011</v>
      </c>
      <c r="E89" s="101">
        <f>SUMIF(_12MonLights_TariffRateCategory,MiscData!$C$25&amp;$B89,_12MonLights_Count)+SUMIF(_12MonLights_TariffRateCategory,MiscData!$C$23&amp;$B89,_12MonLights_Count_Adj)</f>
        <v>86011</v>
      </c>
      <c r="F89" s="69"/>
      <c r="G89" s="102">
        <f>SUMIF(_Lights_Tariff_Category,MiscData!$C$23&amp;$B89,_Lights_Rates)</f>
        <v>10.570000000000002</v>
      </c>
      <c r="H89" s="102">
        <f>SUMIF(_Lights_Tariff_Category,MiscData!$C$24&amp;$B89,_Lights_Rates)</f>
        <v>10.570000000000002</v>
      </c>
      <c r="I89" s="102">
        <f>SUMIF(_Lights_Tariff_Category,MiscData!$C$25&amp;$B89,_Lights_Rates)-SUMIF(_Lights_Tariff_Category,MiscData!$C$25&amp;$B89,_Rates_Lights_ECR)</f>
        <v>10.180000000000001</v>
      </c>
      <c r="J89" s="69"/>
      <c r="K89" s="102">
        <f>ROUND(SUM($C89*$G89,$D89*$H89,$E89*$I89),2)</f>
        <v>2693864.52</v>
      </c>
      <c r="L89" s="102">
        <f>ROUND(SUM($C89*$H89,$D89*$H89,$E89*$I89),2)</f>
        <v>2693864.52</v>
      </c>
      <c r="M89" s="102">
        <f>ROUND(SUM($C89*$I89,$D89*$I89,$E89*$I89),2)</f>
        <v>2626775.94</v>
      </c>
      <c r="N89" s="96"/>
      <c r="O89" s="111"/>
      <c r="P89" s="134"/>
      <c r="AE89" s="66"/>
      <c r="AG89" s="98" t="s">
        <v>338</v>
      </c>
    </row>
    <row r="90" spans="1:33" ht="15">
      <c r="A90" s="92" t="s">
        <v>594</v>
      </c>
      <c r="B90" s="69"/>
      <c r="C90" s="90"/>
      <c r="D90" s="69"/>
      <c r="E90" s="69"/>
      <c r="F90" s="90"/>
      <c r="G90" s="90"/>
      <c r="H90" s="90"/>
      <c r="I90" s="90"/>
      <c r="J90" s="90"/>
      <c r="K90" s="69"/>
      <c r="L90" s="69"/>
      <c r="M90" s="69"/>
      <c r="N90" s="96"/>
      <c r="O90" s="111"/>
      <c r="P90" s="134"/>
      <c r="AE90" s="66"/>
      <c r="AG90" s="98"/>
    </row>
    <row r="91" spans="1:33" ht="15">
      <c r="A91" s="103" t="s">
        <v>595</v>
      </c>
      <c r="B91" s="104" t="s">
        <v>359</v>
      </c>
      <c r="C91" s="101">
        <f>SUMIF(_12MonLights_TariffRateCategory,MiscData!$C$23&amp;$B91,_12MonLights_Count)+SUMIF(_12MonLights_TariffRateCategory,MiscData!$C$23&amp;$B91,_12MonLights_Count_Adj)</f>
        <v>0</v>
      </c>
      <c r="D91" s="101">
        <f>SUMIF(_12MonLights_TariffRateCategory,MiscData!$C$24&amp;$B91,_12MonLights_Count)+SUMIF(_12MonLights_TariffRateCategory,MiscData!$C$23&amp;$B91,_12MonLights_Count_Adj)</f>
        <v>0</v>
      </c>
      <c r="E91" s="101">
        <f>SUMIF(_12MonLights_TariffRateCategory,MiscData!$C$25&amp;$B91,_12MonLights_Count)+SUMIF(_12MonLights_TariffRateCategory,MiscData!$C$23&amp;$B91,_12MonLights_Count_Adj)</f>
        <v>0</v>
      </c>
      <c r="F91" s="69"/>
      <c r="G91" s="102">
        <f>SUMIF(_Lights_Tariff_Category,MiscData!$C$23&amp;$B91,_Lights_Rates)</f>
        <v>0</v>
      </c>
      <c r="H91" s="102">
        <f>SUMIF(_Lights_Tariff_Category,MiscData!$C$24&amp;$B91,_Lights_Rates)</f>
        <v>0</v>
      </c>
      <c r="I91" s="102">
        <f>SUMIF(_Lights_Tariff_Category,MiscData!$C$25&amp;$B91,_Lights_Rates)-SUMIF(_Lights_Tariff_Category,MiscData!$C$25&amp;$B91,_Rates_Lights_ECR)</f>
        <v>0</v>
      </c>
      <c r="J91" s="69"/>
      <c r="K91" s="102">
        <f>ROUND(SUM($C91*$G91,$D91*$H91,$E91*$I91),2)</f>
        <v>0</v>
      </c>
      <c r="L91" s="102">
        <f>ROUND(SUM($C91*$H91,$D91*$H91,$E91*$I91),2)</f>
        <v>0</v>
      </c>
      <c r="M91" s="102">
        <f>ROUND(SUM($C91*$I91,$D91*$I91,$E91*$I91),2)</f>
        <v>0</v>
      </c>
      <c r="N91" s="96"/>
      <c r="O91" s="111"/>
      <c r="P91" s="134"/>
      <c r="AE91" s="66"/>
      <c r="AG91" s="98"/>
    </row>
    <row r="92" spans="1:33" ht="15">
      <c r="A92" s="103" t="s">
        <v>596</v>
      </c>
      <c r="B92" s="104" t="s">
        <v>398</v>
      </c>
      <c r="C92" s="101">
        <f>SUMIF(_12MonLights_TariffRateCategory,MiscData!$C$23&amp;$B92,_12MonLights_Count)+SUMIF(_12MonLights_TariffRateCategory,MiscData!$C$23&amp;$B92,_12MonLights_Count_Adj)</f>
        <v>1654</v>
      </c>
      <c r="D92" s="101">
        <f>SUMIF(_12MonLights_TariffRateCategory,MiscData!$C$24&amp;$B92,_12MonLights_Count)+SUMIF(_12MonLights_TariffRateCategory,MiscData!$C$23&amp;$B92,_12MonLights_Count_Adj)</f>
        <v>1654</v>
      </c>
      <c r="E92" s="101">
        <f>SUMIF(_12MonLights_TariffRateCategory,MiscData!$C$25&amp;$B92,_12MonLights_Count)+SUMIF(_12MonLights_TariffRateCategory,MiscData!$C$23&amp;$B92,_12MonLights_Count_Adj)</f>
        <v>1654</v>
      </c>
      <c r="F92" s="69"/>
      <c r="G92" s="102">
        <f>SUMIF(_Lights_Tariff_Category,MiscData!$C$23&amp;$B92,_Lights_Rates)</f>
        <v>11.71</v>
      </c>
      <c r="H92" s="102">
        <f>SUMIF(_Lights_Tariff_Category,MiscData!$C$24&amp;$B92,_Lights_Rates)</f>
        <v>11.71</v>
      </c>
      <c r="I92" s="102">
        <f>SUMIF(_Lights_Tariff_Category,MiscData!$C$25&amp;$B92,_Lights_Rates)-SUMIF(_Lights_Tariff_Category,MiscData!$C$25&amp;$B92,_Rates_Lights_ECR)</f>
        <v>10.920000000000002</v>
      </c>
      <c r="J92" s="69"/>
      <c r="K92" s="102">
        <f>ROUND(SUM($C92*$G92,$D92*$H92,$E92*$I92),2)</f>
        <v>56798.36</v>
      </c>
      <c r="L92" s="102">
        <f>ROUND(SUM($C92*$H92,$D92*$H92,$E92*$I92),2)</f>
        <v>56798.36</v>
      </c>
      <c r="M92" s="102">
        <f>ROUND(SUM($C92*$I92,$D92*$I92,$E92*$I92),2)</f>
        <v>54185.04</v>
      </c>
      <c r="N92" s="96"/>
      <c r="O92" s="111"/>
      <c r="P92" s="134"/>
      <c r="AE92" s="66"/>
      <c r="AG92" s="98"/>
    </row>
    <row r="93" spans="1:33" ht="12.75">
      <c r="A93" s="103"/>
      <c r="B93" s="104"/>
      <c r="C93" s="101"/>
      <c r="D93" s="101"/>
      <c r="E93" s="101"/>
      <c r="F93" s="69"/>
      <c r="G93" s="102"/>
      <c r="H93" s="102"/>
      <c r="I93" s="102"/>
      <c r="J93" s="69"/>
      <c r="K93" s="102"/>
      <c r="L93" s="102"/>
      <c r="M93" s="102"/>
      <c r="N93" s="96"/>
      <c r="AE93" s="66"/>
      <c r="AG93" s="98" t="s">
        <v>370</v>
      </c>
    </row>
    <row r="94" spans="1:33" ht="12.75">
      <c r="A94" s="115" t="s">
        <v>540</v>
      </c>
      <c r="B94" s="69"/>
      <c r="C94" s="116"/>
      <c r="D94" s="69"/>
      <c r="E94" s="69"/>
      <c r="F94" s="101"/>
      <c r="G94" s="69"/>
      <c r="H94" s="117"/>
      <c r="I94" s="118"/>
      <c r="J94" s="69"/>
      <c r="K94" s="107"/>
      <c r="L94" s="118"/>
      <c r="M94" s="118"/>
      <c r="N94" s="96"/>
      <c r="AE94" s="66"/>
      <c r="AG94" s="98" t="s">
        <v>333</v>
      </c>
    </row>
    <row r="95" spans="1:33" ht="12.75">
      <c r="A95" s="92" t="s">
        <v>514</v>
      </c>
      <c r="B95" s="69"/>
      <c r="C95" s="72"/>
      <c r="D95" s="72"/>
      <c r="E95" s="72"/>
      <c r="F95" s="69"/>
      <c r="G95" s="69"/>
      <c r="H95" s="93"/>
      <c r="I95" s="94"/>
      <c r="J95" s="95"/>
      <c r="K95" s="93"/>
      <c r="L95" s="94"/>
      <c r="M95" s="94"/>
      <c r="N95" s="96"/>
      <c r="AE95" s="66"/>
      <c r="AG95" s="98" t="s">
        <v>336</v>
      </c>
    </row>
    <row r="96" spans="1:33" ht="12.75">
      <c r="A96" s="103" t="s">
        <v>541</v>
      </c>
      <c r="B96" s="104" t="s">
        <v>375</v>
      </c>
      <c r="C96" s="101">
        <f>SUMIF(_12MonLights_TariffRateCategory,MiscData!$C$23&amp;$B96,_12MonLights_Count)+SUMIF(_12MonLights_TariffRateCategory,MiscData!$C$23&amp;$B96,_12MonLights_Count_Adj)</f>
        <v>24</v>
      </c>
      <c r="D96" s="101">
        <f>SUMIF(_12MonLights_TariffRateCategory,MiscData!$C$24&amp;$B96,_12MonLights_Count)+SUMIF(_12MonLights_TariffRateCategory,MiscData!$C$23&amp;$B96,_12MonLights_Count_Adj)</f>
        <v>24</v>
      </c>
      <c r="E96" s="101">
        <f>SUMIF(_12MonLights_TariffRateCategory,MiscData!$C$25&amp;$B96,_12MonLights_Count)+SUMIF(_12MonLights_TariffRateCategory,MiscData!$C$23&amp;$B96,_12MonLights_Count_Adj)</f>
        <v>24</v>
      </c>
      <c r="F96" s="69"/>
      <c r="G96" s="102">
        <f>SUMIF(_Lights_Tariff_Category,MiscData!$C$23&amp;$B96,_Lights_Rates)</f>
        <v>13.610000000000001</v>
      </c>
      <c r="H96" s="102">
        <f>SUMIF(_Lights_Tariff_Category,MiscData!$C$24&amp;$B96,_Lights_Rates)</f>
        <v>13.610000000000001</v>
      </c>
      <c r="I96" s="102">
        <f>SUMIF(_Lights_Tariff_Category,MiscData!$C$25&amp;$B96,_Lights_Rates)-SUMIF(_Lights_Tariff_Category,MiscData!$C$25&amp;$B96,_Rates_Lights_ECR)</f>
        <v>13.280000000000001</v>
      </c>
      <c r="J96" s="69"/>
      <c r="K96" s="102">
        <f t="shared" ref="K96:K107" si="18">ROUND(SUM($C96*$G96,$D96*$H96,$E96*$I96),2)</f>
        <v>972</v>
      </c>
      <c r="L96" s="102">
        <f t="shared" ref="L96:L107" si="19">ROUND(SUM($C96*$H96,$D96*$H96,$E96*$I96),2)</f>
        <v>972</v>
      </c>
      <c r="M96" s="102">
        <f t="shared" ref="M96:M107" si="20">ROUND(SUM($C96*$I96,$D96*$I96,$E96*$I96),2)</f>
        <v>956.16</v>
      </c>
      <c r="N96" s="96"/>
      <c r="Y96" s="64" t="s">
        <v>177</v>
      </c>
      <c r="AB96" s="72" t="str">
        <f>MiscData!$C$23&amp;$Y96</f>
        <v>20140101KUCME110</v>
      </c>
      <c r="AC96" s="72"/>
      <c r="AD96" s="72"/>
      <c r="AE96" s="66"/>
      <c r="AG96" s="98" t="s">
        <v>368</v>
      </c>
    </row>
    <row r="97" spans="1:33" ht="12.75">
      <c r="A97" s="103" t="s">
        <v>542</v>
      </c>
      <c r="B97" s="104" t="s">
        <v>377</v>
      </c>
      <c r="C97" s="101">
        <f>SUMIF(_12MonLights_TariffRateCategory,MiscData!$C$23&amp;$B97,_12MonLights_Count)+SUMIF(_12MonLights_TariffRateCategory,MiscData!$C$23&amp;$B97,_12MonLights_Count_Adj)</f>
        <v>0</v>
      </c>
      <c r="D97" s="101">
        <f>SUMIF(_12MonLights_TariffRateCategory,MiscData!$C$24&amp;$B97,_12MonLights_Count)+SUMIF(_12MonLights_TariffRateCategory,MiscData!$C$23&amp;$B97,_12MonLights_Count_Adj)</f>
        <v>0</v>
      </c>
      <c r="E97" s="101">
        <f>SUMIF(_12MonLights_TariffRateCategory,MiscData!$C$25&amp;$B97,_12MonLights_Count)+SUMIF(_12MonLights_TariffRateCategory,MiscData!$C$23&amp;$B97,_12MonLights_Count_Adj)</f>
        <v>0</v>
      </c>
      <c r="F97" s="69"/>
      <c r="G97" s="102">
        <f>SUMIF(_Lights_Tariff_Category,MiscData!$C$23&amp;$B97,_Lights_Rates)</f>
        <v>0</v>
      </c>
      <c r="H97" s="102">
        <f>SUMIF(_Lights_Tariff_Category,MiscData!$C$24&amp;$B97,_Lights_Rates)</f>
        <v>0</v>
      </c>
      <c r="I97" s="102">
        <f>SUMIF(_Lights_Tariff_Category,MiscData!$C$25&amp;$B97,_Lights_Rates)-SUMIF(_Lights_Tariff_Category,MiscData!$C$25&amp;$B97,_Rates_Lights_ECR)</f>
        <v>0</v>
      </c>
      <c r="J97" s="69"/>
      <c r="K97" s="102">
        <f t="shared" si="18"/>
        <v>0</v>
      </c>
      <c r="L97" s="102">
        <f t="shared" si="19"/>
        <v>0</v>
      </c>
      <c r="M97" s="102">
        <f t="shared" si="20"/>
        <v>0</v>
      </c>
      <c r="N97" s="108"/>
      <c r="Y97" s="67" t="s">
        <v>178</v>
      </c>
      <c r="AB97" s="72" t="str">
        <f>MiscData!$C$24&amp;$Y96</f>
        <v>20140101KUCME110</v>
      </c>
      <c r="AC97" s="72"/>
      <c r="AD97" s="72"/>
      <c r="AE97" s="66"/>
      <c r="AG97" s="98" t="s">
        <v>400</v>
      </c>
    </row>
    <row r="98" spans="1:33" ht="12.75">
      <c r="A98" s="103" t="s">
        <v>543</v>
      </c>
      <c r="B98" s="104" t="s">
        <v>383</v>
      </c>
      <c r="C98" s="101">
        <f>SUMIF(_12MonLights_TariffRateCategory,MiscData!$C$23&amp;$B98,_12MonLights_Count)+SUMIF(_12MonLights_TariffRateCategory,MiscData!$C$23&amp;$B98,_12MonLights_Count_Adj)</f>
        <v>0</v>
      </c>
      <c r="D98" s="101">
        <f>SUMIF(_12MonLights_TariffRateCategory,MiscData!$C$24&amp;$B98,_12MonLights_Count)+SUMIF(_12MonLights_TariffRateCategory,MiscData!$C$23&amp;$B98,_12MonLights_Count_Adj)</f>
        <v>0</v>
      </c>
      <c r="E98" s="101">
        <f>SUMIF(_12MonLights_TariffRateCategory,MiscData!$C$25&amp;$B98,_12MonLights_Count)+SUMIF(_12MonLights_TariffRateCategory,MiscData!$C$23&amp;$B98,_12MonLights_Count_Adj)</f>
        <v>0</v>
      </c>
      <c r="F98" s="69"/>
      <c r="G98" s="102">
        <f>SUMIF(_Lights_Tariff_Category,MiscData!$C$23&amp;$B98,_Lights_Rates)</f>
        <v>0</v>
      </c>
      <c r="H98" s="102">
        <f>SUMIF(_Lights_Tariff_Category,MiscData!$C$24&amp;$B98,_Lights_Rates)</f>
        <v>0</v>
      </c>
      <c r="I98" s="102">
        <f>SUMIF(_Lights_Tariff_Category,MiscData!$C$25&amp;$B98,_Lights_Rates)-SUMIF(_Lights_Tariff_Category,MiscData!$C$25&amp;$B98,_Rates_Lights_ECR)</f>
        <v>0</v>
      </c>
      <c r="J98" s="69"/>
      <c r="K98" s="102">
        <f t="shared" si="18"/>
        <v>0</v>
      </c>
      <c r="L98" s="102">
        <f t="shared" si="19"/>
        <v>0</v>
      </c>
      <c r="M98" s="102">
        <f t="shared" si="20"/>
        <v>0</v>
      </c>
      <c r="N98" s="96"/>
      <c r="AB98" s="72" t="str">
        <f>MiscData!$C$25&amp;$Y96</f>
        <v>20140101KUCME110</v>
      </c>
      <c r="AC98" s="72"/>
      <c r="AD98" s="72"/>
      <c r="AE98" s="66"/>
      <c r="AG98" s="98" t="s">
        <v>327</v>
      </c>
    </row>
    <row r="99" spans="1:33" ht="12.75">
      <c r="A99" s="103" t="s">
        <v>544</v>
      </c>
      <c r="B99" s="104" t="s">
        <v>385</v>
      </c>
      <c r="C99" s="101">
        <f>SUMIF(_12MonLights_TariffRateCategory,MiscData!$C$23&amp;$B99,_12MonLights_Count)+SUMIF(_12MonLights_TariffRateCategory,MiscData!$C$23&amp;$B99,_12MonLights_Count_Adj)</f>
        <v>0</v>
      </c>
      <c r="D99" s="101">
        <f>SUMIF(_12MonLights_TariffRateCategory,MiscData!$C$24&amp;$B99,_12MonLights_Count)+SUMIF(_12MonLights_TariffRateCategory,MiscData!$C$23&amp;$B99,_12MonLights_Count_Adj)</f>
        <v>0</v>
      </c>
      <c r="E99" s="101">
        <f>SUMIF(_12MonLights_TariffRateCategory,MiscData!$C$25&amp;$B99,_12MonLights_Count)+SUMIF(_12MonLights_TariffRateCategory,MiscData!$C$23&amp;$B99,_12MonLights_Count_Adj)</f>
        <v>0</v>
      </c>
      <c r="F99" s="69"/>
      <c r="G99" s="102">
        <f>SUMIF(_Lights_Tariff_Category,MiscData!$C$23&amp;$B99,_Lights_Rates)</f>
        <v>0</v>
      </c>
      <c r="H99" s="102">
        <f>SUMIF(_Lights_Tariff_Category,MiscData!$C$24&amp;$B99,_Lights_Rates)</f>
        <v>0</v>
      </c>
      <c r="I99" s="102">
        <f>SUMIF(_Lights_Tariff_Category,MiscData!$C$25&amp;$B99,_Lights_Rates)-SUMIF(_Lights_Tariff_Category,MiscData!$C$25&amp;$B99,_Rates_Lights_ECR)</f>
        <v>0</v>
      </c>
      <c r="J99" s="69"/>
      <c r="K99" s="102">
        <f t="shared" si="18"/>
        <v>0</v>
      </c>
      <c r="L99" s="102">
        <f t="shared" si="19"/>
        <v>0</v>
      </c>
      <c r="M99" s="102">
        <f t="shared" si="20"/>
        <v>0</v>
      </c>
      <c r="N99" s="96"/>
      <c r="AE99" s="66"/>
      <c r="AG99" s="98" t="s">
        <v>357</v>
      </c>
    </row>
    <row r="100" spans="1:33" ht="12.75">
      <c r="A100" s="103" t="s">
        <v>545</v>
      </c>
      <c r="B100" s="104" t="s">
        <v>406</v>
      </c>
      <c r="C100" s="101">
        <f>SUMIF(_12MonLights_TariffRateCategory,MiscData!$C$23&amp;$B100,_12MonLights_Count)+SUMIF(_12MonLights_TariffRateCategory,MiscData!$C$23&amp;$B100,_12MonLights_Count_Adj)</f>
        <v>0</v>
      </c>
      <c r="D100" s="101">
        <f>SUMIF(_12MonLights_TariffRateCategory,MiscData!$C$24&amp;$B100,_12MonLights_Count)+SUMIF(_12MonLights_TariffRateCategory,MiscData!$C$23&amp;$B100,_12MonLights_Count_Adj)</f>
        <v>0</v>
      </c>
      <c r="E100" s="101">
        <f>SUMIF(_12MonLights_TariffRateCategory,MiscData!$C$25&amp;$B100,_12MonLights_Count)+SUMIF(_12MonLights_TariffRateCategory,MiscData!$C$23&amp;$B100,_12MonLights_Count_Adj)</f>
        <v>0</v>
      </c>
      <c r="F100" s="69"/>
      <c r="G100" s="102">
        <f>SUMIF(_Lights_Tariff_Category,MiscData!$C$23&amp;$B100,_Lights_Rates)</f>
        <v>0</v>
      </c>
      <c r="H100" s="102">
        <f>SUMIF(_Lights_Tariff_Category,MiscData!$C$24&amp;$B100,_Lights_Rates)</f>
        <v>0</v>
      </c>
      <c r="I100" s="102">
        <f>SUMIF(_Lights_Tariff_Category,MiscData!$C$25&amp;$B100,_Lights_Rates)-SUMIF(_Lights_Tariff_Category,MiscData!$C$25&amp;$B100,_Rates_Lights_ECR)</f>
        <v>0</v>
      </c>
      <c r="J100" s="69"/>
      <c r="K100" s="102">
        <f t="shared" si="18"/>
        <v>0</v>
      </c>
      <c r="L100" s="102">
        <f t="shared" si="19"/>
        <v>0</v>
      </c>
      <c r="M100" s="102">
        <f t="shared" si="20"/>
        <v>0</v>
      </c>
      <c r="N100" s="91"/>
      <c r="AB100" s="72" t="str">
        <f>MiscData!$C$23&amp;$Y96</f>
        <v>20140101KUCME110</v>
      </c>
      <c r="AC100" s="72"/>
      <c r="AD100" s="72"/>
      <c r="AE100" s="66"/>
      <c r="AG100" s="98" t="s">
        <v>331</v>
      </c>
    </row>
    <row r="101" spans="1:33" ht="12.75">
      <c r="A101" s="103" t="s">
        <v>546</v>
      </c>
      <c r="B101" s="104" t="s">
        <v>408</v>
      </c>
      <c r="C101" s="101">
        <f>SUMIF(_12MonLights_TariffRateCategory,MiscData!$C$23&amp;$B101,_12MonLights_Count)+SUMIF(_12MonLights_TariffRateCategory,MiscData!$C$23&amp;$B101,_12MonLights_Count_Adj)</f>
        <v>0</v>
      </c>
      <c r="D101" s="101">
        <f>SUMIF(_12MonLights_TariffRateCategory,MiscData!$C$24&amp;$B101,_12MonLights_Count)+SUMIF(_12MonLights_TariffRateCategory,MiscData!$C$23&amp;$B101,_12MonLights_Count_Adj)</f>
        <v>0</v>
      </c>
      <c r="E101" s="101">
        <f>SUMIF(_12MonLights_TariffRateCategory,MiscData!$C$25&amp;$B101,_12MonLights_Count)+SUMIF(_12MonLights_TariffRateCategory,MiscData!$C$23&amp;$B101,_12MonLights_Count_Adj)</f>
        <v>0</v>
      </c>
      <c r="F101" s="69"/>
      <c r="G101" s="102">
        <f>SUMIF(_Lights_Tariff_Category,MiscData!$C$23&amp;$B101,_Lights_Rates)</f>
        <v>0</v>
      </c>
      <c r="H101" s="102">
        <f>SUMIF(_Lights_Tariff_Category,MiscData!$C$24&amp;$B101,_Lights_Rates)</f>
        <v>0</v>
      </c>
      <c r="I101" s="102">
        <f>SUMIF(_Lights_Tariff_Category,MiscData!$C$25&amp;$B101,_Lights_Rates)-SUMIF(_Lights_Tariff_Category,MiscData!$C$25&amp;$B101,_Rates_Lights_ECR)</f>
        <v>0</v>
      </c>
      <c r="J101" s="69"/>
      <c r="K101" s="102">
        <f t="shared" si="18"/>
        <v>0</v>
      </c>
      <c r="L101" s="102">
        <f t="shared" si="19"/>
        <v>0</v>
      </c>
      <c r="M101" s="102">
        <f t="shared" si="20"/>
        <v>0</v>
      </c>
      <c r="N101" s="96"/>
      <c r="AB101" s="72" t="str">
        <f>MiscData!$C$24&amp;$Y96</f>
        <v>20140101KUCME110</v>
      </c>
      <c r="AC101" s="72"/>
      <c r="AD101" s="72"/>
      <c r="AE101" s="66"/>
      <c r="AG101" s="98" t="s">
        <v>335</v>
      </c>
    </row>
    <row r="102" spans="1:33" ht="12.75">
      <c r="A102" s="103" t="s">
        <v>547</v>
      </c>
      <c r="B102" s="104" t="s">
        <v>378</v>
      </c>
      <c r="C102" s="101">
        <f>SUMIF(_12MonLights_TariffRateCategory,MiscData!$C$23&amp;$B102,_12MonLights_Count)+SUMIF(_12MonLights_TariffRateCategory,MiscData!$C$23&amp;$B102,_12MonLights_Count_Adj)</f>
        <v>0</v>
      </c>
      <c r="D102" s="101">
        <f>SUMIF(_12MonLights_TariffRateCategory,MiscData!$C$24&amp;$B102,_12MonLights_Count)+SUMIF(_12MonLights_TariffRateCategory,MiscData!$C$23&amp;$B102,_12MonLights_Count_Adj)</f>
        <v>0</v>
      </c>
      <c r="E102" s="101">
        <f>SUMIF(_12MonLights_TariffRateCategory,MiscData!$C$25&amp;$B102,_12MonLights_Count)+SUMIF(_12MonLights_TariffRateCategory,MiscData!$C$23&amp;$B102,_12MonLights_Count_Adj)</f>
        <v>0</v>
      </c>
      <c r="F102" s="69"/>
      <c r="G102" s="102">
        <f>SUMIF(_Lights_Tariff_Category,MiscData!$C$23&amp;$B102,_Lights_Rates)</f>
        <v>0</v>
      </c>
      <c r="H102" s="102">
        <f>SUMIF(_Lights_Tariff_Category,MiscData!$C$24&amp;$B102,_Lights_Rates)</f>
        <v>0</v>
      </c>
      <c r="I102" s="102">
        <f>SUMIF(_Lights_Tariff_Category,MiscData!$C$25&amp;$B102,_Lights_Rates)-SUMIF(_Lights_Tariff_Category,MiscData!$C$25&amp;$B102,_Rates_Lights_ECR)</f>
        <v>0</v>
      </c>
      <c r="J102" s="69"/>
      <c r="K102" s="102">
        <f t="shared" si="18"/>
        <v>0</v>
      </c>
      <c r="L102" s="102">
        <f t="shared" si="19"/>
        <v>0</v>
      </c>
      <c r="M102" s="102">
        <f t="shared" si="20"/>
        <v>0</v>
      </c>
      <c r="N102" s="96"/>
      <c r="AB102" s="72" t="str">
        <f>MiscData!$C$25&amp;$Y96</f>
        <v>20140101KUCME110</v>
      </c>
      <c r="AC102" s="72"/>
      <c r="AD102" s="72"/>
      <c r="AE102" s="66"/>
      <c r="AG102" s="98" t="s">
        <v>372</v>
      </c>
    </row>
    <row r="103" spans="1:33" ht="12.75">
      <c r="A103" s="103" t="s">
        <v>548</v>
      </c>
      <c r="B103" s="104" t="s">
        <v>388</v>
      </c>
      <c r="C103" s="101">
        <f>SUMIF(_12MonLights_TariffRateCategory,MiscData!$C$23&amp;$B103,_12MonLights_Count)+SUMIF(_12MonLights_TariffRateCategory,MiscData!$C$23&amp;$B103,_12MonLights_Count_Adj)</f>
        <v>0</v>
      </c>
      <c r="D103" s="101">
        <f>SUMIF(_12MonLights_TariffRateCategory,MiscData!$C$24&amp;$B103,_12MonLights_Count)+SUMIF(_12MonLights_TariffRateCategory,MiscData!$C$23&amp;$B103,_12MonLights_Count_Adj)</f>
        <v>0</v>
      </c>
      <c r="E103" s="101">
        <f>SUMIF(_12MonLights_TariffRateCategory,MiscData!$C$25&amp;$B103,_12MonLights_Count)+SUMIF(_12MonLights_TariffRateCategory,MiscData!$C$23&amp;$B103,_12MonLights_Count_Adj)</f>
        <v>0</v>
      </c>
      <c r="F103" s="69"/>
      <c r="G103" s="102">
        <f>SUMIF(_Lights_Tariff_Category,MiscData!$C$23&amp;$B103,_Lights_Rates)</f>
        <v>0</v>
      </c>
      <c r="H103" s="102">
        <f>SUMIF(_Lights_Tariff_Category,MiscData!$C$24&amp;$B103,_Lights_Rates)</f>
        <v>0</v>
      </c>
      <c r="I103" s="102">
        <f>SUMIF(_Lights_Tariff_Category,MiscData!$C$25&amp;$B103,_Lights_Rates)-SUMIF(_Lights_Tariff_Category,MiscData!$C$25&amp;$B103,_Rates_Lights_ECR)</f>
        <v>0</v>
      </c>
      <c r="J103" s="69"/>
      <c r="K103" s="102">
        <f t="shared" si="18"/>
        <v>0</v>
      </c>
      <c r="L103" s="102">
        <f t="shared" si="19"/>
        <v>0</v>
      </c>
      <c r="M103" s="102">
        <f t="shared" si="20"/>
        <v>0</v>
      </c>
      <c r="N103" s="96"/>
      <c r="AE103" s="66"/>
      <c r="AG103" s="98" t="s">
        <v>381</v>
      </c>
    </row>
    <row r="104" spans="1:33" ht="12.75">
      <c r="A104" s="103" t="s">
        <v>549</v>
      </c>
      <c r="B104" s="104" t="s">
        <v>411</v>
      </c>
      <c r="C104" s="101">
        <f>SUMIF(_12MonLights_TariffRateCategory,MiscData!$C$23&amp;$B104,_12MonLights_Count)+SUMIF(_12MonLights_TariffRateCategory,MiscData!$C$23&amp;$B104,_12MonLights_Count_Adj)</f>
        <v>0</v>
      </c>
      <c r="D104" s="101">
        <f>SUMIF(_12MonLights_TariffRateCategory,MiscData!$C$24&amp;$B104,_12MonLights_Count)+SUMIF(_12MonLights_TariffRateCategory,MiscData!$C$23&amp;$B104,_12MonLights_Count_Adj)</f>
        <v>0</v>
      </c>
      <c r="E104" s="101">
        <f>SUMIF(_12MonLights_TariffRateCategory,MiscData!$C$25&amp;$B104,_12MonLights_Count)+SUMIF(_12MonLights_TariffRateCategory,MiscData!$C$23&amp;$B104,_12MonLights_Count_Adj)</f>
        <v>0</v>
      </c>
      <c r="F104" s="69"/>
      <c r="G104" s="102">
        <f>SUMIF(_Lights_Tariff_Category,MiscData!$C$23&amp;$B104,_Lights_Rates)</f>
        <v>0</v>
      </c>
      <c r="H104" s="102">
        <f>SUMIF(_Lights_Tariff_Category,MiscData!$C$24&amp;$B104,_Lights_Rates)</f>
        <v>0</v>
      </c>
      <c r="I104" s="102">
        <f>SUMIF(_Lights_Tariff_Category,MiscData!$C$25&amp;$B104,_Lights_Rates)-SUMIF(_Lights_Tariff_Category,MiscData!$C$25&amp;$B104,_Rates_Lights_ECR)</f>
        <v>0</v>
      </c>
      <c r="J104" s="69"/>
      <c r="K104" s="102">
        <f t="shared" si="18"/>
        <v>0</v>
      </c>
      <c r="L104" s="102">
        <f t="shared" si="19"/>
        <v>0</v>
      </c>
      <c r="M104" s="102">
        <f t="shared" si="20"/>
        <v>0</v>
      </c>
      <c r="N104" s="96"/>
      <c r="AE104" s="66"/>
      <c r="AG104" s="98" t="s">
        <v>404</v>
      </c>
    </row>
    <row r="105" spans="1:33" ht="12.75">
      <c r="A105" s="103" t="s">
        <v>550</v>
      </c>
      <c r="B105" s="104" t="s">
        <v>387</v>
      </c>
      <c r="C105" s="101">
        <f>SUMIF(_12MonLights_TariffRateCategory,MiscData!$C$23&amp;$B105,_12MonLights_Count)+SUMIF(_12MonLights_TariffRateCategory,MiscData!$C$23&amp;$B105,_12MonLights_Count_Adj)</f>
        <v>252</v>
      </c>
      <c r="D105" s="101">
        <f>SUMIF(_12MonLights_TariffRateCategory,MiscData!$C$24&amp;$B105,_12MonLights_Count)+SUMIF(_12MonLights_TariffRateCategory,MiscData!$C$23&amp;$B105,_12MonLights_Count_Adj)</f>
        <v>252</v>
      </c>
      <c r="E105" s="101">
        <f>SUMIF(_12MonLights_TariffRateCategory,MiscData!$C$25&amp;$B105,_12MonLights_Count)+SUMIF(_12MonLights_TariffRateCategory,MiscData!$C$23&amp;$B105,_12MonLights_Count_Adj)</f>
        <v>252</v>
      </c>
      <c r="F105" s="69"/>
      <c r="G105" s="102">
        <f>SUMIF(_Lights_Tariff_Category,MiscData!$C$23&amp;$B105,_Lights_Rates)</f>
        <v>30.84</v>
      </c>
      <c r="H105" s="102">
        <f>SUMIF(_Lights_Tariff_Category,MiscData!$C$24&amp;$B105,_Lights_Rates)</f>
        <v>30.84</v>
      </c>
      <c r="I105" s="102">
        <f>SUMIF(_Lights_Tariff_Category,MiscData!$C$25&amp;$B105,_Lights_Rates)-SUMIF(_Lights_Tariff_Category,MiscData!$C$25&amp;$B105,_Rates_Lights_ECR)</f>
        <v>30.41</v>
      </c>
      <c r="J105" s="69"/>
      <c r="K105" s="102">
        <f t="shared" si="18"/>
        <v>23206.68</v>
      </c>
      <c r="L105" s="102">
        <f t="shared" si="19"/>
        <v>23206.68</v>
      </c>
      <c r="M105" s="102">
        <f t="shared" si="20"/>
        <v>22989.96</v>
      </c>
      <c r="N105" s="96"/>
      <c r="AE105" s="66"/>
      <c r="AG105" s="98" t="s">
        <v>361</v>
      </c>
    </row>
    <row r="106" spans="1:33" ht="12.75">
      <c r="A106" s="103" t="s">
        <v>551</v>
      </c>
      <c r="B106" s="104" t="s">
        <v>410</v>
      </c>
      <c r="C106" s="101">
        <f>SUMIF(_12MonLights_TariffRateCategory,MiscData!$C$23&amp;$B106,_12MonLights_Count)+SUMIF(_12MonLights_TariffRateCategory,MiscData!$C$23&amp;$B106,_12MonLights_Count_Adj)</f>
        <v>120</v>
      </c>
      <c r="D106" s="101">
        <f>SUMIF(_12MonLights_TariffRateCategory,MiscData!$C$24&amp;$B106,_12MonLights_Count)+SUMIF(_12MonLights_TariffRateCategory,MiscData!$C$23&amp;$B106,_12MonLights_Count_Adj)</f>
        <v>120</v>
      </c>
      <c r="E106" s="101">
        <f>SUMIF(_12MonLights_TariffRateCategory,MiscData!$C$25&amp;$B106,_12MonLights_Count)+SUMIF(_12MonLights_TariffRateCategory,MiscData!$C$23&amp;$B106,_12MonLights_Count_Adj)</f>
        <v>120</v>
      </c>
      <c r="F106" s="69"/>
      <c r="G106" s="102">
        <f>SUMIF(_Lights_Tariff_Category,MiscData!$C$23&amp;$B106,_Lights_Rates)</f>
        <v>31.22</v>
      </c>
      <c r="H106" s="102">
        <f>SUMIF(_Lights_Tariff_Category,MiscData!$C$24&amp;$B106,_Lights_Rates)</f>
        <v>31.22</v>
      </c>
      <c r="I106" s="102">
        <f>SUMIF(_Lights_Tariff_Category,MiscData!$C$25&amp;$B106,_Lights_Rates)-SUMIF(_Lights_Tariff_Category,MiscData!$C$25&amp;$B106,_Rates_Lights_ECR)</f>
        <v>30.88</v>
      </c>
      <c r="J106" s="69"/>
      <c r="K106" s="102">
        <f t="shared" si="18"/>
        <v>11198.4</v>
      </c>
      <c r="L106" s="102">
        <f t="shared" si="19"/>
        <v>11198.4</v>
      </c>
      <c r="M106" s="102">
        <f t="shared" si="20"/>
        <v>11116.8</v>
      </c>
      <c r="N106" s="96"/>
      <c r="AE106" s="66"/>
      <c r="AG106" s="98" t="s">
        <v>393</v>
      </c>
    </row>
    <row r="107" spans="1:33" ht="12.75">
      <c r="A107" s="103" t="s">
        <v>552</v>
      </c>
      <c r="B107" s="104" t="s">
        <v>439</v>
      </c>
      <c r="C107" s="101">
        <f>SUMIF(_12MonLights_TariffRateCategory,MiscData!$C$23&amp;$B107,_12MonLights_Count)+SUMIF(_12MonLights_TariffRateCategory,MiscData!$C$23&amp;$B107,_12MonLights_Count_Adj)</f>
        <v>0</v>
      </c>
      <c r="D107" s="101">
        <f>SUMIF(_12MonLights_TariffRateCategory,MiscData!$C$24&amp;$B107,_12MonLights_Count)+SUMIF(_12MonLights_TariffRateCategory,MiscData!$C$23&amp;$B107,_12MonLights_Count_Adj)</f>
        <v>0</v>
      </c>
      <c r="E107" s="101">
        <f>SUMIF(_12MonLights_TariffRateCategory,MiscData!$C$25&amp;$B107,_12MonLights_Count)+SUMIF(_12MonLights_TariffRateCategory,MiscData!$C$23&amp;$B107,_12MonLights_Count_Adj)</f>
        <v>0</v>
      </c>
      <c r="F107" s="69"/>
      <c r="G107" s="102">
        <f>SUMIF(_Lights_Tariff_Category,MiscData!$C$23&amp;$B107,_Lights_Rates)</f>
        <v>0</v>
      </c>
      <c r="H107" s="102">
        <f>SUMIF(_Lights_Tariff_Category,MiscData!$C$24&amp;$B107,_Lights_Rates)</f>
        <v>0</v>
      </c>
      <c r="I107" s="102">
        <f>SUMIF(_Lights_Tariff_Category,MiscData!$C$25&amp;$B107,_Lights_Rates)-SUMIF(_Lights_Tariff_Category,MiscData!$C$25&amp;$B107,_Rates_Lights_ECR)</f>
        <v>0</v>
      </c>
      <c r="J107" s="69"/>
      <c r="K107" s="102">
        <f t="shared" si="18"/>
        <v>0</v>
      </c>
      <c r="L107" s="102">
        <f t="shared" si="19"/>
        <v>0</v>
      </c>
      <c r="M107" s="102">
        <f t="shared" si="20"/>
        <v>0</v>
      </c>
      <c r="N107" s="96"/>
      <c r="AE107" s="66"/>
      <c r="AG107" s="98" t="s">
        <v>379</v>
      </c>
    </row>
    <row r="108" spans="1:33" ht="12.75">
      <c r="A108" s="136" t="s">
        <v>568</v>
      </c>
      <c r="B108" s="104" t="s">
        <v>715</v>
      </c>
      <c r="C108" s="101">
        <f>SUMIF(_12MonLights_TariffRateCategory,MiscData!$C$23&amp;$B108,_12MonLights_Count)+SUMIF(_12MonLights_TariffRateCategory,MiscData!$C$23&amp;$B108,_12MonLights_Count_Adj)</f>
        <v>24</v>
      </c>
      <c r="D108" s="101">
        <f>SUMIF(_12MonLights_TariffRateCategory,MiscData!$C$24&amp;$B108,_12MonLights_Count)+SUMIF(_12MonLights_TariffRateCategory,MiscData!$C$23&amp;$B108,_12MonLights_Count_Adj)</f>
        <v>24</v>
      </c>
      <c r="E108" s="101">
        <f>SUMIF(_12MonLights_TariffRateCategory,MiscData!$C$25&amp;$B108,_12MonLights_Count)+SUMIF(_12MonLights_TariffRateCategory,MiscData!$C$23&amp;$B108,_12MonLights_Count_Adj)</f>
        <v>24</v>
      </c>
      <c r="F108" s="69"/>
      <c r="G108" s="102">
        <f>SUMIF(_Lights_Tariff_Category,MiscData!$C$23&amp;$B108,_Lights_Rates)</f>
        <v>15.370000000000001</v>
      </c>
      <c r="H108" s="102">
        <f>SUMIF(_Lights_Tariff_Category,MiscData!$C$24&amp;$B108,_Lights_Rates)</f>
        <v>15.370000000000001</v>
      </c>
      <c r="I108" s="102">
        <f>SUMIF(_Lights_Tariff_Category,MiscData!$C$25&amp;$B108,_Lights_Rates)-SUMIF(_Lights_Tariff_Category,MiscData!$C$25&amp;$B108,_Rates_Lights_ECR)</f>
        <v>14.940000000000001</v>
      </c>
      <c r="J108" s="69"/>
      <c r="K108" s="102"/>
      <c r="L108" s="102"/>
      <c r="M108" s="102"/>
      <c r="N108" s="96"/>
      <c r="AE108" s="66"/>
      <c r="AG108" s="98"/>
    </row>
    <row r="109" spans="1:33" ht="12.75">
      <c r="A109" s="103" t="s">
        <v>553</v>
      </c>
      <c r="B109" s="104" t="s">
        <v>413</v>
      </c>
      <c r="C109" s="101">
        <f>SUMIF(_12MonLights_TariffRateCategory,MiscData!$C$23&amp;$B109,_12MonLights_Count)+SUMIF(_12MonLights_TariffRateCategory,MiscData!$C$23&amp;$B109,_12MonLights_Count_Adj)</f>
        <v>0</v>
      </c>
      <c r="D109" s="101">
        <f>SUMIF(_12MonLights_TariffRateCategory,MiscData!$C$24&amp;$B109,_12MonLights_Count)+SUMIF(_12MonLights_TariffRateCategory,MiscData!$C$23&amp;$B109,_12MonLights_Count_Adj)</f>
        <v>0</v>
      </c>
      <c r="E109" s="101">
        <f>SUMIF(_12MonLights_TariffRateCategory,MiscData!$C$25&amp;$B109,_12MonLights_Count)+SUMIF(_12MonLights_TariffRateCategory,MiscData!$C$23&amp;$B109,_12MonLights_Count_Adj)</f>
        <v>0</v>
      </c>
      <c r="F109" s="69"/>
      <c r="G109" s="102">
        <f>SUMIF(_Lights_Tariff_Category,MiscData!$C$23&amp;$B109,_Lights_Rates)</f>
        <v>0</v>
      </c>
      <c r="H109" s="102">
        <f>SUMIF(_Lights_Tariff_Category,MiscData!$C$24&amp;$B109,_Lights_Rates)</f>
        <v>0</v>
      </c>
      <c r="I109" s="102">
        <f>SUMIF(_Lights_Tariff_Category,MiscData!$C$25&amp;$B109,_Lights_Rates)-SUMIF(_Lights_Tariff_Category,MiscData!$C$25&amp;$B109,_Rates_Lights_ECR)</f>
        <v>0</v>
      </c>
      <c r="J109" s="69"/>
      <c r="K109" s="102">
        <f>ROUND(SUM($C109*$G109,$D109*$H109,$E109*$I109),2)</f>
        <v>0</v>
      </c>
      <c r="L109" s="102">
        <f>ROUND(SUM($C109*$H109,$D109*$H109,$E109*$I109),2)</f>
        <v>0</v>
      </c>
      <c r="M109" s="102">
        <f>ROUND(SUM($C109*$I109,$D109*$I109,$E109*$I109),2)</f>
        <v>0</v>
      </c>
      <c r="N109" s="96"/>
      <c r="Y109" s="64" t="s">
        <v>185</v>
      </c>
      <c r="AB109" s="72" t="str">
        <f>MiscData!$C$23&amp;$Y109</f>
        <v>20140101KUCME710</v>
      </c>
      <c r="AC109" s="72"/>
      <c r="AD109" s="72"/>
      <c r="AE109" s="66"/>
      <c r="AG109" s="98" t="s">
        <v>389</v>
      </c>
    </row>
    <row r="110" spans="1:33" ht="12.75">
      <c r="A110" s="136" t="s">
        <v>568</v>
      </c>
      <c r="B110" s="104" t="s">
        <v>683</v>
      </c>
      <c r="C110" s="101">
        <f>SUMIF(_12MonLights_TariffRateCategory,MiscData!$C$23&amp;$B110,_12MonLights_Count)+SUMIF(_12MonLights_TariffRateCategory,MiscData!$C$23&amp;$B110,_12MonLights_Count_Adj)</f>
        <v>111</v>
      </c>
      <c r="D110" s="101">
        <f>SUMIF(_12MonLights_TariffRateCategory,MiscData!$C$24&amp;$B110,_12MonLights_Count)+SUMIF(_12MonLights_TariffRateCategory,MiscData!$C$23&amp;$B110,_12MonLights_Count_Adj)</f>
        <v>111</v>
      </c>
      <c r="E110" s="101">
        <f>SUMIF(_12MonLights_TariffRateCategory,MiscData!$C$25&amp;$B110,_12MonLights_Count)+SUMIF(_12MonLights_TariffRateCategory,MiscData!$C$23&amp;$B110,_12MonLights_Count_Adj)</f>
        <v>111</v>
      </c>
      <c r="F110" s="69"/>
      <c r="G110" s="102">
        <f>SUMIF(_Lights_Tariff_Category,MiscData!$C$23&amp;$B110,_Lights_Rates)</f>
        <v>15.35</v>
      </c>
      <c r="H110" s="102">
        <f>SUMIF(_Lights_Tariff_Category,MiscData!$C$24&amp;$B110,_Lights_Rates)</f>
        <v>15.35</v>
      </c>
      <c r="I110" s="102">
        <f>SUMIF(_Lights_Tariff_Category,MiscData!$C$25&amp;$B110,_Lights_Rates)-SUMIF(_Lights_Tariff_Category,MiscData!$C$25&amp;$B110,_Rates_Lights_ECR)</f>
        <v>15.01</v>
      </c>
      <c r="J110" s="69"/>
      <c r="K110" s="102"/>
      <c r="L110" s="102"/>
      <c r="M110" s="102"/>
      <c r="N110" s="96"/>
      <c r="AE110" s="66"/>
      <c r="AG110" s="98"/>
    </row>
    <row r="111" spans="1:33" ht="12.75">
      <c r="A111" s="103" t="s">
        <v>554</v>
      </c>
      <c r="B111" s="104" t="s">
        <v>363</v>
      </c>
      <c r="C111" s="101">
        <f>SUMIF(_12MonLights_TariffRateCategory,MiscData!$C$23&amp;$B111,_12MonLights_Count)+SUMIF(_12MonLights_TariffRateCategory,MiscData!$C$23&amp;$B111,_12MonLights_Count_Adj)</f>
        <v>0</v>
      </c>
      <c r="D111" s="101">
        <f>SUMIF(_12MonLights_TariffRateCategory,MiscData!$C$24&amp;$B111,_12MonLights_Count)+SUMIF(_12MonLights_TariffRateCategory,MiscData!$C$23&amp;$B111,_12MonLights_Count_Adj)</f>
        <v>0</v>
      </c>
      <c r="E111" s="101">
        <f>SUMIF(_12MonLights_TariffRateCategory,MiscData!$C$25&amp;$B111,_12MonLights_Count)+SUMIF(_12MonLights_TariffRateCategory,MiscData!$C$23&amp;$B111,_12MonLights_Count_Adj)</f>
        <v>0</v>
      </c>
      <c r="F111" s="69"/>
      <c r="G111" s="102">
        <f>SUMIF(_Lights_Tariff_Category,MiscData!$C$23&amp;$B111,_Lights_Rates)</f>
        <v>0</v>
      </c>
      <c r="H111" s="102">
        <f>SUMIF(_Lights_Tariff_Category,MiscData!$C$24&amp;$B111,_Lights_Rates)</f>
        <v>0</v>
      </c>
      <c r="I111" s="102">
        <f>SUMIF(_Lights_Tariff_Category,MiscData!$C$25&amp;$B111,_Lights_Rates)-SUMIF(_Lights_Tariff_Category,MiscData!$C$25&amp;$B111,_Rates_Lights_ECR)</f>
        <v>0</v>
      </c>
      <c r="J111" s="69"/>
      <c r="K111" s="102">
        <f>ROUND(SUM($C111*$G111,$D111*$H111,$E111*$I111),2)</f>
        <v>0</v>
      </c>
      <c r="L111" s="102">
        <f>ROUND(SUM($C111*$H111,$D111*$H111,$E111*$I111),2)</f>
        <v>0</v>
      </c>
      <c r="M111" s="102">
        <f>ROUND(SUM($C111*$I111,$D111*$I111,$E111*$I111),2)</f>
        <v>0</v>
      </c>
      <c r="N111" s="108"/>
      <c r="AB111" s="72" t="str">
        <f>MiscData!$C$24&amp;$Y109</f>
        <v>20140101KUCME710</v>
      </c>
      <c r="AC111" s="72"/>
      <c r="AD111" s="72"/>
      <c r="AE111" s="66"/>
      <c r="AG111" s="98" t="s">
        <v>412</v>
      </c>
    </row>
    <row r="112" spans="1:33" ht="12.75">
      <c r="A112" s="136" t="s">
        <v>568</v>
      </c>
      <c r="B112" s="104" t="s">
        <v>463</v>
      </c>
      <c r="C112" s="101">
        <f>SUMIF(_12MonLights_TariffRateCategory,MiscData!$C$23&amp;$B112,_12MonLights_Count)+SUMIF(_12MonLights_TariffRateCategory,MiscData!$C$23&amp;$B112,_12MonLights_Count_Adj)</f>
        <v>278</v>
      </c>
      <c r="D112" s="101">
        <f>SUMIF(_12MonLights_TariffRateCategory,MiscData!$C$24&amp;$B112,_12MonLights_Count)+SUMIF(_12MonLights_TariffRateCategory,MiscData!$C$23&amp;$B112,_12MonLights_Count_Adj)</f>
        <v>278</v>
      </c>
      <c r="E112" s="101">
        <f>SUMIF(_12MonLights_TariffRateCategory,MiscData!$C$25&amp;$B112,_12MonLights_Count)+SUMIF(_12MonLights_TariffRateCategory,MiscData!$C$23&amp;$B112,_12MonLights_Count_Adj)</f>
        <v>278</v>
      </c>
      <c r="F112" s="69"/>
      <c r="G112" s="102">
        <f>SUMIF(_Lights_Tariff_Category,MiscData!$C$23&amp;$B112,_Lights_Rates)</f>
        <v>17.72</v>
      </c>
      <c r="H112" s="102">
        <f>SUMIF(_Lights_Tariff_Category,MiscData!$C$24&amp;$B112,_Lights_Rates)</f>
        <v>17.72</v>
      </c>
      <c r="I112" s="102">
        <f>SUMIF(_Lights_Tariff_Category,MiscData!$C$25&amp;$B112,_Lights_Rates)-SUMIF(_Lights_Tariff_Category,MiscData!$C$25&amp;$B112,_Rates_Lights_ECR)</f>
        <v>17.14</v>
      </c>
      <c r="J112" s="69"/>
      <c r="K112" s="102"/>
      <c r="L112" s="102"/>
      <c r="M112" s="102"/>
      <c r="N112" s="96"/>
      <c r="AE112" s="66"/>
      <c r="AG112" s="98"/>
    </row>
    <row r="113" spans="1:33" ht="12.75">
      <c r="A113" s="103" t="s">
        <v>592</v>
      </c>
      <c r="B113" s="104" t="s">
        <v>463</v>
      </c>
      <c r="C113" s="101">
        <f>SUMIF(_12MonLights_TariffRateCategory,MiscData!$C$23&amp;$B113,_12MonLights_Count)+SUMIF(_12MonLights_TariffRateCategory,MiscData!$C$23&amp;$B113,_12MonLights_Count_Adj)</f>
        <v>278</v>
      </c>
      <c r="D113" s="101">
        <f>SUMIF(_12MonLights_TariffRateCategory,MiscData!$C$24&amp;$B113,_12MonLights_Count)+SUMIF(_12MonLights_TariffRateCategory,MiscData!$C$23&amp;$B113,_12MonLights_Count_Adj)</f>
        <v>278</v>
      </c>
      <c r="E113" s="101">
        <f>SUMIF(_12MonLights_TariffRateCategory,MiscData!$C$25&amp;$B113,_12MonLights_Count)+SUMIF(_12MonLights_TariffRateCategory,MiscData!$C$23&amp;$B113,_12MonLights_Count_Adj)</f>
        <v>278</v>
      </c>
      <c r="F113" s="69"/>
      <c r="G113" s="102">
        <f>SUMIF(_Lights_Tariff_Category,MiscData!$C$23&amp;$B113,_Lights_Rates)</f>
        <v>17.72</v>
      </c>
      <c r="H113" s="102">
        <f>SUMIF(_Lights_Tariff_Category,MiscData!$C$24&amp;$B113,_Lights_Rates)</f>
        <v>17.72</v>
      </c>
      <c r="I113" s="102">
        <f>SUMIF(_Lights_Tariff_Category,MiscData!$C$25&amp;$B113,_Lights_Rates)-SUMIF(_Lights_Tariff_Category,MiscData!$C$25&amp;$B113,_Rates_Lights_ECR)</f>
        <v>17.14</v>
      </c>
      <c r="J113" s="69"/>
      <c r="K113" s="102">
        <f>ROUND(SUM($C113*$G113,$D113*$H113,$E113*$I113),2)</f>
        <v>14617.24</v>
      </c>
      <c r="L113" s="102">
        <f>ROUND(SUM($C113*$H113,$D113*$H113,$E113*$I113),2)</f>
        <v>14617.24</v>
      </c>
      <c r="M113" s="102">
        <f>ROUND(SUM($C113*$I113,$D113*$I113,$E113*$I113),2)</f>
        <v>14294.76</v>
      </c>
      <c r="N113" s="108"/>
      <c r="AE113" s="66"/>
      <c r="AG113" s="98"/>
    </row>
    <row r="114" spans="1:33" ht="12.75">
      <c r="A114" s="103" t="s">
        <v>555</v>
      </c>
      <c r="B114" s="104" t="s">
        <v>395</v>
      </c>
      <c r="C114" s="101">
        <f>SUMIF(_12MonLights_TariffRateCategory,MiscData!$C$23&amp;$B114,_12MonLights_Count)+SUMIF(_12MonLights_TariffRateCategory,MiscData!$C$23&amp;$B114,_12MonLights_Count_Adj)</f>
        <v>0</v>
      </c>
      <c r="D114" s="101">
        <f>SUMIF(_12MonLights_TariffRateCategory,MiscData!$C$24&amp;$B114,_12MonLights_Count)+SUMIF(_12MonLights_TariffRateCategory,MiscData!$C$23&amp;$B114,_12MonLights_Count_Adj)</f>
        <v>0</v>
      </c>
      <c r="E114" s="101">
        <f>SUMIF(_12MonLights_TariffRateCategory,MiscData!$C$25&amp;$B114,_12MonLights_Count)+SUMIF(_12MonLights_TariffRateCategory,MiscData!$C$23&amp;$B114,_12MonLights_Count_Adj)</f>
        <v>0</v>
      </c>
      <c r="F114" s="69"/>
      <c r="G114" s="102">
        <f>SUMIF(_Lights_Tariff_Category,MiscData!$C$23&amp;$B114,_Lights_Rates)</f>
        <v>0</v>
      </c>
      <c r="H114" s="102">
        <f>SUMIF(_Lights_Tariff_Category,MiscData!$C$24&amp;$B114,_Lights_Rates)</f>
        <v>0</v>
      </c>
      <c r="I114" s="102">
        <f>SUMIF(_Lights_Tariff_Category,MiscData!$C$25&amp;$B114,_Lights_Rates)-SUMIF(_Lights_Tariff_Category,MiscData!$C$25&amp;$B114,_Rates_Lights_ECR)</f>
        <v>0</v>
      </c>
      <c r="J114" s="69"/>
      <c r="K114" s="102">
        <f>ROUND(SUM($C114*$G114,$D114*$H114,$E114*$I114),2)</f>
        <v>0</v>
      </c>
      <c r="L114" s="102">
        <f>ROUND(SUM($C114*$H114,$D114*$H114,$E114*$I114),2)</f>
        <v>0</v>
      </c>
      <c r="M114" s="102">
        <f>ROUND(SUM($C114*$I114,$D114*$I114,$E114*$I114),2)</f>
        <v>0</v>
      </c>
      <c r="N114" s="96"/>
      <c r="AB114" s="72" t="str">
        <f>MiscData!$C$25&amp;$Y109</f>
        <v>20140101KUCME710</v>
      </c>
      <c r="AC114" s="72"/>
      <c r="AD114" s="72"/>
      <c r="AE114" s="66"/>
      <c r="AG114" s="98" t="s">
        <v>367</v>
      </c>
    </row>
    <row r="115" spans="1:33" ht="12.75">
      <c r="A115" s="136" t="s">
        <v>568</v>
      </c>
      <c r="B115" s="104" t="s">
        <v>653</v>
      </c>
      <c r="C115" s="101">
        <f>SUMIF(_12MonLights_TariffRateCategory,MiscData!$C$23&amp;$B115,_12MonLights_Count)+SUMIF(_12MonLights_TariffRateCategory,MiscData!$C$23&amp;$B115,_12MonLights_Count_Adj)</f>
        <v>286</v>
      </c>
      <c r="D115" s="101">
        <f>SUMIF(_12MonLights_TariffRateCategory,MiscData!$C$24&amp;$B115,_12MonLights_Count)+SUMIF(_12MonLights_TariffRateCategory,MiscData!$C$23&amp;$B115,_12MonLights_Count_Adj)</f>
        <v>286</v>
      </c>
      <c r="E115" s="101">
        <f>SUMIF(_12MonLights_TariffRateCategory,MiscData!$C$25&amp;$B115,_12MonLights_Count)+SUMIF(_12MonLights_TariffRateCategory,MiscData!$C$23&amp;$B115,_12MonLights_Count_Adj)</f>
        <v>286</v>
      </c>
      <c r="F115" s="69"/>
      <c r="G115" s="102">
        <f>SUMIF(_Lights_Tariff_Category,MiscData!$C$23&amp;$B115,_Lights_Rates)</f>
        <v>21.490000000000002</v>
      </c>
      <c r="H115" s="102">
        <f>SUMIF(_Lights_Tariff_Category,MiscData!$C$24&amp;$B115,_Lights_Rates)</f>
        <v>21.490000000000002</v>
      </c>
      <c r="I115" s="102">
        <f>SUMIF(_Lights_Tariff_Category,MiscData!$C$25&amp;$B115,_Lights_Rates)-SUMIF(_Lights_Tariff_Category,MiscData!$C$25&amp;$B115,_Rates_Lights_ECR)</f>
        <v>20.700000000000003</v>
      </c>
      <c r="J115" s="69"/>
      <c r="K115" s="102">
        <f>ROUND(SUM($C115*$G115,$D115*$H115,$E115*$I115),2)</f>
        <v>18212.48</v>
      </c>
      <c r="L115" s="102">
        <f>ROUND(SUM($C115*$H115,$D115*$H115,$E115*$I115),2)</f>
        <v>18212.48</v>
      </c>
      <c r="M115" s="102">
        <f>ROUND(SUM($C115*$I115,$D115*$I115,$E115*$I115),2)</f>
        <v>17760.599999999999</v>
      </c>
      <c r="N115" s="96"/>
      <c r="AE115" s="66"/>
      <c r="AG115" s="98"/>
    </row>
    <row r="116" spans="1:33" ht="12.75">
      <c r="A116" s="92" t="s">
        <v>576</v>
      </c>
      <c r="B116" s="104"/>
      <c r="C116" s="101"/>
      <c r="D116" s="101"/>
      <c r="E116" s="101"/>
      <c r="F116" s="69"/>
      <c r="G116" s="102"/>
      <c r="H116" s="102"/>
      <c r="I116" s="102"/>
      <c r="J116" s="69"/>
      <c r="K116" s="102"/>
      <c r="L116" s="102"/>
      <c r="M116" s="102"/>
      <c r="N116" s="96"/>
      <c r="AE116" s="66"/>
      <c r="AG116" s="98"/>
    </row>
    <row r="117" spans="1:33" ht="12.75">
      <c r="A117" s="99" t="s">
        <v>577</v>
      </c>
      <c r="B117" s="104" t="s">
        <v>338</v>
      </c>
      <c r="C117" s="101">
        <f>SUMIF(_12MonLights_TariffRateCategory,MiscData!$C$23&amp;$B117,_12MonLights_Count)+SUMIF(_12MonLights_TariffRateCategory,MiscData!$C$23&amp;$B117,_12MonLights_Count_Adj)</f>
        <v>7792</v>
      </c>
      <c r="D117" s="101">
        <f>SUMIF(_12MonLights_TariffRateCategory,MiscData!$C$24&amp;$B117,_12MonLights_Count)+SUMIF(_12MonLights_TariffRateCategory,MiscData!$C$23&amp;$B117,_12MonLights_Count_Adj)</f>
        <v>7792</v>
      </c>
      <c r="E117" s="101">
        <f>SUMIF(_12MonLights_TariffRateCategory,MiscData!$C$25&amp;$B117,_12MonLights_Count)+SUMIF(_12MonLights_TariffRateCategory,MiscData!$C$23&amp;$B117,_12MonLights_Count_Adj)</f>
        <v>7792</v>
      </c>
      <c r="F117" s="69"/>
      <c r="G117" s="102">
        <f>SUMIF(_Lights_Tariff_Category,MiscData!$C$23&amp;$B117,_Lights_Rates)</f>
        <v>14.25</v>
      </c>
      <c r="H117" s="102">
        <f>SUMIF(_Lights_Tariff_Category,MiscData!$C$24&amp;$B117,_Lights_Rates)</f>
        <v>14.25</v>
      </c>
      <c r="I117" s="102">
        <f>SUMIF(_Lights_Tariff_Category,MiscData!$C$25&amp;$B117,_Lights_Rates)-SUMIF(_Lights_Tariff_Category,MiscData!$C$25&amp;$B117,_Rates_Lights_ECR)</f>
        <v>13.59</v>
      </c>
      <c r="J117" s="69"/>
      <c r="K117" s="102">
        <f t="shared" ref="K117:K131" si="21">ROUND(SUM($C117*$G117,$D117*$H117,$E117*$I117),2)</f>
        <v>327965.28000000003</v>
      </c>
      <c r="L117" s="102">
        <f t="shared" ref="L117:L131" si="22">ROUND(SUM($C117*$H117,$D117*$H117,$E117*$I117),2)</f>
        <v>327965.28000000003</v>
      </c>
      <c r="M117" s="102">
        <f t="shared" ref="M117:M131" si="23">ROUND(SUM($C117*$I117,$D117*$I117,$E117*$I117),2)</f>
        <v>317679.84000000003</v>
      </c>
      <c r="N117" s="96"/>
      <c r="Y117" s="64" t="s">
        <v>177</v>
      </c>
      <c r="AB117" s="72" t="str">
        <f>MiscData!$C$23&amp;$Y117</f>
        <v>20140101KUCME110</v>
      </c>
      <c r="AC117" s="72"/>
      <c r="AD117" s="72"/>
      <c r="AE117" s="66"/>
      <c r="AG117" s="98" t="s">
        <v>368</v>
      </c>
    </row>
    <row r="118" spans="1:33" ht="12.75">
      <c r="A118" s="99" t="s">
        <v>578</v>
      </c>
      <c r="B118" s="104" t="s">
        <v>336</v>
      </c>
      <c r="C118" s="101">
        <f>SUMIF(_12MonLights_TariffRateCategory,MiscData!$C$23&amp;$B118,_12MonLights_Count)+SUMIF(_12MonLights_TariffRateCategory,MiscData!$C$23&amp;$B118,_12MonLights_Count_Adj)</f>
        <v>1771</v>
      </c>
      <c r="D118" s="101">
        <f>SUMIF(_12MonLights_TariffRateCategory,MiscData!$C$24&amp;$B118,_12MonLights_Count)+SUMIF(_12MonLights_TariffRateCategory,MiscData!$C$23&amp;$B118,_12MonLights_Count_Adj)</f>
        <v>1771</v>
      </c>
      <c r="E118" s="101">
        <f>SUMIF(_12MonLights_TariffRateCategory,MiscData!$C$25&amp;$B118,_12MonLights_Count)+SUMIF(_12MonLights_TariffRateCategory,MiscData!$C$23&amp;$B118,_12MonLights_Count_Adj)</f>
        <v>1771</v>
      </c>
      <c r="F118" s="69"/>
      <c r="G118" s="102">
        <f>SUMIF(_Lights_Tariff_Category,MiscData!$C$23&amp;$B118,_Lights_Rates)</f>
        <v>18.649999999999999</v>
      </c>
      <c r="H118" s="102">
        <f>SUMIF(_Lights_Tariff_Category,MiscData!$C$24&amp;$B118,_Lights_Rates)</f>
        <v>18.649999999999999</v>
      </c>
      <c r="I118" s="102">
        <f>SUMIF(_Lights_Tariff_Category,MiscData!$C$25&amp;$B118,_Lights_Rates)-SUMIF(_Lights_Tariff_Category,MiscData!$C$25&amp;$B118,_Rates_Lights_ECR)</f>
        <v>17.989999999999998</v>
      </c>
      <c r="J118" s="69"/>
      <c r="K118" s="102">
        <f t="shared" si="21"/>
        <v>97918.59</v>
      </c>
      <c r="L118" s="102">
        <f t="shared" si="22"/>
        <v>97918.59</v>
      </c>
      <c r="M118" s="102">
        <f t="shared" si="23"/>
        <v>95580.87</v>
      </c>
      <c r="N118" s="108"/>
      <c r="Y118" s="67" t="s">
        <v>178</v>
      </c>
      <c r="AB118" s="72" t="str">
        <f>MiscData!$C$24&amp;$Y117</f>
        <v>20140101KUCME110</v>
      </c>
      <c r="AC118" s="72"/>
      <c r="AD118" s="72"/>
      <c r="AE118" s="66"/>
      <c r="AG118" s="98" t="s">
        <v>400</v>
      </c>
    </row>
    <row r="119" spans="1:33" ht="12.75">
      <c r="A119" s="103" t="s">
        <v>579</v>
      </c>
      <c r="B119" s="104" t="s">
        <v>335</v>
      </c>
      <c r="C119" s="101">
        <f>SUMIF(_12MonLights_TariffRateCategory,MiscData!$C$23&amp;$B119,_12MonLights_Count)+SUMIF(_12MonLights_TariffRateCategory,MiscData!$C$23&amp;$B119,_12MonLights_Count_Adj)</f>
        <v>40</v>
      </c>
      <c r="D119" s="101">
        <f>SUMIF(_12MonLights_TariffRateCategory,MiscData!$C$24&amp;$B119,_12MonLights_Count)+SUMIF(_12MonLights_TariffRateCategory,MiscData!$C$23&amp;$B119,_12MonLights_Count_Adj)</f>
        <v>40</v>
      </c>
      <c r="E119" s="101">
        <f>SUMIF(_12MonLights_TariffRateCategory,MiscData!$C$25&amp;$B119,_12MonLights_Count)+SUMIF(_12MonLights_TariffRateCategory,MiscData!$C$23&amp;$B119,_12MonLights_Count_Adj)</f>
        <v>40</v>
      </c>
      <c r="F119" s="69"/>
      <c r="G119" s="102">
        <f>SUMIF(_Lights_Tariff_Category,MiscData!$C$23&amp;$B119,_Lights_Rates)</f>
        <v>27.15</v>
      </c>
      <c r="H119" s="102">
        <f>SUMIF(_Lights_Tariff_Category,MiscData!$C$24&amp;$B119,_Lights_Rates)</f>
        <v>27.15</v>
      </c>
      <c r="I119" s="102">
        <f>SUMIF(_Lights_Tariff_Category,MiscData!$C$25&amp;$B119,_Lights_Rates)-SUMIF(_Lights_Tariff_Category,MiscData!$C$25&amp;$B119,_Rates_Lights_ECR)</f>
        <v>26.49</v>
      </c>
      <c r="J119" s="69"/>
      <c r="K119" s="102">
        <f t="shared" si="21"/>
        <v>3231.6</v>
      </c>
      <c r="L119" s="102">
        <f t="shared" si="22"/>
        <v>3231.6</v>
      </c>
      <c r="M119" s="102">
        <f t="shared" si="23"/>
        <v>3178.8</v>
      </c>
      <c r="N119" s="96"/>
      <c r="AB119" s="72" t="str">
        <f>MiscData!$C$25&amp;$Y117</f>
        <v>20140101KUCME110</v>
      </c>
      <c r="AC119" s="72"/>
      <c r="AD119" s="72"/>
      <c r="AE119" s="66"/>
      <c r="AG119" s="98" t="s">
        <v>327</v>
      </c>
    </row>
    <row r="120" spans="1:33" ht="12.75">
      <c r="A120" s="103" t="s">
        <v>580</v>
      </c>
      <c r="B120" s="104" t="s">
        <v>370</v>
      </c>
      <c r="C120" s="101">
        <f>SUMIF(_12MonLights_TariffRateCategory,MiscData!$C$23&amp;$B120,_12MonLights_Count)+SUMIF(_12MonLights_TariffRateCategory,MiscData!$C$23&amp;$B120,_12MonLights_Count_Adj)</f>
        <v>60808</v>
      </c>
      <c r="D120" s="101">
        <f>SUMIF(_12MonLights_TariffRateCategory,MiscData!$C$24&amp;$B120,_12MonLights_Count)+SUMIF(_12MonLights_TariffRateCategory,MiscData!$C$23&amp;$B120,_12MonLights_Count_Adj)</f>
        <v>60808</v>
      </c>
      <c r="E120" s="101">
        <f>SUMIF(_12MonLights_TariffRateCategory,MiscData!$C$25&amp;$B120,_12MonLights_Count)+SUMIF(_12MonLights_TariffRateCategory,MiscData!$C$23&amp;$B120,_12MonLights_Count_Adj)</f>
        <v>60808</v>
      </c>
      <c r="F120" s="69"/>
      <c r="G120" s="102">
        <f>SUMIF(_Lights_Tariff_Category,MiscData!$C$23&amp;$B120,_Lights_Rates)</f>
        <v>20.200000000000003</v>
      </c>
      <c r="H120" s="102">
        <f>SUMIF(_Lights_Tariff_Category,MiscData!$C$24&amp;$B120,_Lights_Rates)</f>
        <v>20.200000000000003</v>
      </c>
      <c r="I120" s="102">
        <f>SUMIF(_Lights_Tariff_Category,MiscData!$C$25&amp;$B120,_Lights_Rates)-SUMIF(_Lights_Tariff_Category,MiscData!$C$25&amp;$B120,_Rates_Lights_ECR)</f>
        <v>19.360000000000003</v>
      </c>
      <c r="J120" s="69"/>
      <c r="K120" s="102">
        <f t="shared" si="21"/>
        <v>3633886.08</v>
      </c>
      <c r="L120" s="102">
        <f t="shared" si="22"/>
        <v>3633886.08</v>
      </c>
      <c r="M120" s="102">
        <f t="shared" si="23"/>
        <v>3531728.64</v>
      </c>
      <c r="N120" s="96"/>
      <c r="AE120" s="66"/>
      <c r="AG120" s="98" t="s">
        <v>357</v>
      </c>
    </row>
    <row r="121" spans="1:33" ht="12.75">
      <c r="A121" s="103" t="s">
        <v>581</v>
      </c>
      <c r="B121" s="104" t="s">
        <v>368</v>
      </c>
      <c r="C121" s="101">
        <f>SUMIF(_12MonLights_TariffRateCategory,MiscData!$C$23&amp;$B121,_12MonLights_Count)+SUMIF(_12MonLights_TariffRateCategory,MiscData!$C$23&amp;$B121,_12MonLights_Count_Adj)</f>
        <v>12226</v>
      </c>
      <c r="D121" s="101">
        <f>SUMIF(_12MonLights_TariffRateCategory,MiscData!$C$24&amp;$B121,_12MonLights_Count)+SUMIF(_12MonLights_TariffRateCategory,MiscData!$C$23&amp;$B121,_12MonLights_Count_Adj)</f>
        <v>12226</v>
      </c>
      <c r="E121" s="101">
        <f>SUMIF(_12MonLights_TariffRateCategory,MiscData!$C$25&amp;$B121,_12MonLights_Count)+SUMIF(_12MonLights_TariffRateCategory,MiscData!$C$23&amp;$B121,_12MonLights_Count_Adj)</f>
        <v>12226</v>
      </c>
      <c r="F121" s="69"/>
      <c r="G121" s="102">
        <f>SUMIF(_Lights_Tariff_Category,MiscData!$C$23&amp;$B121,_Lights_Rates)</f>
        <v>24.59</v>
      </c>
      <c r="H121" s="102">
        <f>SUMIF(_Lights_Tariff_Category,MiscData!$C$24&amp;$B121,_Lights_Rates)</f>
        <v>24.59</v>
      </c>
      <c r="I121" s="102">
        <f>SUMIF(_Lights_Tariff_Category,MiscData!$C$25&amp;$B121,_Lights_Rates)-SUMIF(_Lights_Tariff_Category,MiscData!$C$25&amp;$B121,_Rates_Lights_ECR)</f>
        <v>23.75</v>
      </c>
      <c r="J121" s="69"/>
      <c r="K121" s="102">
        <f t="shared" si="21"/>
        <v>891642.18</v>
      </c>
      <c r="L121" s="102">
        <f t="shared" si="22"/>
        <v>891642.18</v>
      </c>
      <c r="M121" s="102">
        <f t="shared" si="23"/>
        <v>871102.5</v>
      </c>
      <c r="N121" s="91"/>
      <c r="AB121" s="72" t="str">
        <f>MiscData!$C$23&amp;$Y117</f>
        <v>20140101KUCME110</v>
      </c>
      <c r="AC121" s="72"/>
      <c r="AD121" s="72"/>
      <c r="AE121" s="66"/>
      <c r="AG121" s="98" t="s">
        <v>331</v>
      </c>
    </row>
    <row r="122" spans="1:33" ht="12.75">
      <c r="A122" s="103" t="s">
        <v>582</v>
      </c>
      <c r="B122" s="104" t="s">
        <v>367</v>
      </c>
      <c r="C122" s="101">
        <f>SUMIF(_12MonLights_TariffRateCategory,MiscData!$C$23&amp;$B122,_12MonLights_Count)+SUMIF(_12MonLights_TariffRateCategory,MiscData!$C$23&amp;$B122,_12MonLights_Count_Adj)</f>
        <v>3477</v>
      </c>
      <c r="D122" s="101">
        <f>SUMIF(_12MonLights_TariffRateCategory,MiscData!$C$24&amp;$B122,_12MonLights_Count)+SUMIF(_12MonLights_TariffRateCategory,MiscData!$C$23&amp;$B122,_12MonLights_Count_Adj)</f>
        <v>3477</v>
      </c>
      <c r="E122" s="101">
        <f>SUMIF(_12MonLights_TariffRateCategory,MiscData!$C$25&amp;$B122,_12MonLights_Count)+SUMIF(_12MonLights_TariffRateCategory,MiscData!$C$23&amp;$B122,_12MonLights_Count_Adj)</f>
        <v>3477</v>
      </c>
      <c r="F122" s="69"/>
      <c r="G122" s="102">
        <f>SUMIF(_Lights_Tariff_Category,MiscData!$C$23&amp;$B122,_Lights_Rates)</f>
        <v>33.100000000000009</v>
      </c>
      <c r="H122" s="102">
        <f>SUMIF(_Lights_Tariff_Category,MiscData!$C$24&amp;$B122,_Lights_Rates)</f>
        <v>33.100000000000009</v>
      </c>
      <c r="I122" s="102">
        <f>SUMIF(_Lights_Tariff_Category,MiscData!$C$25&amp;$B122,_Lights_Rates)-SUMIF(_Lights_Tariff_Category,MiscData!$C$25&amp;$B122,_Rates_Lights_ECR)</f>
        <v>32.260000000000005</v>
      </c>
      <c r="J122" s="69"/>
      <c r="K122" s="102">
        <f t="shared" si="21"/>
        <v>342345.42</v>
      </c>
      <c r="L122" s="102">
        <f t="shared" si="22"/>
        <v>342345.42</v>
      </c>
      <c r="M122" s="102">
        <f t="shared" si="23"/>
        <v>336504.06</v>
      </c>
      <c r="N122" s="96"/>
      <c r="AB122" s="72" t="str">
        <f>MiscData!$C$24&amp;$Y117</f>
        <v>20140101KUCME110</v>
      </c>
      <c r="AC122" s="72"/>
      <c r="AD122" s="72"/>
      <c r="AE122" s="66"/>
      <c r="AG122" s="98" t="s">
        <v>335</v>
      </c>
    </row>
    <row r="123" spans="1:33" ht="12.75">
      <c r="A123" s="103" t="s">
        <v>583</v>
      </c>
      <c r="B123" s="104" t="s">
        <v>333</v>
      </c>
      <c r="C123" s="101">
        <f>SUMIF(_12MonLights_TariffRateCategory,MiscData!$C$23&amp;$B123,_12MonLights_Count)+SUMIF(_12MonLights_TariffRateCategory,MiscData!$C$23&amp;$B123,_12MonLights_Count_Adj)</f>
        <v>12435</v>
      </c>
      <c r="D123" s="101">
        <f>SUMIF(_12MonLights_TariffRateCategory,MiscData!$C$24&amp;$B123,_12MonLights_Count)+SUMIF(_12MonLights_TariffRateCategory,MiscData!$C$23&amp;$B123,_12MonLights_Count_Adj)</f>
        <v>12435</v>
      </c>
      <c r="E123" s="101">
        <f>SUMIF(_12MonLights_TariffRateCategory,MiscData!$C$25&amp;$B123,_12MonLights_Count)+SUMIF(_12MonLights_TariffRateCategory,MiscData!$C$23&amp;$B123,_12MonLights_Count_Adj)</f>
        <v>12435</v>
      </c>
      <c r="F123" s="69"/>
      <c r="G123" s="102">
        <f>SUMIF(_Lights_Tariff_Category,MiscData!$C$23&amp;$B123,_Lights_Rates)</f>
        <v>42.350000000000009</v>
      </c>
      <c r="H123" s="102">
        <f>SUMIF(_Lights_Tariff_Category,MiscData!$C$24&amp;$B123,_Lights_Rates)</f>
        <v>42.350000000000009</v>
      </c>
      <c r="I123" s="102">
        <f>SUMIF(_Lights_Tariff_Category,MiscData!$C$25&amp;$B123,_Lights_Rates)-SUMIF(_Lights_Tariff_Category,MiscData!$C$25&amp;$B123,_Rates_Lights_ECR)</f>
        <v>40.650000000000006</v>
      </c>
      <c r="J123" s="69"/>
      <c r="K123" s="102">
        <f t="shared" si="21"/>
        <v>1558727.25</v>
      </c>
      <c r="L123" s="102">
        <f t="shared" si="22"/>
        <v>1558727.25</v>
      </c>
      <c r="M123" s="102">
        <f t="shared" si="23"/>
        <v>1516448.25</v>
      </c>
      <c r="N123" s="96"/>
      <c r="AB123" s="72" t="str">
        <f>MiscData!$C$25&amp;$Y117</f>
        <v>20140101KUCME110</v>
      </c>
      <c r="AC123" s="72"/>
      <c r="AD123" s="72"/>
      <c r="AE123" s="66"/>
      <c r="AG123" s="98" t="s">
        <v>372</v>
      </c>
    </row>
    <row r="124" spans="1:33" ht="12.75">
      <c r="A124" s="103" t="s">
        <v>584</v>
      </c>
      <c r="B124" s="104" t="s">
        <v>331</v>
      </c>
      <c r="C124" s="101">
        <f>SUMIF(_12MonLights_TariffRateCategory,MiscData!$C$23&amp;$B124,_12MonLights_Count)+SUMIF(_12MonLights_TariffRateCategory,MiscData!$C$23&amp;$B124,_12MonLights_Count_Adj)</f>
        <v>2718</v>
      </c>
      <c r="D124" s="101">
        <f>SUMIF(_12MonLights_TariffRateCategory,MiscData!$C$24&amp;$B124,_12MonLights_Count)+SUMIF(_12MonLights_TariffRateCategory,MiscData!$C$23&amp;$B124,_12MonLights_Count_Adj)</f>
        <v>2718</v>
      </c>
      <c r="E124" s="101">
        <f>SUMIF(_12MonLights_TariffRateCategory,MiscData!$C$25&amp;$B124,_12MonLights_Count)+SUMIF(_12MonLights_TariffRateCategory,MiscData!$C$23&amp;$B124,_12MonLights_Count_Adj)</f>
        <v>2718</v>
      </c>
      <c r="F124" s="69"/>
      <c r="G124" s="102">
        <f>SUMIF(_Lights_Tariff_Category,MiscData!$C$23&amp;$B124,_Lights_Rates)</f>
        <v>46.740000000000009</v>
      </c>
      <c r="H124" s="102">
        <f>SUMIF(_Lights_Tariff_Category,MiscData!$C$24&amp;$B124,_Lights_Rates)</f>
        <v>46.740000000000009</v>
      </c>
      <c r="I124" s="102">
        <f>SUMIF(_Lights_Tariff_Category,MiscData!$C$25&amp;$B124,_Lights_Rates)-SUMIF(_Lights_Tariff_Category,MiscData!$C$25&amp;$B124,_Rates_Lights_ECR)</f>
        <v>45.040000000000006</v>
      </c>
      <c r="J124" s="69"/>
      <c r="K124" s="102">
        <f t="shared" si="21"/>
        <v>376497.36</v>
      </c>
      <c r="L124" s="102">
        <f t="shared" si="22"/>
        <v>376497.36</v>
      </c>
      <c r="M124" s="102">
        <f t="shared" si="23"/>
        <v>367256.16</v>
      </c>
      <c r="N124" s="96"/>
      <c r="AE124" s="66"/>
      <c r="AG124" s="98" t="s">
        <v>381</v>
      </c>
    </row>
    <row r="125" spans="1:33" ht="12.75">
      <c r="A125" s="103" t="s">
        <v>585</v>
      </c>
      <c r="B125" s="104" t="s">
        <v>330</v>
      </c>
      <c r="C125" s="101">
        <f>SUMIF(_12MonLights_TariffRateCategory,MiscData!$C$23&amp;$B125,_12MonLights_Count)+SUMIF(_12MonLights_TariffRateCategory,MiscData!$C$23&amp;$B125,_12MonLights_Count_Adj)</f>
        <v>637</v>
      </c>
      <c r="D125" s="101">
        <f>SUMIF(_12MonLights_TariffRateCategory,MiscData!$C$24&amp;$B125,_12MonLights_Count)+SUMIF(_12MonLights_TariffRateCategory,MiscData!$C$23&amp;$B125,_12MonLights_Count_Adj)</f>
        <v>637</v>
      </c>
      <c r="E125" s="101">
        <f>SUMIF(_12MonLights_TariffRateCategory,MiscData!$C$25&amp;$B125,_12MonLights_Count)+SUMIF(_12MonLights_TariffRateCategory,MiscData!$C$23&amp;$B125,_12MonLights_Count_Adj)</f>
        <v>637</v>
      </c>
      <c r="F125" s="69"/>
      <c r="G125" s="102">
        <f>SUMIF(_Lights_Tariff_Category,MiscData!$C$23&amp;$B125,_Lights_Rates)</f>
        <v>55.250000000000007</v>
      </c>
      <c r="H125" s="102">
        <f>SUMIF(_Lights_Tariff_Category,MiscData!$C$24&amp;$B125,_Lights_Rates)</f>
        <v>55.250000000000007</v>
      </c>
      <c r="I125" s="102">
        <f>SUMIF(_Lights_Tariff_Category,MiscData!$C$25&amp;$B125,_Lights_Rates)-SUMIF(_Lights_Tariff_Category,MiscData!$C$25&amp;$B125,_Rates_Lights_ECR)</f>
        <v>53.550000000000004</v>
      </c>
      <c r="J125" s="69"/>
      <c r="K125" s="102">
        <f t="shared" si="21"/>
        <v>104499.85</v>
      </c>
      <c r="L125" s="102">
        <f t="shared" si="22"/>
        <v>104499.85</v>
      </c>
      <c r="M125" s="102">
        <f t="shared" si="23"/>
        <v>102334.05</v>
      </c>
      <c r="N125" s="96"/>
      <c r="AE125" s="66"/>
      <c r="AG125" s="98" t="s">
        <v>404</v>
      </c>
    </row>
    <row r="126" spans="1:33" ht="12.75">
      <c r="A126" s="103" t="s">
        <v>586</v>
      </c>
      <c r="B126" s="104" t="s">
        <v>337</v>
      </c>
      <c r="C126" s="101">
        <f>SUMIF(_12MonLights_TariffRateCategory,MiscData!$C$23&amp;$B126,_12MonLights_Count)+SUMIF(_12MonLights_TariffRateCategory,MiscData!$C$23&amp;$B126,_12MonLights_Count_Adj)</f>
        <v>695</v>
      </c>
      <c r="D126" s="101">
        <f>SUMIF(_12MonLights_TariffRateCategory,MiscData!$C$24&amp;$B126,_12MonLights_Count)+SUMIF(_12MonLights_TariffRateCategory,MiscData!$C$23&amp;$B126,_12MonLights_Count_Adj)</f>
        <v>695</v>
      </c>
      <c r="E126" s="101">
        <f>SUMIF(_12MonLights_TariffRateCategory,MiscData!$C$25&amp;$B126,_12MonLights_Count)+SUMIF(_12MonLights_TariffRateCategory,MiscData!$C$23&amp;$B126,_12MonLights_Count_Adj)</f>
        <v>695</v>
      </c>
      <c r="F126" s="69"/>
      <c r="G126" s="102">
        <f>SUMIF(_Lights_Tariff_Category,MiscData!$C$23&amp;$B126,_Lights_Rates)</f>
        <v>15.47</v>
      </c>
      <c r="H126" s="102">
        <f>SUMIF(_Lights_Tariff_Category,MiscData!$C$24&amp;$B126,_Lights_Rates)</f>
        <v>15.47</v>
      </c>
      <c r="I126" s="102">
        <f>SUMIF(_Lights_Tariff_Category,MiscData!$C$25&amp;$B126,_Lights_Rates)-SUMIF(_Lights_Tariff_Category,MiscData!$C$25&amp;$B126,_Rates_Lights_ECR)</f>
        <v>14.81</v>
      </c>
      <c r="J126" s="69"/>
      <c r="K126" s="102">
        <f t="shared" si="21"/>
        <v>31796.25</v>
      </c>
      <c r="L126" s="102">
        <f t="shared" si="22"/>
        <v>31796.25</v>
      </c>
      <c r="M126" s="102">
        <f t="shared" si="23"/>
        <v>30878.85</v>
      </c>
      <c r="N126" s="96"/>
      <c r="AE126" s="66"/>
      <c r="AG126" s="98" t="s">
        <v>361</v>
      </c>
    </row>
    <row r="127" spans="1:33" ht="12.75">
      <c r="A127" s="103" t="s">
        <v>587</v>
      </c>
      <c r="B127" s="104" t="s">
        <v>334</v>
      </c>
      <c r="C127" s="101">
        <f>SUMIF(_12MonLights_TariffRateCategory,MiscData!$C$23&amp;$B127,_12MonLights_Count)+SUMIF(_12MonLights_TariffRateCategory,MiscData!$C$23&amp;$B127,_12MonLights_Count_Adj)</f>
        <v>2129</v>
      </c>
      <c r="D127" s="101">
        <f>SUMIF(_12MonLights_TariffRateCategory,MiscData!$C$24&amp;$B127,_12MonLights_Count)+SUMIF(_12MonLights_TariffRateCategory,MiscData!$C$23&amp;$B127,_12MonLights_Count_Adj)</f>
        <v>2129</v>
      </c>
      <c r="E127" s="101">
        <f>SUMIF(_12MonLights_TariffRateCategory,MiscData!$C$25&amp;$B127,_12MonLights_Count)+SUMIF(_12MonLights_TariffRateCategory,MiscData!$C$23&amp;$B127,_12MonLights_Count_Adj)</f>
        <v>2129</v>
      </c>
      <c r="F127" s="69"/>
      <c r="G127" s="102">
        <f>SUMIF(_Lights_Tariff_Category,MiscData!$C$23&amp;$B127,_Lights_Rates)</f>
        <v>28.37</v>
      </c>
      <c r="H127" s="102">
        <f>SUMIF(_Lights_Tariff_Category,MiscData!$C$24&amp;$B127,_Lights_Rates)</f>
        <v>28.37</v>
      </c>
      <c r="I127" s="102">
        <f>SUMIF(_Lights_Tariff_Category,MiscData!$C$25&amp;$B127,_Lights_Rates)-SUMIF(_Lights_Tariff_Category,MiscData!$C$25&amp;$B127,_Rates_Lights_ECR)</f>
        <v>27.71</v>
      </c>
      <c r="J127" s="69"/>
      <c r="K127" s="102">
        <f t="shared" si="21"/>
        <v>179794.05</v>
      </c>
      <c r="L127" s="102">
        <f t="shared" si="22"/>
        <v>179794.05</v>
      </c>
      <c r="M127" s="102">
        <f t="shared" si="23"/>
        <v>176983.77</v>
      </c>
      <c r="N127" s="96"/>
      <c r="AE127" s="66"/>
      <c r="AG127" s="98" t="s">
        <v>393</v>
      </c>
    </row>
    <row r="128" spans="1:33" ht="12.75">
      <c r="A128" s="99" t="s">
        <v>588</v>
      </c>
      <c r="B128" s="104" t="s">
        <v>369</v>
      </c>
      <c r="C128" s="101">
        <f>SUMIF(_12MonLights_TariffRateCategory,MiscData!$C$23&amp;$B128,_12MonLights_Count)+SUMIF(_12MonLights_TariffRateCategory,MiscData!$C$23&amp;$B128,_12MonLights_Count_Adj)</f>
        <v>3649</v>
      </c>
      <c r="D128" s="101">
        <f>SUMIF(_12MonLights_TariffRateCategory,MiscData!$C$24&amp;$B128,_12MonLights_Count)+SUMIF(_12MonLights_TariffRateCategory,MiscData!$C$23&amp;$B128,_12MonLights_Count_Adj)</f>
        <v>3649</v>
      </c>
      <c r="E128" s="101">
        <f>SUMIF(_12MonLights_TariffRateCategory,MiscData!$C$25&amp;$B128,_12MonLights_Count)+SUMIF(_12MonLights_TariffRateCategory,MiscData!$C$23&amp;$B128,_12MonLights_Count_Adj)</f>
        <v>3649</v>
      </c>
      <c r="F128" s="69"/>
      <c r="G128" s="102">
        <f>SUMIF(_Lights_Tariff_Category,MiscData!$C$23&amp;$B128,_Lights_Rates)</f>
        <v>21.930000000000003</v>
      </c>
      <c r="H128" s="102">
        <f>SUMIF(_Lights_Tariff_Category,MiscData!$C$24&amp;$B128,_Lights_Rates)</f>
        <v>21.930000000000003</v>
      </c>
      <c r="I128" s="102">
        <f>SUMIF(_Lights_Tariff_Category,MiscData!$C$25&amp;$B128,_Lights_Rates)-SUMIF(_Lights_Tariff_Category,MiscData!$C$25&amp;$B128,_Rates_Lights_ECR)</f>
        <v>21.090000000000003</v>
      </c>
      <c r="J128" s="69"/>
      <c r="K128" s="102">
        <f t="shared" si="21"/>
        <v>237002.55</v>
      </c>
      <c r="L128" s="102">
        <f t="shared" si="22"/>
        <v>237002.55</v>
      </c>
      <c r="M128" s="102">
        <f t="shared" si="23"/>
        <v>230872.23</v>
      </c>
      <c r="N128" s="96"/>
      <c r="AE128" s="66"/>
      <c r="AG128" s="98" t="s">
        <v>379</v>
      </c>
    </row>
    <row r="129" spans="1:33" ht="12.75">
      <c r="A129" s="99" t="s">
        <v>589</v>
      </c>
      <c r="B129" s="104" t="s">
        <v>366</v>
      </c>
      <c r="C129" s="101">
        <f>SUMIF(_12MonLights_TariffRateCategory,MiscData!$C$23&amp;$B129,_12MonLights_Count)+SUMIF(_12MonLights_TariffRateCategory,MiscData!$C$23&amp;$B129,_12MonLights_Count_Adj)</f>
        <v>7466</v>
      </c>
      <c r="D129" s="101">
        <f>SUMIF(_12MonLights_TariffRateCategory,MiscData!$C$24&amp;$B129,_12MonLights_Count)+SUMIF(_12MonLights_TariffRateCategory,MiscData!$C$23&amp;$B129,_12MonLights_Count_Adj)</f>
        <v>7466</v>
      </c>
      <c r="E129" s="101">
        <f>SUMIF(_12MonLights_TariffRateCategory,MiscData!$C$25&amp;$B129,_12MonLights_Count)+SUMIF(_12MonLights_TariffRateCategory,MiscData!$C$23&amp;$B129,_12MonLights_Count_Adj)</f>
        <v>7466</v>
      </c>
      <c r="F129" s="69"/>
      <c r="G129" s="102">
        <f>SUMIF(_Lights_Tariff_Category,MiscData!$C$23&amp;$B129,_Lights_Rates)</f>
        <v>34.830000000000005</v>
      </c>
      <c r="H129" s="102">
        <f>SUMIF(_Lights_Tariff_Category,MiscData!$C$24&amp;$B129,_Lights_Rates)</f>
        <v>34.830000000000005</v>
      </c>
      <c r="I129" s="102">
        <f>SUMIF(_Lights_Tariff_Category,MiscData!$C$25&amp;$B129,_Lights_Rates)-SUMIF(_Lights_Tariff_Category,MiscData!$C$25&amp;$B129,_Rates_Lights_ECR)</f>
        <v>33.99</v>
      </c>
      <c r="J129" s="69"/>
      <c r="K129" s="102">
        <f t="shared" si="21"/>
        <v>773850.9</v>
      </c>
      <c r="L129" s="102">
        <f t="shared" si="22"/>
        <v>773850.9</v>
      </c>
      <c r="M129" s="102">
        <f t="shared" si="23"/>
        <v>761308.02</v>
      </c>
      <c r="N129" s="96"/>
      <c r="AE129" s="66"/>
      <c r="AG129" s="98" t="s">
        <v>361</v>
      </c>
    </row>
    <row r="130" spans="1:33" ht="12.75">
      <c r="A130" s="103" t="s">
        <v>590</v>
      </c>
      <c r="B130" s="104" t="s">
        <v>332</v>
      </c>
      <c r="C130" s="101">
        <f>SUMIF(_12MonLights_TariffRateCategory,MiscData!$C$23&amp;$B130,_12MonLights_Count)+SUMIF(_12MonLights_TariffRateCategory,MiscData!$C$23&amp;$B130,_12MonLights_Count_Adj)</f>
        <v>529</v>
      </c>
      <c r="D130" s="101">
        <f>SUMIF(_12MonLights_TariffRateCategory,MiscData!$C$24&amp;$B130,_12MonLights_Count)+SUMIF(_12MonLights_TariffRateCategory,MiscData!$C$23&amp;$B130,_12MonLights_Count_Adj)</f>
        <v>529</v>
      </c>
      <c r="E130" s="101">
        <f>SUMIF(_12MonLights_TariffRateCategory,MiscData!$C$25&amp;$B130,_12MonLights_Count)+SUMIF(_12MonLights_TariffRateCategory,MiscData!$C$23&amp;$B130,_12MonLights_Count_Adj)</f>
        <v>529</v>
      </c>
      <c r="F130" s="69"/>
      <c r="G130" s="102">
        <f>SUMIF(_Lights_Tariff_Category,MiscData!$C$23&amp;$B130,_Lights_Rates)</f>
        <v>45.7</v>
      </c>
      <c r="H130" s="102">
        <f>SUMIF(_Lights_Tariff_Category,MiscData!$C$24&amp;$B130,_Lights_Rates)</f>
        <v>45.7</v>
      </c>
      <c r="I130" s="102">
        <f>SUMIF(_Lights_Tariff_Category,MiscData!$C$25&amp;$B130,_Lights_Rates)-SUMIF(_Lights_Tariff_Category,MiscData!$C$25&amp;$B130,_Rates_Lights_ECR)</f>
        <v>44</v>
      </c>
      <c r="J130" s="69"/>
      <c r="K130" s="102">
        <f t="shared" si="21"/>
        <v>71626.600000000006</v>
      </c>
      <c r="L130" s="102">
        <f t="shared" si="22"/>
        <v>71626.600000000006</v>
      </c>
      <c r="M130" s="102">
        <f t="shared" si="23"/>
        <v>69828</v>
      </c>
      <c r="N130" s="96"/>
      <c r="AE130" s="66"/>
      <c r="AG130" s="98" t="s">
        <v>393</v>
      </c>
    </row>
    <row r="131" spans="1:33" ht="12.75">
      <c r="A131" s="99" t="s">
        <v>591</v>
      </c>
      <c r="B131" s="104" t="s">
        <v>329</v>
      </c>
      <c r="C131" s="101">
        <f>SUMIF(_12MonLights_TariffRateCategory,MiscData!$C$23&amp;$B131,_12MonLights_Count)+SUMIF(_12MonLights_TariffRateCategory,MiscData!$C$23&amp;$B131,_12MonLights_Count_Adj)</f>
        <v>1888</v>
      </c>
      <c r="D131" s="101">
        <f>SUMIF(_12MonLights_TariffRateCategory,MiscData!$C$24&amp;$B131,_12MonLights_Count)+SUMIF(_12MonLights_TariffRateCategory,MiscData!$C$23&amp;$B131,_12MonLights_Count_Adj)</f>
        <v>1888</v>
      </c>
      <c r="E131" s="101">
        <f>SUMIF(_12MonLights_TariffRateCategory,MiscData!$C$25&amp;$B131,_12MonLights_Count)+SUMIF(_12MonLights_TariffRateCategory,MiscData!$C$23&amp;$B131,_12MonLights_Count_Adj)</f>
        <v>1888</v>
      </c>
      <c r="F131" s="69"/>
      <c r="G131" s="102">
        <f>SUMIF(_Lights_Tariff_Category,MiscData!$C$23&amp;$B131,_Lights_Rates)</f>
        <v>58.59</v>
      </c>
      <c r="H131" s="102">
        <f>SUMIF(_Lights_Tariff_Category,MiscData!$C$24&amp;$B131,_Lights_Rates)</f>
        <v>58.59</v>
      </c>
      <c r="I131" s="102">
        <f>SUMIF(_Lights_Tariff_Category,MiscData!$C$25&amp;$B131,_Lights_Rates)-SUMIF(_Lights_Tariff_Category,MiscData!$C$25&amp;$B131,_Rates_Lights_ECR)</f>
        <v>56.89</v>
      </c>
      <c r="J131" s="69"/>
      <c r="K131" s="102">
        <f t="shared" si="21"/>
        <v>328644.15999999997</v>
      </c>
      <c r="L131" s="102">
        <f t="shared" si="22"/>
        <v>328644.15999999997</v>
      </c>
      <c r="M131" s="102">
        <f t="shared" si="23"/>
        <v>322224.96000000002</v>
      </c>
      <c r="N131" s="96"/>
      <c r="AE131" s="66"/>
      <c r="AG131" s="98" t="s">
        <v>379</v>
      </c>
    </row>
    <row r="132" spans="1:33" ht="12.75">
      <c r="A132" s="136"/>
      <c r="B132" s="104"/>
      <c r="C132" s="101"/>
      <c r="D132" s="101"/>
      <c r="E132" s="101"/>
      <c r="F132" s="69"/>
      <c r="G132" s="102"/>
      <c r="H132" s="102"/>
      <c r="I132" s="102"/>
      <c r="J132" s="69"/>
      <c r="K132" s="102"/>
      <c r="L132" s="102"/>
      <c r="M132" s="102"/>
      <c r="N132" s="96"/>
      <c r="AE132" s="66"/>
      <c r="AG132" s="98"/>
    </row>
    <row r="133" spans="1:33" ht="15">
      <c r="A133" s="137" t="s">
        <v>569</v>
      </c>
      <c r="B133" s="69"/>
      <c r="C133" s="122">
        <f>SUM(C80:C131)</f>
        <v>950411</v>
      </c>
      <c r="D133" s="122">
        <f>SUM(D80:D131)</f>
        <v>950411</v>
      </c>
      <c r="E133" s="122">
        <f>SUM(E80:E131)</f>
        <v>950411</v>
      </c>
      <c r="F133" s="122"/>
      <c r="G133" s="123"/>
      <c r="H133" s="124"/>
      <c r="I133" s="123"/>
      <c r="J133" s="123"/>
      <c r="K133" s="123">
        <f>SUM(K80:K131)</f>
        <v>34194641.229999997</v>
      </c>
      <c r="L133" s="123">
        <f>SUM(L80:L131)</f>
        <v>34194641.229999997</v>
      </c>
      <c r="M133" s="123">
        <f>SUM(M80:M131)</f>
        <v>33266375.31000001</v>
      </c>
      <c r="N133" s="125"/>
      <c r="AE133" s="66"/>
    </row>
    <row r="134" spans="1:33" ht="15">
      <c r="A134" s="137"/>
      <c r="B134" s="69"/>
      <c r="C134" s="122"/>
      <c r="D134" s="122"/>
      <c r="E134" s="122"/>
      <c r="F134" s="122"/>
      <c r="G134" s="123"/>
      <c r="H134" s="124"/>
      <c r="I134" s="123"/>
      <c r="J134" s="123"/>
      <c r="K134" s="123"/>
      <c r="L134" s="123"/>
      <c r="M134" s="123"/>
      <c r="N134" s="125"/>
      <c r="AE134" s="66"/>
    </row>
    <row r="135" spans="1:33" ht="15">
      <c r="A135" s="138" t="s">
        <v>571</v>
      </c>
      <c r="B135" s="69"/>
      <c r="C135" s="122"/>
      <c r="D135" s="122"/>
      <c r="E135" s="122"/>
      <c r="F135" s="122"/>
      <c r="G135" s="123"/>
      <c r="H135" s="124"/>
      <c r="I135" s="123"/>
      <c r="J135" s="123"/>
      <c r="K135" s="123"/>
      <c r="L135" s="123"/>
      <c r="M135" s="123"/>
      <c r="N135" s="125"/>
      <c r="AE135" s="66"/>
    </row>
    <row r="136" spans="1:33" ht="12.75">
      <c r="A136" s="130" t="s">
        <v>539</v>
      </c>
      <c r="B136" s="69"/>
      <c r="C136" s="90"/>
      <c r="D136" s="69"/>
      <c r="E136" s="69"/>
      <c r="F136" s="90"/>
      <c r="G136" s="90"/>
      <c r="H136" s="90"/>
      <c r="I136" s="90"/>
      <c r="J136" s="90"/>
      <c r="K136" s="69"/>
      <c r="L136" s="69"/>
      <c r="M136" s="69"/>
      <c r="N136" s="96"/>
      <c r="AE136" s="66"/>
    </row>
    <row r="137" spans="1:33" ht="12.75">
      <c r="A137" s="92" t="s">
        <v>514</v>
      </c>
      <c r="B137" s="69"/>
      <c r="C137" s="72"/>
      <c r="D137" s="72"/>
      <c r="E137" s="72"/>
      <c r="F137" s="69"/>
      <c r="G137" s="69"/>
      <c r="H137" s="93"/>
      <c r="I137" s="94"/>
      <c r="J137" s="95"/>
      <c r="K137" s="93"/>
      <c r="L137" s="94"/>
      <c r="M137" s="94"/>
      <c r="N137" s="96"/>
      <c r="AE137" s="66"/>
    </row>
    <row r="138" spans="1:33" ht="12.75">
      <c r="A138" s="103" t="s">
        <v>572</v>
      </c>
      <c r="B138" s="104" t="s">
        <v>432</v>
      </c>
      <c r="C138" s="101">
        <f>SUMIF(_12MonLights_TariffRateCategory,MiscData!$C$23&amp;$B138,_12MonLights_Count)+SUMIF(_12MonLights_TariffRateCategory,MiscData!$C$23&amp;$B138,_12MonLights_Count_Adj)</f>
        <v>0</v>
      </c>
      <c r="D138" s="101">
        <f>SUMIF(_12MonLights_TariffRateCategory,MiscData!$C$24&amp;$B138,_12MonLights_Count)+SUMIF(_12MonLights_TariffRateCategory,MiscData!$C$23&amp;$B138,_12MonLights_Count_Adj)</f>
        <v>0</v>
      </c>
      <c r="E138" s="101">
        <f>SUMIF(_12MonLights_TariffRateCategory,MiscData!$C$25&amp;$B138,_12MonLights_Count)+SUMIF(_12MonLights_TariffRateCategory,MiscData!$C$23&amp;$B138,_12MonLights_Count_Adj)</f>
        <v>0</v>
      </c>
      <c r="F138" s="69"/>
      <c r="G138" s="102">
        <f>SUMIF(_Lights_Tariff_Category,MiscData!$C$23&amp;$B138,_Lights_Rates)</f>
        <v>22.49</v>
      </c>
      <c r="H138" s="102">
        <f>SUMIF(_Lights_Tariff_Category,MiscData!$C$24&amp;$B138,_Lights_Rates)</f>
        <v>22.49</v>
      </c>
      <c r="I138" s="102">
        <f>SUMIF(_Lights_Tariff_Category,MiscData!$C$25&amp;$B138,_Lights_Rates)-SUMIF(_Lights_Tariff_Category,MiscData!$C$25&amp;$B138,_Rates_Lights_ECR)</f>
        <v>22.16</v>
      </c>
      <c r="J138" s="69"/>
      <c r="K138" s="102">
        <f>ROUND(SUM($C138*$G138,$D138*$H138,$E138*$I138),2)</f>
        <v>0</v>
      </c>
      <c r="L138" s="102">
        <f>ROUND(SUM($C138*$H138,$D138*$H138,$E138*$I138),2)</f>
        <v>0</v>
      </c>
      <c r="M138" s="102">
        <f>ROUND(SUM($C138*$I138,$D138*$I138,$E138*$I138),2)</f>
        <v>0</v>
      </c>
      <c r="N138" s="96"/>
      <c r="AE138" s="66"/>
    </row>
    <row r="139" spans="1:33" ht="12.75">
      <c r="A139" s="103" t="s">
        <v>573</v>
      </c>
      <c r="B139" s="104" t="s">
        <v>433</v>
      </c>
      <c r="C139" s="101">
        <f>SUMIF(_12MonLights_TariffRateCategory,MiscData!$C$23&amp;$B139,_12MonLights_Count)+SUMIF(_12MonLights_TariffRateCategory,MiscData!$C$23&amp;$B139,_12MonLights_Count_Adj)</f>
        <v>0</v>
      </c>
      <c r="D139" s="101">
        <f>SUMIF(_12MonLights_TariffRateCategory,MiscData!$C$24&amp;$B139,_12MonLights_Count)+SUMIF(_12MonLights_TariffRateCategory,MiscData!$C$23&amp;$B139,_12MonLights_Count_Adj)</f>
        <v>0</v>
      </c>
      <c r="E139" s="101">
        <f>SUMIF(_12MonLights_TariffRateCategory,MiscData!$C$25&amp;$B139,_12MonLights_Count)+SUMIF(_12MonLights_TariffRateCategory,MiscData!$C$23&amp;$B139,_12MonLights_Count_Adj)</f>
        <v>0</v>
      </c>
      <c r="F139" s="69"/>
      <c r="G139" s="102">
        <f>SUMIF(_Lights_Tariff_Category,MiscData!$C$23&amp;$B139,_Lights_Rates)</f>
        <v>23.5</v>
      </c>
      <c r="H139" s="102">
        <f>SUMIF(_Lights_Tariff_Category,MiscData!$C$24&amp;$B139,_Lights_Rates)</f>
        <v>23.5</v>
      </c>
      <c r="I139" s="102">
        <f>SUMIF(_Lights_Tariff_Category,MiscData!$C$25&amp;$B139,_Lights_Rates)-SUMIF(_Lights_Tariff_Category,MiscData!$C$25&amp;$B139,_Rates_Lights_ECR)</f>
        <v>23.16</v>
      </c>
      <c r="J139" s="69"/>
      <c r="K139" s="102">
        <f>ROUND(SUM($C139*$G139,$D139*$H139,$E139*$I139),2)</f>
        <v>0</v>
      </c>
      <c r="L139" s="102">
        <f>ROUND(SUM($C139*$H139,$D139*$H139,$E139*$I139),2)</f>
        <v>0</v>
      </c>
      <c r="M139" s="102">
        <f>ROUND(SUM($C139*$I139,$D139*$I139,$E139*$I139),2)</f>
        <v>0</v>
      </c>
      <c r="N139" s="133"/>
      <c r="AE139" s="66"/>
    </row>
    <row r="140" spans="1:33" ht="15">
      <c r="A140" s="137" t="s">
        <v>593</v>
      </c>
      <c r="B140" s="69"/>
      <c r="C140" s="122">
        <f>SUM(C138:C139)</f>
        <v>0</v>
      </c>
      <c r="D140" s="122">
        <f>SUM(D138:D139)</f>
        <v>0</v>
      </c>
      <c r="E140" s="122">
        <f>SUM(E138:E139)</f>
        <v>0</v>
      </c>
      <c r="F140" s="122"/>
      <c r="G140" s="123"/>
      <c r="H140" s="124"/>
      <c r="I140" s="123"/>
      <c r="J140" s="123"/>
      <c r="K140" s="123">
        <f>SUM(K138:K139)</f>
        <v>0</v>
      </c>
      <c r="L140" s="123">
        <f>SUM(L138:L139)</f>
        <v>0</v>
      </c>
      <c r="M140" s="123">
        <f>SUM(M138:M139)</f>
        <v>0</v>
      </c>
      <c r="N140" s="125"/>
      <c r="AE140" s="66"/>
    </row>
    <row r="141" spans="1:33" ht="12.75">
      <c r="A141" s="139" t="s">
        <v>574</v>
      </c>
      <c r="B141" s="69"/>
      <c r="C141" s="114"/>
      <c r="D141" s="114"/>
      <c r="E141" s="114"/>
      <c r="F141" s="114"/>
      <c r="G141" s="69"/>
      <c r="H141" s="126"/>
      <c r="I141" s="114"/>
      <c r="J141" s="69"/>
      <c r="K141" s="114">
        <f>SUMIF('12MonResults'!$D$4:$D$471,"ODL",'12MonResults'!$AJ$4:$AJ$471)</f>
        <v>0</v>
      </c>
      <c r="L141" s="114">
        <f>K141</f>
        <v>0</v>
      </c>
      <c r="M141" s="114">
        <f>L141</f>
        <v>0</v>
      </c>
      <c r="N141" s="96"/>
      <c r="AE141" s="66"/>
    </row>
    <row r="142" spans="1:33" ht="15">
      <c r="A142" s="121" t="s">
        <v>570</v>
      </c>
      <c r="B142" s="69"/>
      <c r="C142" s="140">
        <f>C140+C133+C75</f>
        <v>2019278</v>
      </c>
      <c r="D142" s="140">
        <f>D140+D133+D75</f>
        <v>2019278</v>
      </c>
      <c r="E142" s="140">
        <f>E140+E133+E75</f>
        <v>2028697</v>
      </c>
      <c r="F142" s="114"/>
      <c r="G142" s="69"/>
      <c r="H142" s="126"/>
      <c r="I142" s="141"/>
      <c r="J142" s="69"/>
      <c r="K142" s="142">
        <f>K141+K140+K133+K75</f>
        <v>73638864.709999993</v>
      </c>
      <c r="L142" s="142">
        <f>L141+L140+L133+L75</f>
        <v>73638864.709999993</v>
      </c>
      <c r="M142" s="142">
        <f>M141+M140+M133+M75</f>
        <v>71797113.970000014</v>
      </c>
      <c r="N142" s="96"/>
      <c r="AE142" s="66"/>
    </row>
    <row r="143" spans="1:33" ht="12.75">
      <c r="A143" s="121"/>
      <c r="B143" s="69"/>
      <c r="C143" s="114"/>
      <c r="D143" s="114"/>
      <c r="E143" s="114"/>
      <c r="F143" s="114"/>
      <c r="G143" s="69"/>
      <c r="H143" s="126"/>
      <c r="I143" s="141"/>
      <c r="J143" s="69"/>
      <c r="K143" s="114">
        <f>IF(K142='Sch M-1.3-pg 1'!$I$52,"",'Sch M-1.3-pg 1'!$I$52)</f>
        <v>25138815</v>
      </c>
      <c r="L143" s="114"/>
      <c r="M143" s="114"/>
      <c r="N143" s="96"/>
      <c r="AE143" s="66"/>
    </row>
    <row r="144" spans="1:33" ht="12.75">
      <c r="A144" s="121"/>
      <c r="B144" s="69"/>
      <c r="C144" s="101"/>
      <c r="D144" s="143"/>
      <c r="E144" s="69"/>
      <c r="F144" s="101"/>
      <c r="G144" s="101"/>
      <c r="H144" s="70" t="s">
        <v>154</v>
      </c>
      <c r="J144" s="144"/>
      <c r="K144" s="144">
        <f>'Sch M-1.3-pg 1'!$J$52</f>
        <v>1.0000827474212541</v>
      </c>
      <c r="L144" s="144">
        <f>K144</f>
        <v>1.0000827474212541</v>
      </c>
      <c r="M144" s="144">
        <f>K144</f>
        <v>1.0000827474212541</v>
      </c>
      <c r="N144" s="127"/>
      <c r="AE144" s="66"/>
    </row>
    <row r="145" spans="1:31" ht="12.75">
      <c r="A145" s="121"/>
      <c r="B145" s="69"/>
      <c r="C145" s="101"/>
      <c r="D145" s="69"/>
      <c r="E145" s="69"/>
      <c r="F145" s="101"/>
      <c r="G145" s="101"/>
      <c r="H145" s="70"/>
      <c r="I145" s="145"/>
      <c r="J145" s="69"/>
      <c r="K145" s="70"/>
      <c r="L145" s="145"/>
      <c r="M145" s="145"/>
      <c r="N145" s="96"/>
      <c r="AE145" s="66"/>
    </row>
    <row r="146" spans="1:31" ht="15">
      <c r="A146" s="138" t="s">
        <v>155</v>
      </c>
      <c r="B146" s="69"/>
      <c r="C146" s="101"/>
      <c r="D146" s="101"/>
      <c r="E146" s="69"/>
      <c r="F146" s="69"/>
      <c r="G146" s="69"/>
      <c r="H146" s="126"/>
      <c r="J146" s="69"/>
      <c r="K146" s="142">
        <f>ROUND(K142/K144,0)</f>
        <v>73632772</v>
      </c>
      <c r="L146" s="142">
        <f>L142/L144</f>
        <v>73632771.78801474</v>
      </c>
      <c r="M146" s="142">
        <f>M142/M144</f>
        <v>71791173.435529411</v>
      </c>
      <c r="N146" s="96"/>
      <c r="AE146" s="66"/>
    </row>
    <row r="147" spans="1:31" ht="12.75">
      <c r="A147" s="138"/>
      <c r="B147" s="69"/>
      <c r="C147" s="101"/>
      <c r="D147" s="69"/>
      <c r="E147" s="69"/>
      <c r="F147" s="69"/>
      <c r="G147" s="69"/>
      <c r="H147" s="126"/>
      <c r="J147" s="69"/>
      <c r="K147" s="114">
        <f>IF(K146='Sch M-1.3-pg 1'!$H$52,"",'Sch M-1.3-pg 1'!$H$52)</f>
        <v>25136735</v>
      </c>
      <c r="L147" s="118"/>
      <c r="M147" s="118"/>
      <c r="N147" s="96"/>
      <c r="AC147" s="72"/>
      <c r="AD147" s="72"/>
      <c r="AE147" s="72"/>
    </row>
    <row r="148" spans="1:31" ht="15">
      <c r="A148" s="146" t="s">
        <v>650</v>
      </c>
      <c r="B148" s="69"/>
      <c r="C148" s="101"/>
      <c r="D148" s="69"/>
      <c r="E148" s="69"/>
      <c r="F148" s="101"/>
      <c r="G148" s="69"/>
      <c r="H148" s="69"/>
      <c r="I148" s="69"/>
      <c r="J148" s="69"/>
      <c r="K148" s="70"/>
      <c r="L148" s="142">
        <f>L146-K146</f>
        <v>-0.2119852602481842</v>
      </c>
      <c r="M148" s="142">
        <f>M146-L146</f>
        <v>-1841598.3524853289</v>
      </c>
      <c r="N148" s="133"/>
      <c r="AC148" s="72"/>
      <c r="AD148" s="72"/>
      <c r="AE148" s="72"/>
    </row>
    <row r="149" spans="1:31" ht="15">
      <c r="A149" s="146"/>
      <c r="B149" s="69"/>
      <c r="C149" s="101"/>
      <c r="D149" s="69"/>
      <c r="E149" s="69"/>
      <c r="F149" s="101"/>
      <c r="G149" s="69"/>
      <c r="H149" s="69"/>
      <c r="I149" s="69"/>
      <c r="J149" s="69"/>
      <c r="K149" s="70"/>
      <c r="L149" s="147"/>
      <c r="M149" s="147"/>
      <c r="N149" s="96"/>
      <c r="AC149" s="72"/>
      <c r="AD149" s="72"/>
      <c r="AE149" s="72"/>
    </row>
    <row r="150" spans="1:31" ht="15">
      <c r="A150" s="138" t="s">
        <v>156</v>
      </c>
      <c r="B150" s="69"/>
      <c r="C150" s="101"/>
      <c r="D150" s="69"/>
      <c r="E150" s="69"/>
      <c r="F150" s="101"/>
      <c r="G150" s="69"/>
      <c r="H150" s="69"/>
      <c r="I150" s="69"/>
      <c r="J150" s="69"/>
      <c r="K150" s="70"/>
      <c r="L150" s="147"/>
      <c r="M150" s="147"/>
      <c r="N150" s="96"/>
    </row>
    <row r="151" spans="1:31" ht="15">
      <c r="A151" s="138" t="s">
        <v>157</v>
      </c>
      <c r="B151" s="69"/>
      <c r="C151" s="101"/>
      <c r="D151" s="69"/>
      <c r="E151" s="69"/>
      <c r="F151" s="101"/>
      <c r="G151" s="69"/>
      <c r="H151" s="69"/>
      <c r="I151" s="69"/>
      <c r="J151" s="69"/>
      <c r="K151" s="70"/>
      <c r="L151" s="147"/>
      <c r="M151" s="49">
        <f>SUMIF(_12MonLights_RateClass,"ODL",_12MonLights_FAC)</f>
        <v>102232</v>
      </c>
      <c r="N151" s="96"/>
      <c r="AC151" s="72"/>
      <c r="AD151" s="72"/>
      <c r="AE151" s="72"/>
    </row>
    <row r="152" spans="1:31" ht="15">
      <c r="A152" s="138" t="s">
        <v>158</v>
      </c>
      <c r="B152" s="69"/>
      <c r="C152" s="101"/>
      <c r="D152" s="69"/>
      <c r="E152" s="69"/>
      <c r="F152" s="101"/>
      <c r="G152" s="69"/>
      <c r="H152" s="69"/>
      <c r="I152" s="69"/>
      <c r="J152" s="69"/>
      <c r="K152" s="70"/>
      <c r="L152" s="147"/>
      <c r="M152" s="49">
        <v>0</v>
      </c>
      <c r="N152" s="96"/>
      <c r="AC152" s="72"/>
      <c r="AD152" s="72"/>
      <c r="AE152" s="72"/>
    </row>
    <row r="153" spans="1:31" ht="15">
      <c r="A153" s="138" t="s">
        <v>159</v>
      </c>
      <c r="B153" s="69"/>
      <c r="C153" s="101"/>
      <c r="D153" s="69"/>
      <c r="E153" s="69"/>
      <c r="F153" s="101"/>
      <c r="G153" s="69"/>
      <c r="H153" s="69"/>
      <c r="I153" s="69"/>
      <c r="J153" s="69"/>
      <c r="K153" s="70"/>
      <c r="L153" s="147"/>
      <c r="M153" s="49">
        <f>SUMIF(_12MonLights_RateClass,"ODL",_12MonLights_ECR)</f>
        <v>216283</v>
      </c>
      <c r="N153" s="96"/>
      <c r="AC153" s="72"/>
      <c r="AD153" s="72"/>
      <c r="AE153" s="72"/>
    </row>
    <row r="154" spans="1:31" ht="15">
      <c r="A154" s="146" t="s">
        <v>160</v>
      </c>
      <c r="B154" s="69"/>
      <c r="C154" s="101"/>
      <c r="D154" s="69"/>
      <c r="E154" s="69"/>
      <c r="F154" s="101"/>
      <c r="G154" s="69"/>
      <c r="H154" s="69"/>
      <c r="I154" s="69"/>
      <c r="J154" s="69"/>
      <c r="K154" s="70"/>
      <c r="L154" s="147"/>
      <c r="M154" s="49">
        <v>0</v>
      </c>
      <c r="N154" s="96"/>
      <c r="AE154" s="66"/>
    </row>
    <row r="155" spans="1:31" ht="15">
      <c r="A155" s="138" t="s">
        <v>161</v>
      </c>
      <c r="B155" s="69"/>
      <c r="C155" s="101"/>
      <c r="D155" s="69"/>
      <c r="E155" s="69"/>
      <c r="F155" s="101"/>
      <c r="G155" s="69"/>
      <c r="H155" s="69"/>
      <c r="I155" s="69"/>
      <c r="J155" s="69"/>
      <c r="K155" s="70"/>
      <c r="L155" s="147"/>
      <c r="M155" s="49">
        <f>'Yr End Cust Adj'!$K$50</f>
        <v>0</v>
      </c>
      <c r="N155" s="96"/>
      <c r="AE155" s="66"/>
    </row>
    <row r="156" spans="1:31" ht="15">
      <c r="A156" s="148" t="s">
        <v>162</v>
      </c>
      <c r="B156" s="69"/>
      <c r="C156" s="101"/>
      <c r="D156" s="69"/>
      <c r="E156" s="69"/>
      <c r="F156" s="101"/>
      <c r="G156" s="69"/>
      <c r="H156" s="69"/>
      <c r="I156" s="69"/>
      <c r="J156" s="69"/>
      <c r="K156" s="70"/>
      <c r="L156" s="147"/>
      <c r="M156" s="50">
        <f>SUM(M151:M155)</f>
        <v>318515</v>
      </c>
      <c r="N156" s="96"/>
      <c r="AE156" s="66"/>
    </row>
    <row r="157" spans="1:31" ht="15">
      <c r="A157" s="148"/>
      <c r="B157" s="69"/>
      <c r="C157" s="101"/>
      <c r="D157" s="69"/>
      <c r="E157" s="69"/>
      <c r="F157" s="101"/>
      <c r="G157" s="69"/>
      <c r="H157" s="69"/>
      <c r="I157" s="69"/>
      <c r="J157" s="69"/>
      <c r="K157" s="70"/>
      <c r="L157" s="147"/>
      <c r="M157" s="51"/>
      <c r="N157" s="96"/>
      <c r="AE157" s="66"/>
    </row>
    <row r="158" spans="1:31" ht="15">
      <c r="A158" s="148" t="s">
        <v>163</v>
      </c>
      <c r="B158" s="69"/>
      <c r="C158" s="101"/>
      <c r="D158" s="69"/>
      <c r="E158" s="69"/>
      <c r="F158" s="101"/>
      <c r="G158" s="69"/>
      <c r="H158" s="69"/>
      <c r="I158" s="69"/>
      <c r="J158" s="69"/>
      <c r="K158" s="70"/>
      <c r="L158" s="147"/>
      <c r="M158" s="52">
        <f>M156+M146</f>
        <v>72109688.435529411</v>
      </c>
      <c r="N158" s="96"/>
      <c r="AD158" s="72"/>
      <c r="AE158" s="72"/>
    </row>
    <row r="159" spans="1:31" ht="15.75" thickBot="1">
      <c r="A159" s="149"/>
      <c r="B159" s="150"/>
      <c r="C159" s="151"/>
      <c r="D159" s="150"/>
      <c r="E159" s="150"/>
      <c r="F159" s="151"/>
      <c r="G159" s="150"/>
      <c r="H159" s="150"/>
      <c r="I159" s="150"/>
      <c r="J159" s="150"/>
      <c r="K159" s="152"/>
      <c r="L159" s="153"/>
      <c r="M159" s="153"/>
      <c r="N159" s="154"/>
      <c r="Y159" s="64" t="s">
        <v>180</v>
      </c>
      <c r="AB159" s="72" t="str">
        <f>MiscData!$C$23&amp;$Y159</f>
        <v>20140101KUCME220</v>
      </c>
      <c r="AD159" s="72"/>
      <c r="AE159" s="72"/>
    </row>
    <row r="160" spans="1:31" ht="12.75">
      <c r="AB160" s="72" t="str">
        <f>MiscData!$C$24&amp;$Y159</f>
        <v>20140101KUCME220</v>
      </c>
      <c r="AD160" s="72"/>
      <c r="AE160" s="72"/>
    </row>
  </sheetData>
  <conditionalFormatting sqref="K147 I141:I143 I76 K143">
    <cfRule type="notContainsBlanks" dxfId="6" priority="1">
      <formula>LEN(TRIM(I76))&gt;0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CA544"/>
  <sheetViews>
    <sheetView workbookViewId="0">
      <pane xSplit="5" ySplit="3" topLeftCell="AC16" activePane="bottomRight" state="frozen"/>
      <selection pane="topRight" activeCell="F1" sqref="F1"/>
      <selection pane="bottomLeft" activeCell="A4" sqref="A4"/>
      <selection pane="bottomRight" activeCell="AG16" sqref="AG16"/>
    </sheetView>
  </sheetViews>
  <sheetFormatPr defaultRowHeight="12"/>
  <cols>
    <col min="1" max="1" width="5.5" style="416" customWidth="1"/>
    <col min="2" max="3" width="9.33203125" style="416"/>
    <col min="4" max="4" width="8.1640625" style="403" bestFit="1" customWidth="1"/>
    <col min="5" max="5" width="15" style="403" bestFit="1" customWidth="1"/>
    <col min="6" max="6" width="12.1640625" style="432" customWidth="1"/>
    <col min="7" max="10" width="12.1640625" style="403" customWidth="1"/>
    <col min="11" max="12" width="16.5" style="403" customWidth="1"/>
    <col min="13" max="13" width="17.83203125" style="403" customWidth="1"/>
    <col min="14" max="14" width="13.83203125" style="403" customWidth="1"/>
    <col min="15" max="16" width="14.83203125" style="403" customWidth="1"/>
    <col min="17" max="17" width="15.1640625" style="403" customWidth="1"/>
    <col min="18" max="18" width="13.83203125" style="403" customWidth="1"/>
    <col min="19" max="19" width="13.1640625" style="404" bestFit="1" customWidth="1"/>
    <col min="20" max="20" width="12.33203125" style="404" customWidth="1"/>
    <col min="21" max="21" width="16" style="404" bestFit="1" customWidth="1"/>
    <col min="22" max="22" width="13.1640625" style="404" bestFit="1" customWidth="1"/>
    <col min="23" max="24" width="12.1640625" style="404" customWidth="1"/>
    <col min="25" max="25" width="10.1640625" style="403" bestFit="1" customWidth="1"/>
    <col min="26" max="26" width="12.1640625" style="403" customWidth="1"/>
    <col min="27" max="27" width="12.6640625" style="403" customWidth="1"/>
    <col min="28" max="28" width="14.33203125" style="403" bestFit="1" customWidth="1"/>
    <col min="29" max="29" width="14.6640625" style="432" customWidth="1"/>
    <col min="30" max="30" width="16.6640625" style="403" bestFit="1" customWidth="1"/>
    <col min="31" max="31" width="16" style="403" customWidth="1"/>
    <col min="32" max="32" width="13.6640625" style="407" customWidth="1"/>
    <col min="33" max="33" width="18.5" style="407" customWidth="1"/>
    <col min="34" max="34" width="16" style="407" customWidth="1"/>
    <col min="35" max="35" width="14" style="407" customWidth="1"/>
    <col min="36" max="36" width="16.5" style="407" customWidth="1"/>
    <col min="37" max="37" width="18.83203125" style="407" bestFit="1" customWidth="1"/>
    <col min="38" max="40" width="18.6640625" style="407" customWidth="1"/>
    <col min="41" max="41" width="21.1640625" style="407" customWidth="1"/>
    <col min="42" max="42" width="18.6640625" style="407" customWidth="1"/>
    <col min="43" max="43" width="15.33203125" style="407" bestFit="1" customWidth="1"/>
    <col min="44" max="44" width="15" style="407" bestFit="1" customWidth="1"/>
    <col min="45" max="47" width="14.83203125" style="407" customWidth="1"/>
    <col min="48" max="48" width="19.6640625" style="407" bestFit="1" customWidth="1"/>
    <col min="49" max="49" width="16.1640625" style="407" bestFit="1" customWidth="1"/>
    <col min="50" max="50" width="12.1640625" style="407" customWidth="1"/>
    <col min="51" max="51" width="15" style="407" bestFit="1" customWidth="1"/>
    <col min="52" max="52" width="16" style="407" customWidth="1"/>
    <col min="53" max="53" width="17.6640625" style="407" customWidth="1"/>
    <col min="54" max="56" width="17" style="407" customWidth="1"/>
    <col min="57" max="57" width="16" style="403" bestFit="1" customWidth="1"/>
    <col min="58" max="58" width="15.33203125" style="407" bestFit="1" customWidth="1"/>
    <col min="59" max="59" width="14.33203125" style="407" bestFit="1" customWidth="1"/>
    <col min="60" max="60" width="15.1640625" style="407" bestFit="1" customWidth="1"/>
    <col min="61" max="64" width="9.33203125" style="407"/>
    <col min="65" max="65" width="10.83203125" style="407" bestFit="1" customWidth="1"/>
    <col min="66" max="66" width="23.33203125" style="407" bestFit="1" customWidth="1"/>
    <col min="67" max="67" width="16.1640625" style="407" bestFit="1" customWidth="1"/>
    <col min="68" max="68" width="9.5" style="407" bestFit="1" customWidth="1"/>
    <col min="69" max="69" width="10.83203125" style="407" bestFit="1" customWidth="1"/>
    <col min="70" max="70" width="9.5" style="407" bestFit="1" customWidth="1"/>
    <col min="71" max="71" width="10.1640625" style="407" bestFit="1" customWidth="1"/>
    <col min="72" max="72" width="20.5" style="403" bestFit="1" customWidth="1"/>
    <col min="73" max="16384" width="9.33203125" style="407"/>
  </cols>
  <sheetData>
    <row r="1" spans="1:79" s="408" customFormat="1" ht="41.25" customHeight="1">
      <c r="A1" s="401"/>
      <c r="B1" s="401"/>
      <c r="C1" s="401"/>
      <c r="D1" s="402"/>
      <c r="E1" s="402"/>
      <c r="F1" s="403"/>
      <c r="G1" s="403"/>
      <c r="H1" s="403"/>
      <c r="I1" s="403"/>
      <c r="J1" s="403"/>
      <c r="K1" s="403"/>
      <c r="L1" s="403"/>
      <c r="M1" s="404"/>
      <c r="N1" s="404"/>
      <c r="O1" s="404"/>
      <c r="P1" s="404"/>
      <c r="Q1" s="404"/>
      <c r="R1" s="405"/>
      <c r="S1" s="405"/>
      <c r="T1" s="405"/>
      <c r="U1" s="405"/>
      <c r="V1" s="405"/>
      <c r="W1" s="405"/>
      <c r="X1" s="405"/>
      <c r="Y1" s="403"/>
      <c r="Z1" s="403"/>
      <c r="AA1" s="403"/>
      <c r="AB1" s="403"/>
      <c r="AC1" s="403"/>
      <c r="AD1" s="403"/>
      <c r="AE1" s="403"/>
      <c r="AF1" s="403"/>
      <c r="AG1" s="403"/>
      <c r="AH1" s="403"/>
      <c r="AI1" s="403"/>
      <c r="AJ1" s="403"/>
      <c r="AK1" s="403"/>
      <c r="AL1" s="403"/>
      <c r="AM1" s="403"/>
      <c r="AN1" s="403"/>
      <c r="AO1" s="403"/>
      <c r="AP1" s="403"/>
      <c r="AQ1" s="403"/>
      <c r="AR1" s="403"/>
      <c r="AS1" s="403"/>
      <c r="AT1" s="403"/>
      <c r="AU1" s="403"/>
      <c r="AV1" s="403"/>
      <c r="AW1" s="403"/>
      <c r="AX1" s="406"/>
      <c r="AY1" s="403"/>
      <c r="AZ1" s="403"/>
      <c r="BA1" s="403"/>
      <c r="BB1" s="403"/>
      <c r="BC1" s="403"/>
      <c r="BD1" s="403"/>
      <c r="BE1" s="403"/>
      <c r="BF1" s="407"/>
      <c r="BG1" s="407"/>
      <c r="BH1" s="407"/>
      <c r="BI1" s="407"/>
      <c r="BJ1" s="407"/>
      <c r="BK1" s="407"/>
      <c r="BL1" s="407"/>
      <c r="BM1" s="1054" t="s">
        <v>654</v>
      </c>
      <c r="BN1" s="1054"/>
      <c r="BO1" s="1054"/>
      <c r="BP1" s="407"/>
      <c r="BQ1" s="407"/>
      <c r="BR1" s="407"/>
      <c r="BS1" s="407"/>
      <c r="BT1" s="403"/>
      <c r="BU1" s="407"/>
      <c r="BV1" s="407"/>
      <c r="BW1" s="407"/>
      <c r="BX1" s="407"/>
      <c r="BY1" s="407"/>
      <c r="BZ1" s="407"/>
      <c r="CA1" s="407"/>
    </row>
    <row r="2" spans="1:79" s="408" customFormat="1" ht="16.5" customHeight="1">
      <c r="A2" s="401"/>
      <c r="B2" s="401"/>
      <c r="C2" s="401"/>
      <c r="D2" s="402"/>
      <c r="E2" s="402"/>
      <c r="F2" s="403"/>
      <c r="G2" s="403"/>
      <c r="H2" s="403"/>
      <c r="I2" s="403"/>
      <c r="J2" s="403"/>
      <c r="K2" s="403"/>
      <c r="L2" s="403"/>
      <c r="M2" s="404"/>
      <c r="N2" s="404"/>
      <c r="O2" s="404"/>
      <c r="P2" s="404"/>
      <c r="Q2" s="404"/>
      <c r="R2" s="404"/>
      <c r="S2" s="404"/>
      <c r="T2" s="404"/>
      <c r="U2" s="404"/>
      <c r="V2" s="404"/>
      <c r="W2" s="404"/>
      <c r="X2" s="404"/>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6"/>
      <c r="AY2" s="410"/>
      <c r="AZ2" s="410"/>
      <c r="BA2" s="410"/>
      <c r="BB2" s="411"/>
      <c r="BC2" s="410"/>
      <c r="BD2" s="403"/>
      <c r="BE2" s="403"/>
      <c r="BF2" s="407"/>
      <c r="BG2" s="407"/>
      <c r="BH2" s="407"/>
      <c r="BI2" s="407"/>
      <c r="BJ2" s="407"/>
      <c r="BK2" s="407"/>
      <c r="BL2" s="407"/>
      <c r="BM2" s="1054"/>
      <c r="BN2" s="1054"/>
      <c r="BO2" s="1054"/>
      <c r="BP2" s="407"/>
      <c r="BQ2" s="407"/>
      <c r="BR2" s="407"/>
      <c r="BS2" s="407"/>
      <c r="BT2" s="403"/>
      <c r="BU2" s="407"/>
      <c r="BV2" s="407"/>
      <c r="BW2" s="407"/>
      <c r="BX2" s="407"/>
      <c r="BY2" s="407"/>
      <c r="BZ2" s="407"/>
      <c r="CA2" s="407"/>
    </row>
    <row r="3" spans="1:79" s="408" customFormat="1" ht="54.75">
      <c r="A3" s="401" t="s">
        <v>34</v>
      </c>
      <c r="B3" s="401" t="s">
        <v>77</v>
      </c>
      <c r="C3" s="401" t="s">
        <v>818</v>
      </c>
      <c r="D3" s="402" t="s">
        <v>35</v>
      </c>
      <c r="E3" s="402" t="s">
        <v>51</v>
      </c>
      <c r="F3" s="441" t="s">
        <v>52</v>
      </c>
      <c r="G3" s="412" t="s">
        <v>467</v>
      </c>
      <c r="H3" s="412" t="s">
        <v>655</v>
      </c>
      <c r="I3" s="412" t="s">
        <v>656</v>
      </c>
      <c r="J3" s="412" t="s">
        <v>657</v>
      </c>
      <c r="K3" s="412" t="s">
        <v>36</v>
      </c>
      <c r="L3" s="413" t="s">
        <v>1279</v>
      </c>
      <c r="M3" s="414" t="s">
        <v>1273</v>
      </c>
      <c r="N3" s="414" t="s">
        <v>1270</v>
      </c>
      <c r="O3" s="414" t="s">
        <v>1271</v>
      </c>
      <c r="P3" s="414" t="s">
        <v>1272</v>
      </c>
      <c r="Q3" s="414" t="s">
        <v>1274</v>
      </c>
      <c r="R3" s="414" t="s">
        <v>1275</v>
      </c>
      <c r="S3" s="414" t="s">
        <v>658</v>
      </c>
      <c r="T3" s="414" t="s">
        <v>659</v>
      </c>
      <c r="U3" s="414" t="s">
        <v>660</v>
      </c>
      <c r="V3" s="414" t="s">
        <v>1276</v>
      </c>
      <c r="W3" s="414" t="s">
        <v>1277</v>
      </c>
      <c r="X3" s="414" t="s">
        <v>1278</v>
      </c>
      <c r="Y3" s="412" t="s">
        <v>37</v>
      </c>
      <c r="Z3" s="413" t="s">
        <v>661</v>
      </c>
      <c r="AA3" s="412" t="s">
        <v>662</v>
      </c>
      <c r="AB3" s="412" t="s">
        <v>663</v>
      </c>
      <c r="AC3" s="412" t="s">
        <v>1162</v>
      </c>
      <c r="AD3" s="413" t="s">
        <v>1039</v>
      </c>
      <c r="AE3" s="413" t="s">
        <v>1040</v>
      </c>
      <c r="AF3" s="413" t="s">
        <v>682</v>
      </c>
      <c r="AG3" s="412" t="s">
        <v>38</v>
      </c>
      <c r="AH3" s="413" t="s">
        <v>464</v>
      </c>
      <c r="AI3" s="412" t="s">
        <v>39</v>
      </c>
      <c r="AJ3" s="412" t="s">
        <v>40</v>
      </c>
      <c r="AK3" s="412" t="s">
        <v>41</v>
      </c>
      <c r="AL3" s="412" t="s">
        <v>687</v>
      </c>
      <c r="AM3" s="413" t="s">
        <v>684</v>
      </c>
      <c r="AN3" s="412" t="s">
        <v>470</v>
      </c>
      <c r="AO3" s="412" t="s">
        <v>42</v>
      </c>
      <c r="AP3" s="412" t="s">
        <v>468</v>
      </c>
      <c r="AQ3" s="413" t="s">
        <v>469</v>
      </c>
      <c r="AR3" s="412" t="s">
        <v>664</v>
      </c>
      <c r="AS3" s="413" t="s">
        <v>1282</v>
      </c>
      <c r="AT3" s="413" t="s">
        <v>1280</v>
      </c>
      <c r="AU3" s="413" t="s">
        <v>1281</v>
      </c>
      <c r="AV3" s="412" t="s">
        <v>43</v>
      </c>
      <c r="AW3" s="412" t="s">
        <v>44</v>
      </c>
      <c r="AX3" s="444" t="s">
        <v>45</v>
      </c>
      <c r="AY3" s="402" t="s">
        <v>46</v>
      </c>
      <c r="AZ3" s="402" t="s">
        <v>47</v>
      </c>
      <c r="BA3" s="402" t="s">
        <v>48</v>
      </c>
      <c r="BB3" s="402" t="s">
        <v>49</v>
      </c>
      <c r="BC3" s="402" t="s">
        <v>50</v>
      </c>
      <c r="BD3" s="445" t="s">
        <v>665</v>
      </c>
      <c r="BE3" s="412" t="s">
        <v>666</v>
      </c>
      <c r="BF3" s="402" t="s">
        <v>667</v>
      </c>
      <c r="BG3" s="408" t="s">
        <v>1162</v>
      </c>
      <c r="BH3" s="408" t="s">
        <v>1163</v>
      </c>
      <c r="BM3" s="407" t="s">
        <v>668</v>
      </c>
      <c r="BN3" s="415" t="s">
        <v>669</v>
      </c>
      <c r="BO3" s="407" t="s">
        <v>670</v>
      </c>
      <c r="BP3" s="408" t="s">
        <v>671</v>
      </c>
      <c r="BQ3" s="408" t="s">
        <v>51</v>
      </c>
      <c r="BR3" s="408">
        <v>39</v>
      </c>
      <c r="BT3" s="453"/>
    </row>
    <row r="4" spans="1:79" hidden="1">
      <c r="A4" s="416">
        <v>1</v>
      </c>
      <c r="B4" s="416" t="str">
        <f t="shared" ref="B4:B67" si="0">TEXT(BM4,"mmm yyyy")</f>
        <v>Jan 2015</v>
      </c>
      <c r="C4" s="416" t="s">
        <v>19</v>
      </c>
      <c r="D4" s="417" t="str">
        <f t="shared" ref="D4:D67" si="1">BS4</f>
        <v>RTS</v>
      </c>
      <c r="E4" s="417" t="str">
        <f t="shared" ref="E4:E67" si="2">BQ4</f>
        <v>KUCIE550</v>
      </c>
      <c r="F4" s="418">
        <f>SUMIFS(_1022_Count,_1022_RevenueMonth,$B4,_1022_RateCategory,$E4)</f>
        <v>32</v>
      </c>
      <c r="G4" s="460"/>
      <c r="H4" s="418">
        <v>0</v>
      </c>
      <c r="I4" s="418">
        <v>0</v>
      </c>
      <c r="J4" s="418">
        <v>0</v>
      </c>
      <c r="K4" s="418">
        <f>SUMIFS(_1022_KWH,_1022_RevenueMonth,$B4,_1022_RateCategory,$E4)</f>
        <v>137626552</v>
      </c>
      <c r="L4" s="459">
        <v>0</v>
      </c>
      <c r="M4" s="443">
        <f>SUMIFS(_1022_Measured_KVA_Base,_1022_RevenueMonth,$B4,_1022_RateCategory,$E4)</f>
        <v>305144.33</v>
      </c>
      <c r="N4" s="443">
        <f>SUMIFS(_1022_Measured_KVA_Inter,_1022_RevenueMonth,$B4,_1022_RateCategory,$E4)</f>
        <v>294071.15999999997</v>
      </c>
      <c r="O4" s="443">
        <f>SUMIFS(_1022_Measured_KVA_Peak,_1022_RevenueMonth,$B4,_1022_RateCategory,$E4)</f>
        <v>282439.21000000002</v>
      </c>
      <c r="P4" s="443">
        <f>SUMIFS(_1022_Demand_Base,_1022_RevenueMonth,$B4,_1022_RateCategory,$E4)</f>
        <v>305144.33</v>
      </c>
      <c r="Q4" s="443">
        <f>SUMIFS(_1022_Demand_Intermediate,_1022_RevenueMonth,$B4,_1022_RateCategory,$E4)</f>
        <v>294071.15999999997</v>
      </c>
      <c r="R4" s="443">
        <f>SUMIFS(_1022_Demand_Peak,_1022_RevenueMonth,$B4,_1022_RateCategory,$E4)</f>
        <v>282439.21000000002</v>
      </c>
      <c r="S4" s="483"/>
      <c r="T4" s="483"/>
      <c r="U4" s="483"/>
      <c r="V4" s="593">
        <v>0</v>
      </c>
      <c r="W4" s="593">
        <v>0</v>
      </c>
      <c r="X4" s="593">
        <v>0</v>
      </c>
      <c r="Y4" s="419">
        <f>SUMIF(_Rates_Tariff_Category,$BN4,_Rates_BasicServiceCharge)</f>
        <v>750</v>
      </c>
      <c r="Z4" s="420">
        <f>SUMIF(_Rates_Tariff_Category,$BN4,_Rates_Energy)</f>
        <v>3.6339999999999997E-2</v>
      </c>
      <c r="AA4" s="420">
        <v>0</v>
      </c>
      <c r="AB4" s="420">
        <v>0</v>
      </c>
      <c r="AC4" s="420">
        <f>SUMIF(_Rates_Tariff_Category,$BN4,_Rates_FAC_Energy)</f>
        <v>2.8920000000000001E-2</v>
      </c>
      <c r="AD4" s="419">
        <f>SUMIF(_Rates_Tariff_Category,$BN4,_Rates_Demand_Base)</f>
        <v>1.34</v>
      </c>
      <c r="AE4" s="419">
        <f>SUMIF(_Rates_Tariff_Category,$BN4,_Rates_Demand_Intermediate)</f>
        <v>2.87</v>
      </c>
      <c r="AF4" s="419">
        <f>SUMIF(_Rates_Tariff_Category,$BN4,_Rates_Demand_Peak)</f>
        <v>3.97</v>
      </c>
      <c r="AG4" s="421">
        <f>ROUND(($F4+$G4)*$Y4,2)</f>
        <v>24000</v>
      </c>
      <c r="AH4" s="421">
        <f>ROUND(IF(H4=0,(K4+L4)*Z4,SUMPRODUCT(H4:J4,Z4:AB4)),2)</f>
        <v>5001348.9000000004</v>
      </c>
      <c r="AI4" s="421">
        <f>ROUND(($M4+V4)*$AD4,2)</f>
        <v>408893.4</v>
      </c>
      <c r="AJ4" s="421">
        <f>ROUND(($N4+W4)*$AE4,2)</f>
        <v>843984.23</v>
      </c>
      <c r="AK4" s="421">
        <f>ROUND(($O4+X4)*$AF4,2)</f>
        <v>1121283.6599999999</v>
      </c>
      <c r="AL4" s="461">
        <v>0</v>
      </c>
      <c r="AM4" s="422">
        <f>SUMIFS(_1022_Power_Factor_Revenue,_1022_RevenueMonth,$B4,_1022_RateCategory,$E4)</f>
        <v>0</v>
      </c>
      <c r="AN4" s="423">
        <f>ROUND(U4*AF4+T4*AE4+S4*AD4,2)</f>
        <v>0</v>
      </c>
      <c r="AO4" s="421">
        <f>SUM(AI4:AN4)</f>
        <v>2374161.29</v>
      </c>
      <c r="AP4" s="461">
        <v>0</v>
      </c>
      <c r="AQ4" s="461">
        <v>0</v>
      </c>
      <c r="AR4" s="461"/>
      <c r="AS4" s="462">
        <v>0</v>
      </c>
      <c r="AT4" s="462">
        <v>0</v>
      </c>
      <c r="AU4" s="462">
        <v>0</v>
      </c>
      <c r="AV4" s="454">
        <f>SUM(AG4:AN4,AP4:AU4)</f>
        <v>7399510.1900000013</v>
      </c>
      <c r="AW4" s="421">
        <f>BD4-SUM(AY4:BC4)</f>
        <v>7399510</v>
      </c>
      <c r="AX4" s="455">
        <f t="shared" ref="AX4:AX13" si="3">IF(AND(AV4=0,AW4=0),1,IF(AV4=0,0,AW4/AV4))</f>
        <v>0.99999997432262455</v>
      </c>
      <c r="AY4" s="424">
        <f>SUMIFS(_SBR_FAC,_SBR_Revenue_Month,$B4,_SBR_Rate_Category,$E4)</f>
        <v>355465</v>
      </c>
      <c r="AZ4" s="424">
        <f>SUMIFS(_SBR_DSM,_SBR_Revenue_Month,$B4,_SBR_Rate_Category,$E4)</f>
        <v>0</v>
      </c>
      <c r="BA4" s="424">
        <f>SUMIFS(_SBR_ECR,_SBR_Revenue_Month,$B4,_SBR_Rate_Category,$E4)</f>
        <v>421992</v>
      </c>
      <c r="BB4" s="424">
        <f>SUMIFS(_SBR_MSR,_SBR_Revenue_Month,$B4,_SBR_Rate_Category,$E4)</f>
        <v>0</v>
      </c>
      <c r="BC4" s="424">
        <f>SUMIFS(_SBR_CSR,_SBR_Revenue_Month,$B4,_SBR_Rate_Category,$E4)</f>
        <v>0</v>
      </c>
      <c r="BD4" s="424">
        <f>SUMIFS(_SBR_Revenue_Actual,_SBR_Revenue_Month,$B4,_SBR_Rate_Category,$E4)</f>
        <v>8176967</v>
      </c>
      <c r="BE4" s="452">
        <f>SUM(AV4,AY4:BC4)</f>
        <v>8176967.1900000013</v>
      </c>
      <c r="BF4" s="448">
        <f>BD4-BE4</f>
        <v>-0.19000000134110451</v>
      </c>
      <c r="BG4" s="456">
        <f>ROUND($K4*$AC4,2)</f>
        <v>3980159.88</v>
      </c>
      <c r="BH4" s="457">
        <f t="shared" ref="BH4:BH67" si="4">AH4+AQ4-BG4</f>
        <v>1021189.0200000005</v>
      </c>
      <c r="BI4" s="407" t="s">
        <v>1490</v>
      </c>
      <c r="BL4" s="407" t="str">
        <f>TEXT(BM4,"mmm yyyy")</f>
        <v>Jan 2015</v>
      </c>
      <c r="BM4" s="426">
        <f>MiscData!$A$5</f>
        <v>42035</v>
      </c>
      <c r="BN4" s="416" t="str">
        <f t="shared" ref="BN4:BN67" si="5">CONCATENATE(BP4&amp;BQ4)</f>
        <v>20140101KUCIE550</v>
      </c>
      <c r="BO4" s="427" t="str">
        <f t="shared" ref="BO4:BO67" si="6">CONCATENATE(BP4&amp;BS4)</f>
        <v>20140101RTS</v>
      </c>
      <c r="BP4" s="407">
        <f>IF(BM4&lt;=MiscData!$B$23,MiscData!$C$23,IF(BM4&lt;=MiscData!$B$24,MiscData!$C$24,MiscData!$C$25))</f>
        <v>20140101</v>
      </c>
      <c r="BQ4" s="458" t="str">
        <f>MiscData!$W$4</f>
        <v>KUCIE550</v>
      </c>
      <c r="BR4" s="407">
        <f>IF(BR3=MiscData!$V$42,1,BR3+1)</f>
        <v>1</v>
      </c>
      <c r="BS4" s="407" t="str">
        <f>VLOOKUP(BQ4,MiscData!$W$4:$Y$42,3,FALSE)</f>
        <v>RTS</v>
      </c>
    </row>
    <row r="5" spans="1:79">
      <c r="A5" s="416">
        <f t="shared" ref="A5:A30" si="7">A4+1</f>
        <v>2</v>
      </c>
      <c r="B5" s="416" t="str">
        <f t="shared" si="0"/>
        <v>Jan 2015</v>
      </c>
      <c r="C5" s="416" t="s">
        <v>26</v>
      </c>
      <c r="D5" s="417" t="str">
        <f t="shared" si="1"/>
        <v>PSP</v>
      </c>
      <c r="E5" s="417" t="str">
        <f t="shared" si="2"/>
        <v>KUCIE561</v>
      </c>
      <c r="F5" s="418">
        <f t="shared" ref="F5:F68" si="8">SUMIFS(_1022_Count,_1022_RevenueMonth,$B5,_1022_RateCategory,$E5)</f>
        <v>213</v>
      </c>
      <c r="G5" s="467"/>
      <c r="H5" s="418">
        <v>0</v>
      </c>
      <c r="I5" s="418">
        <v>0</v>
      </c>
      <c r="J5" s="418">
        <v>0</v>
      </c>
      <c r="K5" s="418">
        <f t="shared" ref="K5:K68" si="9">SUMIFS(_1022_KWH,_1022_RevenueMonth,$B5,_1022_RateCategory,$E5)</f>
        <v>18555214</v>
      </c>
      <c r="L5" s="459">
        <v>0</v>
      </c>
      <c r="M5" s="443">
        <f t="shared" ref="M5:M68" si="10">SUMIFS(_1022_Measured_KVA_Base,_1022_RevenueMonth,$B5,_1022_RateCategory,$E5)</f>
        <v>0</v>
      </c>
      <c r="N5" s="443">
        <f t="shared" ref="N5:N68" si="11">SUMIFS(_1022_Measured_KVA_Inter,_1022_RevenueMonth,$B5,_1022_RateCategory,$E5)</f>
        <v>53480.55</v>
      </c>
      <c r="O5" s="443">
        <f t="shared" ref="O5:O68" si="12">SUMIFS(_1022_Measured_KVA_Peak,_1022_RevenueMonth,$B5,_1022_RateCategory,$E5)</f>
        <v>0</v>
      </c>
      <c r="P5" s="443">
        <f t="shared" ref="P5:P68" si="13">SUMIFS(_1022_Demand_Base,_1022_RevenueMonth,$B5,_1022_RateCategory,$E5)</f>
        <v>0</v>
      </c>
      <c r="Q5" s="443">
        <f t="shared" ref="Q5:Q68" si="14">SUMIFS(_1022_Demand_Intermediate,_1022_RevenueMonth,$B5,_1022_RateCategory,$E5)</f>
        <v>53480.55</v>
      </c>
      <c r="R5" s="443">
        <f t="shared" ref="R5:R68" si="15">SUMIFS(_1022_Demand_Peak,_1022_RevenueMonth,$B5,_1022_RateCategory,$E5)</f>
        <v>0</v>
      </c>
      <c r="S5" s="484"/>
      <c r="T5" s="484"/>
      <c r="U5" s="484"/>
      <c r="V5" s="490">
        <v>0</v>
      </c>
      <c r="W5" s="490">
        <v>0</v>
      </c>
      <c r="X5" s="490">
        <v>0</v>
      </c>
      <c r="Y5" s="419">
        <f t="shared" ref="Y5:Y68" si="16">SUMIF(_Rates_Tariff_Category,$BN5,_Rates_BasicServiceCharge)</f>
        <v>170</v>
      </c>
      <c r="Z5" s="420">
        <f t="shared" ref="Z5:Z68" si="17">SUMIF(_Rates_Tariff_Category,$BN5,_Rates_Energy)</f>
        <v>3.5619999999999999E-2</v>
      </c>
      <c r="AA5" s="420">
        <v>0</v>
      </c>
      <c r="AB5" s="420">
        <v>0</v>
      </c>
      <c r="AC5" s="420">
        <f t="shared" ref="AC5:AC68" si="18">SUMIF(_Rates_Tariff_Category,$BN5,_Rates_FAC_Energy)</f>
        <v>2.8920000000000001E-2</v>
      </c>
      <c r="AD5" s="419">
        <f t="shared" ref="AD5:AD68" si="19">SUMIF(_Rates_Tariff_Category,$BN5,_Rates_Demand_Base)</f>
        <v>0</v>
      </c>
      <c r="AE5" s="419">
        <f t="shared" ref="AE5:AE68" si="20">SUMIF(_Rates_Tariff_Category,$BN5,_Rates_Demand_Intermediate)</f>
        <v>13.18</v>
      </c>
      <c r="AF5" s="419">
        <f t="shared" ref="AF5:AF68" si="21">SUMIF(_Rates_Tariff_Category,$BN5,_Rates_Demand_Peak)</f>
        <v>15.28</v>
      </c>
      <c r="AG5" s="454">
        <f t="shared" ref="AG5:AG68" si="22">ROUND(($F5+$G5)*$Y5,2)</f>
        <v>36210</v>
      </c>
      <c r="AH5" s="454">
        <f t="shared" ref="AH5:AH26" si="23">ROUND(IF(H5=0,(K5+L5)*Z5,SUMPRODUCT(H5:J5,Z5:AB5)),2)</f>
        <v>660936.72</v>
      </c>
      <c r="AI5" s="421">
        <f t="shared" ref="AI5:AI68" si="24">ROUND(($M5+V5)*$AD5,2)</f>
        <v>0</v>
      </c>
      <c r="AJ5" s="421">
        <f t="shared" ref="AJ5:AJ68" si="25">ROUND(($N5+W5)*$AE5,2)</f>
        <v>704873.65</v>
      </c>
      <c r="AK5" s="421">
        <f t="shared" ref="AK5:AK68" si="26">ROUND(($O5+X5)*$AF5,2)</f>
        <v>0</v>
      </c>
      <c r="AL5" s="472">
        <v>0</v>
      </c>
      <c r="AM5" s="422">
        <f t="shared" ref="AM5:AM36" si="27">SUMIFS(_1022_Power_Factor_Revenue,_1022_RevenueMonth,$B5,_1022_RateCategory,$E5)</f>
        <v>0</v>
      </c>
      <c r="AN5" s="423">
        <f t="shared" ref="AN5:AN68" si="28">ROUND(U5*AF5+T5*AE5+S5*AD5,2)</f>
        <v>0</v>
      </c>
      <c r="AO5" s="421">
        <f t="shared" ref="AO5:AO68" si="29">SUM(AI5:AN5)</f>
        <v>704873.65</v>
      </c>
      <c r="AP5" s="472"/>
      <c r="AQ5" s="472"/>
      <c r="AR5" s="472"/>
      <c r="AS5" s="475">
        <v>0</v>
      </c>
      <c r="AT5" s="475">
        <v>0</v>
      </c>
      <c r="AU5" s="475">
        <v>0</v>
      </c>
      <c r="AV5" s="454">
        <f t="shared" ref="AV5:AV68" si="30">SUM(AG5:AN5,AP5:AU5)</f>
        <v>1402020.37</v>
      </c>
      <c r="AW5" s="421">
        <f t="shared" ref="AW5:AW68" si="31">BD5-SUM(AY5:BC5)</f>
        <v>1402021</v>
      </c>
      <c r="AX5" s="455">
        <f t="shared" si="3"/>
        <v>1.0000004493515311</v>
      </c>
      <c r="AY5" s="424">
        <f t="shared" ref="AY5:AY68" si="32">SUMIFS(_SBR_FAC,_SBR_Revenue_Month,$B5,_SBR_Rate_Category,$E5)</f>
        <v>47925</v>
      </c>
      <c r="AZ5" s="424">
        <f t="shared" ref="AZ5:AZ68" si="33">SUMIFS(_SBR_DSM,_SBR_Revenue_Month,$B5,_SBR_Rate_Category,$E5)</f>
        <v>19333</v>
      </c>
      <c r="BA5" s="424">
        <f t="shared" ref="BA5:BA68" si="34">SUMIFS(_SBR_ECR,_SBR_Revenue_Month,$B5,_SBR_Rate_Category,$E5)</f>
        <v>56894</v>
      </c>
      <c r="BB5" s="424">
        <f t="shared" ref="BB5:BB68" si="35">SUMIFS(_SBR_MSR,_SBR_Revenue_Month,$B5,_SBR_Rate_Category,$E5)</f>
        <v>0</v>
      </c>
      <c r="BC5" s="424">
        <f t="shared" ref="BC5:BC68" si="36">SUMIFS(_SBR_CSR,_SBR_Revenue_Month,$B5,_SBR_Rate_Category,$E5)</f>
        <v>0</v>
      </c>
      <c r="BD5" s="424">
        <f t="shared" ref="BD5:BD68" si="37">SUMIFS(_SBR_Revenue_Actual,_SBR_Revenue_Month,$B5,_SBR_Rate_Category,$E5)</f>
        <v>1526173</v>
      </c>
      <c r="BE5" s="452">
        <f t="shared" ref="BE5:BE68" si="38">SUM(AV5,AY5:BC5)</f>
        <v>1526172.37</v>
      </c>
      <c r="BF5" s="448">
        <f t="shared" ref="BF5:BF68" si="39">BD5-BE5</f>
        <v>0.62999999988824129</v>
      </c>
      <c r="BG5" s="456">
        <f t="shared" ref="BG5:BG68" si="40">ROUND($K5*$AC5,2)</f>
        <v>536616.79</v>
      </c>
      <c r="BH5" s="457">
        <f t="shared" si="4"/>
        <v>124319.92999999993</v>
      </c>
      <c r="BI5" s="407" t="s">
        <v>1490</v>
      </c>
      <c r="BM5" s="429">
        <f>IF(BR5&gt;BR4,BM4,IF(BM4&lt;MiscData!$F$1,EOMONTH(BM4,1),EOMONTH(BM4,-11)))</f>
        <v>42035</v>
      </c>
      <c r="BN5" s="416" t="str">
        <f t="shared" si="5"/>
        <v>20140101KUCIE561</v>
      </c>
      <c r="BO5" s="427" t="str">
        <f t="shared" si="6"/>
        <v>20140101PSP</v>
      </c>
      <c r="BP5" s="407">
        <f>IF(BM5&lt;=MiscData!$B$23,MiscData!$C$23,IF(BM5&lt;=MiscData!$B$24,MiscData!$C$24,MiscData!$C$25))</f>
        <v>20140101</v>
      </c>
      <c r="BQ5" s="407" t="str">
        <f>VLOOKUP(BR5,MiscData!$V$4:$W$42,2,FALSE)</f>
        <v>KUCIE561</v>
      </c>
      <c r="BR5" s="407">
        <f>IF(BR4=MiscData!$V$42,1,BR4+1)</f>
        <v>2</v>
      </c>
      <c r="BS5" s="407" t="str">
        <f>VLOOKUP(BQ5,MiscData!$W$4:$Y$42,3,FALSE)</f>
        <v>PSP</v>
      </c>
    </row>
    <row r="6" spans="1:79" hidden="1">
      <c r="A6" s="416">
        <f t="shared" si="7"/>
        <v>3</v>
      </c>
      <c r="B6" s="416" t="str">
        <f t="shared" si="0"/>
        <v>Jan 2015</v>
      </c>
      <c r="C6" s="416" t="s">
        <v>25</v>
      </c>
      <c r="D6" s="417" t="str">
        <f t="shared" si="1"/>
        <v>PSS</v>
      </c>
      <c r="E6" s="417" t="str">
        <f t="shared" si="2"/>
        <v>KUCIE562</v>
      </c>
      <c r="F6" s="418">
        <f t="shared" si="8"/>
        <v>4785</v>
      </c>
      <c r="G6" s="467"/>
      <c r="H6" s="418">
        <v>0</v>
      </c>
      <c r="I6" s="418">
        <v>0</v>
      </c>
      <c r="J6" s="418">
        <v>0</v>
      </c>
      <c r="K6" s="418">
        <f t="shared" si="9"/>
        <v>185457207</v>
      </c>
      <c r="L6" s="459">
        <v>0</v>
      </c>
      <c r="M6" s="443">
        <f t="shared" si="10"/>
        <v>0</v>
      </c>
      <c r="N6" s="443">
        <f t="shared" si="11"/>
        <v>601580.15</v>
      </c>
      <c r="O6" s="443">
        <f t="shared" si="12"/>
        <v>0</v>
      </c>
      <c r="P6" s="443">
        <f t="shared" si="13"/>
        <v>0</v>
      </c>
      <c r="Q6" s="443">
        <f t="shared" si="14"/>
        <v>601580.15</v>
      </c>
      <c r="R6" s="443">
        <f t="shared" si="15"/>
        <v>0</v>
      </c>
      <c r="S6" s="484"/>
      <c r="T6" s="484"/>
      <c r="U6" s="484"/>
      <c r="V6" s="490">
        <v>0</v>
      </c>
      <c r="W6" s="490">
        <v>0</v>
      </c>
      <c r="X6" s="490">
        <v>0</v>
      </c>
      <c r="Y6" s="419">
        <f t="shared" si="16"/>
        <v>90</v>
      </c>
      <c r="Z6" s="420">
        <f t="shared" si="17"/>
        <v>3.5640000000000005E-2</v>
      </c>
      <c r="AA6" s="420">
        <v>0</v>
      </c>
      <c r="AB6" s="420">
        <v>0</v>
      </c>
      <c r="AC6" s="420">
        <f t="shared" si="18"/>
        <v>2.8920000000000001E-2</v>
      </c>
      <c r="AD6" s="419">
        <f t="shared" si="19"/>
        <v>0</v>
      </c>
      <c r="AE6" s="419">
        <f t="shared" si="20"/>
        <v>13.2</v>
      </c>
      <c r="AF6" s="419">
        <f t="shared" si="21"/>
        <v>15.3</v>
      </c>
      <c r="AG6" s="421">
        <f t="shared" si="22"/>
        <v>430650</v>
      </c>
      <c r="AH6" s="454">
        <f t="shared" si="23"/>
        <v>6609694.8600000003</v>
      </c>
      <c r="AI6" s="421">
        <f t="shared" si="24"/>
        <v>0</v>
      </c>
      <c r="AJ6" s="454">
        <f t="shared" si="25"/>
        <v>7940857.9800000004</v>
      </c>
      <c r="AK6" s="454">
        <f t="shared" si="26"/>
        <v>0</v>
      </c>
      <c r="AL6" s="472">
        <v>0</v>
      </c>
      <c r="AM6" s="422">
        <f t="shared" si="27"/>
        <v>0</v>
      </c>
      <c r="AN6" s="423">
        <f t="shared" si="28"/>
        <v>0</v>
      </c>
      <c r="AO6" s="421">
        <f t="shared" si="29"/>
        <v>7940857.9800000004</v>
      </c>
      <c r="AP6" s="472"/>
      <c r="AQ6" s="472"/>
      <c r="AR6" s="472"/>
      <c r="AS6" s="475">
        <v>0</v>
      </c>
      <c r="AT6" s="475">
        <v>0</v>
      </c>
      <c r="AU6" s="475">
        <v>0</v>
      </c>
      <c r="AV6" s="454">
        <f t="shared" si="30"/>
        <v>14981202.84</v>
      </c>
      <c r="AW6" s="421">
        <f t="shared" si="31"/>
        <v>14981202</v>
      </c>
      <c r="AX6" s="455">
        <f t="shared" si="3"/>
        <v>0.9999999439297359</v>
      </c>
      <c r="AY6" s="424">
        <f t="shared" si="32"/>
        <v>479004</v>
      </c>
      <c r="AZ6" s="424">
        <f t="shared" si="33"/>
        <v>193234</v>
      </c>
      <c r="BA6" s="424">
        <f t="shared" si="34"/>
        <v>568651</v>
      </c>
      <c r="BB6" s="424">
        <f t="shared" si="35"/>
        <v>0</v>
      </c>
      <c r="BC6" s="424">
        <f t="shared" si="36"/>
        <v>0</v>
      </c>
      <c r="BD6" s="424">
        <f t="shared" si="37"/>
        <v>16222091</v>
      </c>
      <c r="BE6" s="452">
        <f t="shared" si="38"/>
        <v>16222091.84</v>
      </c>
      <c r="BF6" s="448">
        <f t="shared" si="39"/>
        <v>-0.83999999985098839</v>
      </c>
      <c r="BG6" s="456">
        <f t="shared" si="40"/>
        <v>5363422.43</v>
      </c>
      <c r="BH6" s="457">
        <f t="shared" si="4"/>
        <v>1246272.4300000006</v>
      </c>
      <c r="BI6" s="407" t="s">
        <v>1490</v>
      </c>
      <c r="BM6" s="429">
        <f>IF(BR6&gt;BR5,BM5,IF(BM5&lt;MiscData!$F$1,EOMONTH(BM5,1),EOMONTH(BM5,-11)))</f>
        <v>42035</v>
      </c>
      <c r="BN6" s="416" t="str">
        <f t="shared" si="5"/>
        <v>20140101KUCIE562</v>
      </c>
      <c r="BO6" s="427" t="str">
        <f t="shared" si="6"/>
        <v>20140101PSS</v>
      </c>
      <c r="BP6" s="407">
        <f>IF(BM6&lt;=MiscData!$B$23,MiscData!$C$23,IF(BM6&lt;=MiscData!$B$24,MiscData!$C$24,MiscData!$C$25))</f>
        <v>20140101</v>
      </c>
      <c r="BQ6" s="407" t="str">
        <f>VLOOKUP(BR6,MiscData!$V$4:$W$42,2,FALSE)</f>
        <v>KUCIE562</v>
      </c>
      <c r="BR6" s="407">
        <f>IF(BR5=MiscData!$V$42,1,BR5+1)</f>
        <v>3</v>
      </c>
      <c r="BS6" s="407" t="str">
        <f>VLOOKUP(BQ6,MiscData!$W$4:$Y$42,3,FALSE)</f>
        <v>PSS</v>
      </c>
    </row>
    <row r="7" spans="1:79" hidden="1">
      <c r="A7" s="416">
        <f t="shared" si="7"/>
        <v>4</v>
      </c>
      <c r="B7" s="416" t="str">
        <f t="shared" si="0"/>
        <v>Jan 2015</v>
      </c>
      <c r="C7" s="416" t="s">
        <v>221</v>
      </c>
      <c r="D7" s="417" t="str">
        <f t="shared" si="1"/>
        <v>TODP</v>
      </c>
      <c r="E7" s="417" t="str">
        <f t="shared" si="2"/>
        <v>KUCIE563</v>
      </c>
      <c r="F7" s="418">
        <f t="shared" si="8"/>
        <v>52</v>
      </c>
      <c r="G7" s="467"/>
      <c r="H7" s="418">
        <v>0</v>
      </c>
      <c r="I7" s="418">
        <v>0</v>
      </c>
      <c r="J7" s="418">
        <v>0</v>
      </c>
      <c r="K7" s="418">
        <f t="shared" si="9"/>
        <v>240245651</v>
      </c>
      <c r="L7" s="459">
        <v>0</v>
      </c>
      <c r="M7" s="443">
        <f t="shared" si="10"/>
        <v>491105.69</v>
      </c>
      <c r="N7" s="443">
        <f t="shared" si="11"/>
        <v>456640.07</v>
      </c>
      <c r="O7" s="443">
        <f t="shared" si="12"/>
        <v>450122.46</v>
      </c>
      <c r="P7" s="443">
        <f t="shared" si="13"/>
        <v>491105.69</v>
      </c>
      <c r="Q7" s="443">
        <f t="shared" si="14"/>
        <v>456640.07</v>
      </c>
      <c r="R7" s="443">
        <f t="shared" si="15"/>
        <v>450122.46</v>
      </c>
      <c r="S7" s="484"/>
      <c r="T7" s="484"/>
      <c r="U7" s="484"/>
      <c r="V7" s="490">
        <v>0</v>
      </c>
      <c r="W7" s="490">
        <v>0</v>
      </c>
      <c r="X7" s="490">
        <v>0</v>
      </c>
      <c r="Y7" s="419">
        <f t="shared" si="16"/>
        <v>300</v>
      </c>
      <c r="Z7" s="420">
        <f t="shared" si="17"/>
        <v>3.7650000000000003E-2</v>
      </c>
      <c r="AA7" s="420">
        <v>0</v>
      </c>
      <c r="AB7" s="420">
        <v>0</v>
      </c>
      <c r="AC7" s="420">
        <f t="shared" si="18"/>
        <v>2.8920000000000001E-2</v>
      </c>
      <c r="AD7" s="419">
        <f t="shared" si="19"/>
        <v>1.71</v>
      </c>
      <c r="AE7" s="419">
        <f t="shared" si="20"/>
        <v>2.76</v>
      </c>
      <c r="AF7" s="419">
        <f t="shared" si="21"/>
        <v>4.26</v>
      </c>
      <c r="AG7" s="454">
        <f t="shared" si="22"/>
        <v>15600</v>
      </c>
      <c r="AH7" s="454">
        <f t="shared" si="23"/>
        <v>9045248.7599999998</v>
      </c>
      <c r="AI7" s="421">
        <f t="shared" si="24"/>
        <v>839790.73</v>
      </c>
      <c r="AJ7" s="421">
        <f t="shared" si="25"/>
        <v>1260326.5900000001</v>
      </c>
      <c r="AK7" s="421">
        <f t="shared" si="26"/>
        <v>1917521.68</v>
      </c>
      <c r="AL7" s="472">
        <v>0</v>
      </c>
      <c r="AM7" s="422">
        <f t="shared" si="27"/>
        <v>0</v>
      </c>
      <c r="AN7" s="423">
        <f t="shared" si="28"/>
        <v>0</v>
      </c>
      <c r="AO7" s="421">
        <f t="shared" si="29"/>
        <v>4017639</v>
      </c>
      <c r="AP7" s="472"/>
      <c r="AQ7" s="472"/>
      <c r="AR7" s="472"/>
      <c r="AS7" s="475">
        <v>0</v>
      </c>
      <c r="AT7" s="475">
        <v>0</v>
      </c>
      <c r="AU7" s="475">
        <v>0</v>
      </c>
      <c r="AV7" s="454">
        <f t="shared" si="30"/>
        <v>13078487.76</v>
      </c>
      <c r="AW7" s="421">
        <f t="shared" si="31"/>
        <v>13078487</v>
      </c>
      <c r="AX7" s="455">
        <f t="shared" si="3"/>
        <v>0.99999994188930608</v>
      </c>
      <c r="AY7" s="424">
        <f t="shared" si="32"/>
        <v>620513</v>
      </c>
      <c r="AZ7" s="424">
        <f t="shared" si="33"/>
        <v>250320</v>
      </c>
      <c r="BA7" s="424">
        <f t="shared" si="34"/>
        <v>736644</v>
      </c>
      <c r="BB7" s="424">
        <f t="shared" si="35"/>
        <v>0</v>
      </c>
      <c r="BC7" s="424">
        <f t="shared" si="36"/>
        <v>0</v>
      </c>
      <c r="BD7" s="424">
        <f t="shared" si="37"/>
        <v>14685964</v>
      </c>
      <c r="BE7" s="452">
        <f t="shared" si="38"/>
        <v>14685964.76</v>
      </c>
      <c r="BF7" s="448">
        <f t="shared" si="39"/>
        <v>-0.75999999977648258</v>
      </c>
      <c r="BG7" s="456">
        <f t="shared" si="40"/>
        <v>6947904.2300000004</v>
      </c>
      <c r="BH7" s="457">
        <f t="shared" si="4"/>
        <v>2097344.5299999993</v>
      </c>
      <c r="BI7" s="407" t="s">
        <v>1490</v>
      </c>
      <c r="BM7" s="429">
        <f>IF(BR7&gt;BR6,BM6,IF(BM6&lt;MiscData!$F$1,EOMONTH(BM6,1),EOMONTH(BM6,-11)))</f>
        <v>42035</v>
      </c>
      <c r="BN7" s="416" t="str">
        <f t="shared" si="5"/>
        <v>20140101KUCIE563</v>
      </c>
      <c r="BO7" s="427" t="str">
        <f t="shared" si="6"/>
        <v>20140101TODP</v>
      </c>
      <c r="BP7" s="407">
        <f>IF(BM7&lt;=MiscData!$B$23,MiscData!$C$23,IF(BM7&lt;=MiscData!$B$24,MiscData!$C$24,MiscData!$C$25))</f>
        <v>20140101</v>
      </c>
      <c r="BQ7" s="407" t="str">
        <f>VLOOKUP(BR7,MiscData!$V$4:$W$42,2,FALSE)</f>
        <v>KUCIE563</v>
      </c>
      <c r="BR7" s="407">
        <f>IF(BR6=MiscData!$V$42,1,BR6+1)</f>
        <v>4</v>
      </c>
      <c r="BS7" s="407" t="str">
        <f>VLOOKUP(BQ7,MiscData!$W$4:$Y$42,3,FALSE)</f>
        <v>TODP</v>
      </c>
    </row>
    <row r="8" spans="1:79">
      <c r="A8" s="416">
        <f t="shared" si="7"/>
        <v>5</v>
      </c>
      <c r="B8" s="416" t="str">
        <f t="shared" si="0"/>
        <v>Jan 2015</v>
      </c>
      <c r="C8" s="416" t="s">
        <v>26</v>
      </c>
      <c r="D8" s="417" t="str">
        <f t="shared" si="1"/>
        <v>PSP</v>
      </c>
      <c r="E8" s="417" t="str">
        <f t="shared" si="2"/>
        <v>KUCIE566</v>
      </c>
      <c r="F8" s="418">
        <f t="shared" si="8"/>
        <v>0</v>
      </c>
      <c r="G8" s="467"/>
      <c r="H8" s="418">
        <v>0</v>
      </c>
      <c r="I8" s="418">
        <v>0</v>
      </c>
      <c r="J8" s="418">
        <v>0</v>
      </c>
      <c r="K8" s="418">
        <f t="shared" si="9"/>
        <v>0</v>
      </c>
      <c r="L8" s="459">
        <v>0</v>
      </c>
      <c r="M8" s="443">
        <f t="shared" si="10"/>
        <v>0</v>
      </c>
      <c r="N8" s="443">
        <f t="shared" si="11"/>
        <v>0</v>
      </c>
      <c r="O8" s="443">
        <f t="shared" si="12"/>
        <v>0</v>
      </c>
      <c r="P8" s="443">
        <f t="shared" si="13"/>
        <v>0</v>
      </c>
      <c r="Q8" s="443">
        <f t="shared" si="14"/>
        <v>0</v>
      </c>
      <c r="R8" s="443">
        <f t="shared" si="15"/>
        <v>0</v>
      </c>
      <c r="S8" s="484">
        <v>0</v>
      </c>
      <c r="T8" s="484"/>
      <c r="U8" s="484">
        <v>0</v>
      </c>
      <c r="V8" s="490">
        <v>0</v>
      </c>
      <c r="W8" s="490">
        <v>0</v>
      </c>
      <c r="X8" s="490">
        <v>0</v>
      </c>
      <c r="Y8" s="419">
        <f t="shared" si="16"/>
        <v>170</v>
      </c>
      <c r="Z8" s="420">
        <f t="shared" si="17"/>
        <v>3.5619999999999999E-2</v>
      </c>
      <c r="AA8" s="420">
        <v>0</v>
      </c>
      <c r="AB8" s="420">
        <v>0</v>
      </c>
      <c r="AC8" s="420">
        <f t="shared" si="18"/>
        <v>2.8920000000000001E-2</v>
      </c>
      <c r="AD8" s="419">
        <f t="shared" si="19"/>
        <v>0</v>
      </c>
      <c r="AE8" s="419">
        <f t="shared" si="20"/>
        <v>13.18</v>
      </c>
      <c r="AF8" s="419">
        <f t="shared" si="21"/>
        <v>15.28</v>
      </c>
      <c r="AG8" s="454">
        <f t="shared" si="22"/>
        <v>0</v>
      </c>
      <c r="AH8" s="454">
        <f t="shared" si="23"/>
        <v>0</v>
      </c>
      <c r="AI8" s="421">
        <f t="shared" si="24"/>
        <v>0</v>
      </c>
      <c r="AJ8" s="421">
        <f t="shared" si="25"/>
        <v>0</v>
      </c>
      <c r="AK8" s="421">
        <f t="shared" si="26"/>
        <v>0</v>
      </c>
      <c r="AL8" s="472">
        <v>0</v>
      </c>
      <c r="AM8" s="422">
        <f t="shared" si="27"/>
        <v>0</v>
      </c>
      <c r="AN8" s="423">
        <f t="shared" si="28"/>
        <v>0</v>
      </c>
      <c r="AO8" s="421">
        <f t="shared" si="29"/>
        <v>0</v>
      </c>
      <c r="AP8" s="472"/>
      <c r="AQ8" s="472"/>
      <c r="AR8" s="472"/>
      <c r="AS8" s="475">
        <v>0</v>
      </c>
      <c r="AT8" s="475">
        <v>0</v>
      </c>
      <c r="AU8" s="475">
        <v>0</v>
      </c>
      <c r="AV8" s="454">
        <f t="shared" si="30"/>
        <v>0</v>
      </c>
      <c r="AW8" s="421">
        <f t="shared" si="31"/>
        <v>0</v>
      </c>
      <c r="AX8" s="455">
        <f t="shared" si="3"/>
        <v>1</v>
      </c>
      <c r="AY8" s="424">
        <f t="shared" si="32"/>
        <v>0</v>
      </c>
      <c r="AZ8" s="424">
        <f t="shared" si="33"/>
        <v>0</v>
      </c>
      <c r="BA8" s="424">
        <f t="shared" si="34"/>
        <v>0</v>
      </c>
      <c r="BB8" s="424">
        <f t="shared" si="35"/>
        <v>0</v>
      </c>
      <c r="BC8" s="424">
        <f t="shared" si="36"/>
        <v>0</v>
      </c>
      <c r="BD8" s="424">
        <f t="shared" si="37"/>
        <v>0</v>
      </c>
      <c r="BE8" s="452">
        <f t="shared" si="38"/>
        <v>0</v>
      </c>
      <c r="BF8" s="448">
        <f t="shared" si="39"/>
        <v>0</v>
      </c>
      <c r="BG8" s="456">
        <f t="shared" si="40"/>
        <v>0</v>
      </c>
      <c r="BH8" s="457">
        <f t="shared" si="4"/>
        <v>0</v>
      </c>
      <c r="BI8" s="407" t="s">
        <v>1490</v>
      </c>
      <c r="BM8" s="429">
        <f>IF(BR8&gt;BR7,BM7,IF(BM7&lt;MiscData!$F$1,EOMONTH(BM7,1),EOMONTH(BM7,-11)))</f>
        <v>42035</v>
      </c>
      <c r="BN8" s="416" t="str">
        <f t="shared" si="5"/>
        <v>20140101KUCIE566</v>
      </c>
      <c r="BO8" s="427" t="str">
        <f t="shared" si="6"/>
        <v>20140101PSP</v>
      </c>
      <c r="BP8" s="407">
        <f>IF(BM8&lt;=MiscData!$B$23,MiscData!$C$23,IF(BM8&lt;=MiscData!$B$24,MiscData!$C$24,MiscData!$C$25))</f>
        <v>20140101</v>
      </c>
      <c r="BQ8" s="407" t="str">
        <f>VLOOKUP(BR8,MiscData!$V$4:$W$42,2,FALSE)</f>
        <v>KUCIE566</v>
      </c>
      <c r="BR8" s="407">
        <f>IF(BR7=MiscData!$V$42,1,BR7+1)</f>
        <v>5</v>
      </c>
      <c r="BS8" s="407" t="str">
        <f>VLOOKUP(BQ8,MiscData!$W$4:$Y$42,3,FALSE)</f>
        <v>PSP</v>
      </c>
    </row>
    <row r="9" spans="1:79" hidden="1">
      <c r="A9" s="416">
        <f t="shared" si="7"/>
        <v>6</v>
      </c>
      <c r="B9" s="416" t="str">
        <f t="shared" si="0"/>
        <v>Jan 2015</v>
      </c>
      <c r="C9" s="416" t="s">
        <v>25</v>
      </c>
      <c r="D9" s="417" t="str">
        <f t="shared" si="1"/>
        <v>PSS</v>
      </c>
      <c r="E9" s="417" t="str">
        <f t="shared" si="2"/>
        <v>KUCIE568</v>
      </c>
      <c r="F9" s="418">
        <f t="shared" si="8"/>
        <v>0</v>
      </c>
      <c r="G9" s="467"/>
      <c r="H9" s="418">
        <v>0</v>
      </c>
      <c r="I9" s="418">
        <v>0</v>
      </c>
      <c r="J9" s="418">
        <v>0</v>
      </c>
      <c r="K9" s="418">
        <f t="shared" si="9"/>
        <v>0</v>
      </c>
      <c r="L9" s="459">
        <v>0</v>
      </c>
      <c r="M9" s="443">
        <f t="shared" si="10"/>
        <v>0</v>
      </c>
      <c r="N9" s="443">
        <f t="shared" si="11"/>
        <v>0</v>
      </c>
      <c r="O9" s="443">
        <f t="shared" si="12"/>
        <v>0</v>
      </c>
      <c r="P9" s="443">
        <f t="shared" si="13"/>
        <v>0</v>
      </c>
      <c r="Q9" s="443">
        <f t="shared" si="14"/>
        <v>0</v>
      </c>
      <c r="R9" s="443">
        <f t="shared" si="15"/>
        <v>0</v>
      </c>
      <c r="S9" s="484">
        <v>0</v>
      </c>
      <c r="T9" s="484"/>
      <c r="U9" s="484">
        <v>0</v>
      </c>
      <c r="V9" s="490">
        <v>0</v>
      </c>
      <c r="W9" s="490">
        <v>0</v>
      </c>
      <c r="X9" s="490">
        <v>0</v>
      </c>
      <c r="Y9" s="419">
        <f t="shared" si="16"/>
        <v>90</v>
      </c>
      <c r="Z9" s="420">
        <f t="shared" si="17"/>
        <v>3.5640000000000005E-2</v>
      </c>
      <c r="AA9" s="420">
        <v>0</v>
      </c>
      <c r="AB9" s="420">
        <v>0</v>
      </c>
      <c r="AC9" s="420">
        <f t="shared" si="18"/>
        <v>2.8920000000000001E-2</v>
      </c>
      <c r="AD9" s="419">
        <f t="shared" si="19"/>
        <v>0</v>
      </c>
      <c r="AE9" s="419">
        <f t="shared" si="20"/>
        <v>13.2</v>
      </c>
      <c r="AF9" s="419">
        <f t="shared" si="21"/>
        <v>15.3</v>
      </c>
      <c r="AG9" s="421">
        <f t="shared" si="22"/>
        <v>0</v>
      </c>
      <c r="AH9" s="454">
        <f t="shared" si="23"/>
        <v>0</v>
      </c>
      <c r="AI9" s="421">
        <f t="shared" si="24"/>
        <v>0</v>
      </c>
      <c r="AJ9" s="454">
        <f t="shared" si="25"/>
        <v>0</v>
      </c>
      <c r="AK9" s="454">
        <f t="shared" si="26"/>
        <v>0</v>
      </c>
      <c r="AL9" s="472"/>
      <c r="AM9" s="422">
        <f t="shared" si="27"/>
        <v>0</v>
      </c>
      <c r="AN9" s="423">
        <f t="shared" si="28"/>
        <v>0</v>
      </c>
      <c r="AO9" s="421">
        <f t="shared" si="29"/>
        <v>0</v>
      </c>
      <c r="AP9" s="472"/>
      <c r="AQ9" s="472"/>
      <c r="AR9" s="472"/>
      <c r="AS9" s="475">
        <v>0</v>
      </c>
      <c r="AT9" s="475">
        <v>0</v>
      </c>
      <c r="AU9" s="475">
        <v>0</v>
      </c>
      <c r="AV9" s="454">
        <f t="shared" si="30"/>
        <v>0</v>
      </c>
      <c r="AW9" s="421">
        <f t="shared" si="31"/>
        <v>0</v>
      </c>
      <c r="AX9" s="455">
        <f t="shared" si="3"/>
        <v>1</v>
      </c>
      <c r="AY9" s="424">
        <f t="shared" si="32"/>
        <v>0</v>
      </c>
      <c r="AZ9" s="424">
        <f t="shared" si="33"/>
        <v>0</v>
      </c>
      <c r="BA9" s="424">
        <f t="shared" si="34"/>
        <v>0</v>
      </c>
      <c r="BB9" s="424">
        <f t="shared" si="35"/>
        <v>0</v>
      </c>
      <c r="BC9" s="424">
        <f t="shared" si="36"/>
        <v>0</v>
      </c>
      <c r="BD9" s="424">
        <f t="shared" si="37"/>
        <v>0</v>
      </c>
      <c r="BE9" s="452">
        <f t="shared" si="38"/>
        <v>0</v>
      </c>
      <c r="BF9" s="448">
        <f t="shared" si="39"/>
        <v>0</v>
      </c>
      <c r="BG9" s="456">
        <f t="shared" si="40"/>
        <v>0</v>
      </c>
      <c r="BH9" s="457">
        <f t="shared" si="4"/>
        <v>0</v>
      </c>
      <c r="BI9" s="407" t="s">
        <v>1490</v>
      </c>
      <c r="BM9" s="429">
        <f>IF(BR9&gt;BR8,BM8,IF(BM8&lt;MiscData!$F$1,EOMONTH(BM8,1),EOMONTH(BM8,-11)))</f>
        <v>42035</v>
      </c>
      <c r="BN9" s="416" t="str">
        <f t="shared" si="5"/>
        <v>20140101KUCIE568</v>
      </c>
      <c r="BO9" s="427" t="str">
        <f t="shared" si="6"/>
        <v>20140101PSS</v>
      </c>
      <c r="BP9" s="407">
        <f>IF(BM9&lt;=MiscData!$B$23,MiscData!$C$23,IF(BM9&lt;=MiscData!$B$24,MiscData!$C$24,MiscData!$C$25))</f>
        <v>20140101</v>
      </c>
      <c r="BQ9" s="407" t="str">
        <f>VLOOKUP(BR9,MiscData!$V$4:$W$42,2,FALSE)</f>
        <v>KUCIE568</v>
      </c>
      <c r="BR9" s="407">
        <f>IF(BR8=MiscData!$V$42,1,BR8+1)</f>
        <v>6</v>
      </c>
      <c r="BS9" s="407" t="str">
        <f>VLOOKUP(BQ9,MiscData!$W$4:$Y$42,3,FALSE)</f>
        <v>PSS</v>
      </c>
    </row>
    <row r="10" spans="1:79" hidden="1">
      <c r="A10" s="416">
        <f t="shared" si="7"/>
        <v>7</v>
      </c>
      <c r="B10" s="416" t="str">
        <f t="shared" si="0"/>
        <v>Jan 2015</v>
      </c>
      <c r="C10" s="416" t="s">
        <v>221</v>
      </c>
      <c r="D10" s="417" t="str">
        <f t="shared" si="1"/>
        <v>TODP</v>
      </c>
      <c r="E10" s="417" t="str">
        <f t="shared" si="2"/>
        <v>KUCIE571</v>
      </c>
      <c r="F10" s="418">
        <f t="shared" si="8"/>
        <v>185</v>
      </c>
      <c r="G10" s="467"/>
      <c r="H10" s="418">
        <v>0</v>
      </c>
      <c r="I10" s="418">
        <v>0</v>
      </c>
      <c r="J10" s="418">
        <v>0</v>
      </c>
      <c r="K10" s="418">
        <f t="shared" si="9"/>
        <v>100894110</v>
      </c>
      <c r="L10" s="459">
        <v>0</v>
      </c>
      <c r="M10" s="443">
        <f t="shared" si="10"/>
        <v>254296.49</v>
      </c>
      <c r="N10" s="443">
        <f t="shared" si="11"/>
        <v>242176.31</v>
      </c>
      <c r="O10" s="443">
        <f t="shared" si="12"/>
        <v>237756.56</v>
      </c>
      <c r="P10" s="443">
        <f t="shared" si="13"/>
        <v>254296.49</v>
      </c>
      <c r="Q10" s="443">
        <f t="shared" si="14"/>
        <v>242176.31</v>
      </c>
      <c r="R10" s="443">
        <f t="shared" si="15"/>
        <v>237756.56</v>
      </c>
      <c r="S10" s="484"/>
      <c r="T10" s="484"/>
      <c r="U10" s="484"/>
      <c r="V10" s="490">
        <v>0</v>
      </c>
      <c r="W10" s="490">
        <v>0</v>
      </c>
      <c r="X10" s="490">
        <v>0</v>
      </c>
      <c r="Y10" s="419">
        <f t="shared" si="16"/>
        <v>300</v>
      </c>
      <c r="Z10" s="420">
        <f t="shared" si="17"/>
        <v>3.7650000000000003E-2</v>
      </c>
      <c r="AA10" s="420">
        <v>0</v>
      </c>
      <c r="AB10" s="420">
        <v>0</v>
      </c>
      <c r="AC10" s="420">
        <f t="shared" si="18"/>
        <v>2.8920000000000001E-2</v>
      </c>
      <c r="AD10" s="419">
        <f t="shared" si="19"/>
        <v>1.71</v>
      </c>
      <c r="AE10" s="419">
        <f t="shared" si="20"/>
        <v>2.76</v>
      </c>
      <c r="AF10" s="419">
        <f t="shared" si="21"/>
        <v>4.26</v>
      </c>
      <c r="AG10" s="454">
        <f t="shared" si="22"/>
        <v>55500</v>
      </c>
      <c r="AH10" s="454">
        <f t="shared" si="23"/>
        <v>3798663.24</v>
      </c>
      <c r="AI10" s="421">
        <f t="shared" si="24"/>
        <v>434847</v>
      </c>
      <c r="AJ10" s="421">
        <f t="shared" si="25"/>
        <v>668406.62</v>
      </c>
      <c r="AK10" s="421">
        <f t="shared" si="26"/>
        <v>1012842.95</v>
      </c>
      <c r="AL10" s="472">
        <v>0</v>
      </c>
      <c r="AM10" s="422">
        <f t="shared" si="27"/>
        <v>0</v>
      </c>
      <c r="AN10" s="423">
        <f t="shared" si="28"/>
        <v>0</v>
      </c>
      <c r="AO10" s="421">
        <f t="shared" si="29"/>
        <v>2116096.5700000003</v>
      </c>
      <c r="AP10" s="472"/>
      <c r="AQ10" s="472"/>
      <c r="AR10" s="472"/>
      <c r="AS10" s="475">
        <v>0</v>
      </c>
      <c r="AT10" s="475">
        <v>0</v>
      </c>
      <c r="AU10" s="475"/>
      <c r="AV10" s="454">
        <f t="shared" si="30"/>
        <v>5970259.8100000005</v>
      </c>
      <c r="AW10" s="421">
        <f t="shared" si="31"/>
        <v>5970260</v>
      </c>
      <c r="AX10" s="455">
        <f t="shared" si="3"/>
        <v>1.0000000318244107</v>
      </c>
      <c r="AY10" s="424">
        <f t="shared" si="32"/>
        <v>260592</v>
      </c>
      <c r="AZ10" s="424">
        <f t="shared" si="33"/>
        <v>105125</v>
      </c>
      <c r="BA10" s="424">
        <f t="shared" si="34"/>
        <v>309362</v>
      </c>
      <c r="BB10" s="424">
        <f t="shared" si="35"/>
        <v>0</v>
      </c>
      <c r="BC10" s="424">
        <f t="shared" si="36"/>
        <v>0</v>
      </c>
      <c r="BD10" s="424">
        <f t="shared" si="37"/>
        <v>6645339</v>
      </c>
      <c r="BE10" s="452">
        <f t="shared" si="38"/>
        <v>6645338.8100000005</v>
      </c>
      <c r="BF10" s="448">
        <f t="shared" si="39"/>
        <v>0.18999999947845936</v>
      </c>
      <c r="BG10" s="456">
        <f t="shared" si="40"/>
        <v>2917857.66</v>
      </c>
      <c r="BH10" s="457">
        <f t="shared" si="4"/>
        <v>880805.58000000007</v>
      </c>
      <c r="BI10" s="407" t="s">
        <v>1490</v>
      </c>
      <c r="BM10" s="429">
        <f>IF(BR10&gt;BR9,BM9,IF(BM9&lt;MiscData!$F$1,EOMONTH(BM9,1),EOMONTH(BM9,-11)))</f>
        <v>42035</v>
      </c>
      <c r="BN10" s="416" t="str">
        <f t="shared" si="5"/>
        <v>20140101KUCIE571</v>
      </c>
      <c r="BO10" s="427" t="str">
        <f t="shared" si="6"/>
        <v>20140101TODP</v>
      </c>
      <c r="BP10" s="407">
        <f>IF(BM10&lt;=MiscData!$B$23,MiscData!$C$23,IF(BM10&lt;=MiscData!$B$24,MiscData!$C$24,MiscData!$C$25))</f>
        <v>20140101</v>
      </c>
      <c r="BQ10" s="407" t="str">
        <f>VLOOKUP(BR10,MiscData!$V$4:$W$42,2,FALSE)</f>
        <v>KUCIE571</v>
      </c>
      <c r="BR10" s="407">
        <f>IF(BR9=MiscData!$V$42,1,BR9+1)</f>
        <v>7</v>
      </c>
      <c r="BS10" s="407" t="str">
        <f>VLOOKUP(BQ10,MiscData!$W$4:$Y$42,3,FALSE)</f>
        <v>TODP</v>
      </c>
    </row>
    <row r="11" spans="1:79" hidden="1">
      <c r="A11" s="416">
        <f t="shared" si="7"/>
        <v>8</v>
      </c>
      <c r="B11" s="416" t="str">
        <f t="shared" si="0"/>
        <v>Jan 2015</v>
      </c>
      <c r="C11" s="416" t="s">
        <v>220</v>
      </c>
      <c r="D11" s="417" t="str">
        <f t="shared" si="1"/>
        <v>TODS</v>
      </c>
      <c r="E11" s="417" t="str">
        <f t="shared" si="2"/>
        <v>KUCIE572</v>
      </c>
      <c r="F11" s="418">
        <f t="shared" si="8"/>
        <v>455</v>
      </c>
      <c r="G11" s="467"/>
      <c r="H11" s="418">
        <v>0</v>
      </c>
      <c r="I11" s="418">
        <v>0</v>
      </c>
      <c r="J11" s="418">
        <v>0</v>
      </c>
      <c r="K11" s="418">
        <f t="shared" si="9"/>
        <v>124209840</v>
      </c>
      <c r="L11" s="459">
        <v>0</v>
      </c>
      <c r="M11" s="443">
        <f t="shared" si="10"/>
        <v>303025.19</v>
      </c>
      <c r="N11" s="443">
        <f t="shared" si="11"/>
        <v>275995.63</v>
      </c>
      <c r="O11" s="443">
        <f t="shared" si="12"/>
        <v>269813.34000000003</v>
      </c>
      <c r="P11" s="443">
        <f t="shared" si="13"/>
        <v>303025.19</v>
      </c>
      <c r="Q11" s="443">
        <f t="shared" si="14"/>
        <v>275995.63</v>
      </c>
      <c r="R11" s="443">
        <f t="shared" si="15"/>
        <v>269813.34000000003</v>
      </c>
      <c r="S11" s="484"/>
      <c r="T11" s="484"/>
      <c r="U11" s="484"/>
      <c r="V11" s="490">
        <v>0</v>
      </c>
      <c r="W11" s="490">
        <v>0</v>
      </c>
      <c r="X11" s="490">
        <v>0</v>
      </c>
      <c r="Y11" s="419">
        <f t="shared" si="16"/>
        <v>200</v>
      </c>
      <c r="Z11" s="420">
        <f t="shared" si="17"/>
        <v>3.773E-2</v>
      </c>
      <c r="AA11" s="420">
        <v>0</v>
      </c>
      <c r="AB11" s="420">
        <v>0</v>
      </c>
      <c r="AC11" s="420">
        <f t="shared" si="18"/>
        <v>2.8920000000000001E-2</v>
      </c>
      <c r="AD11" s="419">
        <f t="shared" si="19"/>
        <v>3.62</v>
      </c>
      <c r="AE11" s="419">
        <f t="shared" si="20"/>
        <v>2.95</v>
      </c>
      <c r="AF11" s="419">
        <f t="shared" si="21"/>
        <v>4.55</v>
      </c>
      <c r="AG11" s="454">
        <f t="shared" si="22"/>
        <v>91000</v>
      </c>
      <c r="AH11" s="454">
        <f t="shared" si="23"/>
        <v>4686437.26</v>
      </c>
      <c r="AI11" s="421">
        <f t="shared" si="24"/>
        <v>1096951.19</v>
      </c>
      <c r="AJ11" s="421">
        <f t="shared" si="25"/>
        <v>814187.11</v>
      </c>
      <c r="AK11" s="421">
        <f t="shared" si="26"/>
        <v>1227650.7</v>
      </c>
      <c r="AL11" s="472"/>
      <c r="AM11" s="422">
        <f t="shared" si="27"/>
        <v>0</v>
      </c>
      <c r="AN11" s="423">
        <f t="shared" si="28"/>
        <v>0</v>
      </c>
      <c r="AO11" s="421">
        <f t="shared" si="29"/>
        <v>3138789</v>
      </c>
      <c r="AP11" s="472"/>
      <c r="AQ11" s="472"/>
      <c r="AR11" s="472"/>
      <c r="AS11" s="475">
        <v>0</v>
      </c>
      <c r="AT11" s="475">
        <v>0</v>
      </c>
      <c r="AU11" s="475">
        <v>0</v>
      </c>
      <c r="AV11" s="454">
        <f t="shared" si="30"/>
        <v>7916226.2599999998</v>
      </c>
      <c r="AW11" s="421">
        <f t="shared" si="31"/>
        <v>7916227</v>
      </c>
      <c r="AX11" s="455">
        <f t="shared" si="3"/>
        <v>1.0000000934788844</v>
      </c>
      <c r="AY11" s="424">
        <f t="shared" si="32"/>
        <v>320812</v>
      </c>
      <c r="AZ11" s="424">
        <f t="shared" si="33"/>
        <v>129418</v>
      </c>
      <c r="BA11" s="424">
        <f t="shared" si="34"/>
        <v>380853</v>
      </c>
      <c r="BB11" s="424">
        <f t="shared" si="35"/>
        <v>0</v>
      </c>
      <c r="BC11" s="424">
        <f t="shared" si="36"/>
        <v>0</v>
      </c>
      <c r="BD11" s="424">
        <f t="shared" si="37"/>
        <v>8747310</v>
      </c>
      <c r="BE11" s="452">
        <f t="shared" si="38"/>
        <v>8747309.2599999998</v>
      </c>
      <c r="BF11" s="448">
        <f t="shared" si="39"/>
        <v>0.74000000022351742</v>
      </c>
      <c r="BG11" s="456">
        <f t="shared" si="40"/>
        <v>3592148.57</v>
      </c>
      <c r="BH11" s="457">
        <f t="shared" si="4"/>
        <v>1094288.69</v>
      </c>
      <c r="BI11" s="407" t="s">
        <v>1490</v>
      </c>
      <c r="BM11" s="429">
        <f>IF(BR11&gt;BR10,BM10,IF(BM10&lt;MiscData!$F$1,EOMONTH(BM10,1),EOMONTH(BM10,-11)))</f>
        <v>42035</v>
      </c>
      <c r="BN11" s="416" t="str">
        <f t="shared" si="5"/>
        <v>20140101KUCIE572</v>
      </c>
      <c r="BO11" s="427" t="str">
        <f t="shared" si="6"/>
        <v>20140101TODS</v>
      </c>
      <c r="BP11" s="407">
        <f>IF(BM11&lt;=MiscData!$B$23,MiscData!$C$23,IF(BM11&lt;=MiscData!$B$24,MiscData!$C$24,MiscData!$C$25))</f>
        <v>20140101</v>
      </c>
      <c r="BQ11" s="407" t="str">
        <f>VLOOKUP(BR11,MiscData!$V$4:$W$42,2,FALSE)</f>
        <v>KUCIE572</v>
      </c>
      <c r="BR11" s="407">
        <f>IF(BR10=MiscData!$V$42,1,BR10+1)</f>
        <v>8</v>
      </c>
      <c r="BS11" s="407" t="str">
        <f>VLOOKUP(BQ11,MiscData!$W$4:$Y$42,3,FALSE)</f>
        <v>TODS</v>
      </c>
    </row>
    <row r="12" spans="1:79" hidden="1">
      <c r="A12" s="416">
        <f t="shared" si="7"/>
        <v>9</v>
      </c>
      <c r="B12" s="416" t="str">
        <f t="shared" si="0"/>
        <v>Jan 2015</v>
      </c>
      <c r="C12" s="416" t="s">
        <v>25</v>
      </c>
      <c r="D12" s="417" t="str">
        <f t="shared" si="1"/>
        <v>PSS</v>
      </c>
      <c r="E12" s="417" t="str">
        <f t="shared" si="2"/>
        <v>KUCIE717</v>
      </c>
      <c r="F12" s="418">
        <f t="shared" si="8"/>
        <v>0</v>
      </c>
      <c r="G12" s="467">
        <v>0</v>
      </c>
      <c r="H12" s="418">
        <v>0</v>
      </c>
      <c r="I12" s="418">
        <v>0</v>
      </c>
      <c r="J12" s="418">
        <v>0</v>
      </c>
      <c r="K12" s="418">
        <f t="shared" si="9"/>
        <v>0</v>
      </c>
      <c r="L12" s="459">
        <v>0</v>
      </c>
      <c r="M12" s="443">
        <f t="shared" si="10"/>
        <v>0</v>
      </c>
      <c r="N12" s="443">
        <f t="shared" si="11"/>
        <v>0</v>
      </c>
      <c r="O12" s="443">
        <f t="shared" si="12"/>
        <v>0</v>
      </c>
      <c r="P12" s="443">
        <f t="shared" si="13"/>
        <v>0</v>
      </c>
      <c r="Q12" s="443">
        <f t="shared" si="14"/>
        <v>0</v>
      </c>
      <c r="R12" s="443">
        <f t="shared" si="15"/>
        <v>0</v>
      </c>
      <c r="S12" s="484">
        <v>0</v>
      </c>
      <c r="T12" s="484">
        <v>0</v>
      </c>
      <c r="U12" s="484">
        <v>0</v>
      </c>
      <c r="V12" s="490">
        <v>0</v>
      </c>
      <c r="W12" s="490">
        <v>0</v>
      </c>
      <c r="X12" s="490">
        <v>0</v>
      </c>
      <c r="Y12" s="419">
        <f t="shared" si="16"/>
        <v>90</v>
      </c>
      <c r="Z12" s="420">
        <f t="shared" si="17"/>
        <v>3.5640000000000005E-2</v>
      </c>
      <c r="AA12" s="420">
        <v>0</v>
      </c>
      <c r="AB12" s="420">
        <v>0</v>
      </c>
      <c r="AC12" s="420">
        <f t="shared" si="18"/>
        <v>2.8920000000000001E-2</v>
      </c>
      <c r="AD12" s="419">
        <f t="shared" si="19"/>
        <v>0</v>
      </c>
      <c r="AE12" s="419">
        <f t="shared" si="20"/>
        <v>13.2</v>
      </c>
      <c r="AF12" s="419">
        <f t="shared" si="21"/>
        <v>15.3</v>
      </c>
      <c r="AG12" s="454">
        <f t="shared" si="22"/>
        <v>0</v>
      </c>
      <c r="AH12" s="454">
        <f t="shared" si="23"/>
        <v>0</v>
      </c>
      <c r="AI12" s="421">
        <f t="shared" si="24"/>
        <v>0</v>
      </c>
      <c r="AJ12" s="421">
        <f t="shared" si="25"/>
        <v>0</v>
      </c>
      <c r="AK12" s="421">
        <f t="shared" si="26"/>
        <v>0</v>
      </c>
      <c r="AL12" s="472">
        <v>0</v>
      </c>
      <c r="AM12" s="422">
        <f t="shared" si="27"/>
        <v>0</v>
      </c>
      <c r="AN12" s="423">
        <f t="shared" si="28"/>
        <v>0</v>
      </c>
      <c r="AO12" s="421">
        <f t="shared" si="29"/>
        <v>0</v>
      </c>
      <c r="AP12" s="472">
        <v>0</v>
      </c>
      <c r="AQ12" s="472">
        <v>0</v>
      </c>
      <c r="AR12" s="472">
        <v>0</v>
      </c>
      <c r="AS12" s="475">
        <v>0</v>
      </c>
      <c r="AT12" s="475">
        <v>0</v>
      </c>
      <c r="AU12" s="475">
        <v>0</v>
      </c>
      <c r="AV12" s="454">
        <f t="shared" si="30"/>
        <v>0</v>
      </c>
      <c r="AW12" s="421">
        <f t="shared" si="31"/>
        <v>0</v>
      </c>
      <c r="AX12" s="455">
        <f t="shared" si="3"/>
        <v>1</v>
      </c>
      <c r="AY12" s="424">
        <f t="shared" si="32"/>
        <v>0</v>
      </c>
      <c r="AZ12" s="424">
        <f t="shared" si="33"/>
        <v>0</v>
      </c>
      <c r="BA12" s="424">
        <f t="shared" si="34"/>
        <v>0</v>
      </c>
      <c r="BB12" s="424">
        <f t="shared" si="35"/>
        <v>0</v>
      </c>
      <c r="BC12" s="424">
        <f t="shared" si="36"/>
        <v>0</v>
      </c>
      <c r="BD12" s="424">
        <f t="shared" si="37"/>
        <v>0</v>
      </c>
      <c r="BE12" s="452">
        <f t="shared" si="38"/>
        <v>0</v>
      </c>
      <c r="BF12" s="448">
        <f t="shared" si="39"/>
        <v>0</v>
      </c>
      <c r="BG12" s="456">
        <f t="shared" si="40"/>
        <v>0</v>
      </c>
      <c r="BH12" s="457">
        <f t="shared" si="4"/>
        <v>0</v>
      </c>
      <c r="BI12" s="407" t="s">
        <v>1490</v>
      </c>
      <c r="BM12" s="429">
        <f>IF(BR12&gt;BR11,BM11,IF(BM11&lt;MiscData!$F$1,EOMONTH(BM11,1),EOMONTH(BM11,-11)))</f>
        <v>42035</v>
      </c>
      <c r="BN12" s="416" t="str">
        <f t="shared" si="5"/>
        <v>20140101KUCIE717</v>
      </c>
      <c r="BO12" s="427" t="str">
        <f t="shared" si="6"/>
        <v>20140101PSS</v>
      </c>
      <c r="BP12" s="407">
        <f>IF(BM12&lt;=MiscData!$B$23,MiscData!$C$23,IF(BM12&lt;=MiscData!$B$24,MiscData!$C$24,MiscData!$C$25))</f>
        <v>20140101</v>
      </c>
      <c r="BQ12" s="407" t="str">
        <f>VLOOKUP(BR12,MiscData!$V$4:$W$42,2,FALSE)</f>
        <v>KUCIE717</v>
      </c>
      <c r="BR12" s="407">
        <f>IF(BR11=MiscData!$V$42,1,BR11+1)</f>
        <v>9</v>
      </c>
      <c r="BS12" s="407" t="str">
        <f>VLOOKUP(BQ12,MiscData!$W$4:$Y$42,3,FALSE)</f>
        <v>PSS</v>
      </c>
    </row>
    <row r="13" spans="1:79" hidden="1">
      <c r="A13" s="416">
        <f t="shared" si="7"/>
        <v>10</v>
      </c>
      <c r="B13" s="416" t="str">
        <f t="shared" si="0"/>
        <v>Jan 2015</v>
      </c>
      <c r="C13" s="416" t="s">
        <v>224</v>
      </c>
      <c r="D13" s="417" t="str">
        <f t="shared" si="1"/>
        <v>GS</v>
      </c>
      <c r="E13" s="417" t="str">
        <f t="shared" si="2"/>
        <v>KUCME110</v>
      </c>
      <c r="F13" s="418">
        <f t="shared" si="8"/>
        <v>63444</v>
      </c>
      <c r="G13" s="467">
        <v>0</v>
      </c>
      <c r="H13" s="418">
        <v>0</v>
      </c>
      <c r="I13" s="418">
        <v>0</v>
      </c>
      <c r="J13" s="418">
        <v>0</v>
      </c>
      <c r="K13" s="418">
        <f t="shared" si="9"/>
        <v>74972451</v>
      </c>
      <c r="L13" s="481">
        <v>0</v>
      </c>
      <c r="M13" s="443">
        <f t="shared" si="10"/>
        <v>0</v>
      </c>
      <c r="N13" s="443">
        <f t="shared" si="11"/>
        <v>0</v>
      </c>
      <c r="O13" s="443">
        <f t="shared" si="12"/>
        <v>0</v>
      </c>
      <c r="P13" s="443">
        <f t="shared" si="13"/>
        <v>0</v>
      </c>
      <c r="Q13" s="443">
        <f t="shared" si="14"/>
        <v>0</v>
      </c>
      <c r="R13" s="443">
        <f t="shared" si="15"/>
        <v>0</v>
      </c>
      <c r="S13" s="484">
        <v>0</v>
      </c>
      <c r="T13" s="484">
        <v>0</v>
      </c>
      <c r="U13" s="484">
        <v>0</v>
      </c>
      <c r="V13" s="490">
        <v>0</v>
      </c>
      <c r="W13" s="490">
        <v>0</v>
      </c>
      <c r="X13" s="490">
        <v>0</v>
      </c>
      <c r="Y13" s="419">
        <f t="shared" si="16"/>
        <v>20</v>
      </c>
      <c r="Z13" s="420">
        <f t="shared" si="17"/>
        <v>9.2249999999999999E-2</v>
      </c>
      <c r="AA13" s="420">
        <v>0</v>
      </c>
      <c r="AB13" s="420">
        <v>0</v>
      </c>
      <c r="AC13" s="420">
        <f t="shared" si="18"/>
        <v>2.8920000000000001E-2</v>
      </c>
      <c r="AD13" s="419">
        <f t="shared" si="19"/>
        <v>0</v>
      </c>
      <c r="AE13" s="419">
        <f t="shared" si="20"/>
        <v>0</v>
      </c>
      <c r="AF13" s="419">
        <f t="shared" si="21"/>
        <v>0</v>
      </c>
      <c r="AG13" s="454">
        <f t="shared" si="22"/>
        <v>1268880</v>
      </c>
      <c r="AH13" s="454">
        <f t="shared" si="23"/>
        <v>6916208.5999999996</v>
      </c>
      <c r="AI13" s="421">
        <f t="shared" si="24"/>
        <v>0</v>
      </c>
      <c r="AJ13" s="421">
        <f t="shared" si="25"/>
        <v>0</v>
      </c>
      <c r="AK13" s="421">
        <f t="shared" si="26"/>
        <v>0</v>
      </c>
      <c r="AL13" s="472">
        <v>0</v>
      </c>
      <c r="AM13" s="422">
        <f t="shared" si="27"/>
        <v>0</v>
      </c>
      <c r="AN13" s="423">
        <f t="shared" si="28"/>
        <v>0</v>
      </c>
      <c r="AO13" s="421">
        <f t="shared" si="29"/>
        <v>0</v>
      </c>
      <c r="AP13" s="472">
        <v>0</v>
      </c>
      <c r="AQ13" s="472">
        <v>0</v>
      </c>
      <c r="AR13" s="472">
        <v>0</v>
      </c>
      <c r="AS13" s="475">
        <v>0</v>
      </c>
      <c r="AT13" s="475">
        <v>0</v>
      </c>
      <c r="AU13" s="475">
        <v>0</v>
      </c>
      <c r="AV13" s="454">
        <f t="shared" si="30"/>
        <v>8185088.5999999996</v>
      </c>
      <c r="AW13" s="421">
        <f t="shared" si="31"/>
        <v>8185091</v>
      </c>
      <c r="AX13" s="455">
        <f t="shared" si="3"/>
        <v>1.0000002932161296</v>
      </c>
      <c r="AY13" s="424">
        <f t="shared" si="32"/>
        <v>193641</v>
      </c>
      <c r="AZ13" s="424">
        <f t="shared" si="33"/>
        <v>78116</v>
      </c>
      <c r="BA13" s="424">
        <f t="shared" si="34"/>
        <v>229881</v>
      </c>
      <c r="BB13" s="424">
        <f t="shared" si="35"/>
        <v>0</v>
      </c>
      <c r="BC13" s="424">
        <f t="shared" si="36"/>
        <v>0</v>
      </c>
      <c r="BD13" s="424">
        <f t="shared" si="37"/>
        <v>8686729</v>
      </c>
      <c r="BE13" s="452">
        <f t="shared" si="38"/>
        <v>8686726.5999999996</v>
      </c>
      <c r="BF13" s="448">
        <f t="shared" si="39"/>
        <v>2.400000000372529</v>
      </c>
      <c r="BG13" s="456">
        <f t="shared" si="40"/>
        <v>2168203.2799999998</v>
      </c>
      <c r="BH13" s="457">
        <f t="shared" si="4"/>
        <v>4748005.32</v>
      </c>
      <c r="BI13" s="407" t="s">
        <v>1490</v>
      </c>
      <c r="BM13" s="429">
        <f>IF(BR13&gt;BR12,BM12,IF(BM12&lt;MiscData!$F$1,EOMONTH(BM12,1),EOMONTH(BM12,-11)))</f>
        <v>42035</v>
      </c>
      <c r="BN13" s="416" t="str">
        <f t="shared" si="5"/>
        <v>20140101KUCME110</v>
      </c>
      <c r="BO13" s="427" t="str">
        <f t="shared" si="6"/>
        <v>20140101GS</v>
      </c>
      <c r="BP13" s="407">
        <f>IF(BM13&lt;=MiscData!$B$23,MiscData!$C$23,IF(BM13&lt;=MiscData!$B$24,MiscData!$C$24,MiscData!$C$25))</f>
        <v>20140101</v>
      </c>
      <c r="BQ13" s="407" t="str">
        <f>VLOOKUP(BR13,MiscData!$V$4:$W$42,2,FALSE)</f>
        <v>KUCME110</v>
      </c>
      <c r="BR13" s="407">
        <f>IF(BR12=MiscData!$V$42,1,BR12+1)</f>
        <v>10</v>
      </c>
      <c r="BS13" s="407" t="str">
        <f>VLOOKUP(BQ13,MiscData!$W$4:$Y$42,3,FALSE)</f>
        <v>GS</v>
      </c>
    </row>
    <row r="14" spans="1:79" hidden="1">
      <c r="A14" s="416">
        <f t="shared" si="7"/>
        <v>11</v>
      </c>
      <c r="B14" s="416" t="str">
        <f t="shared" si="0"/>
        <v>Jan 2015</v>
      </c>
      <c r="C14" s="416" t="s">
        <v>224</v>
      </c>
      <c r="D14" s="417" t="str">
        <f t="shared" si="1"/>
        <v>GS</v>
      </c>
      <c r="E14" s="417" t="str">
        <f t="shared" si="2"/>
        <v>KUCME112</v>
      </c>
      <c r="F14" s="418">
        <f t="shared" si="8"/>
        <v>0</v>
      </c>
      <c r="G14" s="467">
        <v>0</v>
      </c>
      <c r="H14" s="418">
        <v>0</v>
      </c>
      <c r="I14" s="418">
        <v>0</v>
      </c>
      <c r="J14" s="418">
        <v>0</v>
      </c>
      <c r="K14" s="418">
        <f t="shared" si="9"/>
        <v>0</v>
      </c>
      <c r="L14" s="459">
        <v>0</v>
      </c>
      <c r="M14" s="443">
        <f t="shared" si="10"/>
        <v>0</v>
      </c>
      <c r="N14" s="443">
        <f t="shared" si="11"/>
        <v>0</v>
      </c>
      <c r="O14" s="443">
        <f t="shared" si="12"/>
        <v>0</v>
      </c>
      <c r="P14" s="443">
        <f t="shared" si="13"/>
        <v>0</v>
      </c>
      <c r="Q14" s="443">
        <f t="shared" si="14"/>
        <v>0</v>
      </c>
      <c r="R14" s="443">
        <f t="shared" si="15"/>
        <v>0</v>
      </c>
      <c r="S14" s="484">
        <v>0</v>
      </c>
      <c r="T14" s="484">
        <v>0</v>
      </c>
      <c r="U14" s="484">
        <v>0</v>
      </c>
      <c r="V14" s="490">
        <v>0</v>
      </c>
      <c r="W14" s="490">
        <v>0</v>
      </c>
      <c r="X14" s="490">
        <v>0</v>
      </c>
      <c r="Y14" s="419">
        <f t="shared" si="16"/>
        <v>20</v>
      </c>
      <c r="Z14" s="420">
        <f t="shared" si="17"/>
        <v>9.2249999999999999E-2</v>
      </c>
      <c r="AA14" s="420">
        <v>0</v>
      </c>
      <c r="AB14" s="420">
        <v>0</v>
      </c>
      <c r="AC14" s="420">
        <f t="shared" si="18"/>
        <v>2.8920000000000001E-2</v>
      </c>
      <c r="AD14" s="419">
        <f t="shared" si="19"/>
        <v>0</v>
      </c>
      <c r="AE14" s="419">
        <f t="shared" si="20"/>
        <v>0</v>
      </c>
      <c r="AF14" s="419">
        <f t="shared" si="21"/>
        <v>0</v>
      </c>
      <c r="AG14" s="454">
        <f t="shared" si="22"/>
        <v>0</v>
      </c>
      <c r="AH14" s="454">
        <f t="shared" si="23"/>
        <v>0</v>
      </c>
      <c r="AI14" s="421">
        <f t="shared" si="24"/>
        <v>0</v>
      </c>
      <c r="AJ14" s="421">
        <f t="shared" si="25"/>
        <v>0</v>
      </c>
      <c r="AK14" s="421">
        <f t="shared" si="26"/>
        <v>0</v>
      </c>
      <c r="AL14" s="472">
        <v>0</v>
      </c>
      <c r="AM14" s="422">
        <f t="shared" si="27"/>
        <v>0</v>
      </c>
      <c r="AN14" s="423">
        <f t="shared" si="28"/>
        <v>0</v>
      </c>
      <c r="AO14" s="421">
        <f t="shared" si="29"/>
        <v>0</v>
      </c>
      <c r="AP14" s="472">
        <v>0</v>
      </c>
      <c r="AQ14" s="472">
        <v>0</v>
      </c>
      <c r="AR14" s="472">
        <v>0</v>
      </c>
      <c r="AS14" s="475">
        <v>0</v>
      </c>
      <c r="AT14" s="475">
        <v>0</v>
      </c>
      <c r="AU14" s="475">
        <v>0</v>
      </c>
      <c r="AV14" s="454">
        <f t="shared" si="30"/>
        <v>0</v>
      </c>
      <c r="AW14" s="421">
        <f t="shared" si="31"/>
        <v>0</v>
      </c>
      <c r="AX14" s="455">
        <f t="shared" ref="AX14:AX42" si="41">IF(AND(AV14=0,AW14=0),1,IF(AV14=0,0,AW14/AV14))</f>
        <v>1</v>
      </c>
      <c r="AY14" s="424">
        <f t="shared" si="32"/>
        <v>0</v>
      </c>
      <c r="AZ14" s="424">
        <f t="shared" si="33"/>
        <v>0</v>
      </c>
      <c r="BA14" s="424">
        <f t="shared" si="34"/>
        <v>0</v>
      </c>
      <c r="BB14" s="424">
        <f t="shared" si="35"/>
        <v>0</v>
      </c>
      <c r="BC14" s="424">
        <f t="shared" si="36"/>
        <v>0</v>
      </c>
      <c r="BD14" s="424">
        <f t="shared" si="37"/>
        <v>0</v>
      </c>
      <c r="BE14" s="452">
        <f t="shared" si="38"/>
        <v>0</v>
      </c>
      <c r="BF14" s="448">
        <f t="shared" si="39"/>
        <v>0</v>
      </c>
      <c r="BG14" s="456">
        <f t="shared" si="40"/>
        <v>0</v>
      </c>
      <c r="BH14" s="457">
        <f t="shared" si="4"/>
        <v>0</v>
      </c>
      <c r="BI14" s="407" t="s">
        <v>1490</v>
      </c>
      <c r="BM14" s="429">
        <f>IF(BR14&gt;BR13,BM13,IF(BM13&lt;MiscData!$F$1,EOMONTH(BM13,1),EOMONTH(BM13,-11)))</f>
        <v>42035</v>
      </c>
      <c r="BN14" s="416" t="str">
        <f t="shared" si="5"/>
        <v>20140101KUCME112</v>
      </c>
      <c r="BO14" s="427" t="str">
        <f t="shared" si="6"/>
        <v>20140101GS</v>
      </c>
      <c r="BP14" s="407">
        <f>IF(BM14&lt;=MiscData!$B$23,MiscData!$C$23,IF(BM14&lt;=MiscData!$B$24,MiscData!$C$24,MiscData!$C$25))</f>
        <v>20140101</v>
      </c>
      <c r="BQ14" s="407" t="str">
        <f>VLOOKUP(BR14,MiscData!$V$4:$W$42,2,FALSE)</f>
        <v>KUCME112</v>
      </c>
      <c r="BR14" s="407">
        <f>IF(BR13=MiscData!$V$42,1,BR13+1)</f>
        <v>11</v>
      </c>
      <c r="BS14" s="407" t="str">
        <f>VLOOKUP(BQ14,MiscData!$W$4:$Y$42,3,FALSE)</f>
        <v>GS</v>
      </c>
    </row>
    <row r="15" spans="1:79" hidden="1">
      <c r="A15" s="416">
        <f t="shared" si="7"/>
        <v>12</v>
      </c>
      <c r="B15" s="416" t="str">
        <f t="shared" si="0"/>
        <v>Jan 2015</v>
      </c>
      <c r="C15" s="416" t="s">
        <v>18</v>
      </c>
      <c r="D15" s="417" t="str">
        <f t="shared" si="1"/>
        <v>GS3</v>
      </c>
      <c r="E15" s="417" t="str">
        <f t="shared" si="2"/>
        <v>KUCME113</v>
      </c>
      <c r="F15" s="418">
        <f t="shared" si="8"/>
        <v>18546</v>
      </c>
      <c r="G15" s="467">
        <v>0</v>
      </c>
      <c r="H15" s="418">
        <v>0</v>
      </c>
      <c r="I15" s="418">
        <v>0</v>
      </c>
      <c r="J15" s="418">
        <v>0</v>
      </c>
      <c r="K15" s="418">
        <f t="shared" si="9"/>
        <v>110082107</v>
      </c>
      <c r="L15" s="481">
        <v>0</v>
      </c>
      <c r="M15" s="443">
        <f t="shared" si="10"/>
        <v>416527.74</v>
      </c>
      <c r="N15" s="443">
        <f t="shared" si="11"/>
        <v>0</v>
      </c>
      <c r="O15" s="443">
        <f t="shared" si="12"/>
        <v>0</v>
      </c>
      <c r="P15" s="443">
        <f t="shared" si="13"/>
        <v>0</v>
      </c>
      <c r="Q15" s="443">
        <f t="shared" si="14"/>
        <v>0</v>
      </c>
      <c r="R15" s="443">
        <f t="shared" si="15"/>
        <v>0</v>
      </c>
      <c r="S15" s="484">
        <v>0</v>
      </c>
      <c r="T15" s="484">
        <v>0</v>
      </c>
      <c r="U15" s="484">
        <v>0</v>
      </c>
      <c r="V15" s="490">
        <v>0</v>
      </c>
      <c r="W15" s="490">
        <v>0</v>
      </c>
      <c r="X15" s="490">
        <v>0</v>
      </c>
      <c r="Y15" s="419">
        <f t="shared" si="16"/>
        <v>35</v>
      </c>
      <c r="Z15" s="420">
        <f t="shared" si="17"/>
        <v>9.2249999999999999E-2</v>
      </c>
      <c r="AA15" s="420">
        <v>0</v>
      </c>
      <c r="AB15" s="420">
        <v>0</v>
      </c>
      <c r="AC15" s="420">
        <f t="shared" si="18"/>
        <v>2.8920000000000001E-2</v>
      </c>
      <c r="AD15" s="419">
        <f t="shared" si="19"/>
        <v>0</v>
      </c>
      <c r="AE15" s="419">
        <f t="shared" si="20"/>
        <v>0</v>
      </c>
      <c r="AF15" s="419">
        <f t="shared" si="21"/>
        <v>0</v>
      </c>
      <c r="AG15" s="454">
        <f t="shared" si="22"/>
        <v>649110</v>
      </c>
      <c r="AH15" s="454">
        <f t="shared" si="23"/>
        <v>10155074.369999999</v>
      </c>
      <c r="AI15" s="421">
        <f t="shared" si="24"/>
        <v>0</v>
      </c>
      <c r="AJ15" s="421">
        <f t="shared" si="25"/>
        <v>0</v>
      </c>
      <c r="AK15" s="421">
        <f t="shared" si="26"/>
        <v>0</v>
      </c>
      <c r="AL15" s="472">
        <v>0</v>
      </c>
      <c r="AM15" s="422">
        <f t="shared" si="27"/>
        <v>0</v>
      </c>
      <c r="AN15" s="423">
        <f t="shared" si="28"/>
        <v>0</v>
      </c>
      <c r="AO15" s="421">
        <f t="shared" si="29"/>
        <v>0</v>
      </c>
      <c r="AP15" s="472">
        <v>0</v>
      </c>
      <c r="AQ15" s="472">
        <v>0</v>
      </c>
      <c r="AR15" s="472">
        <v>0</v>
      </c>
      <c r="AS15" s="475">
        <v>0</v>
      </c>
      <c r="AT15" s="475">
        <v>0</v>
      </c>
      <c r="AU15" s="475">
        <v>0</v>
      </c>
      <c r="AV15" s="454">
        <f t="shared" si="30"/>
        <v>10804184.369999999</v>
      </c>
      <c r="AW15" s="421">
        <f t="shared" si="31"/>
        <v>10804180</v>
      </c>
      <c r="AX15" s="455">
        <f t="shared" si="41"/>
        <v>0.99999959552708007</v>
      </c>
      <c r="AY15" s="424">
        <f t="shared" si="32"/>
        <v>284323</v>
      </c>
      <c r="AZ15" s="424">
        <f t="shared" si="33"/>
        <v>114698</v>
      </c>
      <c r="BA15" s="424">
        <f t="shared" si="34"/>
        <v>337535</v>
      </c>
      <c r="BB15" s="424">
        <f t="shared" si="35"/>
        <v>0</v>
      </c>
      <c r="BC15" s="424">
        <f t="shared" si="36"/>
        <v>0</v>
      </c>
      <c r="BD15" s="424">
        <f t="shared" si="37"/>
        <v>11540736</v>
      </c>
      <c r="BE15" s="452">
        <f t="shared" si="38"/>
        <v>11540740.369999999</v>
      </c>
      <c r="BF15" s="448">
        <f t="shared" si="39"/>
        <v>-4.3699999991804361</v>
      </c>
      <c r="BG15" s="456">
        <f t="shared" si="40"/>
        <v>3183574.53</v>
      </c>
      <c r="BH15" s="457">
        <f t="shared" si="4"/>
        <v>6971499.8399999999</v>
      </c>
      <c r="BI15" s="407" t="s">
        <v>1490</v>
      </c>
      <c r="BM15" s="429">
        <f>IF(BR15&gt;BR14,BM14,IF(BM14&lt;MiscData!$F$1,EOMONTH(BM14,1),EOMONTH(BM14,-11)))</f>
        <v>42035</v>
      </c>
      <c r="BN15" s="416" t="str">
        <f t="shared" si="5"/>
        <v>20140101KUCME113</v>
      </c>
      <c r="BO15" s="427" t="str">
        <f t="shared" si="6"/>
        <v>20140101GS3</v>
      </c>
      <c r="BP15" s="407">
        <f>IF(BM15&lt;=MiscData!$B$23,MiscData!$C$23,IF(BM15&lt;=MiscData!$B$24,MiscData!$C$24,MiscData!$C$25))</f>
        <v>20140101</v>
      </c>
      <c r="BQ15" s="407" t="str">
        <f>VLOOKUP(BR15,MiscData!$V$4:$W$42,2,FALSE)</f>
        <v>KUCME113</v>
      </c>
      <c r="BR15" s="407">
        <f>IF(BR14=MiscData!$V$42,1,BR14+1)</f>
        <v>12</v>
      </c>
      <c r="BS15" s="407" t="str">
        <f>VLOOKUP(BQ15,MiscData!$W$4:$Y$42,3,FALSE)</f>
        <v>GS3</v>
      </c>
    </row>
    <row r="16" spans="1:79" hidden="1">
      <c r="A16" s="416">
        <f t="shared" si="7"/>
        <v>13</v>
      </c>
      <c r="B16" s="416" t="str">
        <f t="shared" si="0"/>
        <v>Jan 2015</v>
      </c>
      <c r="C16" s="416" t="s">
        <v>219</v>
      </c>
      <c r="D16" s="417" t="str">
        <f t="shared" si="1"/>
        <v>AES</v>
      </c>
      <c r="E16" s="417" t="str">
        <f t="shared" si="2"/>
        <v>KUCME220</v>
      </c>
      <c r="F16" s="418">
        <f t="shared" si="8"/>
        <v>371</v>
      </c>
      <c r="G16" s="467">
        <v>0</v>
      </c>
      <c r="H16" s="418">
        <v>0</v>
      </c>
      <c r="I16" s="418">
        <v>0</v>
      </c>
      <c r="J16" s="418">
        <v>0</v>
      </c>
      <c r="K16" s="418">
        <f t="shared" si="9"/>
        <v>781136</v>
      </c>
      <c r="L16" s="459">
        <v>0</v>
      </c>
      <c r="M16" s="443">
        <f t="shared" si="10"/>
        <v>0</v>
      </c>
      <c r="N16" s="443">
        <f t="shared" si="11"/>
        <v>0</v>
      </c>
      <c r="O16" s="443">
        <f t="shared" si="12"/>
        <v>0</v>
      </c>
      <c r="P16" s="443">
        <f t="shared" si="13"/>
        <v>0</v>
      </c>
      <c r="Q16" s="443">
        <f t="shared" si="14"/>
        <v>0</v>
      </c>
      <c r="R16" s="443">
        <f t="shared" si="15"/>
        <v>0</v>
      </c>
      <c r="S16" s="484">
        <v>0</v>
      </c>
      <c r="T16" s="484">
        <v>0</v>
      </c>
      <c r="U16" s="484">
        <v>0</v>
      </c>
      <c r="V16" s="490">
        <v>0</v>
      </c>
      <c r="W16" s="490">
        <v>0</v>
      </c>
      <c r="X16" s="490">
        <v>0</v>
      </c>
      <c r="Y16" s="419">
        <f t="shared" si="16"/>
        <v>20</v>
      </c>
      <c r="Z16" s="420">
        <f t="shared" si="17"/>
        <v>7.4399999999999994E-2</v>
      </c>
      <c r="AA16" s="420">
        <v>0</v>
      </c>
      <c r="AB16" s="420">
        <v>0</v>
      </c>
      <c r="AC16" s="420">
        <f t="shared" si="18"/>
        <v>2.8920000000000001E-2</v>
      </c>
      <c r="AD16" s="419">
        <f t="shared" si="19"/>
        <v>0</v>
      </c>
      <c r="AE16" s="419">
        <f t="shared" si="20"/>
        <v>0</v>
      </c>
      <c r="AF16" s="419">
        <f t="shared" si="21"/>
        <v>0</v>
      </c>
      <c r="AG16" s="454">
        <f t="shared" si="22"/>
        <v>7420</v>
      </c>
      <c r="AH16" s="454">
        <f t="shared" si="23"/>
        <v>58116.52</v>
      </c>
      <c r="AI16" s="421">
        <f t="shared" si="24"/>
        <v>0</v>
      </c>
      <c r="AJ16" s="421">
        <f t="shared" si="25"/>
        <v>0</v>
      </c>
      <c r="AK16" s="421">
        <f t="shared" si="26"/>
        <v>0</v>
      </c>
      <c r="AL16" s="472">
        <v>0</v>
      </c>
      <c r="AM16" s="422">
        <f t="shared" si="27"/>
        <v>0</v>
      </c>
      <c r="AN16" s="423">
        <f t="shared" si="28"/>
        <v>0</v>
      </c>
      <c r="AO16" s="421">
        <f t="shared" si="29"/>
        <v>0</v>
      </c>
      <c r="AP16" s="472">
        <v>0</v>
      </c>
      <c r="AQ16" s="472">
        <v>0</v>
      </c>
      <c r="AR16" s="472">
        <v>0</v>
      </c>
      <c r="AS16" s="475">
        <v>0</v>
      </c>
      <c r="AT16" s="475">
        <v>0</v>
      </c>
      <c r="AU16" s="475">
        <v>0</v>
      </c>
      <c r="AV16" s="454">
        <f t="shared" si="30"/>
        <v>65536.51999999999</v>
      </c>
      <c r="AW16" s="421">
        <f t="shared" si="31"/>
        <v>65536</v>
      </c>
      <c r="AX16" s="455">
        <f t="shared" si="41"/>
        <v>0.99999206549264452</v>
      </c>
      <c r="AY16" s="424">
        <f t="shared" si="32"/>
        <v>2018</v>
      </c>
      <c r="AZ16" s="424">
        <f t="shared" si="33"/>
        <v>814</v>
      </c>
      <c r="BA16" s="424">
        <f t="shared" si="34"/>
        <v>2395</v>
      </c>
      <c r="BB16" s="424">
        <f t="shared" si="35"/>
        <v>0</v>
      </c>
      <c r="BC16" s="424">
        <f t="shared" si="36"/>
        <v>0</v>
      </c>
      <c r="BD16" s="424">
        <f t="shared" si="37"/>
        <v>70763</v>
      </c>
      <c r="BE16" s="452">
        <f t="shared" si="38"/>
        <v>70763.51999999999</v>
      </c>
      <c r="BF16" s="448">
        <f t="shared" si="39"/>
        <v>-0.51999999998952262</v>
      </c>
      <c r="BG16" s="456">
        <f t="shared" si="40"/>
        <v>22590.45</v>
      </c>
      <c r="BH16" s="457">
        <f t="shared" si="4"/>
        <v>35526.069999999992</v>
      </c>
      <c r="BI16" s="407" t="s">
        <v>1490</v>
      </c>
      <c r="BM16" s="429">
        <f>IF(BR16&gt;BR15,BM15,IF(BM15&lt;MiscData!$F$1,EOMONTH(BM15,1),EOMONTH(BM15,-11)))</f>
        <v>42035</v>
      </c>
      <c r="BN16" s="416" t="str">
        <f t="shared" si="5"/>
        <v>20140101KUCME220</v>
      </c>
      <c r="BO16" s="427" t="str">
        <f t="shared" si="6"/>
        <v>20140101AES</v>
      </c>
      <c r="BP16" s="407">
        <f>IF(BM16&lt;=MiscData!$B$23,MiscData!$C$23,IF(BM16&lt;=MiscData!$B$24,MiscData!$C$24,MiscData!$C$25))</f>
        <v>20140101</v>
      </c>
      <c r="BQ16" s="407" t="str">
        <f>VLOOKUP(BR16,MiscData!$V$4:$W$42,2,FALSE)</f>
        <v>KUCME220</v>
      </c>
      <c r="BR16" s="407">
        <f>IF(BR15=MiscData!$V$42,1,BR15+1)</f>
        <v>13</v>
      </c>
      <c r="BS16" s="407" t="str">
        <f>VLOOKUP(BQ16,MiscData!$W$4:$Y$42,3,FALSE)</f>
        <v>AES</v>
      </c>
    </row>
    <row r="17" spans="1:71" hidden="1">
      <c r="A17" s="416">
        <f t="shared" si="7"/>
        <v>14</v>
      </c>
      <c r="B17" s="416" t="str">
        <f t="shared" si="0"/>
        <v>Jan 2015</v>
      </c>
      <c r="C17" s="416" t="s">
        <v>219</v>
      </c>
      <c r="D17" s="417" t="str">
        <f t="shared" si="1"/>
        <v>AES</v>
      </c>
      <c r="E17" s="417" t="str">
        <f t="shared" si="2"/>
        <v>KUCME221</v>
      </c>
      <c r="F17" s="418">
        <f t="shared" si="8"/>
        <v>0</v>
      </c>
      <c r="G17" s="467">
        <v>0</v>
      </c>
      <c r="H17" s="418">
        <v>0</v>
      </c>
      <c r="I17" s="418">
        <v>0</v>
      </c>
      <c r="J17" s="418">
        <v>0</v>
      </c>
      <c r="K17" s="418">
        <f t="shared" si="9"/>
        <v>0</v>
      </c>
      <c r="L17" s="459">
        <v>0</v>
      </c>
      <c r="M17" s="443">
        <f t="shared" si="10"/>
        <v>0</v>
      </c>
      <c r="N17" s="443">
        <f t="shared" si="11"/>
        <v>0</v>
      </c>
      <c r="O17" s="443">
        <f t="shared" si="12"/>
        <v>0</v>
      </c>
      <c r="P17" s="443">
        <f t="shared" si="13"/>
        <v>0</v>
      </c>
      <c r="Q17" s="443">
        <f t="shared" si="14"/>
        <v>0</v>
      </c>
      <c r="R17" s="443">
        <f t="shared" si="15"/>
        <v>0</v>
      </c>
      <c r="S17" s="484">
        <v>0</v>
      </c>
      <c r="T17" s="484">
        <v>0</v>
      </c>
      <c r="U17" s="484">
        <v>0</v>
      </c>
      <c r="V17" s="490">
        <v>0</v>
      </c>
      <c r="W17" s="490">
        <v>0</v>
      </c>
      <c r="X17" s="490">
        <v>0</v>
      </c>
      <c r="Y17" s="419">
        <f t="shared" si="16"/>
        <v>20</v>
      </c>
      <c r="Z17" s="420">
        <f t="shared" si="17"/>
        <v>7.4399999999999994E-2</v>
      </c>
      <c r="AA17" s="420">
        <v>0</v>
      </c>
      <c r="AB17" s="420">
        <v>0</v>
      </c>
      <c r="AC17" s="420">
        <f t="shared" si="18"/>
        <v>2.8920000000000001E-2</v>
      </c>
      <c r="AD17" s="419">
        <f t="shared" si="19"/>
        <v>0</v>
      </c>
      <c r="AE17" s="419">
        <f t="shared" si="20"/>
        <v>0</v>
      </c>
      <c r="AF17" s="419">
        <f t="shared" si="21"/>
        <v>0</v>
      </c>
      <c r="AG17" s="454">
        <f t="shared" si="22"/>
        <v>0</v>
      </c>
      <c r="AH17" s="454">
        <f t="shared" si="23"/>
        <v>0</v>
      </c>
      <c r="AI17" s="421">
        <f t="shared" si="24"/>
        <v>0</v>
      </c>
      <c r="AJ17" s="421">
        <f t="shared" si="25"/>
        <v>0</v>
      </c>
      <c r="AK17" s="421">
        <f t="shared" si="26"/>
        <v>0</v>
      </c>
      <c r="AL17" s="472">
        <v>0</v>
      </c>
      <c r="AM17" s="422">
        <f t="shared" si="27"/>
        <v>0</v>
      </c>
      <c r="AN17" s="423">
        <f t="shared" si="28"/>
        <v>0</v>
      </c>
      <c r="AO17" s="421">
        <f t="shared" si="29"/>
        <v>0</v>
      </c>
      <c r="AP17" s="472">
        <v>0</v>
      </c>
      <c r="AQ17" s="472">
        <v>0</v>
      </c>
      <c r="AR17" s="472">
        <v>0</v>
      </c>
      <c r="AS17" s="475">
        <v>0</v>
      </c>
      <c r="AT17" s="475">
        <v>0</v>
      </c>
      <c r="AU17" s="475">
        <v>0</v>
      </c>
      <c r="AV17" s="454">
        <f t="shared" si="30"/>
        <v>0</v>
      </c>
      <c r="AW17" s="421">
        <f t="shared" si="31"/>
        <v>0</v>
      </c>
      <c r="AX17" s="455">
        <f t="shared" si="41"/>
        <v>1</v>
      </c>
      <c r="AY17" s="424">
        <f t="shared" si="32"/>
        <v>0</v>
      </c>
      <c r="AZ17" s="424">
        <f t="shared" si="33"/>
        <v>0</v>
      </c>
      <c r="BA17" s="424">
        <f t="shared" si="34"/>
        <v>0</v>
      </c>
      <c r="BB17" s="424">
        <f t="shared" si="35"/>
        <v>0</v>
      </c>
      <c r="BC17" s="424">
        <f t="shared" si="36"/>
        <v>0</v>
      </c>
      <c r="BD17" s="424">
        <f t="shared" si="37"/>
        <v>0</v>
      </c>
      <c r="BE17" s="452">
        <f t="shared" si="38"/>
        <v>0</v>
      </c>
      <c r="BF17" s="448">
        <f t="shared" si="39"/>
        <v>0</v>
      </c>
      <c r="BG17" s="456">
        <f t="shared" si="40"/>
        <v>0</v>
      </c>
      <c r="BH17" s="457">
        <f t="shared" si="4"/>
        <v>0</v>
      </c>
      <c r="BI17" s="407" t="s">
        <v>1490</v>
      </c>
      <c r="BM17" s="429">
        <f>IF(BR17&gt;BR16,BM16,IF(BM16&lt;MiscData!$F$1,EOMONTH(BM16,1),EOMONTH(BM16,-11)))</f>
        <v>42035</v>
      </c>
      <c r="BN17" s="416" t="str">
        <f t="shared" si="5"/>
        <v>20140101KUCME221</v>
      </c>
      <c r="BO17" s="427" t="str">
        <f t="shared" si="6"/>
        <v>20140101AES</v>
      </c>
      <c r="BP17" s="407">
        <f>IF(BM17&lt;=MiscData!$B$23,MiscData!$C$23,IF(BM17&lt;=MiscData!$B$24,MiscData!$C$24,MiscData!$C$25))</f>
        <v>20140101</v>
      </c>
      <c r="BQ17" s="407" t="str">
        <f>VLOOKUP(BR17,MiscData!$V$4:$W$42,2,FALSE)</f>
        <v>KUCME221</v>
      </c>
      <c r="BR17" s="407">
        <f>IF(BR16=MiscData!$V$42,1,BR16+1)</f>
        <v>14</v>
      </c>
      <c r="BS17" s="407" t="str">
        <f>VLOOKUP(BQ17,MiscData!$W$4:$Y$42,3,FALSE)</f>
        <v>AES</v>
      </c>
    </row>
    <row r="18" spans="1:71" hidden="1">
      <c r="A18" s="416">
        <f t="shared" si="7"/>
        <v>15</v>
      </c>
      <c r="B18" s="416" t="str">
        <f t="shared" si="0"/>
        <v>Jan 2015</v>
      </c>
      <c r="C18" s="837" t="s">
        <v>228</v>
      </c>
      <c r="D18" s="417" t="str">
        <f t="shared" si="1"/>
        <v>AES3</v>
      </c>
      <c r="E18" s="417" t="str">
        <f t="shared" si="2"/>
        <v>KUCME223</v>
      </c>
      <c r="F18" s="418">
        <f t="shared" si="8"/>
        <v>0</v>
      </c>
      <c r="G18" s="467">
        <v>0</v>
      </c>
      <c r="H18" s="418">
        <v>0</v>
      </c>
      <c r="I18" s="418">
        <v>0</v>
      </c>
      <c r="J18" s="418">
        <v>0</v>
      </c>
      <c r="K18" s="418">
        <f t="shared" si="9"/>
        <v>0</v>
      </c>
      <c r="L18" s="459">
        <v>0</v>
      </c>
      <c r="M18" s="443">
        <f t="shared" si="10"/>
        <v>0</v>
      </c>
      <c r="N18" s="443">
        <f t="shared" si="11"/>
        <v>0</v>
      </c>
      <c r="O18" s="443">
        <f t="shared" si="12"/>
        <v>0</v>
      </c>
      <c r="P18" s="443">
        <f t="shared" si="13"/>
        <v>0</v>
      </c>
      <c r="Q18" s="443">
        <f t="shared" si="14"/>
        <v>0</v>
      </c>
      <c r="R18" s="443">
        <f t="shared" si="15"/>
        <v>0</v>
      </c>
      <c r="S18" s="484">
        <v>0</v>
      </c>
      <c r="T18" s="484">
        <v>0</v>
      </c>
      <c r="U18" s="484">
        <v>0</v>
      </c>
      <c r="V18" s="490">
        <v>0</v>
      </c>
      <c r="W18" s="490">
        <v>0</v>
      </c>
      <c r="X18" s="490">
        <v>0</v>
      </c>
      <c r="Y18" s="419">
        <f t="shared" si="16"/>
        <v>35</v>
      </c>
      <c r="Z18" s="420">
        <f t="shared" si="17"/>
        <v>7.4399999999999994E-2</v>
      </c>
      <c r="AA18" s="420">
        <v>0</v>
      </c>
      <c r="AB18" s="420">
        <v>0</v>
      </c>
      <c r="AC18" s="420">
        <f t="shared" si="18"/>
        <v>2.8920000000000001E-2</v>
      </c>
      <c r="AD18" s="419">
        <f t="shared" si="19"/>
        <v>0</v>
      </c>
      <c r="AE18" s="419">
        <f t="shared" si="20"/>
        <v>0</v>
      </c>
      <c r="AF18" s="419">
        <f t="shared" si="21"/>
        <v>0</v>
      </c>
      <c r="AG18" s="454">
        <f t="shared" si="22"/>
        <v>0</v>
      </c>
      <c r="AH18" s="454">
        <f t="shared" si="23"/>
        <v>0</v>
      </c>
      <c r="AI18" s="421">
        <f t="shared" si="24"/>
        <v>0</v>
      </c>
      <c r="AJ18" s="421">
        <f t="shared" si="25"/>
        <v>0</v>
      </c>
      <c r="AK18" s="421">
        <f t="shared" si="26"/>
        <v>0</v>
      </c>
      <c r="AL18" s="472">
        <v>0</v>
      </c>
      <c r="AM18" s="422">
        <f t="shared" si="27"/>
        <v>0</v>
      </c>
      <c r="AN18" s="423">
        <f t="shared" si="28"/>
        <v>0</v>
      </c>
      <c r="AO18" s="421">
        <f t="shared" si="29"/>
        <v>0</v>
      </c>
      <c r="AP18" s="472">
        <v>0</v>
      </c>
      <c r="AQ18" s="472">
        <v>0</v>
      </c>
      <c r="AR18" s="472">
        <v>0</v>
      </c>
      <c r="AS18" s="475">
        <v>0</v>
      </c>
      <c r="AT18" s="475">
        <v>0</v>
      </c>
      <c r="AU18" s="475">
        <v>0</v>
      </c>
      <c r="AV18" s="454">
        <f t="shared" si="30"/>
        <v>0</v>
      </c>
      <c r="AW18" s="421">
        <f t="shared" si="31"/>
        <v>0</v>
      </c>
      <c r="AX18" s="455">
        <f t="shared" si="41"/>
        <v>1</v>
      </c>
      <c r="AY18" s="424">
        <f t="shared" si="32"/>
        <v>0</v>
      </c>
      <c r="AZ18" s="424">
        <f t="shared" si="33"/>
        <v>0</v>
      </c>
      <c r="BA18" s="424">
        <f t="shared" si="34"/>
        <v>0</v>
      </c>
      <c r="BB18" s="424">
        <f t="shared" si="35"/>
        <v>0</v>
      </c>
      <c r="BC18" s="424">
        <f t="shared" si="36"/>
        <v>0</v>
      </c>
      <c r="BD18" s="424">
        <f t="shared" si="37"/>
        <v>0</v>
      </c>
      <c r="BE18" s="452">
        <f t="shared" si="38"/>
        <v>0</v>
      </c>
      <c r="BF18" s="448">
        <f t="shared" si="39"/>
        <v>0</v>
      </c>
      <c r="BG18" s="456">
        <f t="shared" si="40"/>
        <v>0</v>
      </c>
      <c r="BH18" s="457">
        <f t="shared" si="4"/>
        <v>0</v>
      </c>
      <c r="BI18" s="407" t="s">
        <v>1490</v>
      </c>
      <c r="BM18" s="429">
        <f>IF(BR18&gt;BR17,BM17,IF(BM17&lt;MiscData!$F$1,EOMONTH(BM17,1),EOMONTH(BM17,-11)))</f>
        <v>42035</v>
      </c>
      <c r="BN18" s="416" t="str">
        <f t="shared" si="5"/>
        <v>20140101KUCME223</v>
      </c>
      <c r="BO18" s="427" t="str">
        <f t="shared" si="6"/>
        <v>20140101AES3</v>
      </c>
      <c r="BP18" s="407">
        <f>IF(BM18&lt;=MiscData!$B$23,MiscData!$C$23,IF(BM18&lt;=MiscData!$B$24,MiscData!$C$24,MiscData!$C$25))</f>
        <v>20140101</v>
      </c>
      <c r="BQ18" s="407" t="str">
        <f>VLOOKUP(BR18,MiscData!$V$4:$W$42,2,FALSE)</f>
        <v>KUCME223</v>
      </c>
      <c r="BR18" s="407">
        <f>IF(BR17=MiscData!$V$42,1,BR17+1)</f>
        <v>15</v>
      </c>
      <c r="BS18" s="407" t="str">
        <f>VLOOKUP(BQ18,MiscData!$W$4:$Y$42,3,FALSE)</f>
        <v>AES3</v>
      </c>
    </row>
    <row r="19" spans="1:71" hidden="1">
      <c r="A19" s="416">
        <f t="shared" si="7"/>
        <v>16</v>
      </c>
      <c r="B19" s="416" t="str">
        <f t="shared" si="0"/>
        <v>Jan 2015</v>
      </c>
      <c r="C19" s="837" t="s">
        <v>228</v>
      </c>
      <c r="D19" s="417" t="str">
        <f t="shared" si="1"/>
        <v>AES3</v>
      </c>
      <c r="E19" s="417" t="str">
        <f t="shared" si="2"/>
        <v>KUCME224</v>
      </c>
      <c r="F19" s="418">
        <f t="shared" si="8"/>
        <v>258</v>
      </c>
      <c r="G19" s="467">
        <v>0</v>
      </c>
      <c r="H19" s="418">
        <v>0</v>
      </c>
      <c r="I19" s="418">
        <v>0</v>
      </c>
      <c r="J19" s="418">
        <v>0</v>
      </c>
      <c r="K19" s="418">
        <f t="shared" si="9"/>
        <v>14477984</v>
      </c>
      <c r="L19" s="459">
        <v>0</v>
      </c>
      <c r="M19" s="443">
        <f t="shared" si="10"/>
        <v>55242.61</v>
      </c>
      <c r="N19" s="443">
        <f t="shared" si="11"/>
        <v>0</v>
      </c>
      <c r="O19" s="443">
        <f t="shared" si="12"/>
        <v>0</v>
      </c>
      <c r="P19" s="443">
        <f t="shared" si="13"/>
        <v>0</v>
      </c>
      <c r="Q19" s="443">
        <f t="shared" si="14"/>
        <v>0</v>
      </c>
      <c r="R19" s="443">
        <f t="shared" si="15"/>
        <v>0</v>
      </c>
      <c r="S19" s="484">
        <v>0</v>
      </c>
      <c r="T19" s="484">
        <v>0</v>
      </c>
      <c r="U19" s="484">
        <v>0</v>
      </c>
      <c r="V19" s="490">
        <v>0</v>
      </c>
      <c r="W19" s="490">
        <v>0</v>
      </c>
      <c r="X19" s="490">
        <v>0</v>
      </c>
      <c r="Y19" s="419">
        <f t="shared" si="16"/>
        <v>35</v>
      </c>
      <c r="Z19" s="420">
        <f t="shared" si="17"/>
        <v>7.4399999999999994E-2</v>
      </c>
      <c r="AA19" s="420">
        <v>0</v>
      </c>
      <c r="AB19" s="420">
        <v>0</v>
      </c>
      <c r="AC19" s="420">
        <f t="shared" si="18"/>
        <v>2.8920000000000001E-2</v>
      </c>
      <c r="AD19" s="419">
        <f t="shared" si="19"/>
        <v>0</v>
      </c>
      <c r="AE19" s="419">
        <f t="shared" si="20"/>
        <v>0</v>
      </c>
      <c r="AF19" s="419">
        <f t="shared" si="21"/>
        <v>0</v>
      </c>
      <c r="AG19" s="454">
        <f t="shared" si="22"/>
        <v>9030</v>
      </c>
      <c r="AH19" s="454">
        <f t="shared" si="23"/>
        <v>1077162.01</v>
      </c>
      <c r="AI19" s="421">
        <f t="shared" si="24"/>
        <v>0</v>
      </c>
      <c r="AJ19" s="421">
        <f t="shared" si="25"/>
        <v>0</v>
      </c>
      <c r="AK19" s="421">
        <f t="shared" si="26"/>
        <v>0</v>
      </c>
      <c r="AL19" s="472">
        <v>0</v>
      </c>
      <c r="AM19" s="422">
        <f t="shared" si="27"/>
        <v>0</v>
      </c>
      <c r="AN19" s="423">
        <f t="shared" si="28"/>
        <v>0</v>
      </c>
      <c r="AO19" s="421">
        <f t="shared" si="29"/>
        <v>0</v>
      </c>
      <c r="AP19" s="472">
        <v>0</v>
      </c>
      <c r="AQ19" s="472">
        <v>0</v>
      </c>
      <c r="AR19" s="472">
        <v>0</v>
      </c>
      <c r="AS19" s="475">
        <v>0</v>
      </c>
      <c r="AT19" s="475">
        <v>0</v>
      </c>
      <c r="AU19" s="475">
        <v>0</v>
      </c>
      <c r="AV19" s="454">
        <f t="shared" si="30"/>
        <v>1086192.01</v>
      </c>
      <c r="AW19" s="421">
        <f t="shared" si="31"/>
        <v>1086192</v>
      </c>
      <c r="AX19" s="455">
        <f t="shared" si="41"/>
        <v>0.99999999079352464</v>
      </c>
      <c r="AY19" s="424">
        <f t="shared" si="32"/>
        <v>37394</v>
      </c>
      <c r="AZ19" s="424">
        <f t="shared" si="33"/>
        <v>15085</v>
      </c>
      <c r="BA19" s="424">
        <f t="shared" si="34"/>
        <v>44393</v>
      </c>
      <c r="BB19" s="424">
        <f t="shared" si="35"/>
        <v>0</v>
      </c>
      <c r="BC19" s="424">
        <f t="shared" si="36"/>
        <v>0</v>
      </c>
      <c r="BD19" s="424">
        <f t="shared" si="37"/>
        <v>1183064</v>
      </c>
      <c r="BE19" s="452">
        <f t="shared" si="38"/>
        <v>1183064.01</v>
      </c>
      <c r="BF19" s="448">
        <f t="shared" si="39"/>
        <v>-1.0000000009313226E-2</v>
      </c>
      <c r="BG19" s="456">
        <f t="shared" si="40"/>
        <v>418703.3</v>
      </c>
      <c r="BH19" s="457">
        <f t="shared" si="4"/>
        <v>658458.71</v>
      </c>
      <c r="BI19" s="407" t="s">
        <v>1490</v>
      </c>
      <c r="BM19" s="429">
        <f>IF(BR19&gt;BR18,BM18,IF(BM18&lt;MiscData!$F$1,EOMONTH(BM18,1),EOMONTH(BM18,-11)))</f>
        <v>42035</v>
      </c>
      <c r="BN19" s="416" t="str">
        <f t="shared" si="5"/>
        <v>20140101KUCME224</v>
      </c>
      <c r="BO19" s="427" t="str">
        <f t="shared" si="6"/>
        <v>20140101AES3</v>
      </c>
      <c r="BP19" s="407">
        <f>IF(BM19&lt;=MiscData!$B$23,MiscData!$C$23,IF(BM19&lt;=MiscData!$B$24,MiscData!$C$24,MiscData!$C$25))</f>
        <v>20140101</v>
      </c>
      <c r="BQ19" s="407" t="str">
        <f>VLOOKUP(BR19,MiscData!$V$4:$W$42,2,FALSE)</f>
        <v>KUCME224</v>
      </c>
      <c r="BR19" s="407">
        <f>IF(BR18=MiscData!$V$42,1,BR18+1)</f>
        <v>16</v>
      </c>
      <c r="BS19" s="407" t="str">
        <f>VLOOKUP(BQ19,MiscData!$W$4:$Y$42,3,FALSE)</f>
        <v>AES3</v>
      </c>
    </row>
    <row r="20" spans="1:71" hidden="1">
      <c r="A20" s="416">
        <f t="shared" si="7"/>
        <v>17</v>
      </c>
      <c r="B20" s="416" t="str">
        <f t="shared" si="0"/>
        <v>Jan 2015</v>
      </c>
      <c r="C20" s="837" t="s">
        <v>228</v>
      </c>
      <c r="D20" s="417" t="str">
        <f t="shared" si="1"/>
        <v>AES3</v>
      </c>
      <c r="E20" s="417" t="str">
        <f t="shared" si="2"/>
        <v>KUCME225</v>
      </c>
      <c r="F20" s="418">
        <f t="shared" si="8"/>
        <v>0</v>
      </c>
      <c r="G20" s="467">
        <v>0</v>
      </c>
      <c r="H20" s="418">
        <v>0</v>
      </c>
      <c r="I20" s="418">
        <v>0</v>
      </c>
      <c r="J20" s="418">
        <v>0</v>
      </c>
      <c r="K20" s="418">
        <f t="shared" si="9"/>
        <v>0</v>
      </c>
      <c r="L20" s="459">
        <v>0</v>
      </c>
      <c r="M20" s="443">
        <f t="shared" si="10"/>
        <v>0</v>
      </c>
      <c r="N20" s="443">
        <f t="shared" si="11"/>
        <v>0</v>
      </c>
      <c r="O20" s="443">
        <f t="shared" si="12"/>
        <v>0</v>
      </c>
      <c r="P20" s="443">
        <f t="shared" si="13"/>
        <v>0</v>
      </c>
      <c r="Q20" s="443">
        <f t="shared" si="14"/>
        <v>0</v>
      </c>
      <c r="R20" s="443">
        <f t="shared" si="15"/>
        <v>0</v>
      </c>
      <c r="S20" s="484">
        <v>0</v>
      </c>
      <c r="T20" s="484">
        <v>0</v>
      </c>
      <c r="U20" s="484">
        <v>0</v>
      </c>
      <c r="V20" s="490">
        <v>0</v>
      </c>
      <c r="W20" s="490">
        <v>0</v>
      </c>
      <c r="X20" s="490">
        <v>0</v>
      </c>
      <c r="Y20" s="419">
        <f t="shared" si="16"/>
        <v>35</v>
      </c>
      <c r="Z20" s="420">
        <f t="shared" si="17"/>
        <v>7.4399999999999994E-2</v>
      </c>
      <c r="AA20" s="420">
        <v>0</v>
      </c>
      <c r="AB20" s="420">
        <v>0</v>
      </c>
      <c r="AC20" s="420">
        <f t="shared" si="18"/>
        <v>2.8920000000000001E-2</v>
      </c>
      <c r="AD20" s="419">
        <f t="shared" si="19"/>
        <v>0</v>
      </c>
      <c r="AE20" s="419">
        <f t="shared" si="20"/>
        <v>0</v>
      </c>
      <c r="AF20" s="419">
        <f t="shared" si="21"/>
        <v>0</v>
      </c>
      <c r="AG20" s="454">
        <f t="shared" si="22"/>
        <v>0</v>
      </c>
      <c r="AH20" s="454">
        <f t="shared" si="23"/>
        <v>0</v>
      </c>
      <c r="AI20" s="421">
        <f t="shared" si="24"/>
        <v>0</v>
      </c>
      <c r="AJ20" s="421">
        <f t="shared" si="25"/>
        <v>0</v>
      </c>
      <c r="AK20" s="421">
        <f t="shared" si="26"/>
        <v>0</v>
      </c>
      <c r="AL20" s="472">
        <v>0</v>
      </c>
      <c r="AM20" s="422">
        <f t="shared" si="27"/>
        <v>0</v>
      </c>
      <c r="AN20" s="423">
        <f t="shared" si="28"/>
        <v>0</v>
      </c>
      <c r="AO20" s="421">
        <f t="shared" si="29"/>
        <v>0</v>
      </c>
      <c r="AP20" s="472">
        <v>0</v>
      </c>
      <c r="AQ20" s="472">
        <v>0</v>
      </c>
      <c r="AR20" s="472">
        <v>0</v>
      </c>
      <c r="AS20" s="475">
        <v>0</v>
      </c>
      <c r="AT20" s="475">
        <v>0</v>
      </c>
      <c r="AU20" s="475">
        <v>0</v>
      </c>
      <c r="AV20" s="454">
        <f t="shared" si="30"/>
        <v>0</v>
      </c>
      <c r="AW20" s="421">
        <f t="shared" si="31"/>
        <v>0</v>
      </c>
      <c r="AX20" s="455">
        <f t="shared" si="41"/>
        <v>1</v>
      </c>
      <c r="AY20" s="424">
        <f t="shared" si="32"/>
        <v>0</v>
      </c>
      <c r="AZ20" s="424">
        <f t="shared" si="33"/>
        <v>0</v>
      </c>
      <c r="BA20" s="424">
        <f t="shared" si="34"/>
        <v>0</v>
      </c>
      <c r="BB20" s="424">
        <f t="shared" si="35"/>
        <v>0</v>
      </c>
      <c r="BC20" s="424">
        <f t="shared" si="36"/>
        <v>0</v>
      </c>
      <c r="BD20" s="424">
        <f t="shared" si="37"/>
        <v>0</v>
      </c>
      <c r="BE20" s="452">
        <f t="shared" si="38"/>
        <v>0</v>
      </c>
      <c r="BF20" s="448">
        <f t="shared" si="39"/>
        <v>0</v>
      </c>
      <c r="BG20" s="456">
        <f t="shared" si="40"/>
        <v>0</v>
      </c>
      <c r="BH20" s="457">
        <f t="shared" si="4"/>
        <v>0</v>
      </c>
      <c r="BI20" s="407" t="s">
        <v>1490</v>
      </c>
      <c r="BM20" s="429">
        <f>IF(BR20&gt;BR19,BM19,IF(BM19&lt;MiscData!$F$1,EOMONTH(BM19,1),EOMONTH(BM19,-11)))</f>
        <v>42035</v>
      </c>
      <c r="BN20" s="416" t="str">
        <f t="shared" si="5"/>
        <v>20140101KUCME225</v>
      </c>
      <c r="BO20" s="427" t="str">
        <f t="shared" si="6"/>
        <v>20140101AES3</v>
      </c>
      <c r="BP20" s="407">
        <f>IF(BM20&lt;=MiscData!$B$23,MiscData!$C$23,IF(BM20&lt;=MiscData!$B$24,MiscData!$C$24,MiscData!$C$25))</f>
        <v>20140101</v>
      </c>
      <c r="BQ20" s="407" t="str">
        <f>VLOOKUP(BR20,MiscData!$V$4:$W$42,2,FALSE)</f>
        <v>KUCME225</v>
      </c>
      <c r="BR20" s="407">
        <f>IF(BR19=MiscData!$V$42,1,BR19+1)</f>
        <v>17</v>
      </c>
      <c r="BS20" s="407" t="str">
        <f>VLOOKUP(BQ20,MiscData!$W$4:$Y$42,3,FALSE)</f>
        <v>AES3</v>
      </c>
    </row>
    <row r="21" spans="1:71" hidden="1">
      <c r="A21" s="416">
        <f t="shared" si="7"/>
        <v>18</v>
      </c>
      <c r="B21" s="416" t="str">
        <f t="shared" si="0"/>
        <v>Jan 2015</v>
      </c>
      <c r="C21" s="416" t="s">
        <v>219</v>
      </c>
      <c r="D21" s="417" t="str">
        <f t="shared" si="1"/>
        <v>AES</v>
      </c>
      <c r="E21" s="417" t="str">
        <f t="shared" si="2"/>
        <v>KUCME226</v>
      </c>
      <c r="F21" s="418">
        <f t="shared" si="8"/>
        <v>0</v>
      </c>
      <c r="G21" s="467">
        <v>0</v>
      </c>
      <c r="H21" s="418">
        <v>0</v>
      </c>
      <c r="I21" s="418">
        <v>0</v>
      </c>
      <c r="J21" s="418">
        <v>0</v>
      </c>
      <c r="K21" s="418">
        <f t="shared" si="9"/>
        <v>0</v>
      </c>
      <c r="L21" s="459">
        <v>0</v>
      </c>
      <c r="M21" s="443">
        <f t="shared" si="10"/>
        <v>0</v>
      </c>
      <c r="N21" s="443">
        <f t="shared" si="11"/>
        <v>0</v>
      </c>
      <c r="O21" s="443">
        <f t="shared" si="12"/>
        <v>0</v>
      </c>
      <c r="P21" s="443">
        <f t="shared" si="13"/>
        <v>0</v>
      </c>
      <c r="Q21" s="443">
        <f t="shared" si="14"/>
        <v>0</v>
      </c>
      <c r="R21" s="443">
        <f t="shared" si="15"/>
        <v>0</v>
      </c>
      <c r="S21" s="484">
        <v>0</v>
      </c>
      <c r="T21" s="484">
        <v>0</v>
      </c>
      <c r="U21" s="484">
        <v>0</v>
      </c>
      <c r="V21" s="490">
        <v>0</v>
      </c>
      <c r="W21" s="490">
        <v>0</v>
      </c>
      <c r="X21" s="490">
        <v>0</v>
      </c>
      <c r="Y21" s="419">
        <f t="shared" si="16"/>
        <v>20</v>
      </c>
      <c r="Z21" s="420">
        <f t="shared" si="17"/>
        <v>7.4399999999999994E-2</v>
      </c>
      <c r="AA21" s="420">
        <v>0</v>
      </c>
      <c r="AB21" s="420">
        <v>0</v>
      </c>
      <c r="AC21" s="420">
        <f t="shared" si="18"/>
        <v>2.8920000000000001E-2</v>
      </c>
      <c r="AD21" s="419">
        <f t="shared" si="19"/>
        <v>0</v>
      </c>
      <c r="AE21" s="419">
        <f t="shared" si="20"/>
        <v>0</v>
      </c>
      <c r="AF21" s="419">
        <f t="shared" si="21"/>
        <v>0</v>
      </c>
      <c r="AG21" s="454">
        <f t="shared" si="22"/>
        <v>0</v>
      </c>
      <c r="AH21" s="454">
        <f t="shared" si="23"/>
        <v>0</v>
      </c>
      <c r="AI21" s="421">
        <f t="shared" si="24"/>
        <v>0</v>
      </c>
      <c r="AJ21" s="421">
        <f t="shared" si="25"/>
        <v>0</v>
      </c>
      <c r="AK21" s="421">
        <f t="shared" si="26"/>
        <v>0</v>
      </c>
      <c r="AL21" s="472">
        <v>0</v>
      </c>
      <c r="AM21" s="422">
        <f t="shared" si="27"/>
        <v>0</v>
      </c>
      <c r="AN21" s="423">
        <f t="shared" si="28"/>
        <v>0</v>
      </c>
      <c r="AO21" s="421">
        <f t="shared" si="29"/>
        <v>0</v>
      </c>
      <c r="AP21" s="472">
        <v>0</v>
      </c>
      <c r="AQ21" s="472">
        <v>0</v>
      </c>
      <c r="AR21" s="472">
        <v>0</v>
      </c>
      <c r="AS21" s="475">
        <v>0</v>
      </c>
      <c r="AT21" s="475">
        <v>0</v>
      </c>
      <c r="AU21" s="475">
        <v>0</v>
      </c>
      <c r="AV21" s="454">
        <f t="shared" si="30"/>
        <v>0</v>
      </c>
      <c r="AW21" s="421">
        <f t="shared" si="31"/>
        <v>0</v>
      </c>
      <c r="AX21" s="455">
        <f t="shared" si="41"/>
        <v>1</v>
      </c>
      <c r="AY21" s="424">
        <f t="shared" si="32"/>
        <v>0</v>
      </c>
      <c r="AZ21" s="424">
        <f t="shared" si="33"/>
        <v>0</v>
      </c>
      <c r="BA21" s="424">
        <f t="shared" si="34"/>
        <v>0</v>
      </c>
      <c r="BB21" s="424">
        <f t="shared" si="35"/>
        <v>0</v>
      </c>
      <c r="BC21" s="424">
        <f t="shared" si="36"/>
        <v>0</v>
      </c>
      <c r="BD21" s="424">
        <f t="shared" si="37"/>
        <v>0</v>
      </c>
      <c r="BE21" s="452">
        <f t="shared" si="38"/>
        <v>0</v>
      </c>
      <c r="BF21" s="448">
        <f t="shared" si="39"/>
        <v>0</v>
      </c>
      <c r="BG21" s="456">
        <f t="shared" si="40"/>
        <v>0</v>
      </c>
      <c r="BH21" s="457">
        <f t="shared" si="4"/>
        <v>0</v>
      </c>
      <c r="BI21" s="407" t="s">
        <v>1490</v>
      </c>
      <c r="BM21" s="429">
        <f>IF(BR21&gt;BR20,BM20,IF(BM20&lt;MiscData!$F$1,EOMONTH(BM20,1),EOMONTH(BM20,-11)))</f>
        <v>42035</v>
      </c>
      <c r="BN21" s="416" t="str">
        <f t="shared" si="5"/>
        <v>20140101KUCME226</v>
      </c>
      <c r="BO21" s="427" t="str">
        <f t="shared" si="6"/>
        <v>20140101AES</v>
      </c>
      <c r="BP21" s="407">
        <f>IF(BM21&lt;=MiscData!$B$23,MiscData!$C$23,IF(BM21&lt;=MiscData!$B$24,MiscData!$C$24,MiscData!$C$25))</f>
        <v>20140101</v>
      </c>
      <c r="BQ21" s="407" t="str">
        <f>VLOOKUP(BR21,MiscData!$V$4:$W$42,2,FALSE)</f>
        <v>KUCME226</v>
      </c>
      <c r="BR21" s="407">
        <f>IF(BR20=MiscData!$V$42,1,BR20+1)</f>
        <v>18</v>
      </c>
      <c r="BS21" s="407" t="str">
        <f>VLOOKUP(BQ21,MiscData!$W$4:$Y$42,3,FALSE)</f>
        <v>AES</v>
      </c>
    </row>
    <row r="22" spans="1:71" hidden="1">
      <c r="A22" s="416">
        <f t="shared" si="7"/>
        <v>19</v>
      </c>
      <c r="B22" s="416" t="str">
        <f t="shared" si="0"/>
        <v>Jan 2015</v>
      </c>
      <c r="C22" s="837" t="s">
        <v>228</v>
      </c>
      <c r="D22" s="417" t="str">
        <f t="shared" si="1"/>
        <v>AES3</v>
      </c>
      <c r="E22" s="417" t="str">
        <f t="shared" si="2"/>
        <v>KUCME227</v>
      </c>
      <c r="F22" s="418">
        <f t="shared" si="8"/>
        <v>0</v>
      </c>
      <c r="G22" s="467">
        <v>0</v>
      </c>
      <c r="H22" s="418">
        <v>0</v>
      </c>
      <c r="I22" s="418">
        <v>0</v>
      </c>
      <c r="J22" s="418">
        <v>0</v>
      </c>
      <c r="K22" s="418">
        <f t="shared" si="9"/>
        <v>0</v>
      </c>
      <c r="L22" s="459">
        <v>0</v>
      </c>
      <c r="M22" s="443">
        <f t="shared" si="10"/>
        <v>0</v>
      </c>
      <c r="N22" s="443">
        <f t="shared" si="11"/>
        <v>0</v>
      </c>
      <c r="O22" s="443">
        <f t="shared" si="12"/>
        <v>0</v>
      </c>
      <c r="P22" s="443">
        <f t="shared" si="13"/>
        <v>0</v>
      </c>
      <c r="Q22" s="443">
        <f t="shared" si="14"/>
        <v>0</v>
      </c>
      <c r="R22" s="443">
        <f t="shared" si="15"/>
        <v>0</v>
      </c>
      <c r="S22" s="484">
        <v>0</v>
      </c>
      <c r="T22" s="484">
        <v>0</v>
      </c>
      <c r="U22" s="484">
        <v>0</v>
      </c>
      <c r="V22" s="490">
        <v>0</v>
      </c>
      <c r="W22" s="490">
        <v>0</v>
      </c>
      <c r="X22" s="490">
        <v>0</v>
      </c>
      <c r="Y22" s="419">
        <f t="shared" si="16"/>
        <v>35</v>
      </c>
      <c r="Z22" s="420">
        <f t="shared" si="17"/>
        <v>7.4399999999999994E-2</v>
      </c>
      <c r="AA22" s="420">
        <v>0</v>
      </c>
      <c r="AB22" s="420">
        <v>0</v>
      </c>
      <c r="AC22" s="420">
        <f t="shared" si="18"/>
        <v>2.8920000000000001E-2</v>
      </c>
      <c r="AD22" s="419">
        <f t="shared" si="19"/>
        <v>0</v>
      </c>
      <c r="AE22" s="419">
        <f t="shared" si="20"/>
        <v>0</v>
      </c>
      <c r="AF22" s="419">
        <f t="shared" si="21"/>
        <v>0</v>
      </c>
      <c r="AG22" s="454">
        <f t="shared" si="22"/>
        <v>0</v>
      </c>
      <c r="AH22" s="454">
        <f t="shared" si="23"/>
        <v>0</v>
      </c>
      <c r="AI22" s="421">
        <f t="shared" si="24"/>
        <v>0</v>
      </c>
      <c r="AJ22" s="421">
        <f t="shared" si="25"/>
        <v>0</v>
      </c>
      <c r="AK22" s="421">
        <f t="shared" si="26"/>
        <v>0</v>
      </c>
      <c r="AL22" s="472">
        <v>0</v>
      </c>
      <c r="AM22" s="422">
        <f t="shared" si="27"/>
        <v>0</v>
      </c>
      <c r="AN22" s="423">
        <f t="shared" si="28"/>
        <v>0</v>
      </c>
      <c r="AO22" s="421">
        <f t="shared" si="29"/>
        <v>0</v>
      </c>
      <c r="AP22" s="472">
        <v>0</v>
      </c>
      <c r="AQ22" s="472">
        <v>0</v>
      </c>
      <c r="AR22" s="472">
        <v>0</v>
      </c>
      <c r="AS22" s="475">
        <v>0</v>
      </c>
      <c r="AT22" s="475">
        <v>0</v>
      </c>
      <c r="AU22" s="475">
        <v>0</v>
      </c>
      <c r="AV22" s="454">
        <f t="shared" si="30"/>
        <v>0</v>
      </c>
      <c r="AW22" s="421">
        <f t="shared" si="31"/>
        <v>0</v>
      </c>
      <c r="AX22" s="455">
        <f t="shared" si="41"/>
        <v>1</v>
      </c>
      <c r="AY22" s="424">
        <f t="shared" si="32"/>
        <v>0</v>
      </c>
      <c r="AZ22" s="424">
        <f t="shared" si="33"/>
        <v>0</v>
      </c>
      <c r="BA22" s="424">
        <f t="shared" si="34"/>
        <v>0</v>
      </c>
      <c r="BB22" s="424">
        <f t="shared" si="35"/>
        <v>0</v>
      </c>
      <c r="BC22" s="424">
        <f t="shared" si="36"/>
        <v>0</v>
      </c>
      <c r="BD22" s="424">
        <f t="shared" si="37"/>
        <v>0</v>
      </c>
      <c r="BE22" s="452">
        <f t="shared" si="38"/>
        <v>0</v>
      </c>
      <c r="BF22" s="448">
        <f t="shared" si="39"/>
        <v>0</v>
      </c>
      <c r="BG22" s="456">
        <f t="shared" si="40"/>
        <v>0</v>
      </c>
      <c r="BH22" s="457">
        <f t="shared" si="4"/>
        <v>0</v>
      </c>
      <c r="BI22" s="407" t="s">
        <v>1490</v>
      </c>
      <c r="BM22" s="429">
        <f>IF(BR22&gt;BR21,BM21,IF(BM21&lt;MiscData!$F$1,EOMONTH(BM21,1),EOMONTH(BM21,-11)))</f>
        <v>42035</v>
      </c>
      <c r="BN22" s="416" t="str">
        <f t="shared" si="5"/>
        <v>20140101KUCME227</v>
      </c>
      <c r="BO22" s="427" t="str">
        <f t="shared" si="6"/>
        <v>20140101AES3</v>
      </c>
      <c r="BP22" s="407">
        <f>IF(BM22&lt;=MiscData!$B$23,MiscData!$C$23,IF(BM22&lt;=MiscData!$B$24,MiscData!$C$24,MiscData!$C$25))</f>
        <v>20140101</v>
      </c>
      <c r="BQ22" s="407" t="str">
        <f>VLOOKUP(BR22,MiscData!$V$4:$W$42,2,FALSE)</f>
        <v>KUCME227</v>
      </c>
      <c r="BR22" s="407">
        <f>IF(BR21=MiscData!$V$42,1,BR21+1)</f>
        <v>19</v>
      </c>
      <c r="BS22" s="407" t="str">
        <f>VLOOKUP(BQ22,MiscData!$W$4:$Y$42,3,FALSE)</f>
        <v>AES3</v>
      </c>
    </row>
    <row r="23" spans="1:71" hidden="1">
      <c r="A23" s="416">
        <f t="shared" si="7"/>
        <v>20</v>
      </c>
      <c r="B23" s="416" t="str">
        <f t="shared" si="0"/>
        <v>Jan 2015</v>
      </c>
      <c r="C23" s="416" t="s">
        <v>20</v>
      </c>
      <c r="D23" s="417" t="str">
        <f t="shared" si="1"/>
        <v>LE</v>
      </c>
      <c r="E23" s="417" t="str">
        <f t="shared" si="2"/>
        <v>KUCME290</v>
      </c>
      <c r="F23" s="418">
        <f t="shared" si="8"/>
        <v>2</v>
      </c>
      <c r="G23" s="467">
        <v>0</v>
      </c>
      <c r="H23" s="418">
        <v>0</v>
      </c>
      <c r="I23" s="418">
        <v>0</v>
      </c>
      <c r="J23" s="418">
        <v>0</v>
      </c>
      <c r="K23" s="418">
        <f t="shared" si="9"/>
        <v>20895</v>
      </c>
      <c r="L23" s="459">
        <v>0</v>
      </c>
      <c r="M23" s="443">
        <f t="shared" si="10"/>
        <v>0</v>
      </c>
      <c r="N23" s="443">
        <f t="shared" si="11"/>
        <v>0</v>
      </c>
      <c r="O23" s="443">
        <f t="shared" si="12"/>
        <v>0</v>
      </c>
      <c r="P23" s="443">
        <f t="shared" si="13"/>
        <v>0</v>
      </c>
      <c r="Q23" s="443">
        <f t="shared" si="14"/>
        <v>0</v>
      </c>
      <c r="R23" s="443">
        <f t="shared" si="15"/>
        <v>0</v>
      </c>
      <c r="S23" s="484">
        <v>0</v>
      </c>
      <c r="T23" s="484">
        <v>0</v>
      </c>
      <c r="U23" s="484">
        <v>0</v>
      </c>
      <c r="V23" s="490">
        <v>0</v>
      </c>
      <c r="W23" s="490">
        <v>0</v>
      </c>
      <c r="X23" s="490">
        <v>0</v>
      </c>
      <c r="Y23" s="419">
        <f t="shared" si="16"/>
        <v>0</v>
      </c>
      <c r="Z23" s="420">
        <f t="shared" si="17"/>
        <v>6.3799999999999996E-2</v>
      </c>
      <c r="AA23" s="420">
        <v>0</v>
      </c>
      <c r="AB23" s="420">
        <v>0</v>
      </c>
      <c r="AC23" s="420">
        <f t="shared" si="18"/>
        <v>2.8920000000000001E-2</v>
      </c>
      <c r="AD23" s="419">
        <f t="shared" si="19"/>
        <v>0</v>
      </c>
      <c r="AE23" s="419">
        <f t="shared" si="20"/>
        <v>0</v>
      </c>
      <c r="AF23" s="419">
        <f t="shared" si="21"/>
        <v>0</v>
      </c>
      <c r="AG23" s="454">
        <f t="shared" si="22"/>
        <v>0</v>
      </c>
      <c r="AH23" s="454">
        <f t="shared" si="23"/>
        <v>1333.1</v>
      </c>
      <c r="AI23" s="421">
        <f t="shared" si="24"/>
        <v>0</v>
      </c>
      <c r="AJ23" s="421">
        <f t="shared" si="25"/>
        <v>0</v>
      </c>
      <c r="AK23" s="421">
        <f t="shared" si="26"/>
        <v>0</v>
      </c>
      <c r="AL23" s="472">
        <v>0</v>
      </c>
      <c r="AM23" s="422">
        <f t="shared" si="27"/>
        <v>0</v>
      </c>
      <c r="AN23" s="423">
        <f t="shared" si="28"/>
        <v>0</v>
      </c>
      <c r="AO23" s="421">
        <f t="shared" si="29"/>
        <v>0</v>
      </c>
      <c r="AP23" s="472">
        <v>0</v>
      </c>
      <c r="AQ23" s="472">
        <v>0</v>
      </c>
      <c r="AR23" s="472">
        <v>0</v>
      </c>
      <c r="AS23" s="475">
        <v>0</v>
      </c>
      <c r="AT23" s="475">
        <v>0</v>
      </c>
      <c r="AU23" s="475">
        <v>0</v>
      </c>
      <c r="AV23" s="454">
        <f t="shared" si="30"/>
        <v>1333.1</v>
      </c>
      <c r="AW23" s="421">
        <f t="shared" si="31"/>
        <v>1333</v>
      </c>
      <c r="AX23" s="455">
        <f t="shared" si="41"/>
        <v>0.99992498687270281</v>
      </c>
      <c r="AY23" s="424">
        <f t="shared" si="32"/>
        <v>54</v>
      </c>
      <c r="AZ23" s="424">
        <f t="shared" si="33"/>
        <v>0</v>
      </c>
      <c r="BA23" s="424">
        <f t="shared" si="34"/>
        <v>64</v>
      </c>
      <c r="BB23" s="424">
        <f t="shared" si="35"/>
        <v>0</v>
      </c>
      <c r="BC23" s="424">
        <f t="shared" si="36"/>
        <v>0</v>
      </c>
      <c r="BD23" s="424">
        <f t="shared" si="37"/>
        <v>1451</v>
      </c>
      <c r="BE23" s="452">
        <f t="shared" si="38"/>
        <v>1451.1</v>
      </c>
      <c r="BF23" s="448">
        <f t="shared" si="39"/>
        <v>-9.9999999999909051E-2</v>
      </c>
      <c r="BG23" s="456">
        <f t="shared" si="40"/>
        <v>604.28</v>
      </c>
      <c r="BH23" s="457">
        <f t="shared" si="4"/>
        <v>728.81999999999994</v>
      </c>
      <c r="BI23" s="407" t="s">
        <v>1490</v>
      </c>
      <c r="BM23" s="429">
        <f>IF(BR23&gt;BR22,BM22,IF(BM22&lt;MiscData!$F$1,EOMONTH(BM22,1),EOMONTH(BM22,-11)))</f>
        <v>42035</v>
      </c>
      <c r="BN23" s="416" t="str">
        <f t="shared" si="5"/>
        <v>20140101KUCME290</v>
      </c>
      <c r="BO23" s="427" t="str">
        <f t="shared" si="6"/>
        <v>20140101LE</v>
      </c>
      <c r="BP23" s="407">
        <f>IF(BM23&lt;=MiscData!$B$23,MiscData!$C$23,IF(BM23&lt;=MiscData!$B$24,MiscData!$C$24,MiscData!$C$25))</f>
        <v>20140101</v>
      </c>
      <c r="BQ23" s="407" t="str">
        <f>VLOOKUP(BR23,MiscData!$V$4:$W$42,2,FALSE)</f>
        <v>KUCME290</v>
      </c>
      <c r="BR23" s="407">
        <f>IF(BR22=MiscData!$V$42,1,BR22+1)</f>
        <v>20</v>
      </c>
      <c r="BS23" s="407" t="str">
        <f>VLOOKUP(BQ23,MiscData!$W$4:$Y$42,3,FALSE)</f>
        <v>LE</v>
      </c>
    </row>
    <row r="24" spans="1:71" hidden="1">
      <c r="A24" s="416">
        <f t="shared" si="7"/>
        <v>21</v>
      </c>
      <c r="B24" s="416" t="str">
        <f t="shared" si="0"/>
        <v>Jan 2015</v>
      </c>
      <c r="C24" s="416" t="s">
        <v>20</v>
      </c>
      <c r="D24" s="417" t="str">
        <f t="shared" si="1"/>
        <v>LE</v>
      </c>
      <c r="E24" s="417" t="str">
        <f t="shared" si="2"/>
        <v>KUCME291</v>
      </c>
      <c r="F24" s="418">
        <f t="shared" si="8"/>
        <v>0</v>
      </c>
      <c r="G24" s="467">
        <v>0</v>
      </c>
      <c r="H24" s="418">
        <v>0</v>
      </c>
      <c r="I24" s="418">
        <v>0</v>
      </c>
      <c r="J24" s="418">
        <v>0</v>
      </c>
      <c r="K24" s="418">
        <f t="shared" si="9"/>
        <v>0</v>
      </c>
      <c r="L24" s="459">
        <v>0</v>
      </c>
      <c r="M24" s="443">
        <f t="shared" si="10"/>
        <v>0</v>
      </c>
      <c r="N24" s="443">
        <f t="shared" si="11"/>
        <v>0</v>
      </c>
      <c r="O24" s="443">
        <f t="shared" si="12"/>
        <v>0</v>
      </c>
      <c r="P24" s="443">
        <f t="shared" si="13"/>
        <v>0</v>
      </c>
      <c r="Q24" s="443">
        <f t="shared" si="14"/>
        <v>0</v>
      </c>
      <c r="R24" s="443">
        <f t="shared" si="15"/>
        <v>0</v>
      </c>
      <c r="S24" s="484">
        <v>0</v>
      </c>
      <c r="T24" s="484">
        <v>0</v>
      </c>
      <c r="U24" s="484">
        <v>0</v>
      </c>
      <c r="V24" s="490">
        <v>0</v>
      </c>
      <c r="W24" s="490">
        <v>0</v>
      </c>
      <c r="X24" s="490">
        <v>0</v>
      </c>
      <c r="Y24" s="419">
        <f t="shared" si="16"/>
        <v>0</v>
      </c>
      <c r="Z24" s="420">
        <f t="shared" si="17"/>
        <v>6.3799999999999996E-2</v>
      </c>
      <c r="AA24" s="420">
        <v>0</v>
      </c>
      <c r="AB24" s="420">
        <v>0</v>
      </c>
      <c r="AC24" s="420">
        <f t="shared" si="18"/>
        <v>2.8920000000000001E-2</v>
      </c>
      <c r="AD24" s="419">
        <f t="shared" si="19"/>
        <v>0</v>
      </c>
      <c r="AE24" s="419">
        <f t="shared" si="20"/>
        <v>0</v>
      </c>
      <c r="AF24" s="419">
        <f t="shared" si="21"/>
        <v>0</v>
      </c>
      <c r="AG24" s="454">
        <f t="shared" si="22"/>
        <v>0</v>
      </c>
      <c r="AH24" s="454">
        <f t="shared" si="23"/>
        <v>0</v>
      </c>
      <c r="AI24" s="421">
        <f t="shared" si="24"/>
        <v>0</v>
      </c>
      <c r="AJ24" s="421">
        <f t="shared" si="25"/>
        <v>0</v>
      </c>
      <c r="AK24" s="421">
        <f t="shared" si="26"/>
        <v>0</v>
      </c>
      <c r="AL24" s="472">
        <v>0</v>
      </c>
      <c r="AM24" s="422">
        <f t="shared" si="27"/>
        <v>0</v>
      </c>
      <c r="AN24" s="423">
        <f t="shared" si="28"/>
        <v>0</v>
      </c>
      <c r="AO24" s="421">
        <f t="shared" si="29"/>
        <v>0</v>
      </c>
      <c r="AP24" s="472">
        <v>0</v>
      </c>
      <c r="AQ24" s="472">
        <v>0</v>
      </c>
      <c r="AR24" s="472">
        <v>0</v>
      </c>
      <c r="AS24" s="475">
        <v>0</v>
      </c>
      <c r="AT24" s="475">
        <v>0</v>
      </c>
      <c r="AU24" s="475">
        <v>0</v>
      </c>
      <c r="AV24" s="454">
        <f t="shared" si="30"/>
        <v>0</v>
      </c>
      <c r="AW24" s="421">
        <f t="shared" si="31"/>
        <v>0</v>
      </c>
      <c r="AX24" s="455">
        <f t="shared" si="41"/>
        <v>1</v>
      </c>
      <c r="AY24" s="424">
        <f t="shared" si="32"/>
        <v>0</v>
      </c>
      <c r="AZ24" s="424">
        <f t="shared" si="33"/>
        <v>0</v>
      </c>
      <c r="BA24" s="424">
        <f t="shared" si="34"/>
        <v>0</v>
      </c>
      <c r="BB24" s="424">
        <f t="shared" si="35"/>
        <v>0</v>
      </c>
      <c r="BC24" s="424">
        <f t="shared" si="36"/>
        <v>0</v>
      </c>
      <c r="BD24" s="424">
        <f t="shared" si="37"/>
        <v>0</v>
      </c>
      <c r="BE24" s="452">
        <f t="shared" si="38"/>
        <v>0</v>
      </c>
      <c r="BF24" s="448">
        <f t="shared" si="39"/>
        <v>0</v>
      </c>
      <c r="BG24" s="456">
        <f t="shared" si="40"/>
        <v>0</v>
      </c>
      <c r="BH24" s="457">
        <f t="shared" si="4"/>
        <v>0</v>
      </c>
      <c r="BI24" s="407" t="s">
        <v>1490</v>
      </c>
      <c r="BM24" s="429">
        <f>IF(BR24&gt;BR23,BM23,IF(BM23&lt;MiscData!$F$1,EOMONTH(BM23,1),EOMONTH(BM23,-11)))</f>
        <v>42035</v>
      </c>
      <c r="BN24" s="416" t="str">
        <f t="shared" si="5"/>
        <v>20140101KUCME291</v>
      </c>
      <c r="BO24" s="427" t="str">
        <f t="shared" si="6"/>
        <v>20140101LE</v>
      </c>
      <c r="BP24" s="407">
        <f>IF(BM24&lt;=MiscData!$B$23,MiscData!$C$23,IF(BM24&lt;=MiscData!$B$24,MiscData!$C$24,MiscData!$C$25))</f>
        <v>20140101</v>
      </c>
      <c r="BQ24" s="407" t="str">
        <f>VLOOKUP(BR24,MiscData!$V$4:$W$42,2,FALSE)</f>
        <v>KUCME291</v>
      </c>
      <c r="BR24" s="407">
        <f>IF(BR23=MiscData!$V$42,1,BR23+1)</f>
        <v>21</v>
      </c>
      <c r="BS24" s="407" t="str">
        <f>VLOOKUP(BQ24,MiscData!$W$4:$Y$42,3,FALSE)</f>
        <v>LE</v>
      </c>
    </row>
    <row r="25" spans="1:71" hidden="1">
      <c r="A25" s="416">
        <f t="shared" si="7"/>
        <v>22</v>
      </c>
      <c r="B25" s="416" t="str">
        <f t="shared" si="0"/>
        <v>Jan 2015</v>
      </c>
      <c r="C25" s="416" t="s">
        <v>21</v>
      </c>
      <c r="D25" s="417" t="str">
        <f t="shared" si="1"/>
        <v>TE</v>
      </c>
      <c r="E25" s="417" t="str">
        <f t="shared" si="2"/>
        <v>KUCME295</v>
      </c>
      <c r="F25" s="418">
        <f t="shared" si="8"/>
        <v>747</v>
      </c>
      <c r="G25" s="467">
        <v>0</v>
      </c>
      <c r="H25" s="418">
        <v>0</v>
      </c>
      <c r="I25" s="418">
        <v>0</v>
      </c>
      <c r="J25" s="418">
        <v>0</v>
      </c>
      <c r="K25" s="418">
        <f t="shared" si="9"/>
        <v>122114</v>
      </c>
      <c r="L25" s="459">
        <v>0</v>
      </c>
      <c r="M25" s="443">
        <f t="shared" si="10"/>
        <v>0</v>
      </c>
      <c r="N25" s="443">
        <f t="shared" si="11"/>
        <v>0</v>
      </c>
      <c r="O25" s="443">
        <f t="shared" si="12"/>
        <v>0</v>
      </c>
      <c r="P25" s="443">
        <f t="shared" si="13"/>
        <v>0</v>
      </c>
      <c r="Q25" s="443">
        <f t="shared" si="14"/>
        <v>0</v>
      </c>
      <c r="R25" s="443">
        <f t="shared" si="15"/>
        <v>0</v>
      </c>
      <c r="S25" s="484">
        <v>0</v>
      </c>
      <c r="T25" s="484">
        <v>0</v>
      </c>
      <c r="U25" s="484">
        <v>0</v>
      </c>
      <c r="V25" s="490">
        <v>0</v>
      </c>
      <c r="W25" s="490">
        <v>0</v>
      </c>
      <c r="X25" s="490">
        <v>0</v>
      </c>
      <c r="Y25" s="419">
        <f t="shared" si="16"/>
        <v>3.25</v>
      </c>
      <c r="Z25" s="420">
        <f t="shared" si="17"/>
        <v>7.9780000000000004E-2</v>
      </c>
      <c r="AA25" s="420">
        <v>0</v>
      </c>
      <c r="AB25" s="420">
        <v>0</v>
      </c>
      <c r="AC25" s="420">
        <f t="shared" si="18"/>
        <v>2.8920000000000001E-2</v>
      </c>
      <c r="AD25" s="419">
        <f t="shared" si="19"/>
        <v>0</v>
      </c>
      <c r="AE25" s="419">
        <f t="shared" si="20"/>
        <v>0</v>
      </c>
      <c r="AF25" s="419">
        <f t="shared" si="21"/>
        <v>0</v>
      </c>
      <c r="AG25" s="454">
        <f t="shared" si="22"/>
        <v>2427.75</v>
      </c>
      <c r="AH25" s="454">
        <f t="shared" si="23"/>
        <v>9742.25</v>
      </c>
      <c r="AI25" s="421">
        <f t="shared" si="24"/>
        <v>0</v>
      </c>
      <c r="AJ25" s="421">
        <f t="shared" si="25"/>
        <v>0</v>
      </c>
      <c r="AK25" s="421">
        <f t="shared" si="26"/>
        <v>0</v>
      </c>
      <c r="AL25" s="472">
        <v>0</v>
      </c>
      <c r="AM25" s="422">
        <f t="shared" si="27"/>
        <v>0</v>
      </c>
      <c r="AN25" s="423">
        <f t="shared" si="28"/>
        <v>0</v>
      </c>
      <c r="AO25" s="421">
        <f t="shared" si="29"/>
        <v>0</v>
      </c>
      <c r="AP25" s="472">
        <v>0</v>
      </c>
      <c r="AQ25" s="472">
        <v>0</v>
      </c>
      <c r="AR25" s="472">
        <v>0</v>
      </c>
      <c r="AS25" s="475">
        <v>0</v>
      </c>
      <c r="AT25" s="475">
        <v>0</v>
      </c>
      <c r="AU25" s="475">
        <v>0</v>
      </c>
      <c r="AV25" s="454">
        <f t="shared" si="30"/>
        <v>12170</v>
      </c>
      <c r="AW25" s="421">
        <f t="shared" si="31"/>
        <v>12172.75</v>
      </c>
      <c r="AX25" s="455">
        <f t="shared" si="41"/>
        <v>1.0002259654889072</v>
      </c>
      <c r="AY25" s="424">
        <f t="shared" si="32"/>
        <v>315</v>
      </c>
      <c r="AZ25" s="424">
        <f t="shared" si="33"/>
        <v>0</v>
      </c>
      <c r="BA25" s="424">
        <f t="shared" si="34"/>
        <v>375</v>
      </c>
      <c r="BB25" s="424">
        <f t="shared" si="35"/>
        <v>0</v>
      </c>
      <c r="BC25" s="424">
        <f t="shared" si="36"/>
        <v>0</v>
      </c>
      <c r="BD25" s="424">
        <f t="shared" si="37"/>
        <v>12862.75</v>
      </c>
      <c r="BE25" s="452">
        <f t="shared" si="38"/>
        <v>12860</v>
      </c>
      <c r="BF25" s="448">
        <f t="shared" si="39"/>
        <v>2.75</v>
      </c>
      <c r="BG25" s="456">
        <f t="shared" si="40"/>
        <v>3531.54</v>
      </c>
      <c r="BH25" s="457">
        <f t="shared" si="4"/>
        <v>6210.71</v>
      </c>
      <c r="BI25" s="407" t="s">
        <v>1490</v>
      </c>
      <c r="BM25" s="429">
        <f>IF(BR25&gt;BR24,BM24,IF(BM24&lt;MiscData!$F$1,EOMONTH(BM24,1),EOMONTH(BM24,-11)))</f>
        <v>42035</v>
      </c>
      <c r="BN25" s="416" t="str">
        <f t="shared" si="5"/>
        <v>20140101KUCME295</v>
      </c>
      <c r="BO25" s="427" t="str">
        <f t="shared" si="6"/>
        <v>20140101TE</v>
      </c>
      <c r="BP25" s="407">
        <f>IF(BM25&lt;=MiscData!$B$23,MiscData!$C$23,IF(BM25&lt;=MiscData!$B$24,MiscData!$C$24,MiscData!$C$25))</f>
        <v>20140101</v>
      </c>
      <c r="BQ25" s="407" t="str">
        <f>VLOOKUP(BR25,MiscData!$V$4:$W$42,2,FALSE)</f>
        <v>KUCME295</v>
      </c>
      <c r="BR25" s="407">
        <f>IF(BR24=MiscData!$V$42,1,BR24+1)</f>
        <v>22</v>
      </c>
      <c r="BS25" s="407" t="str">
        <f>VLOOKUP(BQ25,MiscData!$W$4:$Y$42,3,FALSE)</f>
        <v>TE</v>
      </c>
    </row>
    <row r="26" spans="1:71" hidden="1">
      <c r="A26" s="416">
        <f t="shared" si="7"/>
        <v>23</v>
      </c>
      <c r="B26" s="416" t="str">
        <f t="shared" si="0"/>
        <v>Jan 2015</v>
      </c>
      <c r="C26" s="416" t="s">
        <v>21</v>
      </c>
      <c r="D26" s="417" t="str">
        <f t="shared" si="1"/>
        <v>TE</v>
      </c>
      <c r="E26" s="417" t="str">
        <f t="shared" si="2"/>
        <v>KUCME297</v>
      </c>
      <c r="F26" s="418">
        <f t="shared" si="8"/>
        <v>0</v>
      </c>
      <c r="G26" s="467">
        <v>0</v>
      </c>
      <c r="H26" s="418">
        <v>0</v>
      </c>
      <c r="I26" s="418">
        <v>0</v>
      </c>
      <c r="J26" s="418">
        <v>0</v>
      </c>
      <c r="K26" s="418">
        <f t="shared" si="9"/>
        <v>0</v>
      </c>
      <c r="L26" s="459">
        <v>0</v>
      </c>
      <c r="M26" s="443">
        <f t="shared" si="10"/>
        <v>0</v>
      </c>
      <c r="N26" s="443">
        <f t="shared" si="11"/>
        <v>0</v>
      </c>
      <c r="O26" s="443">
        <f t="shared" si="12"/>
        <v>0</v>
      </c>
      <c r="P26" s="443">
        <f t="shared" si="13"/>
        <v>0</v>
      </c>
      <c r="Q26" s="443">
        <f t="shared" si="14"/>
        <v>0</v>
      </c>
      <c r="R26" s="443">
        <f t="shared" si="15"/>
        <v>0</v>
      </c>
      <c r="S26" s="484">
        <v>0</v>
      </c>
      <c r="T26" s="484">
        <v>0</v>
      </c>
      <c r="U26" s="484">
        <v>0</v>
      </c>
      <c r="V26" s="490">
        <v>0</v>
      </c>
      <c r="W26" s="490">
        <v>0</v>
      </c>
      <c r="X26" s="490">
        <v>0</v>
      </c>
      <c r="Y26" s="419">
        <f t="shared" si="16"/>
        <v>3.25</v>
      </c>
      <c r="Z26" s="420">
        <f t="shared" si="17"/>
        <v>7.9780000000000004E-2</v>
      </c>
      <c r="AA26" s="420">
        <v>0</v>
      </c>
      <c r="AB26" s="420">
        <v>0</v>
      </c>
      <c r="AC26" s="420">
        <f t="shared" si="18"/>
        <v>2.8920000000000001E-2</v>
      </c>
      <c r="AD26" s="419">
        <f t="shared" si="19"/>
        <v>0</v>
      </c>
      <c r="AE26" s="419">
        <f t="shared" si="20"/>
        <v>0</v>
      </c>
      <c r="AF26" s="419">
        <f t="shared" si="21"/>
        <v>0</v>
      </c>
      <c r="AG26" s="454">
        <f t="shared" si="22"/>
        <v>0</v>
      </c>
      <c r="AH26" s="454">
        <f t="shared" si="23"/>
        <v>0</v>
      </c>
      <c r="AI26" s="421">
        <f t="shared" si="24"/>
        <v>0</v>
      </c>
      <c r="AJ26" s="421">
        <f t="shared" si="25"/>
        <v>0</v>
      </c>
      <c r="AK26" s="421">
        <f t="shared" si="26"/>
        <v>0</v>
      </c>
      <c r="AL26" s="472">
        <v>0</v>
      </c>
      <c r="AM26" s="422">
        <f t="shared" si="27"/>
        <v>0</v>
      </c>
      <c r="AN26" s="423">
        <f t="shared" si="28"/>
        <v>0</v>
      </c>
      <c r="AO26" s="421">
        <f t="shared" si="29"/>
        <v>0</v>
      </c>
      <c r="AP26" s="472">
        <v>0</v>
      </c>
      <c r="AQ26" s="472">
        <v>0</v>
      </c>
      <c r="AR26" s="472">
        <v>0</v>
      </c>
      <c r="AS26" s="475">
        <v>0</v>
      </c>
      <c r="AT26" s="475">
        <v>0</v>
      </c>
      <c r="AU26" s="475">
        <v>0</v>
      </c>
      <c r="AV26" s="454">
        <f t="shared" si="30"/>
        <v>0</v>
      </c>
      <c r="AW26" s="421">
        <f t="shared" si="31"/>
        <v>0</v>
      </c>
      <c r="AX26" s="455">
        <f t="shared" si="41"/>
        <v>1</v>
      </c>
      <c r="AY26" s="424">
        <f t="shared" si="32"/>
        <v>0</v>
      </c>
      <c r="AZ26" s="424">
        <f t="shared" si="33"/>
        <v>0</v>
      </c>
      <c r="BA26" s="424">
        <f t="shared" si="34"/>
        <v>0</v>
      </c>
      <c r="BB26" s="424">
        <f t="shared" si="35"/>
        <v>0</v>
      </c>
      <c r="BC26" s="424">
        <f t="shared" si="36"/>
        <v>0</v>
      </c>
      <c r="BD26" s="424">
        <f t="shared" si="37"/>
        <v>0</v>
      </c>
      <c r="BE26" s="452">
        <f t="shared" si="38"/>
        <v>0</v>
      </c>
      <c r="BF26" s="448">
        <f t="shared" si="39"/>
        <v>0</v>
      </c>
      <c r="BG26" s="456">
        <f t="shared" si="40"/>
        <v>0</v>
      </c>
      <c r="BH26" s="457">
        <f t="shared" si="4"/>
        <v>0</v>
      </c>
      <c r="BI26" s="407" t="s">
        <v>1490</v>
      </c>
      <c r="BM26" s="429">
        <f>IF(BR26&gt;BR25,BM25,IF(BM25&lt;MiscData!$F$1,EOMONTH(BM25,1),EOMONTH(BM25,-11)))</f>
        <v>42035</v>
      </c>
      <c r="BN26" s="416" t="str">
        <f t="shared" si="5"/>
        <v>20140101KUCME297</v>
      </c>
      <c r="BO26" s="427" t="str">
        <f t="shared" si="6"/>
        <v>20140101TE</v>
      </c>
      <c r="BP26" s="407">
        <f>IF(BM26&lt;=MiscData!$B$23,MiscData!$C$23,IF(BM26&lt;=MiscData!$B$24,MiscData!$C$24,MiscData!$C$25))</f>
        <v>20140101</v>
      </c>
      <c r="BQ26" s="407" t="str">
        <f>VLOOKUP(BR26,MiscData!$V$4:$W$42,2,FALSE)</f>
        <v>KUCME297</v>
      </c>
      <c r="BR26" s="407">
        <f>IF(BR25=MiscData!$V$42,1,BR25+1)</f>
        <v>23</v>
      </c>
      <c r="BS26" s="407" t="str">
        <f>VLOOKUP(BQ26,MiscData!$W$4:$Y$42,3,FALSE)</f>
        <v>TE</v>
      </c>
    </row>
    <row r="27" spans="1:71" hidden="1">
      <c r="A27" s="416">
        <f t="shared" si="7"/>
        <v>24</v>
      </c>
      <c r="B27" s="416" t="str">
        <f t="shared" si="0"/>
        <v>Jan 2015</v>
      </c>
      <c r="C27" s="416" t="s">
        <v>727</v>
      </c>
      <c r="D27" s="417" t="str">
        <f t="shared" si="1"/>
        <v>SQF</v>
      </c>
      <c r="E27" s="417" t="str">
        <f t="shared" si="2"/>
        <v>KUCME705</v>
      </c>
      <c r="F27" s="418">
        <f t="shared" si="8"/>
        <v>0</v>
      </c>
      <c r="G27" s="467">
        <v>0</v>
      </c>
      <c r="H27" s="418">
        <v>0</v>
      </c>
      <c r="I27" s="418">
        <v>0</v>
      </c>
      <c r="J27" s="418">
        <v>0</v>
      </c>
      <c r="K27" s="418">
        <f t="shared" si="9"/>
        <v>0</v>
      </c>
      <c r="L27" s="459">
        <v>0</v>
      </c>
      <c r="M27" s="443">
        <f t="shared" si="10"/>
        <v>0</v>
      </c>
      <c r="N27" s="443">
        <f t="shared" si="11"/>
        <v>0</v>
      </c>
      <c r="O27" s="443">
        <f t="shared" si="12"/>
        <v>0</v>
      </c>
      <c r="P27" s="443">
        <f t="shared" si="13"/>
        <v>0</v>
      </c>
      <c r="Q27" s="443">
        <f t="shared" si="14"/>
        <v>0</v>
      </c>
      <c r="R27" s="443">
        <f t="shared" si="15"/>
        <v>0</v>
      </c>
      <c r="S27" s="484">
        <v>0</v>
      </c>
      <c r="T27" s="484">
        <v>0</v>
      </c>
      <c r="U27" s="484">
        <v>0</v>
      </c>
      <c r="V27" s="490">
        <v>0</v>
      </c>
      <c r="W27" s="490">
        <v>0</v>
      </c>
      <c r="X27" s="490">
        <v>0</v>
      </c>
      <c r="Y27" s="419">
        <f t="shared" si="16"/>
        <v>0</v>
      </c>
      <c r="Z27" s="420">
        <f t="shared" si="17"/>
        <v>0</v>
      </c>
      <c r="AA27" s="420">
        <v>0</v>
      </c>
      <c r="AB27" s="420">
        <v>0</v>
      </c>
      <c r="AC27" s="420">
        <f t="shared" si="18"/>
        <v>0</v>
      </c>
      <c r="AD27" s="419">
        <f t="shared" si="19"/>
        <v>0</v>
      </c>
      <c r="AE27" s="419">
        <f t="shared" si="20"/>
        <v>0</v>
      </c>
      <c r="AF27" s="419">
        <f t="shared" si="21"/>
        <v>0</v>
      </c>
      <c r="AG27" s="454">
        <f t="shared" si="22"/>
        <v>0</v>
      </c>
      <c r="AH27" s="454">
        <f t="shared" ref="AH27:AH35" si="42">ROUND(IF(H27=0,(K27-L27)*Z27,SUMPRODUCT(H27:J27,Z27:AB27)),2)</f>
        <v>0</v>
      </c>
      <c r="AI27" s="421">
        <f t="shared" si="24"/>
        <v>0</v>
      </c>
      <c r="AJ27" s="421">
        <f t="shared" si="25"/>
        <v>0</v>
      </c>
      <c r="AK27" s="421">
        <f t="shared" si="26"/>
        <v>0</v>
      </c>
      <c r="AL27" s="472">
        <v>0</v>
      </c>
      <c r="AM27" s="422">
        <f t="shared" si="27"/>
        <v>0</v>
      </c>
      <c r="AN27" s="423">
        <f t="shared" si="28"/>
        <v>0</v>
      </c>
      <c r="AO27" s="421">
        <f t="shared" si="29"/>
        <v>0</v>
      </c>
      <c r="AP27" s="472">
        <v>0</v>
      </c>
      <c r="AQ27" s="472">
        <v>0</v>
      </c>
      <c r="AR27" s="472">
        <v>0</v>
      </c>
      <c r="AS27" s="475">
        <v>0</v>
      </c>
      <c r="AT27" s="475">
        <v>0</v>
      </c>
      <c r="AU27" s="475">
        <v>0</v>
      </c>
      <c r="AV27" s="454">
        <f t="shared" si="30"/>
        <v>0</v>
      </c>
      <c r="AW27" s="421">
        <f t="shared" si="31"/>
        <v>0</v>
      </c>
      <c r="AX27" s="455">
        <f t="shared" si="41"/>
        <v>1</v>
      </c>
      <c r="AY27" s="424">
        <f t="shared" si="32"/>
        <v>0</v>
      </c>
      <c r="AZ27" s="424">
        <f t="shared" si="33"/>
        <v>0</v>
      </c>
      <c r="BA27" s="424">
        <f t="shared" si="34"/>
        <v>0</v>
      </c>
      <c r="BB27" s="424">
        <f t="shared" si="35"/>
        <v>0</v>
      </c>
      <c r="BC27" s="424">
        <f t="shared" si="36"/>
        <v>0</v>
      </c>
      <c r="BD27" s="424">
        <f t="shared" si="37"/>
        <v>0</v>
      </c>
      <c r="BE27" s="452">
        <f t="shared" si="38"/>
        <v>0</v>
      </c>
      <c r="BF27" s="448">
        <f t="shared" si="39"/>
        <v>0</v>
      </c>
      <c r="BG27" s="456">
        <f t="shared" si="40"/>
        <v>0</v>
      </c>
      <c r="BH27" s="457">
        <f t="shared" si="4"/>
        <v>0</v>
      </c>
      <c r="BI27" s="407" t="s">
        <v>1490</v>
      </c>
      <c r="BM27" s="429">
        <f>IF(BR27&gt;BR26,BM26,IF(BM26&lt;MiscData!$F$1,EOMONTH(BM26,1),EOMONTH(BM26,-11)))</f>
        <v>42035</v>
      </c>
      <c r="BN27" s="416" t="str">
        <f t="shared" si="5"/>
        <v>20140101KUCME705</v>
      </c>
      <c r="BO27" s="427" t="str">
        <f t="shared" si="6"/>
        <v>20140101SQF</v>
      </c>
      <c r="BP27" s="407">
        <f>IF(BM27&lt;=MiscData!$B$23,MiscData!$C$23,IF(BM27&lt;=MiscData!$B$24,MiscData!$C$24,MiscData!$C$25))</f>
        <v>20140101</v>
      </c>
      <c r="BQ27" s="407" t="str">
        <f>VLOOKUP(BR27,MiscData!$V$4:$W$42,2,FALSE)</f>
        <v>KUCME705</v>
      </c>
      <c r="BR27" s="407">
        <f>IF(BR26=MiscData!$V$42,1,BR26+1)</f>
        <v>24</v>
      </c>
      <c r="BS27" s="407" t="str">
        <f>VLOOKUP(BQ27,MiscData!$W$4:$Y$42,3,FALSE)</f>
        <v>SQF</v>
      </c>
    </row>
    <row r="28" spans="1:71" hidden="1">
      <c r="A28" s="416">
        <f t="shared" si="7"/>
        <v>25</v>
      </c>
      <c r="B28" s="416" t="str">
        <f t="shared" si="0"/>
        <v>Jan 2015</v>
      </c>
      <c r="C28" s="416" t="s">
        <v>1052</v>
      </c>
      <c r="D28" s="417" t="str">
        <f t="shared" si="1"/>
        <v>LQF</v>
      </c>
      <c r="E28" s="417" t="str">
        <f t="shared" si="2"/>
        <v>KUCME707</v>
      </c>
      <c r="F28" s="418">
        <f t="shared" si="8"/>
        <v>0</v>
      </c>
      <c r="G28" s="467">
        <v>0</v>
      </c>
      <c r="H28" s="418">
        <v>0</v>
      </c>
      <c r="I28" s="418">
        <v>0</v>
      </c>
      <c r="J28" s="418">
        <v>0</v>
      </c>
      <c r="K28" s="418">
        <f t="shared" si="9"/>
        <v>0</v>
      </c>
      <c r="L28" s="459">
        <v>0</v>
      </c>
      <c r="M28" s="443">
        <f t="shared" si="10"/>
        <v>0</v>
      </c>
      <c r="N28" s="443">
        <f t="shared" si="11"/>
        <v>0</v>
      </c>
      <c r="O28" s="443">
        <f t="shared" si="12"/>
        <v>0</v>
      </c>
      <c r="P28" s="443">
        <f t="shared" si="13"/>
        <v>0</v>
      </c>
      <c r="Q28" s="443">
        <f t="shared" si="14"/>
        <v>0</v>
      </c>
      <c r="R28" s="443">
        <f t="shared" si="15"/>
        <v>0</v>
      </c>
      <c r="S28" s="484">
        <v>0</v>
      </c>
      <c r="T28" s="484">
        <v>0</v>
      </c>
      <c r="U28" s="484">
        <v>0</v>
      </c>
      <c r="V28" s="490">
        <v>0</v>
      </c>
      <c r="W28" s="490">
        <v>0</v>
      </c>
      <c r="X28" s="490">
        <v>0</v>
      </c>
      <c r="Y28" s="419">
        <f t="shared" si="16"/>
        <v>0</v>
      </c>
      <c r="Z28" s="420">
        <f t="shared" si="17"/>
        <v>0</v>
      </c>
      <c r="AA28" s="420">
        <v>0</v>
      </c>
      <c r="AB28" s="420">
        <v>0</v>
      </c>
      <c r="AC28" s="420">
        <f t="shared" si="18"/>
        <v>0</v>
      </c>
      <c r="AD28" s="419">
        <f t="shared" si="19"/>
        <v>0</v>
      </c>
      <c r="AE28" s="419">
        <f t="shared" si="20"/>
        <v>0</v>
      </c>
      <c r="AF28" s="419">
        <f t="shared" si="21"/>
        <v>0</v>
      </c>
      <c r="AG28" s="454">
        <f t="shared" si="22"/>
        <v>0</v>
      </c>
      <c r="AH28" s="454">
        <f t="shared" si="42"/>
        <v>0</v>
      </c>
      <c r="AI28" s="421">
        <f t="shared" si="24"/>
        <v>0</v>
      </c>
      <c r="AJ28" s="421">
        <f t="shared" si="25"/>
        <v>0</v>
      </c>
      <c r="AK28" s="421">
        <f t="shared" si="26"/>
        <v>0</v>
      </c>
      <c r="AL28" s="472">
        <v>0</v>
      </c>
      <c r="AM28" s="422">
        <f t="shared" si="27"/>
        <v>0</v>
      </c>
      <c r="AN28" s="423">
        <f t="shared" si="28"/>
        <v>0</v>
      </c>
      <c r="AO28" s="421">
        <f t="shared" si="29"/>
        <v>0</v>
      </c>
      <c r="AP28" s="472">
        <v>0</v>
      </c>
      <c r="AQ28" s="472">
        <v>0</v>
      </c>
      <c r="AR28" s="472">
        <v>0</v>
      </c>
      <c r="AS28" s="475">
        <v>0</v>
      </c>
      <c r="AT28" s="475">
        <v>0</v>
      </c>
      <c r="AU28" s="475">
        <v>0</v>
      </c>
      <c r="AV28" s="454">
        <f t="shared" si="30"/>
        <v>0</v>
      </c>
      <c r="AW28" s="421">
        <f t="shared" si="31"/>
        <v>0</v>
      </c>
      <c r="AX28" s="455">
        <f t="shared" si="41"/>
        <v>1</v>
      </c>
      <c r="AY28" s="424">
        <f t="shared" si="32"/>
        <v>0</v>
      </c>
      <c r="AZ28" s="424">
        <f t="shared" si="33"/>
        <v>0</v>
      </c>
      <c r="BA28" s="424">
        <f t="shared" si="34"/>
        <v>0</v>
      </c>
      <c r="BB28" s="424">
        <f t="shared" si="35"/>
        <v>0</v>
      </c>
      <c r="BC28" s="424">
        <f t="shared" si="36"/>
        <v>0</v>
      </c>
      <c r="BD28" s="424">
        <f t="shared" si="37"/>
        <v>0</v>
      </c>
      <c r="BE28" s="452">
        <f t="shared" si="38"/>
        <v>0</v>
      </c>
      <c r="BF28" s="448">
        <f t="shared" si="39"/>
        <v>0</v>
      </c>
      <c r="BG28" s="456">
        <f t="shared" si="40"/>
        <v>0</v>
      </c>
      <c r="BH28" s="457">
        <f t="shared" si="4"/>
        <v>0</v>
      </c>
      <c r="BI28" s="407" t="s">
        <v>1490</v>
      </c>
      <c r="BM28" s="429">
        <f>IF(BR28&gt;BR27,BM27,IF(BM27&lt;MiscData!$F$1,EOMONTH(BM27,1),EOMONTH(BM27,-11)))</f>
        <v>42035</v>
      </c>
      <c r="BN28" s="416" t="str">
        <f t="shared" si="5"/>
        <v>20140101KUCME707</v>
      </c>
      <c r="BO28" s="427" t="str">
        <f t="shared" si="6"/>
        <v>20140101LQF</v>
      </c>
      <c r="BP28" s="407">
        <f>IF(BM28&lt;=MiscData!$B$23,MiscData!$C$23,IF(BM28&lt;=MiscData!$B$24,MiscData!$C$24,MiscData!$C$25))</f>
        <v>20140101</v>
      </c>
      <c r="BQ28" s="407" t="str">
        <f>VLOOKUP(BR28,MiscData!$V$4:$W$42,2,FALSE)</f>
        <v>KUCME707</v>
      </c>
      <c r="BR28" s="407">
        <f>IF(BR27=MiscData!$V$42,1,BR27+1)</f>
        <v>25</v>
      </c>
      <c r="BS28" s="407" t="str">
        <f>VLOOKUP(BQ28,MiscData!$W$4:$Y$42,3,FALSE)</f>
        <v>LQF</v>
      </c>
    </row>
    <row r="29" spans="1:71" hidden="1">
      <c r="A29" s="416">
        <f t="shared" si="7"/>
        <v>26</v>
      </c>
      <c r="B29" s="416" t="str">
        <f t="shared" si="0"/>
        <v>Jan 2015</v>
      </c>
      <c r="C29" s="416" t="s">
        <v>224</v>
      </c>
      <c r="D29" s="417" t="str">
        <f t="shared" si="1"/>
        <v>GS</v>
      </c>
      <c r="E29" s="417" t="str">
        <f t="shared" si="2"/>
        <v>KUCME710</v>
      </c>
      <c r="F29" s="418">
        <f t="shared" si="8"/>
        <v>0</v>
      </c>
      <c r="G29" s="467">
        <v>0</v>
      </c>
      <c r="H29" s="418">
        <v>0</v>
      </c>
      <c r="I29" s="418">
        <v>0</v>
      </c>
      <c r="J29" s="418">
        <v>0</v>
      </c>
      <c r="K29" s="418">
        <f t="shared" si="9"/>
        <v>0</v>
      </c>
      <c r="L29" s="459">
        <v>0</v>
      </c>
      <c r="M29" s="443">
        <f t="shared" si="10"/>
        <v>0</v>
      </c>
      <c r="N29" s="443">
        <f t="shared" si="11"/>
        <v>0</v>
      </c>
      <c r="O29" s="443">
        <f t="shared" si="12"/>
        <v>0</v>
      </c>
      <c r="P29" s="443">
        <f t="shared" si="13"/>
        <v>0</v>
      </c>
      <c r="Q29" s="443">
        <f t="shared" si="14"/>
        <v>0</v>
      </c>
      <c r="R29" s="443">
        <f t="shared" si="15"/>
        <v>0</v>
      </c>
      <c r="S29" s="484">
        <v>0</v>
      </c>
      <c r="T29" s="484">
        <v>0</v>
      </c>
      <c r="U29" s="484">
        <v>0</v>
      </c>
      <c r="V29" s="490">
        <v>0</v>
      </c>
      <c r="W29" s="490">
        <v>0</v>
      </c>
      <c r="X29" s="490">
        <v>0</v>
      </c>
      <c r="Y29" s="419">
        <f t="shared" si="16"/>
        <v>20</v>
      </c>
      <c r="Z29" s="420">
        <f t="shared" si="17"/>
        <v>9.2249999999999999E-2</v>
      </c>
      <c r="AA29" s="420">
        <v>0</v>
      </c>
      <c r="AB29" s="420">
        <v>0</v>
      </c>
      <c r="AC29" s="420">
        <f t="shared" si="18"/>
        <v>2.8920000000000001E-2</v>
      </c>
      <c r="AD29" s="419">
        <f t="shared" si="19"/>
        <v>0</v>
      </c>
      <c r="AE29" s="419">
        <f t="shared" si="20"/>
        <v>0</v>
      </c>
      <c r="AF29" s="419">
        <f t="shared" si="21"/>
        <v>0</v>
      </c>
      <c r="AG29" s="454">
        <f t="shared" si="22"/>
        <v>0</v>
      </c>
      <c r="AH29" s="454">
        <f t="shared" si="42"/>
        <v>0</v>
      </c>
      <c r="AI29" s="421">
        <f t="shared" si="24"/>
        <v>0</v>
      </c>
      <c r="AJ29" s="421">
        <f t="shared" si="25"/>
        <v>0</v>
      </c>
      <c r="AK29" s="421">
        <f t="shared" si="26"/>
        <v>0</v>
      </c>
      <c r="AL29" s="472">
        <v>0</v>
      </c>
      <c r="AM29" s="422">
        <f t="shared" si="27"/>
        <v>0</v>
      </c>
      <c r="AN29" s="423">
        <f t="shared" si="28"/>
        <v>0</v>
      </c>
      <c r="AO29" s="421">
        <f t="shared" si="29"/>
        <v>0</v>
      </c>
      <c r="AP29" s="472">
        <v>0</v>
      </c>
      <c r="AQ29" s="472">
        <v>0</v>
      </c>
      <c r="AR29" s="472">
        <v>0</v>
      </c>
      <c r="AS29" s="475">
        <v>0</v>
      </c>
      <c r="AT29" s="475">
        <v>0</v>
      </c>
      <c r="AU29" s="475">
        <v>0</v>
      </c>
      <c r="AV29" s="454">
        <f t="shared" si="30"/>
        <v>0</v>
      </c>
      <c r="AW29" s="421">
        <f t="shared" si="31"/>
        <v>0</v>
      </c>
      <c r="AX29" s="455">
        <f t="shared" si="41"/>
        <v>1</v>
      </c>
      <c r="AY29" s="424">
        <f t="shared" si="32"/>
        <v>0</v>
      </c>
      <c r="AZ29" s="424">
        <f t="shared" si="33"/>
        <v>0</v>
      </c>
      <c r="BA29" s="424">
        <f t="shared" si="34"/>
        <v>0</v>
      </c>
      <c r="BB29" s="424">
        <f t="shared" si="35"/>
        <v>0</v>
      </c>
      <c r="BC29" s="424">
        <f t="shared" si="36"/>
        <v>0</v>
      </c>
      <c r="BD29" s="424">
        <f t="shared" si="37"/>
        <v>0</v>
      </c>
      <c r="BE29" s="452">
        <f t="shared" si="38"/>
        <v>0</v>
      </c>
      <c r="BF29" s="448">
        <f t="shared" si="39"/>
        <v>0</v>
      </c>
      <c r="BG29" s="456">
        <f t="shared" si="40"/>
        <v>0</v>
      </c>
      <c r="BH29" s="457">
        <f t="shared" si="4"/>
        <v>0</v>
      </c>
      <c r="BI29" s="407" t="s">
        <v>1490</v>
      </c>
      <c r="BM29" s="429">
        <f>IF(BR29&gt;BR28,BM28,IF(BM28&lt;MiscData!$F$1,EOMONTH(BM28,1),EOMONTH(BM28,-11)))</f>
        <v>42035</v>
      </c>
      <c r="BN29" s="416" t="str">
        <f t="shared" si="5"/>
        <v>20140101KUCME710</v>
      </c>
      <c r="BO29" s="427" t="str">
        <f t="shared" si="6"/>
        <v>20140101GS</v>
      </c>
      <c r="BP29" s="407">
        <f>IF(BM29&lt;=MiscData!$B$23,MiscData!$C$23,IF(BM29&lt;=MiscData!$B$24,MiscData!$C$24,MiscData!$C$25))</f>
        <v>20140101</v>
      </c>
      <c r="BQ29" s="407" t="str">
        <f>VLOOKUP(BR29,MiscData!$V$4:$W$42,2,FALSE)</f>
        <v>KUCME710</v>
      </c>
      <c r="BR29" s="407">
        <f>IF(BR28=MiscData!$V$42,1,BR28+1)</f>
        <v>26</v>
      </c>
      <c r="BS29" s="407" t="str">
        <f>VLOOKUP(BQ29,MiscData!$W$4:$Y$42,3,FALSE)</f>
        <v>GS</v>
      </c>
    </row>
    <row r="30" spans="1:71" hidden="1">
      <c r="A30" s="416">
        <f t="shared" si="7"/>
        <v>27</v>
      </c>
      <c r="B30" s="416" t="str">
        <f t="shared" si="0"/>
        <v>Jan 2015</v>
      </c>
      <c r="C30" s="416" t="s">
        <v>18</v>
      </c>
      <c r="D30" s="417" t="str">
        <f t="shared" si="1"/>
        <v>GS3</v>
      </c>
      <c r="E30" s="417" t="str">
        <f t="shared" si="2"/>
        <v>KUCME713</v>
      </c>
      <c r="F30" s="418">
        <f t="shared" si="8"/>
        <v>0</v>
      </c>
      <c r="G30" s="467">
        <v>0</v>
      </c>
      <c r="H30" s="418">
        <v>0</v>
      </c>
      <c r="I30" s="418">
        <v>0</v>
      </c>
      <c r="J30" s="418">
        <v>0</v>
      </c>
      <c r="K30" s="418">
        <f t="shared" si="9"/>
        <v>0</v>
      </c>
      <c r="L30" s="459">
        <v>0</v>
      </c>
      <c r="M30" s="443">
        <f t="shared" si="10"/>
        <v>0</v>
      </c>
      <c r="N30" s="443">
        <f t="shared" si="11"/>
        <v>0</v>
      </c>
      <c r="O30" s="443">
        <f t="shared" si="12"/>
        <v>0</v>
      </c>
      <c r="P30" s="443">
        <f t="shared" si="13"/>
        <v>0</v>
      </c>
      <c r="Q30" s="443">
        <f t="shared" si="14"/>
        <v>0</v>
      </c>
      <c r="R30" s="443">
        <f t="shared" si="15"/>
        <v>0</v>
      </c>
      <c r="S30" s="484">
        <v>0</v>
      </c>
      <c r="T30" s="484">
        <v>0</v>
      </c>
      <c r="U30" s="484">
        <v>0</v>
      </c>
      <c r="V30" s="490">
        <v>0</v>
      </c>
      <c r="W30" s="490">
        <v>0</v>
      </c>
      <c r="X30" s="490">
        <v>0</v>
      </c>
      <c r="Y30" s="419">
        <f t="shared" si="16"/>
        <v>35</v>
      </c>
      <c r="Z30" s="420">
        <f t="shared" si="17"/>
        <v>9.2249999999999999E-2</v>
      </c>
      <c r="AA30" s="420">
        <v>0</v>
      </c>
      <c r="AB30" s="420">
        <v>0</v>
      </c>
      <c r="AC30" s="420">
        <f t="shared" si="18"/>
        <v>2.8920000000000001E-2</v>
      </c>
      <c r="AD30" s="419">
        <f t="shared" si="19"/>
        <v>0</v>
      </c>
      <c r="AE30" s="419">
        <f t="shared" si="20"/>
        <v>0</v>
      </c>
      <c r="AF30" s="419">
        <f t="shared" si="21"/>
        <v>0</v>
      </c>
      <c r="AG30" s="454">
        <f t="shared" si="22"/>
        <v>0</v>
      </c>
      <c r="AH30" s="454">
        <f t="shared" si="42"/>
        <v>0</v>
      </c>
      <c r="AI30" s="421">
        <f t="shared" si="24"/>
        <v>0</v>
      </c>
      <c r="AJ30" s="421">
        <f t="shared" si="25"/>
        <v>0</v>
      </c>
      <c r="AK30" s="421">
        <f t="shared" si="26"/>
        <v>0</v>
      </c>
      <c r="AL30" s="472">
        <v>0</v>
      </c>
      <c r="AM30" s="422">
        <f t="shared" si="27"/>
        <v>0</v>
      </c>
      <c r="AN30" s="423">
        <f t="shared" si="28"/>
        <v>0</v>
      </c>
      <c r="AO30" s="421">
        <f t="shared" si="29"/>
        <v>0</v>
      </c>
      <c r="AP30" s="472">
        <v>0</v>
      </c>
      <c r="AQ30" s="472">
        <v>0</v>
      </c>
      <c r="AR30" s="472">
        <v>0</v>
      </c>
      <c r="AS30" s="475">
        <v>0</v>
      </c>
      <c r="AT30" s="475">
        <v>0</v>
      </c>
      <c r="AU30" s="475">
        <v>0</v>
      </c>
      <c r="AV30" s="454">
        <f t="shared" si="30"/>
        <v>0</v>
      </c>
      <c r="AW30" s="421">
        <f t="shared" si="31"/>
        <v>0</v>
      </c>
      <c r="AX30" s="455">
        <f t="shared" si="41"/>
        <v>1</v>
      </c>
      <c r="AY30" s="424">
        <f t="shared" si="32"/>
        <v>0</v>
      </c>
      <c r="AZ30" s="424">
        <f t="shared" si="33"/>
        <v>0</v>
      </c>
      <c r="BA30" s="424">
        <f t="shared" si="34"/>
        <v>0</v>
      </c>
      <c r="BB30" s="424">
        <f t="shared" si="35"/>
        <v>0</v>
      </c>
      <c r="BC30" s="424">
        <f t="shared" si="36"/>
        <v>0</v>
      </c>
      <c r="BD30" s="424">
        <f t="shared" si="37"/>
        <v>0</v>
      </c>
      <c r="BE30" s="452">
        <f t="shared" si="38"/>
        <v>0</v>
      </c>
      <c r="BF30" s="448">
        <f t="shared" si="39"/>
        <v>0</v>
      </c>
      <c r="BG30" s="456">
        <f t="shared" si="40"/>
        <v>0</v>
      </c>
      <c r="BH30" s="457">
        <f t="shared" si="4"/>
        <v>0</v>
      </c>
      <c r="BI30" s="407" t="s">
        <v>1490</v>
      </c>
      <c r="BM30" s="429">
        <f>IF(BR30&gt;BR29,BM29,IF(BM29&lt;MiscData!$F$1,EOMONTH(BM29,1),EOMONTH(BM29,-11)))</f>
        <v>42035</v>
      </c>
      <c r="BN30" s="416" t="str">
        <f t="shared" si="5"/>
        <v>20140101KUCME713</v>
      </c>
      <c r="BO30" s="427" t="str">
        <f t="shared" si="6"/>
        <v>20140101GS3</v>
      </c>
      <c r="BP30" s="407">
        <f>IF(BM30&lt;=MiscData!$B$23,MiscData!$C$23,IF(BM30&lt;=MiscData!$B$24,MiscData!$C$24,MiscData!$C$25))</f>
        <v>20140101</v>
      </c>
      <c r="BQ30" s="407" t="str">
        <f>VLOOKUP(BR30,MiscData!$V$4:$W$42,2,FALSE)</f>
        <v>KUCME713</v>
      </c>
      <c r="BR30" s="407">
        <f>IF(BR29=MiscData!$V$42,1,BR29+1)</f>
        <v>27</v>
      </c>
      <c r="BS30" s="407" t="str">
        <f>VLOOKUP(BQ30,MiscData!$W$4:$Y$42,3,FALSE)</f>
        <v>GS3</v>
      </c>
    </row>
    <row r="31" spans="1:71" hidden="1">
      <c r="A31" s="416">
        <f>A27+1</f>
        <v>25</v>
      </c>
      <c r="B31" s="416" t="str">
        <f t="shared" si="0"/>
        <v>Jan 2015</v>
      </c>
      <c r="C31" s="416" t="s">
        <v>1459</v>
      </c>
      <c r="D31" s="417" t="str">
        <f t="shared" si="1"/>
        <v>CSR10</v>
      </c>
      <c r="E31" s="417" t="str">
        <f t="shared" si="2"/>
        <v>KUCSR760</v>
      </c>
      <c r="F31" s="418">
        <f t="shared" si="8"/>
        <v>0</v>
      </c>
      <c r="G31" s="467">
        <v>0</v>
      </c>
      <c r="H31" s="418">
        <v>0</v>
      </c>
      <c r="I31" s="418">
        <v>0</v>
      </c>
      <c r="J31" s="418">
        <v>0</v>
      </c>
      <c r="K31" s="418">
        <f t="shared" si="9"/>
        <v>0</v>
      </c>
      <c r="L31" s="459">
        <v>0</v>
      </c>
      <c r="M31" s="443">
        <f t="shared" si="10"/>
        <v>0</v>
      </c>
      <c r="N31" s="443">
        <f t="shared" si="11"/>
        <v>0</v>
      </c>
      <c r="O31" s="443">
        <f t="shared" si="12"/>
        <v>0</v>
      </c>
      <c r="P31" s="443">
        <f t="shared" si="13"/>
        <v>0</v>
      </c>
      <c r="Q31" s="443">
        <f t="shared" si="14"/>
        <v>0</v>
      </c>
      <c r="R31" s="443">
        <f t="shared" si="15"/>
        <v>0</v>
      </c>
      <c r="S31" s="484">
        <v>0</v>
      </c>
      <c r="T31" s="484">
        <v>0</v>
      </c>
      <c r="U31" s="484">
        <v>0</v>
      </c>
      <c r="V31" s="490">
        <v>0</v>
      </c>
      <c r="W31" s="490">
        <v>0</v>
      </c>
      <c r="X31" s="490">
        <v>0</v>
      </c>
      <c r="Y31" s="419">
        <f t="shared" si="16"/>
        <v>0</v>
      </c>
      <c r="Z31" s="420">
        <f t="shared" si="17"/>
        <v>0</v>
      </c>
      <c r="AA31" s="420">
        <v>0</v>
      </c>
      <c r="AB31" s="420">
        <v>0</v>
      </c>
      <c r="AC31" s="420">
        <f t="shared" si="18"/>
        <v>0</v>
      </c>
      <c r="AD31" s="419">
        <f t="shared" si="19"/>
        <v>-5.4</v>
      </c>
      <c r="AE31" s="419">
        <f t="shared" si="20"/>
        <v>0</v>
      </c>
      <c r="AF31" s="419">
        <f t="shared" si="21"/>
        <v>0</v>
      </c>
      <c r="AG31" s="454">
        <f t="shared" si="22"/>
        <v>0</v>
      </c>
      <c r="AH31" s="454">
        <f t="shared" si="42"/>
        <v>0</v>
      </c>
      <c r="AI31" s="421">
        <f t="shared" si="24"/>
        <v>0</v>
      </c>
      <c r="AJ31" s="421">
        <f t="shared" si="25"/>
        <v>0</v>
      </c>
      <c r="AK31" s="421">
        <f t="shared" si="26"/>
        <v>0</v>
      </c>
      <c r="AL31" s="472">
        <v>0</v>
      </c>
      <c r="AM31" s="422">
        <f t="shared" si="27"/>
        <v>0</v>
      </c>
      <c r="AN31" s="423">
        <f t="shared" si="28"/>
        <v>0</v>
      </c>
      <c r="AO31" s="421">
        <f t="shared" si="29"/>
        <v>0</v>
      </c>
      <c r="AP31" s="472">
        <v>0</v>
      </c>
      <c r="AQ31" s="472">
        <v>0</v>
      </c>
      <c r="AR31" s="472">
        <v>0</v>
      </c>
      <c r="AS31" s="475">
        <v>0</v>
      </c>
      <c r="AT31" s="475">
        <v>0</v>
      </c>
      <c r="AU31" s="475">
        <v>0</v>
      </c>
      <c r="AV31" s="454">
        <f t="shared" si="30"/>
        <v>0</v>
      </c>
      <c r="AW31" s="421">
        <f t="shared" si="31"/>
        <v>0</v>
      </c>
      <c r="AX31" s="455">
        <f t="shared" si="41"/>
        <v>1</v>
      </c>
      <c r="AY31" s="424">
        <f t="shared" si="32"/>
        <v>0</v>
      </c>
      <c r="AZ31" s="424">
        <f t="shared" si="33"/>
        <v>0</v>
      </c>
      <c r="BA31" s="424">
        <f t="shared" si="34"/>
        <v>0</v>
      </c>
      <c r="BB31" s="424">
        <f t="shared" si="35"/>
        <v>0</v>
      </c>
      <c r="BC31" s="424">
        <f t="shared" si="36"/>
        <v>-989829</v>
      </c>
      <c r="BD31" s="424">
        <f t="shared" si="37"/>
        <v>-989829</v>
      </c>
      <c r="BE31" s="452">
        <f t="shared" si="38"/>
        <v>-989829</v>
      </c>
      <c r="BF31" s="448">
        <f t="shared" si="39"/>
        <v>0</v>
      </c>
      <c r="BG31" s="456">
        <f t="shared" si="40"/>
        <v>0</v>
      </c>
      <c r="BH31" s="457">
        <f t="shared" si="4"/>
        <v>0</v>
      </c>
      <c r="BI31" s="407" t="s">
        <v>1490</v>
      </c>
      <c r="BM31" s="429">
        <f>IF(BR31&gt;BR27,BM27,IF(BM27&lt;MiscData!$F$1,EOMONTH(BM27,1),EOMONTH(BM27,-11)))</f>
        <v>42035</v>
      </c>
      <c r="BN31" s="416" t="str">
        <f t="shared" si="5"/>
        <v>20140101KUCSR760</v>
      </c>
      <c r="BO31" s="427" t="str">
        <f t="shared" si="6"/>
        <v>20140101CSR10</v>
      </c>
      <c r="BP31" s="407">
        <f>IF(BM31&lt;=MiscData!$B$23,MiscData!$C$23,IF(BM31&lt;=MiscData!$B$24,MiscData!$C$24,MiscData!$C$25))</f>
        <v>20140101</v>
      </c>
      <c r="BQ31" s="407" t="str">
        <f>VLOOKUP(BR31,MiscData!$V$4:$W$42,2,FALSE)</f>
        <v>KUCSR760</v>
      </c>
      <c r="BR31" s="407">
        <f>IF(BR30=MiscData!$V$42,1,BR30+1)</f>
        <v>28</v>
      </c>
      <c r="BS31" s="407" t="str">
        <f>VLOOKUP(BQ31,MiscData!$W$4:$Y$42,3,FALSE)</f>
        <v>CSR10</v>
      </c>
    </row>
    <row r="32" spans="1:71" hidden="1">
      <c r="A32" s="416">
        <f>A28+1</f>
        <v>26</v>
      </c>
      <c r="B32" s="416" t="str">
        <f t="shared" si="0"/>
        <v>Jan 2015</v>
      </c>
      <c r="C32" s="416" t="s">
        <v>1459</v>
      </c>
      <c r="D32" s="417" t="str">
        <f t="shared" si="1"/>
        <v>CSR10</v>
      </c>
      <c r="E32" s="417" t="str">
        <f t="shared" si="2"/>
        <v>KUCSR761</v>
      </c>
      <c r="F32" s="418">
        <f t="shared" si="8"/>
        <v>0</v>
      </c>
      <c r="G32" s="467">
        <v>0</v>
      </c>
      <c r="H32" s="418">
        <v>0</v>
      </c>
      <c r="I32" s="418">
        <v>0</v>
      </c>
      <c r="J32" s="418">
        <v>0</v>
      </c>
      <c r="K32" s="418">
        <f t="shared" si="9"/>
        <v>0</v>
      </c>
      <c r="L32" s="459">
        <v>0</v>
      </c>
      <c r="M32" s="443">
        <f t="shared" si="10"/>
        <v>0</v>
      </c>
      <c r="N32" s="443">
        <f t="shared" si="11"/>
        <v>0</v>
      </c>
      <c r="O32" s="443">
        <f t="shared" si="12"/>
        <v>0</v>
      </c>
      <c r="P32" s="443">
        <f t="shared" si="13"/>
        <v>0</v>
      </c>
      <c r="Q32" s="443">
        <f t="shared" si="14"/>
        <v>0</v>
      </c>
      <c r="R32" s="443">
        <f t="shared" si="15"/>
        <v>0</v>
      </c>
      <c r="S32" s="484">
        <v>0</v>
      </c>
      <c r="T32" s="484">
        <v>0</v>
      </c>
      <c r="U32" s="484">
        <v>0</v>
      </c>
      <c r="V32" s="490">
        <v>0</v>
      </c>
      <c r="W32" s="490">
        <v>0</v>
      </c>
      <c r="X32" s="490">
        <v>0</v>
      </c>
      <c r="Y32" s="419">
        <f t="shared" si="16"/>
        <v>0</v>
      </c>
      <c r="Z32" s="420">
        <f t="shared" si="17"/>
        <v>0</v>
      </c>
      <c r="AA32" s="420">
        <v>0</v>
      </c>
      <c r="AB32" s="420">
        <v>0</v>
      </c>
      <c r="AC32" s="420">
        <f t="shared" si="18"/>
        <v>0</v>
      </c>
      <c r="AD32" s="419">
        <f t="shared" si="19"/>
        <v>-5.5</v>
      </c>
      <c r="AE32" s="419">
        <f t="shared" si="20"/>
        <v>0</v>
      </c>
      <c r="AF32" s="419">
        <f t="shared" si="21"/>
        <v>0</v>
      </c>
      <c r="AG32" s="454">
        <f t="shared" si="22"/>
        <v>0</v>
      </c>
      <c r="AH32" s="454">
        <f t="shared" si="42"/>
        <v>0</v>
      </c>
      <c r="AI32" s="421">
        <f t="shared" si="24"/>
        <v>0</v>
      </c>
      <c r="AJ32" s="421">
        <f t="shared" si="25"/>
        <v>0</v>
      </c>
      <c r="AK32" s="421">
        <f t="shared" si="26"/>
        <v>0</v>
      </c>
      <c r="AL32" s="472">
        <v>0</v>
      </c>
      <c r="AM32" s="422">
        <f t="shared" si="27"/>
        <v>0</v>
      </c>
      <c r="AN32" s="423">
        <f t="shared" si="28"/>
        <v>0</v>
      </c>
      <c r="AO32" s="421">
        <f t="shared" si="29"/>
        <v>0</v>
      </c>
      <c r="AP32" s="472">
        <v>0</v>
      </c>
      <c r="AQ32" s="472">
        <v>0</v>
      </c>
      <c r="AR32" s="472">
        <v>0</v>
      </c>
      <c r="AS32" s="475">
        <v>0</v>
      </c>
      <c r="AT32" s="475">
        <v>0</v>
      </c>
      <c r="AU32" s="475">
        <v>0</v>
      </c>
      <c r="AV32" s="454">
        <f t="shared" si="30"/>
        <v>0</v>
      </c>
      <c r="AW32" s="421">
        <f t="shared" si="31"/>
        <v>0</v>
      </c>
      <c r="AX32" s="455">
        <f t="shared" si="41"/>
        <v>1</v>
      </c>
      <c r="AY32" s="424">
        <f t="shared" si="32"/>
        <v>0</v>
      </c>
      <c r="AZ32" s="424">
        <f t="shared" si="33"/>
        <v>0</v>
      </c>
      <c r="BA32" s="424">
        <f t="shared" si="34"/>
        <v>0</v>
      </c>
      <c r="BB32" s="424">
        <f t="shared" si="35"/>
        <v>0</v>
      </c>
      <c r="BC32" s="424">
        <f t="shared" si="36"/>
        <v>0</v>
      </c>
      <c r="BD32" s="424">
        <f t="shared" si="37"/>
        <v>0</v>
      </c>
      <c r="BE32" s="452">
        <f t="shared" si="38"/>
        <v>0</v>
      </c>
      <c r="BF32" s="448">
        <f t="shared" si="39"/>
        <v>0</v>
      </c>
      <c r="BG32" s="456">
        <f t="shared" si="40"/>
        <v>0</v>
      </c>
      <c r="BH32" s="457">
        <f t="shared" si="4"/>
        <v>0</v>
      </c>
      <c r="BI32" s="407" t="s">
        <v>1490</v>
      </c>
      <c r="BM32" s="429">
        <f>IF(BR32&gt;BR28,BM28,IF(BM28&lt;MiscData!$F$1,EOMONTH(BM28,1),EOMONTH(BM28,-11)))</f>
        <v>42035</v>
      </c>
      <c r="BN32" s="416" t="str">
        <f t="shared" si="5"/>
        <v>20140101KUCSR761</v>
      </c>
      <c r="BO32" s="427" t="str">
        <f t="shared" si="6"/>
        <v>20140101CSR10</v>
      </c>
      <c r="BP32" s="407">
        <f>IF(BM32&lt;=MiscData!$B$23,MiscData!$C$23,IF(BM32&lt;=MiscData!$B$24,MiscData!$C$24,MiscData!$C$25))</f>
        <v>20140101</v>
      </c>
      <c r="BQ32" s="407" t="str">
        <f>VLOOKUP(BR32,MiscData!$V$4:$W$42,2,FALSE)</f>
        <v>KUCSR761</v>
      </c>
      <c r="BR32" s="407">
        <f>IF(BR31=MiscData!$V$42,1,BR31+1)</f>
        <v>29</v>
      </c>
      <c r="BS32" s="407" t="str">
        <f>VLOOKUP(BQ32,MiscData!$W$4:$Y$42,3,FALSE)</f>
        <v>CSR10</v>
      </c>
    </row>
    <row r="33" spans="1:72" hidden="1">
      <c r="A33" s="416">
        <f>A32+1</f>
        <v>27</v>
      </c>
      <c r="B33" s="416" t="str">
        <f t="shared" si="0"/>
        <v>Jan 2015</v>
      </c>
      <c r="C33" s="416" t="s">
        <v>1460</v>
      </c>
      <c r="D33" s="417" t="str">
        <f t="shared" si="1"/>
        <v>CSR30</v>
      </c>
      <c r="E33" s="417" t="str">
        <f t="shared" si="2"/>
        <v>KUCSR780</v>
      </c>
      <c r="F33" s="418">
        <f t="shared" si="8"/>
        <v>0</v>
      </c>
      <c r="G33" s="467">
        <v>0</v>
      </c>
      <c r="H33" s="418">
        <v>0</v>
      </c>
      <c r="I33" s="418">
        <v>0</v>
      </c>
      <c r="J33" s="418">
        <v>0</v>
      </c>
      <c r="K33" s="418">
        <f t="shared" si="9"/>
        <v>0</v>
      </c>
      <c r="L33" s="459">
        <v>0</v>
      </c>
      <c r="M33" s="443">
        <f t="shared" si="10"/>
        <v>0</v>
      </c>
      <c r="N33" s="443">
        <f t="shared" si="11"/>
        <v>0</v>
      </c>
      <c r="O33" s="443">
        <f t="shared" si="12"/>
        <v>0</v>
      </c>
      <c r="P33" s="443">
        <f t="shared" si="13"/>
        <v>0</v>
      </c>
      <c r="Q33" s="443">
        <f t="shared" si="14"/>
        <v>0</v>
      </c>
      <c r="R33" s="443">
        <f t="shared" si="15"/>
        <v>0</v>
      </c>
      <c r="S33" s="484">
        <v>0</v>
      </c>
      <c r="T33" s="484">
        <v>0</v>
      </c>
      <c r="U33" s="484">
        <v>0</v>
      </c>
      <c r="V33" s="490">
        <v>0</v>
      </c>
      <c r="W33" s="490">
        <v>0</v>
      </c>
      <c r="X33" s="490">
        <v>0</v>
      </c>
      <c r="Y33" s="419">
        <f t="shared" si="16"/>
        <v>0</v>
      </c>
      <c r="Z33" s="420">
        <f t="shared" si="17"/>
        <v>0</v>
      </c>
      <c r="AA33" s="420">
        <v>0</v>
      </c>
      <c r="AB33" s="420">
        <v>0</v>
      </c>
      <c r="AC33" s="420">
        <f t="shared" si="18"/>
        <v>0</v>
      </c>
      <c r="AD33" s="419">
        <f t="shared" si="19"/>
        <v>-4.3</v>
      </c>
      <c r="AE33" s="419">
        <f t="shared" si="20"/>
        <v>0</v>
      </c>
      <c r="AF33" s="419">
        <f t="shared" si="21"/>
        <v>0</v>
      </c>
      <c r="AG33" s="454">
        <f t="shared" si="22"/>
        <v>0</v>
      </c>
      <c r="AH33" s="454">
        <f t="shared" si="42"/>
        <v>0</v>
      </c>
      <c r="AI33" s="421">
        <f t="shared" si="24"/>
        <v>0</v>
      </c>
      <c r="AJ33" s="421">
        <f t="shared" si="25"/>
        <v>0</v>
      </c>
      <c r="AK33" s="421">
        <f t="shared" si="26"/>
        <v>0</v>
      </c>
      <c r="AL33" s="472">
        <v>0</v>
      </c>
      <c r="AM33" s="422">
        <f t="shared" si="27"/>
        <v>0</v>
      </c>
      <c r="AN33" s="423">
        <f t="shared" si="28"/>
        <v>0</v>
      </c>
      <c r="AO33" s="421">
        <f t="shared" si="29"/>
        <v>0</v>
      </c>
      <c r="AP33" s="472">
        <v>0</v>
      </c>
      <c r="AQ33" s="472">
        <v>0</v>
      </c>
      <c r="AR33" s="472">
        <v>0</v>
      </c>
      <c r="AS33" s="475">
        <v>0</v>
      </c>
      <c r="AT33" s="475">
        <v>0</v>
      </c>
      <c r="AU33" s="475">
        <v>0</v>
      </c>
      <c r="AV33" s="454">
        <f t="shared" si="30"/>
        <v>0</v>
      </c>
      <c r="AW33" s="421">
        <f t="shared" si="31"/>
        <v>0</v>
      </c>
      <c r="AX33" s="455">
        <f t="shared" si="41"/>
        <v>1</v>
      </c>
      <c r="AY33" s="424">
        <f t="shared" si="32"/>
        <v>0</v>
      </c>
      <c r="AZ33" s="424">
        <f t="shared" si="33"/>
        <v>0</v>
      </c>
      <c r="BA33" s="424">
        <f t="shared" si="34"/>
        <v>0</v>
      </c>
      <c r="BB33" s="424">
        <f t="shared" si="35"/>
        <v>0</v>
      </c>
      <c r="BC33" s="424">
        <f t="shared" si="36"/>
        <v>0</v>
      </c>
      <c r="BD33" s="424">
        <f t="shared" si="37"/>
        <v>0</v>
      </c>
      <c r="BE33" s="452">
        <f t="shared" si="38"/>
        <v>0</v>
      </c>
      <c r="BF33" s="448">
        <f t="shared" si="39"/>
        <v>0</v>
      </c>
      <c r="BG33" s="456">
        <f t="shared" si="40"/>
        <v>0</v>
      </c>
      <c r="BH33" s="457">
        <f t="shared" si="4"/>
        <v>0</v>
      </c>
      <c r="BI33" s="407" t="s">
        <v>1490</v>
      </c>
      <c r="BM33" s="429">
        <f>IF(BR33&gt;BR32,BM32,IF(BM32&lt;MiscData!$F$1,EOMONTH(BM32,1),EOMONTH(BM32,-11)))</f>
        <v>42035</v>
      </c>
      <c r="BN33" s="416" t="str">
        <f t="shared" si="5"/>
        <v>20140101KUCSR780</v>
      </c>
      <c r="BO33" s="427" t="str">
        <f t="shared" si="6"/>
        <v>20140101CSR30</v>
      </c>
      <c r="BP33" s="407">
        <f>IF(BM33&lt;=MiscData!$B$23,MiscData!$C$23,IF(BM33&lt;=MiscData!$B$24,MiscData!$C$24,MiscData!$C$25))</f>
        <v>20140101</v>
      </c>
      <c r="BQ33" s="407" t="str">
        <f>VLOOKUP(BR33,MiscData!$V$4:$W$42,2,FALSE)</f>
        <v>KUCSR780</v>
      </c>
      <c r="BR33" s="407">
        <f>IF(BR32=MiscData!$V$42,1,BR32+1)</f>
        <v>30</v>
      </c>
      <c r="BS33" s="407" t="str">
        <f>VLOOKUP(BQ33,MiscData!$W$4:$Y$42,3,FALSE)</f>
        <v>CSR30</v>
      </c>
    </row>
    <row r="34" spans="1:72" hidden="1">
      <c r="A34" s="416">
        <f>A30+1</f>
        <v>28</v>
      </c>
      <c r="B34" s="416" t="str">
        <f t="shared" si="0"/>
        <v>Jan 2015</v>
      </c>
      <c r="C34" s="416" t="s">
        <v>1460</v>
      </c>
      <c r="D34" s="417" t="str">
        <f t="shared" si="1"/>
        <v>CSR30</v>
      </c>
      <c r="E34" s="417" t="str">
        <f t="shared" si="2"/>
        <v>KUCSR781</v>
      </c>
      <c r="F34" s="418">
        <f t="shared" si="8"/>
        <v>0</v>
      </c>
      <c r="G34" s="467">
        <v>0</v>
      </c>
      <c r="H34" s="418">
        <v>0</v>
      </c>
      <c r="I34" s="418">
        <v>0</v>
      </c>
      <c r="J34" s="418">
        <v>0</v>
      </c>
      <c r="K34" s="418">
        <f t="shared" si="9"/>
        <v>0</v>
      </c>
      <c r="L34" s="459">
        <v>0</v>
      </c>
      <c r="M34" s="443">
        <f t="shared" si="10"/>
        <v>0</v>
      </c>
      <c r="N34" s="443">
        <f t="shared" si="11"/>
        <v>0</v>
      </c>
      <c r="O34" s="443">
        <f t="shared" si="12"/>
        <v>0</v>
      </c>
      <c r="P34" s="443">
        <f t="shared" si="13"/>
        <v>0</v>
      </c>
      <c r="Q34" s="443">
        <f t="shared" si="14"/>
        <v>0</v>
      </c>
      <c r="R34" s="443">
        <f t="shared" si="15"/>
        <v>0</v>
      </c>
      <c r="S34" s="484">
        <v>0</v>
      </c>
      <c r="T34" s="484">
        <v>0</v>
      </c>
      <c r="U34" s="484">
        <v>0</v>
      </c>
      <c r="V34" s="490">
        <v>0</v>
      </c>
      <c r="W34" s="490">
        <v>0</v>
      </c>
      <c r="X34" s="490">
        <v>0</v>
      </c>
      <c r="Y34" s="419">
        <f t="shared" si="16"/>
        <v>0</v>
      </c>
      <c r="Z34" s="420">
        <f t="shared" si="17"/>
        <v>0</v>
      </c>
      <c r="AA34" s="420">
        <v>0</v>
      </c>
      <c r="AB34" s="420">
        <v>0</v>
      </c>
      <c r="AC34" s="420">
        <f t="shared" si="18"/>
        <v>0</v>
      </c>
      <c r="AD34" s="419">
        <f t="shared" si="19"/>
        <v>-4.4000000000000004</v>
      </c>
      <c r="AE34" s="419">
        <f t="shared" si="20"/>
        <v>0</v>
      </c>
      <c r="AF34" s="419">
        <f t="shared" si="21"/>
        <v>0</v>
      </c>
      <c r="AG34" s="454">
        <f t="shared" si="22"/>
        <v>0</v>
      </c>
      <c r="AH34" s="454">
        <f t="shared" si="42"/>
        <v>0</v>
      </c>
      <c r="AI34" s="421">
        <f t="shared" si="24"/>
        <v>0</v>
      </c>
      <c r="AJ34" s="421">
        <f t="shared" si="25"/>
        <v>0</v>
      </c>
      <c r="AK34" s="421">
        <f t="shared" si="26"/>
        <v>0</v>
      </c>
      <c r="AL34" s="472">
        <v>0</v>
      </c>
      <c r="AM34" s="422">
        <f t="shared" si="27"/>
        <v>0</v>
      </c>
      <c r="AN34" s="423">
        <f t="shared" si="28"/>
        <v>0</v>
      </c>
      <c r="AO34" s="421">
        <f t="shared" si="29"/>
        <v>0</v>
      </c>
      <c r="AP34" s="472">
        <v>0</v>
      </c>
      <c r="AQ34" s="472">
        <v>0</v>
      </c>
      <c r="AR34" s="472">
        <v>0</v>
      </c>
      <c r="AS34" s="475">
        <v>0</v>
      </c>
      <c r="AT34" s="475">
        <v>0</v>
      </c>
      <c r="AU34" s="475">
        <v>0</v>
      </c>
      <c r="AV34" s="454">
        <f t="shared" si="30"/>
        <v>0</v>
      </c>
      <c r="AW34" s="421">
        <f t="shared" si="31"/>
        <v>0</v>
      </c>
      <c r="AX34" s="455">
        <f t="shared" si="41"/>
        <v>1</v>
      </c>
      <c r="AY34" s="424">
        <f t="shared" si="32"/>
        <v>0</v>
      </c>
      <c r="AZ34" s="424">
        <f t="shared" si="33"/>
        <v>0</v>
      </c>
      <c r="BA34" s="424">
        <f t="shared" si="34"/>
        <v>0</v>
      </c>
      <c r="BB34" s="424">
        <f t="shared" si="35"/>
        <v>0</v>
      </c>
      <c r="BC34" s="424">
        <f t="shared" si="36"/>
        <v>0</v>
      </c>
      <c r="BD34" s="424">
        <f t="shared" si="37"/>
        <v>0</v>
      </c>
      <c r="BE34" s="452">
        <f t="shared" si="38"/>
        <v>0</v>
      </c>
      <c r="BF34" s="448">
        <f t="shared" si="39"/>
        <v>0</v>
      </c>
      <c r="BG34" s="456">
        <f t="shared" si="40"/>
        <v>0</v>
      </c>
      <c r="BH34" s="457">
        <f t="shared" si="4"/>
        <v>0</v>
      </c>
      <c r="BI34" s="407" t="s">
        <v>1490</v>
      </c>
      <c r="BM34" s="429">
        <f>IF(BR34&gt;BR30,BM30,IF(BM30&lt;MiscData!$F$1,EOMONTH(BM30,1),EOMONTH(BM30,-11)))</f>
        <v>42035</v>
      </c>
      <c r="BN34" s="416" t="str">
        <f t="shared" si="5"/>
        <v>20140101KUCSR781</v>
      </c>
      <c r="BO34" s="427" t="str">
        <f t="shared" si="6"/>
        <v>20140101CSR30</v>
      </c>
      <c r="BP34" s="407">
        <f>IF(BM34&lt;=MiscData!$B$23,MiscData!$C$23,IF(BM34&lt;=MiscData!$B$24,MiscData!$C$24,MiscData!$C$25))</f>
        <v>20140101</v>
      </c>
      <c r="BQ34" s="407" t="str">
        <f>VLOOKUP(BR34,MiscData!$V$4:$W$42,2,FALSE)</f>
        <v>KUCSR781</v>
      </c>
      <c r="BR34" s="407">
        <f>IF(BR33=MiscData!$V$42,1,BR33+1)</f>
        <v>31</v>
      </c>
      <c r="BS34" s="407" t="str">
        <f>VLOOKUP(BQ34,MiscData!$W$4:$Y$42,3,FALSE)</f>
        <v>CSR30</v>
      </c>
    </row>
    <row r="35" spans="1:72" hidden="1">
      <c r="A35" s="416">
        <f t="shared" ref="A35:A69" si="43">A34+1</f>
        <v>29</v>
      </c>
      <c r="B35" s="416" t="str">
        <f t="shared" si="0"/>
        <v>Jan 2015</v>
      </c>
      <c r="C35" s="416" t="s">
        <v>1460</v>
      </c>
      <c r="D35" s="417" t="str">
        <f t="shared" si="1"/>
        <v>CSR30</v>
      </c>
      <c r="E35" s="417" t="str">
        <f t="shared" si="2"/>
        <v>KUCSR783</v>
      </c>
      <c r="F35" s="418">
        <f t="shared" si="8"/>
        <v>0</v>
      </c>
      <c r="G35" s="467">
        <v>0</v>
      </c>
      <c r="H35" s="418">
        <v>0</v>
      </c>
      <c r="I35" s="418">
        <v>0</v>
      </c>
      <c r="J35" s="418">
        <v>0</v>
      </c>
      <c r="K35" s="418">
        <f t="shared" si="9"/>
        <v>0</v>
      </c>
      <c r="L35" s="459">
        <v>0</v>
      </c>
      <c r="M35" s="443">
        <f t="shared" si="10"/>
        <v>0</v>
      </c>
      <c r="N35" s="443">
        <f t="shared" si="11"/>
        <v>0</v>
      </c>
      <c r="O35" s="443">
        <f t="shared" si="12"/>
        <v>0</v>
      </c>
      <c r="P35" s="443">
        <f t="shared" si="13"/>
        <v>0</v>
      </c>
      <c r="Q35" s="443">
        <f t="shared" si="14"/>
        <v>0</v>
      </c>
      <c r="R35" s="443">
        <f t="shared" si="15"/>
        <v>0</v>
      </c>
      <c r="S35" s="484">
        <v>0</v>
      </c>
      <c r="T35" s="484">
        <v>0</v>
      </c>
      <c r="U35" s="484">
        <v>0</v>
      </c>
      <c r="V35" s="490">
        <v>0</v>
      </c>
      <c r="W35" s="490">
        <v>0</v>
      </c>
      <c r="X35" s="490">
        <v>0</v>
      </c>
      <c r="Y35" s="419">
        <f t="shared" si="16"/>
        <v>0</v>
      </c>
      <c r="Z35" s="420">
        <f t="shared" si="17"/>
        <v>0</v>
      </c>
      <c r="AA35" s="420">
        <v>0</v>
      </c>
      <c r="AB35" s="420">
        <v>0</v>
      </c>
      <c r="AC35" s="420">
        <f t="shared" si="18"/>
        <v>0</v>
      </c>
      <c r="AD35" s="419">
        <f t="shared" si="19"/>
        <v>-4.4000000000000004</v>
      </c>
      <c r="AE35" s="419">
        <f t="shared" si="20"/>
        <v>0</v>
      </c>
      <c r="AF35" s="419">
        <f t="shared" si="21"/>
        <v>0</v>
      </c>
      <c r="AG35" s="454">
        <f t="shared" si="22"/>
        <v>0</v>
      </c>
      <c r="AH35" s="454">
        <f t="shared" si="42"/>
        <v>0</v>
      </c>
      <c r="AI35" s="421">
        <f t="shared" si="24"/>
        <v>0</v>
      </c>
      <c r="AJ35" s="421">
        <f t="shared" si="25"/>
        <v>0</v>
      </c>
      <c r="AK35" s="421">
        <f t="shared" si="26"/>
        <v>0</v>
      </c>
      <c r="AL35" s="472">
        <v>0</v>
      </c>
      <c r="AM35" s="422">
        <f t="shared" si="27"/>
        <v>0</v>
      </c>
      <c r="AN35" s="423">
        <f t="shared" si="28"/>
        <v>0</v>
      </c>
      <c r="AO35" s="421">
        <f t="shared" si="29"/>
        <v>0</v>
      </c>
      <c r="AP35" s="472">
        <v>0</v>
      </c>
      <c r="AQ35" s="472">
        <v>0</v>
      </c>
      <c r="AR35" s="472">
        <v>0</v>
      </c>
      <c r="AS35" s="475">
        <v>0</v>
      </c>
      <c r="AT35" s="475">
        <v>0</v>
      </c>
      <c r="AU35" s="475">
        <v>0</v>
      </c>
      <c r="AV35" s="454">
        <f t="shared" si="30"/>
        <v>0</v>
      </c>
      <c r="AW35" s="421">
        <f t="shared" si="31"/>
        <v>0</v>
      </c>
      <c r="AX35" s="455">
        <f t="shared" si="41"/>
        <v>1</v>
      </c>
      <c r="AY35" s="424">
        <f t="shared" si="32"/>
        <v>0</v>
      </c>
      <c r="AZ35" s="424">
        <f t="shared" si="33"/>
        <v>0</v>
      </c>
      <c r="BA35" s="424">
        <f t="shared" si="34"/>
        <v>0</v>
      </c>
      <c r="BB35" s="424">
        <f t="shared" si="35"/>
        <v>0</v>
      </c>
      <c r="BC35" s="424">
        <f t="shared" si="36"/>
        <v>0</v>
      </c>
      <c r="BD35" s="424">
        <f t="shared" si="37"/>
        <v>0</v>
      </c>
      <c r="BE35" s="452">
        <f t="shared" si="38"/>
        <v>0</v>
      </c>
      <c r="BF35" s="448">
        <f t="shared" si="39"/>
        <v>0</v>
      </c>
      <c r="BG35" s="456">
        <f t="shared" si="40"/>
        <v>0</v>
      </c>
      <c r="BH35" s="457">
        <f t="shared" si="4"/>
        <v>0</v>
      </c>
      <c r="BI35" s="407" t="s">
        <v>1490</v>
      </c>
      <c r="BM35" s="429">
        <f>IF(BR35&gt;BR34,BM34,IF(BM34&lt;MiscData!$F$1,EOMONTH(BM34,1),EOMONTH(BM34,-11)))</f>
        <v>42035</v>
      </c>
      <c r="BN35" s="416" t="str">
        <f t="shared" si="5"/>
        <v>20140101KUCSR783</v>
      </c>
      <c r="BO35" s="427" t="str">
        <f t="shared" si="6"/>
        <v>20140101CSR30</v>
      </c>
      <c r="BP35" s="407">
        <f>IF(BM35&lt;=MiscData!$B$23,MiscData!$C$23,IF(BM35&lt;=MiscData!$B$24,MiscData!$C$24,MiscData!$C$25))</f>
        <v>20140101</v>
      </c>
      <c r="BQ35" s="407" t="str">
        <f>VLOOKUP(BR35,MiscData!$V$4:$W$42,2,FALSE)</f>
        <v>KUCSR783</v>
      </c>
      <c r="BR35" s="407">
        <f>IF(BR34=MiscData!$V$42,1,BR34+1)</f>
        <v>32</v>
      </c>
      <c r="BS35" s="407" t="str">
        <f>VLOOKUP(BQ35,MiscData!$W$4:$Y$42,3,FALSE)</f>
        <v>CSR30</v>
      </c>
    </row>
    <row r="36" spans="1:72" hidden="1">
      <c r="A36" s="416">
        <f t="shared" si="43"/>
        <v>30</v>
      </c>
      <c r="B36" s="416" t="str">
        <f t="shared" si="0"/>
        <v>Jan 2015</v>
      </c>
      <c r="C36" s="837" t="s">
        <v>675</v>
      </c>
      <c r="D36" s="417" t="str">
        <f t="shared" si="1"/>
        <v>FLST</v>
      </c>
      <c r="E36" s="417" t="str">
        <f t="shared" si="2"/>
        <v>KUINE730</v>
      </c>
      <c r="F36" s="418">
        <f t="shared" si="8"/>
        <v>1</v>
      </c>
      <c r="G36" s="467">
        <v>0</v>
      </c>
      <c r="H36" s="418">
        <v>0</v>
      </c>
      <c r="I36" s="418">
        <v>0</v>
      </c>
      <c r="J36" s="418">
        <v>0</v>
      </c>
      <c r="K36" s="418">
        <f t="shared" si="9"/>
        <v>48922696</v>
      </c>
      <c r="L36" s="459">
        <v>0</v>
      </c>
      <c r="M36" s="443">
        <f t="shared" si="10"/>
        <v>185157.6</v>
      </c>
      <c r="N36" s="443">
        <f t="shared" si="11"/>
        <v>185157.6</v>
      </c>
      <c r="O36" s="443">
        <f t="shared" si="12"/>
        <v>101387.6</v>
      </c>
      <c r="P36" s="443">
        <f t="shared" si="13"/>
        <v>185157.6</v>
      </c>
      <c r="Q36" s="443">
        <f t="shared" si="14"/>
        <v>185157.6</v>
      </c>
      <c r="R36" s="443">
        <f t="shared" si="15"/>
        <v>101387.6</v>
      </c>
      <c r="S36" s="484">
        <v>0</v>
      </c>
      <c r="T36" s="484">
        <v>0</v>
      </c>
      <c r="U36" s="484">
        <v>0</v>
      </c>
      <c r="V36" s="490">
        <v>0</v>
      </c>
      <c r="W36" s="490">
        <v>0</v>
      </c>
      <c r="X36" s="490">
        <v>0</v>
      </c>
      <c r="Y36" s="419">
        <f t="shared" si="16"/>
        <v>750</v>
      </c>
      <c r="Z36" s="420">
        <f t="shared" si="17"/>
        <v>3.261E-2</v>
      </c>
      <c r="AA36" s="420">
        <v>0</v>
      </c>
      <c r="AB36" s="420">
        <v>0</v>
      </c>
      <c r="AC36" s="420">
        <f t="shared" si="18"/>
        <v>2.8920000000000001E-2</v>
      </c>
      <c r="AD36" s="419">
        <f t="shared" si="19"/>
        <v>1.05</v>
      </c>
      <c r="AE36" s="419">
        <f t="shared" si="20"/>
        <v>1.52</v>
      </c>
      <c r="AF36" s="419">
        <f t="shared" si="21"/>
        <v>2.41</v>
      </c>
      <c r="AG36" s="454">
        <f t="shared" si="22"/>
        <v>750</v>
      </c>
      <c r="AH36" s="454">
        <f t="shared" ref="AH36:AH99" si="44">ROUND(IF(H36=0,(K36+L36)*Z36,SUMPRODUCT(H36:J36,Z36:AB36)),2)</f>
        <v>1595369.12</v>
      </c>
      <c r="AI36" s="421">
        <f t="shared" si="24"/>
        <v>194415.48</v>
      </c>
      <c r="AJ36" s="421">
        <f t="shared" si="25"/>
        <v>281439.55</v>
      </c>
      <c r="AK36" s="421">
        <f t="shared" si="26"/>
        <v>244344.12</v>
      </c>
      <c r="AL36" s="472">
        <v>0</v>
      </c>
      <c r="AM36" s="422">
        <f t="shared" si="27"/>
        <v>0</v>
      </c>
      <c r="AN36" s="423">
        <f t="shared" si="28"/>
        <v>0</v>
      </c>
      <c r="AO36" s="421">
        <f t="shared" si="29"/>
        <v>720199.15</v>
      </c>
      <c r="AP36" s="472">
        <v>0</v>
      </c>
      <c r="AQ36" s="472">
        <v>0</v>
      </c>
      <c r="AR36" s="472">
        <v>0</v>
      </c>
      <c r="AS36" s="475">
        <v>0</v>
      </c>
      <c r="AT36" s="475">
        <v>0</v>
      </c>
      <c r="AU36" s="475">
        <v>0</v>
      </c>
      <c r="AV36" s="454">
        <f t="shared" si="30"/>
        <v>2316318.27</v>
      </c>
      <c r="AW36" s="421">
        <f t="shared" si="31"/>
        <v>2316318</v>
      </c>
      <c r="AX36" s="455">
        <f t="shared" si="41"/>
        <v>0.99999988343570767</v>
      </c>
      <c r="AY36" s="424">
        <f t="shared" si="32"/>
        <v>126359</v>
      </c>
      <c r="AZ36" s="424">
        <f t="shared" si="33"/>
        <v>0</v>
      </c>
      <c r="BA36" s="424">
        <f t="shared" si="34"/>
        <v>150007</v>
      </c>
      <c r="BB36" s="424">
        <f t="shared" si="35"/>
        <v>0</v>
      </c>
      <c r="BC36" s="424">
        <f t="shared" si="36"/>
        <v>0</v>
      </c>
      <c r="BD36" s="424">
        <f t="shared" si="37"/>
        <v>2592684</v>
      </c>
      <c r="BE36" s="452">
        <f t="shared" si="38"/>
        <v>2592684.27</v>
      </c>
      <c r="BF36" s="448">
        <f t="shared" si="39"/>
        <v>-0.27000000001862645</v>
      </c>
      <c r="BG36" s="456">
        <f t="shared" si="40"/>
        <v>1414844.37</v>
      </c>
      <c r="BH36" s="457">
        <f t="shared" si="4"/>
        <v>180524.75</v>
      </c>
      <c r="BI36" s="407" t="s">
        <v>1490</v>
      </c>
      <c r="BM36" s="429">
        <f>IF(BR36&gt;BR35,BM35,IF(BM35&lt;MiscData!$F$1,EOMONTH(BM35,1),EOMONTH(BM35,-11)))</f>
        <v>42035</v>
      </c>
      <c r="BN36" s="416" t="str">
        <f t="shared" si="5"/>
        <v>20140101KUINE730</v>
      </c>
      <c r="BO36" s="427" t="str">
        <f t="shared" si="6"/>
        <v>20140101FLST</v>
      </c>
      <c r="BP36" s="407">
        <f>IF(BM36&lt;=MiscData!$B$23,MiscData!$C$23,IF(BM36&lt;=MiscData!$B$24,MiscData!$C$24,MiscData!$C$25))</f>
        <v>20140101</v>
      </c>
      <c r="BQ36" s="407" t="str">
        <f>VLOOKUP(BR36,MiscData!$V$4:$W$42,2,FALSE)</f>
        <v>KUINE730</v>
      </c>
      <c r="BR36" s="407">
        <f>IF(BR35=MiscData!$V$42,1,BR35+1)</f>
        <v>33</v>
      </c>
      <c r="BS36" s="407" t="str">
        <f>VLOOKUP(BQ36,MiscData!$W$4:$Y$42,3,FALSE)</f>
        <v>FLST</v>
      </c>
    </row>
    <row r="37" spans="1:72" hidden="1">
      <c r="A37" s="416">
        <f t="shared" si="43"/>
        <v>31</v>
      </c>
      <c r="B37" s="416" t="str">
        <f t="shared" si="0"/>
        <v>Jan 2015</v>
      </c>
      <c r="C37" s="416" t="s">
        <v>15</v>
      </c>
      <c r="D37" s="417" t="str">
        <f t="shared" si="1"/>
        <v>RS</v>
      </c>
      <c r="E37" s="417" t="str">
        <f t="shared" si="2"/>
        <v>KURSE010</v>
      </c>
      <c r="F37" s="418">
        <f t="shared" si="8"/>
        <v>428166</v>
      </c>
      <c r="G37" s="467">
        <v>0</v>
      </c>
      <c r="H37" s="418">
        <v>0</v>
      </c>
      <c r="I37" s="418">
        <v>0</v>
      </c>
      <c r="J37" s="418">
        <v>0</v>
      </c>
      <c r="K37" s="418">
        <f t="shared" si="9"/>
        <v>736688063</v>
      </c>
      <c r="L37" s="459">
        <v>0</v>
      </c>
      <c r="M37" s="443">
        <f t="shared" si="10"/>
        <v>0</v>
      </c>
      <c r="N37" s="443">
        <f t="shared" si="11"/>
        <v>0</v>
      </c>
      <c r="O37" s="443">
        <f t="shared" si="12"/>
        <v>0</v>
      </c>
      <c r="P37" s="443">
        <f t="shared" si="13"/>
        <v>0</v>
      </c>
      <c r="Q37" s="443">
        <f t="shared" si="14"/>
        <v>0</v>
      </c>
      <c r="R37" s="443">
        <f t="shared" si="15"/>
        <v>0</v>
      </c>
      <c r="S37" s="484">
        <v>0</v>
      </c>
      <c r="T37" s="484">
        <v>0</v>
      </c>
      <c r="U37" s="484">
        <v>0</v>
      </c>
      <c r="V37" s="490">
        <v>0</v>
      </c>
      <c r="W37" s="490">
        <v>0</v>
      </c>
      <c r="X37" s="490">
        <v>0</v>
      </c>
      <c r="Y37" s="419">
        <f t="shared" si="16"/>
        <v>10.75</v>
      </c>
      <c r="Z37" s="420">
        <f t="shared" si="17"/>
        <v>7.7439999999999995E-2</v>
      </c>
      <c r="AA37" s="420">
        <v>0</v>
      </c>
      <c r="AB37" s="420">
        <v>0</v>
      </c>
      <c r="AC37" s="420">
        <f t="shared" si="18"/>
        <v>2.8920000000000001E-2</v>
      </c>
      <c r="AD37" s="419">
        <f t="shared" si="19"/>
        <v>0</v>
      </c>
      <c r="AE37" s="419">
        <f t="shared" si="20"/>
        <v>0</v>
      </c>
      <c r="AF37" s="419">
        <f t="shared" si="21"/>
        <v>0</v>
      </c>
      <c r="AG37" s="454">
        <f t="shared" si="22"/>
        <v>4602784.5</v>
      </c>
      <c r="AH37" s="454">
        <f t="shared" si="44"/>
        <v>57049123.600000001</v>
      </c>
      <c r="AI37" s="421">
        <f t="shared" si="24"/>
        <v>0</v>
      </c>
      <c r="AJ37" s="421">
        <f t="shared" si="25"/>
        <v>0</v>
      </c>
      <c r="AK37" s="421">
        <f t="shared" si="26"/>
        <v>0</v>
      </c>
      <c r="AL37" s="482">
        <v>0</v>
      </c>
      <c r="AM37" s="422">
        <f t="shared" ref="AM37:AM68" si="45">SUMIFS(_1022_Power_Factor_Revenue,_1022_RevenueMonth,$B37,_1022_RateCategory,$E37)</f>
        <v>0</v>
      </c>
      <c r="AN37" s="423">
        <f t="shared" si="28"/>
        <v>0</v>
      </c>
      <c r="AO37" s="421">
        <f t="shared" si="29"/>
        <v>0</v>
      </c>
      <c r="AP37" s="472">
        <v>0</v>
      </c>
      <c r="AQ37" s="472">
        <v>0</v>
      </c>
      <c r="AR37" s="472">
        <v>0</v>
      </c>
      <c r="AS37" s="475">
        <v>0</v>
      </c>
      <c r="AT37" s="475">
        <v>0</v>
      </c>
      <c r="AU37" s="475">
        <v>0</v>
      </c>
      <c r="AV37" s="454">
        <f t="shared" si="30"/>
        <v>61651908.100000001</v>
      </c>
      <c r="AW37" s="421">
        <f t="shared" si="31"/>
        <v>61651904</v>
      </c>
      <c r="AX37" s="455">
        <f t="shared" si="41"/>
        <v>0.99999993349759764</v>
      </c>
      <c r="AY37" s="424">
        <f t="shared" si="32"/>
        <v>1902737</v>
      </c>
      <c r="AZ37" s="424">
        <f t="shared" si="33"/>
        <v>767580</v>
      </c>
      <c r="BA37" s="424">
        <f t="shared" si="34"/>
        <v>2258840</v>
      </c>
      <c r="BB37" s="424">
        <f t="shared" si="35"/>
        <v>0</v>
      </c>
      <c r="BC37" s="424">
        <f t="shared" si="36"/>
        <v>0</v>
      </c>
      <c r="BD37" s="424">
        <f t="shared" si="37"/>
        <v>66581061</v>
      </c>
      <c r="BE37" s="452">
        <f t="shared" si="38"/>
        <v>66581065.100000001</v>
      </c>
      <c r="BF37" s="448">
        <f t="shared" si="39"/>
        <v>-4.1000000014901161</v>
      </c>
      <c r="BG37" s="456">
        <f t="shared" si="40"/>
        <v>21305018.780000001</v>
      </c>
      <c r="BH37" s="457">
        <f t="shared" si="4"/>
        <v>35744104.82</v>
      </c>
      <c r="BI37" s="407" t="s">
        <v>1490</v>
      </c>
      <c r="BM37" s="429">
        <f>IF(BR37&gt;BR36,BM36,IF(BM36&lt;MiscData!$F$1,EOMONTH(BM36,1),EOMONTH(BM36,-11)))</f>
        <v>42035</v>
      </c>
      <c r="BN37" s="416" t="str">
        <f t="shared" si="5"/>
        <v>20140101KURSE010</v>
      </c>
      <c r="BO37" s="427" t="str">
        <f t="shared" si="6"/>
        <v>20140101RS</v>
      </c>
      <c r="BP37" s="407">
        <f>IF(BM37&lt;=MiscData!$B$23,MiscData!$C$23,IF(BM37&lt;=MiscData!$B$24,MiscData!$C$24,MiscData!$C$25))</f>
        <v>20140101</v>
      </c>
      <c r="BQ37" s="407" t="str">
        <f>VLOOKUP(BR37,MiscData!$V$4:$W$42,2,FALSE)</f>
        <v>KURSE010</v>
      </c>
      <c r="BR37" s="407">
        <f>IF(BR36=MiscData!$V$42,1,BR36+1)</f>
        <v>34</v>
      </c>
      <c r="BS37" s="407" t="str">
        <f>VLOOKUP(BQ37,MiscData!$W$4:$Y$42,3,FALSE)</f>
        <v>RS</v>
      </c>
    </row>
    <row r="38" spans="1:72" hidden="1">
      <c r="A38" s="416">
        <f t="shared" si="43"/>
        <v>32</v>
      </c>
      <c r="B38" s="416" t="str">
        <f t="shared" si="0"/>
        <v>Jan 2015</v>
      </c>
      <c r="C38" s="416" t="s">
        <v>15</v>
      </c>
      <c r="D38" s="417" t="str">
        <f t="shared" si="1"/>
        <v>RS</v>
      </c>
      <c r="E38" s="417" t="str">
        <f t="shared" si="2"/>
        <v>KURSE020</v>
      </c>
      <c r="F38" s="418">
        <f t="shared" si="8"/>
        <v>0</v>
      </c>
      <c r="G38" s="467">
        <v>0</v>
      </c>
      <c r="H38" s="418">
        <v>0</v>
      </c>
      <c r="I38" s="418">
        <v>0</v>
      </c>
      <c r="J38" s="418">
        <v>0</v>
      </c>
      <c r="K38" s="418">
        <f t="shared" si="9"/>
        <v>0</v>
      </c>
      <c r="L38" s="459">
        <v>0</v>
      </c>
      <c r="M38" s="443">
        <f t="shared" si="10"/>
        <v>0</v>
      </c>
      <c r="N38" s="443">
        <f t="shared" si="11"/>
        <v>0</v>
      </c>
      <c r="O38" s="443">
        <f t="shared" si="12"/>
        <v>0</v>
      </c>
      <c r="P38" s="443">
        <f t="shared" si="13"/>
        <v>0</v>
      </c>
      <c r="Q38" s="443">
        <f t="shared" si="14"/>
        <v>0</v>
      </c>
      <c r="R38" s="443">
        <f t="shared" si="15"/>
        <v>0</v>
      </c>
      <c r="S38" s="484">
        <v>0</v>
      </c>
      <c r="T38" s="484">
        <v>0</v>
      </c>
      <c r="U38" s="484">
        <v>0</v>
      </c>
      <c r="V38" s="490">
        <v>0</v>
      </c>
      <c r="W38" s="490">
        <v>0</v>
      </c>
      <c r="X38" s="490">
        <v>0</v>
      </c>
      <c r="Y38" s="419">
        <f t="shared" si="16"/>
        <v>10.75</v>
      </c>
      <c r="Z38" s="420">
        <f t="shared" si="17"/>
        <v>7.7439999999999995E-2</v>
      </c>
      <c r="AA38" s="420">
        <v>0</v>
      </c>
      <c r="AB38" s="420">
        <v>0</v>
      </c>
      <c r="AC38" s="420">
        <f t="shared" si="18"/>
        <v>2.8920000000000001E-2</v>
      </c>
      <c r="AD38" s="419">
        <f t="shared" si="19"/>
        <v>0</v>
      </c>
      <c r="AE38" s="419">
        <f t="shared" si="20"/>
        <v>0</v>
      </c>
      <c r="AF38" s="419">
        <f t="shared" si="21"/>
        <v>0</v>
      </c>
      <c r="AG38" s="454">
        <f t="shared" si="22"/>
        <v>0</v>
      </c>
      <c r="AH38" s="454">
        <f t="shared" si="44"/>
        <v>0</v>
      </c>
      <c r="AI38" s="421">
        <f t="shared" si="24"/>
        <v>0</v>
      </c>
      <c r="AJ38" s="421">
        <f t="shared" si="25"/>
        <v>0</v>
      </c>
      <c r="AK38" s="421">
        <f t="shared" si="26"/>
        <v>0</v>
      </c>
      <c r="AL38" s="482">
        <v>0</v>
      </c>
      <c r="AM38" s="422">
        <f t="shared" si="45"/>
        <v>0</v>
      </c>
      <c r="AN38" s="423">
        <f t="shared" si="28"/>
        <v>0</v>
      </c>
      <c r="AO38" s="421">
        <f t="shared" si="29"/>
        <v>0</v>
      </c>
      <c r="AP38" s="472">
        <v>0</v>
      </c>
      <c r="AQ38" s="472">
        <v>0</v>
      </c>
      <c r="AR38" s="472">
        <v>0</v>
      </c>
      <c r="AS38" s="475">
        <v>0</v>
      </c>
      <c r="AT38" s="475">
        <v>0</v>
      </c>
      <c r="AU38" s="475">
        <v>0</v>
      </c>
      <c r="AV38" s="454">
        <f t="shared" si="30"/>
        <v>0</v>
      </c>
      <c r="AW38" s="421">
        <f t="shared" si="31"/>
        <v>0</v>
      </c>
      <c r="AX38" s="455">
        <f t="shared" si="41"/>
        <v>1</v>
      </c>
      <c r="AY38" s="424">
        <f t="shared" si="32"/>
        <v>0</v>
      </c>
      <c r="AZ38" s="424">
        <f t="shared" si="33"/>
        <v>0</v>
      </c>
      <c r="BA38" s="424">
        <f t="shared" si="34"/>
        <v>0</v>
      </c>
      <c r="BB38" s="424">
        <f t="shared" si="35"/>
        <v>0</v>
      </c>
      <c r="BC38" s="424">
        <f t="shared" si="36"/>
        <v>0</v>
      </c>
      <c r="BD38" s="424">
        <f t="shared" si="37"/>
        <v>0</v>
      </c>
      <c r="BE38" s="452">
        <f t="shared" si="38"/>
        <v>0</v>
      </c>
      <c r="BF38" s="448">
        <f t="shared" si="39"/>
        <v>0</v>
      </c>
      <c r="BG38" s="456">
        <f t="shared" si="40"/>
        <v>0</v>
      </c>
      <c r="BH38" s="457">
        <f t="shared" si="4"/>
        <v>0</v>
      </c>
      <c r="BI38" s="407" t="s">
        <v>1490</v>
      </c>
      <c r="BM38" s="429">
        <f>IF(BR38&gt;BR37,BM37,IF(BM37&lt;MiscData!$F$1,EOMONTH(BM37,1),EOMONTH(BM37,-11)))</f>
        <v>42035</v>
      </c>
      <c r="BN38" s="416" t="str">
        <f t="shared" si="5"/>
        <v>20140101KURSE020</v>
      </c>
      <c r="BO38" s="427" t="str">
        <f t="shared" si="6"/>
        <v>20140101RS</v>
      </c>
      <c r="BP38" s="407">
        <f>IF(BM38&lt;=MiscData!$B$23,MiscData!$C$23,IF(BM38&lt;=MiscData!$B$24,MiscData!$C$24,MiscData!$C$25))</f>
        <v>20140101</v>
      </c>
      <c r="BQ38" s="407" t="str">
        <f>VLOOKUP(BR38,MiscData!$V$4:$W$42,2,FALSE)</f>
        <v>KURSE020</v>
      </c>
      <c r="BR38" s="407">
        <f>IF(BR37=MiscData!$V$42,1,BR37+1)</f>
        <v>35</v>
      </c>
      <c r="BS38" s="407" t="str">
        <f>VLOOKUP(BQ38,MiscData!$W$4:$Y$42,3,FALSE)</f>
        <v>RS</v>
      </c>
    </row>
    <row r="39" spans="1:72" hidden="1">
      <c r="A39" s="416">
        <f t="shared" si="43"/>
        <v>33</v>
      </c>
      <c r="B39" s="416" t="str">
        <f t="shared" si="0"/>
        <v>Jan 2015</v>
      </c>
      <c r="C39" s="416" t="s">
        <v>15</v>
      </c>
      <c r="D39" s="417" t="str">
        <f t="shared" si="1"/>
        <v>RS</v>
      </c>
      <c r="E39" s="417" t="str">
        <f t="shared" si="2"/>
        <v>KURSE025</v>
      </c>
      <c r="F39" s="418">
        <f t="shared" si="8"/>
        <v>0</v>
      </c>
      <c r="G39" s="467">
        <v>0</v>
      </c>
      <c r="H39" s="418">
        <v>0</v>
      </c>
      <c r="I39" s="418">
        <v>0</v>
      </c>
      <c r="J39" s="418">
        <v>0</v>
      </c>
      <c r="K39" s="418">
        <f t="shared" si="9"/>
        <v>0</v>
      </c>
      <c r="L39" s="459">
        <v>0</v>
      </c>
      <c r="M39" s="443">
        <f t="shared" si="10"/>
        <v>0</v>
      </c>
      <c r="N39" s="443">
        <f t="shared" si="11"/>
        <v>0</v>
      </c>
      <c r="O39" s="443">
        <f t="shared" si="12"/>
        <v>0</v>
      </c>
      <c r="P39" s="443">
        <f t="shared" si="13"/>
        <v>0</v>
      </c>
      <c r="Q39" s="443">
        <f t="shared" si="14"/>
        <v>0</v>
      </c>
      <c r="R39" s="443">
        <f t="shared" si="15"/>
        <v>0</v>
      </c>
      <c r="S39" s="484">
        <v>0</v>
      </c>
      <c r="T39" s="484">
        <v>0</v>
      </c>
      <c r="U39" s="484">
        <v>0</v>
      </c>
      <c r="V39" s="490">
        <v>0</v>
      </c>
      <c r="W39" s="490">
        <v>0</v>
      </c>
      <c r="X39" s="490">
        <v>0</v>
      </c>
      <c r="Y39" s="419">
        <f t="shared" si="16"/>
        <v>10.75</v>
      </c>
      <c r="Z39" s="420">
        <f t="shared" si="17"/>
        <v>7.7439999999999995E-2</v>
      </c>
      <c r="AA39" s="420">
        <v>0</v>
      </c>
      <c r="AB39" s="420">
        <v>0</v>
      </c>
      <c r="AC39" s="420">
        <f t="shared" si="18"/>
        <v>2.8920000000000001E-2</v>
      </c>
      <c r="AD39" s="419">
        <f t="shared" si="19"/>
        <v>0</v>
      </c>
      <c r="AE39" s="419">
        <f t="shared" si="20"/>
        <v>0</v>
      </c>
      <c r="AF39" s="419">
        <f t="shared" si="21"/>
        <v>0</v>
      </c>
      <c r="AG39" s="454">
        <f t="shared" si="22"/>
        <v>0</v>
      </c>
      <c r="AH39" s="454">
        <f t="shared" si="44"/>
        <v>0</v>
      </c>
      <c r="AI39" s="421">
        <f t="shared" si="24"/>
        <v>0</v>
      </c>
      <c r="AJ39" s="421">
        <f t="shared" si="25"/>
        <v>0</v>
      </c>
      <c r="AK39" s="421">
        <f t="shared" si="26"/>
        <v>0</v>
      </c>
      <c r="AL39" s="482">
        <v>0</v>
      </c>
      <c r="AM39" s="422">
        <f t="shared" si="45"/>
        <v>0</v>
      </c>
      <c r="AN39" s="423">
        <f t="shared" si="28"/>
        <v>0</v>
      </c>
      <c r="AO39" s="421">
        <f t="shared" si="29"/>
        <v>0</v>
      </c>
      <c r="AP39" s="472">
        <v>0</v>
      </c>
      <c r="AQ39" s="472">
        <v>0</v>
      </c>
      <c r="AR39" s="472">
        <v>0</v>
      </c>
      <c r="AS39" s="475">
        <v>0</v>
      </c>
      <c r="AT39" s="475">
        <v>0</v>
      </c>
      <c r="AU39" s="475">
        <v>0</v>
      </c>
      <c r="AV39" s="454">
        <f t="shared" si="30"/>
        <v>0</v>
      </c>
      <c r="AW39" s="421">
        <f t="shared" si="31"/>
        <v>0</v>
      </c>
      <c r="AX39" s="455">
        <f t="shared" si="41"/>
        <v>1</v>
      </c>
      <c r="AY39" s="424">
        <f t="shared" si="32"/>
        <v>0</v>
      </c>
      <c r="AZ39" s="424">
        <f t="shared" si="33"/>
        <v>0</v>
      </c>
      <c r="BA39" s="424">
        <f t="shared" si="34"/>
        <v>0</v>
      </c>
      <c r="BB39" s="424">
        <f t="shared" si="35"/>
        <v>0</v>
      </c>
      <c r="BC39" s="424">
        <f t="shared" si="36"/>
        <v>0</v>
      </c>
      <c r="BD39" s="424">
        <f t="shared" si="37"/>
        <v>0</v>
      </c>
      <c r="BE39" s="452">
        <f t="shared" si="38"/>
        <v>0</v>
      </c>
      <c r="BF39" s="448">
        <f t="shared" si="39"/>
        <v>0</v>
      </c>
      <c r="BG39" s="456">
        <f t="shared" si="40"/>
        <v>0</v>
      </c>
      <c r="BH39" s="457">
        <f t="shared" si="4"/>
        <v>0</v>
      </c>
      <c r="BI39" s="407" t="s">
        <v>1490</v>
      </c>
      <c r="BM39" s="429">
        <f>IF(BR39&gt;BR38,BM38,IF(BM38&lt;MiscData!$F$1,EOMONTH(BM38,1),EOMONTH(BM38,-11)))</f>
        <v>42035</v>
      </c>
      <c r="BN39" s="416" t="str">
        <f t="shared" si="5"/>
        <v>20140101KURSE025</v>
      </c>
      <c r="BO39" s="427" t="str">
        <f t="shared" si="6"/>
        <v>20140101RS</v>
      </c>
      <c r="BP39" s="407">
        <f>IF(BM39&lt;=MiscData!$B$23,MiscData!$C$23,IF(BM39&lt;=MiscData!$B$24,MiscData!$C$24,MiscData!$C$25))</f>
        <v>20140101</v>
      </c>
      <c r="BQ39" s="407" t="str">
        <f>VLOOKUP(BR39,MiscData!$V$4:$W$42,2,FALSE)</f>
        <v>KURSE025</v>
      </c>
      <c r="BR39" s="407">
        <f>IF(BR38=MiscData!$V$42,1,BR38+1)</f>
        <v>36</v>
      </c>
      <c r="BS39" s="407" t="str">
        <f>VLOOKUP(BQ39,MiscData!$W$4:$Y$42,3,FALSE)</f>
        <v>RS</v>
      </c>
    </row>
    <row r="40" spans="1:72" hidden="1">
      <c r="A40" s="416">
        <f t="shared" si="43"/>
        <v>34</v>
      </c>
      <c r="B40" s="416" t="str">
        <f t="shared" si="0"/>
        <v>Jan 2015</v>
      </c>
      <c r="C40" s="416" t="s">
        <v>807</v>
      </c>
      <c r="D40" s="417" t="str">
        <f t="shared" si="1"/>
        <v>RSLEV</v>
      </c>
      <c r="E40" s="417" t="str">
        <f t="shared" si="2"/>
        <v>KURSE040</v>
      </c>
      <c r="F40" s="418">
        <f t="shared" si="8"/>
        <v>0</v>
      </c>
      <c r="G40" s="467">
        <v>0</v>
      </c>
      <c r="H40" s="418">
        <f>SUMIFS(_1022_KWH_P1,_1022_RevenueMonth,$B40,_1022_RateCategory,$E40)</f>
        <v>0</v>
      </c>
      <c r="I40" s="418">
        <f>SUMIFS(_1022_KWH_P2,_1022_RevenueMonth,$B40,_1022_RateCategory,$E40)</f>
        <v>0</v>
      </c>
      <c r="J40" s="418">
        <f>SUMIFS(_1022_KWH_P3,_1022_RevenueMonth,$B40,_1022_RateCategory,$E40)</f>
        <v>0</v>
      </c>
      <c r="K40" s="418">
        <f t="shared" si="9"/>
        <v>0</v>
      </c>
      <c r="L40" s="459">
        <v>0</v>
      </c>
      <c r="M40" s="443">
        <f t="shared" si="10"/>
        <v>0</v>
      </c>
      <c r="N40" s="443">
        <f t="shared" si="11"/>
        <v>0</v>
      </c>
      <c r="O40" s="443">
        <f t="shared" si="12"/>
        <v>0</v>
      </c>
      <c r="P40" s="443">
        <f t="shared" si="13"/>
        <v>0</v>
      </c>
      <c r="Q40" s="443">
        <f t="shared" si="14"/>
        <v>0</v>
      </c>
      <c r="R40" s="443">
        <f t="shared" si="15"/>
        <v>0</v>
      </c>
      <c r="S40" s="484">
        <v>0</v>
      </c>
      <c r="T40" s="484">
        <v>0</v>
      </c>
      <c r="U40" s="484">
        <v>0</v>
      </c>
      <c r="V40" s="490">
        <v>0</v>
      </c>
      <c r="W40" s="490">
        <v>0</v>
      </c>
      <c r="X40" s="490">
        <v>0</v>
      </c>
      <c r="Y40" s="419">
        <f t="shared" si="16"/>
        <v>10.75</v>
      </c>
      <c r="Z40" s="420">
        <f t="shared" si="17"/>
        <v>5.5870000000000003E-2</v>
      </c>
      <c r="AA40" s="420">
        <f>SUMIF(_Rates_Tariff_Category,$BN40,_Rates_Energy_P2)</f>
        <v>7.7630000000000005E-2</v>
      </c>
      <c r="AB40" s="420">
        <f>SUMIF(_Rates_Tariff_Category,$BN40,_Rates_Energy_P3)</f>
        <v>0.14297000000000001</v>
      </c>
      <c r="AC40" s="420">
        <f t="shared" si="18"/>
        <v>2.8920000000000001E-2</v>
      </c>
      <c r="AD40" s="419">
        <f t="shared" si="19"/>
        <v>0</v>
      </c>
      <c r="AE40" s="419">
        <f t="shared" si="20"/>
        <v>0</v>
      </c>
      <c r="AF40" s="419">
        <f t="shared" si="21"/>
        <v>0</v>
      </c>
      <c r="AG40" s="454">
        <f t="shared" si="22"/>
        <v>0</v>
      </c>
      <c r="AH40" s="454">
        <f t="shared" si="44"/>
        <v>0</v>
      </c>
      <c r="AI40" s="421">
        <f t="shared" si="24"/>
        <v>0</v>
      </c>
      <c r="AJ40" s="421">
        <f t="shared" si="25"/>
        <v>0</v>
      </c>
      <c r="AK40" s="421">
        <f t="shared" si="26"/>
        <v>0</v>
      </c>
      <c r="AL40" s="482">
        <v>0</v>
      </c>
      <c r="AM40" s="422">
        <f t="shared" si="45"/>
        <v>0</v>
      </c>
      <c r="AN40" s="423">
        <f t="shared" si="28"/>
        <v>0</v>
      </c>
      <c r="AO40" s="421">
        <f t="shared" si="29"/>
        <v>0</v>
      </c>
      <c r="AP40" s="472">
        <v>0</v>
      </c>
      <c r="AQ40" s="472">
        <v>0</v>
      </c>
      <c r="AR40" s="472">
        <v>0</v>
      </c>
      <c r="AS40" s="475">
        <v>0</v>
      </c>
      <c r="AT40" s="475">
        <v>0</v>
      </c>
      <c r="AU40" s="475">
        <v>0</v>
      </c>
      <c r="AV40" s="454">
        <f t="shared" si="30"/>
        <v>0</v>
      </c>
      <c r="AW40" s="421">
        <f t="shared" si="31"/>
        <v>0</v>
      </c>
      <c r="AX40" s="455">
        <f t="shared" si="41"/>
        <v>1</v>
      </c>
      <c r="AY40" s="424">
        <f t="shared" si="32"/>
        <v>0</v>
      </c>
      <c r="AZ40" s="424">
        <f t="shared" si="33"/>
        <v>0</v>
      </c>
      <c r="BA40" s="424">
        <f t="shared" si="34"/>
        <v>0</v>
      </c>
      <c r="BB40" s="424">
        <f t="shared" si="35"/>
        <v>0</v>
      </c>
      <c r="BC40" s="424">
        <f t="shared" si="36"/>
        <v>0</v>
      </c>
      <c r="BD40" s="424">
        <f t="shared" si="37"/>
        <v>0</v>
      </c>
      <c r="BE40" s="452">
        <f t="shared" si="38"/>
        <v>0</v>
      </c>
      <c r="BF40" s="448">
        <f t="shared" si="39"/>
        <v>0</v>
      </c>
      <c r="BG40" s="456">
        <f t="shared" si="40"/>
        <v>0</v>
      </c>
      <c r="BH40" s="457">
        <f t="shared" si="4"/>
        <v>0</v>
      </c>
      <c r="BI40" s="407" t="s">
        <v>1490</v>
      </c>
      <c r="BM40" s="429">
        <f>IF(BR40&gt;BR39,BM39,IF(BM39&lt;MiscData!$F$1,EOMONTH(BM39,1),EOMONTH(BM39,-11)))</f>
        <v>42035</v>
      </c>
      <c r="BN40" s="416" t="str">
        <f t="shared" si="5"/>
        <v>20140101KURSE040</v>
      </c>
      <c r="BO40" s="427" t="str">
        <f t="shared" si="6"/>
        <v>20140101RSLEV</v>
      </c>
      <c r="BP40" s="407">
        <f>IF(BM40&lt;=MiscData!$B$23,MiscData!$C$23,IF(BM40&lt;=MiscData!$B$24,MiscData!$C$24,MiscData!$C$25))</f>
        <v>20140101</v>
      </c>
      <c r="BQ40" s="407" t="str">
        <f>VLOOKUP(BR40,MiscData!$V$4:$W$42,2,FALSE)</f>
        <v>KURSE040</v>
      </c>
      <c r="BR40" s="407">
        <f>IF(BR39=MiscData!$V$42,1,BR39+1)</f>
        <v>37</v>
      </c>
      <c r="BS40" s="407" t="str">
        <f>VLOOKUP(BQ40,MiscData!$W$4:$Y$42,3,FALSE)</f>
        <v>RSLEV</v>
      </c>
    </row>
    <row r="41" spans="1:72" hidden="1">
      <c r="A41" s="416">
        <f t="shared" si="43"/>
        <v>35</v>
      </c>
      <c r="B41" s="416" t="str">
        <f t="shared" si="0"/>
        <v>Jan 2015</v>
      </c>
      <c r="C41" s="416" t="s">
        <v>15</v>
      </c>
      <c r="D41" s="417" t="str">
        <f t="shared" si="1"/>
        <v>RSVFD</v>
      </c>
      <c r="E41" s="417" t="str">
        <f t="shared" si="2"/>
        <v>KURSE080</v>
      </c>
      <c r="F41" s="418">
        <f t="shared" si="8"/>
        <v>0</v>
      </c>
      <c r="G41" s="467">
        <v>0</v>
      </c>
      <c r="H41" s="418">
        <v>0</v>
      </c>
      <c r="I41" s="418">
        <v>0</v>
      </c>
      <c r="J41" s="418">
        <v>0</v>
      </c>
      <c r="K41" s="418">
        <f t="shared" si="9"/>
        <v>0</v>
      </c>
      <c r="L41" s="459">
        <v>0</v>
      </c>
      <c r="M41" s="443">
        <f t="shared" si="10"/>
        <v>0</v>
      </c>
      <c r="N41" s="443">
        <f t="shared" si="11"/>
        <v>0</v>
      </c>
      <c r="O41" s="443">
        <f t="shared" si="12"/>
        <v>0</v>
      </c>
      <c r="P41" s="443">
        <f t="shared" si="13"/>
        <v>0</v>
      </c>
      <c r="Q41" s="443">
        <f t="shared" si="14"/>
        <v>0</v>
      </c>
      <c r="R41" s="443">
        <f t="shared" si="15"/>
        <v>0</v>
      </c>
      <c r="S41" s="484">
        <v>0</v>
      </c>
      <c r="T41" s="484">
        <v>0</v>
      </c>
      <c r="U41" s="484">
        <v>0</v>
      </c>
      <c r="V41" s="490">
        <v>0</v>
      </c>
      <c r="W41" s="490">
        <v>0</v>
      </c>
      <c r="X41" s="490">
        <v>0</v>
      </c>
      <c r="Y41" s="419">
        <f t="shared" si="16"/>
        <v>10.75</v>
      </c>
      <c r="Z41" s="420">
        <f t="shared" si="17"/>
        <v>7.7439999999999995E-2</v>
      </c>
      <c r="AA41" s="420">
        <v>0</v>
      </c>
      <c r="AB41" s="420">
        <v>0</v>
      </c>
      <c r="AC41" s="420">
        <f t="shared" si="18"/>
        <v>2.8920000000000001E-2</v>
      </c>
      <c r="AD41" s="419">
        <f t="shared" si="19"/>
        <v>0</v>
      </c>
      <c r="AE41" s="419">
        <f t="shared" si="20"/>
        <v>0</v>
      </c>
      <c r="AF41" s="419">
        <f t="shared" si="21"/>
        <v>0</v>
      </c>
      <c r="AG41" s="454">
        <f t="shared" si="22"/>
        <v>0</v>
      </c>
      <c r="AH41" s="454">
        <f t="shared" si="44"/>
        <v>0</v>
      </c>
      <c r="AI41" s="421">
        <f t="shared" si="24"/>
        <v>0</v>
      </c>
      <c r="AJ41" s="421">
        <f t="shared" si="25"/>
        <v>0</v>
      </c>
      <c r="AK41" s="421">
        <f t="shared" si="26"/>
        <v>0</v>
      </c>
      <c r="AL41" s="482">
        <v>0</v>
      </c>
      <c r="AM41" s="422">
        <f t="shared" si="45"/>
        <v>0</v>
      </c>
      <c r="AN41" s="423">
        <f t="shared" si="28"/>
        <v>0</v>
      </c>
      <c r="AO41" s="421">
        <f t="shared" si="29"/>
        <v>0</v>
      </c>
      <c r="AP41" s="472">
        <v>0</v>
      </c>
      <c r="AQ41" s="472">
        <v>0</v>
      </c>
      <c r="AR41" s="472">
        <v>0</v>
      </c>
      <c r="AS41" s="475">
        <v>0</v>
      </c>
      <c r="AT41" s="475">
        <v>0</v>
      </c>
      <c r="AU41" s="475">
        <v>0</v>
      </c>
      <c r="AV41" s="454">
        <f t="shared" si="30"/>
        <v>0</v>
      </c>
      <c r="AW41" s="421">
        <f t="shared" si="31"/>
        <v>0</v>
      </c>
      <c r="AX41" s="455">
        <f t="shared" si="41"/>
        <v>1</v>
      </c>
      <c r="AY41" s="424">
        <f t="shared" si="32"/>
        <v>0</v>
      </c>
      <c r="AZ41" s="424">
        <f t="shared" si="33"/>
        <v>0</v>
      </c>
      <c r="BA41" s="424">
        <f t="shared" si="34"/>
        <v>0</v>
      </c>
      <c r="BB41" s="424">
        <f t="shared" si="35"/>
        <v>0</v>
      </c>
      <c r="BC41" s="424">
        <f t="shared" si="36"/>
        <v>0</v>
      </c>
      <c r="BD41" s="424">
        <f t="shared" si="37"/>
        <v>0</v>
      </c>
      <c r="BE41" s="452">
        <f t="shared" si="38"/>
        <v>0</v>
      </c>
      <c r="BF41" s="448">
        <f t="shared" si="39"/>
        <v>0</v>
      </c>
      <c r="BG41" s="456">
        <f t="shared" si="40"/>
        <v>0</v>
      </c>
      <c r="BH41" s="457">
        <f t="shared" si="4"/>
        <v>0</v>
      </c>
      <c r="BI41" s="407" t="s">
        <v>1490</v>
      </c>
      <c r="BM41" s="429">
        <f>IF(BR41&gt;BR40,BM40,IF(BM40&lt;MiscData!$F$1,EOMONTH(BM40,1),EOMONTH(BM40,-11)))</f>
        <v>42035</v>
      </c>
      <c r="BN41" s="416" t="str">
        <f t="shared" si="5"/>
        <v>20140101KURSE080</v>
      </c>
      <c r="BO41" s="427" t="str">
        <f t="shared" si="6"/>
        <v>20140101RSVFD</v>
      </c>
      <c r="BP41" s="407">
        <f>IF(BM41&lt;=MiscData!$B$23,MiscData!$C$23,IF(BM41&lt;=MiscData!$B$24,MiscData!$C$24,MiscData!$C$25))</f>
        <v>20140101</v>
      </c>
      <c r="BQ41" s="407" t="str">
        <f>VLOOKUP(BR41,MiscData!$V$4:$W$42,2,FALSE)</f>
        <v>KURSE080</v>
      </c>
      <c r="BR41" s="407">
        <f>IF(BR40=MiscData!$V$42,1,BR40+1)</f>
        <v>38</v>
      </c>
      <c r="BS41" s="407" t="str">
        <f>VLOOKUP(BQ41,MiscData!$W$4:$Y$42,3,FALSE)</f>
        <v>RSVFD</v>
      </c>
    </row>
    <row r="42" spans="1:72" s="486" customFormat="1" hidden="1">
      <c r="A42" s="464">
        <f t="shared" si="43"/>
        <v>36</v>
      </c>
      <c r="B42" s="464" t="str">
        <f t="shared" si="0"/>
        <v>Jan 2015</v>
      </c>
      <c r="C42" s="464" t="s">
        <v>15</v>
      </c>
      <c r="D42" s="465" t="str">
        <f t="shared" si="1"/>
        <v>RS</v>
      </c>
      <c r="E42" s="465" t="str">
        <f t="shared" si="2"/>
        <v>KURSE715</v>
      </c>
      <c r="F42" s="466">
        <f t="shared" si="8"/>
        <v>0</v>
      </c>
      <c r="G42" s="467">
        <v>0</v>
      </c>
      <c r="H42" s="466">
        <v>0</v>
      </c>
      <c r="I42" s="466">
        <v>0</v>
      </c>
      <c r="J42" s="466">
        <v>0</v>
      </c>
      <c r="K42" s="466">
        <f t="shared" si="9"/>
        <v>0</v>
      </c>
      <c r="L42" s="481">
        <v>0</v>
      </c>
      <c r="M42" s="469">
        <f t="shared" si="10"/>
        <v>0</v>
      </c>
      <c r="N42" s="469">
        <f t="shared" si="11"/>
        <v>0</v>
      </c>
      <c r="O42" s="469">
        <f t="shared" si="12"/>
        <v>0</v>
      </c>
      <c r="P42" s="469">
        <f t="shared" si="13"/>
        <v>0</v>
      </c>
      <c r="Q42" s="469">
        <f t="shared" si="14"/>
        <v>0</v>
      </c>
      <c r="R42" s="469">
        <f t="shared" si="15"/>
        <v>0</v>
      </c>
      <c r="S42" s="484">
        <v>0</v>
      </c>
      <c r="T42" s="484">
        <v>0</v>
      </c>
      <c r="U42" s="484">
        <v>0</v>
      </c>
      <c r="V42" s="490">
        <v>0</v>
      </c>
      <c r="W42" s="490">
        <v>0</v>
      </c>
      <c r="X42" s="490">
        <v>0</v>
      </c>
      <c r="Y42" s="470">
        <f t="shared" si="16"/>
        <v>10.75</v>
      </c>
      <c r="Z42" s="471">
        <f t="shared" si="17"/>
        <v>7.7439999999999995E-2</v>
      </c>
      <c r="AA42" s="471">
        <v>0</v>
      </c>
      <c r="AB42" s="471">
        <v>0</v>
      </c>
      <c r="AC42" s="471">
        <f t="shared" si="18"/>
        <v>2.8920000000000001E-2</v>
      </c>
      <c r="AD42" s="470">
        <f t="shared" si="19"/>
        <v>0</v>
      </c>
      <c r="AE42" s="470">
        <f t="shared" si="20"/>
        <v>0</v>
      </c>
      <c r="AF42" s="470">
        <f t="shared" si="21"/>
        <v>0</v>
      </c>
      <c r="AG42" s="454">
        <f t="shared" si="22"/>
        <v>0</v>
      </c>
      <c r="AH42" s="454">
        <f t="shared" si="44"/>
        <v>0</v>
      </c>
      <c r="AI42" s="454">
        <f t="shared" si="24"/>
        <v>0</v>
      </c>
      <c r="AJ42" s="454">
        <f t="shared" si="25"/>
        <v>0</v>
      </c>
      <c r="AK42" s="454">
        <f t="shared" si="26"/>
        <v>0</v>
      </c>
      <c r="AL42" s="482">
        <v>0</v>
      </c>
      <c r="AM42" s="473">
        <f t="shared" si="45"/>
        <v>0</v>
      </c>
      <c r="AN42" s="474">
        <f t="shared" si="28"/>
        <v>0</v>
      </c>
      <c r="AO42" s="454">
        <f t="shared" si="29"/>
        <v>0</v>
      </c>
      <c r="AP42" s="472">
        <v>0</v>
      </c>
      <c r="AQ42" s="472">
        <v>0</v>
      </c>
      <c r="AR42" s="472">
        <v>0</v>
      </c>
      <c r="AS42" s="475">
        <v>0</v>
      </c>
      <c r="AT42" s="475">
        <v>0</v>
      </c>
      <c r="AU42" s="475">
        <v>0</v>
      </c>
      <c r="AV42" s="454">
        <f t="shared" si="30"/>
        <v>0</v>
      </c>
      <c r="AW42" s="454">
        <f t="shared" si="31"/>
        <v>0</v>
      </c>
      <c r="AX42" s="455">
        <f t="shared" si="41"/>
        <v>1</v>
      </c>
      <c r="AY42" s="476">
        <f t="shared" si="32"/>
        <v>0</v>
      </c>
      <c r="AZ42" s="476">
        <f t="shared" si="33"/>
        <v>0</v>
      </c>
      <c r="BA42" s="476">
        <f t="shared" si="34"/>
        <v>0</v>
      </c>
      <c r="BB42" s="476">
        <f t="shared" si="35"/>
        <v>0</v>
      </c>
      <c r="BC42" s="476">
        <f t="shared" si="36"/>
        <v>0</v>
      </c>
      <c r="BD42" s="476">
        <f t="shared" si="37"/>
        <v>0</v>
      </c>
      <c r="BE42" s="477">
        <f t="shared" si="38"/>
        <v>0</v>
      </c>
      <c r="BF42" s="478">
        <f t="shared" si="39"/>
        <v>0</v>
      </c>
      <c r="BG42" s="479">
        <f t="shared" si="40"/>
        <v>0</v>
      </c>
      <c r="BH42" s="485">
        <f t="shared" si="4"/>
        <v>0</v>
      </c>
      <c r="BI42" s="407" t="s">
        <v>1490</v>
      </c>
      <c r="BM42" s="487">
        <f>IF(BR42&gt;BR41,BM41,IF(BM41&lt;MiscData!$F$1,EOMONTH(BM41,1),EOMONTH(BM41,-11)))</f>
        <v>42035</v>
      </c>
      <c r="BN42" s="464" t="str">
        <f t="shared" si="5"/>
        <v>20140101KURSE715</v>
      </c>
      <c r="BO42" s="488" t="str">
        <f t="shared" si="6"/>
        <v>20140101RS</v>
      </c>
      <c r="BP42" s="486">
        <f>IF(BM42&lt;=MiscData!$B$23,MiscData!$C$23,IF(BM42&lt;=MiscData!$B$24,MiscData!$C$24,MiscData!$C$25))</f>
        <v>20140101</v>
      </c>
      <c r="BQ42" s="486" t="str">
        <f>VLOOKUP(BR42,MiscData!$V$4:$W$42,2,FALSE)</f>
        <v>KURSE715</v>
      </c>
      <c r="BR42" s="407">
        <f>IF(BR41=MiscData!$V$42,1,BR41+1)</f>
        <v>39</v>
      </c>
      <c r="BS42" s="486" t="str">
        <f>VLOOKUP(BQ42,MiscData!$W$4:$Y$42,3,FALSE)</f>
        <v>RS</v>
      </c>
      <c r="BT42" s="771"/>
    </row>
    <row r="43" spans="1:72" hidden="1">
      <c r="A43" s="416">
        <f t="shared" si="43"/>
        <v>37</v>
      </c>
      <c r="B43" s="416" t="str">
        <f t="shared" si="0"/>
        <v>Feb 2015</v>
      </c>
      <c r="C43" s="416" t="s">
        <v>19</v>
      </c>
      <c r="D43" s="417" t="str">
        <f t="shared" si="1"/>
        <v>RTS</v>
      </c>
      <c r="E43" s="417" t="str">
        <f t="shared" si="2"/>
        <v>KUCIE550</v>
      </c>
      <c r="F43" s="418">
        <f t="shared" si="8"/>
        <v>32</v>
      </c>
      <c r="G43" s="467">
        <v>0</v>
      </c>
      <c r="H43" s="418">
        <v>0</v>
      </c>
      <c r="I43" s="418">
        <v>0</v>
      </c>
      <c r="J43" s="418">
        <v>0</v>
      </c>
      <c r="K43" s="418">
        <f t="shared" si="9"/>
        <v>135917399</v>
      </c>
      <c r="L43" s="459">
        <v>0</v>
      </c>
      <c r="M43" s="443">
        <f t="shared" si="10"/>
        <v>311417.32</v>
      </c>
      <c r="N43" s="443">
        <f t="shared" si="11"/>
        <v>296090.67</v>
      </c>
      <c r="O43" s="443">
        <f t="shared" si="12"/>
        <v>288303.96999999997</v>
      </c>
      <c r="P43" s="443">
        <f t="shared" si="13"/>
        <v>311417.32</v>
      </c>
      <c r="Q43" s="443">
        <f t="shared" si="14"/>
        <v>296090.67</v>
      </c>
      <c r="R43" s="443">
        <f t="shared" si="15"/>
        <v>288303.96999999997</v>
      </c>
      <c r="S43" s="484"/>
      <c r="T43" s="484"/>
      <c r="U43" s="484"/>
      <c r="V43" s="490">
        <v>0</v>
      </c>
      <c r="W43" s="490">
        <v>0</v>
      </c>
      <c r="X43" s="490">
        <v>0</v>
      </c>
      <c r="Y43" s="419">
        <f t="shared" si="16"/>
        <v>750</v>
      </c>
      <c r="Z43" s="420">
        <f t="shared" si="17"/>
        <v>3.6339999999999997E-2</v>
      </c>
      <c r="AA43" s="420">
        <v>0</v>
      </c>
      <c r="AB43" s="420">
        <v>0</v>
      </c>
      <c r="AC43" s="420">
        <f t="shared" si="18"/>
        <v>2.8920000000000001E-2</v>
      </c>
      <c r="AD43" s="419">
        <f t="shared" si="19"/>
        <v>1.34</v>
      </c>
      <c r="AE43" s="419">
        <f t="shared" si="20"/>
        <v>2.87</v>
      </c>
      <c r="AF43" s="419">
        <f t="shared" si="21"/>
        <v>3.97</v>
      </c>
      <c r="AG43" s="454">
        <f t="shared" si="22"/>
        <v>24000</v>
      </c>
      <c r="AH43" s="454">
        <f t="shared" si="44"/>
        <v>4939238.28</v>
      </c>
      <c r="AI43" s="421">
        <f t="shared" si="24"/>
        <v>417299.21</v>
      </c>
      <c r="AJ43" s="421">
        <f t="shared" si="25"/>
        <v>849780.22</v>
      </c>
      <c r="AK43" s="421">
        <f t="shared" si="26"/>
        <v>1144566.76</v>
      </c>
      <c r="AL43" s="472">
        <v>0</v>
      </c>
      <c r="AM43" s="422">
        <f t="shared" si="45"/>
        <v>0</v>
      </c>
      <c r="AN43" s="423">
        <f t="shared" si="28"/>
        <v>0</v>
      </c>
      <c r="AO43" s="421">
        <f t="shared" si="29"/>
        <v>2411646.19</v>
      </c>
      <c r="AP43" s="472">
        <v>0</v>
      </c>
      <c r="AQ43" s="472">
        <v>0</v>
      </c>
      <c r="AR43" s="472"/>
      <c r="AS43" s="475">
        <v>0</v>
      </c>
      <c r="AT43" s="475">
        <v>0</v>
      </c>
      <c r="AU43" s="475">
        <v>0</v>
      </c>
      <c r="AV43" s="454">
        <f t="shared" si="30"/>
        <v>7374884.4699999997</v>
      </c>
      <c r="AW43" s="421">
        <f t="shared" si="31"/>
        <v>7374885</v>
      </c>
      <c r="AX43" s="455">
        <f t="shared" ref="AX43:AX51" si="46">IF(AND(AV43=0,AW43=0),1,IF(AV43=0,0,AW43/AV43))</f>
        <v>1.0000000718655326</v>
      </c>
      <c r="AY43" s="424">
        <f t="shared" si="32"/>
        <v>252664</v>
      </c>
      <c r="AZ43" s="424">
        <f t="shared" si="33"/>
        <v>0</v>
      </c>
      <c r="BA43" s="424">
        <f t="shared" si="34"/>
        <v>487082</v>
      </c>
      <c r="BB43" s="424">
        <f t="shared" si="35"/>
        <v>0</v>
      </c>
      <c r="BC43" s="424">
        <f t="shared" si="36"/>
        <v>0</v>
      </c>
      <c r="BD43" s="424">
        <f t="shared" si="37"/>
        <v>8114631</v>
      </c>
      <c r="BE43" s="452">
        <f t="shared" si="38"/>
        <v>8114630.4699999997</v>
      </c>
      <c r="BF43" s="448">
        <f t="shared" si="39"/>
        <v>0.53000000026077032</v>
      </c>
      <c r="BG43" s="456">
        <f t="shared" si="40"/>
        <v>3930731.18</v>
      </c>
      <c r="BH43" s="457">
        <f t="shared" si="4"/>
        <v>1008507.1000000001</v>
      </c>
      <c r="BI43" s="407" t="s">
        <v>1490</v>
      </c>
      <c r="BM43" s="429">
        <f>IF(BR43&gt;BR42,BM42,IF(BM42&lt;MiscData!$F$1,EOMONTH(BM42,1),EOMONTH(BM42,-11)))</f>
        <v>42063</v>
      </c>
      <c r="BN43" s="416" t="str">
        <f t="shared" si="5"/>
        <v>20140101KUCIE550</v>
      </c>
      <c r="BO43" s="427" t="str">
        <f t="shared" si="6"/>
        <v>20140101RTS</v>
      </c>
      <c r="BP43" s="407">
        <f>IF(BM43&lt;=MiscData!$B$23,MiscData!$C$23,IF(BM43&lt;=MiscData!$B$24,MiscData!$C$24,MiscData!$C$25))</f>
        <v>20140101</v>
      </c>
      <c r="BQ43" s="407" t="str">
        <f>VLOOKUP(BR43,MiscData!$V$4:$W$42,2,FALSE)</f>
        <v>KUCIE550</v>
      </c>
      <c r="BR43" s="407">
        <f>IF(BR42=MiscData!$V$42,1,BR42+1)</f>
        <v>1</v>
      </c>
      <c r="BS43" s="407" t="str">
        <f>VLOOKUP(BQ43,MiscData!$W$4:$Y$42,3,FALSE)</f>
        <v>RTS</v>
      </c>
    </row>
    <row r="44" spans="1:72">
      <c r="A44" s="416">
        <f t="shared" si="43"/>
        <v>38</v>
      </c>
      <c r="B44" s="416" t="str">
        <f t="shared" si="0"/>
        <v>Feb 2015</v>
      </c>
      <c r="C44" s="416" t="s">
        <v>26</v>
      </c>
      <c r="D44" s="417" t="str">
        <f t="shared" si="1"/>
        <v>PSP</v>
      </c>
      <c r="E44" s="417" t="str">
        <f t="shared" si="2"/>
        <v>KUCIE561</v>
      </c>
      <c r="F44" s="418">
        <f t="shared" si="8"/>
        <v>211</v>
      </c>
      <c r="G44" s="467"/>
      <c r="H44" s="418">
        <v>0</v>
      </c>
      <c r="I44" s="418">
        <v>0</v>
      </c>
      <c r="J44" s="418">
        <v>0</v>
      </c>
      <c r="K44" s="418">
        <f t="shared" si="9"/>
        <v>18264518</v>
      </c>
      <c r="L44" s="459">
        <v>0</v>
      </c>
      <c r="M44" s="443">
        <f t="shared" si="10"/>
        <v>0</v>
      </c>
      <c r="N44" s="443">
        <f t="shared" si="11"/>
        <v>53574.29</v>
      </c>
      <c r="O44" s="443">
        <f t="shared" si="12"/>
        <v>0</v>
      </c>
      <c r="P44" s="443">
        <f t="shared" si="13"/>
        <v>0</v>
      </c>
      <c r="Q44" s="443">
        <f t="shared" si="14"/>
        <v>53574.29</v>
      </c>
      <c r="R44" s="443">
        <f t="shared" si="15"/>
        <v>0</v>
      </c>
      <c r="S44" s="484"/>
      <c r="T44" s="484"/>
      <c r="U44" s="484"/>
      <c r="V44" s="490">
        <v>0</v>
      </c>
      <c r="W44" s="490">
        <v>0</v>
      </c>
      <c r="X44" s="490">
        <v>0</v>
      </c>
      <c r="Y44" s="419">
        <f t="shared" si="16"/>
        <v>170</v>
      </c>
      <c r="Z44" s="420">
        <f t="shared" si="17"/>
        <v>3.5619999999999999E-2</v>
      </c>
      <c r="AA44" s="420">
        <v>0</v>
      </c>
      <c r="AB44" s="420">
        <v>0</v>
      </c>
      <c r="AC44" s="420">
        <f t="shared" si="18"/>
        <v>2.8920000000000001E-2</v>
      </c>
      <c r="AD44" s="419">
        <f t="shared" si="19"/>
        <v>0</v>
      </c>
      <c r="AE44" s="419">
        <f t="shared" si="20"/>
        <v>13.18</v>
      </c>
      <c r="AF44" s="419">
        <f t="shared" si="21"/>
        <v>15.28</v>
      </c>
      <c r="AG44" s="454">
        <f t="shared" si="22"/>
        <v>35870</v>
      </c>
      <c r="AH44" s="454">
        <f t="shared" si="44"/>
        <v>650582.13</v>
      </c>
      <c r="AI44" s="421">
        <f t="shared" si="24"/>
        <v>0</v>
      </c>
      <c r="AJ44" s="421">
        <f t="shared" si="25"/>
        <v>706109.14</v>
      </c>
      <c r="AK44" s="421">
        <f t="shared" si="26"/>
        <v>0</v>
      </c>
      <c r="AL44" s="472">
        <v>0</v>
      </c>
      <c r="AM44" s="422">
        <f t="shared" si="45"/>
        <v>0</v>
      </c>
      <c r="AN44" s="423">
        <f t="shared" si="28"/>
        <v>0</v>
      </c>
      <c r="AO44" s="421">
        <f t="shared" si="29"/>
        <v>706109.14</v>
      </c>
      <c r="AP44" s="472"/>
      <c r="AQ44" s="472"/>
      <c r="AR44" s="472"/>
      <c r="AS44" s="475">
        <v>0</v>
      </c>
      <c r="AT44" s="475">
        <v>0</v>
      </c>
      <c r="AU44" s="475">
        <v>0</v>
      </c>
      <c r="AV44" s="454">
        <f t="shared" si="30"/>
        <v>1392561.27</v>
      </c>
      <c r="AW44" s="421">
        <f t="shared" si="31"/>
        <v>1392561</v>
      </c>
      <c r="AX44" s="455">
        <f t="shared" si="46"/>
        <v>0.99999980611266026</v>
      </c>
      <c r="AY44" s="424">
        <f t="shared" si="32"/>
        <v>33953</v>
      </c>
      <c r="AZ44" s="424">
        <f t="shared" si="33"/>
        <v>20803</v>
      </c>
      <c r="BA44" s="424">
        <f t="shared" si="34"/>
        <v>65454</v>
      </c>
      <c r="BB44" s="424">
        <f t="shared" si="35"/>
        <v>0</v>
      </c>
      <c r="BC44" s="424">
        <f t="shared" si="36"/>
        <v>0</v>
      </c>
      <c r="BD44" s="424">
        <f t="shared" si="37"/>
        <v>1512771</v>
      </c>
      <c r="BE44" s="452">
        <f t="shared" si="38"/>
        <v>1512771.27</v>
      </c>
      <c r="BF44" s="448">
        <f t="shared" si="39"/>
        <v>-0.27000000001862645</v>
      </c>
      <c r="BG44" s="456">
        <f t="shared" si="40"/>
        <v>528209.86</v>
      </c>
      <c r="BH44" s="457">
        <f t="shared" si="4"/>
        <v>122372.27000000002</v>
      </c>
      <c r="BI44" s="407" t="s">
        <v>1490</v>
      </c>
      <c r="BM44" s="429">
        <f>IF(BR44&gt;BR43,BM43,IF(BM43&lt;MiscData!$F$1,EOMONTH(BM43,1),EOMONTH(BM43,-11)))</f>
        <v>42063</v>
      </c>
      <c r="BN44" s="416" t="str">
        <f t="shared" si="5"/>
        <v>20140101KUCIE561</v>
      </c>
      <c r="BO44" s="427" t="str">
        <f t="shared" si="6"/>
        <v>20140101PSP</v>
      </c>
      <c r="BP44" s="407">
        <f>IF(BM44&lt;=MiscData!$B$23,MiscData!$C$23,IF(BM44&lt;=MiscData!$B$24,MiscData!$C$24,MiscData!$C$25))</f>
        <v>20140101</v>
      </c>
      <c r="BQ44" s="407" t="str">
        <f>VLOOKUP(BR44,MiscData!$V$4:$W$42,2,FALSE)</f>
        <v>KUCIE561</v>
      </c>
      <c r="BR44" s="407">
        <f>IF(BR43=MiscData!$V$42,1,BR43+1)</f>
        <v>2</v>
      </c>
      <c r="BS44" s="407" t="str">
        <f>VLOOKUP(BQ44,MiscData!$W$4:$Y$42,3,FALSE)</f>
        <v>PSP</v>
      </c>
    </row>
    <row r="45" spans="1:72" hidden="1">
      <c r="A45" s="416">
        <f t="shared" si="43"/>
        <v>39</v>
      </c>
      <c r="B45" s="416" t="str">
        <f t="shared" si="0"/>
        <v>Feb 2015</v>
      </c>
      <c r="C45" s="416" t="s">
        <v>25</v>
      </c>
      <c r="D45" s="417" t="str">
        <f t="shared" si="1"/>
        <v>PSS</v>
      </c>
      <c r="E45" s="417" t="str">
        <f t="shared" si="2"/>
        <v>KUCIE562</v>
      </c>
      <c r="F45" s="418">
        <f t="shared" si="8"/>
        <v>4770</v>
      </c>
      <c r="G45" s="467"/>
      <c r="H45" s="418">
        <v>0</v>
      </c>
      <c r="I45" s="418">
        <v>0</v>
      </c>
      <c r="J45" s="418">
        <v>0</v>
      </c>
      <c r="K45" s="418">
        <f t="shared" si="9"/>
        <v>170418566</v>
      </c>
      <c r="L45" s="459">
        <v>0</v>
      </c>
      <c r="M45" s="443">
        <f t="shared" si="10"/>
        <v>0</v>
      </c>
      <c r="N45" s="443">
        <f t="shared" si="11"/>
        <v>555176.04</v>
      </c>
      <c r="O45" s="443">
        <f t="shared" si="12"/>
        <v>0</v>
      </c>
      <c r="P45" s="443">
        <f t="shared" si="13"/>
        <v>0</v>
      </c>
      <c r="Q45" s="443">
        <f t="shared" si="14"/>
        <v>555176.04</v>
      </c>
      <c r="R45" s="443">
        <f t="shared" si="15"/>
        <v>0</v>
      </c>
      <c r="S45" s="484"/>
      <c r="T45" s="484"/>
      <c r="U45" s="484"/>
      <c r="V45" s="490">
        <v>0</v>
      </c>
      <c r="W45" s="490">
        <v>0</v>
      </c>
      <c r="X45" s="490">
        <v>0</v>
      </c>
      <c r="Y45" s="419">
        <f t="shared" si="16"/>
        <v>90</v>
      </c>
      <c r="Z45" s="420">
        <f t="shared" si="17"/>
        <v>3.5640000000000005E-2</v>
      </c>
      <c r="AA45" s="420">
        <v>0</v>
      </c>
      <c r="AB45" s="420">
        <v>0</v>
      </c>
      <c r="AC45" s="420">
        <f t="shared" si="18"/>
        <v>2.8920000000000001E-2</v>
      </c>
      <c r="AD45" s="419">
        <f t="shared" si="19"/>
        <v>0</v>
      </c>
      <c r="AE45" s="419">
        <f t="shared" si="20"/>
        <v>13.2</v>
      </c>
      <c r="AF45" s="419">
        <f t="shared" si="21"/>
        <v>15.3</v>
      </c>
      <c r="AG45" s="454">
        <f t="shared" si="22"/>
        <v>429300</v>
      </c>
      <c r="AH45" s="454">
        <f t="shared" si="44"/>
        <v>6073717.6900000004</v>
      </c>
      <c r="AI45" s="421">
        <f t="shared" si="24"/>
        <v>0</v>
      </c>
      <c r="AJ45" s="421">
        <f t="shared" si="25"/>
        <v>7328323.7300000004</v>
      </c>
      <c r="AK45" s="421">
        <f t="shared" si="26"/>
        <v>0</v>
      </c>
      <c r="AL45" s="472">
        <v>0</v>
      </c>
      <c r="AM45" s="422">
        <f t="shared" si="45"/>
        <v>0</v>
      </c>
      <c r="AN45" s="423">
        <f t="shared" si="28"/>
        <v>0</v>
      </c>
      <c r="AO45" s="421">
        <f t="shared" si="29"/>
        <v>7328323.7300000004</v>
      </c>
      <c r="AP45" s="472"/>
      <c r="AQ45" s="472"/>
      <c r="AR45" s="472"/>
      <c r="AS45" s="475">
        <v>0</v>
      </c>
      <c r="AT45" s="475">
        <v>0</v>
      </c>
      <c r="AU45" s="475">
        <v>0</v>
      </c>
      <c r="AV45" s="454">
        <f t="shared" si="30"/>
        <v>13831341.420000002</v>
      </c>
      <c r="AW45" s="421">
        <f t="shared" si="31"/>
        <v>13831342</v>
      </c>
      <c r="AX45" s="455">
        <f t="shared" si="46"/>
        <v>1.0000000419337489</v>
      </c>
      <c r="AY45" s="424">
        <f t="shared" si="32"/>
        <v>316800</v>
      </c>
      <c r="AZ45" s="424">
        <f t="shared" si="33"/>
        <v>194103</v>
      </c>
      <c r="BA45" s="424">
        <f t="shared" si="34"/>
        <v>610723</v>
      </c>
      <c r="BB45" s="424">
        <f t="shared" si="35"/>
        <v>0</v>
      </c>
      <c r="BC45" s="424">
        <f t="shared" si="36"/>
        <v>0</v>
      </c>
      <c r="BD45" s="424">
        <f t="shared" si="37"/>
        <v>14952968</v>
      </c>
      <c r="BE45" s="452">
        <f t="shared" si="38"/>
        <v>14952967.420000002</v>
      </c>
      <c r="BF45" s="448">
        <f t="shared" si="39"/>
        <v>0.57999999821186066</v>
      </c>
      <c r="BG45" s="456">
        <f t="shared" si="40"/>
        <v>4928504.93</v>
      </c>
      <c r="BH45" s="457">
        <f t="shared" si="4"/>
        <v>1145212.7600000007</v>
      </c>
      <c r="BI45" s="407" t="s">
        <v>1490</v>
      </c>
      <c r="BM45" s="429">
        <f>IF(BR45&gt;BR44,BM44,IF(BM44&lt;MiscData!$F$1,EOMONTH(BM44,1),EOMONTH(BM44,-11)))</f>
        <v>42063</v>
      </c>
      <c r="BN45" s="416" t="str">
        <f t="shared" si="5"/>
        <v>20140101KUCIE562</v>
      </c>
      <c r="BO45" s="427" t="str">
        <f t="shared" si="6"/>
        <v>20140101PSS</v>
      </c>
      <c r="BP45" s="407">
        <f>IF(BM45&lt;=MiscData!$B$23,MiscData!$C$23,IF(BM45&lt;=MiscData!$B$24,MiscData!$C$24,MiscData!$C$25))</f>
        <v>20140101</v>
      </c>
      <c r="BQ45" s="407" t="str">
        <f>VLOOKUP(BR45,MiscData!$V$4:$W$42,2,FALSE)</f>
        <v>KUCIE562</v>
      </c>
      <c r="BR45" s="407">
        <f>IF(BR44=MiscData!$V$42,1,BR44+1)</f>
        <v>3</v>
      </c>
      <c r="BS45" s="407" t="str">
        <f>VLOOKUP(BQ45,MiscData!$W$4:$Y$42,3,FALSE)</f>
        <v>PSS</v>
      </c>
    </row>
    <row r="46" spans="1:72" hidden="1">
      <c r="A46" s="416">
        <f t="shared" si="43"/>
        <v>40</v>
      </c>
      <c r="B46" s="416" t="str">
        <f t="shared" si="0"/>
        <v>Feb 2015</v>
      </c>
      <c r="C46" s="416" t="s">
        <v>221</v>
      </c>
      <c r="D46" s="417" t="str">
        <f t="shared" si="1"/>
        <v>TODP</v>
      </c>
      <c r="E46" s="417" t="str">
        <f t="shared" si="2"/>
        <v>KUCIE563</v>
      </c>
      <c r="F46" s="418">
        <f t="shared" si="8"/>
        <v>52</v>
      </c>
      <c r="G46" s="467"/>
      <c r="H46" s="418">
        <v>0</v>
      </c>
      <c r="I46" s="418">
        <v>0</v>
      </c>
      <c r="J46" s="418">
        <v>0</v>
      </c>
      <c r="K46" s="418">
        <f t="shared" si="9"/>
        <v>240582096</v>
      </c>
      <c r="L46" s="459">
        <v>0</v>
      </c>
      <c r="M46" s="443">
        <f t="shared" si="10"/>
        <v>511851.91</v>
      </c>
      <c r="N46" s="443">
        <f t="shared" si="11"/>
        <v>479279.12</v>
      </c>
      <c r="O46" s="443">
        <f t="shared" si="12"/>
        <v>472970.69</v>
      </c>
      <c r="P46" s="443">
        <f t="shared" si="13"/>
        <v>511851.91</v>
      </c>
      <c r="Q46" s="443">
        <f t="shared" si="14"/>
        <v>479279.12</v>
      </c>
      <c r="R46" s="443">
        <f t="shared" si="15"/>
        <v>472970.69</v>
      </c>
      <c r="S46" s="484"/>
      <c r="T46" s="484"/>
      <c r="U46" s="484"/>
      <c r="V46" s="490">
        <v>0</v>
      </c>
      <c r="W46" s="490">
        <v>0</v>
      </c>
      <c r="X46" s="490">
        <v>0</v>
      </c>
      <c r="Y46" s="419">
        <f t="shared" si="16"/>
        <v>300</v>
      </c>
      <c r="Z46" s="420">
        <f t="shared" si="17"/>
        <v>3.7650000000000003E-2</v>
      </c>
      <c r="AA46" s="420">
        <v>0</v>
      </c>
      <c r="AB46" s="420">
        <v>0</v>
      </c>
      <c r="AC46" s="420">
        <f t="shared" si="18"/>
        <v>2.8920000000000001E-2</v>
      </c>
      <c r="AD46" s="419">
        <f t="shared" si="19"/>
        <v>1.71</v>
      </c>
      <c r="AE46" s="419">
        <f t="shared" si="20"/>
        <v>2.76</v>
      </c>
      <c r="AF46" s="419">
        <f t="shared" si="21"/>
        <v>4.26</v>
      </c>
      <c r="AG46" s="454">
        <f t="shared" si="22"/>
        <v>15600</v>
      </c>
      <c r="AH46" s="454">
        <f t="shared" si="44"/>
        <v>9057915.9100000001</v>
      </c>
      <c r="AI46" s="421">
        <f t="shared" si="24"/>
        <v>875266.77</v>
      </c>
      <c r="AJ46" s="421">
        <f t="shared" si="25"/>
        <v>1322810.3700000001</v>
      </c>
      <c r="AK46" s="421">
        <f t="shared" si="26"/>
        <v>2014855.14</v>
      </c>
      <c r="AL46" s="472">
        <v>0</v>
      </c>
      <c r="AM46" s="422">
        <f t="shared" si="45"/>
        <v>0</v>
      </c>
      <c r="AN46" s="423">
        <f t="shared" si="28"/>
        <v>0</v>
      </c>
      <c r="AO46" s="421">
        <f t="shared" si="29"/>
        <v>4212932.28</v>
      </c>
      <c r="AP46" s="472"/>
      <c r="AQ46" s="472"/>
      <c r="AR46" s="472"/>
      <c r="AS46" s="475">
        <v>0</v>
      </c>
      <c r="AT46" s="475">
        <v>0</v>
      </c>
      <c r="AU46" s="475">
        <v>0</v>
      </c>
      <c r="AV46" s="454">
        <f t="shared" si="30"/>
        <v>13286448.190000001</v>
      </c>
      <c r="AW46" s="421">
        <f t="shared" si="31"/>
        <v>13286449</v>
      </c>
      <c r="AX46" s="455">
        <f t="shared" si="46"/>
        <v>1.0000000609643742</v>
      </c>
      <c r="AY46" s="424">
        <f t="shared" si="32"/>
        <v>447231</v>
      </c>
      <c r="AZ46" s="424">
        <f t="shared" si="33"/>
        <v>274018</v>
      </c>
      <c r="BA46" s="424">
        <f t="shared" si="34"/>
        <v>862165</v>
      </c>
      <c r="BB46" s="424">
        <f t="shared" si="35"/>
        <v>0</v>
      </c>
      <c r="BC46" s="424">
        <f t="shared" si="36"/>
        <v>0</v>
      </c>
      <c r="BD46" s="424">
        <f t="shared" si="37"/>
        <v>14869863</v>
      </c>
      <c r="BE46" s="452">
        <f t="shared" si="38"/>
        <v>14869862.190000001</v>
      </c>
      <c r="BF46" s="448">
        <f t="shared" si="39"/>
        <v>0.80999999865889549</v>
      </c>
      <c r="BG46" s="456">
        <f t="shared" si="40"/>
        <v>6957634.2199999997</v>
      </c>
      <c r="BH46" s="457">
        <f t="shared" si="4"/>
        <v>2100281.6900000004</v>
      </c>
      <c r="BI46" s="407" t="s">
        <v>1490</v>
      </c>
      <c r="BM46" s="429">
        <f>IF(BR46&gt;BR45,BM45,IF(BM45&lt;MiscData!$F$1,EOMONTH(BM45,1),EOMONTH(BM45,-11)))</f>
        <v>42063</v>
      </c>
      <c r="BN46" s="416" t="str">
        <f t="shared" si="5"/>
        <v>20140101KUCIE563</v>
      </c>
      <c r="BO46" s="427" t="str">
        <f t="shared" si="6"/>
        <v>20140101TODP</v>
      </c>
      <c r="BP46" s="407">
        <f>IF(BM46&lt;=MiscData!$B$23,MiscData!$C$23,IF(BM46&lt;=MiscData!$B$24,MiscData!$C$24,MiscData!$C$25))</f>
        <v>20140101</v>
      </c>
      <c r="BQ46" s="407" t="str">
        <f>VLOOKUP(BR46,MiscData!$V$4:$W$42,2,FALSE)</f>
        <v>KUCIE563</v>
      </c>
      <c r="BR46" s="407">
        <f>IF(BR45=MiscData!$V$42,1,BR45+1)</f>
        <v>4</v>
      </c>
      <c r="BS46" s="407" t="str">
        <f>VLOOKUP(BQ46,MiscData!$W$4:$Y$42,3,FALSE)</f>
        <v>TODP</v>
      </c>
    </row>
    <row r="47" spans="1:72">
      <c r="A47" s="416">
        <f t="shared" si="43"/>
        <v>41</v>
      </c>
      <c r="B47" s="416" t="str">
        <f t="shared" si="0"/>
        <v>Feb 2015</v>
      </c>
      <c r="C47" s="416" t="s">
        <v>26</v>
      </c>
      <c r="D47" s="417" t="str">
        <f t="shared" si="1"/>
        <v>PSP</v>
      </c>
      <c r="E47" s="417" t="str">
        <f t="shared" si="2"/>
        <v>KUCIE566</v>
      </c>
      <c r="F47" s="418">
        <f t="shared" si="8"/>
        <v>0</v>
      </c>
      <c r="G47" s="467"/>
      <c r="H47" s="418">
        <v>0</v>
      </c>
      <c r="I47" s="418">
        <v>0</v>
      </c>
      <c r="J47" s="418">
        <v>0</v>
      </c>
      <c r="K47" s="418">
        <f t="shared" si="9"/>
        <v>0</v>
      </c>
      <c r="L47" s="459">
        <v>0</v>
      </c>
      <c r="M47" s="443">
        <f t="shared" si="10"/>
        <v>0</v>
      </c>
      <c r="N47" s="443">
        <f t="shared" si="11"/>
        <v>0</v>
      </c>
      <c r="O47" s="443">
        <f t="shared" si="12"/>
        <v>0</v>
      </c>
      <c r="P47" s="443">
        <f t="shared" si="13"/>
        <v>0</v>
      </c>
      <c r="Q47" s="443">
        <f t="shared" si="14"/>
        <v>0</v>
      </c>
      <c r="R47" s="443">
        <f t="shared" si="15"/>
        <v>0</v>
      </c>
      <c r="S47" s="484">
        <v>0</v>
      </c>
      <c r="T47" s="484"/>
      <c r="U47" s="484">
        <v>0</v>
      </c>
      <c r="V47" s="490">
        <v>0</v>
      </c>
      <c r="W47" s="490">
        <v>0</v>
      </c>
      <c r="X47" s="490">
        <v>0</v>
      </c>
      <c r="Y47" s="419">
        <f t="shared" si="16"/>
        <v>170</v>
      </c>
      <c r="Z47" s="420">
        <f t="shared" si="17"/>
        <v>3.5619999999999999E-2</v>
      </c>
      <c r="AA47" s="420">
        <v>0</v>
      </c>
      <c r="AB47" s="420">
        <v>0</v>
      </c>
      <c r="AC47" s="420">
        <f t="shared" si="18"/>
        <v>2.8920000000000001E-2</v>
      </c>
      <c r="AD47" s="419">
        <f t="shared" si="19"/>
        <v>0</v>
      </c>
      <c r="AE47" s="419">
        <f t="shared" si="20"/>
        <v>13.18</v>
      </c>
      <c r="AF47" s="419">
        <f t="shared" si="21"/>
        <v>15.28</v>
      </c>
      <c r="AG47" s="454">
        <f t="shared" si="22"/>
        <v>0</v>
      </c>
      <c r="AH47" s="454">
        <f t="shared" si="44"/>
        <v>0</v>
      </c>
      <c r="AI47" s="421">
        <f t="shared" si="24"/>
        <v>0</v>
      </c>
      <c r="AJ47" s="421">
        <f t="shared" si="25"/>
        <v>0</v>
      </c>
      <c r="AK47" s="421">
        <f t="shared" si="26"/>
        <v>0</v>
      </c>
      <c r="AL47" s="472">
        <v>0</v>
      </c>
      <c r="AM47" s="422">
        <f t="shared" si="45"/>
        <v>0</v>
      </c>
      <c r="AN47" s="423">
        <f t="shared" si="28"/>
        <v>0</v>
      </c>
      <c r="AO47" s="421">
        <f t="shared" si="29"/>
        <v>0</v>
      </c>
      <c r="AP47" s="472"/>
      <c r="AQ47" s="472"/>
      <c r="AR47" s="472"/>
      <c r="AS47" s="475">
        <v>0</v>
      </c>
      <c r="AT47" s="475">
        <v>0</v>
      </c>
      <c r="AU47" s="475">
        <v>0</v>
      </c>
      <c r="AV47" s="454">
        <f t="shared" si="30"/>
        <v>0</v>
      </c>
      <c r="AW47" s="421">
        <f t="shared" si="31"/>
        <v>0</v>
      </c>
      <c r="AX47" s="455">
        <f t="shared" si="46"/>
        <v>1</v>
      </c>
      <c r="AY47" s="424">
        <f t="shared" si="32"/>
        <v>0</v>
      </c>
      <c r="AZ47" s="424">
        <f t="shared" si="33"/>
        <v>0</v>
      </c>
      <c r="BA47" s="424">
        <f t="shared" si="34"/>
        <v>0</v>
      </c>
      <c r="BB47" s="424">
        <f t="shared" si="35"/>
        <v>0</v>
      </c>
      <c r="BC47" s="424">
        <f t="shared" si="36"/>
        <v>0</v>
      </c>
      <c r="BD47" s="424">
        <f t="shared" si="37"/>
        <v>0</v>
      </c>
      <c r="BE47" s="452">
        <f t="shared" si="38"/>
        <v>0</v>
      </c>
      <c r="BF47" s="448">
        <f t="shared" si="39"/>
        <v>0</v>
      </c>
      <c r="BG47" s="456">
        <f t="shared" si="40"/>
        <v>0</v>
      </c>
      <c r="BH47" s="457">
        <f t="shared" si="4"/>
        <v>0</v>
      </c>
      <c r="BI47" s="407" t="s">
        <v>1490</v>
      </c>
      <c r="BM47" s="429">
        <f>IF(BR47&gt;BR46,BM46,IF(BM46&lt;MiscData!$F$1,EOMONTH(BM46,1),EOMONTH(BM46,-11)))</f>
        <v>42063</v>
      </c>
      <c r="BN47" s="416" t="str">
        <f t="shared" si="5"/>
        <v>20140101KUCIE566</v>
      </c>
      <c r="BO47" s="427" t="str">
        <f t="shared" si="6"/>
        <v>20140101PSP</v>
      </c>
      <c r="BP47" s="407">
        <f>IF(BM47&lt;=MiscData!$B$23,MiscData!$C$23,IF(BM47&lt;=MiscData!$B$24,MiscData!$C$24,MiscData!$C$25))</f>
        <v>20140101</v>
      </c>
      <c r="BQ47" s="407" t="str">
        <f>VLOOKUP(BR47,MiscData!$V$4:$W$42,2,FALSE)</f>
        <v>KUCIE566</v>
      </c>
      <c r="BR47" s="407">
        <f>IF(BR46=MiscData!$V$42,1,BR46+1)</f>
        <v>5</v>
      </c>
      <c r="BS47" s="407" t="str">
        <f>VLOOKUP(BQ47,MiscData!$W$4:$Y$42,3,FALSE)</f>
        <v>PSP</v>
      </c>
    </row>
    <row r="48" spans="1:72" hidden="1">
      <c r="A48" s="416">
        <f t="shared" si="43"/>
        <v>42</v>
      </c>
      <c r="B48" s="416" t="str">
        <f t="shared" si="0"/>
        <v>Feb 2015</v>
      </c>
      <c r="C48" s="416" t="s">
        <v>25</v>
      </c>
      <c r="D48" s="417" t="str">
        <f t="shared" si="1"/>
        <v>PSS</v>
      </c>
      <c r="E48" s="417" t="str">
        <f t="shared" si="2"/>
        <v>KUCIE568</v>
      </c>
      <c r="F48" s="418">
        <f t="shared" si="8"/>
        <v>0</v>
      </c>
      <c r="G48" s="467"/>
      <c r="H48" s="418">
        <v>0</v>
      </c>
      <c r="I48" s="418">
        <v>0</v>
      </c>
      <c r="J48" s="418">
        <v>0</v>
      </c>
      <c r="K48" s="418">
        <f t="shared" si="9"/>
        <v>0</v>
      </c>
      <c r="L48" s="459">
        <v>0</v>
      </c>
      <c r="M48" s="443">
        <f t="shared" si="10"/>
        <v>0</v>
      </c>
      <c r="N48" s="443">
        <f t="shared" si="11"/>
        <v>0</v>
      </c>
      <c r="O48" s="443">
        <f t="shared" si="12"/>
        <v>0</v>
      </c>
      <c r="P48" s="443">
        <f t="shared" si="13"/>
        <v>0</v>
      </c>
      <c r="Q48" s="443">
        <f t="shared" si="14"/>
        <v>0</v>
      </c>
      <c r="R48" s="443">
        <f t="shared" si="15"/>
        <v>0</v>
      </c>
      <c r="S48" s="484">
        <v>0</v>
      </c>
      <c r="T48" s="484"/>
      <c r="U48" s="484">
        <v>0</v>
      </c>
      <c r="V48" s="490">
        <v>0</v>
      </c>
      <c r="W48" s="490">
        <v>0</v>
      </c>
      <c r="X48" s="490">
        <v>0</v>
      </c>
      <c r="Y48" s="419">
        <f t="shared" si="16"/>
        <v>90</v>
      </c>
      <c r="Z48" s="420">
        <f t="shared" si="17"/>
        <v>3.5640000000000005E-2</v>
      </c>
      <c r="AA48" s="420">
        <v>0</v>
      </c>
      <c r="AB48" s="420">
        <v>0</v>
      </c>
      <c r="AC48" s="420">
        <f t="shared" si="18"/>
        <v>2.8920000000000001E-2</v>
      </c>
      <c r="AD48" s="419">
        <f t="shared" si="19"/>
        <v>0</v>
      </c>
      <c r="AE48" s="419">
        <f t="shared" si="20"/>
        <v>13.2</v>
      </c>
      <c r="AF48" s="419">
        <f t="shared" si="21"/>
        <v>15.3</v>
      </c>
      <c r="AG48" s="454">
        <f t="shared" si="22"/>
        <v>0</v>
      </c>
      <c r="AH48" s="454">
        <f t="shared" si="44"/>
        <v>0</v>
      </c>
      <c r="AI48" s="421">
        <f t="shared" si="24"/>
        <v>0</v>
      </c>
      <c r="AJ48" s="421">
        <f t="shared" si="25"/>
        <v>0</v>
      </c>
      <c r="AK48" s="421">
        <f t="shared" si="26"/>
        <v>0</v>
      </c>
      <c r="AL48" s="472"/>
      <c r="AM48" s="422">
        <f t="shared" si="45"/>
        <v>0</v>
      </c>
      <c r="AN48" s="423">
        <f t="shared" si="28"/>
        <v>0</v>
      </c>
      <c r="AO48" s="421">
        <f t="shared" si="29"/>
        <v>0</v>
      </c>
      <c r="AP48" s="472"/>
      <c r="AQ48" s="472"/>
      <c r="AR48" s="472"/>
      <c r="AS48" s="475">
        <v>0</v>
      </c>
      <c r="AT48" s="475">
        <v>0</v>
      </c>
      <c r="AU48" s="475">
        <v>0</v>
      </c>
      <c r="AV48" s="454">
        <f t="shared" si="30"/>
        <v>0</v>
      </c>
      <c r="AW48" s="421">
        <f t="shared" si="31"/>
        <v>0</v>
      </c>
      <c r="AX48" s="455">
        <f t="shared" si="46"/>
        <v>1</v>
      </c>
      <c r="AY48" s="424">
        <f t="shared" si="32"/>
        <v>0</v>
      </c>
      <c r="AZ48" s="424">
        <f t="shared" si="33"/>
        <v>0</v>
      </c>
      <c r="BA48" s="424">
        <f t="shared" si="34"/>
        <v>0</v>
      </c>
      <c r="BB48" s="424">
        <f t="shared" si="35"/>
        <v>0</v>
      </c>
      <c r="BC48" s="424">
        <f t="shared" si="36"/>
        <v>0</v>
      </c>
      <c r="BD48" s="424">
        <f t="shared" si="37"/>
        <v>0</v>
      </c>
      <c r="BE48" s="452">
        <f t="shared" si="38"/>
        <v>0</v>
      </c>
      <c r="BF48" s="448">
        <f t="shared" si="39"/>
        <v>0</v>
      </c>
      <c r="BG48" s="456">
        <f t="shared" si="40"/>
        <v>0</v>
      </c>
      <c r="BH48" s="457">
        <f t="shared" si="4"/>
        <v>0</v>
      </c>
      <c r="BI48" s="407" t="s">
        <v>1490</v>
      </c>
      <c r="BM48" s="429">
        <f>IF(BR48&gt;BR47,BM47,IF(BM47&lt;MiscData!$F$1,EOMONTH(BM47,1),EOMONTH(BM47,-11)))</f>
        <v>42063</v>
      </c>
      <c r="BN48" s="416" t="str">
        <f t="shared" si="5"/>
        <v>20140101KUCIE568</v>
      </c>
      <c r="BO48" s="427" t="str">
        <f t="shared" si="6"/>
        <v>20140101PSS</v>
      </c>
      <c r="BP48" s="407">
        <f>IF(BM48&lt;=MiscData!$B$23,MiscData!$C$23,IF(BM48&lt;=MiscData!$B$24,MiscData!$C$24,MiscData!$C$25))</f>
        <v>20140101</v>
      </c>
      <c r="BQ48" s="407" t="str">
        <f>VLOOKUP(BR48,MiscData!$V$4:$W$42,2,FALSE)</f>
        <v>KUCIE568</v>
      </c>
      <c r="BR48" s="407">
        <f>IF(BR47=MiscData!$V$42,1,BR47+1)</f>
        <v>6</v>
      </c>
      <c r="BS48" s="407" t="str">
        <f>VLOOKUP(BQ48,MiscData!$W$4:$Y$42,3,FALSE)</f>
        <v>PSS</v>
      </c>
    </row>
    <row r="49" spans="1:71" hidden="1">
      <c r="A49" s="416">
        <f t="shared" si="43"/>
        <v>43</v>
      </c>
      <c r="B49" s="416" t="str">
        <f t="shared" si="0"/>
        <v>Feb 2015</v>
      </c>
      <c r="C49" s="416" t="s">
        <v>221</v>
      </c>
      <c r="D49" s="417" t="str">
        <f t="shared" si="1"/>
        <v>TODP</v>
      </c>
      <c r="E49" s="417" t="str">
        <f t="shared" si="2"/>
        <v>KUCIE571</v>
      </c>
      <c r="F49" s="418">
        <f t="shared" si="8"/>
        <v>187</v>
      </c>
      <c r="G49" s="467"/>
      <c r="H49" s="418">
        <v>0</v>
      </c>
      <c r="I49" s="418">
        <v>0</v>
      </c>
      <c r="J49" s="418">
        <v>0</v>
      </c>
      <c r="K49" s="418">
        <f t="shared" si="9"/>
        <v>101352085</v>
      </c>
      <c r="L49" s="481">
        <v>0</v>
      </c>
      <c r="M49" s="443">
        <f t="shared" si="10"/>
        <v>259770.08</v>
      </c>
      <c r="N49" s="443">
        <f t="shared" si="11"/>
        <v>246191.86</v>
      </c>
      <c r="O49" s="443">
        <f t="shared" si="12"/>
        <v>242715.65</v>
      </c>
      <c r="P49" s="443">
        <f t="shared" si="13"/>
        <v>259770.08</v>
      </c>
      <c r="Q49" s="443">
        <f t="shared" si="14"/>
        <v>246191.86</v>
      </c>
      <c r="R49" s="443">
        <f t="shared" si="15"/>
        <v>242715.65</v>
      </c>
      <c r="S49" s="484"/>
      <c r="T49" s="484"/>
      <c r="U49" s="484"/>
      <c r="V49" s="490">
        <v>0</v>
      </c>
      <c r="W49" s="490">
        <v>0</v>
      </c>
      <c r="X49" s="490">
        <v>0</v>
      </c>
      <c r="Y49" s="419">
        <f t="shared" si="16"/>
        <v>300</v>
      </c>
      <c r="Z49" s="420">
        <f t="shared" si="17"/>
        <v>3.7650000000000003E-2</v>
      </c>
      <c r="AA49" s="420">
        <v>0</v>
      </c>
      <c r="AB49" s="420">
        <v>0</v>
      </c>
      <c r="AC49" s="420">
        <f t="shared" si="18"/>
        <v>2.8920000000000001E-2</v>
      </c>
      <c r="AD49" s="419">
        <f t="shared" si="19"/>
        <v>1.71</v>
      </c>
      <c r="AE49" s="419">
        <f t="shared" si="20"/>
        <v>2.76</v>
      </c>
      <c r="AF49" s="419">
        <f t="shared" si="21"/>
        <v>4.26</v>
      </c>
      <c r="AG49" s="454">
        <f t="shared" si="22"/>
        <v>56100</v>
      </c>
      <c r="AH49" s="454">
        <f t="shared" si="44"/>
        <v>3815906</v>
      </c>
      <c r="AI49" s="421">
        <f t="shared" si="24"/>
        <v>444206.84</v>
      </c>
      <c r="AJ49" s="421">
        <f t="shared" si="25"/>
        <v>679489.53</v>
      </c>
      <c r="AK49" s="421">
        <f t="shared" si="26"/>
        <v>1033968.67</v>
      </c>
      <c r="AL49" s="472">
        <v>0</v>
      </c>
      <c r="AM49" s="422">
        <f t="shared" si="45"/>
        <v>0</v>
      </c>
      <c r="AN49" s="423">
        <f t="shared" si="28"/>
        <v>0</v>
      </c>
      <c r="AO49" s="421">
        <f t="shared" si="29"/>
        <v>2157665.04</v>
      </c>
      <c r="AP49" s="472"/>
      <c r="AQ49" s="472"/>
      <c r="AR49" s="472"/>
      <c r="AS49" s="475">
        <v>0</v>
      </c>
      <c r="AT49" s="475">
        <v>0</v>
      </c>
      <c r="AU49" s="475">
        <v>0</v>
      </c>
      <c r="AV49" s="454">
        <f t="shared" si="30"/>
        <v>6029671.04</v>
      </c>
      <c r="AW49" s="421">
        <f t="shared" si="31"/>
        <v>6029671</v>
      </c>
      <c r="AX49" s="455">
        <f t="shared" si="46"/>
        <v>0.99999999336613887</v>
      </c>
      <c r="AY49" s="424">
        <f t="shared" si="32"/>
        <v>188409</v>
      </c>
      <c r="AZ49" s="424">
        <f t="shared" si="33"/>
        <v>115438</v>
      </c>
      <c r="BA49" s="424">
        <f t="shared" si="34"/>
        <v>363212</v>
      </c>
      <c r="BB49" s="424">
        <f t="shared" si="35"/>
        <v>0</v>
      </c>
      <c r="BC49" s="424">
        <f t="shared" si="36"/>
        <v>0</v>
      </c>
      <c r="BD49" s="424">
        <f t="shared" si="37"/>
        <v>6696730</v>
      </c>
      <c r="BE49" s="452">
        <f t="shared" si="38"/>
        <v>6696730.04</v>
      </c>
      <c r="BF49" s="448">
        <f t="shared" si="39"/>
        <v>-4.0000000037252903E-2</v>
      </c>
      <c r="BG49" s="456">
        <f t="shared" si="40"/>
        <v>2931102.3</v>
      </c>
      <c r="BH49" s="457">
        <f t="shared" si="4"/>
        <v>884803.70000000019</v>
      </c>
      <c r="BI49" s="407" t="s">
        <v>1490</v>
      </c>
      <c r="BM49" s="429">
        <f>IF(BR49&gt;BR48,BM48,IF(BM48&lt;MiscData!$F$1,EOMONTH(BM48,1),EOMONTH(BM48,-11)))</f>
        <v>42063</v>
      </c>
      <c r="BN49" s="416" t="str">
        <f t="shared" si="5"/>
        <v>20140101KUCIE571</v>
      </c>
      <c r="BO49" s="427" t="str">
        <f t="shared" si="6"/>
        <v>20140101TODP</v>
      </c>
      <c r="BP49" s="407">
        <f>IF(BM49&lt;=MiscData!$B$23,MiscData!$C$23,IF(BM49&lt;=MiscData!$B$24,MiscData!$C$24,MiscData!$C$25))</f>
        <v>20140101</v>
      </c>
      <c r="BQ49" s="407" t="str">
        <f>VLOOKUP(BR49,MiscData!$V$4:$W$42,2,FALSE)</f>
        <v>KUCIE571</v>
      </c>
      <c r="BR49" s="407">
        <f>IF(BR48=MiscData!$V$42,1,BR48+1)</f>
        <v>7</v>
      </c>
      <c r="BS49" s="407" t="str">
        <f>VLOOKUP(BQ49,MiscData!$W$4:$Y$42,3,FALSE)</f>
        <v>TODP</v>
      </c>
    </row>
    <row r="50" spans="1:71" hidden="1">
      <c r="A50" s="416">
        <f t="shared" si="43"/>
        <v>44</v>
      </c>
      <c r="B50" s="416" t="str">
        <f t="shared" si="0"/>
        <v>Feb 2015</v>
      </c>
      <c r="C50" s="416" t="s">
        <v>220</v>
      </c>
      <c r="D50" s="417" t="str">
        <f t="shared" si="1"/>
        <v>TODS</v>
      </c>
      <c r="E50" s="417" t="str">
        <f t="shared" si="2"/>
        <v>KUCIE572</v>
      </c>
      <c r="F50" s="418">
        <f t="shared" si="8"/>
        <v>456</v>
      </c>
      <c r="G50" s="467"/>
      <c r="H50" s="418">
        <v>0</v>
      </c>
      <c r="I50" s="418">
        <v>0</v>
      </c>
      <c r="J50" s="418">
        <v>0</v>
      </c>
      <c r="K50" s="418">
        <f t="shared" si="9"/>
        <v>118321752</v>
      </c>
      <c r="L50" s="459">
        <v>0</v>
      </c>
      <c r="M50" s="443">
        <f t="shared" si="10"/>
        <v>286976.21000000002</v>
      </c>
      <c r="N50" s="443">
        <f t="shared" si="11"/>
        <v>261378.21</v>
      </c>
      <c r="O50" s="443">
        <f t="shared" si="12"/>
        <v>255523.34</v>
      </c>
      <c r="P50" s="443">
        <f t="shared" si="13"/>
        <v>286976.21000000002</v>
      </c>
      <c r="Q50" s="443">
        <f t="shared" si="14"/>
        <v>261378.21</v>
      </c>
      <c r="R50" s="443">
        <f t="shared" si="15"/>
        <v>255523.34</v>
      </c>
      <c r="S50" s="484">
        <f>P50-M50</f>
        <v>0</v>
      </c>
      <c r="T50" s="484">
        <f>Q50-N50</f>
        <v>0</v>
      </c>
      <c r="U50" s="484">
        <f>R50-O50</f>
        <v>0</v>
      </c>
      <c r="V50" s="490">
        <v>0</v>
      </c>
      <c r="W50" s="490">
        <v>0</v>
      </c>
      <c r="X50" s="490">
        <v>0</v>
      </c>
      <c r="Y50" s="419">
        <f t="shared" si="16"/>
        <v>200</v>
      </c>
      <c r="Z50" s="420">
        <f t="shared" si="17"/>
        <v>3.773E-2</v>
      </c>
      <c r="AA50" s="420">
        <v>0</v>
      </c>
      <c r="AB50" s="420">
        <v>0</v>
      </c>
      <c r="AC50" s="420">
        <f t="shared" si="18"/>
        <v>2.8920000000000001E-2</v>
      </c>
      <c r="AD50" s="419">
        <f t="shared" si="19"/>
        <v>3.62</v>
      </c>
      <c r="AE50" s="419">
        <f t="shared" si="20"/>
        <v>2.95</v>
      </c>
      <c r="AF50" s="419">
        <f t="shared" si="21"/>
        <v>4.55</v>
      </c>
      <c r="AG50" s="454">
        <f t="shared" si="22"/>
        <v>91200</v>
      </c>
      <c r="AH50" s="454">
        <f t="shared" si="44"/>
        <v>4464279.7</v>
      </c>
      <c r="AI50" s="421">
        <f t="shared" si="24"/>
        <v>1038853.88</v>
      </c>
      <c r="AJ50" s="421">
        <f t="shared" si="25"/>
        <v>771065.72</v>
      </c>
      <c r="AK50" s="421">
        <f t="shared" si="26"/>
        <v>1162631.2</v>
      </c>
      <c r="AL50" s="472"/>
      <c r="AM50" s="422">
        <f t="shared" si="45"/>
        <v>0</v>
      </c>
      <c r="AN50" s="423">
        <f t="shared" si="28"/>
        <v>0</v>
      </c>
      <c r="AO50" s="421">
        <f t="shared" si="29"/>
        <v>2972550.8</v>
      </c>
      <c r="AP50" s="472"/>
      <c r="AQ50" s="472"/>
      <c r="AR50" s="472"/>
      <c r="AS50" s="475">
        <v>0</v>
      </c>
      <c r="AT50" s="475">
        <v>0</v>
      </c>
      <c r="AU50" s="475">
        <v>0</v>
      </c>
      <c r="AV50" s="454">
        <f t="shared" si="30"/>
        <v>7528030.5</v>
      </c>
      <c r="AW50" s="421">
        <f t="shared" si="31"/>
        <v>7528031</v>
      </c>
      <c r="AX50" s="455">
        <f t="shared" si="46"/>
        <v>1.0000000664184343</v>
      </c>
      <c r="AY50" s="424">
        <f t="shared" si="32"/>
        <v>219955</v>
      </c>
      <c r="AZ50" s="424">
        <f t="shared" si="33"/>
        <v>134766</v>
      </c>
      <c r="BA50" s="424">
        <f t="shared" si="34"/>
        <v>424025</v>
      </c>
      <c r="BB50" s="424">
        <f t="shared" si="35"/>
        <v>0</v>
      </c>
      <c r="BC50" s="424">
        <f t="shared" si="36"/>
        <v>0</v>
      </c>
      <c r="BD50" s="424">
        <f t="shared" si="37"/>
        <v>8306777</v>
      </c>
      <c r="BE50" s="452">
        <f t="shared" si="38"/>
        <v>8306776.5</v>
      </c>
      <c r="BF50" s="448">
        <f t="shared" si="39"/>
        <v>0.5</v>
      </c>
      <c r="BG50" s="456">
        <f t="shared" si="40"/>
        <v>3421865.07</v>
      </c>
      <c r="BH50" s="457">
        <f t="shared" si="4"/>
        <v>1042414.6300000004</v>
      </c>
      <c r="BI50" s="407" t="s">
        <v>1490</v>
      </c>
      <c r="BM50" s="429">
        <f>IF(BR50&gt;BR49,BM49,IF(BM49&lt;MiscData!$F$1,EOMONTH(BM49,1),EOMONTH(BM49,-11)))</f>
        <v>42063</v>
      </c>
      <c r="BN50" s="416" t="str">
        <f t="shared" si="5"/>
        <v>20140101KUCIE572</v>
      </c>
      <c r="BO50" s="427" t="str">
        <f t="shared" si="6"/>
        <v>20140101TODS</v>
      </c>
      <c r="BP50" s="407">
        <f>IF(BM50&lt;=MiscData!$B$23,MiscData!$C$23,IF(BM50&lt;=MiscData!$B$24,MiscData!$C$24,MiscData!$C$25))</f>
        <v>20140101</v>
      </c>
      <c r="BQ50" s="407" t="str">
        <f>VLOOKUP(BR50,MiscData!$V$4:$W$42,2,FALSE)</f>
        <v>KUCIE572</v>
      </c>
      <c r="BR50" s="407">
        <f>IF(BR49=MiscData!$V$42,1,BR49+1)</f>
        <v>8</v>
      </c>
      <c r="BS50" s="407" t="str">
        <f>VLOOKUP(BQ50,MiscData!$W$4:$Y$42,3,FALSE)</f>
        <v>TODS</v>
      </c>
    </row>
    <row r="51" spans="1:71" hidden="1">
      <c r="A51" s="416">
        <f t="shared" si="43"/>
        <v>45</v>
      </c>
      <c r="B51" s="416" t="str">
        <f t="shared" si="0"/>
        <v>Feb 2015</v>
      </c>
      <c r="C51" s="416" t="s">
        <v>25</v>
      </c>
      <c r="D51" s="417" t="str">
        <f t="shared" si="1"/>
        <v>PSS</v>
      </c>
      <c r="E51" s="417" t="str">
        <f t="shared" si="2"/>
        <v>KUCIE717</v>
      </c>
      <c r="F51" s="418">
        <f t="shared" si="8"/>
        <v>0</v>
      </c>
      <c r="G51" s="467">
        <v>0</v>
      </c>
      <c r="H51" s="418">
        <v>0</v>
      </c>
      <c r="I51" s="418">
        <v>0</v>
      </c>
      <c r="J51" s="418">
        <v>0</v>
      </c>
      <c r="K51" s="418">
        <f t="shared" si="9"/>
        <v>0</v>
      </c>
      <c r="L51" s="459">
        <v>0</v>
      </c>
      <c r="M51" s="443">
        <f t="shared" si="10"/>
        <v>0</v>
      </c>
      <c r="N51" s="443">
        <f t="shared" si="11"/>
        <v>0</v>
      </c>
      <c r="O51" s="443">
        <f t="shared" si="12"/>
        <v>0</v>
      </c>
      <c r="P51" s="443">
        <f t="shared" si="13"/>
        <v>0</v>
      </c>
      <c r="Q51" s="443">
        <f t="shared" si="14"/>
        <v>0</v>
      </c>
      <c r="R51" s="443">
        <f t="shared" si="15"/>
        <v>0</v>
      </c>
      <c r="S51" s="484">
        <v>0</v>
      </c>
      <c r="T51" s="484">
        <v>0</v>
      </c>
      <c r="U51" s="484">
        <v>0</v>
      </c>
      <c r="V51" s="490">
        <v>0</v>
      </c>
      <c r="W51" s="490">
        <v>0</v>
      </c>
      <c r="X51" s="490">
        <v>0</v>
      </c>
      <c r="Y51" s="419">
        <f t="shared" si="16"/>
        <v>90</v>
      </c>
      <c r="Z51" s="420">
        <f t="shared" si="17"/>
        <v>3.5640000000000005E-2</v>
      </c>
      <c r="AA51" s="420">
        <v>0</v>
      </c>
      <c r="AB51" s="420">
        <v>0</v>
      </c>
      <c r="AC51" s="420">
        <f t="shared" si="18"/>
        <v>2.8920000000000001E-2</v>
      </c>
      <c r="AD51" s="419">
        <f t="shared" si="19"/>
        <v>0</v>
      </c>
      <c r="AE51" s="419">
        <f t="shared" si="20"/>
        <v>13.2</v>
      </c>
      <c r="AF51" s="419">
        <f t="shared" si="21"/>
        <v>15.3</v>
      </c>
      <c r="AG51" s="454">
        <f t="shared" si="22"/>
        <v>0</v>
      </c>
      <c r="AH51" s="454">
        <f t="shared" si="44"/>
        <v>0</v>
      </c>
      <c r="AI51" s="421">
        <f t="shared" si="24"/>
        <v>0</v>
      </c>
      <c r="AJ51" s="421">
        <f t="shared" si="25"/>
        <v>0</v>
      </c>
      <c r="AK51" s="421">
        <f t="shared" si="26"/>
        <v>0</v>
      </c>
      <c r="AL51" s="472">
        <v>0</v>
      </c>
      <c r="AM51" s="422">
        <f t="shared" si="45"/>
        <v>0</v>
      </c>
      <c r="AN51" s="423">
        <f t="shared" si="28"/>
        <v>0</v>
      </c>
      <c r="AO51" s="421">
        <f t="shared" si="29"/>
        <v>0</v>
      </c>
      <c r="AP51" s="472">
        <v>0</v>
      </c>
      <c r="AQ51" s="472">
        <v>0</v>
      </c>
      <c r="AR51" s="472">
        <v>0</v>
      </c>
      <c r="AS51" s="475">
        <v>0</v>
      </c>
      <c r="AT51" s="475">
        <v>0</v>
      </c>
      <c r="AU51" s="475">
        <v>0</v>
      </c>
      <c r="AV51" s="454">
        <f t="shared" si="30"/>
        <v>0</v>
      </c>
      <c r="AW51" s="421">
        <f t="shared" si="31"/>
        <v>0</v>
      </c>
      <c r="AX51" s="455">
        <f t="shared" si="46"/>
        <v>1</v>
      </c>
      <c r="AY51" s="424">
        <f t="shared" si="32"/>
        <v>0</v>
      </c>
      <c r="AZ51" s="424">
        <f t="shared" si="33"/>
        <v>0</v>
      </c>
      <c r="BA51" s="424">
        <f t="shared" si="34"/>
        <v>0</v>
      </c>
      <c r="BB51" s="424">
        <f t="shared" si="35"/>
        <v>0</v>
      </c>
      <c r="BC51" s="424">
        <f t="shared" si="36"/>
        <v>0</v>
      </c>
      <c r="BD51" s="424">
        <f t="shared" si="37"/>
        <v>0</v>
      </c>
      <c r="BE51" s="452">
        <f t="shared" si="38"/>
        <v>0</v>
      </c>
      <c r="BF51" s="448">
        <f t="shared" si="39"/>
        <v>0</v>
      </c>
      <c r="BG51" s="456">
        <f t="shared" si="40"/>
        <v>0</v>
      </c>
      <c r="BH51" s="457">
        <f t="shared" si="4"/>
        <v>0</v>
      </c>
      <c r="BI51" s="407" t="s">
        <v>1490</v>
      </c>
      <c r="BM51" s="429">
        <f>IF(BR51&gt;BR50,BM50,IF(BM50&lt;MiscData!$F$1,EOMONTH(BM50,1),EOMONTH(BM50,-11)))</f>
        <v>42063</v>
      </c>
      <c r="BN51" s="416" t="str">
        <f t="shared" si="5"/>
        <v>20140101KUCIE717</v>
      </c>
      <c r="BO51" s="427" t="str">
        <f t="shared" si="6"/>
        <v>20140101PSS</v>
      </c>
      <c r="BP51" s="407">
        <f>IF(BM51&lt;=MiscData!$B$23,MiscData!$C$23,IF(BM51&lt;=MiscData!$B$24,MiscData!$C$24,MiscData!$C$25))</f>
        <v>20140101</v>
      </c>
      <c r="BQ51" s="407" t="str">
        <f>VLOOKUP(BR51,MiscData!$V$4:$W$42,2,FALSE)</f>
        <v>KUCIE717</v>
      </c>
      <c r="BR51" s="407">
        <f>IF(BR50=MiscData!$V$42,1,BR50+1)</f>
        <v>9</v>
      </c>
      <c r="BS51" s="407" t="str">
        <f>VLOOKUP(BQ51,MiscData!$W$4:$Y$42,3,FALSE)</f>
        <v>PSS</v>
      </c>
    </row>
    <row r="52" spans="1:71" hidden="1">
      <c r="A52" s="416">
        <f t="shared" si="43"/>
        <v>46</v>
      </c>
      <c r="B52" s="416" t="str">
        <f t="shared" si="0"/>
        <v>Feb 2015</v>
      </c>
      <c r="C52" s="416" t="s">
        <v>224</v>
      </c>
      <c r="D52" s="417" t="str">
        <f t="shared" si="1"/>
        <v>GS</v>
      </c>
      <c r="E52" s="417" t="str">
        <f t="shared" si="2"/>
        <v>KUCME110</v>
      </c>
      <c r="F52" s="418">
        <f t="shared" si="8"/>
        <v>63452</v>
      </c>
      <c r="G52" s="467">
        <v>0</v>
      </c>
      <c r="H52" s="418">
        <v>0</v>
      </c>
      <c r="I52" s="418">
        <v>0</v>
      </c>
      <c r="J52" s="418">
        <v>0</v>
      </c>
      <c r="K52" s="418">
        <f t="shared" si="9"/>
        <v>68740240</v>
      </c>
      <c r="L52" s="481">
        <v>0</v>
      </c>
      <c r="M52" s="443">
        <f t="shared" si="10"/>
        <v>0</v>
      </c>
      <c r="N52" s="443">
        <f t="shared" si="11"/>
        <v>0</v>
      </c>
      <c r="O52" s="443">
        <f t="shared" si="12"/>
        <v>0</v>
      </c>
      <c r="P52" s="443">
        <f t="shared" si="13"/>
        <v>0</v>
      </c>
      <c r="Q52" s="443">
        <f t="shared" si="14"/>
        <v>0</v>
      </c>
      <c r="R52" s="443">
        <f t="shared" si="15"/>
        <v>0</v>
      </c>
      <c r="S52" s="484">
        <v>0</v>
      </c>
      <c r="T52" s="484">
        <v>0</v>
      </c>
      <c r="U52" s="484">
        <v>0</v>
      </c>
      <c r="V52" s="490">
        <v>0</v>
      </c>
      <c r="W52" s="490">
        <v>0</v>
      </c>
      <c r="X52" s="490">
        <v>0</v>
      </c>
      <c r="Y52" s="419">
        <f t="shared" si="16"/>
        <v>20</v>
      </c>
      <c r="Z52" s="420">
        <f t="shared" si="17"/>
        <v>9.2249999999999999E-2</v>
      </c>
      <c r="AA52" s="420">
        <v>0</v>
      </c>
      <c r="AB52" s="420">
        <v>0</v>
      </c>
      <c r="AC52" s="420">
        <f t="shared" si="18"/>
        <v>2.8920000000000001E-2</v>
      </c>
      <c r="AD52" s="419">
        <f t="shared" si="19"/>
        <v>0</v>
      </c>
      <c r="AE52" s="419">
        <f t="shared" si="20"/>
        <v>0</v>
      </c>
      <c r="AF52" s="419">
        <f t="shared" si="21"/>
        <v>0</v>
      </c>
      <c r="AG52" s="454">
        <f t="shared" si="22"/>
        <v>1269040</v>
      </c>
      <c r="AH52" s="454">
        <f t="shared" si="44"/>
        <v>6341287.1399999997</v>
      </c>
      <c r="AI52" s="421">
        <f t="shared" si="24"/>
        <v>0</v>
      </c>
      <c r="AJ52" s="421">
        <f t="shared" si="25"/>
        <v>0</v>
      </c>
      <c r="AK52" s="421">
        <f t="shared" si="26"/>
        <v>0</v>
      </c>
      <c r="AL52" s="472">
        <v>0</v>
      </c>
      <c r="AM52" s="422">
        <f t="shared" si="45"/>
        <v>0</v>
      </c>
      <c r="AN52" s="423">
        <f t="shared" si="28"/>
        <v>0</v>
      </c>
      <c r="AO52" s="421">
        <f t="shared" si="29"/>
        <v>0</v>
      </c>
      <c r="AP52" s="472">
        <v>0</v>
      </c>
      <c r="AQ52" s="472">
        <v>0</v>
      </c>
      <c r="AR52" s="472">
        <v>0</v>
      </c>
      <c r="AS52" s="475">
        <v>0</v>
      </c>
      <c r="AT52" s="475">
        <v>0</v>
      </c>
      <c r="AU52" s="475">
        <v>0</v>
      </c>
      <c r="AV52" s="454">
        <f t="shared" si="30"/>
        <v>7610327.1399999997</v>
      </c>
      <c r="AW52" s="421">
        <f t="shared" si="31"/>
        <v>7610324</v>
      </c>
      <c r="AX52" s="455">
        <f t="shared" ref="AX52:AX61" si="47">IF(AND(AV52=0,AW52=0),1,IF(AV52=0,0,AW52/AV52))</f>
        <v>0.99999958740275652</v>
      </c>
      <c r="AY52" s="424">
        <f t="shared" si="32"/>
        <v>127785</v>
      </c>
      <c r="AZ52" s="424">
        <f t="shared" si="33"/>
        <v>78294</v>
      </c>
      <c r="BA52" s="424">
        <f t="shared" si="34"/>
        <v>246342</v>
      </c>
      <c r="BB52" s="424">
        <f t="shared" si="35"/>
        <v>0</v>
      </c>
      <c r="BC52" s="424">
        <f t="shared" si="36"/>
        <v>0</v>
      </c>
      <c r="BD52" s="424">
        <f t="shared" si="37"/>
        <v>8062745</v>
      </c>
      <c r="BE52" s="452">
        <f t="shared" si="38"/>
        <v>8062748.1399999997</v>
      </c>
      <c r="BF52" s="448">
        <f t="shared" si="39"/>
        <v>-3.1399999996647239</v>
      </c>
      <c r="BG52" s="456">
        <f t="shared" si="40"/>
        <v>1987967.74</v>
      </c>
      <c r="BH52" s="457">
        <f t="shared" si="4"/>
        <v>4353319.3999999994</v>
      </c>
      <c r="BI52" s="407" t="s">
        <v>1490</v>
      </c>
      <c r="BM52" s="429">
        <f>IF(BR52&gt;BR51,BM51,IF(BM51&lt;MiscData!$F$1,EOMONTH(BM51,1),EOMONTH(BM51,-11)))</f>
        <v>42063</v>
      </c>
      <c r="BN52" s="416" t="str">
        <f t="shared" si="5"/>
        <v>20140101KUCME110</v>
      </c>
      <c r="BO52" s="427" t="str">
        <f t="shared" si="6"/>
        <v>20140101GS</v>
      </c>
      <c r="BP52" s="407">
        <f>IF(BM52&lt;=MiscData!$B$23,MiscData!$C$23,IF(BM52&lt;=MiscData!$B$24,MiscData!$C$24,MiscData!$C$25))</f>
        <v>20140101</v>
      </c>
      <c r="BQ52" s="407" t="str">
        <f>VLOOKUP(BR52,MiscData!$V$4:$W$42,2,FALSE)</f>
        <v>KUCME110</v>
      </c>
      <c r="BR52" s="407">
        <f>IF(BR51=MiscData!$V$42,1,BR51+1)</f>
        <v>10</v>
      </c>
      <c r="BS52" s="407" t="str">
        <f>VLOOKUP(BQ52,MiscData!$W$4:$Y$42,3,FALSE)</f>
        <v>GS</v>
      </c>
    </row>
    <row r="53" spans="1:71" hidden="1">
      <c r="A53" s="416">
        <f t="shared" si="43"/>
        <v>47</v>
      </c>
      <c r="B53" s="416" t="str">
        <f t="shared" si="0"/>
        <v>Feb 2015</v>
      </c>
      <c r="C53" s="416" t="s">
        <v>224</v>
      </c>
      <c r="D53" s="417" t="str">
        <f t="shared" si="1"/>
        <v>GS</v>
      </c>
      <c r="E53" s="417" t="str">
        <f t="shared" si="2"/>
        <v>KUCME112</v>
      </c>
      <c r="F53" s="418">
        <f t="shared" si="8"/>
        <v>0</v>
      </c>
      <c r="G53" s="467">
        <v>0</v>
      </c>
      <c r="H53" s="418">
        <v>0</v>
      </c>
      <c r="I53" s="418">
        <v>0</v>
      </c>
      <c r="J53" s="418">
        <v>0</v>
      </c>
      <c r="K53" s="418">
        <f t="shared" si="9"/>
        <v>0</v>
      </c>
      <c r="L53" s="481">
        <v>0</v>
      </c>
      <c r="M53" s="443">
        <f t="shared" si="10"/>
        <v>0</v>
      </c>
      <c r="N53" s="443">
        <f t="shared" si="11"/>
        <v>0</v>
      </c>
      <c r="O53" s="443">
        <f t="shared" si="12"/>
        <v>0</v>
      </c>
      <c r="P53" s="443">
        <f t="shared" si="13"/>
        <v>0</v>
      </c>
      <c r="Q53" s="443">
        <f t="shared" si="14"/>
        <v>0</v>
      </c>
      <c r="R53" s="443">
        <f t="shared" si="15"/>
        <v>0</v>
      </c>
      <c r="S53" s="484">
        <v>0</v>
      </c>
      <c r="T53" s="484">
        <v>0</v>
      </c>
      <c r="U53" s="484">
        <v>0</v>
      </c>
      <c r="V53" s="490">
        <v>0</v>
      </c>
      <c r="W53" s="490">
        <v>0</v>
      </c>
      <c r="X53" s="490">
        <v>0</v>
      </c>
      <c r="Y53" s="419">
        <f t="shared" si="16"/>
        <v>20</v>
      </c>
      <c r="Z53" s="420">
        <f t="shared" si="17"/>
        <v>9.2249999999999999E-2</v>
      </c>
      <c r="AA53" s="420">
        <v>0</v>
      </c>
      <c r="AB53" s="420">
        <v>0</v>
      </c>
      <c r="AC53" s="420">
        <f t="shared" si="18"/>
        <v>2.8920000000000001E-2</v>
      </c>
      <c r="AD53" s="419">
        <f t="shared" si="19"/>
        <v>0</v>
      </c>
      <c r="AE53" s="419">
        <f t="shared" si="20"/>
        <v>0</v>
      </c>
      <c r="AF53" s="419">
        <f t="shared" si="21"/>
        <v>0</v>
      </c>
      <c r="AG53" s="454">
        <f t="shared" si="22"/>
        <v>0</v>
      </c>
      <c r="AH53" s="454">
        <f t="shared" si="44"/>
        <v>0</v>
      </c>
      <c r="AI53" s="421">
        <f t="shared" si="24"/>
        <v>0</v>
      </c>
      <c r="AJ53" s="421">
        <f t="shared" si="25"/>
        <v>0</v>
      </c>
      <c r="AK53" s="421">
        <f t="shared" si="26"/>
        <v>0</v>
      </c>
      <c r="AL53" s="472">
        <v>0</v>
      </c>
      <c r="AM53" s="422">
        <f t="shared" si="45"/>
        <v>0</v>
      </c>
      <c r="AN53" s="423">
        <f t="shared" si="28"/>
        <v>0</v>
      </c>
      <c r="AO53" s="421">
        <f t="shared" si="29"/>
        <v>0</v>
      </c>
      <c r="AP53" s="472">
        <v>0</v>
      </c>
      <c r="AQ53" s="472">
        <v>0</v>
      </c>
      <c r="AR53" s="472">
        <v>0</v>
      </c>
      <c r="AS53" s="475">
        <v>0</v>
      </c>
      <c r="AT53" s="475">
        <v>0</v>
      </c>
      <c r="AU53" s="475">
        <v>0</v>
      </c>
      <c r="AV53" s="454">
        <f t="shared" si="30"/>
        <v>0</v>
      </c>
      <c r="AW53" s="421">
        <f t="shared" si="31"/>
        <v>0</v>
      </c>
      <c r="AX53" s="455">
        <f t="shared" si="47"/>
        <v>1</v>
      </c>
      <c r="AY53" s="424">
        <f t="shared" si="32"/>
        <v>0</v>
      </c>
      <c r="AZ53" s="424">
        <f t="shared" si="33"/>
        <v>0</v>
      </c>
      <c r="BA53" s="424">
        <f t="shared" si="34"/>
        <v>0</v>
      </c>
      <c r="BB53" s="424">
        <f t="shared" si="35"/>
        <v>0</v>
      </c>
      <c r="BC53" s="424">
        <f t="shared" si="36"/>
        <v>0</v>
      </c>
      <c r="BD53" s="424">
        <f t="shared" si="37"/>
        <v>0</v>
      </c>
      <c r="BE53" s="452">
        <f t="shared" si="38"/>
        <v>0</v>
      </c>
      <c r="BF53" s="448">
        <f t="shared" si="39"/>
        <v>0</v>
      </c>
      <c r="BG53" s="456">
        <f t="shared" si="40"/>
        <v>0</v>
      </c>
      <c r="BH53" s="457">
        <f t="shared" si="4"/>
        <v>0</v>
      </c>
      <c r="BI53" s="407" t="s">
        <v>1490</v>
      </c>
      <c r="BM53" s="429">
        <f>IF(BR53&gt;BR52,BM52,IF(BM52&lt;MiscData!$F$1,EOMONTH(BM52,1),EOMONTH(BM52,-11)))</f>
        <v>42063</v>
      </c>
      <c r="BN53" s="416" t="str">
        <f t="shared" si="5"/>
        <v>20140101KUCME112</v>
      </c>
      <c r="BO53" s="427" t="str">
        <f t="shared" si="6"/>
        <v>20140101GS</v>
      </c>
      <c r="BP53" s="407">
        <f>IF(BM53&lt;=MiscData!$B$23,MiscData!$C$23,IF(BM53&lt;=MiscData!$B$24,MiscData!$C$24,MiscData!$C$25))</f>
        <v>20140101</v>
      </c>
      <c r="BQ53" s="407" t="str">
        <f>VLOOKUP(BR53,MiscData!$V$4:$W$42,2,FALSE)</f>
        <v>KUCME112</v>
      </c>
      <c r="BR53" s="407">
        <f>IF(BR52=MiscData!$V$42,1,BR52+1)</f>
        <v>11</v>
      </c>
      <c r="BS53" s="407" t="str">
        <f>VLOOKUP(BQ53,MiscData!$W$4:$Y$42,3,FALSE)</f>
        <v>GS</v>
      </c>
    </row>
    <row r="54" spans="1:71" hidden="1">
      <c r="A54" s="416">
        <f t="shared" si="43"/>
        <v>48</v>
      </c>
      <c r="B54" s="416" t="str">
        <f t="shared" si="0"/>
        <v>Feb 2015</v>
      </c>
      <c r="C54" s="416" t="s">
        <v>18</v>
      </c>
      <c r="D54" s="417" t="str">
        <f t="shared" si="1"/>
        <v>GS3</v>
      </c>
      <c r="E54" s="417" t="str">
        <f t="shared" si="2"/>
        <v>KUCME113</v>
      </c>
      <c r="F54" s="418">
        <f t="shared" si="8"/>
        <v>18548</v>
      </c>
      <c r="G54" s="467">
        <v>0</v>
      </c>
      <c r="H54" s="418">
        <v>0</v>
      </c>
      <c r="I54" s="418">
        <v>0</v>
      </c>
      <c r="J54" s="418">
        <v>0</v>
      </c>
      <c r="K54" s="418">
        <f t="shared" si="9"/>
        <v>100614272</v>
      </c>
      <c r="L54" s="481">
        <v>0</v>
      </c>
      <c r="M54" s="443">
        <f t="shared" si="10"/>
        <v>394581.82</v>
      </c>
      <c r="N54" s="443">
        <f t="shared" si="11"/>
        <v>0</v>
      </c>
      <c r="O54" s="443">
        <f t="shared" si="12"/>
        <v>0</v>
      </c>
      <c r="P54" s="443">
        <f t="shared" si="13"/>
        <v>0</v>
      </c>
      <c r="Q54" s="443">
        <f t="shared" si="14"/>
        <v>0</v>
      </c>
      <c r="R54" s="443">
        <f t="shared" si="15"/>
        <v>0</v>
      </c>
      <c r="S54" s="484">
        <v>0</v>
      </c>
      <c r="T54" s="484">
        <v>0</v>
      </c>
      <c r="U54" s="484">
        <v>0</v>
      </c>
      <c r="V54" s="490">
        <v>0</v>
      </c>
      <c r="W54" s="490">
        <v>0</v>
      </c>
      <c r="X54" s="490">
        <v>0</v>
      </c>
      <c r="Y54" s="419">
        <f t="shared" si="16"/>
        <v>35</v>
      </c>
      <c r="Z54" s="420">
        <f t="shared" si="17"/>
        <v>9.2249999999999999E-2</v>
      </c>
      <c r="AA54" s="420">
        <v>0</v>
      </c>
      <c r="AB54" s="420">
        <v>0</v>
      </c>
      <c r="AC54" s="420">
        <f t="shared" si="18"/>
        <v>2.8920000000000001E-2</v>
      </c>
      <c r="AD54" s="419">
        <f t="shared" si="19"/>
        <v>0</v>
      </c>
      <c r="AE54" s="419">
        <f t="shared" si="20"/>
        <v>0</v>
      </c>
      <c r="AF54" s="419">
        <f t="shared" si="21"/>
        <v>0</v>
      </c>
      <c r="AG54" s="454">
        <f t="shared" si="22"/>
        <v>649180</v>
      </c>
      <c r="AH54" s="454">
        <f t="shared" si="44"/>
        <v>9281666.5899999999</v>
      </c>
      <c r="AI54" s="421">
        <f t="shared" si="24"/>
        <v>0</v>
      </c>
      <c r="AJ54" s="421">
        <f t="shared" si="25"/>
        <v>0</v>
      </c>
      <c r="AK54" s="421">
        <f t="shared" si="26"/>
        <v>0</v>
      </c>
      <c r="AL54" s="472">
        <v>0</v>
      </c>
      <c r="AM54" s="422">
        <f t="shared" si="45"/>
        <v>0</v>
      </c>
      <c r="AN54" s="423">
        <f t="shared" si="28"/>
        <v>0</v>
      </c>
      <c r="AO54" s="421">
        <f t="shared" si="29"/>
        <v>0</v>
      </c>
      <c r="AP54" s="472">
        <v>0</v>
      </c>
      <c r="AQ54" s="472">
        <v>0</v>
      </c>
      <c r="AR54" s="472">
        <v>0</v>
      </c>
      <c r="AS54" s="475">
        <v>0</v>
      </c>
      <c r="AT54" s="475">
        <v>0</v>
      </c>
      <c r="AU54" s="475">
        <v>0</v>
      </c>
      <c r="AV54" s="454">
        <f t="shared" si="30"/>
        <v>9930846.5899999999</v>
      </c>
      <c r="AW54" s="421">
        <f t="shared" si="31"/>
        <v>9930851</v>
      </c>
      <c r="AX54" s="455">
        <f t="shared" si="47"/>
        <v>1.0000004440709018</v>
      </c>
      <c r="AY54" s="424">
        <f t="shared" si="32"/>
        <v>187037</v>
      </c>
      <c r="AZ54" s="424">
        <f t="shared" si="33"/>
        <v>114598</v>
      </c>
      <c r="BA54" s="424">
        <f t="shared" si="34"/>
        <v>360568</v>
      </c>
      <c r="BB54" s="424">
        <f t="shared" si="35"/>
        <v>0</v>
      </c>
      <c r="BC54" s="424">
        <f t="shared" si="36"/>
        <v>0</v>
      </c>
      <c r="BD54" s="424">
        <f t="shared" si="37"/>
        <v>10593054</v>
      </c>
      <c r="BE54" s="452">
        <f t="shared" si="38"/>
        <v>10593049.59</v>
      </c>
      <c r="BF54" s="448">
        <f t="shared" si="39"/>
        <v>4.4100000001490116</v>
      </c>
      <c r="BG54" s="456">
        <f t="shared" si="40"/>
        <v>2909764.75</v>
      </c>
      <c r="BH54" s="457">
        <f t="shared" si="4"/>
        <v>6371901.8399999999</v>
      </c>
      <c r="BI54" s="407" t="s">
        <v>1490</v>
      </c>
      <c r="BM54" s="429">
        <f>IF(BR54&gt;BR53,BM53,IF(BM53&lt;MiscData!$F$1,EOMONTH(BM53,1),EOMONTH(BM53,-11)))</f>
        <v>42063</v>
      </c>
      <c r="BN54" s="416" t="str">
        <f t="shared" si="5"/>
        <v>20140101KUCME113</v>
      </c>
      <c r="BO54" s="427" t="str">
        <f t="shared" si="6"/>
        <v>20140101GS3</v>
      </c>
      <c r="BP54" s="407">
        <f>IF(BM54&lt;=MiscData!$B$23,MiscData!$C$23,IF(BM54&lt;=MiscData!$B$24,MiscData!$C$24,MiscData!$C$25))</f>
        <v>20140101</v>
      </c>
      <c r="BQ54" s="407" t="str">
        <f>VLOOKUP(BR54,MiscData!$V$4:$W$42,2,FALSE)</f>
        <v>KUCME113</v>
      </c>
      <c r="BR54" s="407">
        <f>IF(BR53=MiscData!$V$42,1,BR53+1)</f>
        <v>12</v>
      </c>
      <c r="BS54" s="407" t="str">
        <f>VLOOKUP(BQ54,MiscData!$W$4:$Y$42,3,FALSE)</f>
        <v>GS3</v>
      </c>
    </row>
    <row r="55" spans="1:71" hidden="1">
      <c r="A55" s="416">
        <f t="shared" si="43"/>
        <v>49</v>
      </c>
      <c r="B55" s="416" t="str">
        <f t="shared" si="0"/>
        <v>Feb 2015</v>
      </c>
      <c r="C55" s="416" t="s">
        <v>219</v>
      </c>
      <c r="D55" s="417" t="str">
        <f t="shared" si="1"/>
        <v>AES</v>
      </c>
      <c r="E55" s="417" t="str">
        <f t="shared" si="2"/>
        <v>KUCME220</v>
      </c>
      <c r="F55" s="418">
        <f t="shared" si="8"/>
        <v>371</v>
      </c>
      <c r="G55" s="467">
        <v>0</v>
      </c>
      <c r="H55" s="418">
        <v>0</v>
      </c>
      <c r="I55" s="418">
        <v>0</v>
      </c>
      <c r="J55" s="418">
        <v>0</v>
      </c>
      <c r="K55" s="418">
        <f t="shared" si="9"/>
        <v>753729</v>
      </c>
      <c r="L55" s="459">
        <v>0</v>
      </c>
      <c r="M55" s="443">
        <f t="shared" si="10"/>
        <v>0</v>
      </c>
      <c r="N55" s="443">
        <f t="shared" si="11"/>
        <v>0</v>
      </c>
      <c r="O55" s="443">
        <f t="shared" si="12"/>
        <v>0</v>
      </c>
      <c r="P55" s="443">
        <f t="shared" si="13"/>
        <v>0</v>
      </c>
      <c r="Q55" s="443">
        <f t="shared" si="14"/>
        <v>0</v>
      </c>
      <c r="R55" s="443">
        <f t="shared" si="15"/>
        <v>0</v>
      </c>
      <c r="S55" s="484">
        <v>0</v>
      </c>
      <c r="T55" s="484">
        <v>0</v>
      </c>
      <c r="U55" s="484">
        <v>0</v>
      </c>
      <c r="V55" s="490">
        <v>0</v>
      </c>
      <c r="W55" s="490">
        <v>0</v>
      </c>
      <c r="X55" s="490">
        <v>0</v>
      </c>
      <c r="Y55" s="419">
        <f t="shared" si="16"/>
        <v>20</v>
      </c>
      <c r="Z55" s="420">
        <f t="shared" si="17"/>
        <v>7.4399999999999994E-2</v>
      </c>
      <c r="AA55" s="420">
        <v>0</v>
      </c>
      <c r="AB55" s="420">
        <v>0</v>
      </c>
      <c r="AC55" s="420">
        <f t="shared" si="18"/>
        <v>2.8920000000000001E-2</v>
      </c>
      <c r="AD55" s="419">
        <f t="shared" si="19"/>
        <v>0</v>
      </c>
      <c r="AE55" s="419">
        <f t="shared" si="20"/>
        <v>0</v>
      </c>
      <c r="AF55" s="419">
        <f t="shared" si="21"/>
        <v>0</v>
      </c>
      <c r="AG55" s="454">
        <f t="shared" si="22"/>
        <v>7420</v>
      </c>
      <c r="AH55" s="454">
        <f t="shared" si="44"/>
        <v>56077.440000000002</v>
      </c>
      <c r="AI55" s="421">
        <f t="shared" si="24"/>
        <v>0</v>
      </c>
      <c r="AJ55" s="421">
        <f t="shared" si="25"/>
        <v>0</v>
      </c>
      <c r="AK55" s="421">
        <f t="shared" si="26"/>
        <v>0</v>
      </c>
      <c r="AL55" s="472">
        <v>0</v>
      </c>
      <c r="AM55" s="422">
        <f t="shared" si="45"/>
        <v>0</v>
      </c>
      <c r="AN55" s="423">
        <f t="shared" si="28"/>
        <v>0</v>
      </c>
      <c r="AO55" s="421">
        <f t="shared" si="29"/>
        <v>0</v>
      </c>
      <c r="AP55" s="472">
        <v>0</v>
      </c>
      <c r="AQ55" s="472">
        <v>0</v>
      </c>
      <c r="AR55" s="472">
        <v>0</v>
      </c>
      <c r="AS55" s="475">
        <v>0</v>
      </c>
      <c r="AT55" s="475">
        <v>0</v>
      </c>
      <c r="AU55" s="475">
        <v>0</v>
      </c>
      <c r="AV55" s="454">
        <f t="shared" si="30"/>
        <v>63497.440000000002</v>
      </c>
      <c r="AW55" s="421">
        <f t="shared" si="31"/>
        <v>63498</v>
      </c>
      <c r="AX55" s="455">
        <f t="shared" si="47"/>
        <v>1.0000088192531855</v>
      </c>
      <c r="AY55" s="424">
        <f t="shared" si="32"/>
        <v>1401</v>
      </c>
      <c r="AZ55" s="424">
        <f t="shared" si="33"/>
        <v>858</v>
      </c>
      <c r="BA55" s="424">
        <f t="shared" si="34"/>
        <v>2701</v>
      </c>
      <c r="BB55" s="424">
        <f t="shared" si="35"/>
        <v>0</v>
      </c>
      <c r="BC55" s="424">
        <f t="shared" si="36"/>
        <v>0</v>
      </c>
      <c r="BD55" s="424">
        <f t="shared" si="37"/>
        <v>68458</v>
      </c>
      <c r="BE55" s="452">
        <f t="shared" si="38"/>
        <v>68457.440000000002</v>
      </c>
      <c r="BF55" s="448">
        <f t="shared" si="39"/>
        <v>0.55999999999767169</v>
      </c>
      <c r="BG55" s="456">
        <f t="shared" si="40"/>
        <v>21797.84</v>
      </c>
      <c r="BH55" s="457">
        <f t="shared" si="4"/>
        <v>34279.600000000006</v>
      </c>
      <c r="BI55" s="407" t="s">
        <v>1490</v>
      </c>
      <c r="BM55" s="429">
        <f>IF(BR55&gt;BR54,BM54,IF(BM54&lt;MiscData!$F$1,EOMONTH(BM54,1),EOMONTH(BM54,-11)))</f>
        <v>42063</v>
      </c>
      <c r="BN55" s="416" t="str">
        <f t="shared" si="5"/>
        <v>20140101KUCME220</v>
      </c>
      <c r="BO55" s="427" t="str">
        <f t="shared" si="6"/>
        <v>20140101AES</v>
      </c>
      <c r="BP55" s="407">
        <f>IF(BM55&lt;=MiscData!$B$23,MiscData!$C$23,IF(BM55&lt;=MiscData!$B$24,MiscData!$C$24,MiscData!$C$25))</f>
        <v>20140101</v>
      </c>
      <c r="BQ55" s="407" t="str">
        <f>VLOOKUP(BR55,MiscData!$V$4:$W$42,2,FALSE)</f>
        <v>KUCME220</v>
      </c>
      <c r="BR55" s="407">
        <f>IF(BR54=MiscData!$V$42,1,BR54+1)</f>
        <v>13</v>
      </c>
      <c r="BS55" s="407" t="str">
        <f>VLOOKUP(BQ55,MiscData!$W$4:$Y$42,3,FALSE)</f>
        <v>AES</v>
      </c>
    </row>
    <row r="56" spans="1:71" hidden="1">
      <c r="A56" s="416">
        <f t="shared" si="43"/>
        <v>50</v>
      </c>
      <c r="B56" s="416" t="str">
        <f t="shared" si="0"/>
        <v>Feb 2015</v>
      </c>
      <c r="C56" s="416" t="s">
        <v>219</v>
      </c>
      <c r="D56" s="417" t="str">
        <f t="shared" si="1"/>
        <v>AES</v>
      </c>
      <c r="E56" s="417" t="str">
        <f t="shared" si="2"/>
        <v>KUCME221</v>
      </c>
      <c r="F56" s="418">
        <f t="shared" si="8"/>
        <v>0</v>
      </c>
      <c r="G56" s="467">
        <v>0</v>
      </c>
      <c r="H56" s="418">
        <v>0</v>
      </c>
      <c r="I56" s="418">
        <v>0</v>
      </c>
      <c r="J56" s="418">
        <v>0</v>
      </c>
      <c r="K56" s="418">
        <f t="shared" si="9"/>
        <v>0</v>
      </c>
      <c r="L56" s="459">
        <v>0</v>
      </c>
      <c r="M56" s="443">
        <f t="shared" si="10"/>
        <v>0</v>
      </c>
      <c r="N56" s="443">
        <f t="shared" si="11"/>
        <v>0</v>
      </c>
      <c r="O56" s="443">
        <f t="shared" si="12"/>
        <v>0</v>
      </c>
      <c r="P56" s="443">
        <f t="shared" si="13"/>
        <v>0</v>
      </c>
      <c r="Q56" s="443">
        <f t="shared" si="14"/>
        <v>0</v>
      </c>
      <c r="R56" s="443">
        <f t="shared" si="15"/>
        <v>0</v>
      </c>
      <c r="S56" s="484">
        <v>0</v>
      </c>
      <c r="T56" s="484">
        <v>0</v>
      </c>
      <c r="U56" s="484">
        <v>0</v>
      </c>
      <c r="V56" s="490">
        <v>0</v>
      </c>
      <c r="W56" s="490">
        <v>0</v>
      </c>
      <c r="X56" s="490">
        <v>0</v>
      </c>
      <c r="Y56" s="419">
        <f t="shared" si="16"/>
        <v>20</v>
      </c>
      <c r="Z56" s="420">
        <f t="shared" si="17"/>
        <v>7.4399999999999994E-2</v>
      </c>
      <c r="AA56" s="420">
        <v>0</v>
      </c>
      <c r="AB56" s="420">
        <v>0</v>
      </c>
      <c r="AC56" s="420">
        <f t="shared" si="18"/>
        <v>2.8920000000000001E-2</v>
      </c>
      <c r="AD56" s="419">
        <f t="shared" si="19"/>
        <v>0</v>
      </c>
      <c r="AE56" s="419">
        <f t="shared" si="20"/>
        <v>0</v>
      </c>
      <c r="AF56" s="419">
        <f t="shared" si="21"/>
        <v>0</v>
      </c>
      <c r="AG56" s="454">
        <f t="shared" si="22"/>
        <v>0</v>
      </c>
      <c r="AH56" s="454">
        <f t="shared" si="44"/>
        <v>0</v>
      </c>
      <c r="AI56" s="421">
        <f t="shared" si="24"/>
        <v>0</v>
      </c>
      <c r="AJ56" s="421">
        <f t="shared" si="25"/>
        <v>0</v>
      </c>
      <c r="AK56" s="421">
        <f t="shared" si="26"/>
        <v>0</v>
      </c>
      <c r="AL56" s="472">
        <v>0</v>
      </c>
      <c r="AM56" s="422">
        <f t="shared" si="45"/>
        <v>0</v>
      </c>
      <c r="AN56" s="423">
        <f t="shared" si="28"/>
        <v>0</v>
      </c>
      <c r="AO56" s="421">
        <f t="shared" si="29"/>
        <v>0</v>
      </c>
      <c r="AP56" s="472">
        <v>0</v>
      </c>
      <c r="AQ56" s="472">
        <v>0</v>
      </c>
      <c r="AR56" s="472">
        <v>0</v>
      </c>
      <c r="AS56" s="475">
        <v>0</v>
      </c>
      <c r="AT56" s="475">
        <v>0</v>
      </c>
      <c r="AU56" s="475">
        <v>0</v>
      </c>
      <c r="AV56" s="454">
        <f t="shared" si="30"/>
        <v>0</v>
      </c>
      <c r="AW56" s="421">
        <f t="shared" si="31"/>
        <v>0</v>
      </c>
      <c r="AX56" s="455">
        <f t="shared" si="47"/>
        <v>1</v>
      </c>
      <c r="AY56" s="424">
        <f t="shared" si="32"/>
        <v>0</v>
      </c>
      <c r="AZ56" s="424">
        <f t="shared" si="33"/>
        <v>0</v>
      </c>
      <c r="BA56" s="424">
        <f t="shared" si="34"/>
        <v>0</v>
      </c>
      <c r="BB56" s="424">
        <f t="shared" si="35"/>
        <v>0</v>
      </c>
      <c r="BC56" s="424">
        <f t="shared" si="36"/>
        <v>0</v>
      </c>
      <c r="BD56" s="424">
        <f t="shared" si="37"/>
        <v>0</v>
      </c>
      <c r="BE56" s="452">
        <f t="shared" si="38"/>
        <v>0</v>
      </c>
      <c r="BF56" s="448">
        <f t="shared" si="39"/>
        <v>0</v>
      </c>
      <c r="BG56" s="456">
        <f t="shared" si="40"/>
        <v>0</v>
      </c>
      <c r="BH56" s="457">
        <f t="shared" si="4"/>
        <v>0</v>
      </c>
      <c r="BI56" s="407" t="s">
        <v>1490</v>
      </c>
      <c r="BM56" s="429">
        <f>IF(BR56&gt;BR55,BM55,IF(BM55&lt;MiscData!$F$1,EOMONTH(BM55,1),EOMONTH(BM55,-11)))</f>
        <v>42063</v>
      </c>
      <c r="BN56" s="416" t="str">
        <f t="shared" si="5"/>
        <v>20140101KUCME221</v>
      </c>
      <c r="BO56" s="427" t="str">
        <f t="shared" si="6"/>
        <v>20140101AES</v>
      </c>
      <c r="BP56" s="407">
        <f>IF(BM56&lt;=MiscData!$B$23,MiscData!$C$23,IF(BM56&lt;=MiscData!$B$24,MiscData!$C$24,MiscData!$C$25))</f>
        <v>20140101</v>
      </c>
      <c r="BQ56" s="407" t="str">
        <f>VLOOKUP(BR56,MiscData!$V$4:$W$42,2,FALSE)</f>
        <v>KUCME221</v>
      </c>
      <c r="BR56" s="407">
        <f>IF(BR55=MiscData!$V$42,1,BR55+1)</f>
        <v>14</v>
      </c>
      <c r="BS56" s="407" t="str">
        <f>VLOOKUP(BQ56,MiscData!$W$4:$Y$42,3,FALSE)</f>
        <v>AES</v>
      </c>
    </row>
    <row r="57" spans="1:71" hidden="1">
      <c r="A57" s="416">
        <f t="shared" si="43"/>
        <v>51</v>
      </c>
      <c r="B57" s="416" t="str">
        <f t="shared" si="0"/>
        <v>Feb 2015</v>
      </c>
      <c r="C57" s="837" t="s">
        <v>228</v>
      </c>
      <c r="D57" s="417" t="str">
        <f t="shared" si="1"/>
        <v>AES3</v>
      </c>
      <c r="E57" s="417" t="str">
        <f t="shared" si="2"/>
        <v>KUCME223</v>
      </c>
      <c r="F57" s="418">
        <f t="shared" si="8"/>
        <v>0</v>
      </c>
      <c r="G57" s="467">
        <v>0</v>
      </c>
      <c r="H57" s="418">
        <v>0</v>
      </c>
      <c r="I57" s="418">
        <v>0</v>
      </c>
      <c r="J57" s="418">
        <v>0</v>
      </c>
      <c r="K57" s="418">
        <f t="shared" si="9"/>
        <v>0</v>
      </c>
      <c r="L57" s="459">
        <v>0</v>
      </c>
      <c r="M57" s="443">
        <f t="shared" si="10"/>
        <v>0</v>
      </c>
      <c r="N57" s="443">
        <f t="shared" si="11"/>
        <v>0</v>
      </c>
      <c r="O57" s="443">
        <f t="shared" si="12"/>
        <v>0</v>
      </c>
      <c r="P57" s="443">
        <f t="shared" si="13"/>
        <v>0</v>
      </c>
      <c r="Q57" s="443">
        <f t="shared" si="14"/>
        <v>0</v>
      </c>
      <c r="R57" s="443">
        <f t="shared" si="15"/>
        <v>0</v>
      </c>
      <c r="S57" s="484">
        <v>0</v>
      </c>
      <c r="T57" s="484">
        <v>0</v>
      </c>
      <c r="U57" s="484">
        <v>0</v>
      </c>
      <c r="V57" s="490">
        <v>0</v>
      </c>
      <c r="W57" s="490">
        <v>0</v>
      </c>
      <c r="X57" s="490">
        <v>0</v>
      </c>
      <c r="Y57" s="419">
        <f t="shared" si="16"/>
        <v>35</v>
      </c>
      <c r="Z57" s="420">
        <f t="shared" si="17"/>
        <v>7.4399999999999994E-2</v>
      </c>
      <c r="AA57" s="420">
        <v>0</v>
      </c>
      <c r="AB57" s="420">
        <v>0</v>
      </c>
      <c r="AC57" s="420">
        <f t="shared" si="18"/>
        <v>2.8920000000000001E-2</v>
      </c>
      <c r="AD57" s="419">
        <f t="shared" si="19"/>
        <v>0</v>
      </c>
      <c r="AE57" s="419">
        <f t="shared" si="20"/>
        <v>0</v>
      </c>
      <c r="AF57" s="419">
        <f t="shared" si="21"/>
        <v>0</v>
      </c>
      <c r="AG57" s="454">
        <f t="shared" si="22"/>
        <v>0</v>
      </c>
      <c r="AH57" s="454">
        <f t="shared" si="44"/>
        <v>0</v>
      </c>
      <c r="AI57" s="421">
        <f t="shared" si="24"/>
        <v>0</v>
      </c>
      <c r="AJ57" s="421">
        <f t="shared" si="25"/>
        <v>0</v>
      </c>
      <c r="AK57" s="421">
        <f t="shared" si="26"/>
        <v>0</v>
      </c>
      <c r="AL57" s="472">
        <v>0</v>
      </c>
      <c r="AM57" s="422">
        <f t="shared" si="45"/>
        <v>0</v>
      </c>
      <c r="AN57" s="423">
        <f t="shared" si="28"/>
        <v>0</v>
      </c>
      <c r="AO57" s="421">
        <f t="shared" si="29"/>
        <v>0</v>
      </c>
      <c r="AP57" s="472">
        <v>0</v>
      </c>
      <c r="AQ57" s="472">
        <v>0</v>
      </c>
      <c r="AR57" s="472">
        <v>0</v>
      </c>
      <c r="AS57" s="475">
        <v>0</v>
      </c>
      <c r="AT57" s="475">
        <v>0</v>
      </c>
      <c r="AU57" s="475">
        <v>0</v>
      </c>
      <c r="AV57" s="454">
        <f t="shared" si="30"/>
        <v>0</v>
      </c>
      <c r="AW57" s="421">
        <f t="shared" si="31"/>
        <v>0</v>
      </c>
      <c r="AX57" s="455">
        <f t="shared" si="47"/>
        <v>1</v>
      </c>
      <c r="AY57" s="424">
        <f t="shared" si="32"/>
        <v>0</v>
      </c>
      <c r="AZ57" s="424">
        <f t="shared" si="33"/>
        <v>0</v>
      </c>
      <c r="BA57" s="424">
        <f t="shared" si="34"/>
        <v>0</v>
      </c>
      <c r="BB57" s="424">
        <f t="shared" si="35"/>
        <v>0</v>
      </c>
      <c r="BC57" s="424">
        <f t="shared" si="36"/>
        <v>0</v>
      </c>
      <c r="BD57" s="424">
        <f t="shared" si="37"/>
        <v>0</v>
      </c>
      <c r="BE57" s="452">
        <f t="shared" si="38"/>
        <v>0</v>
      </c>
      <c r="BF57" s="448">
        <f t="shared" si="39"/>
        <v>0</v>
      </c>
      <c r="BG57" s="456">
        <f t="shared" si="40"/>
        <v>0</v>
      </c>
      <c r="BH57" s="457">
        <f t="shared" si="4"/>
        <v>0</v>
      </c>
      <c r="BI57" s="407" t="s">
        <v>1490</v>
      </c>
      <c r="BM57" s="429">
        <f>IF(BR57&gt;BR56,BM56,IF(BM56&lt;MiscData!$F$1,EOMONTH(BM56,1),EOMONTH(BM56,-11)))</f>
        <v>42063</v>
      </c>
      <c r="BN57" s="416" t="str">
        <f t="shared" si="5"/>
        <v>20140101KUCME223</v>
      </c>
      <c r="BO57" s="427" t="str">
        <f t="shared" si="6"/>
        <v>20140101AES3</v>
      </c>
      <c r="BP57" s="407">
        <f>IF(BM57&lt;=MiscData!$B$23,MiscData!$C$23,IF(BM57&lt;=MiscData!$B$24,MiscData!$C$24,MiscData!$C$25))</f>
        <v>20140101</v>
      </c>
      <c r="BQ57" s="407" t="str">
        <f>VLOOKUP(BR57,MiscData!$V$4:$W$42,2,FALSE)</f>
        <v>KUCME223</v>
      </c>
      <c r="BR57" s="407">
        <f>IF(BR56=MiscData!$V$42,1,BR56+1)</f>
        <v>15</v>
      </c>
      <c r="BS57" s="407" t="str">
        <f>VLOOKUP(BQ57,MiscData!$W$4:$Y$42,3,FALSE)</f>
        <v>AES3</v>
      </c>
    </row>
    <row r="58" spans="1:71" hidden="1">
      <c r="A58" s="416">
        <f t="shared" si="43"/>
        <v>52</v>
      </c>
      <c r="B58" s="416" t="str">
        <f t="shared" si="0"/>
        <v>Feb 2015</v>
      </c>
      <c r="C58" s="837" t="s">
        <v>228</v>
      </c>
      <c r="D58" s="417" t="str">
        <f t="shared" si="1"/>
        <v>AES3</v>
      </c>
      <c r="E58" s="417" t="str">
        <f t="shared" si="2"/>
        <v>KUCME224</v>
      </c>
      <c r="F58" s="418">
        <f t="shared" si="8"/>
        <v>258</v>
      </c>
      <c r="G58" s="467">
        <v>0</v>
      </c>
      <c r="H58" s="418">
        <v>0</v>
      </c>
      <c r="I58" s="418">
        <v>0</v>
      </c>
      <c r="J58" s="418">
        <v>0</v>
      </c>
      <c r="K58" s="418">
        <f t="shared" si="9"/>
        <v>13970009</v>
      </c>
      <c r="L58" s="459">
        <v>0</v>
      </c>
      <c r="M58" s="443">
        <f t="shared" si="10"/>
        <v>54944.83</v>
      </c>
      <c r="N58" s="443">
        <f t="shared" si="11"/>
        <v>0</v>
      </c>
      <c r="O58" s="443">
        <f t="shared" si="12"/>
        <v>0</v>
      </c>
      <c r="P58" s="443">
        <f t="shared" si="13"/>
        <v>0</v>
      </c>
      <c r="Q58" s="443">
        <f t="shared" si="14"/>
        <v>0</v>
      </c>
      <c r="R58" s="443">
        <f t="shared" si="15"/>
        <v>0</v>
      </c>
      <c r="S58" s="484">
        <v>0</v>
      </c>
      <c r="T58" s="484">
        <v>0</v>
      </c>
      <c r="U58" s="484">
        <v>0</v>
      </c>
      <c r="V58" s="490">
        <v>0</v>
      </c>
      <c r="W58" s="490">
        <v>0</v>
      </c>
      <c r="X58" s="490">
        <v>0</v>
      </c>
      <c r="Y58" s="419">
        <f t="shared" si="16"/>
        <v>35</v>
      </c>
      <c r="Z58" s="420">
        <f t="shared" si="17"/>
        <v>7.4399999999999994E-2</v>
      </c>
      <c r="AA58" s="420">
        <v>0</v>
      </c>
      <c r="AB58" s="420">
        <v>0</v>
      </c>
      <c r="AC58" s="420">
        <f t="shared" si="18"/>
        <v>2.8920000000000001E-2</v>
      </c>
      <c r="AD58" s="419">
        <f t="shared" si="19"/>
        <v>0</v>
      </c>
      <c r="AE58" s="419">
        <f t="shared" si="20"/>
        <v>0</v>
      </c>
      <c r="AF58" s="419">
        <f t="shared" si="21"/>
        <v>0</v>
      </c>
      <c r="AG58" s="454">
        <f t="shared" si="22"/>
        <v>9030</v>
      </c>
      <c r="AH58" s="454">
        <f t="shared" si="44"/>
        <v>1039368.67</v>
      </c>
      <c r="AI58" s="421">
        <f t="shared" si="24"/>
        <v>0</v>
      </c>
      <c r="AJ58" s="421">
        <f t="shared" si="25"/>
        <v>0</v>
      </c>
      <c r="AK58" s="421">
        <f t="shared" si="26"/>
        <v>0</v>
      </c>
      <c r="AL58" s="472">
        <v>0</v>
      </c>
      <c r="AM58" s="422">
        <f t="shared" si="45"/>
        <v>0</v>
      </c>
      <c r="AN58" s="423">
        <f t="shared" si="28"/>
        <v>0</v>
      </c>
      <c r="AO58" s="421">
        <f t="shared" si="29"/>
        <v>0</v>
      </c>
      <c r="AP58" s="472">
        <v>0</v>
      </c>
      <c r="AQ58" s="472">
        <v>0</v>
      </c>
      <c r="AR58" s="472">
        <v>0</v>
      </c>
      <c r="AS58" s="475">
        <v>0</v>
      </c>
      <c r="AT58" s="475">
        <v>0</v>
      </c>
      <c r="AU58" s="475">
        <v>0</v>
      </c>
      <c r="AV58" s="454">
        <f t="shared" si="30"/>
        <v>1048398.67</v>
      </c>
      <c r="AW58" s="421">
        <f t="shared" si="31"/>
        <v>1048398</v>
      </c>
      <c r="AX58" s="455">
        <f t="shared" si="47"/>
        <v>0.99999936093013164</v>
      </c>
      <c r="AY58" s="424">
        <f t="shared" si="32"/>
        <v>25970</v>
      </c>
      <c r="AZ58" s="424">
        <f t="shared" si="33"/>
        <v>15912</v>
      </c>
      <c r="BA58" s="424">
        <f t="shared" si="34"/>
        <v>50064</v>
      </c>
      <c r="BB58" s="424">
        <f t="shared" si="35"/>
        <v>0</v>
      </c>
      <c r="BC58" s="424">
        <f t="shared" si="36"/>
        <v>0</v>
      </c>
      <c r="BD58" s="424">
        <f t="shared" si="37"/>
        <v>1140344</v>
      </c>
      <c r="BE58" s="452">
        <f t="shared" si="38"/>
        <v>1140344.67</v>
      </c>
      <c r="BF58" s="448">
        <f t="shared" si="39"/>
        <v>-0.66999999992549419</v>
      </c>
      <c r="BG58" s="456">
        <f t="shared" si="40"/>
        <v>404012.66</v>
      </c>
      <c r="BH58" s="457">
        <f t="shared" si="4"/>
        <v>635356.01</v>
      </c>
      <c r="BI58" s="407" t="s">
        <v>1490</v>
      </c>
      <c r="BM58" s="429">
        <f>IF(BR58&gt;BR57,BM57,IF(BM57&lt;MiscData!$F$1,EOMONTH(BM57,1),EOMONTH(BM57,-11)))</f>
        <v>42063</v>
      </c>
      <c r="BN58" s="416" t="str">
        <f t="shared" si="5"/>
        <v>20140101KUCME224</v>
      </c>
      <c r="BO58" s="427" t="str">
        <f t="shared" si="6"/>
        <v>20140101AES3</v>
      </c>
      <c r="BP58" s="407">
        <f>IF(BM58&lt;=MiscData!$B$23,MiscData!$C$23,IF(BM58&lt;=MiscData!$B$24,MiscData!$C$24,MiscData!$C$25))</f>
        <v>20140101</v>
      </c>
      <c r="BQ58" s="407" t="str">
        <f>VLOOKUP(BR58,MiscData!$V$4:$W$42,2,FALSE)</f>
        <v>KUCME224</v>
      </c>
      <c r="BR58" s="407">
        <f>IF(BR57=MiscData!$V$42,1,BR57+1)</f>
        <v>16</v>
      </c>
      <c r="BS58" s="407" t="str">
        <f>VLOOKUP(BQ58,MiscData!$W$4:$Y$42,3,FALSE)</f>
        <v>AES3</v>
      </c>
    </row>
    <row r="59" spans="1:71" hidden="1">
      <c r="A59" s="416">
        <f t="shared" si="43"/>
        <v>53</v>
      </c>
      <c r="B59" s="416" t="str">
        <f t="shared" si="0"/>
        <v>Feb 2015</v>
      </c>
      <c r="C59" s="837" t="s">
        <v>228</v>
      </c>
      <c r="D59" s="417" t="str">
        <f t="shared" si="1"/>
        <v>AES3</v>
      </c>
      <c r="E59" s="417" t="str">
        <f t="shared" si="2"/>
        <v>KUCME225</v>
      </c>
      <c r="F59" s="418">
        <f t="shared" si="8"/>
        <v>0</v>
      </c>
      <c r="G59" s="467">
        <v>0</v>
      </c>
      <c r="H59" s="418">
        <v>0</v>
      </c>
      <c r="I59" s="418">
        <v>0</v>
      </c>
      <c r="J59" s="418">
        <v>0</v>
      </c>
      <c r="K59" s="418">
        <f t="shared" si="9"/>
        <v>0</v>
      </c>
      <c r="L59" s="459">
        <v>0</v>
      </c>
      <c r="M59" s="443">
        <f t="shared" si="10"/>
        <v>0</v>
      </c>
      <c r="N59" s="443">
        <f t="shared" si="11"/>
        <v>0</v>
      </c>
      <c r="O59" s="443">
        <f t="shared" si="12"/>
        <v>0</v>
      </c>
      <c r="P59" s="443">
        <f t="shared" si="13"/>
        <v>0</v>
      </c>
      <c r="Q59" s="443">
        <f t="shared" si="14"/>
        <v>0</v>
      </c>
      <c r="R59" s="443">
        <f t="shared" si="15"/>
        <v>0</v>
      </c>
      <c r="S59" s="484">
        <v>0</v>
      </c>
      <c r="T59" s="484">
        <v>0</v>
      </c>
      <c r="U59" s="484">
        <v>0</v>
      </c>
      <c r="V59" s="490">
        <v>0</v>
      </c>
      <c r="W59" s="490">
        <v>0</v>
      </c>
      <c r="X59" s="490">
        <v>0</v>
      </c>
      <c r="Y59" s="419">
        <f t="shared" si="16"/>
        <v>35</v>
      </c>
      <c r="Z59" s="420">
        <f t="shared" si="17"/>
        <v>7.4399999999999994E-2</v>
      </c>
      <c r="AA59" s="420">
        <v>0</v>
      </c>
      <c r="AB59" s="420">
        <v>0</v>
      </c>
      <c r="AC59" s="420">
        <f t="shared" si="18"/>
        <v>2.8920000000000001E-2</v>
      </c>
      <c r="AD59" s="419">
        <f t="shared" si="19"/>
        <v>0</v>
      </c>
      <c r="AE59" s="419">
        <f t="shared" si="20"/>
        <v>0</v>
      </c>
      <c r="AF59" s="419">
        <f t="shared" si="21"/>
        <v>0</v>
      </c>
      <c r="AG59" s="454">
        <f t="shared" si="22"/>
        <v>0</v>
      </c>
      <c r="AH59" s="454">
        <f t="shared" si="44"/>
        <v>0</v>
      </c>
      <c r="AI59" s="421">
        <f t="shared" si="24"/>
        <v>0</v>
      </c>
      <c r="AJ59" s="421">
        <f t="shared" si="25"/>
        <v>0</v>
      </c>
      <c r="AK59" s="421">
        <f t="shared" si="26"/>
        <v>0</v>
      </c>
      <c r="AL59" s="472">
        <v>0</v>
      </c>
      <c r="AM59" s="422">
        <f t="shared" si="45"/>
        <v>0</v>
      </c>
      <c r="AN59" s="423">
        <f t="shared" si="28"/>
        <v>0</v>
      </c>
      <c r="AO59" s="421">
        <f t="shared" si="29"/>
        <v>0</v>
      </c>
      <c r="AP59" s="472">
        <v>0</v>
      </c>
      <c r="AQ59" s="472">
        <v>0</v>
      </c>
      <c r="AR59" s="472">
        <v>0</v>
      </c>
      <c r="AS59" s="475">
        <v>0</v>
      </c>
      <c r="AT59" s="475">
        <v>0</v>
      </c>
      <c r="AU59" s="475">
        <v>0</v>
      </c>
      <c r="AV59" s="454">
        <f t="shared" si="30"/>
        <v>0</v>
      </c>
      <c r="AW59" s="421">
        <f t="shared" si="31"/>
        <v>0</v>
      </c>
      <c r="AX59" s="455">
        <f t="shared" si="47"/>
        <v>1</v>
      </c>
      <c r="AY59" s="424">
        <f t="shared" si="32"/>
        <v>0</v>
      </c>
      <c r="AZ59" s="424">
        <f t="shared" si="33"/>
        <v>0</v>
      </c>
      <c r="BA59" s="424">
        <f t="shared" si="34"/>
        <v>0</v>
      </c>
      <c r="BB59" s="424">
        <f t="shared" si="35"/>
        <v>0</v>
      </c>
      <c r="BC59" s="424">
        <f t="shared" si="36"/>
        <v>0</v>
      </c>
      <c r="BD59" s="424">
        <f t="shared" si="37"/>
        <v>0</v>
      </c>
      <c r="BE59" s="452">
        <f t="shared" si="38"/>
        <v>0</v>
      </c>
      <c r="BF59" s="448">
        <f t="shared" si="39"/>
        <v>0</v>
      </c>
      <c r="BG59" s="456">
        <f t="shared" si="40"/>
        <v>0</v>
      </c>
      <c r="BH59" s="457">
        <f t="shared" si="4"/>
        <v>0</v>
      </c>
      <c r="BI59" s="407" t="s">
        <v>1490</v>
      </c>
      <c r="BM59" s="429">
        <f>IF(BR59&gt;BR58,BM58,IF(BM58&lt;MiscData!$F$1,EOMONTH(BM58,1),EOMONTH(BM58,-11)))</f>
        <v>42063</v>
      </c>
      <c r="BN59" s="416" t="str">
        <f t="shared" si="5"/>
        <v>20140101KUCME225</v>
      </c>
      <c r="BO59" s="427" t="str">
        <f t="shared" si="6"/>
        <v>20140101AES3</v>
      </c>
      <c r="BP59" s="407">
        <f>IF(BM59&lt;=MiscData!$B$23,MiscData!$C$23,IF(BM59&lt;=MiscData!$B$24,MiscData!$C$24,MiscData!$C$25))</f>
        <v>20140101</v>
      </c>
      <c r="BQ59" s="407" t="str">
        <f>VLOOKUP(BR59,MiscData!$V$4:$W$42,2,FALSE)</f>
        <v>KUCME225</v>
      </c>
      <c r="BR59" s="407">
        <f>IF(BR58=MiscData!$V$42,1,BR58+1)</f>
        <v>17</v>
      </c>
      <c r="BS59" s="407" t="str">
        <f>VLOOKUP(BQ59,MiscData!$W$4:$Y$42,3,FALSE)</f>
        <v>AES3</v>
      </c>
    </row>
    <row r="60" spans="1:71" hidden="1">
      <c r="A60" s="416">
        <f t="shared" si="43"/>
        <v>54</v>
      </c>
      <c r="B60" s="416" t="str">
        <f t="shared" si="0"/>
        <v>Feb 2015</v>
      </c>
      <c r="C60" s="416" t="s">
        <v>219</v>
      </c>
      <c r="D60" s="417" t="str">
        <f t="shared" si="1"/>
        <v>AES</v>
      </c>
      <c r="E60" s="417" t="str">
        <f t="shared" si="2"/>
        <v>KUCME226</v>
      </c>
      <c r="F60" s="418">
        <f t="shared" si="8"/>
        <v>0</v>
      </c>
      <c r="G60" s="467">
        <v>0</v>
      </c>
      <c r="H60" s="418">
        <v>0</v>
      </c>
      <c r="I60" s="418">
        <v>0</v>
      </c>
      <c r="J60" s="418">
        <v>0</v>
      </c>
      <c r="K60" s="418">
        <f t="shared" si="9"/>
        <v>0</v>
      </c>
      <c r="L60" s="459">
        <v>0</v>
      </c>
      <c r="M60" s="443">
        <f t="shared" si="10"/>
        <v>0</v>
      </c>
      <c r="N60" s="443">
        <f t="shared" si="11"/>
        <v>0</v>
      </c>
      <c r="O60" s="443">
        <f t="shared" si="12"/>
        <v>0</v>
      </c>
      <c r="P60" s="443">
        <f t="shared" si="13"/>
        <v>0</v>
      </c>
      <c r="Q60" s="443">
        <f t="shared" si="14"/>
        <v>0</v>
      </c>
      <c r="R60" s="443">
        <f t="shared" si="15"/>
        <v>0</v>
      </c>
      <c r="S60" s="484">
        <v>0</v>
      </c>
      <c r="T60" s="484">
        <v>0</v>
      </c>
      <c r="U60" s="484">
        <v>0</v>
      </c>
      <c r="V60" s="490">
        <v>0</v>
      </c>
      <c r="W60" s="490">
        <v>0</v>
      </c>
      <c r="X60" s="490">
        <v>0</v>
      </c>
      <c r="Y60" s="419">
        <f t="shared" si="16"/>
        <v>20</v>
      </c>
      <c r="Z60" s="420">
        <f t="shared" si="17"/>
        <v>7.4399999999999994E-2</v>
      </c>
      <c r="AA60" s="420">
        <v>0</v>
      </c>
      <c r="AB60" s="420">
        <v>0</v>
      </c>
      <c r="AC60" s="420">
        <f t="shared" si="18"/>
        <v>2.8920000000000001E-2</v>
      </c>
      <c r="AD60" s="419">
        <f t="shared" si="19"/>
        <v>0</v>
      </c>
      <c r="AE60" s="419">
        <f t="shared" si="20"/>
        <v>0</v>
      </c>
      <c r="AF60" s="419">
        <f t="shared" si="21"/>
        <v>0</v>
      </c>
      <c r="AG60" s="454">
        <f t="shared" si="22"/>
        <v>0</v>
      </c>
      <c r="AH60" s="454">
        <f t="shared" si="44"/>
        <v>0</v>
      </c>
      <c r="AI60" s="421">
        <f t="shared" si="24"/>
        <v>0</v>
      </c>
      <c r="AJ60" s="421">
        <f t="shared" si="25"/>
        <v>0</v>
      </c>
      <c r="AK60" s="421">
        <f t="shared" si="26"/>
        <v>0</v>
      </c>
      <c r="AL60" s="472">
        <v>0</v>
      </c>
      <c r="AM60" s="422">
        <f t="shared" si="45"/>
        <v>0</v>
      </c>
      <c r="AN60" s="423">
        <f t="shared" si="28"/>
        <v>0</v>
      </c>
      <c r="AO60" s="421">
        <f t="shared" si="29"/>
        <v>0</v>
      </c>
      <c r="AP60" s="472">
        <v>0</v>
      </c>
      <c r="AQ60" s="472">
        <v>0</v>
      </c>
      <c r="AR60" s="472">
        <v>0</v>
      </c>
      <c r="AS60" s="475">
        <v>0</v>
      </c>
      <c r="AT60" s="475">
        <v>0</v>
      </c>
      <c r="AU60" s="475">
        <v>0</v>
      </c>
      <c r="AV60" s="454">
        <f t="shared" si="30"/>
        <v>0</v>
      </c>
      <c r="AW60" s="421">
        <f t="shared" si="31"/>
        <v>0</v>
      </c>
      <c r="AX60" s="455">
        <f t="shared" si="47"/>
        <v>1</v>
      </c>
      <c r="AY60" s="424">
        <f t="shared" si="32"/>
        <v>0</v>
      </c>
      <c r="AZ60" s="424">
        <f t="shared" si="33"/>
        <v>0</v>
      </c>
      <c r="BA60" s="424">
        <f t="shared" si="34"/>
        <v>0</v>
      </c>
      <c r="BB60" s="424">
        <f t="shared" si="35"/>
        <v>0</v>
      </c>
      <c r="BC60" s="424">
        <f t="shared" si="36"/>
        <v>0</v>
      </c>
      <c r="BD60" s="424">
        <f t="shared" si="37"/>
        <v>0</v>
      </c>
      <c r="BE60" s="452">
        <f t="shared" si="38"/>
        <v>0</v>
      </c>
      <c r="BF60" s="448">
        <f t="shared" si="39"/>
        <v>0</v>
      </c>
      <c r="BG60" s="456">
        <f t="shared" si="40"/>
        <v>0</v>
      </c>
      <c r="BH60" s="457">
        <f t="shared" si="4"/>
        <v>0</v>
      </c>
      <c r="BI60" s="407" t="s">
        <v>1490</v>
      </c>
      <c r="BM60" s="429">
        <f>IF(BR60&gt;BR59,BM59,IF(BM59&lt;MiscData!$F$1,EOMONTH(BM59,1),EOMONTH(BM59,-11)))</f>
        <v>42063</v>
      </c>
      <c r="BN60" s="416" t="str">
        <f t="shared" si="5"/>
        <v>20140101KUCME226</v>
      </c>
      <c r="BO60" s="427" t="str">
        <f t="shared" si="6"/>
        <v>20140101AES</v>
      </c>
      <c r="BP60" s="407">
        <f>IF(BM60&lt;=MiscData!$B$23,MiscData!$C$23,IF(BM60&lt;=MiscData!$B$24,MiscData!$C$24,MiscData!$C$25))</f>
        <v>20140101</v>
      </c>
      <c r="BQ60" s="407" t="str">
        <f>VLOOKUP(BR60,MiscData!$V$4:$W$42,2,FALSE)</f>
        <v>KUCME226</v>
      </c>
      <c r="BR60" s="407">
        <f>IF(BR59=MiscData!$V$42,1,BR59+1)</f>
        <v>18</v>
      </c>
      <c r="BS60" s="407" t="str">
        <f>VLOOKUP(BQ60,MiscData!$W$4:$Y$42,3,FALSE)</f>
        <v>AES</v>
      </c>
    </row>
    <row r="61" spans="1:71" hidden="1">
      <c r="A61" s="416">
        <f t="shared" si="43"/>
        <v>55</v>
      </c>
      <c r="B61" s="416" t="str">
        <f t="shared" si="0"/>
        <v>Feb 2015</v>
      </c>
      <c r="C61" s="837" t="s">
        <v>228</v>
      </c>
      <c r="D61" s="417" t="str">
        <f t="shared" si="1"/>
        <v>AES3</v>
      </c>
      <c r="E61" s="417" t="str">
        <f t="shared" si="2"/>
        <v>KUCME227</v>
      </c>
      <c r="F61" s="418">
        <f t="shared" si="8"/>
        <v>0</v>
      </c>
      <c r="G61" s="467">
        <v>0</v>
      </c>
      <c r="H61" s="418">
        <v>0</v>
      </c>
      <c r="I61" s="418">
        <v>0</v>
      </c>
      <c r="J61" s="418">
        <v>0</v>
      </c>
      <c r="K61" s="418">
        <f t="shared" si="9"/>
        <v>0</v>
      </c>
      <c r="L61" s="459">
        <v>0</v>
      </c>
      <c r="M61" s="443">
        <f t="shared" si="10"/>
        <v>0</v>
      </c>
      <c r="N61" s="443">
        <f t="shared" si="11"/>
        <v>0</v>
      </c>
      <c r="O61" s="443">
        <f t="shared" si="12"/>
        <v>0</v>
      </c>
      <c r="P61" s="443">
        <f t="shared" si="13"/>
        <v>0</v>
      </c>
      <c r="Q61" s="443">
        <f t="shared" si="14"/>
        <v>0</v>
      </c>
      <c r="R61" s="443">
        <f t="shared" si="15"/>
        <v>0</v>
      </c>
      <c r="S61" s="484">
        <v>0</v>
      </c>
      <c r="T61" s="484">
        <v>0</v>
      </c>
      <c r="U61" s="484">
        <v>0</v>
      </c>
      <c r="V61" s="490">
        <v>0</v>
      </c>
      <c r="W61" s="490">
        <v>0</v>
      </c>
      <c r="X61" s="490">
        <v>0</v>
      </c>
      <c r="Y61" s="419">
        <f t="shared" si="16"/>
        <v>35</v>
      </c>
      <c r="Z61" s="420">
        <f t="shared" si="17"/>
        <v>7.4399999999999994E-2</v>
      </c>
      <c r="AA61" s="420">
        <v>0</v>
      </c>
      <c r="AB61" s="420">
        <v>0</v>
      </c>
      <c r="AC61" s="420">
        <f t="shared" si="18"/>
        <v>2.8920000000000001E-2</v>
      </c>
      <c r="AD61" s="419">
        <f t="shared" si="19"/>
        <v>0</v>
      </c>
      <c r="AE61" s="419">
        <f t="shared" si="20"/>
        <v>0</v>
      </c>
      <c r="AF61" s="419">
        <f t="shared" si="21"/>
        <v>0</v>
      </c>
      <c r="AG61" s="454">
        <f t="shared" si="22"/>
        <v>0</v>
      </c>
      <c r="AH61" s="454">
        <f t="shared" si="44"/>
        <v>0</v>
      </c>
      <c r="AI61" s="421">
        <f t="shared" si="24"/>
        <v>0</v>
      </c>
      <c r="AJ61" s="421">
        <f t="shared" si="25"/>
        <v>0</v>
      </c>
      <c r="AK61" s="421">
        <f t="shared" si="26"/>
        <v>0</v>
      </c>
      <c r="AL61" s="472">
        <v>0</v>
      </c>
      <c r="AM61" s="422">
        <f t="shared" si="45"/>
        <v>0</v>
      </c>
      <c r="AN61" s="423">
        <f t="shared" si="28"/>
        <v>0</v>
      </c>
      <c r="AO61" s="421">
        <f t="shared" si="29"/>
        <v>0</v>
      </c>
      <c r="AP61" s="472">
        <v>0</v>
      </c>
      <c r="AQ61" s="472">
        <v>0</v>
      </c>
      <c r="AR61" s="472">
        <v>0</v>
      </c>
      <c r="AS61" s="475">
        <v>0</v>
      </c>
      <c r="AT61" s="475">
        <v>0</v>
      </c>
      <c r="AU61" s="475">
        <v>0</v>
      </c>
      <c r="AV61" s="454">
        <f t="shared" si="30"/>
        <v>0</v>
      </c>
      <c r="AW61" s="421">
        <f t="shared" si="31"/>
        <v>0</v>
      </c>
      <c r="AX61" s="455">
        <f t="shared" si="47"/>
        <v>1</v>
      </c>
      <c r="AY61" s="424">
        <f t="shared" si="32"/>
        <v>0</v>
      </c>
      <c r="AZ61" s="424">
        <f t="shared" si="33"/>
        <v>0</v>
      </c>
      <c r="BA61" s="424">
        <f t="shared" si="34"/>
        <v>0</v>
      </c>
      <c r="BB61" s="424">
        <f t="shared" si="35"/>
        <v>0</v>
      </c>
      <c r="BC61" s="424">
        <f t="shared" si="36"/>
        <v>0</v>
      </c>
      <c r="BD61" s="424">
        <f t="shared" si="37"/>
        <v>0</v>
      </c>
      <c r="BE61" s="452">
        <f t="shared" si="38"/>
        <v>0</v>
      </c>
      <c r="BF61" s="448">
        <f t="shared" si="39"/>
        <v>0</v>
      </c>
      <c r="BG61" s="456">
        <f t="shared" si="40"/>
        <v>0</v>
      </c>
      <c r="BH61" s="457">
        <f t="shared" si="4"/>
        <v>0</v>
      </c>
      <c r="BI61" s="407" t="s">
        <v>1490</v>
      </c>
      <c r="BM61" s="429">
        <f>IF(BR61&gt;BR60,BM60,IF(BM60&lt;MiscData!$F$1,EOMONTH(BM60,1),EOMONTH(BM60,-11)))</f>
        <v>42063</v>
      </c>
      <c r="BN61" s="416" t="str">
        <f t="shared" si="5"/>
        <v>20140101KUCME227</v>
      </c>
      <c r="BO61" s="427" t="str">
        <f t="shared" si="6"/>
        <v>20140101AES3</v>
      </c>
      <c r="BP61" s="407">
        <f>IF(BM61&lt;=MiscData!$B$23,MiscData!$C$23,IF(BM61&lt;=MiscData!$B$24,MiscData!$C$24,MiscData!$C$25))</f>
        <v>20140101</v>
      </c>
      <c r="BQ61" s="407" t="str">
        <f>VLOOKUP(BR61,MiscData!$V$4:$W$42,2,FALSE)</f>
        <v>KUCME227</v>
      </c>
      <c r="BR61" s="407">
        <f>IF(BR60=MiscData!$V$42,1,BR60+1)</f>
        <v>19</v>
      </c>
      <c r="BS61" s="407" t="str">
        <f>VLOOKUP(BQ61,MiscData!$W$4:$Y$42,3,FALSE)</f>
        <v>AES3</v>
      </c>
    </row>
    <row r="62" spans="1:71" hidden="1">
      <c r="A62" s="416">
        <f t="shared" si="43"/>
        <v>56</v>
      </c>
      <c r="B62" s="416" t="str">
        <f t="shared" si="0"/>
        <v>Feb 2015</v>
      </c>
      <c r="C62" s="416" t="s">
        <v>20</v>
      </c>
      <c r="D62" s="417" t="str">
        <f t="shared" si="1"/>
        <v>LE</v>
      </c>
      <c r="E62" s="417" t="str">
        <f t="shared" si="2"/>
        <v>KUCME290</v>
      </c>
      <c r="F62" s="418">
        <f t="shared" si="8"/>
        <v>2</v>
      </c>
      <c r="G62" s="467">
        <v>0</v>
      </c>
      <c r="H62" s="418">
        <v>0</v>
      </c>
      <c r="I62" s="418">
        <v>0</v>
      </c>
      <c r="J62" s="418">
        <v>0</v>
      </c>
      <c r="K62" s="418">
        <f t="shared" si="9"/>
        <v>12268</v>
      </c>
      <c r="L62" s="459">
        <v>0</v>
      </c>
      <c r="M62" s="443">
        <f t="shared" si="10"/>
        <v>0</v>
      </c>
      <c r="N62" s="443">
        <f t="shared" si="11"/>
        <v>0</v>
      </c>
      <c r="O62" s="443">
        <f t="shared" si="12"/>
        <v>0</v>
      </c>
      <c r="P62" s="443">
        <f t="shared" si="13"/>
        <v>0</v>
      </c>
      <c r="Q62" s="443">
        <f t="shared" si="14"/>
        <v>0</v>
      </c>
      <c r="R62" s="443">
        <f t="shared" si="15"/>
        <v>0</v>
      </c>
      <c r="S62" s="484">
        <v>0</v>
      </c>
      <c r="T62" s="484">
        <v>0</v>
      </c>
      <c r="U62" s="484">
        <v>0</v>
      </c>
      <c r="V62" s="490">
        <v>0</v>
      </c>
      <c r="W62" s="490">
        <v>0</v>
      </c>
      <c r="X62" s="490">
        <v>0</v>
      </c>
      <c r="Y62" s="419">
        <f t="shared" si="16"/>
        <v>0</v>
      </c>
      <c r="Z62" s="420">
        <f t="shared" si="17"/>
        <v>6.3799999999999996E-2</v>
      </c>
      <c r="AA62" s="420">
        <v>0</v>
      </c>
      <c r="AB62" s="420">
        <v>0</v>
      </c>
      <c r="AC62" s="420">
        <f t="shared" si="18"/>
        <v>2.8920000000000001E-2</v>
      </c>
      <c r="AD62" s="419">
        <f t="shared" si="19"/>
        <v>0</v>
      </c>
      <c r="AE62" s="419">
        <f t="shared" si="20"/>
        <v>0</v>
      </c>
      <c r="AF62" s="419">
        <f t="shared" si="21"/>
        <v>0</v>
      </c>
      <c r="AG62" s="454">
        <f t="shared" si="22"/>
        <v>0</v>
      </c>
      <c r="AH62" s="454">
        <f t="shared" si="44"/>
        <v>782.7</v>
      </c>
      <c r="AI62" s="421">
        <f t="shared" si="24"/>
        <v>0</v>
      </c>
      <c r="AJ62" s="421">
        <f t="shared" si="25"/>
        <v>0</v>
      </c>
      <c r="AK62" s="421">
        <f t="shared" si="26"/>
        <v>0</v>
      </c>
      <c r="AL62" s="472">
        <v>0</v>
      </c>
      <c r="AM62" s="422">
        <f t="shared" si="45"/>
        <v>0</v>
      </c>
      <c r="AN62" s="423">
        <f t="shared" si="28"/>
        <v>0</v>
      </c>
      <c r="AO62" s="421">
        <f t="shared" si="29"/>
        <v>0</v>
      </c>
      <c r="AP62" s="472">
        <v>0</v>
      </c>
      <c r="AQ62" s="472">
        <v>0</v>
      </c>
      <c r="AR62" s="472">
        <v>0</v>
      </c>
      <c r="AS62" s="475">
        <v>0</v>
      </c>
      <c r="AT62" s="475">
        <v>0</v>
      </c>
      <c r="AU62" s="475">
        <v>0</v>
      </c>
      <c r="AV62" s="454">
        <f t="shared" si="30"/>
        <v>782.7</v>
      </c>
      <c r="AW62" s="421">
        <f t="shared" si="31"/>
        <v>783</v>
      </c>
      <c r="AX62" s="455">
        <f t="shared" ref="AX62:AX67" si="48">IF(AND(AV62=0,AW62=0),1,IF(AV62=0,0,AW62/AV62))</f>
        <v>1.000383288616328</v>
      </c>
      <c r="AY62" s="424">
        <f t="shared" si="32"/>
        <v>23</v>
      </c>
      <c r="AZ62" s="424">
        <f t="shared" si="33"/>
        <v>0</v>
      </c>
      <c r="BA62" s="424">
        <f t="shared" si="34"/>
        <v>44</v>
      </c>
      <c r="BB62" s="424">
        <f t="shared" si="35"/>
        <v>0</v>
      </c>
      <c r="BC62" s="424">
        <f t="shared" si="36"/>
        <v>0</v>
      </c>
      <c r="BD62" s="424">
        <f t="shared" si="37"/>
        <v>850</v>
      </c>
      <c r="BE62" s="452">
        <f t="shared" si="38"/>
        <v>849.7</v>
      </c>
      <c r="BF62" s="448">
        <f t="shared" si="39"/>
        <v>0.29999999999995453</v>
      </c>
      <c r="BG62" s="456">
        <f t="shared" si="40"/>
        <v>354.79</v>
      </c>
      <c r="BH62" s="457">
        <f t="shared" si="4"/>
        <v>427.91</v>
      </c>
      <c r="BI62" s="407" t="s">
        <v>1490</v>
      </c>
      <c r="BM62" s="429">
        <f>IF(BR62&gt;BR61,BM61,IF(BM61&lt;MiscData!$F$1,EOMONTH(BM61,1),EOMONTH(BM61,-11)))</f>
        <v>42063</v>
      </c>
      <c r="BN62" s="416" t="str">
        <f t="shared" si="5"/>
        <v>20140101KUCME290</v>
      </c>
      <c r="BO62" s="427" t="str">
        <f t="shared" si="6"/>
        <v>20140101LE</v>
      </c>
      <c r="BP62" s="407">
        <f>IF(BM62&lt;=MiscData!$B$23,MiscData!$C$23,IF(BM62&lt;=MiscData!$B$24,MiscData!$C$24,MiscData!$C$25))</f>
        <v>20140101</v>
      </c>
      <c r="BQ62" s="407" t="str">
        <f>VLOOKUP(BR62,MiscData!$V$4:$W$42,2,FALSE)</f>
        <v>KUCME290</v>
      </c>
      <c r="BR62" s="407">
        <f>IF(BR61=MiscData!$V$42,1,BR61+1)</f>
        <v>20</v>
      </c>
      <c r="BS62" s="407" t="str">
        <f>VLOOKUP(BQ62,MiscData!$W$4:$Y$42,3,FALSE)</f>
        <v>LE</v>
      </c>
    </row>
    <row r="63" spans="1:71" hidden="1">
      <c r="A63" s="416">
        <f t="shared" si="43"/>
        <v>57</v>
      </c>
      <c r="B63" s="416" t="str">
        <f t="shared" si="0"/>
        <v>Feb 2015</v>
      </c>
      <c r="C63" s="416" t="s">
        <v>20</v>
      </c>
      <c r="D63" s="417" t="str">
        <f t="shared" si="1"/>
        <v>LE</v>
      </c>
      <c r="E63" s="417" t="str">
        <f t="shared" si="2"/>
        <v>KUCME291</v>
      </c>
      <c r="F63" s="418">
        <f t="shared" si="8"/>
        <v>0</v>
      </c>
      <c r="G63" s="467">
        <v>0</v>
      </c>
      <c r="H63" s="418">
        <v>0</v>
      </c>
      <c r="I63" s="418">
        <v>0</v>
      </c>
      <c r="J63" s="418">
        <v>0</v>
      </c>
      <c r="K63" s="418">
        <f t="shared" si="9"/>
        <v>0</v>
      </c>
      <c r="L63" s="459">
        <v>0</v>
      </c>
      <c r="M63" s="443">
        <f t="shared" si="10"/>
        <v>0</v>
      </c>
      <c r="N63" s="443">
        <f t="shared" si="11"/>
        <v>0</v>
      </c>
      <c r="O63" s="443">
        <f t="shared" si="12"/>
        <v>0</v>
      </c>
      <c r="P63" s="443">
        <f t="shared" si="13"/>
        <v>0</v>
      </c>
      <c r="Q63" s="443">
        <f t="shared" si="14"/>
        <v>0</v>
      </c>
      <c r="R63" s="443">
        <f t="shared" si="15"/>
        <v>0</v>
      </c>
      <c r="S63" s="484">
        <v>0</v>
      </c>
      <c r="T63" s="484">
        <v>0</v>
      </c>
      <c r="U63" s="484">
        <v>0</v>
      </c>
      <c r="V63" s="490">
        <v>0</v>
      </c>
      <c r="W63" s="490">
        <v>0</v>
      </c>
      <c r="X63" s="490">
        <v>0</v>
      </c>
      <c r="Y63" s="419">
        <f t="shared" si="16"/>
        <v>0</v>
      </c>
      <c r="Z63" s="420">
        <f t="shared" si="17"/>
        <v>6.3799999999999996E-2</v>
      </c>
      <c r="AA63" s="420">
        <v>0</v>
      </c>
      <c r="AB63" s="420">
        <v>0</v>
      </c>
      <c r="AC63" s="420">
        <f t="shared" si="18"/>
        <v>2.8920000000000001E-2</v>
      </c>
      <c r="AD63" s="419">
        <f t="shared" si="19"/>
        <v>0</v>
      </c>
      <c r="AE63" s="419">
        <f t="shared" si="20"/>
        <v>0</v>
      </c>
      <c r="AF63" s="419">
        <f t="shared" si="21"/>
        <v>0</v>
      </c>
      <c r="AG63" s="454">
        <f t="shared" si="22"/>
        <v>0</v>
      </c>
      <c r="AH63" s="454">
        <f t="shared" si="44"/>
        <v>0</v>
      </c>
      <c r="AI63" s="421">
        <f t="shared" si="24"/>
        <v>0</v>
      </c>
      <c r="AJ63" s="421">
        <f t="shared" si="25"/>
        <v>0</v>
      </c>
      <c r="AK63" s="421">
        <f t="shared" si="26"/>
        <v>0</v>
      </c>
      <c r="AL63" s="472">
        <v>0</v>
      </c>
      <c r="AM63" s="422">
        <f t="shared" si="45"/>
        <v>0</v>
      </c>
      <c r="AN63" s="423">
        <f t="shared" si="28"/>
        <v>0</v>
      </c>
      <c r="AO63" s="421">
        <f t="shared" si="29"/>
        <v>0</v>
      </c>
      <c r="AP63" s="472">
        <v>0</v>
      </c>
      <c r="AQ63" s="472">
        <v>0</v>
      </c>
      <c r="AR63" s="472">
        <v>0</v>
      </c>
      <c r="AS63" s="475">
        <v>0</v>
      </c>
      <c r="AT63" s="475">
        <v>0</v>
      </c>
      <c r="AU63" s="475">
        <v>0</v>
      </c>
      <c r="AV63" s="454">
        <f t="shared" si="30"/>
        <v>0</v>
      </c>
      <c r="AW63" s="421">
        <f t="shared" si="31"/>
        <v>0</v>
      </c>
      <c r="AX63" s="455">
        <f t="shared" si="48"/>
        <v>1</v>
      </c>
      <c r="AY63" s="424">
        <f t="shared" si="32"/>
        <v>0</v>
      </c>
      <c r="AZ63" s="424">
        <f t="shared" si="33"/>
        <v>0</v>
      </c>
      <c r="BA63" s="424">
        <f t="shared" si="34"/>
        <v>0</v>
      </c>
      <c r="BB63" s="424">
        <f t="shared" si="35"/>
        <v>0</v>
      </c>
      <c r="BC63" s="424">
        <f t="shared" si="36"/>
        <v>0</v>
      </c>
      <c r="BD63" s="424">
        <f t="shared" si="37"/>
        <v>0</v>
      </c>
      <c r="BE63" s="452">
        <f t="shared" si="38"/>
        <v>0</v>
      </c>
      <c r="BF63" s="448">
        <f t="shared" si="39"/>
        <v>0</v>
      </c>
      <c r="BG63" s="456">
        <f t="shared" si="40"/>
        <v>0</v>
      </c>
      <c r="BH63" s="457">
        <f t="shared" si="4"/>
        <v>0</v>
      </c>
      <c r="BI63" s="407" t="s">
        <v>1490</v>
      </c>
      <c r="BM63" s="429">
        <f>IF(BR63&gt;BR62,BM62,IF(BM62&lt;MiscData!$F$1,EOMONTH(BM62,1),EOMONTH(BM62,-11)))</f>
        <v>42063</v>
      </c>
      <c r="BN63" s="416" t="str">
        <f t="shared" si="5"/>
        <v>20140101KUCME291</v>
      </c>
      <c r="BO63" s="427" t="str">
        <f t="shared" si="6"/>
        <v>20140101LE</v>
      </c>
      <c r="BP63" s="407">
        <f>IF(BM63&lt;=MiscData!$B$23,MiscData!$C$23,IF(BM63&lt;=MiscData!$B$24,MiscData!$C$24,MiscData!$C$25))</f>
        <v>20140101</v>
      </c>
      <c r="BQ63" s="407" t="str">
        <f>VLOOKUP(BR63,MiscData!$V$4:$W$42,2,FALSE)</f>
        <v>KUCME291</v>
      </c>
      <c r="BR63" s="407">
        <f>IF(BR62=MiscData!$V$42,1,BR62+1)</f>
        <v>21</v>
      </c>
      <c r="BS63" s="407" t="str">
        <f>VLOOKUP(BQ63,MiscData!$W$4:$Y$42,3,FALSE)</f>
        <v>LE</v>
      </c>
    </row>
    <row r="64" spans="1:71" hidden="1">
      <c r="A64" s="416">
        <f t="shared" si="43"/>
        <v>58</v>
      </c>
      <c r="B64" s="416" t="str">
        <f t="shared" si="0"/>
        <v>Feb 2015</v>
      </c>
      <c r="C64" s="416" t="s">
        <v>21</v>
      </c>
      <c r="D64" s="417" t="str">
        <f t="shared" si="1"/>
        <v>TE</v>
      </c>
      <c r="E64" s="417" t="str">
        <f t="shared" si="2"/>
        <v>KUCME295</v>
      </c>
      <c r="F64" s="418">
        <f t="shared" si="8"/>
        <v>747</v>
      </c>
      <c r="G64" s="467">
        <v>0</v>
      </c>
      <c r="H64" s="418">
        <v>0</v>
      </c>
      <c r="I64" s="418">
        <v>0</v>
      </c>
      <c r="J64" s="418">
        <v>0</v>
      </c>
      <c r="K64" s="418">
        <f t="shared" si="9"/>
        <v>109851</v>
      </c>
      <c r="L64" s="459">
        <v>0</v>
      </c>
      <c r="M64" s="443">
        <f t="shared" si="10"/>
        <v>0</v>
      </c>
      <c r="N64" s="443">
        <f t="shared" si="11"/>
        <v>0</v>
      </c>
      <c r="O64" s="443">
        <f t="shared" si="12"/>
        <v>0</v>
      </c>
      <c r="P64" s="443">
        <f t="shared" si="13"/>
        <v>0</v>
      </c>
      <c r="Q64" s="443">
        <f t="shared" si="14"/>
        <v>0</v>
      </c>
      <c r="R64" s="443">
        <f t="shared" si="15"/>
        <v>0</v>
      </c>
      <c r="S64" s="484">
        <v>0</v>
      </c>
      <c r="T64" s="484">
        <v>0</v>
      </c>
      <c r="U64" s="484">
        <v>0</v>
      </c>
      <c r="V64" s="490">
        <v>0</v>
      </c>
      <c r="W64" s="490">
        <v>0</v>
      </c>
      <c r="X64" s="490">
        <v>0</v>
      </c>
      <c r="Y64" s="419">
        <f t="shared" si="16"/>
        <v>3.25</v>
      </c>
      <c r="Z64" s="420">
        <f t="shared" si="17"/>
        <v>7.9780000000000004E-2</v>
      </c>
      <c r="AA64" s="420">
        <v>0</v>
      </c>
      <c r="AB64" s="420">
        <v>0</v>
      </c>
      <c r="AC64" s="420">
        <f t="shared" si="18"/>
        <v>2.8920000000000001E-2</v>
      </c>
      <c r="AD64" s="419">
        <f t="shared" si="19"/>
        <v>0</v>
      </c>
      <c r="AE64" s="419">
        <f t="shared" si="20"/>
        <v>0</v>
      </c>
      <c r="AF64" s="419">
        <f t="shared" si="21"/>
        <v>0</v>
      </c>
      <c r="AG64" s="454">
        <f t="shared" si="22"/>
        <v>2427.75</v>
      </c>
      <c r="AH64" s="454">
        <f t="shared" si="44"/>
        <v>8763.91</v>
      </c>
      <c r="AI64" s="421">
        <f t="shared" si="24"/>
        <v>0</v>
      </c>
      <c r="AJ64" s="421">
        <f t="shared" si="25"/>
        <v>0</v>
      </c>
      <c r="AK64" s="421">
        <f t="shared" si="26"/>
        <v>0</v>
      </c>
      <c r="AL64" s="472">
        <v>0</v>
      </c>
      <c r="AM64" s="422">
        <f t="shared" si="45"/>
        <v>0</v>
      </c>
      <c r="AN64" s="423">
        <f t="shared" si="28"/>
        <v>0</v>
      </c>
      <c r="AO64" s="421">
        <f t="shared" si="29"/>
        <v>0</v>
      </c>
      <c r="AP64" s="472">
        <v>0</v>
      </c>
      <c r="AQ64" s="472">
        <v>0</v>
      </c>
      <c r="AR64" s="472">
        <v>0</v>
      </c>
      <c r="AS64" s="475">
        <v>0</v>
      </c>
      <c r="AT64" s="475">
        <v>0</v>
      </c>
      <c r="AU64" s="475">
        <v>0</v>
      </c>
      <c r="AV64" s="454">
        <f t="shared" si="30"/>
        <v>11191.66</v>
      </c>
      <c r="AW64" s="421">
        <f t="shared" si="31"/>
        <v>11191.75</v>
      </c>
      <c r="AX64" s="455">
        <f t="shared" si="48"/>
        <v>1.0000080417024821</v>
      </c>
      <c r="AY64" s="424">
        <f t="shared" si="32"/>
        <v>204</v>
      </c>
      <c r="AZ64" s="424">
        <f t="shared" si="33"/>
        <v>0</v>
      </c>
      <c r="BA64" s="424">
        <f t="shared" si="34"/>
        <v>393</v>
      </c>
      <c r="BB64" s="424">
        <f t="shared" si="35"/>
        <v>0</v>
      </c>
      <c r="BC64" s="424">
        <f t="shared" si="36"/>
        <v>0</v>
      </c>
      <c r="BD64" s="424">
        <f t="shared" si="37"/>
        <v>11788.75</v>
      </c>
      <c r="BE64" s="452">
        <f t="shared" si="38"/>
        <v>11788.66</v>
      </c>
      <c r="BF64" s="448">
        <f t="shared" si="39"/>
        <v>9.0000000000145519E-2</v>
      </c>
      <c r="BG64" s="456">
        <f t="shared" si="40"/>
        <v>3176.89</v>
      </c>
      <c r="BH64" s="457">
        <f t="shared" si="4"/>
        <v>5587.02</v>
      </c>
      <c r="BI64" s="407" t="s">
        <v>1490</v>
      </c>
      <c r="BM64" s="429">
        <f>IF(BR64&gt;BR63,BM63,IF(BM63&lt;MiscData!$F$1,EOMONTH(BM63,1),EOMONTH(BM63,-11)))</f>
        <v>42063</v>
      </c>
      <c r="BN64" s="416" t="str">
        <f t="shared" si="5"/>
        <v>20140101KUCME295</v>
      </c>
      <c r="BO64" s="427" t="str">
        <f t="shared" si="6"/>
        <v>20140101TE</v>
      </c>
      <c r="BP64" s="407">
        <f>IF(BM64&lt;=MiscData!$B$23,MiscData!$C$23,IF(BM64&lt;=MiscData!$B$24,MiscData!$C$24,MiscData!$C$25))</f>
        <v>20140101</v>
      </c>
      <c r="BQ64" s="407" t="str">
        <f>VLOOKUP(BR64,MiscData!$V$4:$W$42,2,FALSE)</f>
        <v>KUCME295</v>
      </c>
      <c r="BR64" s="407">
        <f>IF(BR63=MiscData!$V$42,1,BR63+1)</f>
        <v>22</v>
      </c>
      <c r="BS64" s="407" t="str">
        <f>VLOOKUP(BQ64,MiscData!$W$4:$Y$42,3,FALSE)</f>
        <v>TE</v>
      </c>
    </row>
    <row r="65" spans="1:71" hidden="1">
      <c r="A65" s="416">
        <f t="shared" si="43"/>
        <v>59</v>
      </c>
      <c r="B65" s="416" t="str">
        <f t="shared" si="0"/>
        <v>Feb 2015</v>
      </c>
      <c r="C65" s="416" t="s">
        <v>21</v>
      </c>
      <c r="D65" s="417" t="str">
        <f t="shared" si="1"/>
        <v>TE</v>
      </c>
      <c r="E65" s="417" t="str">
        <f t="shared" si="2"/>
        <v>KUCME297</v>
      </c>
      <c r="F65" s="418">
        <f t="shared" si="8"/>
        <v>0</v>
      </c>
      <c r="G65" s="467">
        <v>0</v>
      </c>
      <c r="H65" s="418">
        <v>0</v>
      </c>
      <c r="I65" s="418">
        <v>0</v>
      </c>
      <c r="J65" s="418">
        <v>0</v>
      </c>
      <c r="K65" s="418">
        <f t="shared" si="9"/>
        <v>0</v>
      </c>
      <c r="L65" s="459">
        <v>0</v>
      </c>
      <c r="M65" s="443">
        <f t="shared" si="10"/>
        <v>0</v>
      </c>
      <c r="N65" s="443">
        <f t="shared" si="11"/>
        <v>0</v>
      </c>
      <c r="O65" s="443">
        <f t="shared" si="12"/>
        <v>0</v>
      </c>
      <c r="P65" s="443">
        <f t="shared" si="13"/>
        <v>0</v>
      </c>
      <c r="Q65" s="443">
        <f t="shared" si="14"/>
        <v>0</v>
      </c>
      <c r="R65" s="443">
        <f t="shared" si="15"/>
        <v>0</v>
      </c>
      <c r="S65" s="484">
        <v>0</v>
      </c>
      <c r="T65" s="484">
        <v>0</v>
      </c>
      <c r="U65" s="484">
        <v>0</v>
      </c>
      <c r="V65" s="490">
        <v>0</v>
      </c>
      <c r="W65" s="490">
        <v>0</v>
      </c>
      <c r="X65" s="490">
        <v>0</v>
      </c>
      <c r="Y65" s="419">
        <f t="shared" si="16"/>
        <v>3.25</v>
      </c>
      <c r="Z65" s="420">
        <f t="shared" si="17"/>
        <v>7.9780000000000004E-2</v>
      </c>
      <c r="AA65" s="420">
        <v>0</v>
      </c>
      <c r="AB65" s="420">
        <v>0</v>
      </c>
      <c r="AC65" s="420">
        <f t="shared" si="18"/>
        <v>2.8920000000000001E-2</v>
      </c>
      <c r="AD65" s="419">
        <f t="shared" si="19"/>
        <v>0</v>
      </c>
      <c r="AE65" s="419">
        <f t="shared" si="20"/>
        <v>0</v>
      </c>
      <c r="AF65" s="419">
        <f t="shared" si="21"/>
        <v>0</v>
      </c>
      <c r="AG65" s="454">
        <f t="shared" si="22"/>
        <v>0</v>
      </c>
      <c r="AH65" s="454">
        <f t="shared" si="44"/>
        <v>0</v>
      </c>
      <c r="AI65" s="421">
        <f t="shared" si="24"/>
        <v>0</v>
      </c>
      <c r="AJ65" s="421">
        <f t="shared" si="25"/>
        <v>0</v>
      </c>
      <c r="AK65" s="421">
        <f t="shared" si="26"/>
        <v>0</v>
      </c>
      <c r="AL65" s="472">
        <v>0</v>
      </c>
      <c r="AM65" s="422">
        <f t="shared" si="45"/>
        <v>0</v>
      </c>
      <c r="AN65" s="423">
        <f t="shared" si="28"/>
        <v>0</v>
      </c>
      <c r="AO65" s="421">
        <f t="shared" si="29"/>
        <v>0</v>
      </c>
      <c r="AP65" s="472">
        <v>0</v>
      </c>
      <c r="AQ65" s="472">
        <v>0</v>
      </c>
      <c r="AR65" s="472">
        <v>0</v>
      </c>
      <c r="AS65" s="475">
        <v>0</v>
      </c>
      <c r="AT65" s="475">
        <v>0</v>
      </c>
      <c r="AU65" s="475">
        <v>0</v>
      </c>
      <c r="AV65" s="454">
        <f t="shared" si="30"/>
        <v>0</v>
      </c>
      <c r="AW65" s="421">
        <f t="shared" si="31"/>
        <v>0</v>
      </c>
      <c r="AX65" s="455">
        <f t="shared" si="48"/>
        <v>1</v>
      </c>
      <c r="AY65" s="424">
        <f t="shared" si="32"/>
        <v>0</v>
      </c>
      <c r="AZ65" s="424">
        <f t="shared" si="33"/>
        <v>0</v>
      </c>
      <c r="BA65" s="424">
        <f t="shared" si="34"/>
        <v>0</v>
      </c>
      <c r="BB65" s="424">
        <f t="shared" si="35"/>
        <v>0</v>
      </c>
      <c r="BC65" s="424">
        <f t="shared" si="36"/>
        <v>0</v>
      </c>
      <c r="BD65" s="424">
        <f t="shared" si="37"/>
        <v>0</v>
      </c>
      <c r="BE65" s="452">
        <f t="shared" si="38"/>
        <v>0</v>
      </c>
      <c r="BF65" s="448">
        <f t="shared" si="39"/>
        <v>0</v>
      </c>
      <c r="BG65" s="456">
        <f t="shared" si="40"/>
        <v>0</v>
      </c>
      <c r="BH65" s="457">
        <f t="shared" si="4"/>
        <v>0</v>
      </c>
      <c r="BI65" s="407" t="s">
        <v>1490</v>
      </c>
      <c r="BM65" s="429">
        <f>IF(BR65&gt;BR64,BM64,IF(BM64&lt;MiscData!$F$1,EOMONTH(BM64,1),EOMONTH(BM64,-11)))</f>
        <v>42063</v>
      </c>
      <c r="BN65" s="416" t="str">
        <f t="shared" si="5"/>
        <v>20140101KUCME297</v>
      </c>
      <c r="BO65" s="427" t="str">
        <f t="shared" si="6"/>
        <v>20140101TE</v>
      </c>
      <c r="BP65" s="407">
        <f>IF(BM65&lt;=MiscData!$B$23,MiscData!$C$23,IF(BM65&lt;=MiscData!$B$24,MiscData!$C$24,MiscData!$C$25))</f>
        <v>20140101</v>
      </c>
      <c r="BQ65" s="407" t="str">
        <f>VLOOKUP(BR65,MiscData!$V$4:$W$42,2,FALSE)</f>
        <v>KUCME297</v>
      </c>
      <c r="BR65" s="407">
        <f>IF(BR64=MiscData!$V$42,1,BR64+1)</f>
        <v>23</v>
      </c>
      <c r="BS65" s="407" t="str">
        <f>VLOOKUP(BQ65,MiscData!$W$4:$Y$42,3,FALSE)</f>
        <v>TE</v>
      </c>
    </row>
    <row r="66" spans="1:71" hidden="1">
      <c r="A66" s="416">
        <f t="shared" si="43"/>
        <v>60</v>
      </c>
      <c r="B66" s="416" t="str">
        <f t="shared" si="0"/>
        <v>Feb 2015</v>
      </c>
      <c r="C66" s="416" t="s">
        <v>727</v>
      </c>
      <c r="D66" s="417" t="str">
        <f t="shared" si="1"/>
        <v>SQF</v>
      </c>
      <c r="E66" s="417" t="str">
        <f t="shared" si="2"/>
        <v>KUCME705</v>
      </c>
      <c r="F66" s="418">
        <f t="shared" si="8"/>
        <v>0</v>
      </c>
      <c r="G66" s="467">
        <v>0</v>
      </c>
      <c r="H66" s="418">
        <v>0</v>
      </c>
      <c r="I66" s="418">
        <v>0</v>
      </c>
      <c r="J66" s="418">
        <v>0</v>
      </c>
      <c r="K66" s="418">
        <f t="shared" si="9"/>
        <v>0</v>
      </c>
      <c r="L66" s="459">
        <v>0</v>
      </c>
      <c r="M66" s="443">
        <f t="shared" si="10"/>
        <v>0</v>
      </c>
      <c r="N66" s="443">
        <f t="shared" si="11"/>
        <v>0</v>
      </c>
      <c r="O66" s="443">
        <f t="shared" si="12"/>
        <v>0</v>
      </c>
      <c r="P66" s="443">
        <f t="shared" si="13"/>
        <v>0</v>
      </c>
      <c r="Q66" s="443">
        <f t="shared" si="14"/>
        <v>0</v>
      </c>
      <c r="R66" s="443">
        <f t="shared" si="15"/>
        <v>0</v>
      </c>
      <c r="S66" s="484">
        <v>0</v>
      </c>
      <c r="T66" s="484">
        <v>0</v>
      </c>
      <c r="U66" s="484">
        <v>0</v>
      </c>
      <c r="V66" s="490">
        <v>0</v>
      </c>
      <c r="W66" s="490">
        <v>0</v>
      </c>
      <c r="X66" s="490">
        <v>0</v>
      </c>
      <c r="Y66" s="419">
        <f t="shared" si="16"/>
        <v>0</v>
      </c>
      <c r="Z66" s="420">
        <f t="shared" si="17"/>
        <v>0</v>
      </c>
      <c r="AA66" s="420">
        <v>0</v>
      </c>
      <c r="AB66" s="420">
        <v>0</v>
      </c>
      <c r="AC66" s="420">
        <f t="shared" si="18"/>
        <v>0</v>
      </c>
      <c r="AD66" s="419">
        <f t="shared" si="19"/>
        <v>0</v>
      </c>
      <c r="AE66" s="419">
        <f t="shared" si="20"/>
        <v>0</v>
      </c>
      <c r="AF66" s="419">
        <f t="shared" si="21"/>
        <v>0</v>
      </c>
      <c r="AG66" s="454">
        <f t="shared" si="22"/>
        <v>0</v>
      </c>
      <c r="AH66" s="454">
        <f t="shared" si="44"/>
        <v>0</v>
      </c>
      <c r="AI66" s="421">
        <f t="shared" si="24"/>
        <v>0</v>
      </c>
      <c r="AJ66" s="421">
        <f t="shared" si="25"/>
        <v>0</v>
      </c>
      <c r="AK66" s="421">
        <f t="shared" si="26"/>
        <v>0</v>
      </c>
      <c r="AL66" s="472">
        <v>0</v>
      </c>
      <c r="AM66" s="422">
        <f t="shared" si="45"/>
        <v>0</v>
      </c>
      <c r="AN66" s="423">
        <f t="shared" si="28"/>
        <v>0</v>
      </c>
      <c r="AO66" s="421">
        <f t="shared" si="29"/>
        <v>0</v>
      </c>
      <c r="AP66" s="472">
        <v>0</v>
      </c>
      <c r="AQ66" s="472">
        <v>0</v>
      </c>
      <c r="AR66" s="472">
        <v>0</v>
      </c>
      <c r="AS66" s="475">
        <v>0</v>
      </c>
      <c r="AT66" s="475">
        <v>0</v>
      </c>
      <c r="AU66" s="475">
        <v>0</v>
      </c>
      <c r="AV66" s="454">
        <f t="shared" si="30"/>
        <v>0</v>
      </c>
      <c r="AW66" s="421">
        <f t="shared" si="31"/>
        <v>0</v>
      </c>
      <c r="AX66" s="455">
        <f t="shared" si="48"/>
        <v>1</v>
      </c>
      <c r="AY66" s="424">
        <f t="shared" si="32"/>
        <v>0</v>
      </c>
      <c r="AZ66" s="424">
        <f t="shared" si="33"/>
        <v>0</v>
      </c>
      <c r="BA66" s="424">
        <f t="shared" si="34"/>
        <v>0</v>
      </c>
      <c r="BB66" s="424">
        <f t="shared" si="35"/>
        <v>0</v>
      </c>
      <c r="BC66" s="424">
        <f t="shared" si="36"/>
        <v>0</v>
      </c>
      <c r="BD66" s="424">
        <f t="shared" si="37"/>
        <v>0</v>
      </c>
      <c r="BE66" s="452">
        <f t="shared" si="38"/>
        <v>0</v>
      </c>
      <c r="BF66" s="448">
        <f t="shared" si="39"/>
        <v>0</v>
      </c>
      <c r="BG66" s="456">
        <f t="shared" si="40"/>
        <v>0</v>
      </c>
      <c r="BH66" s="457">
        <f t="shared" si="4"/>
        <v>0</v>
      </c>
      <c r="BI66" s="407" t="s">
        <v>1490</v>
      </c>
      <c r="BM66" s="429">
        <f>IF(BR66&gt;BR65,BM65,IF(BM65&lt;MiscData!$F$1,EOMONTH(BM65,1),EOMONTH(BM65,-11)))</f>
        <v>42063</v>
      </c>
      <c r="BN66" s="416" t="str">
        <f t="shared" si="5"/>
        <v>20140101KUCME705</v>
      </c>
      <c r="BO66" s="427" t="str">
        <f t="shared" si="6"/>
        <v>20140101SQF</v>
      </c>
      <c r="BP66" s="407">
        <f>IF(BM66&lt;=MiscData!$B$23,MiscData!$C$23,IF(BM66&lt;=MiscData!$B$24,MiscData!$C$24,MiscData!$C$25))</f>
        <v>20140101</v>
      </c>
      <c r="BQ66" s="407" t="str">
        <f>VLOOKUP(BR66,MiscData!$V$4:$W$42,2,FALSE)</f>
        <v>KUCME705</v>
      </c>
      <c r="BR66" s="407">
        <f>IF(BR65=MiscData!$V$42,1,BR65+1)</f>
        <v>24</v>
      </c>
      <c r="BS66" s="407" t="str">
        <f>VLOOKUP(BQ66,MiscData!$W$4:$Y$42,3,FALSE)</f>
        <v>SQF</v>
      </c>
    </row>
    <row r="67" spans="1:71" hidden="1">
      <c r="A67" s="416">
        <f t="shared" si="43"/>
        <v>61</v>
      </c>
      <c r="B67" s="416" t="str">
        <f t="shared" si="0"/>
        <v>Feb 2015</v>
      </c>
      <c r="C67" s="416" t="s">
        <v>1052</v>
      </c>
      <c r="D67" s="417" t="str">
        <f t="shared" si="1"/>
        <v>LQF</v>
      </c>
      <c r="E67" s="417" t="str">
        <f t="shared" si="2"/>
        <v>KUCME707</v>
      </c>
      <c r="F67" s="418">
        <f t="shared" si="8"/>
        <v>0</v>
      </c>
      <c r="G67" s="467">
        <v>0</v>
      </c>
      <c r="H67" s="418">
        <v>0</v>
      </c>
      <c r="I67" s="418">
        <v>0</v>
      </c>
      <c r="J67" s="418">
        <v>0</v>
      </c>
      <c r="K67" s="418">
        <f t="shared" si="9"/>
        <v>0</v>
      </c>
      <c r="L67" s="459">
        <v>0</v>
      </c>
      <c r="M67" s="443">
        <f t="shared" si="10"/>
        <v>0</v>
      </c>
      <c r="N67" s="443">
        <f t="shared" si="11"/>
        <v>0</v>
      </c>
      <c r="O67" s="443">
        <f t="shared" si="12"/>
        <v>0</v>
      </c>
      <c r="P67" s="443">
        <f t="shared" si="13"/>
        <v>0</v>
      </c>
      <c r="Q67" s="443">
        <f t="shared" si="14"/>
        <v>0</v>
      </c>
      <c r="R67" s="443">
        <f t="shared" si="15"/>
        <v>0</v>
      </c>
      <c r="S67" s="484">
        <v>0</v>
      </c>
      <c r="T67" s="484">
        <v>0</v>
      </c>
      <c r="U67" s="484">
        <v>0</v>
      </c>
      <c r="V67" s="490">
        <v>0</v>
      </c>
      <c r="W67" s="490">
        <v>0</v>
      </c>
      <c r="X67" s="490">
        <v>0</v>
      </c>
      <c r="Y67" s="419">
        <f t="shared" si="16"/>
        <v>0</v>
      </c>
      <c r="Z67" s="420">
        <f t="shared" si="17"/>
        <v>0</v>
      </c>
      <c r="AA67" s="420">
        <v>0</v>
      </c>
      <c r="AB67" s="420">
        <v>0</v>
      </c>
      <c r="AC67" s="420">
        <f t="shared" si="18"/>
        <v>0</v>
      </c>
      <c r="AD67" s="419">
        <f t="shared" si="19"/>
        <v>0</v>
      </c>
      <c r="AE67" s="419">
        <f t="shared" si="20"/>
        <v>0</v>
      </c>
      <c r="AF67" s="419">
        <f t="shared" si="21"/>
        <v>0</v>
      </c>
      <c r="AG67" s="454">
        <f t="shared" si="22"/>
        <v>0</v>
      </c>
      <c r="AH67" s="454">
        <f t="shared" si="44"/>
        <v>0</v>
      </c>
      <c r="AI67" s="421">
        <f t="shared" si="24"/>
        <v>0</v>
      </c>
      <c r="AJ67" s="421">
        <f t="shared" si="25"/>
        <v>0</v>
      </c>
      <c r="AK67" s="421">
        <f t="shared" si="26"/>
        <v>0</v>
      </c>
      <c r="AL67" s="472">
        <v>0</v>
      </c>
      <c r="AM67" s="422">
        <f t="shared" si="45"/>
        <v>0</v>
      </c>
      <c r="AN67" s="423">
        <f t="shared" si="28"/>
        <v>0</v>
      </c>
      <c r="AO67" s="421">
        <f t="shared" si="29"/>
        <v>0</v>
      </c>
      <c r="AP67" s="472">
        <v>0</v>
      </c>
      <c r="AQ67" s="472">
        <v>0</v>
      </c>
      <c r="AR67" s="472">
        <v>0</v>
      </c>
      <c r="AS67" s="475">
        <v>0</v>
      </c>
      <c r="AT67" s="475">
        <v>0</v>
      </c>
      <c r="AU67" s="475">
        <v>0</v>
      </c>
      <c r="AV67" s="454">
        <f t="shared" si="30"/>
        <v>0</v>
      </c>
      <c r="AW67" s="421">
        <f t="shared" si="31"/>
        <v>0</v>
      </c>
      <c r="AX67" s="455">
        <f t="shared" si="48"/>
        <v>1</v>
      </c>
      <c r="AY67" s="424">
        <f t="shared" si="32"/>
        <v>0</v>
      </c>
      <c r="AZ67" s="424">
        <f t="shared" si="33"/>
        <v>0</v>
      </c>
      <c r="BA67" s="424">
        <f t="shared" si="34"/>
        <v>0</v>
      </c>
      <c r="BB67" s="424">
        <f t="shared" si="35"/>
        <v>0</v>
      </c>
      <c r="BC67" s="424">
        <f t="shared" si="36"/>
        <v>0</v>
      </c>
      <c r="BD67" s="424">
        <f t="shared" si="37"/>
        <v>0</v>
      </c>
      <c r="BE67" s="452">
        <f t="shared" si="38"/>
        <v>0</v>
      </c>
      <c r="BF67" s="448">
        <f t="shared" si="39"/>
        <v>0</v>
      </c>
      <c r="BG67" s="456">
        <f t="shared" si="40"/>
        <v>0</v>
      </c>
      <c r="BH67" s="457">
        <f t="shared" si="4"/>
        <v>0</v>
      </c>
      <c r="BI67" s="407" t="s">
        <v>1490</v>
      </c>
      <c r="BM67" s="429">
        <f>IF(BR67&gt;BR66,BM66,IF(BM66&lt;MiscData!$F$1,EOMONTH(BM66,1),EOMONTH(BM66,-11)))</f>
        <v>42063</v>
      </c>
      <c r="BN67" s="416" t="str">
        <f t="shared" si="5"/>
        <v>20140101KUCME707</v>
      </c>
      <c r="BO67" s="427" t="str">
        <f t="shared" si="6"/>
        <v>20140101LQF</v>
      </c>
      <c r="BP67" s="407">
        <f>IF(BM67&lt;=MiscData!$B$23,MiscData!$C$23,IF(BM67&lt;=MiscData!$B$24,MiscData!$C$24,MiscData!$C$25))</f>
        <v>20140101</v>
      </c>
      <c r="BQ67" s="407" t="str">
        <f>VLOOKUP(BR67,MiscData!$V$4:$W$42,2,FALSE)</f>
        <v>KUCME707</v>
      </c>
      <c r="BR67" s="407">
        <f>IF(BR66=MiscData!$V$42,1,BR66+1)</f>
        <v>25</v>
      </c>
      <c r="BS67" s="407" t="str">
        <f>VLOOKUP(BQ67,MiscData!$W$4:$Y$42,3,FALSE)</f>
        <v>LQF</v>
      </c>
    </row>
    <row r="68" spans="1:71" hidden="1">
      <c r="A68" s="416">
        <f t="shared" si="43"/>
        <v>62</v>
      </c>
      <c r="B68" s="416" t="str">
        <f t="shared" ref="B68:B131" si="49">TEXT(BM68,"mmm yyyy")</f>
        <v>Feb 2015</v>
      </c>
      <c r="C68" s="416" t="s">
        <v>224</v>
      </c>
      <c r="D68" s="417" t="str">
        <f t="shared" ref="D68:D131" si="50">BS68</f>
        <v>GS</v>
      </c>
      <c r="E68" s="417" t="str">
        <f t="shared" ref="E68:E131" si="51">BQ68</f>
        <v>KUCME710</v>
      </c>
      <c r="F68" s="418">
        <f t="shared" si="8"/>
        <v>0</v>
      </c>
      <c r="G68" s="467">
        <v>0</v>
      </c>
      <c r="H68" s="418">
        <v>0</v>
      </c>
      <c r="I68" s="418">
        <v>0</v>
      </c>
      <c r="J68" s="418">
        <v>0</v>
      </c>
      <c r="K68" s="418">
        <f t="shared" si="9"/>
        <v>0</v>
      </c>
      <c r="L68" s="459">
        <v>0</v>
      </c>
      <c r="M68" s="443">
        <f t="shared" si="10"/>
        <v>0</v>
      </c>
      <c r="N68" s="443">
        <f t="shared" si="11"/>
        <v>0</v>
      </c>
      <c r="O68" s="443">
        <f t="shared" si="12"/>
        <v>0</v>
      </c>
      <c r="P68" s="443">
        <f t="shared" si="13"/>
        <v>0</v>
      </c>
      <c r="Q68" s="443">
        <f t="shared" si="14"/>
        <v>0</v>
      </c>
      <c r="R68" s="443">
        <f t="shared" si="15"/>
        <v>0</v>
      </c>
      <c r="S68" s="484">
        <v>0</v>
      </c>
      <c r="T68" s="484">
        <v>0</v>
      </c>
      <c r="U68" s="484">
        <v>0</v>
      </c>
      <c r="V68" s="490">
        <v>0</v>
      </c>
      <c r="W68" s="490">
        <v>0</v>
      </c>
      <c r="X68" s="490">
        <v>0</v>
      </c>
      <c r="Y68" s="419">
        <f t="shared" si="16"/>
        <v>20</v>
      </c>
      <c r="Z68" s="420">
        <f t="shared" si="17"/>
        <v>9.2249999999999999E-2</v>
      </c>
      <c r="AA68" s="420">
        <v>0</v>
      </c>
      <c r="AB68" s="420">
        <v>0</v>
      </c>
      <c r="AC68" s="420">
        <f t="shared" si="18"/>
        <v>2.8920000000000001E-2</v>
      </c>
      <c r="AD68" s="419">
        <f t="shared" si="19"/>
        <v>0</v>
      </c>
      <c r="AE68" s="419">
        <f t="shared" si="20"/>
        <v>0</v>
      </c>
      <c r="AF68" s="419">
        <f t="shared" si="21"/>
        <v>0</v>
      </c>
      <c r="AG68" s="454">
        <f t="shared" si="22"/>
        <v>0</v>
      </c>
      <c r="AH68" s="454">
        <f t="shared" si="44"/>
        <v>0</v>
      </c>
      <c r="AI68" s="421">
        <f t="shared" si="24"/>
        <v>0</v>
      </c>
      <c r="AJ68" s="421">
        <f t="shared" si="25"/>
        <v>0</v>
      </c>
      <c r="AK68" s="421">
        <f t="shared" si="26"/>
        <v>0</v>
      </c>
      <c r="AL68" s="472">
        <v>0</v>
      </c>
      <c r="AM68" s="422">
        <f t="shared" si="45"/>
        <v>0</v>
      </c>
      <c r="AN68" s="423">
        <f t="shared" si="28"/>
        <v>0</v>
      </c>
      <c r="AO68" s="421">
        <f t="shared" si="29"/>
        <v>0</v>
      </c>
      <c r="AP68" s="472">
        <v>0</v>
      </c>
      <c r="AQ68" s="472">
        <v>0</v>
      </c>
      <c r="AR68" s="472">
        <v>0</v>
      </c>
      <c r="AS68" s="475">
        <v>0</v>
      </c>
      <c r="AT68" s="475">
        <v>0</v>
      </c>
      <c r="AU68" s="475">
        <v>0</v>
      </c>
      <c r="AV68" s="454">
        <f t="shared" si="30"/>
        <v>0</v>
      </c>
      <c r="AW68" s="421">
        <f t="shared" si="31"/>
        <v>0</v>
      </c>
      <c r="AX68" s="455">
        <f t="shared" ref="AX68:AX81" si="52">IF(AND(AV68=0,AW68=0),1,IF(AV68=0,0,AW68/AV68))</f>
        <v>1</v>
      </c>
      <c r="AY68" s="424">
        <f t="shared" si="32"/>
        <v>0</v>
      </c>
      <c r="AZ68" s="424">
        <f t="shared" si="33"/>
        <v>0</v>
      </c>
      <c r="BA68" s="424">
        <f t="shared" si="34"/>
        <v>0</v>
      </c>
      <c r="BB68" s="424">
        <f t="shared" si="35"/>
        <v>0</v>
      </c>
      <c r="BC68" s="424">
        <f t="shared" si="36"/>
        <v>0</v>
      </c>
      <c r="BD68" s="424">
        <f t="shared" si="37"/>
        <v>0</v>
      </c>
      <c r="BE68" s="452">
        <f t="shared" si="38"/>
        <v>0</v>
      </c>
      <c r="BF68" s="448">
        <f t="shared" si="39"/>
        <v>0</v>
      </c>
      <c r="BG68" s="456">
        <f t="shared" si="40"/>
        <v>0</v>
      </c>
      <c r="BH68" s="457">
        <f t="shared" ref="BH68:BH131" si="53">AH68+AQ68-BG68</f>
        <v>0</v>
      </c>
      <c r="BI68" s="407" t="s">
        <v>1490</v>
      </c>
      <c r="BM68" s="429">
        <f>IF(BR68&gt;BR67,BM67,IF(BM67&lt;MiscData!$F$1,EOMONTH(BM67,1),EOMONTH(BM67,-11)))</f>
        <v>42063</v>
      </c>
      <c r="BN68" s="416" t="str">
        <f t="shared" ref="BN68:BN131" si="54">CONCATENATE(BP68&amp;BQ68)</f>
        <v>20140101KUCME710</v>
      </c>
      <c r="BO68" s="427" t="str">
        <f t="shared" ref="BO68:BO131" si="55">CONCATENATE(BP68&amp;BS68)</f>
        <v>20140101GS</v>
      </c>
      <c r="BP68" s="407">
        <f>IF(BM68&lt;=MiscData!$B$23,MiscData!$C$23,IF(BM68&lt;=MiscData!$B$24,MiscData!$C$24,MiscData!$C$25))</f>
        <v>20140101</v>
      </c>
      <c r="BQ68" s="407" t="str">
        <f>VLOOKUP(BR68,MiscData!$V$4:$W$42,2,FALSE)</f>
        <v>KUCME710</v>
      </c>
      <c r="BR68" s="407">
        <f>IF(BR67=MiscData!$V$42,1,BR67+1)</f>
        <v>26</v>
      </c>
      <c r="BS68" s="407" t="str">
        <f>VLOOKUP(BQ68,MiscData!$W$4:$Y$42,3,FALSE)</f>
        <v>GS</v>
      </c>
    </row>
    <row r="69" spans="1:71" hidden="1">
      <c r="A69" s="416">
        <f t="shared" si="43"/>
        <v>63</v>
      </c>
      <c r="B69" s="416" t="str">
        <f t="shared" si="49"/>
        <v>Feb 2015</v>
      </c>
      <c r="C69" s="416" t="s">
        <v>18</v>
      </c>
      <c r="D69" s="417" t="str">
        <f t="shared" si="50"/>
        <v>GS3</v>
      </c>
      <c r="E69" s="417" t="str">
        <f t="shared" si="51"/>
        <v>KUCME713</v>
      </c>
      <c r="F69" s="418">
        <f t="shared" ref="F69:F132" si="56">SUMIFS(_1022_Count,_1022_RevenueMonth,$B69,_1022_RateCategory,$E69)</f>
        <v>0</v>
      </c>
      <c r="G69" s="467">
        <v>0</v>
      </c>
      <c r="H69" s="418">
        <v>0</v>
      </c>
      <c r="I69" s="418">
        <v>0</v>
      </c>
      <c r="J69" s="418">
        <v>0</v>
      </c>
      <c r="K69" s="418">
        <f t="shared" ref="K69:K132" si="57">SUMIFS(_1022_KWH,_1022_RevenueMonth,$B69,_1022_RateCategory,$E69)</f>
        <v>0</v>
      </c>
      <c r="L69" s="459">
        <v>0</v>
      </c>
      <c r="M69" s="443">
        <f t="shared" ref="M69:M132" si="58">SUMIFS(_1022_Measured_KVA_Base,_1022_RevenueMonth,$B69,_1022_RateCategory,$E69)</f>
        <v>0</v>
      </c>
      <c r="N69" s="443">
        <f t="shared" ref="N69:N132" si="59">SUMIFS(_1022_Measured_KVA_Inter,_1022_RevenueMonth,$B69,_1022_RateCategory,$E69)</f>
        <v>0</v>
      </c>
      <c r="O69" s="443">
        <f t="shared" ref="O69:O132" si="60">SUMIFS(_1022_Measured_KVA_Peak,_1022_RevenueMonth,$B69,_1022_RateCategory,$E69)</f>
        <v>0</v>
      </c>
      <c r="P69" s="443">
        <f t="shared" ref="P69:P132" si="61">SUMIFS(_1022_Demand_Base,_1022_RevenueMonth,$B69,_1022_RateCategory,$E69)</f>
        <v>0</v>
      </c>
      <c r="Q69" s="443">
        <f t="shared" ref="Q69:Q132" si="62">SUMIFS(_1022_Demand_Intermediate,_1022_RevenueMonth,$B69,_1022_RateCategory,$E69)</f>
        <v>0</v>
      </c>
      <c r="R69" s="443">
        <f t="shared" ref="R69:R132" si="63">SUMIFS(_1022_Demand_Peak,_1022_RevenueMonth,$B69,_1022_RateCategory,$E69)</f>
        <v>0</v>
      </c>
      <c r="S69" s="484">
        <v>0</v>
      </c>
      <c r="T69" s="484">
        <v>0</v>
      </c>
      <c r="U69" s="484">
        <v>0</v>
      </c>
      <c r="V69" s="490">
        <v>0</v>
      </c>
      <c r="W69" s="490">
        <v>0</v>
      </c>
      <c r="X69" s="490">
        <v>0</v>
      </c>
      <c r="Y69" s="419">
        <f t="shared" ref="Y69:Y132" si="64">SUMIF(_Rates_Tariff_Category,$BN69,_Rates_BasicServiceCharge)</f>
        <v>35</v>
      </c>
      <c r="Z69" s="420">
        <f t="shared" ref="Z69:Z132" si="65">SUMIF(_Rates_Tariff_Category,$BN69,_Rates_Energy)</f>
        <v>9.2249999999999999E-2</v>
      </c>
      <c r="AA69" s="420">
        <v>0</v>
      </c>
      <c r="AB69" s="420">
        <v>0</v>
      </c>
      <c r="AC69" s="420">
        <f t="shared" ref="AC69:AC132" si="66">SUMIF(_Rates_Tariff_Category,$BN69,_Rates_FAC_Energy)</f>
        <v>2.8920000000000001E-2</v>
      </c>
      <c r="AD69" s="419">
        <f t="shared" ref="AD69:AD132" si="67">SUMIF(_Rates_Tariff_Category,$BN69,_Rates_Demand_Base)</f>
        <v>0</v>
      </c>
      <c r="AE69" s="419">
        <f t="shared" ref="AE69:AE132" si="68">SUMIF(_Rates_Tariff_Category,$BN69,_Rates_Demand_Intermediate)</f>
        <v>0</v>
      </c>
      <c r="AF69" s="419">
        <f t="shared" ref="AF69:AF132" si="69">SUMIF(_Rates_Tariff_Category,$BN69,_Rates_Demand_Peak)</f>
        <v>0</v>
      </c>
      <c r="AG69" s="454">
        <f t="shared" ref="AG69:AG132" si="70">ROUND(($F69+$G69)*$Y69,2)</f>
        <v>0</v>
      </c>
      <c r="AH69" s="454">
        <f t="shared" si="44"/>
        <v>0</v>
      </c>
      <c r="AI69" s="421">
        <f t="shared" ref="AI69:AI132" si="71">ROUND(($M69+V69)*$AD69,2)</f>
        <v>0</v>
      </c>
      <c r="AJ69" s="421">
        <f t="shared" ref="AJ69:AJ132" si="72">ROUND(($N69+W69)*$AE69,2)</f>
        <v>0</v>
      </c>
      <c r="AK69" s="421">
        <f t="shared" ref="AK69:AK132" si="73">ROUND(($O69+X69)*$AF69,2)</f>
        <v>0</v>
      </c>
      <c r="AL69" s="472">
        <v>0</v>
      </c>
      <c r="AM69" s="422">
        <f t="shared" ref="AM69:AM93" si="74">SUMIFS(_1022_Power_Factor_Revenue,_1022_RevenueMonth,$B69,_1022_RateCategory,$E69)</f>
        <v>0</v>
      </c>
      <c r="AN69" s="423">
        <f t="shared" ref="AN69:AN132" si="75">ROUND(U69*AF69+T69*AE69+S69*AD69,2)</f>
        <v>0</v>
      </c>
      <c r="AO69" s="421">
        <f t="shared" ref="AO69:AO132" si="76">SUM(AI69:AN69)</f>
        <v>0</v>
      </c>
      <c r="AP69" s="472">
        <v>0</v>
      </c>
      <c r="AQ69" s="472">
        <v>0</v>
      </c>
      <c r="AR69" s="472">
        <v>0</v>
      </c>
      <c r="AS69" s="475">
        <v>0</v>
      </c>
      <c r="AT69" s="475">
        <v>0</v>
      </c>
      <c r="AU69" s="475">
        <v>0</v>
      </c>
      <c r="AV69" s="454">
        <f t="shared" ref="AV69:AV132" si="77">SUM(AG69:AN69,AP69:AU69)</f>
        <v>0</v>
      </c>
      <c r="AW69" s="421">
        <f t="shared" ref="AW69:AW132" si="78">BD69-SUM(AY69:BC69)</f>
        <v>0</v>
      </c>
      <c r="AX69" s="455">
        <f t="shared" si="52"/>
        <v>1</v>
      </c>
      <c r="AY69" s="424">
        <f t="shared" ref="AY69:AY132" si="79">SUMIFS(_SBR_FAC,_SBR_Revenue_Month,$B69,_SBR_Rate_Category,$E69)</f>
        <v>0</v>
      </c>
      <c r="AZ69" s="424">
        <f t="shared" ref="AZ69:AZ132" si="80">SUMIFS(_SBR_DSM,_SBR_Revenue_Month,$B69,_SBR_Rate_Category,$E69)</f>
        <v>0</v>
      </c>
      <c r="BA69" s="424">
        <f t="shared" ref="BA69:BA132" si="81">SUMIFS(_SBR_ECR,_SBR_Revenue_Month,$B69,_SBR_Rate_Category,$E69)</f>
        <v>0</v>
      </c>
      <c r="BB69" s="424">
        <f t="shared" ref="BB69:BB132" si="82">SUMIFS(_SBR_MSR,_SBR_Revenue_Month,$B69,_SBR_Rate_Category,$E69)</f>
        <v>0</v>
      </c>
      <c r="BC69" s="424">
        <f t="shared" ref="BC69:BC132" si="83">SUMIFS(_SBR_CSR,_SBR_Revenue_Month,$B69,_SBR_Rate_Category,$E69)</f>
        <v>0</v>
      </c>
      <c r="BD69" s="424">
        <f t="shared" ref="BD69:BD132" si="84">SUMIFS(_SBR_Revenue_Actual,_SBR_Revenue_Month,$B69,_SBR_Rate_Category,$E69)</f>
        <v>0</v>
      </c>
      <c r="BE69" s="452">
        <f t="shared" ref="BE69:BE132" si="85">SUM(AV69,AY69:BC69)</f>
        <v>0</v>
      </c>
      <c r="BF69" s="448">
        <f t="shared" ref="BF69:BF132" si="86">BD69-BE69</f>
        <v>0</v>
      </c>
      <c r="BG69" s="456">
        <f t="shared" ref="BG69:BG132" si="87">ROUND($K69*$AC69,2)</f>
        <v>0</v>
      </c>
      <c r="BH69" s="457">
        <f t="shared" si="53"/>
        <v>0</v>
      </c>
      <c r="BI69" s="407" t="s">
        <v>1490</v>
      </c>
      <c r="BM69" s="429">
        <f>IF(BR69&gt;BR68,BM68,IF(BM68&lt;MiscData!$F$1,EOMONTH(BM68,1),EOMONTH(BM68,-11)))</f>
        <v>42063</v>
      </c>
      <c r="BN69" s="416" t="str">
        <f t="shared" si="54"/>
        <v>20140101KUCME713</v>
      </c>
      <c r="BO69" s="427" t="str">
        <f t="shared" si="55"/>
        <v>20140101GS3</v>
      </c>
      <c r="BP69" s="407">
        <f>IF(BM69&lt;=MiscData!$B$23,MiscData!$C$23,IF(BM69&lt;=MiscData!$B$24,MiscData!$C$24,MiscData!$C$25))</f>
        <v>20140101</v>
      </c>
      <c r="BQ69" s="407" t="str">
        <f>VLOOKUP(BR69,MiscData!$V$4:$W$42,2,FALSE)</f>
        <v>KUCME713</v>
      </c>
      <c r="BR69" s="407">
        <f>IF(BR68=MiscData!$V$42,1,BR68+1)</f>
        <v>27</v>
      </c>
      <c r="BS69" s="407" t="str">
        <f>VLOOKUP(BQ69,MiscData!$W$4:$Y$42,3,FALSE)</f>
        <v>GS3</v>
      </c>
    </row>
    <row r="70" spans="1:71" hidden="1">
      <c r="A70" s="416">
        <f>A66+1</f>
        <v>61</v>
      </c>
      <c r="B70" s="416" t="str">
        <f t="shared" si="49"/>
        <v>Feb 2015</v>
      </c>
      <c r="C70" s="416" t="s">
        <v>1459</v>
      </c>
      <c r="D70" s="417" t="str">
        <f t="shared" si="50"/>
        <v>CSR10</v>
      </c>
      <c r="E70" s="417" t="str">
        <f t="shared" si="51"/>
        <v>KUCSR760</v>
      </c>
      <c r="F70" s="418">
        <f t="shared" si="56"/>
        <v>0</v>
      </c>
      <c r="G70" s="467">
        <v>0</v>
      </c>
      <c r="H70" s="418">
        <v>0</v>
      </c>
      <c r="I70" s="418">
        <v>0</v>
      </c>
      <c r="J70" s="418">
        <v>0</v>
      </c>
      <c r="K70" s="418">
        <f t="shared" si="57"/>
        <v>0</v>
      </c>
      <c r="L70" s="459">
        <v>0</v>
      </c>
      <c r="M70" s="443">
        <f t="shared" si="58"/>
        <v>0</v>
      </c>
      <c r="N70" s="443">
        <f t="shared" si="59"/>
        <v>0</v>
      </c>
      <c r="O70" s="443">
        <f t="shared" si="60"/>
        <v>0</v>
      </c>
      <c r="P70" s="443">
        <f t="shared" si="61"/>
        <v>0</v>
      </c>
      <c r="Q70" s="443">
        <f t="shared" si="62"/>
        <v>0</v>
      </c>
      <c r="R70" s="443">
        <f t="shared" si="63"/>
        <v>0</v>
      </c>
      <c r="S70" s="484">
        <v>0</v>
      </c>
      <c r="T70" s="484">
        <v>0</v>
      </c>
      <c r="U70" s="484">
        <v>0</v>
      </c>
      <c r="V70" s="490">
        <v>0</v>
      </c>
      <c r="W70" s="490">
        <v>0</v>
      </c>
      <c r="X70" s="490">
        <v>0</v>
      </c>
      <c r="Y70" s="419">
        <f t="shared" si="64"/>
        <v>0</v>
      </c>
      <c r="Z70" s="420">
        <f t="shared" si="65"/>
        <v>0</v>
      </c>
      <c r="AA70" s="420">
        <v>0</v>
      </c>
      <c r="AB70" s="420">
        <v>0</v>
      </c>
      <c r="AC70" s="420">
        <f t="shared" si="66"/>
        <v>0</v>
      </c>
      <c r="AD70" s="419">
        <f t="shared" si="67"/>
        <v>-5.4</v>
      </c>
      <c r="AE70" s="419">
        <f t="shared" si="68"/>
        <v>0</v>
      </c>
      <c r="AF70" s="419">
        <f t="shared" si="69"/>
        <v>0</v>
      </c>
      <c r="AG70" s="454">
        <f t="shared" si="70"/>
        <v>0</v>
      </c>
      <c r="AH70" s="454">
        <f t="shared" si="44"/>
        <v>0</v>
      </c>
      <c r="AI70" s="421">
        <f t="shared" si="71"/>
        <v>0</v>
      </c>
      <c r="AJ70" s="421">
        <f t="shared" si="72"/>
        <v>0</v>
      </c>
      <c r="AK70" s="421">
        <f t="shared" si="73"/>
        <v>0</v>
      </c>
      <c r="AL70" s="472">
        <v>0</v>
      </c>
      <c r="AM70" s="422">
        <f t="shared" si="74"/>
        <v>0</v>
      </c>
      <c r="AN70" s="423">
        <f t="shared" si="75"/>
        <v>0</v>
      </c>
      <c r="AO70" s="421">
        <f t="shared" si="76"/>
        <v>0</v>
      </c>
      <c r="AP70" s="472">
        <v>0</v>
      </c>
      <c r="AQ70" s="472">
        <v>0</v>
      </c>
      <c r="AR70" s="472">
        <v>0</v>
      </c>
      <c r="AS70" s="475">
        <v>0</v>
      </c>
      <c r="AT70" s="475">
        <v>0</v>
      </c>
      <c r="AU70" s="475">
        <v>0</v>
      </c>
      <c r="AV70" s="454">
        <f t="shared" si="77"/>
        <v>0</v>
      </c>
      <c r="AW70" s="421">
        <f t="shared" si="78"/>
        <v>0</v>
      </c>
      <c r="AX70" s="455">
        <f t="shared" si="52"/>
        <v>1</v>
      </c>
      <c r="AY70" s="424">
        <f t="shared" si="79"/>
        <v>0</v>
      </c>
      <c r="AZ70" s="424">
        <f t="shared" si="80"/>
        <v>0</v>
      </c>
      <c r="BA70" s="424">
        <f t="shared" si="81"/>
        <v>0</v>
      </c>
      <c r="BB70" s="424">
        <f t="shared" si="82"/>
        <v>0</v>
      </c>
      <c r="BC70" s="424">
        <f t="shared" si="83"/>
        <v>-989829</v>
      </c>
      <c r="BD70" s="424">
        <f t="shared" si="84"/>
        <v>-989829</v>
      </c>
      <c r="BE70" s="452">
        <f t="shared" si="85"/>
        <v>-989829</v>
      </c>
      <c r="BF70" s="448">
        <f t="shared" si="86"/>
        <v>0</v>
      </c>
      <c r="BG70" s="456">
        <f t="shared" si="87"/>
        <v>0</v>
      </c>
      <c r="BH70" s="457">
        <f t="shared" si="53"/>
        <v>0</v>
      </c>
      <c r="BI70" s="407" t="s">
        <v>1490</v>
      </c>
      <c r="BM70" s="429">
        <f>IF(BR70&gt;BR66,BM66,IF(BM66&lt;MiscData!$F$1,EOMONTH(BM66,1),EOMONTH(BM66,-11)))</f>
        <v>42063</v>
      </c>
      <c r="BN70" s="416" t="str">
        <f t="shared" si="54"/>
        <v>20140101KUCSR760</v>
      </c>
      <c r="BO70" s="427" t="str">
        <f t="shared" si="55"/>
        <v>20140101CSR10</v>
      </c>
      <c r="BP70" s="407">
        <f>IF(BM70&lt;=MiscData!$B$23,MiscData!$C$23,IF(BM70&lt;=MiscData!$B$24,MiscData!$C$24,MiscData!$C$25))</f>
        <v>20140101</v>
      </c>
      <c r="BQ70" s="407" t="str">
        <f>VLOOKUP(BR70,MiscData!$V$4:$W$42,2,FALSE)</f>
        <v>KUCSR760</v>
      </c>
      <c r="BR70" s="407">
        <f>IF(BR69=MiscData!$V$42,1,BR69+1)</f>
        <v>28</v>
      </c>
      <c r="BS70" s="407" t="str">
        <f>VLOOKUP(BQ70,MiscData!$W$4:$Y$42,3,FALSE)</f>
        <v>CSR10</v>
      </c>
    </row>
    <row r="71" spans="1:71" hidden="1">
      <c r="A71" s="416">
        <f>A67+1</f>
        <v>62</v>
      </c>
      <c r="B71" s="416" t="str">
        <f t="shared" si="49"/>
        <v>Feb 2015</v>
      </c>
      <c r="C71" s="416" t="s">
        <v>1459</v>
      </c>
      <c r="D71" s="417" t="str">
        <f t="shared" si="50"/>
        <v>CSR10</v>
      </c>
      <c r="E71" s="417" t="str">
        <f t="shared" si="51"/>
        <v>KUCSR761</v>
      </c>
      <c r="F71" s="418">
        <f t="shared" si="56"/>
        <v>0</v>
      </c>
      <c r="G71" s="467">
        <v>0</v>
      </c>
      <c r="H71" s="418">
        <v>0</v>
      </c>
      <c r="I71" s="418">
        <v>0</v>
      </c>
      <c r="J71" s="418">
        <v>0</v>
      </c>
      <c r="K71" s="418">
        <f t="shared" si="57"/>
        <v>0</v>
      </c>
      <c r="L71" s="459">
        <v>0</v>
      </c>
      <c r="M71" s="443">
        <f t="shared" si="58"/>
        <v>0</v>
      </c>
      <c r="N71" s="443">
        <f t="shared" si="59"/>
        <v>0</v>
      </c>
      <c r="O71" s="443">
        <f t="shared" si="60"/>
        <v>0</v>
      </c>
      <c r="P71" s="443">
        <f t="shared" si="61"/>
        <v>0</v>
      </c>
      <c r="Q71" s="443">
        <f t="shared" si="62"/>
        <v>0</v>
      </c>
      <c r="R71" s="443">
        <f t="shared" si="63"/>
        <v>0</v>
      </c>
      <c r="S71" s="484">
        <v>0</v>
      </c>
      <c r="T71" s="484">
        <v>0</v>
      </c>
      <c r="U71" s="484">
        <v>0</v>
      </c>
      <c r="V71" s="490">
        <v>0</v>
      </c>
      <c r="W71" s="490">
        <v>0</v>
      </c>
      <c r="X71" s="490">
        <v>0</v>
      </c>
      <c r="Y71" s="419">
        <f t="shared" si="64"/>
        <v>0</v>
      </c>
      <c r="Z71" s="420">
        <f t="shared" si="65"/>
        <v>0</v>
      </c>
      <c r="AA71" s="420">
        <v>0</v>
      </c>
      <c r="AB71" s="420">
        <v>0</v>
      </c>
      <c r="AC71" s="420">
        <f t="shared" si="66"/>
        <v>0</v>
      </c>
      <c r="AD71" s="419">
        <f t="shared" si="67"/>
        <v>-5.5</v>
      </c>
      <c r="AE71" s="419">
        <f t="shared" si="68"/>
        <v>0</v>
      </c>
      <c r="AF71" s="419">
        <f t="shared" si="69"/>
        <v>0</v>
      </c>
      <c r="AG71" s="454">
        <f t="shared" si="70"/>
        <v>0</v>
      </c>
      <c r="AH71" s="454">
        <f t="shared" si="44"/>
        <v>0</v>
      </c>
      <c r="AI71" s="421">
        <f t="shared" si="71"/>
        <v>0</v>
      </c>
      <c r="AJ71" s="421">
        <f t="shared" si="72"/>
        <v>0</v>
      </c>
      <c r="AK71" s="421">
        <f t="shared" si="73"/>
        <v>0</v>
      </c>
      <c r="AL71" s="472">
        <v>0</v>
      </c>
      <c r="AM71" s="422">
        <f t="shared" si="74"/>
        <v>0</v>
      </c>
      <c r="AN71" s="423">
        <f t="shared" si="75"/>
        <v>0</v>
      </c>
      <c r="AO71" s="421">
        <f t="shared" si="76"/>
        <v>0</v>
      </c>
      <c r="AP71" s="472">
        <v>0</v>
      </c>
      <c r="AQ71" s="472">
        <v>0</v>
      </c>
      <c r="AR71" s="472">
        <v>0</v>
      </c>
      <c r="AS71" s="475">
        <v>0</v>
      </c>
      <c r="AT71" s="475">
        <v>0</v>
      </c>
      <c r="AU71" s="475">
        <v>0</v>
      </c>
      <c r="AV71" s="454">
        <f t="shared" si="77"/>
        <v>0</v>
      </c>
      <c r="AW71" s="421">
        <f t="shared" si="78"/>
        <v>0</v>
      </c>
      <c r="AX71" s="455">
        <f t="shared" si="52"/>
        <v>1</v>
      </c>
      <c r="AY71" s="424">
        <f t="shared" si="79"/>
        <v>0</v>
      </c>
      <c r="AZ71" s="424">
        <f t="shared" si="80"/>
        <v>0</v>
      </c>
      <c r="BA71" s="424">
        <f t="shared" si="81"/>
        <v>0</v>
      </c>
      <c r="BB71" s="424">
        <f t="shared" si="82"/>
        <v>0</v>
      </c>
      <c r="BC71" s="424">
        <f t="shared" si="83"/>
        <v>0</v>
      </c>
      <c r="BD71" s="424">
        <f t="shared" si="84"/>
        <v>0</v>
      </c>
      <c r="BE71" s="452">
        <f t="shared" si="85"/>
        <v>0</v>
      </c>
      <c r="BF71" s="448">
        <f t="shared" si="86"/>
        <v>0</v>
      </c>
      <c r="BG71" s="456">
        <f t="shared" si="87"/>
        <v>0</v>
      </c>
      <c r="BH71" s="457">
        <f t="shared" si="53"/>
        <v>0</v>
      </c>
      <c r="BI71" s="407" t="s">
        <v>1490</v>
      </c>
      <c r="BM71" s="429">
        <f>IF(BR71&gt;BR67,BM67,IF(BM67&lt;MiscData!$F$1,EOMONTH(BM67,1),EOMONTH(BM67,-11)))</f>
        <v>42063</v>
      </c>
      <c r="BN71" s="416" t="str">
        <f t="shared" si="54"/>
        <v>20140101KUCSR761</v>
      </c>
      <c r="BO71" s="427" t="str">
        <f t="shared" si="55"/>
        <v>20140101CSR10</v>
      </c>
      <c r="BP71" s="407">
        <f>IF(BM71&lt;=MiscData!$B$23,MiscData!$C$23,IF(BM71&lt;=MiscData!$B$24,MiscData!$C$24,MiscData!$C$25))</f>
        <v>20140101</v>
      </c>
      <c r="BQ71" s="407" t="str">
        <f>VLOOKUP(BR71,MiscData!$V$4:$W$42,2,FALSE)</f>
        <v>KUCSR761</v>
      </c>
      <c r="BR71" s="407">
        <f>IF(BR70=MiscData!$V$42,1,BR70+1)</f>
        <v>29</v>
      </c>
      <c r="BS71" s="407" t="str">
        <f>VLOOKUP(BQ71,MiscData!$W$4:$Y$42,3,FALSE)</f>
        <v>CSR10</v>
      </c>
    </row>
    <row r="72" spans="1:71" hidden="1">
      <c r="A72" s="416">
        <f>A68+1</f>
        <v>63</v>
      </c>
      <c r="B72" s="416" t="str">
        <f t="shared" si="49"/>
        <v>Feb 2015</v>
      </c>
      <c r="C72" s="416" t="s">
        <v>1460</v>
      </c>
      <c r="D72" s="417" t="str">
        <f t="shared" si="50"/>
        <v>CSR30</v>
      </c>
      <c r="E72" s="417" t="str">
        <f t="shared" si="51"/>
        <v>KUCSR780</v>
      </c>
      <c r="F72" s="418">
        <f t="shared" si="56"/>
        <v>0</v>
      </c>
      <c r="G72" s="467">
        <v>0</v>
      </c>
      <c r="H72" s="418">
        <v>0</v>
      </c>
      <c r="I72" s="418">
        <v>0</v>
      </c>
      <c r="J72" s="418">
        <v>0</v>
      </c>
      <c r="K72" s="418">
        <f t="shared" si="57"/>
        <v>0</v>
      </c>
      <c r="L72" s="459">
        <v>0</v>
      </c>
      <c r="M72" s="443">
        <f t="shared" si="58"/>
        <v>0</v>
      </c>
      <c r="N72" s="443">
        <f t="shared" si="59"/>
        <v>0</v>
      </c>
      <c r="O72" s="443">
        <f t="shared" si="60"/>
        <v>0</v>
      </c>
      <c r="P72" s="443">
        <f t="shared" si="61"/>
        <v>0</v>
      </c>
      <c r="Q72" s="443">
        <f t="shared" si="62"/>
        <v>0</v>
      </c>
      <c r="R72" s="443">
        <f t="shared" si="63"/>
        <v>0</v>
      </c>
      <c r="S72" s="484">
        <v>0</v>
      </c>
      <c r="T72" s="484">
        <v>0</v>
      </c>
      <c r="U72" s="484">
        <v>0</v>
      </c>
      <c r="V72" s="490">
        <v>0</v>
      </c>
      <c r="W72" s="490">
        <v>0</v>
      </c>
      <c r="X72" s="490">
        <v>0</v>
      </c>
      <c r="Y72" s="419">
        <f t="shared" si="64"/>
        <v>0</v>
      </c>
      <c r="Z72" s="420">
        <f t="shared" si="65"/>
        <v>0</v>
      </c>
      <c r="AA72" s="420">
        <v>0</v>
      </c>
      <c r="AB72" s="420">
        <v>0</v>
      </c>
      <c r="AC72" s="420">
        <f t="shared" si="66"/>
        <v>0</v>
      </c>
      <c r="AD72" s="419">
        <f t="shared" si="67"/>
        <v>-4.3</v>
      </c>
      <c r="AE72" s="419">
        <f t="shared" si="68"/>
        <v>0</v>
      </c>
      <c r="AF72" s="419">
        <f t="shared" si="69"/>
        <v>0</v>
      </c>
      <c r="AG72" s="454">
        <f t="shared" si="70"/>
        <v>0</v>
      </c>
      <c r="AH72" s="454">
        <f t="shared" si="44"/>
        <v>0</v>
      </c>
      <c r="AI72" s="421">
        <f t="shared" si="71"/>
        <v>0</v>
      </c>
      <c r="AJ72" s="421">
        <f t="shared" si="72"/>
        <v>0</v>
      </c>
      <c r="AK72" s="421">
        <f t="shared" si="73"/>
        <v>0</v>
      </c>
      <c r="AL72" s="472">
        <v>0</v>
      </c>
      <c r="AM72" s="422">
        <f t="shared" si="74"/>
        <v>0</v>
      </c>
      <c r="AN72" s="423">
        <f t="shared" si="75"/>
        <v>0</v>
      </c>
      <c r="AO72" s="421">
        <f t="shared" si="76"/>
        <v>0</v>
      </c>
      <c r="AP72" s="472">
        <v>0</v>
      </c>
      <c r="AQ72" s="472">
        <v>0</v>
      </c>
      <c r="AR72" s="472">
        <v>0</v>
      </c>
      <c r="AS72" s="475">
        <v>0</v>
      </c>
      <c r="AT72" s="475">
        <v>0</v>
      </c>
      <c r="AU72" s="475">
        <v>0</v>
      </c>
      <c r="AV72" s="454">
        <f t="shared" si="77"/>
        <v>0</v>
      </c>
      <c r="AW72" s="421">
        <f t="shared" si="78"/>
        <v>0</v>
      </c>
      <c r="AX72" s="455">
        <f t="shared" si="52"/>
        <v>1</v>
      </c>
      <c r="AY72" s="424">
        <f t="shared" si="79"/>
        <v>0</v>
      </c>
      <c r="AZ72" s="424">
        <f t="shared" si="80"/>
        <v>0</v>
      </c>
      <c r="BA72" s="424">
        <f t="shared" si="81"/>
        <v>0</v>
      </c>
      <c r="BB72" s="424">
        <f t="shared" si="82"/>
        <v>0</v>
      </c>
      <c r="BC72" s="424">
        <f t="shared" si="83"/>
        <v>0</v>
      </c>
      <c r="BD72" s="424">
        <f t="shared" si="84"/>
        <v>0</v>
      </c>
      <c r="BE72" s="452">
        <f t="shared" si="85"/>
        <v>0</v>
      </c>
      <c r="BF72" s="448">
        <f t="shared" si="86"/>
        <v>0</v>
      </c>
      <c r="BG72" s="456">
        <f t="shared" si="87"/>
        <v>0</v>
      </c>
      <c r="BH72" s="457">
        <f t="shared" si="53"/>
        <v>0</v>
      </c>
      <c r="BI72" s="407" t="s">
        <v>1490</v>
      </c>
      <c r="BM72" s="429">
        <f>IF(BR72&gt;BR68,BM68,IF(BM68&lt;MiscData!$F$1,EOMONTH(BM68,1),EOMONTH(BM68,-11)))</f>
        <v>42063</v>
      </c>
      <c r="BN72" s="416" t="str">
        <f t="shared" si="54"/>
        <v>20140101KUCSR780</v>
      </c>
      <c r="BO72" s="427" t="str">
        <f t="shared" si="55"/>
        <v>20140101CSR30</v>
      </c>
      <c r="BP72" s="407">
        <f>IF(BM72&lt;=MiscData!$B$23,MiscData!$C$23,IF(BM72&lt;=MiscData!$B$24,MiscData!$C$24,MiscData!$C$25))</f>
        <v>20140101</v>
      </c>
      <c r="BQ72" s="407" t="str">
        <f>VLOOKUP(BR72,MiscData!$V$4:$W$42,2,FALSE)</f>
        <v>KUCSR780</v>
      </c>
      <c r="BR72" s="407">
        <f>IF(BR71=MiscData!$V$42,1,BR71+1)</f>
        <v>30</v>
      </c>
      <c r="BS72" s="407" t="str">
        <f>VLOOKUP(BQ72,MiscData!$W$4:$Y$42,3,FALSE)</f>
        <v>CSR30</v>
      </c>
    </row>
    <row r="73" spans="1:71" hidden="1">
      <c r="A73" s="416">
        <f>A69+1</f>
        <v>64</v>
      </c>
      <c r="B73" s="416" t="str">
        <f t="shared" si="49"/>
        <v>Feb 2015</v>
      </c>
      <c r="C73" s="416" t="s">
        <v>1460</v>
      </c>
      <c r="D73" s="417" t="str">
        <f t="shared" si="50"/>
        <v>CSR30</v>
      </c>
      <c r="E73" s="417" t="str">
        <f t="shared" si="51"/>
        <v>KUCSR781</v>
      </c>
      <c r="F73" s="418">
        <f t="shared" si="56"/>
        <v>0</v>
      </c>
      <c r="G73" s="467">
        <v>0</v>
      </c>
      <c r="H73" s="418">
        <v>0</v>
      </c>
      <c r="I73" s="418">
        <v>0</v>
      </c>
      <c r="J73" s="418">
        <v>0</v>
      </c>
      <c r="K73" s="418">
        <f t="shared" si="57"/>
        <v>0</v>
      </c>
      <c r="L73" s="459">
        <v>0</v>
      </c>
      <c r="M73" s="443">
        <f t="shared" si="58"/>
        <v>0</v>
      </c>
      <c r="N73" s="443">
        <f t="shared" si="59"/>
        <v>0</v>
      </c>
      <c r="O73" s="443">
        <f t="shared" si="60"/>
        <v>0</v>
      </c>
      <c r="P73" s="443">
        <f t="shared" si="61"/>
        <v>0</v>
      </c>
      <c r="Q73" s="443">
        <f t="shared" si="62"/>
        <v>0</v>
      </c>
      <c r="R73" s="443">
        <f t="shared" si="63"/>
        <v>0</v>
      </c>
      <c r="S73" s="484">
        <v>0</v>
      </c>
      <c r="T73" s="484">
        <v>0</v>
      </c>
      <c r="U73" s="484">
        <v>0</v>
      </c>
      <c r="V73" s="490">
        <v>0</v>
      </c>
      <c r="W73" s="490">
        <v>0</v>
      </c>
      <c r="X73" s="490">
        <v>0</v>
      </c>
      <c r="Y73" s="419">
        <f t="shared" si="64"/>
        <v>0</v>
      </c>
      <c r="Z73" s="420">
        <f t="shared" si="65"/>
        <v>0</v>
      </c>
      <c r="AA73" s="420">
        <v>0</v>
      </c>
      <c r="AB73" s="420">
        <v>0</v>
      </c>
      <c r="AC73" s="420">
        <f t="shared" si="66"/>
        <v>0</v>
      </c>
      <c r="AD73" s="419">
        <f t="shared" si="67"/>
        <v>-4.4000000000000004</v>
      </c>
      <c r="AE73" s="419">
        <f t="shared" si="68"/>
        <v>0</v>
      </c>
      <c r="AF73" s="419">
        <f t="shared" si="69"/>
        <v>0</v>
      </c>
      <c r="AG73" s="454">
        <f t="shared" si="70"/>
        <v>0</v>
      </c>
      <c r="AH73" s="454">
        <f t="shared" si="44"/>
        <v>0</v>
      </c>
      <c r="AI73" s="421">
        <f t="shared" si="71"/>
        <v>0</v>
      </c>
      <c r="AJ73" s="421">
        <f t="shared" si="72"/>
        <v>0</v>
      </c>
      <c r="AK73" s="421">
        <f t="shared" si="73"/>
        <v>0</v>
      </c>
      <c r="AL73" s="472">
        <v>0</v>
      </c>
      <c r="AM73" s="422">
        <f t="shared" si="74"/>
        <v>0</v>
      </c>
      <c r="AN73" s="423">
        <f t="shared" si="75"/>
        <v>0</v>
      </c>
      <c r="AO73" s="421">
        <f t="shared" si="76"/>
        <v>0</v>
      </c>
      <c r="AP73" s="472">
        <v>0</v>
      </c>
      <c r="AQ73" s="472">
        <v>0</v>
      </c>
      <c r="AR73" s="472">
        <v>0</v>
      </c>
      <c r="AS73" s="475">
        <v>0</v>
      </c>
      <c r="AT73" s="475">
        <v>0</v>
      </c>
      <c r="AU73" s="475">
        <v>0</v>
      </c>
      <c r="AV73" s="454">
        <f t="shared" si="77"/>
        <v>0</v>
      </c>
      <c r="AW73" s="421">
        <f t="shared" si="78"/>
        <v>0</v>
      </c>
      <c r="AX73" s="455">
        <f t="shared" si="52"/>
        <v>1</v>
      </c>
      <c r="AY73" s="424">
        <f t="shared" si="79"/>
        <v>0</v>
      </c>
      <c r="AZ73" s="424">
        <f t="shared" si="80"/>
        <v>0</v>
      </c>
      <c r="BA73" s="424">
        <f t="shared" si="81"/>
        <v>0</v>
      </c>
      <c r="BB73" s="424">
        <f t="shared" si="82"/>
        <v>0</v>
      </c>
      <c r="BC73" s="424">
        <f t="shared" si="83"/>
        <v>0</v>
      </c>
      <c r="BD73" s="424">
        <f t="shared" si="84"/>
        <v>0</v>
      </c>
      <c r="BE73" s="452">
        <f t="shared" si="85"/>
        <v>0</v>
      </c>
      <c r="BF73" s="448">
        <f t="shared" si="86"/>
        <v>0</v>
      </c>
      <c r="BG73" s="456">
        <f t="shared" si="87"/>
        <v>0</v>
      </c>
      <c r="BH73" s="457">
        <f t="shared" si="53"/>
        <v>0</v>
      </c>
      <c r="BI73" s="407" t="s">
        <v>1490</v>
      </c>
      <c r="BM73" s="429">
        <f>IF(BR73&gt;BR69,BM69,IF(BM69&lt;MiscData!$F$1,EOMONTH(BM69,1),EOMONTH(BM69,-11)))</f>
        <v>42063</v>
      </c>
      <c r="BN73" s="416" t="str">
        <f t="shared" si="54"/>
        <v>20140101KUCSR781</v>
      </c>
      <c r="BO73" s="427" t="str">
        <f t="shared" si="55"/>
        <v>20140101CSR30</v>
      </c>
      <c r="BP73" s="407">
        <f>IF(BM73&lt;=MiscData!$B$23,MiscData!$C$23,IF(BM73&lt;=MiscData!$B$24,MiscData!$C$24,MiscData!$C$25))</f>
        <v>20140101</v>
      </c>
      <c r="BQ73" s="407" t="str">
        <f>VLOOKUP(BR73,MiscData!$V$4:$W$42,2,FALSE)</f>
        <v>KUCSR781</v>
      </c>
      <c r="BR73" s="407">
        <f>IF(BR72=MiscData!$V$42,1,BR72+1)</f>
        <v>31</v>
      </c>
      <c r="BS73" s="407" t="str">
        <f>VLOOKUP(BQ73,MiscData!$W$4:$Y$42,3,FALSE)</f>
        <v>CSR30</v>
      </c>
    </row>
    <row r="74" spans="1:71" hidden="1">
      <c r="A74" s="416">
        <f t="shared" ref="A74:A108" si="88">A73+1</f>
        <v>65</v>
      </c>
      <c r="B74" s="416" t="str">
        <f t="shared" si="49"/>
        <v>Feb 2015</v>
      </c>
      <c r="C74" s="416" t="s">
        <v>1460</v>
      </c>
      <c r="D74" s="417" t="str">
        <f t="shared" si="50"/>
        <v>CSR30</v>
      </c>
      <c r="E74" s="417" t="str">
        <f t="shared" si="51"/>
        <v>KUCSR783</v>
      </c>
      <c r="F74" s="418">
        <f t="shared" si="56"/>
        <v>0</v>
      </c>
      <c r="G74" s="467">
        <v>0</v>
      </c>
      <c r="H74" s="418">
        <v>0</v>
      </c>
      <c r="I74" s="418">
        <v>0</v>
      </c>
      <c r="J74" s="418">
        <v>0</v>
      </c>
      <c r="K74" s="418">
        <f t="shared" si="57"/>
        <v>0</v>
      </c>
      <c r="L74" s="459">
        <v>0</v>
      </c>
      <c r="M74" s="443">
        <f t="shared" si="58"/>
        <v>0</v>
      </c>
      <c r="N74" s="443">
        <f t="shared" si="59"/>
        <v>0</v>
      </c>
      <c r="O74" s="443">
        <f t="shared" si="60"/>
        <v>0</v>
      </c>
      <c r="P74" s="443">
        <f t="shared" si="61"/>
        <v>0</v>
      </c>
      <c r="Q74" s="443">
        <f t="shared" si="62"/>
        <v>0</v>
      </c>
      <c r="R74" s="443">
        <f t="shared" si="63"/>
        <v>0</v>
      </c>
      <c r="S74" s="484">
        <v>0</v>
      </c>
      <c r="T74" s="484">
        <v>0</v>
      </c>
      <c r="U74" s="484">
        <v>0</v>
      </c>
      <c r="V74" s="490">
        <v>0</v>
      </c>
      <c r="W74" s="490">
        <v>0</v>
      </c>
      <c r="X74" s="490">
        <v>0</v>
      </c>
      <c r="Y74" s="419">
        <f t="shared" si="64"/>
        <v>0</v>
      </c>
      <c r="Z74" s="420">
        <f t="shared" si="65"/>
        <v>0</v>
      </c>
      <c r="AA74" s="420">
        <v>0</v>
      </c>
      <c r="AB74" s="420">
        <v>0</v>
      </c>
      <c r="AC74" s="420">
        <f t="shared" si="66"/>
        <v>0</v>
      </c>
      <c r="AD74" s="419">
        <f t="shared" si="67"/>
        <v>-4.4000000000000004</v>
      </c>
      <c r="AE74" s="419">
        <f t="shared" si="68"/>
        <v>0</v>
      </c>
      <c r="AF74" s="419">
        <f t="shared" si="69"/>
        <v>0</v>
      </c>
      <c r="AG74" s="454">
        <f t="shared" si="70"/>
        <v>0</v>
      </c>
      <c r="AH74" s="454">
        <f t="shared" si="44"/>
        <v>0</v>
      </c>
      <c r="AI74" s="421">
        <f t="shared" si="71"/>
        <v>0</v>
      </c>
      <c r="AJ74" s="421">
        <f t="shared" si="72"/>
        <v>0</v>
      </c>
      <c r="AK74" s="421">
        <f t="shared" si="73"/>
        <v>0</v>
      </c>
      <c r="AL74" s="472">
        <v>0</v>
      </c>
      <c r="AM74" s="422">
        <f t="shared" si="74"/>
        <v>0</v>
      </c>
      <c r="AN74" s="423">
        <f t="shared" si="75"/>
        <v>0</v>
      </c>
      <c r="AO74" s="421">
        <f t="shared" si="76"/>
        <v>0</v>
      </c>
      <c r="AP74" s="472">
        <v>0</v>
      </c>
      <c r="AQ74" s="472">
        <v>0</v>
      </c>
      <c r="AR74" s="472">
        <v>0</v>
      </c>
      <c r="AS74" s="475">
        <v>0</v>
      </c>
      <c r="AT74" s="475">
        <v>0</v>
      </c>
      <c r="AU74" s="475">
        <v>0</v>
      </c>
      <c r="AV74" s="454">
        <f t="shared" si="77"/>
        <v>0</v>
      </c>
      <c r="AW74" s="421">
        <f t="shared" si="78"/>
        <v>0</v>
      </c>
      <c r="AX74" s="455">
        <f t="shared" si="52"/>
        <v>1</v>
      </c>
      <c r="AY74" s="424">
        <f t="shared" si="79"/>
        <v>0</v>
      </c>
      <c r="AZ74" s="424">
        <f t="shared" si="80"/>
        <v>0</v>
      </c>
      <c r="BA74" s="424">
        <f t="shared" si="81"/>
        <v>0</v>
      </c>
      <c r="BB74" s="424">
        <f t="shared" si="82"/>
        <v>0</v>
      </c>
      <c r="BC74" s="424">
        <f t="shared" si="83"/>
        <v>0</v>
      </c>
      <c r="BD74" s="424">
        <f t="shared" si="84"/>
        <v>0</v>
      </c>
      <c r="BE74" s="452">
        <f t="shared" si="85"/>
        <v>0</v>
      </c>
      <c r="BF74" s="448">
        <f t="shared" si="86"/>
        <v>0</v>
      </c>
      <c r="BG74" s="456">
        <f t="shared" si="87"/>
        <v>0</v>
      </c>
      <c r="BH74" s="457">
        <f t="shared" si="53"/>
        <v>0</v>
      </c>
      <c r="BI74" s="407" t="s">
        <v>1490</v>
      </c>
      <c r="BM74" s="429">
        <f>IF(BR74&gt;BR73,BM73,IF(BM73&lt;MiscData!$F$1,EOMONTH(BM73,1),EOMONTH(BM73,-11)))</f>
        <v>42063</v>
      </c>
      <c r="BN74" s="416" t="str">
        <f t="shared" si="54"/>
        <v>20140101KUCSR783</v>
      </c>
      <c r="BO74" s="427" t="str">
        <f t="shared" si="55"/>
        <v>20140101CSR30</v>
      </c>
      <c r="BP74" s="407">
        <f>IF(BM74&lt;=MiscData!$B$23,MiscData!$C$23,IF(BM74&lt;=MiscData!$B$24,MiscData!$C$24,MiscData!$C$25))</f>
        <v>20140101</v>
      </c>
      <c r="BQ74" s="407" t="str">
        <f>VLOOKUP(BR74,MiscData!$V$4:$W$42,2,FALSE)</f>
        <v>KUCSR783</v>
      </c>
      <c r="BR74" s="407">
        <f>IF(BR73=MiscData!$V$42,1,BR73+1)</f>
        <v>32</v>
      </c>
      <c r="BS74" s="407" t="str">
        <f>VLOOKUP(BQ74,MiscData!$W$4:$Y$42,3,FALSE)</f>
        <v>CSR30</v>
      </c>
    </row>
    <row r="75" spans="1:71" hidden="1">
      <c r="A75" s="416">
        <f t="shared" si="88"/>
        <v>66</v>
      </c>
      <c r="B75" s="416" t="str">
        <f t="shared" si="49"/>
        <v>Feb 2015</v>
      </c>
      <c r="C75" s="837" t="s">
        <v>675</v>
      </c>
      <c r="D75" s="417" t="str">
        <f t="shared" si="50"/>
        <v>FLST</v>
      </c>
      <c r="E75" s="417" t="str">
        <f t="shared" si="51"/>
        <v>KUINE730</v>
      </c>
      <c r="F75" s="418">
        <f t="shared" si="56"/>
        <v>1</v>
      </c>
      <c r="G75" s="467">
        <v>0</v>
      </c>
      <c r="H75" s="418">
        <v>0</v>
      </c>
      <c r="I75" s="418">
        <v>0</v>
      </c>
      <c r="J75" s="418">
        <v>0</v>
      </c>
      <c r="K75" s="418">
        <f t="shared" si="57"/>
        <v>46508169</v>
      </c>
      <c r="L75" s="459">
        <v>0</v>
      </c>
      <c r="M75" s="443">
        <f t="shared" si="58"/>
        <v>185157.6</v>
      </c>
      <c r="N75" s="443">
        <f t="shared" si="59"/>
        <v>185157.6</v>
      </c>
      <c r="O75" s="443">
        <f t="shared" si="60"/>
        <v>101387.6</v>
      </c>
      <c r="P75" s="443">
        <f t="shared" si="61"/>
        <v>185157.6</v>
      </c>
      <c r="Q75" s="443">
        <f t="shared" si="62"/>
        <v>185157.6</v>
      </c>
      <c r="R75" s="443">
        <f t="shared" si="63"/>
        <v>101387.6</v>
      </c>
      <c r="S75" s="484">
        <v>0</v>
      </c>
      <c r="T75" s="484">
        <v>0</v>
      </c>
      <c r="U75" s="484">
        <v>0</v>
      </c>
      <c r="V75" s="490">
        <v>0</v>
      </c>
      <c r="W75" s="490">
        <v>0</v>
      </c>
      <c r="X75" s="490">
        <v>0</v>
      </c>
      <c r="Y75" s="419">
        <f t="shared" si="64"/>
        <v>750</v>
      </c>
      <c r="Z75" s="420">
        <f t="shared" si="65"/>
        <v>3.261E-2</v>
      </c>
      <c r="AA75" s="420">
        <v>0</v>
      </c>
      <c r="AB75" s="420">
        <v>0</v>
      </c>
      <c r="AC75" s="420">
        <f t="shared" si="66"/>
        <v>2.8920000000000001E-2</v>
      </c>
      <c r="AD75" s="419">
        <f t="shared" si="67"/>
        <v>1.05</v>
      </c>
      <c r="AE75" s="419">
        <f t="shared" si="68"/>
        <v>1.52</v>
      </c>
      <c r="AF75" s="419">
        <f t="shared" si="69"/>
        <v>2.41</v>
      </c>
      <c r="AG75" s="454">
        <f t="shared" si="70"/>
        <v>750</v>
      </c>
      <c r="AH75" s="454">
        <f t="shared" si="44"/>
        <v>1516631.39</v>
      </c>
      <c r="AI75" s="421">
        <f t="shared" si="71"/>
        <v>194415.48</v>
      </c>
      <c r="AJ75" s="421">
        <f t="shared" si="72"/>
        <v>281439.55</v>
      </c>
      <c r="AK75" s="421">
        <f t="shared" si="73"/>
        <v>244344.12</v>
      </c>
      <c r="AL75" s="472">
        <v>0</v>
      </c>
      <c r="AM75" s="422">
        <f t="shared" si="74"/>
        <v>0</v>
      </c>
      <c r="AN75" s="423">
        <f t="shared" si="75"/>
        <v>0</v>
      </c>
      <c r="AO75" s="421">
        <f t="shared" si="76"/>
        <v>720199.15</v>
      </c>
      <c r="AP75" s="472">
        <v>0</v>
      </c>
      <c r="AQ75" s="472">
        <v>0</v>
      </c>
      <c r="AR75" s="472">
        <v>0</v>
      </c>
      <c r="AS75" s="475">
        <v>0</v>
      </c>
      <c r="AT75" s="475">
        <v>0</v>
      </c>
      <c r="AU75" s="475">
        <v>0</v>
      </c>
      <c r="AV75" s="454">
        <f t="shared" si="77"/>
        <v>2237580.54</v>
      </c>
      <c r="AW75" s="421">
        <f t="shared" si="78"/>
        <v>2237580</v>
      </c>
      <c r="AX75" s="455">
        <f t="shared" si="52"/>
        <v>0.99999975866790469</v>
      </c>
      <c r="AY75" s="424">
        <f t="shared" si="79"/>
        <v>86457</v>
      </c>
      <c r="AZ75" s="424">
        <f t="shared" si="80"/>
        <v>0</v>
      </c>
      <c r="BA75" s="424">
        <f t="shared" si="81"/>
        <v>166670</v>
      </c>
      <c r="BB75" s="424">
        <f t="shared" si="82"/>
        <v>0</v>
      </c>
      <c r="BC75" s="424">
        <f t="shared" si="83"/>
        <v>0</v>
      </c>
      <c r="BD75" s="424">
        <f t="shared" si="84"/>
        <v>2490707</v>
      </c>
      <c r="BE75" s="452">
        <f t="shared" si="85"/>
        <v>2490707.54</v>
      </c>
      <c r="BF75" s="448">
        <f t="shared" si="86"/>
        <v>-0.5400000000372529</v>
      </c>
      <c r="BG75" s="456">
        <f t="shared" si="87"/>
        <v>1345016.25</v>
      </c>
      <c r="BH75" s="457">
        <f t="shared" si="53"/>
        <v>171615.1399999999</v>
      </c>
      <c r="BI75" s="407" t="s">
        <v>1490</v>
      </c>
      <c r="BM75" s="429">
        <f>IF(BR75&gt;BR74,BM74,IF(BM74&lt;MiscData!$F$1,EOMONTH(BM74,1),EOMONTH(BM74,-11)))</f>
        <v>42063</v>
      </c>
      <c r="BN75" s="416" t="str">
        <f t="shared" si="54"/>
        <v>20140101KUINE730</v>
      </c>
      <c r="BO75" s="427" t="str">
        <f t="shared" si="55"/>
        <v>20140101FLST</v>
      </c>
      <c r="BP75" s="407">
        <f>IF(BM75&lt;=MiscData!$B$23,MiscData!$C$23,IF(BM75&lt;=MiscData!$B$24,MiscData!$C$24,MiscData!$C$25))</f>
        <v>20140101</v>
      </c>
      <c r="BQ75" s="407" t="str">
        <f>VLOOKUP(BR75,MiscData!$V$4:$W$42,2,FALSE)</f>
        <v>KUINE730</v>
      </c>
      <c r="BR75" s="407">
        <f>IF(BR74=MiscData!$V$42,1,BR74+1)</f>
        <v>33</v>
      </c>
      <c r="BS75" s="407" t="str">
        <f>VLOOKUP(BQ75,MiscData!$W$4:$Y$42,3,FALSE)</f>
        <v>FLST</v>
      </c>
    </row>
    <row r="76" spans="1:71" hidden="1">
      <c r="A76" s="416">
        <f t="shared" si="88"/>
        <v>67</v>
      </c>
      <c r="B76" s="416" t="str">
        <f t="shared" si="49"/>
        <v>Feb 2015</v>
      </c>
      <c r="C76" s="416" t="s">
        <v>15</v>
      </c>
      <c r="D76" s="417" t="str">
        <f t="shared" si="50"/>
        <v>RS</v>
      </c>
      <c r="E76" s="417" t="str">
        <f t="shared" si="51"/>
        <v>KURSE010</v>
      </c>
      <c r="F76" s="418">
        <f t="shared" si="56"/>
        <v>428357</v>
      </c>
      <c r="G76" s="467">
        <v>0</v>
      </c>
      <c r="H76" s="418">
        <v>0</v>
      </c>
      <c r="I76" s="418">
        <v>0</v>
      </c>
      <c r="J76" s="418">
        <v>0</v>
      </c>
      <c r="K76" s="418">
        <f t="shared" si="57"/>
        <v>671792006</v>
      </c>
      <c r="L76" s="459">
        <v>0</v>
      </c>
      <c r="M76" s="443">
        <f t="shared" si="58"/>
        <v>0</v>
      </c>
      <c r="N76" s="443">
        <f t="shared" si="59"/>
        <v>0</v>
      </c>
      <c r="O76" s="443">
        <f t="shared" si="60"/>
        <v>0</v>
      </c>
      <c r="P76" s="443">
        <f t="shared" si="61"/>
        <v>0</v>
      </c>
      <c r="Q76" s="443">
        <f t="shared" si="62"/>
        <v>0</v>
      </c>
      <c r="R76" s="443">
        <f t="shared" si="63"/>
        <v>0</v>
      </c>
      <c r="S76" s="484">
        <v>0</v>
      </c>
      <c r="T76" s="484">
        <v>0</v>
      </c>
      <c r="U76" s="484">
        <v>0</v>
      </c>
      <c r="V76" s="490">
        <v>0</v>
      </c>
      <c r="W76" s="490">
        <v>0</v>
      </c>
      <c r="X76" s="490">
        <v>0</v>
      </c>
      <c r="Y76" s="419">
        <f t="shared" si="64"/>
        <v>10.75</v>
      </c>
      <c r="Z76" s="420">
        <f t="shared" si="65"/>
        <v>7.7439999999999995E-2</v>
      </c>
      <c r="AA76" s="420">
        <v>0</v>
      </c>
      <c r="AB76" s="420">
        <v>0</v>
      </c>
      <c r="AC76" s="420">
        <f t="shared" si="66"/>
        <v>2.8920000000000001E-2</v>
      </c>
      <c r="AD76" s="419">
        <f t="shared" si="67"/>
        <v>0</v>
      </c>
      <c r="AE76" s="419">
        <f t="shared" si="68"/>
        <v>0</v>
      </c>
      <c r="AF76" s="419">
        <f t="shared" si="69"/>
        <v>0</v>
      </c>
      <c r="AG76" s="454">
        <f t="shared" si="70"/>
        <v>4604837.75</v>
      </c>
      <c r="AH76" s="454">
        <f t="shared" si="44"/>
        <v>52023572.939999998</v>
      </c>
      <c r="AI76" s="421">
        <f t="shared" si="71"/>
        <v>0</v>
      </c>
      <c r="AJ76" s="421">
        <f t="shared" si="72"/>
        <v>0</v>
      </c>
      <c r="AK76" s="421">
        <f t="shared" si="73"/>
        <v>0</v>
      </c>
      <c r="AL76" s="482">
        <v>0</v>
      </c>
      <c r="AM76" s="422">
        <f t="shared" si="74"/>
        <v>0</v>
      </c>
      <c r="AN76" s="423">
        <f t="shared" si="75"/>
        <v>0</v>
      </c>
      <c r="AO76" s="421">
        <f t="shared" si="76"/>
        <v>0</v>
      </c>
      <c r="AP76" s="472">
        <v>0</v>
      </c>
      <c r="AQ76" s="472">
        <v>0</v>
      </c>
      <c r="AR76" s="472">
        <v>0</v>
      </c>
      <c r="AS76" s="475">
        <v>0</v>
      </c>
      <c r="AT76" s="475">
        <v>0</v>
      </c>
      <c r="AU76" s="475">
        <v>0</v>
      </c>
      <c r="AV76" s="454">
        <f t="shared" si="77"/>
        <v>56628410.689999998</v>
      </c>
      <c r="AW76" s="421">
        <f t="shared" si="78"/>
        <v>56628415</v>
      </c>
      <c r="AX76" s="455">
        <f t="shared" si="52"/>
        <v>1.0000000761102059</v>
      </c>
      <c r="AY76" s="424">
        <f t="shared" si="79"/>
        <v>1248831</v>
      </c>
      <c r="AZ76" s="424">
        <f t="shared" si="80"/>
        <v>765157</v>
      </c>
      <c r="BA76" s="424">
        <f t="shared" si="81"/>
        <v>2407476</v>
      </c>
      <c r="BB76" s="424">
        <f t="shared" si="82"/>
        <v>0</v>
      </c>
      <c r="BC76" s="424">
        <f t="shared" si="83"/>
        <v>0</v>
      </c>
      <c r="BD76" s="424">
        <f t="shared" si="84"/>
        <v>61049879</v>
      </c>
      <c r="BE76" s="452">
        <f t="shared" si="85"/>
        <v>61049874.689999998</v>
      </c>
      <c r="BF76" s="448">
        <f t="shared" si="86"/>
        <v>4.3100000023841858</v>
      </c>
      <c r="BG76" s="456">
        <f t="shared" si="87"/>
        <v>19428224.809999999</v>
      </c>
      <c r="BH76" s="457">
        <f t="shared" si="53"/>
        <v>32595348.129999999</v>
      </c>
      <c r="BI76" s="407" t="s">
        <v>1490</v>
      </c>
      <c r="BM76" s="429">
        <f>IF(BR76&gt;BR75,BM75,IF(BM75&lt;MiscData!$F$1,EOMONTH(BM75,1),EOMONTH(BM75,-11)))</f>
        <v>42063</v>
      </c>
      <c r="BN76" s="416" t="str">
        <f t="shared" si="54"/>
        <v>20140101KURSE010</v>
      </c>
      <c r="BO76" s="427" t="str">
        <f t="shared" si="55"/>
        <v>20140101RS</v>
      </c>
      <c r="BP76" s="407">
        <f>IF(BM76&lt;=MiscData!$B$23,MiscData!$C$23,IF(BM76&lt;=MiscData!$B$24,MiscData!$C$24,MiscData!$C$25))</f>
        <v>20140101</v>
      </c>
      <c r="BQ76" s="407" t="str">
        <f>VLOOKUP(BR76,MiscData!$V$4:$W$42,2,FALSE)</f>
        <v>KURSE010</v>
      </c>
      <c r="BR76" s="407">
        <f>IF(BR75=MiscData!$V$42,1,BR75+1)</f>
        <v>34</v>
      </c>
      <c r="BS76" s="407" t="str">
        <f>VLOOKUP(BQ76,MiscData!$W$4:$Y$42,3,FALSE)</f>
        <v>RS</v>
      </c>
    </row>
    <row r="77" spans="1:71" hidden="1">
      <c r="A77" s="416">
        <f t="shared" si="88"/>
        <v>68</v>
      </c>
      <c r="B77" s="416" t="str">
        <f t="shared" si="49"/>
        <v>Feb 2015</v>
      </c>
      <c r="C77" s="416" t="s">
        <v>15</v>
      </c>
      <c r="D77" s="417" t="str">
        <f t="shared" si="50"/>
        <v>RS</v>
      </c>
      <c r="E77" s="417" t="str">
        <f t="shared" si="51"/>
        <v>KURSE020</v>
      </c>
      <c r="F77" s="418">
        <f t="shared" si="56"/>
        <v>0</v>
      </c>
      <c r="G77" s="467">
        <v>0</v>
      </c>
      <c r="H77" s="418">
        <v>0</v>
      </c>
      <c r="I77" s="418">
        <v>0</v>
      </c>
      <c r="J77" s="418">
        <v>0</v>
      </c>
      <c r="K77" s="418">
        <f t="shared" si="57"/>
        <v>0</v>
      </c>
      <c r="L77" s="459">
        <v>0</v>
      </c>
      <c r="M77" s="443">
        <f t="shared" si="58"/>
        <v>0</v>
      </c>
      <c r="N77" s="443">
        <f t="shared" si="59"/>
        <v>0</v>
      </c>
      <c r="O77" s="443">
        <f t="shared" si="60"/>
        <v>0</v>
      </c>
      <c r="P77" s="443">
        <f t="shared" si="61"/>
        <v>0</v>
      </c>
      <c r="Q77" s="443">
        <f t="shared" si="62"/>
        <v>0</v>
      </c>
      <c r="R77" s="443">
        <f t="shared" si="63"/>
        <v>0</v>
      </c>
      <c r="S77" s="484">
        <v>0</v>
      </c>
      <c r="T77" s="484">
        <v>0</v>
      </c>
      <c r="U77" s="484">
        <v>0</v>
      </c>
      <c r="V77" s="490">
        <v>0</v>
      </c>
      <c r="W77" s="490">
        <v>0</v>
      </c>
      <c r="X77" s="490">
        <v>0</v>
      </c>
      <c r="Y77" s="419">
        <f t="shared" si="64"/>
        <v>10.75</v>
      </c>
      <c r="Z77" s="420">
        <f t="shared" si="65"/>
        <v>7.7439999999999995E-2</v>
      </c>
      <c r="AA77" s="420">
        <v>0</v>
      </c>
      <c r="AB77" s="420">
        <v>0</v>
      </c>
      <c r="AC77" s="420">
        <f t="shared" si="66"/>
        <v>2.8920000000000001E-2</v>
      </c>
      <c r="AD77" s="419">
        <f t="shared" si="67"/>
        <v>0</v>
      </c>
      <c r="AE77" s="419">
        <f t="shared" si="68"/>
        <v>0</v>
      </c>
      <c r="AF77" s="419">
        <f t="shared" si="69"/>
        <v>0</v>
      </c>
      <c r="AG77" s="454">
        <f t="shared" si="70"/>
        <v>0</v>
      </c>
      <c r="AH77" s="454">
        <f t="shared" si="44"/>
        <v>0</v>
      </c>
      <c r="AI77" s="421">
        <f t="shared" si="71"/>
        <v>0</v>
      </c>
      <c r="AJ77" s="421">
        <f t="shared" si="72"/>
        <v>0</v>
      </c>
      <c r="AK77" s="421">
        <f t="shared" si="73"/>
        <v>0</v>
      </c>
      <c r="AL77" s="482">
        <v>0</v>
      </c>
      <c r="AM77" s="422">
        <f t="shared" si="74"/>
        <v>0</v>
      </c>
      <c r="AN77" s="423">
        <f t="shared" si="75"/>
        <v>0</v>
      </c>
      <c r="AO77" s="421">
        <f t="shared" si="76"/>
        <v>0</v>
      </c>
      <c r="AP77" s="472">
        <v>0</v>
      </c>
      <c r="AQ77" s="472">
        <v>0</v>
      </c>
      <c r="AR77" s="472">
        <v>0</v>
      </c>
      <c r="AS77" s="475">
        <v>0</v>
      </c>
      <c r="AT77" s="475">
        <v>0</v>
      </c>
      <c r="AU77" s="475">
        <v>0</v>
      </c>
      <c r="AV77" s="454">
        <f t="shared" si="77"/>
        <v>0</v>
      </c>
      <c r="AW77" s="421">
        <f t="shared" si="78"/>
        <v>0</v>
      </c>
      <c r="AX77" s="455">
        <f t="shared" si="52"/>
        <v>1</v>
      </c>
      <c r="AY77" s="424">
        <f t="shared" si="79"/>
        <v>0</v>
      </c>
      <c r="AZ77" s="424">
        <f t="shared" si="80"/>
        <v>0</v>
      </c>
      <c r="BA77" s="424">
        <f t="shared" si="81"/>
        <v>0</v>
      </c>
      <c r="BB77" s="424">
        <f t="shared" si="82"/>
        <v>0</v>
      </c>
      <c r="BC77" s="424">
        <f t="shared" si="83"/>
        <v>0</v>
      </c>
      <c r="BD77" s="424">
        <f t="shared" si="84"/>
        <v>0</v>
      </c>
      <c r="BE77" s="452">
        <f t="shared" si="85"/>
        <v>0</v>
      </c>
      <c r="BF77" s="448">
        <f t="shared" si="86"/>
        <v>0</v>
      </c>
      <c r="BG77" s="456">
        <f t="shared" si="87"/>
        <v>0</v>
      </c>
      <c r="BH77" s="457">
        <f t="shared" si="53"/>
        <v>0</v>
      </c>
      <c r="BI77" s="407" t="s">
        <v>1490</v>
      </c>
      <c r="BM77" s="429">
        <f>IF(BR77&gt;BR76,BM76,IF(BM76&lt;MiscData!$F$1,EOMONTH(BM76,1),EOMONTH(BM76,-11)))</f>
        <v>42063</v>
      </c>
      <c r="BN77" s="416" t="str">
        <f t="shared" si="54"/>
        <v>20140101KURSE020</v>
      </c>
      <c r="BO77" s="427" t="str">
        <f t="shared" si="55"/>
        <v>20140101RS</v>
      </c>
      <c r="BP77" s="407">
        <f>IF(BM77&lt;=MiscData!$B$23,MiscData!$C$23,IF(BM77&lt;=MiscData!$B$24,MiscData!$C$24,MiscData!$C$25))</f>
        <v>20140101</v>
      </c>
      <c r="BQ77" s="407" t="str">
        <f>VLOOKUP(BR77,MiscData!$V$4:$W$42,2,FALSE)</f>
        <v>KURSE020</v>
      </c>
      <c r="BR77" s="407">
        <f>IF(BR76=MiscData!$V$42,1,BR76+1)</f>
        <v>35</v>
      </c>
      <c r="BS77" s="407" t="str">
        <f>VLOOKUP(BQ77,MiscData!$W$4:$Y$42,3,FALSE)</f>
        <v>RS</v>
      </c>
    </row>
    <row r="78" spans="1:71" hidden="1">
      <c r="A78" s="416">
        <f t="shared" si="88"/>
        <v>69</v>
      </c>
      <c r="B78" s="416" t="str">
        <f t="shared" si="49"/>
        <v>Feb 2015</v>
      </c>
      <c r="C78" s="416" t="s">
        <v>15</v>
      </c>
      <c r="D78" s="417" t="str">
        <f t="shared" si="50"/>
        <v>RS</v>
      </c>
      <c r="E78" s="417" t="str">
        <f t="shared" si="51"/>
        <v>KURSE025</v>
      </c>
      <c r="F78" s="418">
        <f t="shared" si="56"/>
        <v>0</v>
      </c>
      <c r="G78" s="467">
        <v>0</v>
      </c>
      <c r="H78" s="418">
        <v>0</v>
      </c>
      <c r="I78" s="418">
        <v>0</v>
      </c>
      <c r="J78" s="418">
        <v>0</v>
      </c>
      <c r="K78" s="418">
        <f t="shared" si="57"/>
        <v>0</v>
      </c>
      <c r="L78" s="459">
        <v>0</v>
      </c>
      <c r="M78" s="443">
        <f t="shared" si="58"/>
        <v>0</v>
      </c>
      <c r="N78" s="443">
        <f t="shared" si="59"/>
        <v>0</v>
      </c>
      <c r="O78" s="443">
        <f t="shared" si="60"/>
        <v>0</v>
      </c>
      <c r="P78" s="443">
        <f t="shared" si="61"/>
        <v>0</v>
      </c>
      <c r="Q78" s="443">
        <f t="shared" si="62"/>
        <v>0</v>
      </c>
      <c r="R78" s="443">
        <f t="shared" si="63"/>
        <v>0</v>
      </c>
      <c r="S78" s="484">
        <v>0</v>
      </c>
      <c r="T78" s="484">
        <v>0</v>
      </c>
      <c r="U78" s="484">
        <v>0</v>
      </c>
      <c r="V78" s="490">
        <v>0</v>
      </c>
      <c r="W78" s="490">
        <v>0</v>
      </c>
      <c r="X78" s="490">
        <v>0</v>
      </c>
      <c r="Y78" s="419">
        <f t="shared" si="64"/>
        <v>10.75</v>
      </c>
      <c r="Z78" s="420">
        <f t="shared" si="65"/>
        <v>7.7439999999999995E-2</v>
      </c>
      <c r="AA78" s="420">
        <v>0</v>
      </c>
      <c r="AB78" s="420">
        <v>0</v>
      </c>
      <c r="AC78" s="420">
        <f t="shared" si="66"/>
        <v>2.8920000000000001E-2</v>
      </c>
      <c r="AD78" s="419">
        <f t="shared" si="67"/>
        <v>0</v>
      </c>
      <c r="AE78" s="419">
        <f t="shared" si="68"/>
        <v>0</v>
      </c>
      <c r="AF78" s="419">
        <f t="shared" si="69"/>
        <v>0</v>
      </c>
      <c r="AG78" s="454">
        <f t="shared" si="70"/>
        <v>0</v>
      </c>
      <c r="AH78" s="454">
        <f t="shared" si="44"/>
        <v>0</v>
      </c>
      <c r="AI78" s="421">
        <f t="shared" si="71"/>
        <v>0</v>
      </c>
      <c r="AJ78" s="421">
        <f t="shared" si="72"/>
        <v>0</v>
      </c>
      <c r="AK78" s="421">
        <f t="shared" si="73"/>
        <v>0</v>
      </c>
      <c r="AL78" s="482">
        <v>0</v>
      </c>
      <c r="AM78" s="422">
        <f t="shared" si="74"/>
        <v>0</v>
      </c>
      <c r="AN78" s="423">
        <f t="shared" si="75"/>
        <v>0</v>
      </c>
      <c r="AO78" s="421">
        <f t="shared" si="76"/>
        <v>0</v>
      </c>
      <c r="AP78" s="472">
        <v>0</v>
      </c>
      <c r="AQ78" s="472">
        <v>0</v>
      </c>
      <c r="AR78" s="472">
        <v>0</v>
      </c>
      <c r="AS78" s="475">
        <v>0</v>
      </c>
      <c r="AT78" s="475">
        <v>0</v>
      </c>
      <c r="AU78" s="475">
        <v>0</v>
      </c>
      <c r="AV78" s="454">
        <f t="shared" si="77"/>
        <v>0</v>
      </c>
      <c r="AW78" s="421">
        <f t="shared" si="78"/>
        <v>0</v>
      </c>
      <c r="AX78" s="455">
        <f t="shared" si="52"/>
        <v>1</v>
      </c>
      <c r="AY78" s="424">
        <f t="shared" si="79"/>
        <v>0</v>
      </c>
      <c r="AZ78" s="424">
        <f t="shared" si="80"/>
        <v>0</v>
      </c>
      <c r="BA78" s="424">
        <f t="shared" si="81"/>
        <v>0</v>
      </c>
      <c r="BB78" s="424">
        <f t="shared" si="82"/>
        <v>0</v>
      </c>
      <c r="BC78" s="424">
        <f t="shared" si="83"/>
        <v>0</v>
      </c>
      <c r="BD78" s="424">
        <f t="shared" si="84"/>
        <v>0</v>
      </c>
      <c r="BE78" s="452">
        <f t="shared" si="85"/>
        <v>0</v>
      </c>
      <c r="BF78" s="448">
        <f t="shared" si="86"/>
        <v>0</v>
      </c>
      <c r="BG78" s="456">
        <f t="shared" si="87"/>
        <v>0</v>
      </c>
      <c r="BH78" s="457">
        <f t="shared" si="53"/>
        <v>0</v>
      </c>
      <c r="BI78" s="407" t="s">
        <v>1490</v>
      </c>
      <c r="BM78" s="429">
        <f>IF(BR78&gt;BR77,BM77,IF(BM77&lt;MiscData!$F$1,EOMONTH(BM77,1),EOMONTH(BM77,-11)))</f>
        <v>42063</v>
      </c>
      <c r="BN78" s="416" t="str">
        <f t="shared" si="54"/>
        <v>20140101KURSE025</v>
      </c>
      <c r="BO78" s="427" t="str">
        <f t="shared" si="55"/>
        <v>20140101RS</v>
      </c>
      <c r="BP78" s="407">
        <f>IF(BM78&lt;=MiscData!$B$23,MiscData!$C$23,IF(BM78&lt;=MiscData!$B$24,MiscData!$C$24,MiscData!$C$25))</f>
        <v>20140101</v>
      </c>
      <c r="BQ78" s="407" t="str">
        <f>VLOOKUP(BR78,MiscData!$V$4:$W$42,2,FALSE)</f>
        <v>KURSE025</v>
      </c>
      <c r="BR78" s="407">
        <f>IF(BR77=MiscData!$V$42,1,BR77+1)</f>
        <v>36</v>
      </c>
      <c r="BS78" s="407" t="str">
        <f>VLOOKUP(BQ78,MiscData!$W$4:$Y$42,3,FALSE)</f>
        <v>RS</v>
      </c>
    </row>
    <row r="79" spans="1:71" hidden="1">
      <c r="A79" s="416">
        <f t="shared" si="88"/>
        <v>70</v>
      </c>
      <c r="B79" s="416" t="str">
        <f t="shared" si="49"/>
        <v>Feb 2015</v>
      </c>
      <c r="C79" s="416" t="s">
        <v>807</v>
      </c>
      <c r="D79" s="417" t="str">
        <f t="shared" si="50"/>
        <v>RSLEV</v>
      </c>
      <c r="E79" s="417" t="str">
        <f t="shared" si="51"/>
        <v>KURSE040</v>
      </c>
      <c r="F79" s="418">
        <f t="shared" si="56"/>
        <v>0</v>
      </c>
      <c r="G79" s="467">
        <v>0</v>
      </c>
      <c r="H79" s="418">
        <f>SUMIFS(_1022_KWH_P1,_1022_RevenueMonth,$B79,_1022_RateCategory,$E79)</f>
        <v>0</v>
      </c>
      <c r="I79" s="418">
        <f>SUMIFS(_1022_KWH_P2,_1022_RevenueMonth,$B79,_1022_RateCategory,$E79)</f>
        <v>0</v>
      </c>
      <c r="J79" s="418">
        <f>SUMIFS(_1022_KWH_P3,_1022_RevenueMonth,$B79,_1022_RateCategory,$E79)</f>
        <v>0</v>
      </c>
      <c r="K79" s="418">
        <f t="shared" si="57"/>
        <v>0</v>
      </c>
      <c r="L79" s="459">
        <v>0</v>
      </c>
      <c r="M79" s="443">
        <f t="shared" si="58"/>
        <v>0</v>
      </c>
      <c r="N79" s="443">
        <f t="shared" si="59"/>
        <v>0</v>
      </c>
      <c r="O79" s="443">
        <f t="shared" si="60"/>
        <v>0</v>
      </c>
      <c r="P79" s="443">
        <f t="shared" si="61"/>
        <v>0</v>
      </c>
      <c r="Q79" s="443">
        <f t="shared" si="62"/>
        <v>0</v>
      </c>
      <c r="R79" s="443">
        <f t="shared" si="63"/>
        <v>0</v>
      </c>
      <c r="S79" s="484">
        <v>0</v>
      </c>
      <c r="T79" s="484">
        <v>0</v>
      </c>
      <c r="U79" s="484">
        <v>0</v>
      </c>
      <c r="V79" s="490">
        <v>0</v>
      </c>
      <c r="W79" s="490">
        <v>0</v>
      </c>
      <c r="X79" s="490">
        <v>0</v>
      </c>
      <c r="Y79" s="419">
        <f t="shared" si="64"/>
        <v>10.75</v>
      </c>
      <c r="Z79" s="420">
        <f t="shared" si="65"/>
        <v>5.5870000000000003E-2</v>
      </c>
      <c r="AA79" s="420">
        <f>SUMIF(_Rates_Tariff_Category,$BN79,_Rates_Energy_P2)</f>
        <v>7.7630000000000005E-2</v>
      </c>
      <c r="AB79" s="420">
        <f>SUMIF(_Rates_Tariff_Category,$BN79,_Rates_Energy_P3)</f>
        <v>0.14297000000000001</v>
      </c>
      <c r="AC79" s="420">
        <f t="shared" si="66"/>
        <v>2.8920000000000001E-2</v>
      </c>
      <c r="AD79" s="419">
        <f t="shared" si="67"/>
        <v>0</v>
      </c>
      <c r="AE79" s="419">
        <f t="shared" si="68"/>
        <v>0</v>
      </c>
      <c r="AF79" s="419">
        <f t="shared" si="69"/>
        <v>0</v>
      </c>
      <c r="AG79" s="454">
        <f t="shared" si="70"/>
        <v>0</v>
      </c>
      <c r="AH79" s="454">
        <f t="shared" si="44"/>
        <v>0</v>
      </c>
      <c r="AI79" s="421">
        <f t="shared" si="71"/>
        <v>0</v>
      </c>
      <c r="AJ79" s="421">
        <f t="shared" si="72"/>
        <v>0</v>
      </c>
      <c r="AK79" s="421">
        <f t="shared" si="73"/>
        <v>0</v>
      </c>
      <c r="AL79" s="482">
        <v>0</v>
      </c>
      <c r="AM79" s="422">
        <f t="shared" si="74"/>
        <v>0</v>
      </c>
      <c r="AN79" s="423">
        <f t="shared" si="75"/>
        <v>0</v>
      </c>
      <c r="AO79" s="421">
        <f t="shared" si="76"/>
        <v>0</v>
      </c>
      <c r="AP79" s="472">
        <v>0</v>
      </c>
      <c r="AQ79" s="472">
        <v>0</v>
      </c>
      <c r="AR79" s="472">
        <v>0</v>
      </c>
      <c r="AS79" s="475">
        <v>0</v>
      </c>
      <c r="AT79" s="475">
        <v>0</v>
      </c>
      <c r="AU79" s="475">
        <v>0</v>
      </c>
      <c r="AV79" s="454">
        <f t="shared" si="77"/>
        <v>0</v>
      </c>
      <c r="AW79" s="421">
        <f t="shared" si="78"/>
        <v>0</v>
      </c>
      <c r="AX79" s="455">
        <f t="shared" si="52"/>
        <v>1</v>
      </c>
      <c r="AY79" s="424">
        <f t="shared" si="79"/>
        <v>0</v>
      </c>
      <c r="AZ79" s="424">
        <f t="shared" si="80"/>
        <v>0</v>
      </c>
      <c r="BA79" s="424">
        <f t="shared" si="81"/>
        <v>0</v>
      </c>
      <c r="BB79" s="424">
        <f t="shared" si="82"/>
        <v>0</v>
      </c>
      <c r="BC79" s="424">
        <f t="shared" si="83"/>
        <v>0</v>
      </c>
      <c r="BD79" s="424">
        <f t="shared" si="84"/>
        <v>0</v>
      </c>
      <c r="BE79" s="452">
        <f t="shared" si="85"/>
        <v>0</v>
      </c>
      <c r="BF79" s="448">
        <f t="shared" si="86"/>
        <v>0</v>
      </c>
      <c r="BG79" s="456">
        <f t="shared" si="87"/>
        <v>0</v>
      </c>
      <c r="BH79" s="457">
        <f t="shared" si="53"/>
        <v>0</v>
      </c>
      <c r="BI79" s="407" t="s">
        <v>1490</v>
      </c>
      <c r="BM79" s="429">
        <f>IF(BR79&gt;BR78,BM78,IF(BM78&lt;MiscData!$F$1,EOMONTH(BM78,1),EOMONTH(BM78,-11)))</f>
        <v>42063</v>
      </c>
      <c r="BN79" s="416" t="str">
        <f t="shared" si="54"/>
        <v>20140101KURSE040</v>
      </c>
      <c r="BO79" s="427" t="str">
        <f t="shared" si="55"/>
        <v>20140101RSLEV</v>
      </c>
      <c r="BP79" s="407">
        <f>IF(BM79&lt;=MiscData!$B$23,MiscData!$C$23,IF(BM79&lt;=MiscData!$B$24,MiscData!$C$24,MiscData!$C$25))</f>
        <v>20140101</v>
      </c>
      <c r="BQ79" s="407" t="str">
        <f>VLOOKUP(BR79,MiscData!$V$4:$W$42,2,FALSE)</f>
        <v>KURSE040</v>
      </c>
      <c r="BR79" s="407">
        <f>IF(BR78=MiscData!$V$42,1,BR78+1)</f>
        <v>37</v>
      </c>
      <c r="BS79" s="407" t="str">
        <f>VLOOKUP(BQ79,MiscData!$W$4:$Y$42,3,FALSE)</f>
        <v>RSLEV</v>
      </c>
    </row>
    <row r="80" spans="1:71" hidden="1">
      <c r="A80" s="416">
        <f t="shared" si="88"/>
        <v>71</v>
      </c>
      <c r="B80" s="416" t="str">
        <f t="shared" si="49"/>
        <v>Feb 2015</v>
      </c>
      <c r="C80" s="416" t="s">
        <v>15</v>
      </c>
      <c r="D80" s="417" t="str">
        <f t="shared" si="50"/>
        <v>RSVFD</v>
      </c>
      <c r="E80" s="417" t="str">
        <f t="shared" si="51"/>
        <v>KURSE080</v>
      </c>
      <c r="F80" s="418">
        <f t="shared" si="56"/>
        <v>0</v>
      </c>
      <c r="G80" s="467">
        <v>0</v>
      </c>
      <c r="H80" s="418">
        <v>0</v>
      </c>
      <c r="I80" s="418">
        <v>0</v>
      </c>
      <c r="J80" s="418">
        <v>0</v>
      </c>
      <c r="K80" s="418">
        <f t="shared" si="57"/>
        <v>0</v>
      </c>
      <c r="L80" s="459">
        <v>0</v>
      </c>
      <c r="M80" s="443">
        <f t="shared" si="58"/>
        <v>0</v>
      </c>
      <c r="N80" s="443">
        <f t="shared" si="59"/>
        <v>0</v>
      </c>
      <c r="O80" s="443">
        <f t="shared" si="60"/>
        <v>0</v>
      </c>
      <c r="P80" s="443">
        <f t="shared" si="61"/>
        <v>0</v>
      </c>
      <c r="Q80" s="443">
        <f t="shared" si="62"/>
        <v>0</v>
      </c>
      <c r="R80" s="443">
        <f t="shared" si="63"/>
        <v>0</v>
      </c>
      <c r="S80" s="484">
        <v>0</v>
      </c>
      <c r="T80" s="484">
        <v>0</v>
      </c>
      <c r="U80" s="484">
        <v>0</v>
      </c>
      <c r="V80" s="490">
        <v>0</v>
      </c>
      <c r="W80" s="490">
        <v>0</v>
      </c>
      <c r="X80" s="490">
        <v>0</v>
      </c>
      <c r="Y80" s="419">
        <f t="shared" si="64"/>
        <v>10.75</v>
      </c>
      <c r="Z80" s="420">
        <f t="shared" si="65"/>
        <v>7.7439999999999995E-2</v>
      </c>
      <c r="AA80" s="420">
        <v>0</v>
      </c>
      <c r="AB80" s="420">
        <v>0</v>
      </c>
      <c r="AC80" s="420">
        <f t="shared" si="66"/>
        <v>2.8920000000000001E-2</v>
      </c>
      <c r="AD80" s="419">
        <f t="shared" si="67"/>
        <v>0</v>
      </c>
      <c r="AE80" s="419">
        <f t="shared" si="68"/>
        <v>0</v>
      </c>
      <c r="AF80" s="419">
        <f t="shared" si="69"/>
        <v>0</v>
      </c>
      <c r="AG80" s="454">
        <f t="shared" si="70"/>
        <v>0</v>
      </c>
      <c r="AH80" s="454">
        <f t="shared" si="44"/>
        <v>0</v>
      </c>
      <c r="AI80" s="421">
        <f t="shared" si="71"/>
        <v>0</v>
      </c>
      <c r="AJ80" s="421">
        <f t="shared" si="72"/>
        <v>0</v>
      </c>
      <c r="AK80" s="421">
        <f t="shared" si="73"/>
        <v>0</v>
      </c>
      <c r="AL80" s="482">
        <v>0</v>
      </c>
      <c r="AM80" s="422">
        <f t="shared" si="74"/>
        <v>0</v>
      </c>
      <c r="AN80" s="423">
        <f t="shared" si="75"/>
        <v>0</v>
      </c>
      <c r="AO80" s="421">
        <f t="shared" si="76"/>
        <v>0</v>
      </c>
      <c r="AP80" s="472">
        <v>0</v>
      </c>
      <c r="AQ80" s="472">
        <v>0</v>
      </c>
      <c r="AR80" s="472">
        <v>0</v>
      </c>
      <c r="AS80" s="475">
        <v>0</v>
      </c>
      <c r="AT80" s="475">
        <v>0</v>
      </c>
      <c r="AU80" s="475">
        <v>0</v>
      </c>
      <c r="AV80" s="454">
        <f t="shared" si="77"/>
        <v>0</v>
      </c>
      <c r="AW80" s="421">
        <f t="shared" si="78"/>
        <v>0</v>
      </c>
      <c r="AX80" s="455">
        <f t="shared" si="52"/>
        <v>1</v>
      </c>
      <c r="AY80" s="424">
        <f t="shared" si="79"/>
        <v>0</v>
      </c>
      <c r="AZ80" s="424">
        <f t="shared" si="80"/>
        <v>0</v>
      </c>
      <c r="BA80" s="424">
        <f t="shared" si="81"/>
        <v>0</v>
      </c>
      <c r="BB80" s="424">
        <f t="shared" si="82"/>
        <v>0</v>
      </c>
      <c r="BC80" s="424">
        <f t="shared" si="83"/>
        <v>0</v>
      </c>
      <c r="BD80" s="424">
        <f t="shared" si="84"/>
        <v>0</v>
      </c>
      <c r="BE80" s="452">
        <f t="shared" si="85"/>
        <v>0</v>
      </c>
      <c r="BF80" s="448">
        <f t="shared" si="86"/>
        <v>0</v>
      </c>
      <c r="BG80" s="456">
        <f t="shared" si="87"/>
        <v>0</v>
      </c>
      <c r="BH80" s="457">
        <f t="shared" si="53"/>
        <v>0</v>
      </c>
      <c r="BI80" s="407" t="s">
        <v>1490</v>
      </c>
      <c r="BM80" s="429">
        <f>IF(BR80&gt;BR79,BM79,IF(BM79&lt;MiscData!$F$1,EOMONTH(BM79,1),EOMONTH(BM79,-11)))</f>
        <v>42063</v>
      </c>
      <c r="BN80" s="416" t="str">
        <f t="shared" si="54"/>
        <v>20140101KURSE080</v>
      </c>
      <c r="BO80" s="427" t="str">
        <f t="shared" si="55"/>
        <v>20140101RSVFD</v>
      </c>
      <c r="BP80" s="407">
        <f>IF(BM80&lt;=MiscData!$B$23,MiscData!$C$23,IF(BM80&lt;=MiscData!$B$24,MiscData!$C$24,MiscData!$C$25))</f>
        <v>20140101</v>
      </c>
      <c r="BQ80" s="407" t="str">
        <f>VLOOKUP(BR80,MiscData!$V$4:$W$42,2,FALSE)</f>
        <v>KURSE080</v>
      </c>
      <c r="BR80" s="407">
        <f>IF(BR79=MiscData!$V$42,1,BR79+1)</f>
        <v>38</v>
      </c>
      <c r="BS80" s="407" t="str">
        <f>VLOOKUP(BQ80,MiscData!$W$4:$Y$42,3,FALSE)</f>
        <v>RSVFD</v>
      </c>
    </row>
    <row r="81" spans="1:72" s="486" customFormat="1" hidden="1">
      <c r="A81" s="464">
        <f t="shared" si="88"/>
        <v>72</v>
      </c>
      <c r="B81" s="464" t="str">
        <f t="shared" si="49"/>
        <v>Feb 2015</v>
      </c>
      <c r="C81" s="464" t="s">
        <v>15</v>
      </c>
      <c r="D81" s="465" t="str">
        <f t="shared" si="50"/>
        <v>RS</v>
      </c>
      <c r="E81" s="465" t="str">
        <f t="shared" si="51"/>
        <v>KURSE715</v>
      </c>
      <c r="F81" s="466">
        <f t="shared" si="56"/>
        <v>0</v>
      </c>
      <c r="G81" s="467">
        <v>0</v>
      </c>
      <c r="H81" s="466">
        <v>0</v>
      </c>
      <c r="I81" s="466">
        <v>0</v>
      </c>
      <c r="J81" s="466">
        <v>0</v>
      </c>
      <c r="K81" s="466">
        <f t="shared" si="57"/>
        <v>0</v>
      </c>
      <c r="L81" s="481">
        <v>0</v>
      </c>
      <c r="M81" s="469">
        <f t="shared" si="58"/>
        <v>0</v>
      </c>
      <c r="N81" s="469">
        <f t="shared" si="59"/>
        <v>0</v>
      </c>
      <c r="O81" s="469">
        <f t="shared" si="60"/>
        <v>0</v>
      </c>
      <c r="P81" s="469">
        <f t="shared" si="61"/>
        <v>0</v>
      </c>
      <c r="Q81" s="469">
        <f t="shared" si="62"/>
        <v>0</v>
      </c>
      <c r="R81" s="469">
        <f t="shared" si="63"/>
        <v>0</v>
      </c>
      <c r="S81" s="484">
        <v>0</v>
      </c>
      <c r="T81" s="484">
        <v>0</v>
      </c>
      <c r="U81" s="484">
        <v>0</v>
      </c>
      <c r="V81" s="490">
        <v>0</v>
      </c>
      <c r="W81" s="490">
        <v>0</v>
      </c>
      <c r="X81" s="490">
        <v>0</v>
      </c>
      <c r="Y81" s="470">
        <f t="shared" si="64"/>
        <v>10.75</v>
      </c>
      <c r="Z81" s="471">
        <f t="shared" si="65"/>
        <v>7.7439999999999995E-2</v>
      </c>
      <c r="AA81" s="471">
        <v>0</v>
      </c>
      <c r="AB81" s="471">
        <v>0</v>
      </c>
      <c r="AC81" s="471">
        <f t="shared" si="66"/>
        <v>2.8920000000000001E-2</v>
      </c>
      <c r="AD81" s="470">
        <f t="shared" si="67"/>
        <v>0</v>
      </c>
      <c r="AE81" s="470">
        <f t="shared" si="68"/>
        <v>0</v>
      </c>
      <c r="AF81" s="470">
        <f t="shared" si="69"/>
        <v>0</v>
      </c>
      <c r="AG81" s="454">
        <f t="shared" si="70"/>
        <v>0</v>
      </c>
      <c r="AH81" s="454">
        <f t="shared" si="44"/>
        <v>0</v>
      </c>
      <c r="AI81" s="454">
        <f t="shared" si="71"/>
        <v>0</v>
      </c>
      <c r="AJ81" s="454">
        <f t="shared" si="72"/>
        <v>0</v>
      </c>
      <c r="AK81" s="454">
        <f t="shared" si="73"/>
        <v>0</v>
      </c>
      <c r="AL81" s="482">
        <v>0</v>
      </c>
      <c r="AM81" s="473">
        <f t="shared" si="74"/>
        <v>0</v>
      </c>
      <c r="AN81" s="474">
        <f t="shared" si="75"/>
        <v>0</v>
      </c>
      <c r="AO81" s="454">
        <f t="shared" si="76"/>
        <v>0</v>
      </c>
      <c r="AP81" s="472">
        <v>0</v>
      </c>
      <c r="AQ81" s="472">
        <v>0</v>
      </c>
      <c r="AR81" s="472">
        <v>0</v>
      </c>
      <c r="AS81" s="475">
        <v>0</v>
      </c>
      <c r="AT81" s="475">
        <v>0</v>
      </c>
      <c r="AU81" s="475">
        <v>0</v>
      </c>
      <c r="AV81" s="454">
        <f t="shared" si="77"/>
        <v>0</v>
      </c>
      <c r="AW81" s="454">
        <f t="shared" si="78"/>
        <v>0</v>
      </c>
      <c r="AX81" s="455">
        <f t="shared" si="52"/>
        <v>1</v>
      </c>
      <c r="AY81" s="476">
        <f t="shared" si="79"/>
        <v>0</v>
      </c>
      <c r="AZ81" s="476">
        <f t="shared" si="80"/>
        <v>0</v>
      </c>
      <c r="BA81" s="476">
        <f t="shared" si="81"/>
        <v>0</v>
      </c>
      <c r="BB81" s="476">
        <f t="shared" si="82"/>
        <v>0</v>
      </c>
      <c r="BC81" s="476">
        <f t="shared" si="83"/>
        <v>0</v>
      </c>
      <c r="BD81" s="476">
        <f t="shared" si="84"/>
        <v>0</v>
      </c>
      <c r="BE81" s="477">
        <f t="shared" si="85"/>
        <v>0</v>
      </c>
      <c r="BF81" s="478">
        <f t="shared" si="86"/>
        <v>0</v>
      </c>
      <c r="BG81" s="479">
        <f t="shared" si="87"/>
        <v>0</v>
      </c>
      <c r="BH81" s="485">
        <f t="shared" si="53"/>
        <v>0</v>
      </c>
      <c r="BI81" s="407" t="s">
        <v>1490</v>
      </c>
      <c r="BM81" s="487">
        <f>IF(BR81&gt;BR80,BM80,IF(BM80&lt;MiscData!$F$1,EOMONTH(BM80,1),EOMONTH(BM80,-11)))</f>
        <v>42063</v>
      </c>
      <c r="BN81" s="464" t="str">
        <f t="shared" si="54"/>
        <v>20140101KURSE715</v>
      </c>
      <c r="BO81" s="488" t="str">
        <f t="shared" si="55"/>
        <v>20140101RS</v>
      </c>
      <c r="BP81" s="486">
        <f>IF(BM81&lt;=MiscData!$B$23,MiscData!$C$23,IF(BM81&lt;=MiscData!$B$24,MiscData!$C$24,MiscData!$C$25))</f>
        <v>20140101</v>
      </c>
      <c r="BQ81" s="486" t="str">
        <f>VLOOKUP(BR81,MiscData!$V$4:$W$42,2,FALSE)</f>
        <v>KURSE715</v>
      </c>
      <c r="BR81" s="407">
        <f>IF(BR80=MiscData!$V$42,1,BR80+1)</f>
        <v>39</v>
      </c>
      <c r="BS81" s="486" t="str">
        <f>VLOOKUP(BQ81,MiscData!$W$4:$Y$42,3,FALSE)</f>
        <v>RS</v>
      </c>
      <c r="BT81" s="771"/>
    </row>
    <row r="82" spans="1:72" hidden="1">
      <c r="A82" s="416">
        <f t="shared" si="88"/>
        <v>73</v>
      </c>
      <c r="B82" s="416" t="str">
        <f t="shared" si="49"/>
        <v>Mar 2014</v>
      </c>
      <c r="C82" s="416" t="s">
        <v>19</v>
      </c>
      <c r="D82" s="417" t="str">
        <f t="shared" si="50"/>
        <v>RTS</v>
      </c>
      <c r="E82" s="417" t="str">
        <f t="shared" si="51"/>
        <v>KUCIE550</v>
      </c>
      <c r="F82" s="418">
        <f t="shared" si="56"/>
        <v>32</v>
      </c>
      <c r="G82" s="467">
        <v>0</v>
      </c>
      <c r="H82" s="418">
        <v>0</v>
      </c>
      <c r="I82" s="418">
        <v>0</v>
      </c>
      <c r="J82" s="418">
        <v>0</v>
      </c>
      <c r="K82" s="418">
        <f t="shared" si="57"/>
        <v>142624745</v>
      </c>
      <c r="L82" s="459">
        <v>0</v>
      </c>
      <c r="M82" s="443">
        <f t="shared" si="58"/>
        <v>303871.2</v>
      </c>
      <c r="N82" s="443">
        <f t="shared" si="59"/>
        <v>296546.59999999998</v>
      </c>
      <c r="O82" s="443">
        <f t="shared" si="60"/>
        <v>291507.8</v>
      </c>
      <c r="P82" s="443">
        <f t="shared" si="61"/>
        <v>309847.7</v>
      </c>
      <c r="Q82" s="443">
        <f t="shared" si="62"/>
        <v>297874.40000000002</v>
      </c>
      <c r="R82" s="443">
        <f t="shared" si="63"/>
        <v>292408.40000000002</v>
      </c>
      <c r="S82" s="484">
        <v>5726.5</v>
      </c>
      <c r="T82" s="484">
        <v>1327.8</v>
      </c>
      <c r="U82" s="484">
        <v>900.6</v>
      </c>
      <c r="V82" s="594">
        <v>0</v>
      </c>
      <c r="W82" s="594">
        <v>0</v>
      </c>
      <c r="X82" s="594">
        <v>0</v>
      </c>
      <c r="Y82" s="419">
        <f t="shared" si="64"/>
        <v>750</v>
      </c>
      <c r="Z82" s="420">
        <f t="shared" si="65"/>
        <v>3.6339999999999997E-2</v>
      </c>
      <c r="AA82" s="420">
        <v>0</v>
      </c>
      <c r="AB82" s="420">
        <v>0</v>
      </c>
      <c r="AC82" s="420">
        <f t="shared" si="66"/>
        <v>2.8920000000000001E-2</v>
      </c>
      <c r="AD82" s="419">
        <f t="shared" si="67"/>
        <v>1.34</v>
      </c>
      <c r="AE82" s="419">
        <f t="shared" si="68"/>
        <v>2.87</v>
      </c>
      <c r="AF82" s="419">
        <f t="shared" si="69"/>
        <v>3.97</v>
      </c>
      <c r="AG82" s="454">
        <f t="shared" si="70"/>
        <v>24000</v>
      </c>
      <c r="AH82" s="454">
        <f t="shared" si="44"/>
        <v>5182983.2300000004</v>
      </c>
      <c r="AI82" s="421">
        <f t="shared" si="71"/>
        <v>407187.41</v>
      </c>
      <c r="AJ82" s="421">
        <f t="shared" si="72"/>
        <v>851088.74</v>
      </c>
      <c r="AK82" s="421">
        <f t="shared" si="73"/>
        <v>1157285.97</v>
      </c>
      <c r="AL82" s="472">
        <v>0</v>
      </c>
      <c r="AM82" s="422">
        <f t="shared" si="74"/>
        <v>0</v>
      </c>
      <c r="AN82" s="423">
        <f t="shared" si="75"/>
        <v>15059.68</v>
      </c>
      <c r="AO82" s="421">
        <f t="shared" si="76"/>
        <v>2430621.8000000003</v>
      </c>
      <c r="AP82" s="472">
        <v>0</v>
      </c>
      <c r="AQ82" s="472">
        <v>0.01</v>
      </c>
      <c r="AR82" s="472">
        <v>334.99</v>
      </c>
      <c r="AS82" s="475">
        <v>0</v>
      </c>
      <c r="AT82" s="475">
        <v>0</v>
      </c>
      <c r="AU82" s="475">
        <v>0</v>
      </c>
      <c r="AV82" s="454">
        <f t="shared" si="77"/>
        <v>7637940.0300000003</v>
      </c>
      <c r="AW82" s="421">
        <f t="shared" si="78"/>
        <v>7637940.0300000003</v>
      </c>
      <c r="AX82" s="455">
        <f t="shared" ref="AX82:AX90" si="89">IF(AND(AV82=0,AW82=0),1,IF(AV82=0,0,AW82/AV82))</f>
        <v>1</v>
      </c>
      <c r="AY82" s="424">
        <f t="shared" si="79"/>
        <v>444989.2</v>
      </c>
      <c r="AZ82" s="424">
        <f t="shared" si="80"/>
        <v>0</v>
      </c>
      <c r="BA82" s="424">
        <f t="shared" si="81"/>
        <v>97392.71</v>
      </c>
      <c r="BB82" s="424">
        <f t="shared" si="82"/>
        <v>0</v>
      </c>
      <c r="BC82" s="424">
        <f t="shared" si="83"/>
        <v>0</v>
      </c>
      <c r="BD82" s="424">
        <f t="shared" si="84"/>
        <v>8180321.9400000004</v>
      </c>
      <c r="BE82" s="452">
        <f t="shared" si="85"/>
        <v>8180321.9400000004</v>
      </c>
      <c r="BF82" s="448">
        <f t="shared" si="86"/>
        <v>0</v>
      </c>
      <c r="BG82" s="456">
        <f t="shared" si="87"/>
        <v>4124707.63</v>
      </c>
      <c r="BH82" s="457">
        <f t="shared" si="53"/>
        <v>1058275.6100000003</v>
      </c>
      <c r="BI82" s="407" t="s">
        <v>692</v>
      </c>
      <c r="BM82" s="429">
        <f>IF(BR82&gt;BR81,BM81,IF(BM81&lt;MiscData!$F$1,EOMONTH(BM81,1),EOMONTH(BM81,-11)))</f>
        <v>41729</v>
      </c>
      <c r="BN82" s="416" t="str">
        <f t="shared" si="54"/>
        <v>20140101KUCIE550</v>
      </c>
      <c r="BO82" s="427" t="str">
        <f t="shared" si="55"/>
        <v>20140101RTS</v>
      </c>
      <c r="BP82" s="407">
        <f>IF(BM82&lt;=MiscData!$B$23,MiscData!$C$23,IF(BM82&lt;=MiscData!$B$24,MiscData!$C$24,MiscData!$C$25))</f>
        <v>20140101</v>
      </c>
      <c r="BQ82" s="407" t="str">
        <f>VLOOKUP(BR82,MiscData!$V$4:$W$42,2,FALSE)</f>
        <v>KUCIE550</v>
      </c>
      <c r="BR82" s="407">
        <f>IF(BR81=MiscData!$V$42,1,BR81+1)</f>
        <v>1</v>
      </c>
      <c r="BS82" s="407" t="str">
        <f>VLOOKUP(BQ82,MiscData!$W$4:$Y$42,3,FALSE)</f>
        <v>RTS</v>
      </c>
    </row>
    <row r="83" spans="1:72">
      <c r="A83" s="416">
        <f t="shared" si="88"/>
        <v>74</v>
      </c>
      <c r="B83" s="416" t="str">
        <f t="shared" si="49"/>
        <v>Mar 2014</v>
      </c>
      <c r="C83" s="416" t="s">
        <v>26</v>
      </c>
      <c r="D83" s="417" t="str">
        <f t="shared" si="50"/>
        <v>PSP</v>
      </c>
      <c r="E83" s="417" t="str">
        <f t="shared" si="51"/>
        <v>KUCIE561</v>
      </c>
      <c r="F83" s="418">
        <f t="shared" si="56"/>
        <v>170</v>
      </c>
      <c r="G83" s="467">
        <v>-9</v>
      </c>
      <c r="H83" s="418">
        <v>0</v>
      </c>
      <c r="I83" s="418">
        <v>0</v>
      </c>
      <c r="J83" s="418">
        <v>0</v>
      </c>
      <c r="K83" s="418">
        <f t="shared" si="57"/>
        <v>4760587</v>
      </c>
      <c r="L83" s="459">
        <v>0</v>
      </c>
      <c r="M83" s="443">
        <f t="shared" si="58"/>
        <v>0</v>
      </c>
      <c r="N83" s="443">
        <f t="shared" si="59"/>
        <v>13100.7</v>
      </c>
      <c r="O83" s="443">
        <f t="shared" si="60"/>
        <v>0</v>
      </c>
      <c r="P83" s="443">
        <f t="shared" si="61"/>
        <v>0</v>
      </c>
      <c r="Q83" s="443">
        <f t="shared" si="62"/>
        <v>16081.5</v>
      </c>
      <c r="R83" s="443">
        <f t="shared" si="63"/>
        <v>0</v>
      </c>
      <c r="S83" s="484">
        <v>0</v>
      </c>
      <c r="T83" s="484">
        <v>2980.8</v>
      </c>
      <c r="U83" s="484">
        <v>0</v>
      </c>
      <c r="V83" s="490">
        <v>0</v>
      </c>
      <c r="W83" s="490">
        <v>0</v>
      </c>
      <c r="X83" s="490">
        <v>0</v>
      </c>
      <c r="Y83" s="419">
        <f t="shared" si="64"/>
        <v>170</v>
      </c>
      <c r="Z83" s="420">
        <f t="shared" si="65"/>
        <v>3.5619999999999999E-2</v>
      </c>
      <c r="AA83" s="420">
        <v>0</v>
      </c>
      <c r="AB83" s="420">
        <v>0</v>
      </c>
      <c r="AC83" s="420">
        <f t="shared" si="66"/>
        <v>2.8920000000000001E-2</v>
      </c>
      <c r="AD83" s="419">
        <f t="shared" si="67"/>
        <v>0</v>
      </c>
      <c r="AE83" s="419">
        <f t="shared" si="68"/>
        <v>13.18</v>
      </c>
      <c r="AF83" s="419">
        <f t="shared" si="69"/>
        <v>15.28</v>
      </c>
      <c r="AG83" s="454">
        <f t="shared" si="70"/>
        <v>27370</v>
      </c>
      <c r="AH83" s="454">
        <f t="shared" si="44"/>
        <v>169572.11</v>
      </c>
      <c r="AI83" s="421">
        <f t="shared" si="71"/>
        <v>0</v>
      </c>
      <c r="AJ83" s="421">
        <f t="shared" si="72"/>
        <v>172667.23</v>
      </c>
      <c r="AK83" s="421">
        <f t="shared" si="73"/>
        <v>0</v>
      </c>
      <c r="AL83" s="472">
        <v>0</v>
      </c>
      <c r="AM83" s="422">
        <f t="shared" si="74"/>
        <v>0</v>
      </c>
      <c r="AN83" s="423">
        <f t="shared" si="75"/>
        <v>39286.94</v>
      </c>
      <c r="AO83" s="421">
        <f t="shared" si="76"/>
        <v>211954.17</v>
      </c>
      <c r="AP83" s="472">
        <v>-1808.88</v>
      </c>
      <c r="AQ83" s="472">
        <v>9.3699999999999992</v>
      </c>
      <c r="AR83" s="472">
        <v>-747.95</v>
      </c>
      <c r="AS83" s="475">
        <v>0</v>
      </c>
      <c r="AT83" s="475">
        <v>0</v>
      </c>
      <c r="AU83" s="475">
        <v>0</v>
      </c>
      <c r="AV83" s="454">
        <f t="shared" si="77"/>
        <v>406348.81999999995</v>
      </c>
      <c r="AW83" s="421">
        <f t="shared" si="78"/>
        <v>406348.82</v>
      </c>
      <c r="AX83" s="455">
        <f t="shared" si="89"/>
        <v>1.0000000000000002</v>
      </c>
      <c r="AY83" s="424">
        <f t="shared" si="79"/>
        <v>14638.05</v>
      </c>
      <c r="AZ83" s="424">
        <f t="shared" si="80"/>
        <v>2698.4</v>
      </c>
      <c r="BA83" s="424">
        <f t="shared" si="81"/>
        <v>7915.5</v>
      </c>
      <c r="BB83" s="424">
        <f t="shared" si="82"/>
        <v>0</v>
      </c>
      <c r="BC83" s="424">
        <f t="shared" si="83"/>
        <v>0</v>
      </c>
      <c r="BD83" s="424">
        <f t="shared" si="84"/>
        <v>431600.77</v>
      </c>
      <c r="BE83" s="452">
        <f t="shared" si="85"/>
        <v>431600.76999999996</v>
      </c>
      <c r="BF83" s="448">
        <f t="shared" si="86"/>
        <v>0</v>
      </c>
      <c r="BG83" s="456">
        <f t="shared" si="87"/>
        <v>137676.18</v>
      </c>
      <c r="BH83" s="457">
        <f t="shared" si="53"/>
        <v>31905.299999999988</v>
      </c>
      <c r="BI83" s="407" t="s">
        <v>692</v>
      </c>
      <c r="BM83" s="429">
        <f>IF(BR83&gt;BR82,BM82,IF(BM82&lt;MiscData!$F$1,EOMONTH(BM82,1),EOMONTH(BM82,-11)))</f>
        <v>41729</v>
      </c>
      <c r="BN83" s="416" t="str">
        <f t="shared" si="54"/>
        <v>20140101KUCIE561</v>
      </c>
      <c r="BO83" s="427" t="str">
        <f t="shared" si="55"/>
        <v>20140101PSP</v>
      </c>
      <c r="BP83" s="407">
        <f>IF(BM83&lt;=MiscData!$B$23,MiscData!$C$23,IF(BM83&lt;=MiscData!$B$24,MiscData!$C$24,MiscData!$C$25))</f>
        <v>20140101</v>
      </c>
      <c r="BQ83" s="407" t="str">
        <f>VLOOKUP(BR83,MiscData!$V$4:$W$42,2,FALSE)</f>
        <v>KUCIE561</v>
      </c>
      <c r="BR83" s="407">
        <f>IF(BR82=MiscData!$V$42,1,BR82+1)</f>
        <v>2</v>
      </c>
      <c r="BS83" s="407" t="str">
        <f>VLOOKUP(BQ83,MiscData!$W$4:$Y$42,3,FALSE)</f>
        <v>PSP</v>
      </c>
    </row>
    <row r="84" spans="1:72" hidden="1">
      <c r="A84" s="416">
        <f t="shared" si="88"/>
        <v>75</v>
      </c>
      <c r="B84" s="416" t="str">
        <f t="shared" si="49"/>
        <v>Mar 2014</v>
      </c>
      <c r="C84" s="416" t="s">
        <v>25</v>
      </c>
      <c r="D84" s="417" t="str">
        <f t="shared" si="50"/>
        <v>PSS</v>
      </c>
      <c r="E84" s="417" t="str">
        <f t="shared" si="51"/>
        <v>KUCIE562</v>
      </c>
      <c r="F84" s="418">
        <f t="shared" si="56"/>
        <v>4885</v>
      </c>
      <c r="G84" s="467">
        <v>0</v>
      </c>
      <c r="H84" s="418">
        <v>0</v>
      </c>
      <c r="I84" s="418">
        <v>0</v>
      </c>
      <c r="J84" s="418">
        <v>0</v>
      </c>
      <c r="K84" s="418">
        <f t="shared" si="57"/>
        <v>140054129</v>
      </c>
      <c r="L84" s="459">
        <v>0</v>
      </c>
      <c r="M84" s="443">
        <f t="shared" si="58"/>
        <v>0</v>
      </c>
      <c r="N84" s="443">
        <f t="shared" si="59"/>
        <v>389933.2</v>
      </c>
      <c r="O84" s="443">
        <f t="shared" si="60"/>
        <v>0</v>
      </c>
      <c r="P84" s="443">
        <f t="shared" si="61"/>
        <v>0</v>
      </c>
      <c r="Q84" s="443">
        <f t="shared" si="62"/>
        <v>447840.68</v>
      </c>
      <c r="R84" s="443">
        <f t="shared" si="63"/>
        <v>0</v>
      </c>
      <c r="S84" s="484">
        <v>0</v>
      </c>
      <c r="T84" s="484">
        <v>57907.48</v>
      </c>
      <c r="U84" s="484">
        <v>0</v>
      </c>
      <c r="V84" s="490">
        <v>0</v>
      </c>
      <c r="W84" s="490">
        <v>0</v>
      </c>
      <c r="X84" s="490">
        <v>0</v>
      </c>
      <c r="Y84" s="419">
        <f t="shared" si="64"/>
        <v>90</v>
      </c>
      <c r="Z84" s="420">
        <f t="shared" si="65"/>
        <v>3.5640000000000005E-2</v>
      </c>
      <c r="AA84" s="420">
        <v>0</v>
      </c>
      <c r="AB84" s="420">
        <v>0</v>
      </c>
      <c r="AC84" s="420">
        <f t="shared" si="66"/>
        <v>2.8920000000000001E-2</v>
      </c>
      <c r="AD84" s="419">
        <f t="shared" si="67"/>
        <v>0</v>
      </c>
      <c r="AE84" s="419">
        <f t="shared" si="68"/>
        <v>13.2</v>
      </c>
      <c r="AF84" s="419">
        <f t="shared" si="69"/>
        <v>15.3</v>
      </c>
      <c r="AG84" s="454">
        <f t="shared" si="70"/>
        <v>439650</v>
      </c>
      <c r="AH84" s="454">
        <f t="shared" si="44"/>
        <v>4991529.16</v>
      </c>
      <c r="AI84" s="421">
        <f t="shared" si="71"/>
        <v>0</v>
      </c>
      <c r="AJ84" s="421">
        <f t="shared" si="72"/>
        <v>5147118.24</v>
      </c>
      <c r="AK84" s="421">
        <f t="shared" si="73"/>
        <v>0</v>
      </c>
      <c r="AL84" s="472">
        <v>0</v>
      </c>
      <c r="AM84" s="422">
        <f t="shared" si="74"/>
        <v>0</v>
      </c>
      <c r="AN84" s="423">
        <f t="shared" si="75"/>
        <v>764378.74</v>
      </c>
      <c r="AO84" s="421">
        <f t="shared" si="76"/>
        <v>5911496.9800000004</v>
      </c>
      <c r="AP84" s="472">
        <v>838.91</v>
      </c>
      <c r="AQ84" s="472">
        <v>-0.16</v>
      </c>
      <c r="AR84" s="472">
        <v>-24971.77</v>
      </c>
      <c r="AS84" s="475">
        <v>0</v>
      </c>
      <c r="AT84" s="475">
        <v>0</v>
      </c>
      <c r="AU84" s="475">
        <v>0</v>
      </c>
      <c r="AV84" s="454">
        <f t="shared" si="77"/>
        <v>11318543.120000001</v>
      </c>
      <c r="AW84" s="421">
        <f t="shared" si="78"/>
        <v>11318543.119999999</v>
      </c>
      <c r="AX84" s="455">
        <f t="shared" si="89"/>
        <v>0.99999999999999989</v>
      </c>
      <c r="AY84" s="424">
        <f t="shared" si="79"/>
        <v>393260.33</v>
      </c>
      <c r="AZ84" s="424">
        <f t="shared" si="80"/>
        <v>89204.479999999996</v>
      </c>
      <c r="BA84" s="424">
        <f t="shared" si="81"/>
        <v>239440.75</v>
      </c>
      <c r="BB84" s="424">
        <f t="shared" si="82"/>
        <v>0</v>
      </c>
      <c r="BC84" s="424">
        <f t="shared" si="83"/>
        <v>0</v>
      </c>
      <c r="BD84" s="424">
        <f t="shared" si="84"/>
        <v>12040448.68</v>
      </c>
      <c r="BE84" s="452">
        <f t="shared" si="85"/>
        <v>12040448.680000002</v>
      </c>
      <c r="BF84" s="448">
        <f t="shared" si="86"/>
        <v>0</v>
      </c>
      <c r="BG84" s="456">
        <f t="shared" si="87"/>
        <v>4050365.41</v>
      </c>
      <c r="BH84" s="457">
        <f t="shared" si="53"/>
        <v>941163.58999999985</v>
      </c>
      <c r="BI84" s="407" t="s">
        <v>692</v>
      </c>
      <c r="BM84" s="429">
        <f>IF(BR84&gt;BR83,BM83,IF(BM83&lt;MiscData!$F$1,EOMONTH(BM83,1),EOMONTH(BM83,-11)))</f>
        <v>41729</v>
      </c>
      <c r="BN84" s="416" t="str">
        <f t="shared" si="54"/>
        <v>20140101KUCIE562</v>
      </c>
      <c r="BO84" s="427" t="str">
        <f t="shared" si="55"/>
        <v>20140101PSS</v>
      </c>
      <c r="BP84" s="407">
        <f>IF(BM84&lt;=MiscData!$B$23,MiscData!$C$23,IF(BM84&lt;=MiscData!$B$24,MiscData!$C$24,MiscData!$C$25))</f>
        <v>20140101</v>
      </c>
      <c r="BQ84" s="407" t="str">
        <f>VLOOKUP(BR84,MiscData!$V$4:$W$42,2,FALSE)</f>
        <v>KUCIE562</v>
      </c>
      <c r="BR84" s="407">
        <f>IF(BR83=MiscData!$V$42,1,BR83+1)</f>
        <v>3</v>
      </c>
      <c r="BS84" s="407" t="str">
        <f>VLOOKUP(BQ84,MiscData!$W$4:$Y$42,3,FALSE)</f>
        <v>PSS</v>
      </c>
    </row>
    <row r="85" spans="1:72" hidden="1">
      <c r="A85" s="416">
        <f t="shared" si="88"/>
        <v>76</v>
      </c>
      <c r="B85" s="416" t="str">
        <f t="shared" si="49"/>
        <v>Mar 2014</v>
      </c>
      <c r="C85" s="416" t="s">
        <v>221</v>
      </c>
      <c r="D85" s="417" t="str">
        <f t="shared" si="50"/>
        <v>TODP</v>
      </c>
      <c r="E85" s="417" t="str">
        <f t="shared" si="51"/>
        <v>KUCIE563</v>
      </c>
      <c r="F85" s="418">
        <f t="shared" si="56"/>
        <v>53</v>
      </c>
      <c r="G85" s="467">
        <v>0</v>
      </c>
      <c r="H85" s="418">
        <v>0</v>
      </c>
      <c r="I85" s="418">
        <v>0</v>
      </c>
      <c r="J85" s="418">
        <v>0</v>
      </c>
      <c r="K85" s="418">
        <f t="shared" si="57"/>
        <v>232867680</v>
      </c>
      <c r="L85" s="459">
        <v>0</v>
      </c>
      <c r="M85" s="443">
        <f t="shared" si="58"/>
        <v>459849.1</v>
      </c>
      <c r="N85" s="443">
        <f t="shared" si="59"/>
        <v>458914.6</v>
      </c>
      <c r="O85" s="443">
        <f t="shared" si="60"/>
        <v>452114.7</v>
      </c>
      <c r="P85" s="443">
        <f t="shared" si="61"/>
        <v>494647.4</v>
      </c>
      <c r="Q85" s="443">
        <f t="shared" si="62"/>
        <v>463176.8</v>
      </c>
      <c r="R85" s="443">
        <f t="shared" si="63"/>
        <v>457644.7</v>
      </c>
      <c r="S85" s="484">
        <v>4977.7</v>
      </c>
      <c r="T85" s="484">
        <v>0</v>
      </c>
      <c r="U85" s="484">
        <v>0</v>
      </c>
      <c r="V85" s="490">
        <v>0</v>
      </c>
      <c r="W85" s="490">
        <v>0</v>
      </c>
      <c r="X85" s="490">
        <v>0</v>
      </c>
      <c r="Y85" s="419">
        <f t="shared" si="64"/>
        <v>300</v>
      </c>
      <c r="Z85" s="420">
        <f t="shared" si="65"/>
        <v>3.7650000000000003E-2</v>
      </c>
      <c r="AA85" s="420">
        <v>0</v>
      </c>
      <c r="AB85" s="420">
        <v>0</v>
      </c>
      <c r="AC85" s="420">
        <f t="shared" si="66"/>
        <v>2.8920000000000001E-2</v>
      </c>
      <c r="AD85" s="419">
        <f t="shared" si="67"/>
        <v>1.71</v>
      </c>
      <c r="AE85" s="419">
        <f t="shared" si="68"/>
        <v>2.76</v>
      </c>
      <c r="AF85" s="419">
        <f t="shared" si="69"/>
        <v>4.26</v>
      </c>
      <c r="AG85" s="454">
        <f t="shared" si="70"/>
        <v>15900</v>
      </c>
      <c r="AH85" s="454">
        <f t="shared" si="44"/>
        <v>8767468.1500000004</v>
      </c>
      <c r="AI85" s="421">
        <f t="shared" si="71"/>
        <v>786341.96</v>
      </c>
      <c r="AJ85" s="421">
        <f t="shared" si="72"/>
        <v>1266604.3</v>
      </c>
      <c r="AK85" s="421">
        <f t="shared" si="73"/>
        <v>1926008.62</v>
      </c>
      <c r="AL85" s="472">
        <v>0</v>
      </c>
      <c r="AM85" s="422">
        <f t="shared" si="74"/>
        <v>0</v>
      </c>
      <c r="AN85" s="423">
        <f t="shared" si="75"/>
        <v>8511.8700000000008</v>
      </c>
      <c r="AO85" s="421">
        <f t="shared" si="76"/>
        <v>3987466.75</v>
      </c>
      <c r="AP85" s="472">
        <v>0.01</v>
      </c>
      <c r="AQ85" s="472">
        <v>0.01</v>
      </c>
      <c r="AR85" s="472">
        <v>86314.720000000205</v>
      </c>
      <c r="AS85" s="475">
        <v>0</v>
      </c>
      <c r="AT85" s="475">
        <v>0</v>
      </c>
      <c r="AU85" s="475">
        <v>0</v>
      </c>
      <c r="AV85" s="454">
        <f t="shared" si="77"/>
        <v>12857149.640000001</v>
      </c>
      <c r="AW85" s="421">
        <f t="shared" si="78"/>
        <v>12857149.639999999</v>
      </c>
      <c r="AX85" s="455">
        <f t="shared" si="89"/>
        <v>0.99999999999999989</v>
      </c>
      <c r="AY85" s="424">
        <f t="shared" si="79"/>
        <v>427727.97</v>
      </c>
      <c r="AZ85" s="424">
        <f t="shared" si="80"/>
        <v>26139.65</v>
      </c>
      <c r="BA85" s="424">
        <f t="shared" si="81"/>
        <v>294421.93</v>
      </c>
      <c r="BB85" s="424">
        <f t="shared" si="82"/>
        <v>0</v>
      </c>
      <c r="BC85" s="424">
        <f t="shared" si="83"/>
        <v>0</v>
      </c>
      <c r="BD85" s="424">
        <f t="shared" si="84"/>
        <v>13605439.189999999</v>
      </c>
      <c r="BE85" s="452">
        <f t="shared" si="85"/>
        <v>13605439.190000001</v>
      </c>
      <c r="BF85" s="448">
        <f t="shared" si="86"/>
        <v>0</v>
      </c>
      <c r="BG85" s="456">
        <f t="shared" si="87"/>
        <v>6734533.3099999996</v>
      </c>
      <c r="BH85" s="457">
        <f t="shared" si="53"/>
        <v>2032934.8500000006</v>
      </c>
      <c r="BI85" s="407" t="s">
        <v>692</v>
      </c>
      <c r="BM85" s="429">
        <f>IF(BR85&gt;BR84,BM84,IF(BM84&lt;MiscData!$F$1,EOMONTH(BM84,1),EOMONTH(BM84,-11)))</f>
        <v>41729</v>
      </c>
      <c r="BN85" s="416" t="str">
        <f t="shared" si="54"/>
        <v>20140101KUCIE563</v>
      </c>
      <c r="BO85" s="427" t="str">
        <f t="shared" si="55"/>
        <v>20140101TODP</v>
      </c>
      <c r="BP85" s="407">
        <f>IF(BM85&lt;=MiscData!$B$23,MiscData!$C$23,IF(BM85&lt;=MiscData!$B$24,MiscData!$C$24,MiscData!$C$25))</f>
        <v>20140101</v>
      </c>
      <c r="BQ85" s="407" t="str">
        <f>VLOOKUP(BR85,MiscData!$V$4:$W$42,2,FALSE)</f>
        <v>KUCIE563</v>
      </c>
      <c r="BR85" s="407">
        <f>IF(BR84=MiscData!$V$42,1,BR84+1)</f>
        <v>4</v>
      </c>
      <c r="BS85" s="407" t="str">
        <f>VLOOKUP(BQ85,MiscData!$W$4:$Y$42,3,FALSE)</f>
        <v>TODP</v>
      </c>
    </row>
    <row r="86" spans="1:72">
      <c r="A86" s="416">
        <f t="shared" si="88"/>
        <v>77</v>
      </c>
      <c r="B86" s="416" t="str">
        <f t="shared" si="49"/>
        <v>Mar 2014</v>
      </c>
      <c r="C86" s="416" t="s">
        <v>26</v>
      </c>
      <c r="D86" s="417" t="str">
        <f t="shared" si="50"/>
        <v>PSP</v>
      </c>
      <c r="E86" s="417" t="str">
        <f t="shared" si="51"/>
        <v>KUCIE566</v>
      </c>
      <c r="F86" s="418">
        <f t="shared" si="56"/>
        <v>77</v>
      </c>
      <c r="G86" s="467">
        <v>0</v>
      </c>
      <c r="H86" s="418">
        <v>0</v>
      </c>
      <c r="I86" s="418">
        <v>0</v>
      </c>
      <c r="J86" s="418">
        <v>0</v>
      </c>
      <c r="K86" s="418">
        <f t="shared" si="57"/>
        <v>23388127</v>
      </c>
      <c r="L86" s="459">
        <v>0</v>
      </c>
      <c r="M86" s="443">
        <f t="shared" si="58"/>
        <v>0</v>
      </c>
      <c r="N86" s="443">
        <f t="shared" si="59"/>
        <v>53699.199999999997</v>
      </c>
      <c r="O86" s="443">
        <f t="shared" si="60"/>
        <v>0</v>
      </c>
      <c r="P86" s="443">
        <f t="shared" si="61"/>
        <v>0</v>
      </c>
      <c r="Q86" s="443">
        <f t="shared" si="62"/>
        <v>56286</v>
      </c>
      <c r="R86" s="443">
        <f t="shared" si="63"/>
        <v>0</v>
      </c>
      <c r="S86" s="484">
        <v>0</v>
      </c>
      <c r="T86" s="484">
        <v>2586.8000000000002</v>
      </c>
      <c r="U86" s="484">
        <v>0</v>
      </c>
      <c r="V86" s="490">
        <v>0</v>
      </c>
      <c r="W86" s="490">
        <v>0</v>
      </c>
      <c r="X86" s="490">
        <v>0</v>
      </c>
      <c r="Y86" s="419">
        <f t="shared" si="64"/>
        <v>170</v>
      </c>
      <c r="Z86" s="420">
        <f t="shared" si="65"/>
        <v>3.5619999999999999E-2</v>
      </c>
      <c r="AA86" s="420">
        <v>0</v>
      </c>
      <c r="AB86" s="420">
        <v>0</v>
      </c>
      <c r="AC86" s="420">
        <f t="shared" si="66"/>
        <v>2.8920000000000001E-2</v>
      </c>
      <c r="AD86" s="419">
        <f t="shared" si="67"/>
        <v>0</v>
      </c>
      <c r="AE86" s="419">
        <f t="shared" si="68"/>
        <v>13.18</v>
      </c>
      <c r="AF86" s="419">
        <f t="shared" si="69"/>
        <v>15.28</v>
      </c>
      <c r="AG86" s="454">
        <f t="shared" si="70"/>
        <v>13090</v>
      </c>
      <c r="AH86" s="454">
        <f t="shared" si="44"/>
        <v>833085.08</v>
      </c>
      <c r="AI86" s="421">
        <f t="shared" si="71"/>
        <v>0</v>
      </c>
      <c r="AJ86" s="421">
        <f t="shared" si="72"/>
        <v>707755.46</v>
      </c>
      <c r="AK86" s="421">
        <f t="shared" si="73"/>
        <v>0</v>
      </c>
      <c r="AL86" s="472">
        <v>812.5</v>
      </c>
      <c r="AM86" s="422">
        <f t="shared" si="74"/>
        <v>5146.16</v>
      </c>
      <c r="AN86" s="423">
        <f t="shared" si="75"/>
        <v>34094.019999999997</v>
      </c>
      <c r="AO86" s="421">
        <f t="shared" si="76"/>
        <v>747808.14</v>
      </c>
      <c r="AP86" s="472">
        <v>170.02</v>
      </c>
      <c r="AQ86" s="472">
        <v>-0.04</v>
      </c>
      <c r="AR86" s="472">
        <v>710.8</v>
      </c>
      <c r="AS86" s="475">
        <v>0</v>
      </c>
      <c r="AT86" s="475">
        <v>0</v>
      </c>
      <c r="AU86" s="475">
        <v>0</v>
      </c>
      <c r="AV86" s="454">
        <f t="shared" si="77"/>
        <v>1594864</v>
      </c>
      <c r="AW86" s="421">
        <f t="shared" si="78"/>
        <v>1594864</v>
      </c>
      <c r="AX86" s="455">
        <f t="shared" si="89"/>
        <v>1</v>
      </c>
      <c r="AY86" s="424">
        <f t="shared" si="79"/>
        <v>55958.06</v>
      </c>
      <c r="AZ86" s="424">
        <f t="shared" si="80"/>
        <v>8161.97</v>
      </c>
      <c r="BA86" s="424">
        <f t="shared" si="81"/>
        <v>34933.839999999997</v>
      </c>
      <c r="BB86" s="424">
        <f t="shared" si="82"/>
        <v>0</v>
      </c>
      <c r="BC86" s="424">
        <f t="shared" si="83"/>
        <v>0</v>
      </c>
      <c r="BD86" s="424">
        <f t="shared" si="84"/>
        <v>1693917.87</v>
      </c>
      <c r="BE86" s="452">
        <f t="shared" si="85"/>
        <v>1693917.87</v>
      </c>
      <c r="BF86" s="448">
        <f t="shared" si="86"/>
        <v>0</v>
      </c>
      <c r="BG86" s="456">
        <f t="shared" si="87"/>
        <v>676384.63</v>
      </c>
      <c r="BH86" s="457">
        <f t="shared" si="53"/>
        <v>156700.40999999992</v>
      </c>
      <c r="BI86" s="407" t="s">
        <v>692</v>
      </c>
      <c r="BM86" s="429">
        <f>IF(BR86&gt;BR85,BM85,IF(BM85&lt;MiscData!$F$1,EOMONTH(BM85,1),EOMONTH(BM85,-11)))</f>
        <v>41729</v>
      </c>
      <c r="BN86" s="416" t="str">
        <f t="shared" si="54"/>
        <v>20140101KUCIE566</v>
      </c>
      <c r="BO86" s="427" t="str">
        <f t="shared" si="55"/>
        <v>20140101PSP</v>
      </c>
      <c r="BP86" s="407">
        <f>IF(BM86&lt;=MiscData!$B$23,MiscData!$C$23,IF(BM86&lt;=MiscData!$B$24,MiscData!$C$24,MiscData!$C$25))</f>
        <v>20140101</v>
      </c>
      <c r="BQ86" s="407" t="str">
        <f>VLOOKUP(BR86,MiscData!$V$4:$W$42,2,FALSE)</f>
        <v>KUCIE566</v>
      </c>
      <c r="BR86" s="407">
        <f>IF(BR85=MiscData!$V$42,1,BR85+1)</f>
        <v>5</v>
      </c>
      <c r="BS86" s="407" t="str">
        <f>VLOOKUP(BQ86,MiscData!$W$4:$Y$42,3,FALSE)</f>
        <v>PSP</v>
      </c>
    </row>
    <row r="87" spans="1:72" hidden="1">
      <c r="A87" s="416">
        <f t="shared" si="88"/>
        <v>78</v>
      </c>
      <c r="B87" s="416" t="str">
        <f t="shared" si="49"/>
        <v>Mar 2014</v>
      </c>
      <c r="C87" s="416" t="s">
        <v>25</v>
      </c>
      <c r="D87" s="417" t="str">
        <f t="shared" si="50"/>
        <v>PSS</v>
      </c>
      <c r="E87" s="417" t="str">
        <f t="shared" si="51"/>
        <v>KUCIE568</v>
      </c>
      <c r="F87" s="418">
        <f t="shared" si="56"/>
        <v>404</v>
      </c>
      <c r="G87" s="467">
        <v>0</v>
      </c>
      <c r="H87" s="418">
        <v>0</v>
      </c>
      <c r="I87" s="418">
        <v>0</v>
      </c>
      <c r="J87" s="418">
        <v>0</v>
      </c>
      <c r="K87" s="418">
        <f t="shared" si="57"/>
        <v>61291912</v>
      </c>
      <c r="L87" s="459">
        <v>0</v>
      </c>
      <c r="M87" s="443">
        <f t="shared" si="58"/>
        <v>0</v>
      </c>
      <c r="N87" s="443">
        <f t="shared" si="59"/>
        <v>149464.79999999999</v>
      </c>
      <c r="O87" s="443">
        <f t="shared" si="60"/>
        <v>0</v>
      </c>
      <c r="P87" s="443">
        <f t="shared" si="61"/>
        <v>0</v>
      </c>
      <c r="Q87" s="443">
        <f t="shared" si="62"/>
        <v>157237.87</v>
      </c>
      <c r="R87" s="443">
        <f t="shared" si="63"/>
        <v>0</v>
      </c>
      <c r="S87" s="484">
        <v>0</v>
      </c>
      <c r="T87" s="484">
        <v>7773.07</v>
      </c>
      <c r="U87" s="484">
        <v>0</v>
      </c>
      <c r="V87" s="490">
        <v>0</v>
      </c>
      <c r="W87" s="490">
        <v>0</v>
      </c>
      <c r="X87" s="490">
        <v>0</v>
      </c>
      <c r="Y87" s="419">
        <f t="shared" si="64"/>
        <v>90</v>
      </c>
      <c r="Z87" s="420">
        <f t="shared" si="65"/>
        <v>3.5640000000000005E-2</v>
      </c>
      <c r="AA87" s="420">
        <v>0</v>
      </c>
      <c r="AB87" s="420">
        <v>0</v>
      </c>
      <c r="AC87" s="420">
        <f t="shared" si="66"/>
        <v>2.8920000000000001E-2</v>
      </c>
      <c r="AD87" s="419">
        <f t="shared" si="67"/>
        <v>0</v>
      </c>
      <c r="AE87" s="419">
        <f t="shared" si="68"/>
        <v>13.2</v>
      </c>
      <c r="AF87" s="419">
        <f t="shared" si="69"/>
        <v>15.3</v>
      </c>
      <c r="AG87" s="454">
        <f t="shared" si="70"/>
        <v>36360</v>
      </c>
      <c r="AH87" s="454">
        <f t="shared" si="44"/>
        <v>2184443.7400000002</v>
      </c>
      <c r="AI87" s="421">
        <f t="shared" si="71"/>
        <v>0</v>
      </c>
      <c r="AJ87" s="421">
        <f t="shared" si="72"/>
        <v>1972935.36</v>
      </c>
      <c r="AK87" s="421">
        <f t="shared" si="73"/>
        <v>0</v>
      </c>
      <c r="AL87" s="472">
        <v>335.25</v>
      </c>
      <c r="AM87" s="422">
        <f t="shared" si="74"/>
        <v>11521.49</v>
      </c>
      <c r="AN87" s="423">
        <f t="shared" si="75"/>
        <v>102604.52</v>
      </c>
      <c r="AO87" s="421">
        <f t="shared" si="76"/>
        <v>2087396.62</v>
      </c>
      <c r="AP87" s="472">
        <v>69.63</v>
      </c>
      <c r="AQ87" s="472">
        <v>-0.01</v>
      </c>
      <c r="AR87" s="472">
        <v>-3724.54</v>
      </c>
      <c r="AS87" s="475">
        <v>0</v>
      </c>
      <c r="AT87" s="475">
        <v>0</v>
      </c>
      <c r="AU87" s="475">
        <v>0</v>
      </c>
      <c r="AV87" s="454">
        <f t="shared" si="77"/>
        <v>4304545.4400000004</v>
      </c>
      <c r="AW87" s="421">
        <f t="shared" si="78"/>
        <v>4304545.4399999995</v>
      </c>
      <c r="AX87" s="455">
        <f t="shared" si="89"/>
        <v>0.99999999999999978</v>
      </c>
      <c r="AY87" s="424">
        <f t="shared" si="79"/>
        <v>174792.26</v>
      </c>
      <c r="AZ87" s="424">
        <f t="shared" si="80"/>
        <v>25379.53</v>
      </c>
      <c r="BA87" s="424">
        <f t="shared" si="81"/>
        <v>79720.039999999994</v>
      </c>
      <c r="BB87" s="424">
        <f t="shared" si="82"/>
        <v>0</v>
      </c>
      <c r="BC87" s="424">
        <f t="shared" si="83"/>
        <v>0</v>
      </c>
      <c r="BD87" s="424">
        <f t="shared" si="84"/>
        <v>4584437.2699999996</v>
      </c>
      <c r="BE87" s="452">
        <f t="shared" si="85"/>
        <v>4584437.2700000005</v>
      </c>
      <c r="BF87" s="448">
        <f t="shared" si="86"/>
        <v>0</v>
      </c>
      <c r="BG87" s="456">
        <f t="shared" si="87"/>
        <v>1772562.1</v>
      </c>
      <c r="BH87" s="457">
        <f t="shared" si="53"/>
        <v>411881.63000000035</v>
      </c>
      <c r="BI87" s="407" t="s">
        <v>692</v>
      </c>
      <c r="BM87" s="429">
        <f>IF(BR87&gt;BR86,BM86,IF(BM86&lt;MiscData!$F$1,EOMONTH(BM86,1),EOMONTH(BM86,-11)))</f>
        <v>41729</v>
      </c>
      <c r="BN87" s="416" t="str">
        <f t="shared" si="54"/>
        <v>20140101KUCIE568</v>
      </c>
      <c r="BO87" s="427" t="str">
        <f t="shared" si="55"/>
        <v>20140101PSS</v>
      </c>
      <c r="BP87" s="407">
        <f>IF(BM87&lt;=MiscData!$B$23,MiscData!$C$23,IF(BM87&lt;=MiscData!$B$24,MiscData!$C$24,MiscData!$C$25))</f>
        <v>20140101</v>
      </c>
      <c r="BQ87" s="407" t="str">
        <f>VLOOKUP(BR87,MiscData!$V$4:$W$42,2,FALSE)</f>
        <v>KUCIE568</v>
      </c>
      <c r="BR87" s="407">
        <f>IF(BR86=MiscData!$V$42,1,BR86+1)</f>
        <v>6</v>
      </c>
      <c r="BS87" s="407" t="str">
        <f>VLOOKUP(BQ87,MiscData!$W$4:$Y$42,3,FALSE)</f>
        <v>PSS</v>
      </c>
    </row>
    <row r="88" spans="1:72" hidden="1">
      <c r="A88" s="416">
        <f t="shared" si="88"/>
        <v>79</v>
      </c>
      <c r="B88" s="416" t="str">
        <f t="shared" si="49"/>
        <v>Mar 2014</v>
      </c>
      <c r="C88" s="416" t="s">
        <v>221</v>
      </c>
      <c r="D88" s="417" t="str">
        <f t="shared" si="50"/>
        <v>TODP</v>
      </c>
      <c r="E88" s="417" t="str">
        <f t="shared" si="51"/>
        <v>KUCIE571</v>
      </c>
      <c r="F88" s="418">
        <f t="shared" si="56"/>
        <v>155</v>
      </c>
      <c r="G88" s="467">
        <v>0</v>
      </c>
      <c r="H88" s="418">
        <v>0</v>
      </c>
      <c r="I88" s="418">
        <v>0</v>
      </c>
      <c r="J88" s="418">
        <v>0</v>
      </c>
      <c r="K88" s="418">
        <f t="shared" si="57"/>
        <v>101888912</v>
      </c>
      <c r="L88" s="481">
        <v>0</v>
      </c>
      <c r="M88" s="443">
        <f t="shared" si="58"/>
        <v>248542.1</v>
      </c>
      <c r="N88" s="443">
        <f t="shared" si="59"/>
        <v>245818.7</v>
      </c>
      <c r="O88" s="443">
        <f t="shared" si="60"/>
        <v>241368.2</v>
      </c>
      <c r="P88" s="443">
        <f t="shared" si="61"/>
        <v>260770.9</v>
      </c>
      <c r="Q88" s="443">
        <f t="shared" si="62"/>
        <v>248074.8</v>
      </c>
      <c r="R88" s="443">
        <f t="shared" si="63"/>
        <v>243650.7</v>
      </c>
      <c r="S88" s="484">
        <v>12228.8</v>
      </c>
      <c r="T88" s="484">
        <v>2256.1</v>
      </c>
      <c r="U88" s="484">
        <v>2282.5</v>
      </c>
      <c r="V88" s="490">
        <v>0</v>
      </c>
      <c r="W88" s="490">
        <v>0</v>
      </c>
      <c r="X88" s="490">
        <v>0</v>
      </c>
      <c r="Y88" s="419">
        <f t="shared" si="64"/>
        <v>300</v>
      </c>
      <c r="Z88" s="420">
        <f t="shared" si="65"/>
        <v>3.7650000000000003E-2</v>
      </c>
      <c r="AA88" s="420">
        <v>0</v>
      </c>
      <c r="AB88" s="420">
        <v>0</v>
      </c>
      <c r="AC88" s="420">
        <f t="shared" si="66"/>
        <v>2.8920000000000001E-2</v>
      </c>
      <c r="AD88" s="419">
        <f t="shared" si="67"/>
        <v>1.71</v>
      </c>
      <c r="AE88" s="419">
        <f t="shared" si="68"/>
        <v>2.76</v>
      </c>
      <c r="AF88" s="419">
        <f t="shared" si="69"/>
        <v>4.26</v>
      </c>
      <c r="AG88" s="454">
        <f t="shared" si="70"/>
        <v>46500</v>
      </c>
      <c r="AH88" s="454">
        <f t="shared" si="44"/>
        <v>3836117.54</v>
      </c>
      <c r="AI88" s="421">
        <f t="shared" si="71"/>
        <v>425006.99</v>
      </c>
      <c r="AJ88" s="421">
        <f t="shared" si="72"/>
        <v>678459.61</v>
      </c>
      <c r="AK88" s="421">
        <f t="shared" si="73"/>
        <v>1028228.53</v>
      </c>
      <c r="AL88" s="472">
        <v>13657.63</v>
      </c>
      <c r="AM88" s="422">
        <f t="shared" si="74"/>
        <v>0</v>
      </c>
      <c r="AN88" s="423">
        <f t="shared" si="75"/>
        <v>36861.53</v>
      </c>
      <c r="AO88" s="421">
        <f t="shared" si="76"/>
        <v>2182214.2899999996</v>
      </c>
      <c r="AP88" s="472">
        <v>600.04</v>
      </c>
      <c r="AQ88" s="472">
        <v>0.04</v>
      </c>
      <c r="AR88" s="472">
        <v>72.790000000000006</v>
      </c>
      <c r="AS88" s="475">
        <v>0</v>
      </c>
      <c r="AT88" s="475">
        <v>0</v>
      </c>
      <c r="AU88" s="475">
        <v>0</v>
      </c>
      <c r="AV88" s="454">
        <f t="shared" si="77"/>
        <v>6065504.7000000011</v>
      </c>
      <c r="AW88" s="421">
        <f t="shared" si="78"/>
        <v>6065504.7000000002</v>
      </c>
      <c r="AX88" s="455">
        <f t="shared" si="89"/>
        <v>0.99999999999999989</v>
      </c>
      <c r="AY88" s="424">
        <f t="shared" si="79"/>
        <v>282905</v>
      </c>
      <c r="AZ88" s="424">
        <f t="shared" si="80"/>
        <v>18170.41</v>
      </c>
      <c r="BA88" s="424">
        <f t="shared" si="81"/>
        <v>104639.05</v>
      </c>
      <c r="BB88" s="424">
        <f t="shared" si="82"/>
        <v>0</v>
      </c>
      <c r="BC88" s="424">
        <f t="shared" si="83"/>
        <v>0</v>
      </c>
      <c r="BD88" s="424">
        <f t="shared" si="84"/>
        <v>6471219.1600000001</v>
      </c>
      <c r="BE88" s="452">
        <f t="shared" si="85"/>
        <v>6471219.1600000011</v>
      </c>
      <c r="BF88" s="448">
        <f t="shared" si="86"/>
        <v>0</v>
      </c>
      <c r="BG88" s="456">
        <f t="shared" si="87"/>
        <v>2946627.34</v>
      </c>
      <c r="BH88" s="457">
        <f t="shared" si="53"/>
        <v>889490.24000000022</v>
      </c>
      <c r="BI88" s="407" t="s">
        <v>692</v>
      </c>
      <c r="BM88" s="429">
        <f>IF(BR88&gt;BR87,BM87,IF(BM87&lt;MiscData!$F$1,EOMONTH(BM87,1),EOMONTH(BM87,-11)))</f>
        <v>41729</v>
      </c>
      <c r="BN88" s="416" t="str">
        <f t="shared" si="54"/>
        <v>20140101KUCIE571</v>
      </c>
      <c r="BO88" s="427" t="str">
        <f t="shared" si="55"/>
        <v>20140101TODP</v>
      </c>
      <c r="BP88" s="407">
        <f>IF(BM88&lt;=MiscData!$B$23,MiscData!$C$23,IF(BM88&lt;=MiscData!$B$24,MiscData!$C$24,MiscData!$C$25))</f>
        <v>20140101</v>
      </c>
      <c r="BQ88" s="407" t="str">
        <f>VLOOKUP(BR88,MiscData!$V$4:$W$42,2,FALSE)</f>
        <v>KUCIE571</v>
      </c>
      <c r="BR88" s="407">
        <f>IF(BR87=MiscData!$V$42,1,BR87+1)</f>
        <v>7</v>
      </c>
      <c r="BS88" s="407" t="str">
        <f>VLOOKUP(BQ88,MiscData!$W$4:$Y$42,3,FALSE)</f>
        <v>TODP</v>
      </c>
    </row>
    <row r="89" spans="1:72" hidden="1">
      <c r="A89" s="416">
        <f t="shared" si="88"/>
        <v>80</v>
      </c>
      <c r="B89" s="416" t="str">
        <f t="shared" si="49"/>
        <v>Mar 2014</v>
      </c>
      <c r="C89" s="416" t="s">
        <v>220</v>
      </c>
      <c r="D89" s="417" t="str">
        <f t="shared" si="50"/>
        <v>TODS</v>
      </c>
      <c r="E89" s="417" t="str">
        <f t="shared" si="51"/>
        <v>KUCIE572</v>
      </c>
      <c r="F89" s="418">
        <f t="shared" si="56"/>
        <v>405</v>
      </c>
      <c r="G89" s="467">
        <v>0</v>
      </c>
      <c r="H89" s="418">
        <v>0</v>
      </c>
      <c r="I89" s="418">
        <v>0</v>
      </c>
      <c r="J89" s="418">
        <v>0</v>
      </c>
      <c r="K89" s="418">
        <f t="shared" si="57"/>
        <v>95043163</v>
      </c>
      <c r="L89" s="481">
        <v>0</v>
      </c>
      <c r="M89" s="443">
        <f t="shared" si="58"/>
        <v>212393.2</v>
      </c>
      <c r="N89" s="443">
        <f t="shared" si="59"/>
        <v>211134</v>
      </c>
      <c r="O89" s="443">
        <f t="shared" si="60"/>
        <v>206507.6</v>
      </c>
      <c r="P89" s="443">
        <f t="shared" si="61"/>
        <v>236870.2</v>
      </c>
      <c r="Q89" s="443">
        <f t="shared" si="62"/>
        <v>212734.75</v>
      </c>
      <c r="R89" s="443">
        <f t="shared" si="63"/>
        <v>208312.95</v>
      </c>
      <c r="S89" s="484">
        <v>24477</v>
      </c>
      <c r="T89" s="484">
        <v>1600.75</v>
      </c>
      <c r="U89" s="484">
        <v>1805.35</v>
      </c>
      <c r="V89" s="490">
        <v>0</v>
      </c>
      <c r="W89" s="490">
        <v>0</v>
      </c>
      <c r="X89" s="490">
        <v>0</v>
      </c>
      <c r="Y89" s="419">
        <f t="shared" si="64"/>
        <v>200</v>
      </c>
      <c r="Z89" s="420">
        <f t="shared" si="65"/>
        <v>3.773E-2</v>
      </c>
      <c r="AA89" s="420">
        <v>0</v>
      </c>
      <c r="AB89" s="420">
        <v>0</v>
      </c>
      <c r="AC89" s="420">
        <f t="shared" si="66"/>
        <v>2.8920000000000001E-2</v>
      </c>
      <c r="AD89" s="419">
        <f t="shared" si="67"/>
        <v>3.62</v>
      </c>
      <c r="AE89" s="419">
        <f t="shared" si="68"/>
        <v>2.95</v>
      </c>
      <c r="AF89" s="419">
        <f t="shared" si="69"/>
        <v>4.55</v>
      </c>
      <c r="AG89" s="454">
        <f t="shared" si="70"/>
        <v>81000</v>
      </c>
      <c r="AH89" s="454">
        <f t="shared" si="44"/>
        <v>3585978.54</v>
      </c>
      <c r="AI89" s="421">
        <f t="shared" si="71"/>
        <v>768863.38</v>
      </c>
      <c r="AJ89" s="421">
        <f t="shared" si="72"/>
        <v>622845.30000000005</v>
      </c>
      <c r="AK89" s="421">
        <f t="shared" si="73"/>
        <v>939609.58</v>
      </c>
      <c r="AL89" s="472">
        <v>7907.43</v>
      </c>
      <c r="AM89" s="422">
        <f t="shared" si="74"/>
        <v>57259.56</v>
      </c>
      <c r="AN89" s="423">
        <f t="shared" si="75"/>
        <v>101543.3</v>
      </c>
      <c r="AO89" s="421">
        <f t="shared" si="76"/>
        <v>2498028.5500000003</v>
      </c>
      <c r="AP89" s="472">
        <v>-627.85</v>
      </c>
      <c r="AQ89" s="472">
        <v>0.22</v>
      </c>
      <c r="AR89" s="472">
        <v>9636.31</v>
      </c>
      <c r="AS89" s="475">
        <v>0</v>
      </c>
      <c r="AT89" s="475">
        <v>0</v>
      </c>
      <c r="AU89" s="475">
        <v>0</v>
      </c>
      <c r="AV89" s="454">
        <f t="shared" si="77"/>
        <v>6174015.7699999986</v>
      </c>
      <c r="AW89" s="421">
        <f t="shared" si="78"/>
        <v>6174015.7699999996</v>
      </c>
      <c r="AX89" s="455">
        <f t="shared" si="89"/>
        <v>1.0000000000000002</v>
      </c>
      <c r="AY89" s="424">
        <f t="shared" si="79"/>
        <v>262013.89</v>
      </c>
      <c r="AZ89" s="424">
        <f t="shared" si="80"/>
        <v>35913.519999999997</v>
      </c>
      <c r="BA89" s="424">
        <f t="shared" si="81"/>
        <v>114770.53</v>
      </c>
      <c r="BB89" s="424">
        <f t="shared" si="82"/>
        <v>0</v>
      </c>
      <c r="BC89" s="424">
        <f t="shared" si="83"/>
        <v>0</v>
      </c>
      <c r="BD89" s="424">
        <f t="shared" si="84"/>
        <v>6586713.71</v>
      </c>
      <c r="BE89" s="452">
        <f t="shared" si="85"/>
        <v>6586713.7099999981</v>
      </c>
      <c r="BF89" s="448">
        <f t="shared" si="86"/>
        <v>0</v>
      </c>
      <c r="BG89" s="456">
        <f t="shared" si="87"/>
        <v>2748648.27</v>
      </c>
      <c r="BH89" s="457">
        <f t="shared" si="53"/>
        <v>837330.49000000022</v>
      </c>
      <c r="BI89" s="407" t="s">
        <v>692</v>
      </c>
      <c r="BM89" s="429">
        <f>IF(BR89&gt;BR88,BM88,IF(BM88&lt;MiscData!$F$1,EOMONTH(BM88,1),EOMONTH(BM88,-11)))</f>
        <v>41729</v>
      </c>
      <c r="BN89" s="416" t="str">
        <f t="shared" si="54"/>
        <v>20140101KUCIE572</v>
      </c>
      <c r="BO89" s="427" t="str">
        <f t="shared" si="55"/>
        <v>20140101TODS</v>
      </c>
      <c r="BP89" s="407">
        <f>IF(BM89&lt;=MiscData!$B$23,MiscData!$C$23,IF(BM89&lt;=MiscData!$B$24,MiscData!$C$24,MiscData!$C$25))</f>
        <v>20140101</v>
      </c>
      <c r="BQ89" s="407" t="str">
        <f>VLOOKUP(BR89,MiscData!$V$4:$W$42,2,FALSE)</f>
        <v>KUCIE572</v>
      </c>
      <c r="BR89" s="407">
        <f>IF(BR88=MiscData!$V$42,1,BR88+1)</f>
        <v>8</v>
      </c>
      <c r="BS89" s="407" t="str">
        <f>VLOOKUP(BQ89,MiscData!$W$4:$Y$42,3,FALSE)</f>
        <v>TODS</v>
      </c>
    </row>
    <row r="90" spans="1:72" hidden="1">
      <c r="A90" s="416">
        <f t="shared" si="88"/>
        <v>81</v>
      </c>
      <c r="B90" s="416" t="str">
        <f t="shared" si="49"/>
        <v>Mar 2014</v>
      </c>
      <c r="C90" s="416" t="s">
        <v>25</v>
      </c>
      <c r="D90" s="417" t="str">
        <f t="shared" si="50"/>
        <v>PSS</v>
      </c>
      <c r="E90" s="417" t="str">
        <f t="shared" si="51"/>
        <v>KUCIE717</v>
      </c>
      <c r="F90" s="418">
        <f t="shared" si="56"/>
        <v>1</v>
      </c>
      <c r="G90" s="467">
        <v>0</v>
      </c>
      <c r="H90" s="418">
        <v>0</v>
      </c>
      <c r="I90" s="418">
        <v>0</v>
      </c>
      <c r="J90" s="418">
        <v>0</v>
      </c>
      <c r="K90" s="418">
        <f t="shared" si="57"/>
        <v>30480</v>
      </c>
      <c r="L90" s="459">
        <v>0</v>
      </c>
      <c r="M90" s="443">
        <f t="shared" si="58"/>
        <v>0</v>
      </c>
      <c r="N90" s="443">
        <f t="shared" si="59"/>
        <v>180.1</v>
      </c>
      <c r="O90" s="443">
        <f t="shared" si="60"/>
        <v>0</v>
      </c>
      <c r="P90" s="443">
        <f t="shared" si="61"/>
        <v>0</v>
      </c>
      <c r="Q90" s="443">
        <f t="shared" si="62"/>
        <v>0</v>
      </c>
      <c r="R90" s="443">
        <f t="shared" si="63"/>
        <v>0</v>
      </c>
      <c r="S90" s="484">
        <v>0</v>
      </c>
      <c r="T90" s="484">
        <v>0</v>
      </c>
      <c r="U90" s="484">
        <v>0</v>
      </c>
      <c r="V90" s="490">
        <v>0</v>
      </c>
      <c r="W90" s="490">
        <v>0</v>
      </c>
      <c r="X90" s="490">
        <v>0</v>
      </c>
      <c r="Y90" s="419">
        <f t="shared" si="64"/>
        <v>90</v>
      </c>
      <c r="Z90" s="420">
        <f t="shared" si="65"/>
        <v>3.5640000000000005E-2</v>
      </c>
      <c r="AA90" s="420">
        <v>0</v>
      </c>
      <c r="AB90" s="420">
        <v>0</v>
      </c>
      <c r="AC90" s="420">
        <f t="shared" si="66"/>
        <v>2.8920000000000001E-2</v>
      </c>
      <c r="AD90" s="419">
        <f t="shared" si="67"/>
        <v>0</v>
      </c>
      <c r="AE90" s="419">
        <f t="shared" si="68"/>
        <v>13.2</v>
      </c>
      <c r="AF90" s="419">
        <f t="shared" si="69"/>
        <v>15.3</v>
      </c>
      <c r="AG90" s="454">
        <f t="shared" si="70"/>
        <v>90</v>
      </c>
      <c r="AH90" s="454">
        <f t="shared" si="44"/>
        <v>1086.31</v>
      </c>
      <c r="AI90" s="421">
        <f t="shared" si="71"/>
        <v>0</v>
      </c>
      <c r="AJ90" s="421">
        <f t="shared" si="72"/>
        <v>2377.3200000000002</v>
      </c>
      <c r="AK90" s="421">
        <f t="shared" si="73"/>
        <v>0</v>
      </c>
      <c r="AL90" s="472">
        <v>0</v>
      </c>
      <c r="AM90" s="422">
        <f t="shared" si="74"/>
        <v>0</v>
      </c>
      <c r="AN90" s="423">
        <f t="shared" si="75"/>
        <v>0</v>
      </c>
      <c r="AO90" s="421">
        <f t="shared" si="76"/>
        <v>2377.3200000000002</v>
      </c>
      <c r="AP90" s="472">
        <v>0</v>
      </c>
      <c r="AQ90" s="472">
        <v>0</v>
      </c>
      <c r="AR90" s="472">
        <v>0</v>
      </c>
      <c r="AS90" s="475">
        <v>0</v>
      </c>
      <c r="AT90" s="475">
        <v>0</v>
      </c>
      <c r="AU90" s="475">
        <v>0</v>
      </c>
      <c r="AV90" s="454">
        <f t="shared" si="77"/>
        <v>3553.63</v>
      </c>
      <c r="AW90" s="421">
        <f t="shared" si="78"/>
        <v>3553.63</v>
      </c>
      <c r="AX90" s="455">
        <f t="shared" si="89"/>
        <v>1</v>
      </c>
      <c r="AY90" s="424">
        <f t="shared" si="79"/>
        <v>95.1</v>
      </c>
      <c r="AZ90" s="424">
        <f t="shared" si="80"/>
        <v>20.420000000000002</v>
      </c>
      <c r="BA90" s="424">
        <f t="shared" si="81"/>
        <v>74.58</v>
      </c>
      <c r="BB90" s="424">
        <f t="shared" si="82"/>
        <v>0</v>
      </c>
      <c r="BC90" s="424">
        <f t="shared" si="83"/>
        <v>0</v>
      </c>
      <c r="BD90" s="424">
        <f t="shared" si="84"/>
        <v>3743.73</v>
      </c>
      <c r="BE90" s="452">
        <f t="shared" si="85"/>
        <v>3743.73</v>
      </c>
      <c r="BF90" s="448">
        <f t="shared" si="86"/>
        <v>0</v>
      </c>
      <c r="BG90" s="456">
        <f t="shared" si="87"/>
        <v>881.48</v>
      </c>
      <c r="BH90" s="457">
        <f t="shared" si="53"/>
        <v>204.82999999999993</v>
      </c>
      <c r="BI90" s="407" t="s">
        <v>692</v>
      </c>
      <c r="BM90" s="429">
        <f>IF(BR90&gt;BR89,BM89,IF(BM89&lt;MiscData!$F$1,EOMONTH(BM89,1),EOMONTH(BM89,-11)))</f>
        <v>41729</v>
      </c>
      <c r="BN90" s="416" t="str">
        <f t="shared" si="54"/>
        <v>20140101KUCIE717</v>
      </c>
      <c r="BO90" s="427" t="str">
        <f t="shared" si="55"/>
        <v>20140101PSS</v>
      </c>
      <c r="BP90" s="407">
        <f>IF(BM90&lt;=MiscData!$B$23,MiscData!$C$23,IF(BM90&lt;=MiscData!$B$24,MiscData!$C$24,MiscData!$C$25))</f>
        <v>20140101</v>
      </c>
      <c r="BQ90" s="407" t="str">
        <f>VLOOKUP(BR90,MiscData!$V$4:$W$42,2,FALSE)</f>
        <v>KUCIE717</v>
      </c>
      <c r="BR90" s="407">
        <f>IF(BR89=MiscData!$V$42,1,BR89+1)</f>
        <v>9</v>
      </c>
      <c r="BS90" s="407" t="str">
        <f>VLOOKUP(BQ90,MiscData!$W$4:$Y$42,3,FALSE)</f>
        <v>PSS</v>
      </c>
    </row>
    <row r="91" spans="1:72" hidden="1">
      <c r="A91" s="416">
        <f t="shared" si="88"/>
        <v>82</v>
      </c>
      <c r="B91" s="416" t="str">
        <f t="shared" si="49"/>
        <v>Mar 2014</v>
      </c>
      <c r="C91" s="416" t="s">
        <v>224</v>
      </c>
      <c r="D91" s="417" t="str">
        <f t="shared" si="50"/>
        <v>GS</v>
      </c>
      <c r="E91" s="417" t="str">
        <f t="shared" si="51"/>
        <v>KUCME110</v>
      </c>
      <c r="F91" s="418">
        <f t="shared" si="56"/>
        <v>64365</v>
      </c>
      <c r="G91" s="467">
        <v>0</v>
      </c>
      <c r="H91" s="418">
        <v>0</v>
      </c>
      <c r="I91" s="418">
        <v>0</v>
      </c>
      <c r="J91" s="418">
        <v>0</v>
      </c>
      <c r="K91" s="418">
        <f t="shared" si="57"/>
        <v>79298124</v>
      </c>
      <c r="L91" s="459">
        <v>0</v>
      </c>
      <c r="M91" s="443">
        <f t="shared" si="58"/>
        <v>128514.8</v>
      </c>
      <c r="N91" s="443">
        <f t="shared" si="59"/>
        <v>0</v>
      </c>
      <c r="O91" s="443">
        <f t="shared" si="60"/>
        <v>0</v>
      </c>
      <c r="P91" s="443">
        <f t="shared" si="61"/>
        <v>0</v>
      </c>
      <c r="Q91" s="443">
        <f t="shared" si="62"/>
        <v>0</v>
      </c>
      <c r="R91" s="443">
        <f t="shared" si="63"/>
        <v>0</v>
      </c>
      <c r="S91" s="484">
        <v>0</v>
      </c>
      <c r="T91" s="484">
        <v>0</v>
      </c>
      <c r="U91" s="484">
        <v>0</v>
      </c>
      <c r="V91" s="490">
        <v>0</v>
      </c>
      <c r="W91" s="490">
        <v>0</v>
      </c>
      <c r="X91" s="490">
        <v>0</v>
      </c>
      <c r="Y91" s="419">
        <f t="shared" si="64"/>
        <v>20</v>
      </c>
      <c r="Z91" s="420">
        <f t="shared" si="65"/>
        <v>9.2249999999999999E-2</v>
      </c>
      <c r="AA91" s="420">
        <v>0</v>
      </c>
      <c r="AB91" s="420">
        <v>0</v>
      </c>
      <c r="AC91" s="420">
        <f t="shared" si="66"/>
        <v>2.8920000000000001E-2</v>
      </c>
      <c r="AD91" s="419">
        <f t="shared" si="67"/>
        <v>0</v>
      </c>
      <c r="AE91" s="419">
        <f t="shared" si="68"/>
        <v>0</v>
      </c>
      <c r="AF91" s="419">
        <f t="shared" si="69"/>
        <v>0</v>
      </c>
      <c r="AG91" s="454">
        <f t="shared" si="70"/>
        <v>1287300</v>
      </c>
      <c r="AH91" s="454">
        <f t="shared" si="44"/>
        <v>7315251.9400000004</v>
      </c>
      <c r="AI91" s="421">
        <f t="shared" si="71"/>
        <v>0</v>
      </c>
      <c r="AJ91" s="421">
        <f t="shared" si="72"/>
        <v>0</v>
      </c>
      <c r="AK91" s="421">
        <f t="shared" si="73"/>
        <v>0</v>
      </c>
      <c r="AL91" s="472">
        <v>0</v>
      </c>
      <c r="AM91" s="422">
        <f t="shared" si="74"/>
        <v>0</v>
      </c>
      <c r="AN91" s="423">
        <f t="shared" si="75"/>
        <v>0</v>
      </c>
      <c r="AO91" s="421">
        <f t="shared" si="76"/>
        <v>0</v>
      </c>
      <c r="AP91" s="472">
        <v>8998.2800000000007</v>
      </c>
      <c r="AQ91" s="472">
        <v>1781.84</v>
      </c>
      <c r="AR91" s="472">
        <v>0</v>
      </c>
      <c r="AS91" s="475">
        <v>0</v>
      </c>
      <c r="AT91" s="475">
        <v>0</v>
      </c>
      <c r="AU91" s="475">
        <v>0</v>
      </c>
      <c r="AV91" s="454">
        <f t="shared" si="77"/>
        <v>8613332.0600000005</v>
      </c>
      <c r="AW91" s="421">
        <f t="shared" si="78"/>
        <v>8613332.0599999987</v>
      </c>
      <c r="AX91" s="455">
        <f t="shared" ref="AX91:AX100" si="90">IF(AND(AV91=0,AW91=0),1,IF(AV91=0,0,AW91/AV91))</f>
        <v>0.99999999999999978</v>
      </c>
      <c r="AY91" s="424">
        <f t="shared" si="79"/>
        <v>231242.35</v>
      </c>
      <c r="AZ91" s="424">
        <f t="shared" si="80"/>
        <v>185042.08</v>
      </c>
      <c r="BA91" s="424">
        <f t="shared" si="81"/>
        <v>200590.33000000002</v>
      </c>
      <c r="BB91" s="424">
        <f t="shared" si="82"/>
        <v>-0.03</v>
      </c>
      <c r="BC91" s="424">
        <f t="shared" si="83"/>
        <v>0</v>
      </c>
      <c r="BD91" s="424">
        <f t="shared" si="84"/>
        <v>9230206.7899999991</v>
      </c>
      <c r="BE91" s="452">
        <f t="shared" si="85"/>
        <v>9230206.790000001</v>
      </c>
      <c r="BF91" s="448">
        <f t="shared" si="86"/>
        <v>0</v>
      </c>
      <c r="BG91" s="456">
        <f t="shared" si="87"/>
        <v>2293301.75</v>
      </c>
      <c r="BH91" s="457">
        <f t="shared" si="53"/>
        <v>5023732.03</v>
      </c>
      <c r="BI91" s="407" t="s">
        <v>692</v>
      </c>
      <c r="BM91" s="429">
        <f>IF(BR91&gt;BR90,BM90,IF(BM90&lt;MiscData!$F$1,EOMONTH(BM90,1),EOMONTH(BM90,-11)))</f>
        <v>41729</v>
      </c>
      <c r="BN91" s="416" t="str">
        <f t="shared" si="54"/>
        <v>20140101KUCME110</v>
      </c>
      <c r="BO91" s="427" t="str">
        <f t="shared" si="55"/>
        <v>20140101GS</v>
      </c>
      <c r="BP91" s="407">
        <f>IF(BM91&lt;=MiscData!$B$23,MiscData!$C$23,IF(BM91&lt;=MiscData!$B$24,MiscData!$C$24,MiscData!$C$25))</f>
        <v>20140101</v>
      </c>
      <c r="BQ91" s="407" t="str">
        <f>VLOOKUP(BR91,MiscData!$V$4:$W$42,2,FALSE)</f>
        <v>KUCME110</v>
      </c>
      <c r="BR91" s="407">
        <f>IF(BR90=MiscData!$V$42,1,BR90+1)</f>
        <v>10</v>
      </c>
      <c r="BS91" s="407" t="str">
        <f>VLOOKUP(BQ91,MiscData!$W$4:$Y$42,3,FALSE)</f>
        <v>GS</v>
      </c>
    </row>
    <row r="92" spans="1:72" hidden="1">
      <c r="A92" s="416">
        <f t="shared" si="88"/>
        <v>83</v>
      </c>
      <c r="B92" s="416" t="str">
        <f t="shared" si="49"/>
        <v>Mar 2014</v>
      </c>
      <c r="C92" s="416" t="s">
        <v>224</v>
      </c>
      <c r="D92" s="417" t="str">
        <f t="shared" si="50"/>
        <v>GS</v>
      </c>
      <c r="E92" s="417" t="str">
        <f t="shared" si="51"/>
        <v>KUCME112</v>
      </c>
      <c r="F92" s="418">
        <f t="shared" si="56"/>
        <v>61</v>
      </c>
      <c r="G92" s="467">
        <v>0</v>
      </c>
      <c r="H92" s="418">
        <v>0</v>
      </c>
      <c r="I92" s="418">
        <v>0</v>
      </c>
      <c r="J92" s="418">
        <v>0</v>
      </c>
      <c r="K92" s="418">
        <f t="shared" si="57"/>
        <v>10785</v>
      </c>
      <c r="L92" s="459">
        <v>0</v>
      </c>
      <c r="M92" s="443">
        <f t="shared" si="58"/>
        <v>0</v>
      </c>
      <c r="N92" s="443">
        <f t="shared" si="59"/>
        <v>0</v>
      </c>
      <c r="O92" s="443">
        <f t="shared" si="60"/>
        <v>0</v>
      </c>
      <c r="P92" s="443">
        <f t="shared" si="61"/>
        <v>0</v>
      </c>
      <c r="Q92" s="443">
        <f t="shared" si="62"/>
        <v>0</v>
      </c>
      <c r="R92" s="443">
        <f t="shared" si="63"/>
        <v>0</v>
      </c>
      <c r="S92" s="484">
        <v>0</v>
      </c>
      <c r="T92" s="484">
        <v>0</v>
      </c>
      <c r="U92" s="484">
        <v>0</v>
      </c>
      <c r="V92" s="490">
        <v>0</v>
      </c>
      <c r="W92" s="490">
        <v>0</v>
      </c>
      <c r="X92" s="490">
        <v>0</v>
      </c>
      <c r="Y92" s="419">
        <f t="shared" si="64"/>
        <v>20</v>
      </c>
      <c r="Z92" s="420">
        <f t="shared" si="65"/>
        <v>9.2249999999999999E-2</v>
      </c>
      <c r="AA92" s="420">
        <v>0</v>
      </c>
      <c r="AB92" s="420">
        <v>0</v>
      </c>
      <c r="AC92" s="420">
        <f t="shared" si="66"/>
        <v>2.8920000000000001E-2</v>
      </c>
      <c r="AD92" s="419">
        <f t="shared" si="67"/>
        <v>0</v>
      </c>
      <c r="AE92" s="419">
        <f t="shared" si="68"/>
        <v>0</v>
      </c>
      <c r="AF92" s="419">
        <f t="shared" si="69"/>
        <v>0</v>
      </c>
      <c r="AG92" s="454">
        <f t="shared" si="70"/>
        <v>1220</v>
      </c>
      <c r="AH92" s="454">
        <f t="shared" si="44"/>
        <v>994.92</v>
      </c>
      <c r="AI92" s="421">
        <f t="shared" si="71"/>
        <v>0</v>
      </c>
      <c r="AJ92" s="421">
        <f t="shared" si="72"/>
        <v>0</v>
      </c>
      <c r="AK92" s="421">
        <f t="shared" si="73"/>
        <v>0</v>
      </c>
      <c r="AL92" s="472">
        <v>0</v>
      </c>
      <c r="AM92" s="422">
        <f t="shared" si="74"/>
        <v>0</v>
      </c>
      <c r="AN92" s="423">
        <f t="shared" si="75"/>
        <v>0</v>
      </c>
      <c r="AO92" s="421">
        <f t="shared" si="76"/>
        <v>0</v>
      </c>
      <c r="AP92" s="472">
        <v>0</v>
      </c>
      <c r="AQ92" s="472">
        <v>0.02</v>
      </c>
      <c r="AR92" s="472">
        <v>0</v>
      </c>
      <c r="AS92" s="475">
        <v>0</v>
      </c>
      <c r="AT92" s="475">
        <v>0</v>
      </c>
      <c r="AU92" s="475">
        <v>0</v>
      </c>
      <c r="AV92" s="454">
        <f t="shared" si="77"/>
        <v>2214.94</v>
      </c>
      <c r="AW92" s="421">
        <f t="shared" si="78"/>
        <v>2214.94</v>
      </c>
      <c r="AX92" s="455">
        <f t="shared" si="90"/>
        <v>1</v>
      </c>
      <c r="AY92" s="424">
        <f t="shared" si="79"/>
        <v>25.82</v>
      </c>
      <c r="AZ92" s="424">
        <f t="shared" si="80"/>
        <v>25.69</v>
      </c>
      <c r="BA92" s="424">
        <f t="shared" si="81"/>
        <v>71.099999999999994</v>
      </c>
      <c r="BB92" s="424">
        <f t="shared" si="82"/>
        <v>0</v>
      </c>
      <c r="BC92" s="424">
        <f t="shared" si="83"/>
        <v>0</v>
      </c>
      <c r="BD92" s="424">
        <f t="shared" si="84"/>
        <v>2337.5500000000002</v>
      </c>
      <c r="BE92" s="452">
        <f t="shared" si="85"/>
        <v>2337.5500000000002</v>
      </c>
      <c r="BF92" s="448">
        <f t="shared" si="86"/>
        <v>0</v>
      </c>
      <c r="BG92" s="456">
        <f t="shared" si="87"/>
        <v>311.89999999999998</v>
      </c>
      <c r="BH92" s="457">
        <f t="shared" si="53"/>
        <v>683.04</v>
      </c>
      <c r="BI92" s="407" t="s">
        <v>692</v>
      </c>
      <c r="BM92" s="429">
        <f>IF(BR92&gt;BR91,BM91,IF(BM91&lt;MiscData!$F$1,EOMONTH(BM91,1),EOMONTH(BM91,-11)))</f>
        <v>41729</v>
      </c>
      <c r="BN92" s="416" t="str">
        <f t="shared" si="54"/>
        <v>20140101KUCME112</v>
      </c>
      <c r="BO92" s="427" t="str">
        <f t="shared" si="55"/>
        <v>20140101GS</v>
      </c>
      <c r="BP92" s="407">
        <f>IF(BM92&lt;=MiscData!$B$23,MiscData!$C$23,IF(BM92&lt;=MiscData!$B$24,MiscData!$C$24,MiscData!$C$25))</f>
        <v>20140101</v>
      </c>
      <c r="BQ92" s="407" t="str">
        <f>VLOOKUP(BR92,MiscData!$V$4:$W$42,2,FALSE)</f>
        <v>KUCME112</v>
      </c>
      <c r="BR92" s="407">
        <f>IF(BR91=MiscData!$V$42,1,BR91+1)</f>
        <v>11</v>
      </c>
      <c r="BS92" s="407" t="str">
        <f>VLOOKUP(BQ92,MiscData!$W$4:$Y$42,3,FALSE)</f>
        <v>GS</v>
      </c>
    </row>
    <row r="93" spans="1:72" hidden="1">
      <c r="A93" s="416">
        <f t="shared" si="88"/>
        <v>84</v>
      </c>
      <c r="B93" s="416" t="str">
        <f t="shared" si="49"/>
        <v>Mar 2014</v>
      </c>
      <c r="C93" s="416" t="s">
        <v>18</v>
      </c>
      <c r="D93" s="417" t="str">
        <f t="shared" si="50"/>
        <v>GS3</v>
      </c>
      <c r="E93" s="417" t="str">
        <f t="shared" si="51"/>
        <v>KUCME113</v>
      </c>
      <c r="F93" s="418">
        <f t="shared" si="56"/>
        <v>17212</v>
      </c>
      <c r="G93" s="467">
        <v>0</v>
      </c>
      <c r="H93" s="418">
        <v>0</v>
      </c>
      <c r="I93" s="418">
        <v>0</v>
      </c>
      <c r="J93" s="418">
        <v>0</v>
      </c>
      <c r="K93" s="418">
        <f t="shared" si="57"/>
        <v>90277924</v>
      </c>
      <c r="L93" s="459">
        <v>0</v>
      </c>
      <c r="M93" s="443">
        <f t="shared" si="58"/>
        <v>356008.9</v>
      </c>
      <c r="N93" s="443">
        <f t="shared" si="59"/>
        <v>0</v>
      </c>
      <c r="O93" s="443">
        <f t="shared" si="60"/>
        <v>0</v>
      </c>
      <c r="P93" s="443">
        <f t="shared" si="61"/>
        <v>0</v>
      </c>
      <c r="Q93" s="443">
        <f t="shared" si="62"/>
        <v>0</v>
      </c>
      <c r="R93" s="443">
        <f t="shared" si="63"/>
        <v>0</v>
      </c>
      <c r="S93" s="484">
        <v>0</v>
      </c>
      <c r="T93" s="484">
        <v>0</v>
      </c>
      <c r="U93" s="484">
        <v>0</v>
      </c>
      <c r="V93" s="490">
        <v>0</v>
      </c>
      <c r="W93" s="490">
        <v>0</v>
      </c>
      <c r="X93" s="490">
        <v>0</v>
      </c>
      <c r="Y93" s="419">
        <f t="shared" si="64"/>
        <v>35</v>
      </c>
      <c r="Z93" s="420">
        <f t="shared" si="65"/>
        <v>9.2249999999999999E-2</v>
      </c>
      <c r="AA93" s="420">
        <v>0</v>
      </c>
      <c r="AB93" s="420">
        <v>0</v>
      </c>
      <c r="AC93" s="420">
        <f t="shared" si="66"/>
        <v>2.8920000000000001E-2</v>
      </c>
      <c r="AD93" s="419">
        <f t="shared" si="67"/>
        <v>0</v>
      </c>
      <c r="AE93" s="419">
        <f t="shared" si="68"/>
        <v>0</v>
      </c>
      <c r="AF93" s="419">
        <f t="shared" si="69"/>
        <v>0</v>
      </c>
      <c r="AG93" s="454">
        <f t="shared" si="70"/>
        <v>602420</v>
      </c>
      <c r="AH93" s="454">
        <f t="shared" si="44"/>
        <v>8328138.4900000002</v>
      </c>
      <c r="AI93" s="421">
        <f t="shared" si="71"/>
        <v>0</v>
      </c>
      <c r="AJ93" s="421">
        <f t="shared" si="72"/>
        <v>0</v>
      </c>
      <c r="AK93" s="421">
        <f t="shared" si="73"/>
        <v>0</v>
      </c>
      <c r="AL93" s="472">
        <v>0</v>
      </c>
      <c r="AM93" s="422">
        <f t="shared" si="74"/>
        <v>0</v>
      </c>
      <c r="AN93" s="423">
        <f t="shared" si="75"/>
        <v>0</v>
      </c>
      <c r="AO93" s="421">
        <f t="shared" si="76"/>
        <v>0</v>
      </c>
      <c r="AP93" s="472">
        <v>-321.52999999999997</v>
      </c>
      <c r="AQ93" s="472">
        <v>34.5</v>
      </c>
      <c r="AR93" s="472">
        <v>0</v>
      </c>
      <c r="AS93" s="475">
        <v>0</v>
      </c>
      <c r="AT93" s="475">
        <v>0</v>
      </c>
      <c r="AU93" s="475">
        <v>0</v>
      </c>
      <c r="AV93" s="454">
        <f t="shared" si="77"/>
        <v>8930271.4600000009</v>
      </c>
      <c r="AW93" s="421">
        <f t="shared" si="78"/>
        <v>8930271.459999999</v>
      </c>
      <c r="AX93" s="455">
        <f t="shared" si="90"/>
        <v>0.99999999999999978</v>
      </c>
      <c r="AY93" s="424">
        <f t="shared" si="79"/>
        <v>263314.77</v>
      </c>
      <c r="AZ93" s="424">
        <f t="shared" si="80"/>
        <v>200258.05</v>
      </c>
      <c r="BA93" s="424">
        <f t="shared" si="81"/>
        <v>200708.59</v>
      </c>
      <c r="BB93" s="424">
        <f t="shared" si="82"/>
        <v>0</v>
      </c>
      <c r="BC93" s="424">
        <f t="shared" si="83"/>
        <v>0</v>
      </c>
      <c r="BD93" s="424">
        <f t="shared" si="84"/>
        <v>9594552.8699999992</v>
      </c>
      <c r="BE93" s="452">
        <f t="shared" si="85"/>
        <v>9594552.870000001</v>
      </c>
      <c r="BF93" s="448">
        <f t="shared" si="86"/>
        <v>0</v>
      </c>
      <c r="BG93" s="456">
        <f t="shared" si="87"/>
        <v>2610837.56</v>
      </c>
      <c r="BH93" s="457">
        <f t="shared" si="53"/>
        <v>5717335.4299999997</v>
      </c>
      <c r="BI93" s="407" t="s">
        <v>692</v>
      </c>
      <c r="BM93" s="429">
        <f>IF(BR93&gt;BR92,BM92,IF(BM92&lt;MiscData!$F$1,EOMONTH(BM92,1),EOMONTH(BM92,-11)))</f>
        <v>41729</v>
      </c>
      <c r="BN93" s="416" t="str">
        <f t="shared" si="54"/>
        <v>20140101KUCME113</v>
      </c>
      <c r="BO93" s="427" t="str">
        <f t="shared" si="55"/>
        <v>20140101GS3</v>
      </c>
      <c r="BP93" s="407">
        <f>IF(BM93&lt;=MiscData!$B$23,MiscData!$C$23,IF(BM93&lt;=MiscData!$B$24,MiscData!$C$24,MiscData!$C$25))</f>
        <v>20140101</v>
      </c>
      <c r="BQ93" s="407" t="str">
        <f>VLOOKUP(BR93,MiscData!$V$4:$W$42,2,FALSE)</f>
        <v>KUCME113</v>
      </c>
      <c r="BR93" s="407">
        <f>IF(BR92=MiscData!$V$42,1,BR92+1)</f>
        <v>12</v>
      </c>
      <c r="BS93" s="407" t="str">
        <f>VLOOKUP(BQ93,MiscData!$W$4:$Y$42,3,FALSE)</f>
        <v>GS3</v>
      </c>
    </row>
    <row r="94" spans="1:72" hidden="1">
      <c r="A94" s="416">
        <f t="shared" si="88"/>
        <v>85</v>
      </c>
      <c r="B94" s="416" t="str">
        <f t="shared" si="49"/>
        <v>Mar 2014</v>
      </c>
      <c r="C94" s="416" t="s">
        <v>219</v>
      </c>
      <c r="D94" s="417" t="str">
        <f t="shared" si="50"/>
        <v>AES</v>
      </c>
      <c r="E94" s="417" t="str">
        <f t="shared" si="51"/>
        <v>KUCME220</v>
      </c>
      <c r="F94" s="418">
        <f t="shared" si="56"/>
        <v>335</v>
      </c>
      <c r="G94" s="467">
        <v>6</v>
      </c>
      <c r="H94" s="418">
        <v>0</v>
      </c>
      <c r="I94" s="418">
        <v>0</v>
      </c>
      <c r="J94" s="418">
        <v>0</v>
      </c>
      <c r="K94" s="418">
        <f t="shared" si="57"/>
        <v>1056710</v>
      </c>
      <c r="L94" s="459">
        <v>0</v>
      </c>
      <c r="M94" s="443">
        <f t="shared" si="58"/>
        <v>2373.4</v>
      </c>
      <c r="N94" s="443">
        <f t="shared" si="59"/>
        <v>0</v>
      </c>
      <c r="O94" s="443">
        <f t="shared" si="60"/>
        <v>0</v>
      </c>
      <c r="P94" s="443">
        <f t="shared" si="61"/>
        <v>0</v>
      </c>
      <c r="Q94" s="443">
        <f t="shared" si="62"/>
        <v>0</v>
      </c>
      <c r="R94" s="443">
        <f t="shared" si="63"/>
        <v>0</v>
      </c>
      <c r="S94" s="484">
        <v>0</v>
      </c>
      <c r="T94" s="484">
        <v>0</v>
      </c>
      <c r="U94" s="484">
        <v>0</v>
      </c>
      <c r="V94" s="490">
        <v>0</v>
      </c>
      <c r="W94" s="490">
        <v>0</v>
      </c>
      <c r="X94" s="490">
        <v>0</v>
      </c>
      <c r="Y94" s="419">
        <f t="shared" si="64"/>
        <v>20</v>
      </c>
      <c r="Z94" s="420">
        <f t="shared" si="65"/>
        <v>7.4399999999999994E-2</v>
      </c>
      <c r="AA94" s="420">
        <v>0</v>
      </c>
      <c r="AB94" s="420">
        <v>0</v>
      </c>
      <c r="AC94" s="420">
        <f t="shared" si="66"/>
        <v>2.8920000000000001E-2</v>
      </c>
      <c r="AD94" s="419">
        <f t="shared" si="67"/>
        <v>0</v>
      </c>
      <c r="AE94" s="419">
        <f t="shared" si="68"/>
        <v>0</v>
      </c>
      <c r="AF94" s="419">
        <f t="shared" si="69"/>
        <v>0</v>
      </c>
      <c r="AG94" s="454">
        <f t="shared" si="70"/>
        <v>6820</v>
      </c>
      <c r="AH94" s="454">
        <f t="shared" si="44"/>
        <v>78619.22</v>
      </c>
      <c r="AI94" s="421">
        <f t="shared" si="71"/>
        <v>0</v>
      </c>
      <c r="AJ94" s="421">
        <f t="shared" si="72"/>
        <v>0</v>
      </c>
      <c r="AK94" s="421">
        <f t="shared" si="73"/>
        <v>0</v>
      </c>
      <c r="AL94" s="472">
        <v>0</v>
      </c>
      <c r="AM94" s="422">
        <v>0</v>
      </c>
      <c r="AN94" s="423">
        <f t="shared" si="75"/>
        <v>0</v>
      </c>
      <c r="AO94" s="421">
        <f t="shared" si="76"/>
        <v>0</v>
      </c>
      <c r="AP94" s="472">
        <v>-126.64</v>
      </c>
      <c r="AQ94" s="472">
        <v>-0.02</v>
      </c>
      <c r="AR94" s="472">
        <v>0</v>
      </c>
      <c r="AS94" s="475">
        <v>0</v>
      </c>
      <c r="AT94" s="475">
        <v>0</v>
      </c>
      <c r="AU94" s="475">
        <v>0</v>
      </c>
      <c r="AV94" s="454">
        <f t="shared" si="77"/>
        <v>85312.56</v>
      </c>
      <c r="AW94" s="421">
        <f t="shared" si="78"/>
        <v>85312.56</v>
      </c>
      <c r="AX94" s="455">
        <f t="shared" si="90"/>
        <v>1</v>
      </c>
      <c r="AY94" s="424">
        <f t="shared" si="79"/>
        <v>2017.71</v>
      </c>
      <c r="AZ94" s="424">
        <f t="shared" si="80"/>
        <v>929.8</v>
      </c>
      <c r="BA94" s="424">
        <f t="shared" si="81"/>
        <v>2301.2399999999998</v>
      </c>
      <c r="BB94" s="424">
        <f t="shared" si="82"/>
        <v>0</v>
      </c>
      <c r="BC94" s="424">
        <f t="shared" si="83"/>
        <v>0</v>
      </c>
      <c r="BD94" s="424">
        <f t="shared" si="84"/>
        <v>90561.31</v>
      </c>
      <c r="BE94" s="452">
        <f t="shared" si="85"/>
        <v>90561.310000000012</v>
      </c>
      <c r="BF94" s="448">
        <f t="shared" si="86"/>
        <v>0</v>
      </c>
      <c r="BG94" s="456">
        <f t="shared" si="87"/>
        <v>30560.05</v>
      </c>
      <c r="BH94" s="457">
        <f t="shared" si="53"/>
        <v>48059.149999999994</v>
      </c>
      <c r="BI94" s="407" t="s">
        <v>692</v>
      </c>
      <c r="BM94" s="429">
        <f>IF(BR94&gt;BR93,BM93,IF(BM93&lt;MiscData!$F$1,EOMONTH(BM93,1),EOMONTH(BM93,-11)))</f>
        <v>41729</v>
      </c>
      <c r="BN94" s="416" t="str">
        <f t="shared" si="54"/>
        <v>20140101KUCME220</v>
      </c>
      <c r="BO94" s="427" t="str">
        <f t="shared" si="55"/>
        <v>20140101AES</v>
      </c>
      <c r="BP94" s="407">
        <f>IF(BM94&lt;=MiscData!$B$23,MiscData!$C$23,IF(BM94&lt;=MiscData!$B$24,MiscData!$C$24,MiscData!$C$25))</f>
        <v>20140101</v>
      </c>
      <c r="BQ94" s="407" t="str">
        <f>VLOOKUP(BR94,MiscData!$V$4:$W$42,2,FALSE)</f>
        <v>KUCME220</v>
      </c>
      <c r="BR94" s="407">
        <f>IF(BR93=MiscData!$V$42,1,BR93+1)</f>
        <v>13</v>
      </c>
      <c r="BS94" s="407" t="str">
        <f>VLOOKUP(BQ94,MiscData!$W$4:$Y$42,3,FALSE)</f>
        <v>AES</v>
      </c>
    </row>
    <row r="95" spans="1:72" hidden="1">
      <c r="A95" s="416">
        <f t="shared" si="88"/>
        <v>86</v>
      </c>
      <c r="B95" s="416" t="str">
        <f t="shared" si="49"/>
        <v>Mar 2014</v>
      </c>
      <c r="C95" s="416" t="s">
        <v>219</v>
      </c>
      <c r="D95" s="417" t="str">
        <f t="shared" si="50"/>
        <v>AES</v>
      </c>
      <c r="E95" s="417" t="str">
        <f t="shared" si="51"/>
        <v>KUCME221</v>
      </c>
      <c r="F95" s="418">
        <f t="shared" si="56"/>
        <v>5</v>
      </c>
      <c r="G95" s="467">
        <v>0</v>
      </c>
      <c r="H95" s="418">
        <v>0</v>
      </c>
      <c r="I95" s="418">
        <v>0</v>
      </c>
      <c r="J95" s="418">
        <v>0</v>
      </c>
      <c r="K95" s="418">
        <f t="shared" si="57"/>
        <v>1002360</v>
      </c>
      <c r="L95" s="459">
        <v>0</v>
      </c>
      <c r="M95" s="443">
        <f t="shared" si="58"/>
        <v>19.2</v>
      </c>
      <c r="N95" s="443">
        <f t="shared" si="59"/>
        <v>0</v>
      </c>
      <c r="O95" s="443">
        <f t="shared" si="60"/>
        <v>0</v>
      </c>
      <c r="P95" s="443">
        <f t="shared" si="61"/>
        <v>0</v>
      </c>
      <c r="Q95" s="443">
        <f t="shared" si="62"/>
        <v>0</v>
      </c>
      <c r="R95" s="443">
        <f t="shared" si="63"/>
        <v>0</v>
      </c>
      <c r="S95" s="484">
        <v>0</v>
      </c>
      <c r="T95" s="484">
        <v>0</v>
      </c>
      <c r="U95" s="484">
        <v>0</v>
      </c>
      <c r="V95" s="490">
        <v>0</v>
      </c>
      <c r="W95" s="490">
        <v>0</v>
      </c>
      <c r="X95" s="490">
        <v>0</v>
      </c>
      <c r="Y95" s="419">
        <f t="shared" si="64"/>
        <v>20</v>
      </c>
      <c r="Z95" s="420">
        <f t="shared" si="65"/>
        <v>7.4399999999999994E-2</v>
      </c>
      <c r="AA95" s="420">
        <v>0</v>
      </c>
      <c r="AB95" s="420">
        <v>0</v>
      </c>
      <c r="AC95" s="420">
        <f t="shared" si="66"/>
        <v>2.8920000000000001E-2</v>
      </c>
      <c r="AD95" s="419">
        <f t="shared" si="67"/>
        <v>0</v>
      </c>
      <c r="AE95" s="419">
        <f t="shared" si="68"/>
        <v>0</v>
      </c>
      <c r="AF95" s="419">
        <f t="shared" si="69"/>
        <v>0</v>
      </c>
      <c r="AG95" s="454">
        <f t="shared" si="70"/>
        <v>100</v>
      </c>
      <c r="AH95" s="454">
        <f t="shared" si="44"/>
        <v>74575.58</v>
      </c>
      <c r="AI95" s="421">
        <f t="shared" si="71"/>
        <v>0</v>
      </c>
      <c r="AJ95" s="421">
        <f t="shared" si="72"/>
        <v>0</v>
      </c>
      <c r="AK95" s="421">
        <f t="shared" si="73"/>
        <v>0</v>
      </c>
      <c r="AL95" s="472">
        <v>0</v>
      </c>
      <c r="AM95" s="422">
        <f t="shared" ref="AM95:AM158" si="91">SUMIFS(_1022_Power_Factor_Revenue,_1022_RevenueMonth,$B95,_1022_RateCategory,$E95)</f>
        <v>0</v>
      </c>
      <c r="AN95" s="423">
        <f t="shared" si="75"/>
        <v>0</v>
      </c>
      <c r="AO95" s="421">
        <f t="shared" si="76"/>
        <v>0</v>
      </c>
      <c r="AP95" s="472">
        <v>0</v>
      </c>
      <c r="AQ95" s="472">
        <v>0</v>
      </c>
      <c r="AR95" s="472">
        <v>0</v>
      </c>
      <c r="AS95" s="475">
        <v>0</v>
      </c>
      <c r="AT95" s="475">
        <v>0</v>
      </c>
      <c r="AU95" s="475">
        <v>0</v>
      </c>
      <c r="AV95" s="454">
        <f t="shared" si="77"/>
        <v>74675.58</v>
      </c>
      <c r="AW95" s="421">
        <f t="shared" si="78"/>
        <v>74675.579999999987</v>
      </c>
      <c r="AX95" s="455">
        <f t="shared" si="90"/>
        <v>0.99999999999999978</v>
      </c>
      <c r="AY95" s="424">
        <f t="shared" si="79"/>
        <v>-1463.44</v>
      </c>
      <c r="AZ95" s="424">
        <f t="shared" si="80"/>
        <v>882.07</v>
      </c>
      <c r="BA95" s="424">
        <f t="shared" si="81"/>
        <v>4191.3</v>
      </c>
      <c r="BB95" s="424">
        <f t="shared" si="82"/>
        <v>0</v>
      </c>
      <c r="BC95" s="424">
        <f t="shared" si="83"/>
        <v>0</v>
      </c>
      <c r="BD95" s="424">
        <f t="shared" si="84"/>
        <v>78285.509999999995</v>
      </c>
      <c r="BE95" s="452">
        <f t="shared" si="85"/>
        <v>78285.510000000009</v>
      </c>
      <c r="BF95" s="448">
        <f t="shared" si="86"/>
        <v>0</v>
      </c>
      <c r="BG95" s="456">
        <f t="shared" si="87"/>
        <v>28988.25</v>
      </c>
      <c r="BH95" s="457">
        <f t="shared" si="53"/>
        <v>45587.33</v>
      </c>
      <c r="BI95" s="407" t="s">
        <v>692</v>
      </c>
      <c r="BM95" s="429">
        <f>IF(BR95&gt;BR94,BM94,IF(BM94&lt;MiscData!$F$1,EOMONTH(BM94,1),EOMONTH(BM94,-11)))</f>
        <v>41729</v>
      </c>
      <c r="BN95" s="416" t="str">
        <f t="shared" si="54"/>
        <v>20140101KUCME221</v>
      </c>
      <c r="BO95" s="427" t="str">
        <f t="shared" si="55"/>
        <v>20140101AES</v>
      </c>
      <c r="BP95" s="407">
        <f>IF(BM95&lt;=MiscData!$B$23,MiscData!$C$23,IF(BM95&lt;=MiscData!$B$24,MiscData!$C$24,MiscData!$C$25))</f>
        <v>20140101</v>
      </c>
      <c r="BQ95" s="407" t="str">
        <f>VLOOKUP(BR95,MiscData!$V$4:$W$42,2,FALSE)</f>
        <v>KUCME221</v>
      </c>
      <c r="BR95" s="407">
        <f>IF(BR94=MiscData!$V$42,1,BR94+1)</f>
        <v>14</v>
      </c>
      <c r="BS95" s="407" t="str">
        <f>VLOOKUP(BQ95,MiscData!$W$4:$Y$42,3,FALSE)</f>
        <v>AES</v>
      </c>
    </row>
    <row r="96" spans="1:72" hidden="1">
      <c r="A96" s="416">
        <f t="shared" si="88"/>
        <v>87</v>
      </c>
      <c r="B96" s="416" t="str">
        <f t="shared" si="49"/>
        <v>Mar 2014</v>
      </c>
      <c r="C96" s="837" t="s">
        <v>228</v>
      </c>
      <c r="D96" s="417" t="str">
        <f t="shared" si="50"/>
        <v>AES3</v>
      </c>
      <c r="E96" s="417" t="str">
        <f t="shared" si="51"/>
        <v>KUCME223</v>
      </c>
      <c r="F96" s="418">
        <f t="shared" si="56"/>
        <v>68</v>
      </c>
      <c r="G96" s="467">
        <v>0</v>
      </c>
      <c r="H96" s="418">
        <v>0</v>
      </c>
      <c r="I96" s="418">
        <v>0</v>
      </c>
      <c r="J96" s="418">
        <v>0</v>
      </c>
      <c r="K96" s="418">
        <f t="shared" si="57"/>
        <v>738803</v>
      </c>
      <c r="L96" s="459">
        <v>0</v>
      </c>
      <c r="M96" s="443">
        <f t="shared" si="58"/>
        <v>3330.6</v>
      </c>
      <c r="N96" s="443">
        <f t="shared" si="59"/>
        <v>0</v>
      </c>
      <c r="O96" s="443">
        <f t="shared" si="60"/>
        <v>0</v>
      </c>
      <c r="P96" s="443">
        <f t="shared" si="61"/>
        <v>0</v>
      </c>
      <c r="Q96" s="443">
        <f t="shared" si="62"/>
        <v>0</v>
      </c>
      <c r="R96" s="443">
        <f t="shared" si="63"/>
        <v>0</v>
      </c>
      <c r="S96" s="484">
        <v>0</v>
      </c>
      <c r="T96" s="484">
        <v>0</v>
      </c>
      <c r="U96" s="484">
        <v>0</v>
      </c>
      <c r="V96" s="490">
        <v>0</v>
      </c>
      <c r="W96" s="490">
        <v>0</v>
      </c>
      <c r="X96" s="490">
        <v>0</v>
      </c>
      <c r="Y96" s="419">
        <f t="shared" si="64"/>
        <v>35</v>
      </c>
      <c r="Z96" s="420">
        <f t="shared" si="65"/>
        <v>7.4399999999999994E-2</v>
      </c>
      <c r="AA96" s="420">
        <v>0</v>
      </c>
      <c r="AB96" s="420">
        <v>0</v>
      </c>
      <c r="AC96" s="420">
        <f t="shared" si="66"/>
        <v>2.8920000000000001E-2</v>
      </c>
      <c r="AD96" s="419">
        <f t="shared" si="67"/>
        <v>0</v>
      </c>
      <c r="AE96" s="419">
        <f t="shared" si="68"/>
        <v>0</v>
      </c>
      <c r="AF96" s="419">
        <f t="shared" si="69"/>
        <v>0</v>
      </c>
      <c r="AG96" s="454">
        <f t="shared" si="70"/>
        <v>2380</v>
      </c>
      <c r="AH96" s="454">
        <f t="shared" si="44"/>
        <v>54966.94</v>
      </c>
      <c r="AI96" s="421">
        <f t="shared" si="71"/>
        <v>0</v>
      </c>
      <c r="AJ96" s="421">
        <f t="shared" si="72"/>
        <v>0</v>
      </c>
      <c r="AK96" s="421">
        <f t="shared" si="73"/>
        <v>0</v>
      </c>
      <c r="AL96" s="472">
        <v>0</v>
      </c>
      <c r="AM96" s="422">
        <f t="shared" si="91"/>
        <v>0</v>
      </c>
      <c r="AN96" s="423">
        <f t="shared" si="75"/>
        <v>0</v>
      </c>
      <c r="AO96" s="421">
        <f t="shared" si="76"/>
        <v>0</v>
      </c>
      <c r="AP96" s="472">
        <v>0</v>
      </c>
      <c r="AQ96" s="472">
        <v>0.03</v>
      </c>
      <c r="AR96" s="472">
        <v>0</v>
      </c>
      <c r="AS96" s="475">
        <v>0</v>
      </c>
      <c r="AT96" s="475">
        <v>0</v>
      </c>
      <c r="AU96" s="475">
        <v>0</v>
      </c>
      <c r="AV96" s="454">
        <f t="shared" si="77"/>
        <v>57346.97</v>
      </c>
      <c r="AW96" s="421">
        <f t="shared" si="78"/>
        <v>57346.97</v>
      </c>
      <c r="AX96" s="455">
        <f t="shared" si="90"/>
        <v>1</v>
      </c>
      <c r="AY96" s="424">
        <f t="shared" si="79"/>
        <v>2120.14</v>
      </c>
      <c r="AZ96" s="424">
        <f t="shared" si="80"/>
        <v>650.12</v>
      </c>
      <c r="BA96" s="424">
        <f t="shared" si="81"/>
        <v>1092.8399999999999</v>
      </c>
      <c r="BB96" s="424">
        <f t="shared" si="82"/>
        <v>0</v>
      </c>
      <c r="BC96" s="424">
        <f t="shared" si="83"/>
        <v>0</v>
      </c>
      <c r="BD96" s="424">
        <f t="shared" si="84"/>
        <v>61210.07</v>
      </c>
      <c r="BE96" s="452">
        <f t="shared" si="85"/>
        <v>61210.07</v>
      </c>
      <c r="BF96" s="448">
        <f t="shared" si="86"/>
        <v>0</v>
      </c>
      <c r="BG96" s="456">
        <f t="shared" si="87"/>
        <v>21366.18</v>
      </c>
      <c r="BH96" s="457">
        <f t="shared" si="53"/>
        <v>33600.79</v>
      </c>
      <c r="BI96" s="407" t="s">
        <v>692</v>
      </c>
      <c r="BM96" s="429">
        <f>IF(BR96&gt;BR95,BM95,IF(BM95&lt;MiscData!$F$1,EOMONTH(BM95,1),EOMONTH(BM95,-11)))</f>
        <v>41729</v>
      </c>
      <c r="BN96" s="416" t="str">
        <f t="shared" si="54"/>
        <v>20140101KUCME223</v>
      </c>
      <c r="BO96" s="427" t="str">
        <f t="shared" si="55"/>
        <v>20140101AES3</v>
      </c>
      <c r="BP96" s="407">
        <f>IF(BM96&lt;=MiscData!$B$23,MiscData!$C$23,IF(BM96&lt;=MiscData!$B$24,MiscData!$C$24,MiscData!$C$25))</f>
        <v>20140101</v>
      </c>
      <c r="BQ96" s="407" t="str">
        <f>VLOOKUP(BR96,MiscData!$V$4:$W$42,2,FALSE)</f>
        <v>KUCME223</v>
      </c>
      <c r="BR96" s="407">
        <f>IF(BR95=MiscData!$V$42,1,BR95+1)</f>
        <v>15</v>
      </c>
      <c r="BS96" s="407" t="str">
        <f>VLOOKUP(BQ96,MiscData!$W$4:$Y$42,3,FALSE)</f>
        <v>AES3</v>
      </c>
    </row>
    <row r="97" spans="1:71" hidden="1">
      <c r="A97" s="416">
        <f t="shared" si="88"/>
        <v>88</v>
      </c>
      <c r="B97" s="416" t="str">
        <f t="shared" si="49"/>
        <v>Mar 2014</v>
      </c>
      <c r="C97" s="837" t="s">
        <v>228</v>
      </c>
      <c r="D97" s="417" t="str">
        <f t="shared" si="50"/>
        <v>AES3</v>
      </c>
      <c r="E97" s="417" t="str">
        <f t="shared" si="51"/>
        <v>KUCME224</v>
      </c>
      <c r="F97" s="418">
        <f t="shared" si="56"/>
        <v>5</v>
      </c>
      <c r="G97" s="467">
        <v>0</v>
      </c>
      <c r="H97" s="418">
        <v>0</v>
      </c>
      <c r="I97" s="418">
        <v>0</v>
      </c>
      <c r="J97" s="418">
        <v>0</v>
      </c>
      <c r="K97" s="418">
        <f t="shared" si="57"/>
        <v>386800</v>
      </c>
      <c r="L97" s="459">
        <v>0</v>
      </c>
      <c r="M97" s="443">
        <f t="shared" si="58"/>
        <v>1539.7</v>
      </c>
      <c r="N97" s="443">
        <f t="shared" si="59"/>
        <v>0</v>
      </c>
      <c r="O97" s="443">
        <f t="shared" si="60"/>
        <v>0</v>
      </c>
      <c r="P97" s="443">
        <f t="shared" si="61"/>
        <v>0</v>
      </c>
      <c r="Q97" s="443">
        <f t="shared" si="62"/>
        <v>0</v>
      </c>
      <c r="R97" s="443">
        <f t="shared" si="63"/>
        <v>0</v>
      </c>
      <c r="S97" s="484">
        <v>0</v>
      </c>
      <c r="T97" s="484">
        <v>0</v>
      </c>
      <c r="U97" s="484">
        <v>0</v>
      </c>
      <c r="V97" s="490">
        <v>0</v>
      </c>
      <c r="W97" s="490">
        <v>0</v>
      </c>
      <c r="X97" s="490">
        <v>0</v>
      </c>
      <c r="Y97" s="419">
        <f t="shared" si="64"/>
        <v>35</v>
      </c>
      <c r="Z97" s="420">
        <f t="shared" si="65"/>
        <v>7.4399999999999994E-2</v>
      </c>
      <c r="AA97" s="420">
        <v>0</v>
      </c>
      <c r="AB97" s="420">
        <v>0</v>
      </c>
      <c r="AC97" s="420">
        <f t="shared" si="66"/>
        <v>2.8920000000000001E-2</v>
      </c>
      <c r="AD97" s="419">
        <f t="shared" si="67"/>
        <v>0</v>
      </c>
      <c r="AE97" s="419">
        <f t="shared" si="68"/>
        <v>0</v>
      </c>
      <c r="AF97" s="419">
        <f t="shared" si="69"/>
        <v>0</v>
      </c>
      <c r="AG97" s="454">
        <f t="shared" si="70"/>
        <v>175</v>
      </c>
      <c r="AH97" s="454">
        <f t="shared" si="44"/>
        <v>28777.919999999998</v>
      </c>
      <c r="AI97" s="421">
        <f t="shared" si="71"/>
        <v>0</v>
      </c>
      <c r="AJ97" s="421">
        <f t="shared" si="72"/>
        <v>0</v>
      </c>
      <c r="AK97" s="421">
        <f t="shared" si="73"/>
        <v>0</v>
      </c>
      <c r="AL97" s="472">
        <v>0</v>
      </c>
      <c r="AM97" s="422">
        <f t="shared" si="91"/>
        <v>0</v>
      </c>
      <c r="AN97" s="423">
        <f t="shared" si="75"/>
        <v>0</v>
      </c>
      <c r="AO97" s="421">
        <f t="shared" si="76"/>
        <v>0</v>
      </c>
      <c r="AP97" s="472">
        <v>-14.22</v>
      </c>
      <c r="AQ97" s="472">
        <v>0</v>
      </c>
      <c r="AR97" s="472">
        <v>0</v>
      </c>
      <c r="AS97" s="475">
        <v>0</v>
      </c>
      <c r="AT97" s="475">
        <v>0</v>
      </c>
      <c r="AU97" s="475">
        <v>0</v>
      </c>
      <c r="AV97" s="454">
        <f t="shared" si="77"/>
        <v>28938.699999999997</v>
      </c>
      <c r="AW97" s="421">
        <f t="shared" si="78"/>
        <v>28938.699999999997</v>
      </c>
      <c r="AX97" s="455">
        <f t="shared" si="90"/>
        <v>1</v>
      </c>
      <c r="AY97" s="424">
        <f t="shared" si="79"/>
        <v>651.73</v>
      </c>
      <c r="AZ97" s="424">
        <f t="shared" si="80"/>
        <v>340.38</v>
      </c>
      <c r="BA97" s="424">
        <f t="shared" si="81"/>
        <v>843.56</v>
      </c>
      <c r="BB97" s="424">
        <f t="shared" si="82"/>
        <v>0</v>
      </c>
      <c r="BC97" s="424">
        <f t="shared" si="83"/>
        <v>0</v>
      </c>
      <c r="BD97" s="424">
        <f t="shared" si="84"/>
        <v>30774.37</v>
      </c>
      <c r="BE97" s="452">
        <f t="shared" si="85"/>
        <v>30774.37</v>
      </c>
      <c r="BF97" s="448">
        <f t="shared" si="86"/>
        <v>0</v>
      </c>
      <c r="BG97" s="456">
        <f t="shared" si="87"/>
        <v>11186.26</v>
      </c>
      <c r="BH97" s="457">
        <f t="shared" si="53"/>
        <v>17591.659999999996</v>
      </c>
      <c r="BI97" s="407" t="s">
        <v>692</v>
      </c>
      <c r="BM97" s="429">
        <f>IF(BR97&gt;BR96,BM96,IF(BM96&lt;MiscData!$F$1,EOMONTH(BM96,1),EOMONTH(BM96,-11)))</f>
        <v>41729</v>
      </c>
      <c r="BN97" s="416" t="str">
        <f t="shared" si="54"/>
        <v>20140101KUCME224</v>
      </c>
      <c r="BO97" s="427" t="str">
        <f t="shared" si="55"/>
        <v>20140101AES3</v>
      </c>
      <c r="BP97" s="407">
        <f>IF(BM97&lt;=MiscData!$B$23,MiscData!$C$23,IF(BM97&lt;=MiscData!$B$24,MiscData!$C$24,MiscData!$C$25))</f>
        <v>20140101</v>
      </c>
      <c r="BQ97" s="407" t="str">
        <f>VLOOKUP(BR97,MiscData!$V$4:$W$42,2,FALSE)</f>
        <v>KUCME224</v>
      </c>
      <c r="BR97" s="407">
        <f>IF(BR96=MiscData!$V$42,1,BR96+1)</f>
        <v>16</v>
      </c>
      <c r="BS97" s="407" t="str">
        <f>VLOOKUP(BQ97,MiscData!$W$4:$Y$42,3,FALSE)</f>
        <v>AES3</v>
      </c>
    </row>
    <row r="98" spans="1:71" hidden="1">
      <c r="A98" s="416">
        <f t="shared" si="88"/>
        <v>89</v>
      </c>
      <c r="B98" s="416" t="str">
        <f t="shared" si="49"/>
        <v>Mar 2014</v>
      </c>
      <c r="C98" s="837" t="s">
        <v>228</v>
      </c>
      <c r="D98" s="417" t="str">
        <f t="shared" si="50"/>
        <v>AES3</v>
      </c>
      <c r="E98" s="417" t="str">
        <f t="shared" si="51"/>
        <v>KUCME225</v>
      </c>
      <c r="F98" s="418">
        <f t="shared" si="56"/>
        <v>96</v>
      </c>
      <c r="G98" s="467">
        <v>4</v>
      </c>
      <c r="H98" s="418">
        <v>0</v>
      </c>
      <c r="I98" s="418">
        <v>0</v>
      </c>
      <c r="J98" s="418">
        <v>0</v>
      </c>
      <c r="K98" s="418">
        <f t="shared" si="57"/>
        <v>3073152</v>
      </c>
      <c r="L98" s="459">
        <v>0</v>
      </c>
      <c r="M98" s="443">
        <f t="shared" si="58"/>
        <v>13043.5</v>
      </c>
      <c r="N98" s="443">
        <f t="shared" si="59"/>
        <v>0</v>
      </c>
      <c r="O98" s="443">
        <f t="shared" si="60"/>
        <v>0</v>
      </c>
      <c r="P98" s="443">
        <f t="shared" si="61"/>
        <v>0</v>
      </c>
      <c r="Q98" s="443">
        <f t="shared" si="62"/>
        <v>0</v>
      </c>
      <c r="R98" s="443">
        <f t="shared" si="63"/>
        <v>0</v>
      </c>
      <c r="S98" s="484">
        <v>0</v>
      </c>
      <c r="T98" s="484">
        <v>0</v>
      </c>
      <c r="U98" s="484">
        <v>0</v>
      </c>
      <c r="V98" s="490">
        <v>0</v>
      </c>
      <c r="W98" s="490">
        <v>0</v>
      </c>
      <c r="X98" s="490">
        <v>0</v>
      </c>
      <c r="Y98" s="419">
        <f t="shared" si="64"/>
        <v>35</v>
      </c>
      <c r="Z98" s="420">
        <f t="shared" si="65"/>
        <v>7.4399999999999994E-2</v>
      </c>
      <c r="AA98" s="420">
        <v>0</v>
      </c>
      <c r="AB98" s="420">
        <v>0</v>
      </c>
      <c r="AC98" s="420">
        <f t="shared" si="66"/>
        <v>2.8920000000000001E-2</v>
      </c>
      <c r="AD98" s="419">
        <f t="shared" si="67"/>
        <v>0</v>
      </c>
      <c r="AE98" s="419">
        <f t="shared" si="68"/>
        <v>0</v>
      </c>
      <c r="AF98" s="419">
        <f t="shared" si="69"/>
        <v>0</v>
      </c>
      <c r="AG98" s="454">
        <f t="shared" si="70"/>
        <v>3500</v>
      </c>
      <c r="AH98" s="454">
        <f t="shared" si="44"/>
        <v>228642.51</v>
      </c>
      <c r="AI98" s="421">
        <f t="shared" si="71"/>
        <v>0</v>
      </c>
      <c r="AJ98" s="421">
        <f t="shared" si="72"/>
        <v>0</v>
      </c>
      <c r="AK98" s="421">
        <f t="shared" si="73"/>
        <v>0</v>
      </c>
      <c r="AL98" s="472">
        <v>0</v>
      </c>
      <c r="AM98" s="422">
        <f t="shared" si="91"/>
        <v>0</v>
      </c>
      <c r="AN98" s="423">
        <f t="shared" si="75"/>
        <v>0</v>
      </c>
      <c r="AO98" s="421">
        <f t="shared" si="76"/>
        <v>0</v>
      </c>
      <c r="AP98" s="472">
        <v>-140</v>
      </c>
      <c r="AQ98" s="472">
        <v>-0.02</v>
      </c>
      <c r="AR98" s="472">
        <v>0</v>
      </c>
      <c r="AS98" s="475">
        <v>0</v>
      </c>
      <c r="AT98" s="475">
        <v>0</v>
      </c>
      <c r="AU98" s="475">
        <v>0</v>
      </c>
      <c r="AV98" s="454">
        <f t="shared" si="77"/>
        <v>232002.49000000002</v>
      </c>
      <c r="AW98" s="421">
        <f t="shared" si="78"/>
        <v>232002.49</v>
      </c>
      <c r="AX98" s="455">
        <f t="shared" si="90"/>
        <v>0.99999999999999989</v>
      </c>
      <c r="AY98" s="424">
        <f t="shared" si="79"/>
        <v>6919.33</v>
      </c>
      <c r="AZ98" s="424">
        <f t="shared" si="80"/>
        <v>2704.36</v>
      </c>
      <c r="BA98" s="424">
        <f t="shared" si="81"/>
        <v>5633.16</v>
      </c>
      <c r="BB98" s="424">
        <f t="shared" si="82"/>
        <v>0</v>
      </c>
      <c r="BC98" s="424">
        <f t="shared" si="83"/>
        <v>0</v>
      </c>
      <c r="BD98" s="424">
        <f t="shared" si="84"/>
        <v>247259.34</v>
      </c>
      <c r="BE98" s="452">
        <f t="shared" si="85"/>
        <v>247259.34</v>
      </c>
      <c r="BF98" s="448">
        <f t="shared" si="86"/>
        <v>0</v>
      </c>
      <c r="BG98" s="456">
        <f t="shared" si="87"/>
        <v>88875.56</v>
      </c>
      <c r="BH98" s="457">
        <f t="shared" si="53"/>
        <v>139766.93000000002</v>
      </c>
      <c r="BI98" s="407" t="s">
        <v>692</v>
      </c>
      <c r="BM98" s="429">
        <f>IF(BR98&gt;BR97,BM97,IF(BM97&lt;MiscData!$F$1,EOMONTH(BM97,1),EOMONTH(BM97,-11)))</f>
        <v>41729</v>
      </c>
      <c r="BN98" s="416" t="str">
        <f t="shared" si="54"/>
        <v>20140101KUCME225</v>
      </c>
      <c r="BO98" s="427" t="str">
        <f t="shared" si="55"/>
        <v>20140101AES3</v>
      </c>
      <c r="BP98" s="407">
        <f>IF(BM98&lt;=MiscData!$B$23,MiscData!$C$23,IF(BM98&lt;=MiscData!$B$24,MiscData!$C$24,MiscData!$C$25))</f>
        <v>20140101</v>
      </c>
      <c r="BQ98" s="407" t="str">
        <f>VLOOKUP(BR98,MiscData!$V$4:$W$42,2,FALSE)</f>
        <v>KUCME225</v>
      </c>
      <c r="BR98" s="407">
        <f>IF(BR97=MiscData!$V$42,1,BR97+1)</f>
        <v>17</v>
      </c>
      <c r="BS98" s="407" t="str">
        <f>VLOOKUP(BQ98,MiscData!$W$4:$Y$42,3,FALSE)</f>
        <v>AES3</v>
      </c>
    </row>
    <row r="99" spans="1:71" hidden="1">
      <c r="A99" s="416">
        <f t="shared" si="88"/>
        <v>90</v>
      </c>
      <c r="B99" s="416" t="str">
        <f t="shared" si="49"/>
        <v>Mar 2014</v>
      </c>
      <c r="C99" s="416" t="s">
        <v>219</v>
      </c>
      <c r="D99" s="417" t="str">
        <f t="shared" si="50"/>
        <v>AES</v>
      </c>
      <c r="E99" s="417" t="str">
        <f t="shared" si="51"/>
        <v>KUCME226</v>
      </c>
      <c r="F99" s="418">
        <f t="shared" si="56"/>
        <v>19</v>
      </c>
      <c r="G99" s="467">
        <v>0</v>
      </c>
      <c r="H99" s="418">
        <v>0</v>
      </c>
      <c r="I99" s="418">
        <v>0</v>
      </c>
      <c r="J99" s="418">
        <v>0</v>
      </c>
      <c r="K99" s="418">
        <f t="shared" si="57"/>
        <v>65903</v>
      </c>
      <c r="L99" s="459">
        <v>0</v>
      </c>
      <c r="M99" s="443">
        <f t="shared" si="58"/>
        <v>699.5</v>
      </c>
      <c r="N99" s="443">
        <f t="shared" si="59"/>
        <v>0</v>
      </c>
      <c r="O99" s="443">
        <f t="shared" si="60"/>
        <v>0</v>
      </c>
      <c r="P99" s="443">
        <f t="shared" si="61"/>
        <v>0</v>
      </c>
      <c r="Q99" s="443">
        <f t="shared" si="62"/>
        <v>0</v>
      </c>
      <c r="R99" s="443">
        <f t="shared" si="63"/>
        <v>0</v>
      </c>
      <c r="S99" s="484">
        <v>0</v>
      </c>
      <c r="T99" s="484">
        <v>0</v>
      </c>
      <c r="U99" s="484">
        <v>0</v>
      </c>
      <c r="V99" s="490">
        <v>0</v>
      </c>
      <c r="W99" s="490">
        <v>0</v>
      </c>
      <c r="X99" s="490">
        <v>0</v>
      </c>
      <c r="Y99" s="419">
        <f t="shared" si="64"/>
        <v>20</v>
      </c>
      <c r="Z99" s="420">
        <f t="shared" si="65"/>
        <v>7.4399999999999994E-2</v>
      </c>
      <c r="AA99" s="420">
        <v>0</v>
      </c>
      <c r="AB99" s="420">
        <v>0</v>
      </c>
      <c r="AC99" s="420">
        <f t="shared" si="66"/>
        <v>2.8920000000000001E-2</v>
      </c>
      <c r="AD99" s="419">
        <f t="shared" si="67"/>
        <v>0</v>
      </c>
      <c r="AE99" s="419">
        <f t="shared" si="68"/>
        <v>0</v>
      </c>
      <c r="AF99" s="419">
        <f t="shared" si="69"/>
        <v>0</v>
      </c>
      <c r="AG99" s="454">
        <f t="shared" si="70"/>
        <v>380</v>
      </c>
      <c r="AH99" s="454">
        <f t="shared" si="44"/>
        <v>4903.18</v>
      </c>
      <c r="AI99" s="421">
        <f t="shared" si="71"/>
        <v>0</v>
      </c>
      <c r="AJ99" s="421">
        <f t="shared" si="72"/>
        <v>0</v>
      </c>
      <c r="AK99" s="421">
        <f t="shared" si="73"/>
        <v>0</v>
      </c>
      <c r="AL99" s="472">
        <v>0</v>
      </c>
      <c r="AM99" s="422">
        <f t="shared" si="91"/>
        <v>0</v>
      </c>
      <c r="AN99" s="423">
        <f t="shared" si="75"/>
        <v>0</v>
      </c>
      <c r="AO99" s="421">
        <f t="shared" si="76"/>
        <v>0</v>
      </c>
      <c r="AP99" s="472">
        <v>0</v>
      </c>
      <c r="AQ99" s="472">
        <v>0</v>
      </c>
      <c r="AR99" s="472">
        <v>0</v>
      </c>
      <c r="AS99" s="475">
        <v>0</v>
      </c>
      <c r="AT99" s="475">
        <v>0</v>
      </c>
      <c r="AU99" s="475">
        <v>0</v>
      </c>
      <c r="AV99" s="454">
        <f t="shared" si="77"/>
        <v>5283.18</v>
      </c>
      <c r="AW99" s="421">
        <f t="shared" si="78"/>
        <v>5283.18</v>
      </c>
      <c r="AX99" s="455">
        <f t="shared" si="90"/>
        <v>1</v>
      </c>
      <c r="AY99" s="424">
        <f t="shared" si="79"/>
        <v>102.57</v>
      </c>
      <c r="AZ99" s="424">
        <f t="shared" si="80"/>
        <v>57.99</v>
      </c>
      <c r="BA99" s="424">
        <f t="shared" si="81"/>
        <v>159.4</v>
      </c>
      <c r="BB99" s="424">
        <f t="shared" si="82"/>
        <v>0</v>
      </c>
      <c r="BC99" s="424">
        <f t="shared" si="83"/>
        <v>0</v>
      </c>
      <c r="BD99" s="424">
        <f t="shared" si="84"/>
        <v>5603.14</v>
      </c>
      <c r="BE99" s="452">
        <f t="shared" si="85"/>
        <v>5603.1399999999994</v>
      </c>
      <c r="BF99" s="448">
        <f t="shared" si="86"/>
        <v>0</v>
      </c>
      <c r="BG99" s="456">
        <f t="shared" si="87"/>
        <v>1905.91</v>
      </c>
      <c r="BH99" s="457">
        <f t="shared" si="53"/>
        <v>2997.2700000000004</v>
      </c>
      <c r="BI99" s="407" t="s">
        <v>692</v>
      </c>
      <c r="BM99" s="429">
        <f>IF(BR99&gt;BR98,BM98,IF(BM98&lt;MiscData!$F$1,EOMONTH(BM98,1),EOMONTH(BM98,-11)))</f>
        <v>41729</v>
      </c>
      <c r="BN99" s="416" t="str">
        <f t="shared" si="54"/>
        <v>20140101KUCME226</v>
      </c>
      <c r="BO99" s="427" t="str">
        <f t="shared" si="55"/>
        <v>20140101AES</v>
      </c>
      <c r="BP99" s="407">
        <f>IF(BM99&lt;=MiscData!$B$23,MiscData!$C$23,IF(BM99&lt;=MiscData!$B$24,MiscData!$C$24,MiscData!$C$25))</f>
        <v>20140101</v>
      </c>
      <c r="BQ99" s="407" t="str">
        <f>VLOOKUP(BR99,MiscData!$V$4:$W$42,2,FALSE)</f>
        <v>KUCME226</v>
      </c>
      <c r="BR99" s="407">
        <f>IF(BR98=MiscData!$V$42,1,BR98+1)</f>
        <v>18</v>
      </c>
      <c r="BS99" s="407" t="str">
        <f>VLOOKUP(BQ99,MiscData!$W$4:$Y$42,3,FALSE)</f>
        <v>AES</v>
      </c>
    </row>
    <row r="100" spans="1:71" hidden="1">
      <c r="A100" s="416">
        <f t="shared" si="88"/>
        <v>91</v>
      </c>
      <c r="B100" s="416" t="str">
        <f t="shared" si="49"/>
        <v>Mar 2014</v>
      </c>
      <c r="C100" s="837" t="s">
        <v>228</v>
      </c>
      <c r="D100" s="417" t="str">
        <f t="shared" si="50"/>
        <v>AES3</v>
      </c>
      <c r="E100" s="417" t="str">
        <f t="shared" si="51"/>
        <v>KUCME227</v>
      </c>
      <c r="F100" s="418">
        <f t="shared" si="56"/>
        <v>100</v>
      </c>
      <c r="G100" s="467">
        <v>2</v>
      </c>
      <c r="H100" s="418">
        <v>0</v>
      </c>
      <c r="I100" s="418">
        <v>0</v>
      </c>
      <c r="J100" s="418">
        <v>0</v>
      </c>
      <c r="K100" s="418">
        <f t="shared" si="57"/>
        <v>10563612</v>
      </c>
      <c r="L100" s="459">
        <v>0</v>
      </c>
      <c r="M100" s="443">
        <f t="shared" si="58"/>
        <v>39654</v>
      </c>
      <c r="N100" s="443">
        <f t="shared" si="59"/>
        <v>0</v>
      </c>
      <c r="O100" s="443">
        <f t="shared" si="60"/>
        <v>0</v>
      </c>
      <c r="P100" s="443">
        <f t="shared" si="61"/>
        <v>0</v>
      </c>
      <c r="Q100" s="443">
        <f t="shared" si="62"/>
        <v>0</v>
      </c>
      <c r="R100" s="443">
        <f t="shared" si="63"/>
        <v>0</v>
      </c>
      <c r="S100" s="484">
        <v>0</v>
      </c>
      <c r="T100" s="484">
        <v>0</v>
      </c>
      <c r="U100" s="484">
        <v>0</v>
      </c>
      <c r="V100" s="490">
        <v>0</v>
      </c>
      <c r="W100" s="490">
        <v>0</v>
      </c>
      <c r="X100" s="490">
        <v>0</v>
      </c>
      <c r="Y100" s="419">
        <f t="shared" si="64"/>
        <v>35</v>
      </c>
      <c r="Z100" s="420">
        <f t="shared" si="65"/>
        <v>7.4399999999999994E-2</v>
      </c>
      <c r="AA100" s="420">
        <v>0</v>
      </c>
      <c r="AB100" s="420">
        <v>0</v>
      </c>
      <c r="AC100" s="420">
        <f t="shared" si="66"/>
        <v>2.8920000000000001E-2</v>
      </c>
      <c r="AD100" s="419">
        <f t="shared" si="67"/>
        <v>0</v>
      </c>
      <c r="AE100" s="419">
        <f t="shared" si="68"/>
        <v>0</v>
      </c>
      <c r="AF100" s="419">
        <f t="shared" si="69"/>
        <v>0</v>
      </c>
      <c r="AG100" s="454">
        <f t="shared" si="70"/>
        <v>3570</v>
      </c>
      <c r="AH100" s="454">
        <f t="shared" ref="AH100:AH163" si="92">ROUND(IF(H100=0,(K100+L100)*Z100,SUMPRODUCT(H100:J100,Z100:AB100)),2)</f>
        <v>785932.73</v>
      </c>
      <c r="AI100" s="421">
        <f t="shared" si="71"/>
        <v>0</v>
      </c>
      <c r="AJ100" s="421">
        <f t="shared" si="72"/>
        <v>0</v>
      </c>
      <c r="AK100" s="421">
        <f t="shared" si="73"/>
        <v>0</v>
      </c>
      <c r="AL100" s="472">
        <v>0</v>
      </c>
      <c r="AM100" s="422">
        <f t="shared" si="91"/>
        <v>0</v>
      </c>
      <c r="AN100" s="423">
        <f t="shared" si="75"/>
        <v>0</v>
      </c>
      <c r="AO100" s="421">
        <f t="shared" si="76"/>
        <v>0</v>
      </c>
      <c r="AP100" s="472">
        <v>-69.989999999999995</v>
      </c>
      <c r="AQ100" s="472">
        <v>0.01</v>
      </c>
      <c r="AR100" s="472">
        <v>0</v>
      </c>
      <c r="AS100" s="475">
        <v>0</v>
      </c>
      <c r="AT100" s="475">
        <v>0</v>
      </c>
      <c r="AU100" s="475">
        <v>0</v>
      </c>
      <c r="AV100" s="454">
        <f t="shared" si="77"/>
        <v>789432.75</v>
      </c>
      <c r="AW100" s="421">
        <f t="shared" si="78"/>
        <v>789432.75</v>
      </c>
      <c r="AX100" s="455">
        <f t="shared" si="90"/>
        <v>1</v>
      </c>
      <c r="AY100" s="424">
        <f t="shared" si="79"/>
        <v>20208.25</v>
      </c>
      <c r="AZ100" s="424">
        <f t="shared" si="80"/>
        <v>9295.9500000000007</v>
      </c>
      <c r="BA100" s="424">
        <f t="shared" si="81"/>
        <v>21480.74</v>
      </c>
      <c r="BB100" s="424">
        <f t="shared" si="82"/>
        <v>0</v>
      </c>
      <c r="BC100" s="424">
        <f t="shared" si="83"/>
        <v>0</v>
      </c>
      <c r="BD100" s="424">
        <f t="shared" si="84"/>
        <v>840417.69</v>
      </c>
      <c r="BE100" s="452">
        <f t="shared" si="85"/>
        <v>840417.69</v>
      </c>
      <c r="BF100" s="448">
        <f t="shared" si="86"/>
        <v>0</v>
      </c>
      <c r="BG100" s="456">
        <f t="shared" si="87"/>
        <v>305499.65999999997</v>
      </c>
      <c r="BH100" s="457">
        <f t="shared" si="53"/>
        <v>480433.08</v>
      </c>
      <c r="BI100" s="407" t="s">
        <v>692</v>
      </c>
      <c r="BM100" s="429">
        <f>IF(BR100&gt;BR99,BM99,IF(BM99&lt;MiscData!$F$1,EOMONTH(BM99,1),EOMONTH(BM99,-11)))</f>
        <v>41729</v>
      </c>
      <c r="BN100" s="416" t="str">
        <f t="shared" si="54"/>
        <v>20140101KUCME227</v>
      </c>
      <c r="BO100" s="427" t="str">
        <f t="shared" si="55"/>
        <v>20140101AES3</v>
      </c>
      <c r="BP100" s="407">
        <f>IF(BM100&lt;=MiscData!$B$23,MiscData!$C$23,IF(BM100&lt;=MiscData!$B$24,MiscData!$C$24,MiscData!$C$25))</f>
        <v>20140101</v>
      </c>
      <c r="BQ100" s="407" t="str">
        <f>VLOOKUP(BR100,MiscData!$V$4:$W$42,2,FALSE)</f>
        <v>KUCME227</v>
      </c>
      <c r="BR100" s="407">
        <f>IF(BR99=MiscData!$V$42,1,BR99+1)</f>
        <v>19</v>
      </c>
      <c r="BS100" s="407" t="str">
        <f>VLOOKUP(BQ100,MiscData!$W$4:$Y$42,3,FALSE)</f>
        <v>AES3</v>
      </c>
    </row>
    <row r="101" spans="1:71" hidden="1">
      <c r="A101" s="416">
        <f t="shared" si="88"/>
        <v>92</v>
      </c>
      <c r="B101" s="416" t="str">
        <f t="shared" si="49"/>
        <v>Mar 2014</v>
      </c>
      <c r="C101" s="416" t="s">
        <v>20</v>
      </c>
      <c r="D101" s="417" t="str">
        <f t="shared" si="50"/>
        <v>LE</v>
      </c>
      <c r="E101" s="417" t="str">
        <f t="shared" si="51"/>
        <v>KUCME290</v>
      </c>
      <c r="F101" s="418">
        <f t="shared" si="56"/>
        <v>1</v>
      </c>
      <c r="G101" s="467">
        <v>0</v>
      </c>
      <c r="H101" s="418">
        <v>0</v>
      </c>
      <c r="I101" s="418">
        <v>0</v>
      </c>
      <c r="J101" s="418">
        <v>0</v>
      </c>
      <c r="K101" s="418">
        <f t="shared" si="57"/>
        <v>13174</v>
      </c>
      <c r="L101" s="459">
        <v>0</v>
      </c>
      <c r="M101" s="443">
        <f t="shared" si="58"/>
        <v>39.700000000000003</v>
      </c>
      <c r="N101" s="443">
        <f t="shared" si="59"/>
        <v>0</v>
      </c>
      <c r="O101" s="443">
        <f t="shared" si="60"/>
        <v>0</v>
      </c>
      <c r="P101" s="443">
        <f t="shared" si="61"/>
        <v>0</v>
      </c>
      <c r="Q101" s="443">
        <f t="shared" si="62"/>
        <v>0</v>
      </c>
      <c r="R101" s="443">
        <f t="shared" si="63"/>
        <v>0</v>
      </c>
      <c r="S101" s="484">
        <v>0</v>
      </c>
      <c r="T101" s="484">
        <v>0</v>
      </c>
      <c r="U101" s="484">
        <v>0</v>
      </c>
      <c r="V101" s="490">
        <v>0</v>
      </c>
      <c r="W101" s="490">
        <v>0</v>
      </c>
      <c r="X101" s="490">
        <v>0</v>
      </c>
      <c r="Y101" s="419">
        <f t="shared" si="64"/>
        <v>0</v>
      </c>
      <c r="Z101" s="420">
        <f t="shared" si="65"/>
        <v>6.3799999999999996E-2</v>
      </c>
      <c r="AA101" s="420">
        <v>0</v>
      </c>
      <c r="AB101" s="420">
        <v>0</v>
      </c>
      <c r="AC101" s="420">
        <f t="shared" si="66"/>
        <v>2.8920000000000001E-2</v>
      </c>
      <c r="AD101" s="419">
        <f t="shared" si="67"/>
        <v>0</v>
      </c>
      <c r="AE101" s="419">
        <f t="shared" si="68"/>
        <v>0</v>
      </c>
      <c r="AF101" s="419">
        <f t="shared" si="69"/>
        <v>0</v>
      </c>
      <c r="AG101" s="454">
        <f t="shared" si="70"/>
        <v>0</v>
      </c>
      <c r="AH101" s="454">
        <f t="shared" si="92"/>
        <v>840.5</v>
      </c>
      <c r="AI101" s="421">
        <f t="shared" si="71"/>
        <v>0</v>
      </c>
      <c r="AJ101" s="421">
        <f t="shared" si="72"/>
        <v>0</v>
      </c>
      <c r="AK101" s="421">
        <f t="shared" si="73"/>
        <v>0</v>
      </c>
      <c r="AL101" s="472">
        <v>0</v>
      </c>
      <c r="AM101" s="422">
        <f t="shared" si="91"/>
        <v>0</v>
      </c>
      <c r="AN101" s="423">
        <f t="shared" si="75"/>
        <v>0</v>
      </c>
      <c r="AO101" s="421">
        <f t="shared" si="76"/>
        <v>0</v>
      </c>
      <c r="AP101" s="472">
        <v>0</v>
      </c>
      <c r="AQ101" s="472">
        <v>0</v>
      </c>
      <c r="AR101" s="472">
        <v>0</v>
      </c>
      <c r="AS101" s="475">
        <v>0</v>
      </c>
      <c r="AT101" s="475">
        <v>0</v>
      </c>
      <c r="AU101" s="475">
        <v>0</v>
      </c>
      <c r="AV101" s="454">
        <f t="shared" si="77"/>
        <v>840.5</v>
      </c>
      <c r="AW101" s="421">
        <f t="shared" si="78"/>
        <v>840.5</v>
      </c>
      <c r="AX101" s="455">
        <f t="shared" ref="AX101:AX106" si="93">IF(AND(AV101=0,AW101=0),1,IF(AV101=0,0,AW101/AV101))</f>
        <v>1</v>
      </c>
      <c r="AY101" s="424">
        <f t="shared" si="79"/>
        <v>41.1</v>
      </c>
      <c r="AZ101" s="424">
        <f t="shared" si="80"/>
        <v>0</v>
      </c>
      <c r="BA101" s="424">
        <f t="shared" si="81"/>
        <v>14.11</v>
      </c>
      <c r="BB101" s="424">
        <f t="shared" si="82"/>
        <v>0</v>
      </c>
      <c r="BC101" s="424">
        <f t="shared" si="83"/>
        <v>0</v>
      </c>
      <c r="BD101" s="424">
        <f t="shared" si="84"/>
        <v>895.71</v>
      </c>
      <c r="BE101" s="452">
        <f t="shared" si="85"/>
        <v>895.71</v>
      </c>
      <c r="BF101" s="448">
        <f t="shared" si="86"/>
        <v>0</v>
      </c>
      <c r="BG101" s="456">
        <f t="shared" si="87"/>
        <v>380.99</v>
      </c>
      <c r="BH101" s="457">
        <f t="shared" si="53"/>
        <v>459.51</v>
      </c>
      <c r="BI101" s="407" t="s">
        <v>692</v>
      </c>
      <c r="BM101" s="429">
        <f>IF(BR101&gt;BR100,BM100,IF(BM100&lt;MiscData!$F$1,EOMONTH(BM100,1),EOMONTH(BM100,-11)))</f>
        <v>41729</v>
      </c>
      <c r="BN101" s="416" t="str">
        <f t="shared" si="54"/>
        <v>20140101KUCME290</v>
      </c>
      <c r="BO101" s="427" t="str">
        <f t="shared" si="55"/>
        <v>20140101LE</v>
      </c>
      <c r="BP101" s="407">
        <f>IF(BM101&lt;=MiscData!$B$23,MiscData!$C$23,IF(BM101&lt;=MiscData!$B$24,MiscData!$C$24,MiscData!$C$25))</f>
        <v>20140101</v>
      </c>
      <c r="BQ101" s="407" t="str">
        <f>VLOOKUP(BR101,MiscData!$V$4:$W$42,2,FALSE)</f>
        <v>KUCME290</v>
      </c>
      <c r="BR101" s="407">
        <f>IF(BR100=MiscData!$V$42,1,BR100+1)</f>
        <v>20</v>
      </c>
      <c r="BS101" s="407" t="str">
        <f>VLOOKUP(BQ101,MiscData!$W$4:$Y$42,3,FALSE)</f>
        <v>LE</v>
      </c>
    </row>
    <row r="102" spans="1:71" hidden="1">
      <c r="A102" s="416">
        <f t="shared" si="88"/>
        <v>93</v>
      </c>
      <c r="B102" s="416" t="str">
        <f t="shared" si="49"/>
        <v>Mar 2014</v>
      </c>
      <c r="C102" s="416" t="s">
        <v>20</v>
      </c>
      <c r="D102" s="417" t="str">
        <f t="shared" si="50"/>
        <v>LE</v>
      </c>
      <c r="E102" s="417" t="str">
        <f t="shared" si="51"/>
        <v>KUCME291</v>
      </c>
      <c r="F102" s="418">
        <f t="shared" si="56"/>
        <v>1</v>
      </c>
      <c r="G102" s="467">
        <v>-1</v>
      </c>
      <c r="H102" s="418">
        <v>0</v>
      </c>
      <c r="I102" s="418">
        <v>0</v>
      </c>
      <c r="J102" s="418">
        <v>0</v>
      </c>
      <c r="K102" s="418">
        <f t="shared" si="57"/>
        <v>3647</v>
      </c>
      <c r="L102" s="459">
        <v>0</v>
      </c>
      <c r="M102" s="443">
        <f t="shared" si="58"/>
        <v>0</v>
      </c>
      <c r="N102" s="443">
        <f t="shared" si="59"/>
        <v>0</v>
      </c>
      <c r="O102" s="443">
        <f t="shared" si="60"/>
        <v>0</v>
      </c>
      <c r="P102" s="443">
        <f t="shared" si="61"/>
        <v>0</v>
      </c>
      <c r="Q102" s="443">
        <f t="shared" si="62"/>
        <v>0</v>
      </c>
      <c r="R102" s="443">
        <f t="shared" si="63"/>
        <v>0</v>
      </c>
      <c r="S102" s="484">
        <v>0</v>
      </c>
      <c r="T102" s="484">
        <v>0</v>
      </c>
      <c r="U102" s="484">
        <v>0</v>
      </c>
      <c r="V102" s="490">
        <v>0</v>
      </c>
      <c r="W102" s="490">
        <v>0</v>
      </c>
      <c r="X102" s="490">
        <v>0</v>
      </c>
      <c r="Y102" s="419">
        <f t="shared" si="64"/>
        <v>0</v>
      </c>
      <c r="Z102" s="420">
        <f t="shared" si="65"/>
        <v>6.3799999999999996E-2</v>
      </c>
      <c r="AA102" s="420">
        <v>0</v>
      </c>
      <c r="AB102" s="420">
        <v>0</v>
      </c>
      <c r="AC102" s="420">
        <f t="shared" si="66"/>
        <v>2.8920000000000001E-2</v>
      </c>
      <c r="AD102" s="419">
        <f t="shared" si="67"/>
        <v>0</v>
      </c>
      <c r="AE102" s="419">
        <f t="shared" si="68"/>
        <v>0</v>
      </c>
      <c r="AF102" s="419">
        <f t="shared" si="69"/>
        <v>0</v>
      </c>
      <c r="AG102" s="454">
        <f t="shared" si="70"/>
        <v>0</v>
      </c>
      <c r="AH102" s="454">
        <f t="shared" si="92"/>
        <v>232.68</v>
      </c>
      <c r="AI102" s="421">
        <f t="shared" si="71"/>
        <v>0</v>
      </c>
      <c r="AJ102" s="421">
        <f t="shared" si="72"/>
        <v>0</v>
      </c>
      <c r="AK102" s="421">
        <f t="shared" si="73"/>
        <v>0</v>
      </c>
      <c r="AL102" s="472">
        <v>0</v>
      </c>
      <c r="AM102" s="422">
        <f t="shared" si="91"/>
        <v>0</v>
      </c>
      <c r="AN102" s="423">
        <f t="shared" si="75"/>
        <v>0</v>
      </c>
      <c r="AO102" s="421">
        <f t="shared" si="76"/>
        <v>0</v>
      </c>
      <c r="AP102" s="472">
        <v>0</v>
      </c>
      <c r="AQ102" s="472">
        <v>0</v>
      </c>
      <c r="AR102" s="472">
        <v>0</v>
      </c>
      <c r="AS102" s="475">
        <v>0</v>
      </c>
      <c r="AT102" s="475">
        <v>0</v>
      </c>
      <c r="AU102" s="475">
        <v>0</v>
      </c>
      <c r="AV102" s="454">
        <f t="shared" si="77"/>
        <v>232.68</v>
      </c>
      <c r="AW102" s="421">
        <f t="shared" si="78"/>
        <v>232.67999999999998</v>
      </c>
      <c r="AX102" s="455">
        <f t="shared" si="93"/>
        <v>0.99999999999999989</v>
      </c>
      <c r="AY102" s="424">
        <f t="shared" si="79"/>
        <v>-5.32</v>
      </c>
      <c r="AZ102" s="424">
        <f t="shared" si="80"/>
        <v>0</v>
      </c>
      <c r="BA102" s="424">
        <f t="shared" si="81"/>
        <v>12.87</v>
      </c>
      <c r="BB102" s="424">
        <f t="shared" si="82"/>
        <v>0</v>
      </c>
      <c r="BC102" s="424">
        <f t="shared" si="83"/>
        <v>0</v>
      </c>
      <c r="BD102" s="424">
        <f t="shared" si="84"/>
        <v>240.23</v>
      </c>
      <c r="BE102" s="452">
        <f t="shared" si="85"/>
        <v>240.23000000000002</v>
      </c>
      <c r="BF102" s="448">
        <f t="shared" si="86"/>
        <v>0</v>
      </c>
      <c r="BG102" s="456">
        <f t="shared" si="87"/>
        <v>105.47</v>
      </c>
      <c r="BH102" s="457">
        <f t="shared" si="53"/>
        <v>127.21000000000001</v>
      </c>
      <c r="BI102" s="407" t="s">
        <v>692</v>
      </c>
      <c r="BM102" s="429">
        <f>IF(BR102&gt;BR101,BM101,IF(BM101&lt;MiscData!$F$1,EOMONTH(BM101,1),EOMONTH(BM101,-11)))</f>
        <v>41729</v>
      </c>
      <c r="BN102" s="416" t="str">
        <f t="shared" si="54"/>
        <v>20140101KUCME291</v>
      </c>
      <c r="BO102" s="427" t="str">
        <f t="shared" si="55"/>
        <v>20140101LE</v>
      </c>
      <c r="BP102" s="407">
        <f>IF(BM102&lt;=MiscData!$B$23,MiscData!$C$23,IF(BM102&lt;=MiscData!$B$24,MiscData!$C$24,MiscData!$C$25))</f>
        <v>20140101</v>
      </c>
      <c r="BQ102" s="407" t="str">
        <f>VLOOKUP(BR102,MiscData!$V$4:$W$42,2,FALSE)</f>
        <v>KUCME291</v>
      </c>
      <c r="BR102" s="407">
        <f>IF(BR101=MiscData!$V$42,1,BR101+1)</f>
        <v>21</v>
      </c>
      <c r="BS102" s="407" t="str">
        <f>VLOOKUP(BQ102,MiscData!$W$4:$Y$42,3,FALSE)</f>
        <v>LE</v>
      </c>
    </row>
    <row r="103" spans="1:71" hidden="1">
      <c r="A103" s="416">
        <f t="shared" si="88"/>
        <v>94</v>
      </c>
      <c r="B103" s="416" t="str">
        <f t="shared" si="49"/>
        <v>Mar 2014</v>
      </c>
      <c r="C103" s="416" t="s">
        <v>21</v>
      </c>
      <c r="D103" s="417" t="str">
        <f t="shared" si="50"/>
        <v>TE</v>
      </c>
      <c r="E103" s="417" t="str">
        <f t="shared" si="51"/>
        <v>KUCME295</v>
      </c>
      <c r="F103" s="418">
        <f t="shared" si="56"/>
        <v>473</v>
      </c>
      <c r="G103" s="467">
        <v>0</v>
      </c>
      <c r="H103" s="418">
        <v>0</v>
      </c>
      <c r="I103" s="418">
        <v>0</v>
      </c>
      <c r="J103" s="418">
        <v>0</v>
      </c>
      <c r="K103" s="418">
        <f t="shared" si="57"/>
        <v>95222</v>
      </c>
      <c r="L103" s="481">
        <v>0</v>
      </c>
      <c r="M103" s="443">
        <f t="shared" si="58"/>
        <v>17.100000000000001</v>
      </c>
      <c r="N103" s="443">
        <f t="shared" si="59"/>
        <v>0</v>
      </c>
      <c r="O103" s="443">
        <f t="shared" si="60"/>
        <v>0</v>
      </c>
      <c r="P103" s="443">
        <f t="shared" si="61"/>
        <v>0</v>
      </c>
      <c r="Q103" s="443">
        <f t="shared" si="62"/>
        <v>0</v>
      </c>
      <c r="R103" s="443">
        <f t="shared" si="63"/>
        <v>0</v>
      </c>
      <c r="S103" s="484">
        <v>0</v>
      </c>
      <c r="T103" s="484">
        <v>0</v>
      </c>
      <c r="U103" s="484">
        <v>0</v>
      </c>
      <c r="V103" s="490">
        <v>0</v>
      </c>
      <c r="W103" s="490">
        <v>0</v>
      </c>
      <c r="X103" s="490">
        <v>0</v>
      </c>
      <c r="Y103" s="419">
        <f t="shared" si="64"/>
        <v>3.25</v>
      </c>
      <c r="Z103" s="420">
        <f t="shared" si="65"/>
        <v>7.9780000000000004E-2</v>
      </c>
      <c r="AA103" s="420">
        <v>0</v>
      </c>
      <c r="AB103" s="420">
        <v>0</v>
      </c>
      <c r="AC103" s="420">
        <f t="shared" si="66"/>
        <v>2.8920000000000001E-2</v>
      </c>
      <c r="AD103" s="419">
        <f t="shared" si="67"/>
        <v>0</v>
      </c>
      <c r="AE103" s="419">
        <f t="shared" si="68"/>
        <v>0</v>
      </c>
      <c r="AF103" s="419">
        <f t="shared" si="69"/>
        <v>0</v>
      </c>
      <c r="AG103" s="454">
        <f t="shared" si="70"/>
        <v>1537.25</v>
      </c>
      <c r="AH103" s="454">
        <f t="shared" si="92"/>
        <v>7596.81</v>
      </c>
      <c r="AI103" s="421">
        <f t="shared" si="71"/>
        <v>0</v>
      </c>
      <c r="AJ103" s="421">
        <f t="shared" si="72"/>
        <v>0</v>
      </c>
      <c r="AK103" s="421">
        <f t="shared" si="73"/>
        <v>0</v>
      </c>
      <c r="AL103" s="472">
        <v>0</v>
      </c>
      <c r="AM103" s="422">
        <f t="shared" si="91"/>
        <v>0</v>
      </c>
      <c r="AN103" s="423">
        <f t="shared" si="75"/>
        <v>0</v>
      </c>
      <c r="AO103" s="421">
        <f t="shared" si="76"/>
        <v>0</v>
      </c>
      <c r="AP103" s="472">
        <v>0</v>
      </c>
      <c r="AQ103" s="472">
        <v>-0.92</v>
      </c>
      <c r="AR103" s="472">
        <v>0</v>
      </c>
      <c r="AS103" s="475">
        <v>0</v>
      </c>
      <c r="AT103" s="475">
        <v>0</v>
      </c>
      <c r="AU103" s="475">
        <v>0</v>
      </c>
      <c r="AV103" s="454">
        <f t="shared" si="77"/>
        <v>9133.1400000000012</v>
      </c>
      <c r="AW103" s="421">
        <f t="shared" si="78"/>
        <v>9133.14</v>
      </c>
      <c r="AX103" s="455">
        <f t="shared" si="93"/>
        <v>0.99999999999999978</v>
      </c>
      <c r="AY103" s="424">
        <f t="shared" si="79"/>
        <v>45.46</v>
      </c>
      <c r="AZ103" s="424">
        <f t="shared" si="80"/>
        <v>0</v>
      </c>
      <c r="BA103" s="424">
        <f t="shared" si="81"/>
        <v>359.23</v>
      </c>
      <c r="BB103" s="424">
        <f t="shared" si="82"/>
        <v>0</v>
      </c>
      <c r="BC103" s="424">
        <f t="shared" si="83"/>
        <v>0</v>
      </c>
      <c r="BD103" s="424">
        <f t="shared" si="84"/>
        <v>9537.83</v>
      </c>
      <c r="BE103" s="452">
        <f t="shared" si="85"/>
        <v>9537.83</v>
      </c>
      <c r="BF103" s="448">
        <f t="shared" si="86"/>
        <v>0</v>
      </c>
      <c r="BG103" s="456">
        <f t="shared" si="87"/>
        <v>2753.82</v>
      </c>
      <c r="BH103" s="457">
        <f t="shared" si="53"/>
        <v>4842.07</v>
      </c>
      <c r="BI103" s="407" t="s">
        <v>692</v>
      </c>
      <c r="BM103" s="429">
        <f>IF(BR103&gt;BR102,BM102,IF(BM102&lt;MiscData!$F$1,EOMONTH(BM102,1),EOMONTH(BM102,-11)))</f>
        <v>41729</v>
      </c>
      <c r="BN103" s="416" t="str">
        <f t="shared" si="54"/>
        <v>20140101KUCME295</v>
      </c>
      <c r="BO103" s="427" t="str">
        <f t="shared" si="55"/>
        <v>20140101TE</v>
      </c>
      <c r="BP103" s="407">
        <f>IF(BM103&lt;=MiscData!$B$23,MiscData!$C$23,IF(BM103&lt;=MiscData!$B$24,MiscData!$C$24,MiscData!$C$25))</f>
        <v>20140101</v>
      </c>
      <c r="BQ103" s="407" t="str">
        <f>VLOOKUP(BR103,MiscData!$V$4:$W$42,2,FALSE)</f>
        <v>KUCME295</v>
      </c>
      <c r="BR103" s="407">
        <f>IF(BR102=MiscData!$V$42,1,BR102+1)</f>
        <v>22</v>
      </c>
      <c r="BS103" s="407" t="str">
        <f>VLOOKUP(BQ103,MiscData!$W$4:$Y$42,3,FALSE)</f>
        <v>TE</v>
      </c>
    </row>
    <row r="104" spans="1:71" hidden="1">
      <c r="A104" s="416">
        <f t="shared" si="88"/>
        <v>95</v>
      </c>
      <c r="B104" s="416" t="str">
        <f t="shared" si="49"/>
        <v>Mar 2014</v>
      </c>
      <c r="C104" s="416" t="s">
        <v>21</v>
      </c>
      <c r="D104" s="417" t="str">
        <f t="shared" si="50"/>
        <v>TE</v>
      </c>
      <c r="E104" s="417" t="str">
        <f t="shared" si="51"/>
        <v>KUCME297</v>
      </c>
      <c r="F104" s="418">
        <f t="shared" si="56"/>
        <v>272</v>
      </c>
      <c r="G104" s="467">
        <v>0</v>
      </c>
      <c r="H104" s="418">
        <v>0</v>
      </c>
      <c r="I104" s="418">
        <v>0</v>
      </c>
      <c r="J104" s="418">
        <v>0</v>
      </c>
      <c r="K104" s="418">
        <f t="shared" si="57"/>
        <v>14416</v>
      </c>
      <c r="L104" s="481">
        <v>0</v>
      </c>
      <c r="M104" s="443">
        <f t="shared" si="58"/>
        <v>0</v>
      </c>
      <c r="N104" s="443">
        <f t="shared" si="59"/>
        <v>0</v>
      </c>
      <c r="O104" s="443">
        <f t="shared" si="60"/>
        <v>0</v>
      </c>
      <c r="P104" s="443">
        <f t="shared" si="61"/>
        <v>0</v>
      </c>
      <c r="Q104" s="443">
        <f t="shared" si="62"/>
        <v>0</v>
      </c>
      <c r="R104" s="443">
        <f t="shared" si="63"/>
        <v>0</v>
      </c>
      <c r="S104" s="484">
        <v>0</v>
      </c>
      <c r="T104" s="484">
        <v>0</v>
      </c>
      <c r="U104" s="484">
        <v>0</v>
      </c>
      <c r="V104" s="490">
        <v>0</v>
      </c>
      <c r="W104" s="490">
        <v>0</v>
      </c>
      <c r="X104" s="490">
        <v>0</v>
      </c>
      <c r="Y104" s="419">
        <f t="shared" si="64"/>
        <v>3.25</v>
      </c>
      <c r="Z104" s="420">
        <f t="shared" si="65"/>
        <v>7.9780000000000004E-2</v>
      </c>
      <c r="AA104" s="420">
        <v>0</v>
      </c>
      <c r="AB104" s="420">
        <v>0</v>
      </c>
      <c r="AC104" s="420">
        <f t="shared" si="66"/>
        <v>2.8920000000000001E-2</v>
      </c>
      <c r="AD104" s="419">
        <f t="shared" si="67"/>
        <v>0</v>
      </c>
      <c r="AE104" s="419">
        <f t="shared" si="68"/>
        <v>0</v>
      </c>
      <c r="AF104" s="419">
        <f t="shared" si="69"/>
        <v>0</v>
      </c>
      <c r="AG104" s="454">
        <f t="shared" si="70"/>
        <v>884</v>
      </c>
      <c r="AH104" s="454">
        <f t="shared" si="92"/>
        <v>1150.1099999999999</v>
      </c>
      <c r="AI104" s="421">
        <f t="shared" si="71"/>
        <v>0</v>
      </c>
      <c r="AJ104" s="421">
        <f t="shared" si="72"/>
        <v>0</v>
      </c>
      <c r="AK104" s="421">
        <f t="shared" si="73"/>
        <v>0</v>
      </c>
      <c r="AL104" s="472">
        <v>0</v>
      </c>
      <c r="AM104" s="422">
        <f t="shared" si="91"/>
        <v>0</v>
      </c>
      <c r="AN104" s="423">
        <f t="shared" si="75"/>
        <v>0</v>
      </c>
      <c r="AO104" s="421">
        <f t="shared" si="76"/>
        <v>0</v>
      </c>
      <c r="AP104" s="472">
        <v>0</v>
      </c>
      <c r="AQ104" s="472">
        <v>0.45</v>
      </c>
      <c r="AR104" s="472">
        <v>0</v>
      </c>
      <c r="AS104" s="475">
        <v>0</v>
      </c>
      <c r="AT104" s="475">
        <v>0</v>
      </c>
      <c r="AU104" s="475">
        <v>0</v>
      </c>
      <c r="AV104" s="454">
        <f t="shared" si="77"/>
        <v>2034.56</v>
      </c>
      <c r="AW104" s="421">
        <f t="shared" si="78"/>
        <v>2034.56</v>
      </c>
      <c r="AX104" s="455">
        <f t="shared" si="93"/>
        <v>1</v>
      </c>
      <c r="AY104" s="424">
        <f t="shared" si="79"/>
        <v>46.24</v>
      </c>
      <c r="AZ104" s="424">
        <f t="shared" si="80"/>
        <v>0</v>
      </c>
      <c r="BA104" s="424">
        <f t="shared" si="81"/>
        <v>32.64</v>
      </c>
      <c r="BB104" s="424">
        <f t="shared" si="82"/>
        <v>0</v>
      </c>
      <c r="BC104" s="424">
        <f t="shared" si="83"/>
        <v>0</v>
      </c>
      <c r="BD104" s="424">
        <f t="shared" si="84"/>
        <v>2113.44</v>
      </c>
      <c r="BE104" s="452">
        <f t="shared" si="85"/>
        <v>2113.4399999999996</v>
      </c>
      <c r="BF104" s="448">
        <f t="shared" si="86"/>
        <v>0</v>
      </c>
      <c r="BG104" s="456">
        <f t="shared" si="87"/>
        <v>416.91</v>
      </c>
      <c r="BH104" s="457">
        <f t="shared" si="53"/>
        <v>733.64999999999986</v>
      </c>
      <c r="BI104" s="407" t="s">
        <v>692</v>
      </c>
      <c r="BM104" s="429">
        <f>IF(BR104&gt;BR103,BM103,IF(BM103&lt;MiscData!$F$1,EOMONTH(BM103,1),EOMONTH(BM103,-11)))</f>
        <v>41729</v>
      </c>
      <c r="BN104" s="416" t="str">
        <f t="shared" si="54"/>
        <v>20140101KUCME297</v>
      </c>
      <c r="BO104" s="427" t="str">
        <f t="shared" si="55"/>
        <v>20140101TE</v>
      </c>
      <c r="BP104" s="407">
        <f>IF(BM104&lt;=MiscData!$B$23,MiscData!$C$23,IF(BM104&lt;=MiscData!$B$24,MiscData!$C$24,MiscData!$C$25))</f>
        <v>20140101</v>
      </c>
      <c r="BQ104" s="407" t="str">
        <f>VLOOKUP(BR104,MiscData!$V$4:$W$42,2,FALSE)</f>
        <v>KUCME297</v>
      </c>
      <c r="BR104" s="407">
        <f>IF(BR103=MiscData!$V$42,1,BR103+1)</f>
        <v>23</v>
      </c>
      <c r="BS104" s="407" t="str">
        <f>VLOOKUP(BQ104,MiscData!$W$4:$Y$42,3,FALSE)</f>
        <v>TE</v>
      </c>
    </row>
    <row r="105" spans="1:71" hidden="1">
      <c r="A105" s="416">
        <f t="shared" si="88"/>
        <v>96</v>
      </c>
      <c r="B105" s="416" t="str">
        <f t="shared" si="49"/>
        <v>Mar 2014</v>
      </c>
      <c r="C105" s="416" t="s">
        <v>727</v>
      </c>
      <c r="D105" s="417" t="str">
        <f t="shared" si="50"/>
        <v>SQF</v>
      </c>
      <c r="E105" s="417" t="str">
        <f t="shared" si="51"/>
        <v>KUCME705</v>
      </c>
      <c r="F105" s="418">
        <f t="shared" si="56"/>
        <v>0</v>
      </c>
      <c r="G105" s="467">
        <v>0</v>
      </c>
      <c r="H105" s="418">
        <v>0</v>
      </c>
      <c r="I105" s="418">
        <v>0</v>
      </c>
      <c r="J105" s="418">
        <v>0</v>
      </c>
      <c r="K105" s="418">
        <f t="shared" si="57"/>
        <v>0</v>
      </c>
      <c r="L105" s="459">
        <v>0</v>
      </c>
      <c r="M105" s="443">
        <f t="shared" si="58"/>
        <v>0</v>
      </c>
      <c r="N105" s="443">
        <f t="shared" si="59"/>
        <v>0</v>
      </c>
      <c r="O105" s="443">
        <f t="shared" si="60"/>
        <v>0</v>
      </c>
      <c r="P105" s="443">
        <f t="shared" si="61"/>
        <v>0</v>
      </c>
      <c r="Q105" s="443">
        <f t="shared" si="62"/>
        <v>0</v>
      </c>
      <c r="R105" s="443">
        <f t="shared" si="63"/>
        <v>0</v>
      </c>
      <c r="S105" s="484">
        <v>0</v>
      </c>
      <c r="T105" s="484">
        <v>0</v>
      </c>
      <c r="U105" s="484">
        <v>0</v>
      </c>
      <c r="V105" s="490">
        <v>0</v>
      </c>
      <c r="W105" s="490">
        <v>0</v>
      </c>
      <c r="X105" s="490">
        <v>0</v>
      </c>
      <c r="Y105" s="419">
        <f t="shared" si="64"/>
        <v>0</v>
      </c>
      <c r="Z105" s="420">
        <f t="shared" si="65"/>
        <v>0</v>
      </c>
      <c r="AA105" s="420">
        <v>0</v>
      </c>
      <c r="AB105" s="420">
        <v>0</v>
      </c>
      <c r="AC105" s="420">
        <f t="shared" si="66"/>
        <v>0</v>
      </c>
      <c r="AD105" s="419">
        <f t="shared" si="67"/>
        <v>0</v>
      </c>
      <c r="AE105" s="419">
        <f t="shared" si="68"/>
        <v>0</v>
      </c>
      <c r="AF105" s="419">
        <f t="shared" si="69"/>
        <v>0</v>
      </c>
      <c r="AG105" s="454">
        <f t="shared" si="70"/>
        <v>0</v>
      </c>
      <c r="AH105" s="454">
        <f t="shared" si="92"/>
        <v>0</v>
      </c>
      <c r="AI105" s="421">
        <f t="shared" si="71"/>
        <v>0</v>
      </c>
      <c r="AJ105" s="421">
        <f t="shared" si="72"/>
        <v>0</v>
      </c>
      <c r="AK105" s="421">
        <f t="shared" si="73"/>
        <v>0</v>
      </c>
      <c r="AL105" s="472">
        <v>0</v>
      </c>
      <c r="AM105" s="422">
        <f t="shared" si="91"/>
        <v>0</v>
      </c>
      <c r="AN105" s="423">
        <f t="shared" si="75"/>
        <v>0</v>
      </c>
      <c r="AO105" s="421">
        <f t="shared" si="76"/>
        <v>0</v>
      </c>
      <c r="AP105" s="472">
        <v>0</v>
      </c>
      <c r="AQ105" s="472">
        <v>0</v>
      </c>
      <c r="AR105" s="472">
        <v>0</v>
      </c>
      <c r="AS105" s="475">
        <v>0</v>
      </c>
      <c r="AT105" s="475">
        <v>0</v>
      </c>
      <c r="AU105" s="475">
        <v>0</v>
      </c>
      <c r="AV105" s="454">
        <f t="shared" si="77"/>
        <v>0</v>
      </c>
      <c r="AW105" s="421">
        <f t="shared" si="78"/>
        <v>0</v>
      </c>
      <c r="AX105" s="455">
        <f t="shared" si="93"/>
        <v>1</v>
      </c>
      <c r="AY105" s="424">
        <f t="shared" si="79"/>
        <v>0</v>
      </c>
      <c r="AZ105" s="424">
        <f t="shared" si="80"/>
        <v>0</v>
      </c>
      <c r="BA105" s="424">
        <f t="shared" si="81"/>
        <v>0</v>
      </c>
      <c r="BB105" s="424">
        <f t="shared" si="82"/>
        <v>0</v>
      </c>
      <c r="BC105" s="424">
        <f t="shared" si="83"/>
        <v>0</v>
      </c>
      <c r="BD105" s="424">
        <f t="shared" si="84"/>
        <v>0</v>
      </c>
      <c r="BE105" s="452">
        <f t="shared" si="85"/>
        <v>0</v>
      </c>
      <c r="BF105" s="448">
        <f t="shared" si="86"/>
        <v>0</v>
      </c>
      <c r="BG105" s="456">
        <f t="shared" si="87"/>
        <v>0</v>
      </c>
      <c r="BH105" s="457">
        <f t="shared" si="53"/>
        <v>0</v>
      </c>
      <c r="BI105" s="407" t="s">
        <v>692</v>
      </c>
      <c r="BM105" s="429">
        <f>IF(BR105&gt;BR104,BM104,IF(BM104&lt;MiscData!$F$1,EOMONTH(BM104,1),EOMONTH(BM104,-11)))</f>
        <v>41729</v>
      </c>
      <c r="BN105" s="416" t="str">
        <f t="shared" si="54"/>
        <v>20140101KUCME705</v>
      </c>
      <c r="BO105" s="427" t="str">
        <f t="shared" si="55"/>
        <v>20140101SQF</v>
      </c>
      <c r="BP105" s="407">
        <f>IF(BM105&lt;=MiscData!$B$23,MiscData!$C$23,IF(BM105&lt;=MiscData!$B$24,MiscData!$C$24,MiscData!$C$25))</f>
        <v>20140101</v>
      </c>
      <c r="BQ105" s="407" t="str">
        <f>VLOOKUP(BR105,MiscData!$V$4:$W$42,2,FALSE)</f>
        <v>KUCME705</v>
      </c>
      <c r="BR105" s="407">
        <f>IF(BR104=MiscData!$V$42,1,BR104+1)</f>
        <v>24</v>
      </c>
      <c r="BS105" s="407" t="str">
        <f>VLOOKUP(BQ105,MiscData!$W$4:$Y$42,3,FALSE)</f>
        <v>SQF</v>
      </c>
    </row>
    <row r="106" spans="1:71" hidden="1">
      <c r="A106" s="416">
        <f t="shared" si="88"/>
        <v>97</v>
      </c>
      <c r="B106" s="416" t="str">
        <f t="shared" si="49"/>
        <v>Mar 2014</v>
      </c>
      <c r="C106" s="416" t="s">
        <v>1052</v>
      </c>
      <c r="D106" s="417" t="str">
        <f t="shared" si="50"/>
        <v>LQF</v>
      </c>
      <c r="E106" s="417" t="str">
        <f t="shared" si="51"/>
        <v>KUCME707</v>
      </c>
      <c r="F106" s="418">
        <f t="shared" si="56"/>
        <v>0</v>
      </c>
      <c r="G106" s="467">
        <v>0</v>
      </c>
      <c r="H106" s="418">
        <v>0</v>
      </c>
      <c r="I106" s="418">
        <v>0</v>
      </c>
      <c r="J106" s="418">
        <v>0</v>
      </c>
      <c r="K106" s="418">
        <f t="shared" si="57"/>
        <v>0</v>
      </c>
      <c r="L106" s="459">
        <v>0</v>
      </c>
      <c r="M106" s="443">
        <f t="shared" si="58"/>
        <v>0</v>
      </c>
      <c r="N106" s="443">
        <f t="shared" si="59"/>
        <v>0</v>
      </c>
      <c r="O106" s="443">
        <f t="shared" si="60"/>
        <v>0</v>
      </c>
      <c r="P106" s="443">
        <f t="shared" si="61"/>
        <v>0</v>
      </c>
      <c r="Q106" s="443">
        <f t="shared" si="62"/>
        <v>0</v>
      </c>
      <c r="R106" s="443">
        <f t="shared" si="63"/>
        <v>0</v>
      </c>
      <c r="S106" s="484">
        <v>0</v>
      </c>
      <c r="T106" s="484">
        <v>0</v>
      </c>
      <c r="U106" s="484">
        <v>0</v>
      </c>
      <c r="V106" s="490">
        <v>0</v>
      </c>
      <c r="W106" s="490">
        <v>0</v>
      </c>
      <c r="X106" s="490">
        <v>0</v>
      </c>
      <c r="Y106" s="419">
        <f t="shared" si="64"/>
        <v>0</v>
      </c>
      <c r="Z106" s="420">
        <f t="shared" si="65"/>
        <v>0</v>
      </c>
      <c r="AA106" s="420">
        <v>0</v>
      </c>
      <c r="AB106" s="420">
        <v>0</v>
      </c>
      <c r="AC106" s="420">
        <f t="shared" si="66"/>
        <v>0</v>
      </c>
      <c r="AD106" s="419">
        <f t="shared" si="67"/>
        <v>0</v>
      </c>
      <c r="AE106" s="419">
        <f t="shared" si="68"/>
        <v>0</v>
      </c>
      <c r="AF106" s="419">
        <f t="shared" si="69"/>
        <v>0</v>
      </c>
      <c r="AG106" s="454">
        <f t="shared" si="70"/>
        <v>0</v>
      </c>
      <c r="AH106" s="454">
        <f t="shared" si="92"/>
        <v>0</v>
      </c>
      <c r="AI106" s="421">
        <f t="shared" si="71"/>
        <v>0</v>
      </c>
      <c r="AJ106" s="421">
        <f t="shared" si="72"/>
        <v>0</v>
      </c>
      <c r="AK106" s="421">
        <f t="shared" si="73"/>
        <v>0</v>
      </c>
      <c r="AL106" s="472">
        <v>0</v>
      </c>
      <c r="AM106" s="422">
        <f t="shared" si="91"/>
        <v>0</v>
      </c>
      <c r="AN106" s="423">
        <f t="shared" si="75"/>
        <v>0</v>
      </c>
      <c r="AO106" s="421">
        <f t="shared" si="76"/>
        <v>0</v>
      </c>
      <c r="AP106" s="472">
        <v>0</v>
      </c>
      <c r="AQ106" s="472">
        <v>0</v>
      </c>
      <c r="AR106" s="472">
        <v>0</v>
      </c>
      <c r="AS106" s="475">
        <v>0</v>
      </c>
      <c r="AT106" s="475">
        <v>0</v>
      </c>
      <c r="AU106" s="475">
        <v>0</v>
      </c>
      <c r="AV106" s="454">
        <f t="shared" si="77"/>
        <v>0</v>
      </c>
      <c r="AW106" s="421">
        <f t="shared" si="78"/>
        <v>0</v>
      </c>
      <c r="AX106" s="455">
        <f t="shared" si="93"/>
        <v>1</v>
      </c>
      <c r="AY106" s="424">
        <f t="shared" si="79"/>
        <v>0</v>
      </c>
      <c r="AZ106" s="424">
        <f t="shared" si="80"/>
        <v>0</v>
      </c>
      <c r="BA106" s="424">
        <f t="shared" si="81"/>
        <v>0</v>
      </c>
      <c r="BB106" s="424">
        <f t="shared" si="82"/>
        <v>0</v>
      </c>
      <c r="BC106" s="424">
        <f t="shared" si="83"/>
        <v>0</v>
      </c>
      <c r="BD106" s="424">
        <f t="shared" si="84"/>
        <v>0</v>
      </c>
      <c r="BE106" s="452">
        <f t="shared" si="85"/>
        <v>0</v>
      </c>
      <c r="BF106" s="448">
        <f t="shared" si="86"/>
        <v>0</v>
      </c>
      <c r="BG106" s="456">
        <f t="shared" si="87"/>
        <v>0</v>
      </c>
      <c r="BH106" s="457">
        <f t="shared" si="53"/>
        <v>0</v>
      </c>
      <c r="BI106" s="407" t="s">
        <v>692</v>
      </c>
      <c r="BM106" s="429">
        <f>IF(BR106&gt;BR105,BM105,IF(BM105&lt;MiscData!$F$1,EOMONTH(BM105,1),EOMONTH(BM105,-11)))</f>
        <v>41729</v>
      </c>
      <c r="BN106" s="416" t="str">
        <f t="shared" si="54"/>
        <v>20140101KUCME707</v>
      </c>
      <c r="BO106" s="427" t="str">
        <f t="shared" si="55"/>
        <v>20140101LQF</v>
      </c>
      <c r="BP106" s="407">
        <f>IF(BM106&lt;=MiscData!$B$23,MiscData!$C$23,IF(BM106&lt;=MiscData!$B$24,MiscData!$C$24,MiscData!$C$25))</f>
        <v>20140101</v>
      </c>
      <c r="BQ106" s="407" t="str">
        <f>VLOOKUP(BR106,MiscData!$V$4:$W$42,2,FALSE)</f>
        <v>KUCME707</v>
      </c>
      <c r="BR106" s="407">
        <f>IF(BR105=MiscData!$V$42,1,BR105+1)</f>
        <v>25</v>
      </c>
      <c r="BS106" s="407" t="str">
        <f>VLOOKUP(BQ106,MiscData!$W$4:$Y$42,3,FALSE)</f>
        <v>LQF</v>
      </c>
    </row>
    <row r="107" spans="1:71" hidden="1">
      <c r="A107" s="416">
        <f t="shared" si="88"/>
        <v>98</v>
      </c>
      <c r="B107" s="416" t="str">
        <f t="shared" si="49"/>
        <v>Mar 2014</v>
      </c>
      <c r="C107" s="416" t="s">
        <v>224</v>
      </c>
      <c r="D107" s="417" t="str">
        <f t="shared" si="50"/>
        <v>GS</v>
      </c>
      <c r="E107" s="417" t="str">
        <f t="shared" si="51"/>
        <v>KUCME710</v>
      </c>
      <c r="F107" s="418">
        <f t="shared" si="56"/>
        <v>8</v>
      </c>
      <c r="G107" s="467">
        <v>0</v>
      </c>
      <c r="H107" s="418">
        <v>0</v>
      </c>
      <c r="I107" s="418">
        <v>0</v>
      </c>
      <c r="J107" s="418">
        <v>0</v>
      </c>
      <c r="K107" s="418">
        <f t="shared" si="57"/>
        <v>13921</v>
      </c>
      <c r="L107" s="459">
        <v>0</v>
      </c>
      <c r="M107" s="443">
        <f t="shared" si="58"/>
        <v>0</v>
      </c>
      <c r="N107" s="443">
        <f t="shared" si="59"/>
        <v>0</v>
      </c>
      <c r="O107" s="443">
        <f t="shared" si="60"/>
        <v>0</v>
      </c>
      <c r="P107" s="443">
        <f t="shared" si="61"/>
        <v>0</v>
      </c>
      <c r="Q107" s="443">
        <f t="shared" si="62"/>
        <v>0</v>
      </c>
      <c r="R107" s="443">
        <f t="shared" si="63"/>
        <v>0</v>
      </c>
      <c r="S107" s="484">
        <v>0</v>
      </c>
      <c r="T107" s="484">
        <v>0</v>
      </c>
      <c r="U107" s="484">
        <v>0</v>
      </c>
      <c r="V107" s="490">
        <v>0</v>
      </c>
      <c r="W107" s="490">
        <v>0</v>
      </c>
      <c r="X107" s="490">
        <v>0</v>
      </c>
      <c r="Y107" s="419">
        <f t="shared" si="64"/>
        <v>20</v>
      </c>
      <c r="Z107" s="420">
        <f t="shared" si="65"/>
        <v>9.2249999999999999E-2</v>
      </c>
      <c r="AA107" s="420">
        <v>0</v>
      </c>
      <c r="AB107" s="420">
        <v>0</v>
      </c>
      <c r="AC107" s="420">
        <f t="shared" si="66"/>
        <v>2.8920000000000001E-2</v>
      </c>
      <c r="AD107" s="419">
        <f t="shared" si="67"/>
        <v>0</v>
      </c>
      <c r="AE107" s="419">
        <f t="shared" si="68"/>
        <v>0</v>
      </c>
      <c r="AF107" s="419">
        <f t="shared" si="69"/>
        <v>0</v>
      </c>
      <c r="AG107" s="454">
        <f t="shared" si="70"/>
        <v>160</v>
      </c>
      <c r="AH107" s="454">
        <f t="shared" si="92"/>
        <v>1284.21</v>
      </c>
      <c r="AI107" s="421">
        <f t="shared" si="71"/>
        <v>0</v>
      </c>
      <c r="AJ107" s="421">
        <f t="shared" si="72"/>
        <v>0</v>
      </c>
      <c r="AK107" s="421">
        <f t="shared" si="73"/>
        <v>0</v>
      </c>
      <c r="AL107" s="472">
        <v>0</v>
      </c>
      <c r="AM107" s="422">
        <f t="shared" si="91"/>
        <v>0</v>
      </c>
      <c r="AN107" s="423">
        <f t="shared" si="75"/>
        <v>0</v>
      </c>
      <c r="AO107" s="421">
        <f t="shared" si="76"/>
        <v>0</v>
      </c>
      <c r="AP107" s="472">
        <v>0</v>
      </c>
      <c r="AQ107" s="472">
        <v>0</v>
      </c>
      <c r="AR107" s="472">
        <v>0</v>
      </c>
      <c r="AS107" s="475">
        <v>0</v>
      </c>
      <c r="AT107" s="475">
        <v>0</v>
      </c>
      <c r="AU107" s="475">
        <v>0</v>
      </c>
      <c r="AV107" s="454">
        <f t="shared" si="77"/>
        <v>1444.21</v>
      </c>
      <c r="AW107" s="421">
        <f t="shared" si="78"/>
        <v>1444.21</v>
      </c>
      <c r="AX107" s="455">
        <f t="shared" ref="AX107:AX120" si="94">IF(AND(AV107=0,AW107=0),1,IF(AV107=0,0,AW107/AV107))</f>
        <v>1</v>
      </c>
      <c r="AY107" s="424">
        <f t="shared" si="79"/>
        <v>43.43</v>
      </c>
      <c r="AZ107" s="424">
        <f t="shared" si="80"/>
        <v>33.14</v>
      </c>
      <c r="BA107" s="424">
        <f t="shared" si="81"/>
        <v>29.78</v>
      </c>
      <c r="BB107" s="424">
        <f t="shared" si="82"/>
        <v>0</v>
      </c>
      <c r="BC107" s="424">
        <f t="shared" si="83"/>
        <v>0</v>
      </c>
      <c r="BD107" s="424">
        <f t="shared" si="84"/>
        <v>1550.56</v>
      </c>
      <c r="BE107" s="452">
        <f t="shared" si="85"/>
        <v>1550.5600000000002</v>
      </c>
      <c r="BF107" s="448">
        <f t="shared" si="86"/>
        <v>0</v>
      </c>
      <c r="BG107" s="456">
        <f t="shared" si="87"/>
        <v>402.6</v>
      </c>
      <c r="BH107" s="457">
        <f t="shared" si="53"/>
        <v>881.61</v>
      </c>
      <c r="BI107" s="407" t="s">
        <v>692</v>
      </c>
      <c r="BM107" s="429">
        <f>IF(BR107&gt;BR106,BM106,IF(BM106&lt;MiscData!$F$1,EOMONTH(BM106,1),EOMONTH(BM106,-11)))</f>
        <v>41729</v>
      </c>
      <c r="BN107" s="416" t="str">
        <f t="shared" si="54"/>
        <v>20140101KUCME710</v>
      </c>
      <c r="BO107" s="427" t="str">
        <f t="shared" si="55"/>
        <v>20140101GS</v>
      </c>
      <c r="BP107" s="407">
        <f>IF(BM107&lt;=MiscData!$B$23,MiscData!$C$23,IF(BM107&lt;=MiscData!$B$24,MiscData!$C$24,MiscData!$C$25))</f>
        <v>20140101</v>
      </c>
      <c r="BQ107" s="407" t="str">
        <f>VLOOKUP(BR107,MiscData!$V$4:$W$42,2,FALSE)</f>
        <v>KUCME710</v>
      </c>
      <c r="BR107" s="407">
        <f>IF(BR106=MiscData!$V$42,1,BR106+1)</f>
        <v>26</v>
      </c>
      <c r="BS107" s="407" t="str">
        <f>VLOOKUP(BQ107,MiscData!$W$4:$Y$42,3,FALSE)</f>
        <v>GS</v>
      </c>
    </row>
    <row r="108" spans="1:71" hidden="1">
      <c r="A108" s="416">
        <f t="shared" si="88"/>
        <v>99</v>
      </c>
      <c r="B108" s="416" t="str">
        <f t="shared" si="49"/>
        <v>Mar 2014</v>
      </c>
      <c r="C108" s="416" t="s">
        <v>18</v>
      </c>
      <c r="D108" s="417" t="str">
        <f t="shared" si="50"/>
        <v>GS3</v>
      </c>
      <c r="E108" s="417" t="str">
        <f t="shared" si="51"/>
        <v>KUCME713</v>
      </c>
      <c r="F108" s="418">
        <f t="shared" si="56"/>
        <v>2</v>
      </c>
      <c r="G108" s="467">
        <v>0</v>
      </c>
      <c r="H108" s="418">
        <v>0</v>
      </c>
      <c r="I108" s="418">
        <v>0</v>
      </c>
      <c r="J108" s="418">
        <v>0</v>
      </c>
      <c r="K108" s="418">
        <f t="shared" si="57"/>
        <v>13200</v>
      </c>
      <c r="L108" s="459">
        <v>0</v>
      </c>
      <c r="M108" s="443">
        <f t="shared" si="58"/>
        <v>72.900000000000006</v>
      </c>
      <c r="N108" s="443">
        <f t="shared" si="59"/>
        <v>0</v>
      </c>
      <c r="O108" s="443">
        <f t="shared" si="60"/>
        <v>0</v>
      </c>
      <c r="P108" s="443">
        <f t="shared" si="61"/>
        <v>0</v>
      </c>
      <c r="Q108" s="443">
        <f t="shared" si="62"/>
        <v>0</v>
      </c>
      <c r="R108" s="443">
        <f t="shared" si="63"/>
        <v>0</v>
      </c>
      <c r="S108" s="484">
        <v>0</v>
      </c>
      <c r="T108" s="484">
        <v>0</v>
      </c>
      <c r="U108" s="484">
        <v>0</v>
      </c>
      <c r="V108" s="490">
        <v>0</v>
      </c>
      <c r="W108" s="490">
        <v>0</v>
      </c>
      <c r="X108" s="490">
        <v>0</v>
      </c>
      <c r="Y108" s="419">
        <f t="shared" si="64"/>
        <v>35</v>
      </c>
      <c r="Z108" s="420">
        <f t="shared" si="65"/>
        <v>9.2249999999999999E-2</v>
      </c>
      <c r="AA108" s="420">
        <v>0</v>
      </c>
      <c r="AB108" s="420">
        <v>0</v>
      </c>
      <c r="AC108" s="420">
        <f t="shared" si="66"/>
        <v>2.8920000000000001E-2</v>
      </c>
      <c r="AD108" s="419">
        <f t="shared" si="67"/>
        <v>0</v>
      </c>
      <c r="AE108" s="419">
        <f t="shared" si="68"/>
        <v>0</v>
      </c>
      <c r="AF108" s="419">
        <f t="shared" si="69"/>
        <v>0</v>
      </c>
      <c r="AG108" s="454">
        <f t="shared" si="70"/>
        <v>70</v>
      </c>
      <c r="AH108" s="454">
        <f t="shared" si="92"/>
        <v>1217.7</v>
      </c>
      <c r="AI108" s="421">
        <f t="shared" si="71"/>
        <v>0</v>
      </c>
      <c r="AJ108" s="421">
        <f t="shared" si="72"/>
        <v>0</v>
      </c>
      <c r="AK108" s="421">
        <f t="shared" si="73"/>
        <v>0</v>
      </c>
      <c r="AL108" s="472">
        <v>0</v>
      </c>
      <c r="AM108" s="422">
        <f t="shared" si="91"/>
        <v>0</v>
      </c>
      <c r="AN108" s="423">
        <f t="shared" si="75"/>
        <v>0</v>
      </c>
      <c r="AO108" s="421">
        <f t="shared" si="76"/>
        <v>0</v>
      </c>
      <c r="AP108" s="472">
        <v>0</v>
      </c>
      <c r="AQ108" s="472">
        <v>0</v>
      </c>
      <c r="AR108" s="472">
        <v>0</v>
      </c>
      <c r="AS108" s="475">
        <v>0</v>
      </c>
      <c r="AT108" s="475">
        <v>0</v>
      </c>
      <c r="AU108" s="475">
        <v>0</v>
      </c>
      <c r="AV108" s="454">
        <f t="shared" si="77"/>
        <v>1287.7</v>
      </c>
      <c r="AW108" s="421">
        <f t="shared" si="78"/>
        <v>1287.7</v>
      </c>
      <c r="AX108" s="455">
        <f t="shared" si="94"/>
        <v>1</v>
      </c>
      <c r="AY108" s="424">
        <f t="shared" si="79"/>
        <v>41.19</v>
      </c>
      <c r="AZ108" s="424">
        <f t="shared" si="80"/>
        <v>6.47</v>
      </c>
      <c r="BA108" s="424">
        <f t="shared" si="81"/>
        <v>25.27</v>
      </c>
      <c r="BB108" s="424">
        <f t="shared" si="82"/>
        <v>0</v>
      </c>
      <c r="BC108" s="424">
        <f t="shared" si="83"/>
        <v>0</v>
      </c>
      <c r="BD108" s="424">
        <f t="shared" si="84"/>
        <v>1360.63</v>
      </c>
      <c r="BE108" s="452">
        <f t="shared" si="85"/>
        <v>1360.63</v>
      </c>
      <c r="BF108" s="448">
        <f t="shared" si="86"/>
        <v>0</v>
      </c>
      <c r="BG108" s="456">
        <f t="shared" si="87"/>
        <v>381.74</v>
      </c>
      <c r="BH108" s="457">
        <f t="shared" si="53"/>
        <v>835.96</v>
      </c>
      <c r="BI108" s="407" t="s">
        <v>692</v>
      </c>
      <c r="BM108" s="429">
        <f>IF(BR108&gt;BR107,BM107,IF(BM107&lt;MiscData!$F$1,EOMONTH(BM107,1),EOMONTH(BM107,-11)))</f>
        <v>41729</v>
      </c>
      <c r="BN108" s="416" t="str">
        <f t="shared" si="54"/>
        <v>20140101KUCME713</v>
      </c>
      <c r="BO108" s="427" t="str">
        <f t="shared" si="55"/>
        <v>20140101GS3</v>
      </c>
      <c r="BP108" s="407">
        <f>IF(BM108&lt;=MiscData!$B$23,MiscData!$C$23,IF(BM108&lt;=MiscData!$B$24,MiscData!$C$24,MiscData!$C$25))</f>
        <v>20140101</v>
      </c>
      <c r="BQ108" s="407" t="str">
        <f>VLOOKUP(BR108,MiscData!$V$4:$W$42,2,FALSE)</f>
        <v>KUCME713</v>
      </c>
      <c r="BR108" s="407">
        <f>IF(BR107=MiscData!$V$42,1,BR107+1)</f>
        <v>27</v>
      </c>
      <c r="BS108" s="407" t="str">
        <f>VLOOKUP(BQ108,MiscData!$W$4:$Y$42,3,FALSE)</f>
        <v>GS3</v>
      </c>
    </row>
    <row r="109" spans="1:71" hidden="1">
      <c r="A109" s="416">
        <f>A105+1</f>
        <v>97</v>
      </c>
      <c r="B109" s="416" t="str">
        <f t="shared" si="49"/>
        <v>Mar 2014</v>
      </c>
      <c r="C109" s="416" t="s">
        <v>1459</v>
      </c>
      <c r="D109" s="417" t="str">
        <f t="shared" si="50"/>
        <v>CSR10</v>
      </c>
      <c r="E109" s="417" t="str">
        <f t="shared" si="51"/>
        <v>KUCSR760</v>
      </c>
      <c r="F109" s="418">
        <f t="shared" si="56"/>
        <v>1</v>
      </c>
      <c r="G109" s="467">
        <v>0</v>
      </c>
      <c r="H109" s="418">
        <v>0</v>
      </c>
      <c r="I109" s="418">
        <v>0</v>
      </c>
      <c r="J109" s="418">
        <v>0</v>
      </c>
      <c r="K109" s="418">
        <f t="shared" si="57"/>
        <v>0</v>
      </c>
      <c r="L109" s="459">
        <v>0</v>
      </c>
      <c r="M109" s="443">
        <f t="shared" si="58"/>
        <v>0</v>
      </c>
      <c r="N109" s="443">
        <f t="shared" si="59"/>
        <v>0</v>
      </c>
      <c r="O109" s="443">
        <f t="shared" si="60"/>
        <v>0</v>
      </c>
      <c r="P109" s="443">
        <f t="shared" si="61"/>
        <v>0</v>
      </c>
      <c r="Q109" s="443">
        <f t="shared" si="62"/>
        <v>0</v>
      </c>
      <c r="R109" s="443">
        <f t="shared" si="63"/>
        <v>0</v>
      </c>
      <c r="S109" s="484">
        <v>0</v>
      </c>
      <c r="T109" s="484">
        <v>0</v>
      </c>
      <c r="U109" s="484">
        <v>0</v>
      </c>
      <c r="V109" s="490">
        <v>0</v>
      </c>
      <c r="W109" s="490">
        <v>0</v>
      </c>
      <c r="X109" s="490">
        <v>0</v>
      </c>
      <c r="Y109" s="419">
        <f t="shared" si="64"/>
        <v>0</v>
      </c>
      <c r="Z109" s="420">
        <f t="shared" si="65"/>
        <v>0</v>
      </c>
      <c r="AA109" s="420">
        <v>0</v>
      </c>
      <c r="AB109" s="420">
        <v>0</v>
      </c>
      <c r="AC109" s="420">
        <f t="shared" si="66"/>
        <v>0</v>
      </c>
      <c r="AD109" s="419">
        <f t="shared" si="67"/>
        <v>-5.4</v>
      </c>
      <c r="AE109" s="419">
        <f t="shared" si="68"/>
        <v>0</v>
      </c>
      <c r="AF109" s="419">
        <f t="shared" si="69"/>
        <v>0</v>
      </c>
      <c r="AG109" s="454">
        <f t="shared" si="70"/>
        <v>0</v>
      </c>
      <c r="AH109" s="454">
        <f t="shared" si="92"/>
        <v>0</v>
      </c>
      <c r="AI109" s="421">
        <f t="shared" si="71"/>
        <v>0</v>
      </c>
      <c r="AJ109" s="421">
        <f t="shared" si="72"/>
        <v>0</v>
      </c>
      <c r="AK109" s="421">
        <f t="shared" si="73"/>
        <v>0</v>
      </c>
      <c r="AL109" s="472">
        <v>0</v>
      </c>
      <c r="AM109" s="422">
        <f t="shared" si="91"/>
        <v>0</v>
      </c>
      <c r="AN109" s="423">
        <f t="shared" si="75"/>
        <v>0</v>
      </c>
      <c r="AO109" s="421">
        <f t="shared" si="76"/>
        <v>0</v>
      </c>
      <c r="AP109" s="472">
        <v>0</v>
      </c>
      <c r="AQ109" s="472">
        <v>0</v>
      </c>
      <c r="AR109" s="472">
        <v>0</v>
      </c>
      <c r="AS109" s="475">
        <v>0</v>
      </c>
      <c r="AT109" s="475">
        <v>0</v>
      </c>
      <c r="AU109" s="475">
        <v>0</v>
      </c>
      <c r="AV109" s="454">
        <f t="shared" si="77"/>
        <v>0</v>
      </c>
      <c r="AW109" s="421">
        <f t="shared" si="78"/>
        <v>0</v>
      </c>
      <c r="AX109" s="455">
        <f t="shared" si="94"/>
        <v>1</v>
      </c>
      <c r="AY109" s="424">
        <f t="shared" si="79"/>
        <v>0</v>
      </c>
      <c r="AZ109" s="424">
        <f t="shared" si="80"/>
        <v>0</v>
      </c>
      <c r="BA109" s="424">
        <f t="shared" si="81"/>
        <v>0</v>
      </c>
      <c r="BB109" s="424">
        <f t="shared" si="82"/>
        <v>0</v>
      </c>
      <c r="BC109" s="424">
        <f t="shared" si="83"/>
        <v>-986248.39</v>
      </c>
      <c r="BD109" s="424">
        <f t="shared" si="84"/>
        <v>-986248.39</v>
      </c>
      <c r="BE109" s="452">
        <f t="shared" si="85"/>
        <v>-986248.39</v>
      </c>
      <c r="BF109" s="448">
        <f t="shared" si="86"/>
        <v>0</v>
      </c>
      <c r="BG109" s="456">
        <f t="shared" si="87"/>
        <v>0</v>
      </c>
      <c r="BH109" s="457">
        <f t="shared" si="53"/>
        <v>0</v>
      </c>
      <c r="BI109" s="407" t="s">
        <v>692</v>
      </c>
      <c r="BM109" s="429">
        <f>IF(BR109&gt;BR105,BM105,IF(BM105&lt;MiscData!$F$1,EOMONTH(BM105,1),EOMONTH(BM105,-11)))</f>
        <v>41729</v>
      </c>
      <c r="BN109" s="416" t="str">
        <f t="shared" si="54"/>
        <v>20140101KUCSR760</v>
      </c>
      <c r="BO109" s="427" t="str">
        <f t="shared" si="55"/>
        <v>20140101CSR10</v>
      </c>
      <c r="BP109" s="407">
        <f>IF(BM109&lt;=MiscData!$B$23,MiscData!$C$23,IF(BM109&lt;=MiscData!$B$24,MiscData!$C$24,MiscData!$C$25))</f>
        <v>20140101</v>
      </c>
      <c r="BQ109" s="407" t="str">
        <f>VLOOKUP(BR109,MiscData!$V$4:$W$42,2,FALSE)</f>
        <v>KUCSR760</v>
      </c>
      <c r="BR109" s="407">
        <f>IF(BR108=MiscData!$V$42,1,BR108+1)</f>
        <v>28</v>
      </c>
      <c r="BS109" s="407" t="str">
        <f>VLOOKUP(BQ109,MiscData!$W$4:$Y$42,3,FALSE)</f>
        <v>CSR10</v>
      </c>
    </row>
    <row r="110" spans="1:71" hidden="1">
      <c r="A110" s="416">
        <f>A106+1</f>
        <v>98</v>
      </c>
      <c r="B110" s="416" t="str">
        <f t="shared" si="49"/>
        <v>Mar 2014</v>
      </c>
      <c r="C110" s="416" t="s">
        <v>1459</v>
      </c>
      <c r="D110" s="417" t="str">
        <f t="shared" si="50"/>
        <v>CSR10</v>
      </c>
      <c r="E110" s="417" t="str">
        <f t="shared" si="51"/>
        <v>KUCSR761</v>
      </c>
      <c r="F110" s="418">
        <f t="shared" si="56"/>
        <v>1</v>
      </c>
      <c r="G110" s="467">
        <v>0</v>
      </c>
      <c r="H110" s="418">
        <v>0</v>
      </c>
      <c r="I110" s="418">
        <v>0</v>
      </c>
      <c r="J110" s="418">
        <v>0</v>
      </c>
      <c r="K110" s="418">
        <f t="shared" si="57"/>
        <v>0</v>
      </c>
      <c r="L110" s="459">
        <v>0</v>
      </c>
      <c r="M110" s="443">
        <f t="shared" si="58"/>
        <v>0</v>
      </c>
      <c r="N110" s="443">
        <f t="shared" si="59"/>
        <v>0</v>
      </c>
      <c r="O110" s="443">
        <f t="shared" si="60"/>
        <v>0</v>
      </c>
      <c r="P110" s="443">
        <f t="shared" si="61"/>
        <v>0</v>
      </c>
      <c r="Q110" s="443">
        <f t="shared" si="62"/>
        <v>0</v>
      </c>
      <c r="R110" s="443">
        <f t="shared" si="63"/>
        <v>0</v>
      </c>
      <c r="S110" s="484">
        <v>0</v>
      </c>
      <c r="T110" s="484">
        <v>0</v>
      </c>
      <c r="U110" s="484">
        <v>0</v>
      </c>
      <c r="V110" s="490">
        <v>0</v>
      </c>
      <c r="W110" s="490">
        <v>0</v>
      </c>
      <c r="X110" s="490">
        <v>0</v>
      </c>
      <c r="Y110" s="419">
        <f t="shared" si="64"/>
        <v>0</v>
      </c>
      <c r="Z110" s="420">
        <f t="shared" si="65"/>
        <v>0</v>
      </c>
      <c r="AA110" s="420">
        <v>0</v>
      </c>
      <c r="AB110" s="420">
        <v>0</v>
      </c>
      <c r="AC110" s="420">
        <f t="shared" si="66"/>
        <v>0</v>
      </c>
      <c r="AD110" s="419">
        <f t="shared" si="67"/>
        <v>-5.5</v>
      </c>
      <c r="AE110" s="419">
        <f t="shared" si="68"/>
        <v>0</v>
      </c>
      <c r="AF110" s="419">
        <f t="shared" si="69"/>
        <v>0</v>
      </c>
      <c r="AG110" s="454">
        <f t="shared" si="70"/>
        <v>0</v>
      </c>
      <c r="AH110" s="454">
        <f t="shared" si="92"/>
        <v>0</v>
      </c>
      <c r="AI110" s="421">
        <f t="shared" si="71"/>
        <v>0</v>
      </c>
      <c r="AJ110" s="421">
        <f t="shared" si="72"/>
        <v>0</v>
      </c>
      <c r="AK110" s="421">
        <f t="shared" si="73"/>
        <v>0</v>
      </c>
      <c r="AL110" s="472">
        <v>0</v>
      </c>
      <c r="AM110" s="422">
        <f t="shared" si="91"/>
        <v>0</v>
      </c>
      <c r="AN110" s="423">
        <f t="shared" si="75"/>
        <v>0</v>
      </c>
      <c r="AO110" s="421">
        <f t="shared" si="76"/>
        <v>0</v>
      </c>
      <c r="AP110" s="472">
        <v>0</v>
      </c>
      <c r="AQ110" s="472">
        <v>0</v>
      </c>
      <c r="AR110" s="472">
        <v>0</v>
      </c>
      <c r="AS110" s="475">
        <v>0</v>
      </c>
      <c r="AT110" s="475">
        <v>0</v>
      </c>
      <c r="AU110" s="475">
        <v>0</v>
      </c>
      <c r="AV110" s="454">
        <f t="shared" si="77"/>
        <v>0</v>
      </c>
      <c r="AW110" s="421">
        <f t="shared" si="78"/>
        <v>0</v>
      </c>
      <c r="AX110" s="455">
        <f t="shared" si="94"/>
        <v>1</v>
      </c>
      <c r="AY110" s="424">
        <f t="shared" si="79"/>
        <v>0</v>
      </c>
      <c r="AZ110" s="424">
        <f t="shared" si="80"/>
        <v>0</v>
      </c>
      <c r="BA110" s="424">
        <f t="shared" si="81"/>
        <v>0</v>
      </c>
      <c r="BB110" s="424">
        <f t="shared" si="82"/>
        <v>0</v>
      </c>
      <c r="BC110" s="424">
        <f t="shared" si="83"/>
        <v>-32627.83</v>
      </c>
      <c r="BD110" s="424">
        <f t="shared" si="84"/>
        <v>-32627.83</v>
      </c>
      <c r="BE110" s="452">
        <f t="shared" si="85"/>
        <v>-32627.83</v>
      </c>
      <c r="BF110" s="448">
        <f t="shared" si="86"/>
        <v>0</v>
      </c>
      <c r="BG110" s="456">
        <f t="shared" si="87"/>
        <v>0</v>
      </c>
      <c r="BH110" s="457">
        <f t="shared" si="53"/>
        <v>0</v>
      </c>
      <c r="BI110" s="407" t="s">
        <v>692</v>
      </c>
      <c r="BM110" s="429">
        <f>IF(BR110&gt;BR106,BM106,IF(BM106&lt;MiscData!$F$1,EOMONTH(BM106,1),EOMONTH(BM106,-11)))</f>
        <v>41729</v>
      </c>
      <c r="BN110" s="416" t="str">
        <f t="shared" si="54"/>
        <v>20140101KUCSR761</v>
      </c>
      <c r="BO110" s="427" t="str">
        <f t="shared" si="55"/>
        <v>20140101CSR10</v>
      </c>
      <c r="BP110" s="407">
        <f>IF(BM110&lt;=MiscData!$B$23,MiscData!$C$23,IF(BM110&lt;=MiscData!$B$24,MiscData!$C$24,MiscData!$C$25))</f>
        <v>20140101</v>
      </c>
      <c r="BQ110" s="407" t="str">
        <f>VLOOKUP(BR110,MiscData!$V$4:$W$42,2,FALSE)</f>
        <v>KUCSR761</v>
      </c>
      <c r="BR110" s="407">
        <f>IF(BR109=MiscData!$V$42,1,BR109+1)</f>
        <v>29</v>
      </c>
      <c r="BS110" s="407" t="str">
        <f>VLOOKUP(BQ110,MiscData!$W$4:$Y$42,3,FALSE)</f>
        <v>CSR10</v>
      </c>
    </row>
    <row r="111" spans="1:71" hidden="1">
      <c r="A111" s="416">
        <f>A107+1</f>
        <v>99</v>
      </c>
      <c r="B111" s="416" t="str">
        <f t="shared" si="49"/>
        <v>Mar 2014</v>
      </c>
      <c r="C111" s="416" t="s">
        <v>1460</v>
      </c>
      <c r="D111" s="417" t="str">
        <f t="shared" si="50"/>
        <v>CSR30</v>
      </c>
      <c r="E111" s="417" t="str">
        <f t="shared" si="51"/>
        <v>KUCSR780</v>
      </c>
      <c r="F111" s="418">
        <f t="shared" si="56"/>
        <v>0</v>
      </c>
      <c r="G111" s="467">
        <v>0</v>
      </c>
      <c r="H111" s="418">
        <v>0</v>
      </c>
      <c r="I111" s="418">
        <v>0</v>
      </c>
      <c r="J111" s="418">
        <v>0</v>
      </c>
      <c r="K111" s="418">
        <f t="shared" si="57"/>
        <v>0</v>
      </c>
      <c r="L111" s="459">
        <v>0</v>
      </c>
      <c r="M111" s="443">
        <f t="shared" si="58"/>
        <v>0</v>
      </c>
      <c r="N111" s="443">
        <f t="shared" si="59"/>
        <v>0</v>
      </c>
      <c r="O111" s="443">
        <f t="shared" si="60"/>
        <v>0</v>
      </c>
      <c r="P111" s="443">
        <f t="shared" si="61"/>
        <v>0</v>
      </c>
      <c r="Q111" s="443">
        <f t="shared" si="62"/>
        <v>0</v>
      </c>
      <c r="R111" s="443">
        <f t="shared" si="63"/>
        <v>0</v>
      </c>
      <c r="S111" s="484">
        <v>0</v>
      </c>
      <c r="T111" s="484">
        <v>0</v>
      </c>
      <c r="U111" s="484">
        <v>0</v>
      </c>
      <c r="V111" s="490">
        <v>0</v>
      </c>
      <c r="W111" s="490">
        <v>0</v>
      </c>
      <c r="X111" s="490">
        <v>0</v>
      </c>
      <c r="Y111" s="419">
        <f t="shared" si="64"/>
        <v>0</v>
      </c>
      <c r="Z111" s="420">
        <f t="shared" si="65"/>
        <v>0</v>
      </c>
      <c r="AA111" s="420">
        <v>0</v>
      </c>
      <c r="AB111" s="420">
        <v>0</v>
      </c>
      <c r="AC111" s="420">
        <f t="shared" si="66"/>
        <v>0</v>
      </c>
      <c r="AD111" s="419">
        <f t="shared" si="67"/>
        <v>-4.3</v>
      </c>
      <c r="AE111" s="419">
        <f t="shared" si="68"/>
        <v>0</v>
      </c>
      <c r="AF111" s="419">
        <f t="shared" si="69"/>
        <v>0</v>
      </c>
      <c r="AG111" s="454">
        <f t="shared" si="70"/>
        <v>0</v>
      </c>
      <c r="AH111" s="454">
        <f t="shared" si="92"/>
        <v>0</v>
      </c>
      <c r="AI111" s="421">
        <f t="shared" si="71"/>
        <v>0</v>
      </c>
      <c r="AJ111" s="421">
        <f t="shared" si="72"/>
        <v>0</v>
      </c>
      <c r="AK111" s="421">
        <f t="shared" si="73"/>
        <v>0</v>
      </c>
      <c r="AL111" s="472">
        <v>0</v>
      </c>
      <c r="AM111" s="422">
        <f t="shared" si="91"/>
        <v>0</v>
      </c>
      <c r="AN111" s="423">
        <f t="shared" si="75"/>
        <v>0</v>
      </c>
      <c r="AO111" s="421">
        <f t="shared" si="76"/>
        <v>0</v>
      </c>
      <c r="AP111" s="472">
        <v>0</v>
      </c>
      <c r="AQ111" s="472">
        <v>0</v>
      </c>
      <c r="AR111" s="472">
        <v>0</v>
      </c>
      <c r="AS111" s="475">
        <v>0</v>
      </c>
      <c r="AT111" s="475">
        <v>0</v>
      </c>
      <c r="AU111" s="475">
        <v>0</v>
      </c>
      <c r="AV111" s="454">
        <f t="shared" si="77"/>
        <v>0</v>
      </c>
      <c r="AW111" s="421">
        <f t="shared" si="78"/>
        <v>0</v>
      </c>
      <c r="AX111" s="455">
        <f t="shared" si="94"/>
        <v>1</v>
      </c>
      <c r="AY111" s="424">
        <f t="shared" si="79"/>
        <v>0</v>
      </c>
      <c r="AZ111" s="424">
        <f t="shared" si="80"/>
        <v>0</v>
      </c>
      <c r="BA111" s="424">
        <f t="shared" si="81"/>
        <v>0</v>
      </c>
      <c r="BB111" s="424">
        <f t="shared" si="82"/>
        <v>0</v>
      </c>
      <c r="BC111" s="424">
        <f t="shared" si="83"/>
        <v>0</v>
      </c>
      <c r="BD111" s="424">
        <f t="shared" si="84"/>
        <v>0</v>
      </c>
      <c r="BE111" s="452">
        <f t="shared" si="85"/>
        <v>0</v>
      </c>
      <c r="BF111" s="448">
        <f t="shared" si="86"/>
        <v>0</v>
      </c>
      <c r="BG111" s="456">
        <f t="shared" si="87"/>
        <v>0</v>
      </c>
      <c r="BH111" s="457">
        <f t="shared" si="53"/>
        <v>0</v>
      </c>
      <c r="BI111" s="407" t="s">
        <v>692</v>
      </c>
      <c r="BM111" s="429">
        <f>IF(BR111&gt;BR107,BM107,IF(BM107&lt;MiscData!$F$1,EOMONTH(BM107,1),EOMONTH(BM107,-11)))</f>
        <v>41729</v>
      </c>
      <c r="BN111" s="416" t="str">
        <f t="shared" si="54"/>
        <v>20140101KUCSR780</v>
      </c>
      <c r="BO111" s="427" t="str">
        <f t="shared" si="55"/>
        <v>20140101CSR30</v>
      </c>
      <c r="BP111" s="407">
        <f>IF(BM111&lt;=MiscData!$B$23,MiscData!$C$23,IF(BM111&lt;=MiscData!$B$24,MiscData!$C$24,MiscData!$C$25))</f>
        <v>20140101</v>
      </c>
      <c r="BQ111" s="407" t="str">
        <f>VLOOKUP(BR111,MiscData!$V$4:$W$42,2,FALSE)</f>
        <v>KUCSR780</v>
      </c>
      <c r="BR111" s="407">
        <f>IF(BR110=MiscData!$V$42,1,BR110+1)</f>
        <v>30</v>
      </c>
      <c r="BS111" s="407" t="str">
        <f>VLOOKUP(BQ111,MiscData!$W$4:$Y$42,3,FALSE)</f>
        <v>CSR30</v>
      </c>
    </row>
    <row r="112" spans="1:71" hidden="1">
      <c r="A112" s="416">
        <f>A108+1</f>
        <v>100</v>
      </c>
      <c r="B112" s="416" t="str">
        <f t="shared" si="49"/>
        <v>Mar 2014</v>
      </c>
      <c r="C112" s="416" t="s">
        <v>1460</v>
      </c>
      <c r="D112" s="417" t="str">
        <f t="shared" si="50"/>
        <v>CSR30</v>
      </c>
      <c r="E112" s="417" t="str">
        <f t="shared" si="51"/>
        <v>KUCSR781</v>
      </c>
      <c r="F112" s="418">
        <f t="shared" si="56"/>
        <v>1</v>
      </c>
      <c r="G112" s="467">
        <v>0</v>
      </c>
      <c r="H112" s="418">
        <v>0</v>
      </c>
      <c r="I112" s="418">
        <v>0</v>
      </c>
      <c r="J112" s="418">
        <v>0</v>
      </c>
      <c r="K112" s="418">
        <f t="shared" si="57"/>
        <v>0</v>
      </c>
      <c r="L112" s="459">
        <v>0</v>
      </c>
      <c r="M112" s="443">
        <f t="shared" si="58"/>
        <v>0</v>
      </c>
      <c r="N112" s="443">
        <f t="shared" si="59"/>
        <v>0</v>
      </c>
      <c r="O112" s="443">
        <f t="shared" si="60"/>
        <v>0</v>
      </c>
      <c r="P112" s="443">
        <f t="shared" si="61"/>
        <v>0</v>
      </c>
      <c r="Q112" s="443">
        <f t="shared" si="62"/>
        <v>0</v>
      </c>
      <c r="R112" s="443">
        <f t="shared" si="63"/>
        <v>0</v>
      </c>
      <c r="S112" s="484">
        <v>0</v>
      </c>
      <c r="T112" s="484">
        <v>0</v>
      </c>
      <c r="U112" s="484">
        <v>0</v>
      </c>
      <c r="V112" s="490">
        <v>0</v>
      </c>
      <c r="W112" s="490">
        <v>0</v>
      </c>
      <c r="X112" s="490">
        <v>0</v>
      </c>
      <c r="Y112" s="419">
        <f t="shared" si="64"/>
        <v>0</v>
      </c>
      <c r="Z112" s="420">
        <f t="shared" si="65"/>
        <v>0</v>
      </c>
      <c r="AA112" s="420">
        <v>0</v>
      </c>
      <c r="AB112" s="420">
        <v>0</v>
      </c>
      <c r="AC112" s="420">
        <f t="shared" si="66"/>
        <v>0</v>
      </c>
      <c r="AD112" s="419">
        <f t="shared" si="67"/>
        <v>-4.4000000000000004</v>
      </c>
      <c r="AE112" s="419">
        <f t="shared" si="68"/>
        <v>0</v>
      </c>
      <c r="AF112" s="419">
        <f t="shared" si="69"/>
        <v>0</v>
      </c>
      <c r="AG112" s="454">
        <f t="shared" si="70"/>
        <v>0</v>
      </c>
      <c r="AH112" s="454">
        <f t="shared" si="92"/>
        <v>0</v>
      </c>
      <c r="AI112" s="421">
        <f t="shared" si="71"/>
        <v>0</v>
      </c>
      <c r="AJ112" s="421">
        <f t="shared" si="72"/>
        <v>0</v>
      </c>
      <c r="AK112" s="421">
        <f t="shared" si="73"/>
        <v>0</v>
      </c>
      <c r="AL112" s="472">
        <v>0</v>
      </c>
      <c r="AM112" s="422">
        <f t="shared" si="91"/>
        <v>0</v>
      </c>
      <c r="AN112" s="423">
        <f t="shared" si="75"/>
        <v>0</v>
      </c>
      <c r="AO112" s="421">
        <f t="shared" si="76"/>
        <v>0</v>
      </c>
      <c r="AP112" s="472">
        <v>0</v>
      </c>
      <c r="AQ112" s="472">
        <v>0</v>
      </c>
      <c r="AR112" s="472">
        <v>0</v>
      </c>
      <c r="AS112" s="475">
        <v>0</v>
      </c>
      <c r="AT112" s="475">
        <v>0</v>
      </c>
      <c r="AU112" s="475">
        <v>0</v>
      </c>
      <c r="AV112" s="454">
        <f t="shared" si="77"/>
        <v>0</v>
      </c>
      <c r="AW112" s="421">
        <f t="shared" si="78"/>
        <v>0</v>
      </c>
      <c r="AX112" s="455">
        <f t="shared" si="94"/>
        <v>1</v>
      </c>
      <c r="AY112" s="424">
        <f t="shared" si="79"/>
        <v>0</v>
      </c>
      <c r="AZ112" s="424">
        <f t="shared" si="80"/>
        <v>0</v>
      </c>
      <c r="BA112" s="424">
        <f t="shared" si="81"/>
        <v>0</v>
      </c>
      <c r="BB112" s="424">
        <f t="shared" si="82"/>
        <v>0</v>
      </c>
      <c r="BC112" s="424">
        <f t="shared" si="83"/>
        <v>-22530.73</v>
      </c>
      <c r="BD112" s="424">
        <f t="shared" si="84"/>
        <v>-22530.73</v>
      </c>
      <c r="BE112" s="452">
        <f t="shared" si="85"/>
        <v>-22530.73</v>
      </c>
      <c r="BF112" s="448">
        <f t="shared" si="86"/>
        <v>0</v>
      </c>
      <c r="BG112" s="456">
        <f t="shared" si="87"/>
        <v>0</v>
      </c>
      <c r="BH112" s="457">
        <f t="shared" si="53"/>
        <v>0</v>
      </c>
      <c r="BI112" s="407" t="s">
        <v>692</v>
      </c>
      <c r="BM112" s="429">
        <f>IF(BR112&gt;BR108,BM108,IF(BM108&lt;MiscData!$F$1,EOMONTH(BM108,1),EOMONTH(BM108,-11)))</f>
        <v>41729</v>
      </c>
      <c r="BN112" s="416" t="str">
        <f t="shared" si="54"/>
        <v>20140101KUCSR781</v>
      </c>
      <c r="BO112" s="427" t="str">
        <f t="shared" si="55"/>
        <v>20140101CSR30</v>
      </c>
      <c r="BP112" s="407">
        <f>IF(BM112&lt;=MiscData!$B$23,MiscData!$C$23,IF(BM112&lt;=MiscData!$B$24,MiscData!$C$24,MiscData!$C$25))</f>
        <v>20140101</v>
      </c>
      <c r="BQ112" s="407" t="str">
        <f>VLOOKUP(BR112,MiscData!$V$4:$W$42,2,FALSE)</f>
        <v>KUCSR781</v>
      </c>
      <c r="BR112" s="407">
        <f>IF(BR111=MiscData!$V$42,1,BR111+1)</f>
        <v>31</v>
      </c>
      <c r="BS112" s="407" t="str">
        <f>VLOOKUP(BQ112,MiscData!$W$4:$Y$42,3,FALSE)</f>
        <v>CSR30</v>
      </c>
    </row>
    <row r="113" spans="1:72" hidden="1">
      <c r="A113" s="416">
        <f t="shared" ref="A113:A147" si="95">A112+1</f>
        <v>101</v>
      </c>
      <c r="B113" s="416" t="str">
        <f t="shared" si="49"/>
        <v>Mar 2014</v>
      </c>
      <c r="C113" s="416" t="s">
        <v>1460</v>
      </c>
      <c r="D113" s="417" t="str">
        <f t="shared" si="50"/>
        <v>CSR30</v>
      </c>
      <c r="E113" s="417" t="str">
        <f t="shared" si="51"/>
        <v>KUCSR783</v>
      </c>
      <c r="F113" s="418">
        <f t="shared" si="56"/>
        <v>1</v>
      </c>
      <c r="G113" s="467">
        <v>0</v>
      </c>
      <c r="H113" s="418">
        <v>0</v>
      </c>
      <c r="I113" s="418">
        <v>0</v>
      </c>
      <c r="J113" s="418">
        <v>0</v>
      </c>
      <c r="K113" s="418">
        <f t="shared" si="57"/>
        <v>0</v>
      </c>
      <c r="L113" s="459">
        <v>0</v>
      </c>
      <c r="M113" s="443">
        <f t="shared" si="58"/>
        <v>0</v>
      </c>
      <c r="N113" s="443">
        <f t="shared" si="59"/>
        <v>0</v>
      </c>
      <c r="O113" s="443">
        <f t="shared" si="60"/>
        <v>0</v>
      </c>
      <c r="P113" s="443">
        <f t="shared" si="61"/>
        <v>0</v>
      </c>
      <c r="Q113" s="443">
        <f t="shared" si="62"/>
        <v>0</v>
      </c>
      <c r="R113" s="443">
        <f t="shared" si="63"/>
        <v>0</v>
      </c>
      <c r="S113" s="484">
        <v>0</v>
      </c>
      <c r="T113" s="484">
        <v>0</v>
      </c>
      <c r="U113" s="484">
        <v>0</v>
      </c>
      <c r="V113" s="490">
        <v>0</v>
      </c>
      <c r="W113" s="490">
        <v>0</v>
      </c>
      <c r="X113" s="490">
        <v>0</v>
      </c>
      <c r="Y113" s="419">
        <f t="shared" si="64"/>
        <v>0</v>
      </c>
      <c r="Z113" s="420">
        <f t="shared" si="65"/>
        <v>0</v>
      </c>
      <c r="AA113" s="420">
        <v>0</v>
      </c>
      <c r="AB113" s="420">
        <v>0</v>
      </c>
      <c r="AC113" s="420">
        <f t="shared" si="66"/>
        <v>0</v>
      </c>
      <c r="AD113" s="419">
        <f t="shared" si="67"/>
        <v>-4.4000000000000004</v>
      </c>
      <c r="AE113" s="419">
        <f t="shared" si="68"/>
        <v>0</v>
      </c>
      <c r="AF113" s="419">
        <f t="shared" si="69"/>
        <v>0</v>
      </c>
      <c r="AG113" s="454">
        <f t="shared" si="70"/>
        <v>0</v>
      </c>
      <c r="AH113" s="454">
        <f t="shared" si="92"/>
        <v>0</v>
      </c>
      <c r="AI113" s="421">
        <f t="shared" si="71"/>
        <v>0</v>
      </c>
      <c r="AJ113" s="421">
        <f t="shared" si="72"/>
        <v>0</v>
      </c>
      <c r="AK113" s="421">
        <f t="shared" si="73"/>
        <v>0</v>
      </c>
      <c r="AL113" s="472">
        <v>0</v>
      </c>
      <c r="AM113" s="422">
        <f t="shared" si="91"/>
        <v>0</v>
      </c>
      <c r="AN113" s="423">
        <f t="shared" si="75"/>
        <v>0</v>
      </c>
      <c r="AO113" s="421">
        <f t="shared" si="76"/>
        <v>0</v>
      </c>
      <c r="AP113" s="472">
        <v>0</v>
      </c>
      <c r="AQ113" s="472">
        <v>0</v>
      </c>
      <c r="AR113" s="472">
        <v>0</v>
      </c>
      <c r="AS113" s="475">
        <v>0</v>
      </c>
      <c r="AT113" s="475">
        <v>0</v>
      </c>
      <c r="AU113" s="475">
        <v>0</v>
      </c>
      <c r="AV113" s="454">
        <f t="shared" si="77"/>
        <v>0</v>
      </c>
      <c r="AW113" s="421">
        <f t="shared" si="78"/>
        <v>0</v>
      </c>
      <c r="AX113" s="455">
        <f t="shared" si="94"/>
        <v>1</v>
      </c>
      <c r="AY113" s="424">
        <f t="shared" si="79"/>
        <v>0</v>
      </c>
      <c r="AZ113" s="424">
        <f t="shared" si="80"/>
        <v>0</v>
      </c>
      <c r="BA113" s="424">
        <f t="shared" si="81"/>
        <v>0</v>
      </c>
      <c r="BB113" s="424">
        <f t="shared" si="82"/>
        <v>0</v>
      </c>
      <c r="BC113" s="424">
        <f t="shared" si="83"/>
        <v>-8800</v>
      </c>
      <c r="BD113" s="424">
        <f t="shared" si="84"/>
        <v>-8800</v>
      </c>
      <c r="BE113" s="452">
        <f t="shared" si="85"/>
        <v>-8800</v>
      </c>
      <c r="BF113" s="448">
        <f t="shared" si="86"/>
        <v>0</v>
      </c>
      <c r="BG113" s="456">
        <f t="shared" si="87"/>
        <v>0</v>
      </c>
      <c r="BH113" s="457">
        <f t="shared" si="53"/>
        <v>0</v>
      </c>
      <c r="BI113" s="407" t="s">
        <v>692</v>
      </c>
      <c r="BM113" s="429">
        <f>IF(BR113&gt;BR112,BM112,IF(BM112&lt;MiscData!$F$1,EOMONTH(BM112,1),EOMONTH(BM112,-11)))</f>
        <v>41729</v>
      </c>
      <c r="BN113" s="416" t="str">
        <f t="shared" si="54"/>
        <v>20140101KUCSR783</v>
      </c>
      <c r="BO113" s="427" t="str">
        <f t="shared" si="55"/>
        <v>20140101CSR30</v>
      </c>
      <c r="BP113" s="407">
        <f>IF(BM113&lt;=MiscData!$B$23,MiscData!$C$23,IF(BM113&lt;=MiscData!$B$24,MiscData!$C$24,MiscData!$C$25))</f>
        <v>20140101</v>
      </c>
      <c r="BQ113" s="407" t="str">
        <f>VLOOKUP(BR113,MiscData!$V$4:$W$42,2,FALSE)</f>
        <v>KUCSR783</v>
      </c>
      <c r="BR113" s="407">
        <f>IF(BR112=MiscData!$V$42,1,BR112+1)</f>
        <v>32</v>
      </c>
      <c r="BS113" s="407" t="str">
        <f>VLOOKUP(BQ113,MiscData!$W$4:$Y$42,3,FALSE)</f>
        <v>CSR30</v>
      </c>
    </row>
    <row r="114" spans="1:72" hidden="1">
      <c r="A114" s="416">
        <f t="shared" si="95"/>
        <v>102</v>
      </c>
      <c r="B114" s="416" t="str">
        <f t="shared" si="49"/>
        <v>Mar 2014</v>
      </c>
      <c r="C114" s="837" t="s">
        <v>675</v>
      </c>
      <c r="D114" s="417" t="str">
        <f t="shared" si="50"/>
        <v>FLST</v>
      </c>
      <c r="E114" s="417" t="str">
        <f t="shared" si="51"/>
        <v>KUINE730</v>
      </c>
      <c r="F114" s="418">
        <f t="shared" si="56"/>
        <v>1</v>
      </c>
      <c r="G114" s="467">
        <v>0</v>
      </c>
      <c r="H114" s="418">
        <v>0</v>
      </c>
      <c r="I114" s="418">
        <v>0</v>
      </c>
      <c r="J114" s="418">
        <v>0</v>
      </c>
      <c r="K114" s="418">
        <f t="shared" si="57"/>
        <v>50976000</v>
      </c>
      <c r="L114" s="459">
        <v>0</v>
      </c>
      <c r="M114" s="443">
        <f t="shared" si="58"/>
        <v>186638.7</v>
      </c>
      <c r="N114" s="443">
        <f t="shared" si="59"/>
        <v>186638.7</v>
      </c>
      <c r="O114" s="443">
        <f t="shared" si="60"/>
        <v>77936.899999999994</v>
      </c>
      <c r="P114" s="443">
        <f t="shared" si="61"/>
        <v>186638.7</v>
      </c>
      <c r="Q114" s="443">
        <f t="shared" si="62"/>
        <v>186638.7</v>
      </c>
      <c r="R114" s="443">
        <f t="shared" si="63"/>
        <v>77936.899999999994</v>
      </c>
      <c r="S114" s="484">
        <v>0</v>
      </c>
      <c r="T114" s="484">
        <v>0</v>
      </c>
      <c r="U114" s="484">
        <v>0</v>
      </c>
      <c r="V114" s="490">
        <v>0</v>
      </c>
      <c r="W114" s="490">
        <v>0</v>
      </c>
      <c r="X114" s="490">
        <v>0</v>
      </c>
      <c r="Y114" s="419">
        <f t="shared" si="64"/>
        <v>750</v>
      </c>
      <c r="Z114" s="420">
        <f t="shared" si="65"/>
        <v>3.261E-2</v>
      </c>
      <c r="AA114" s="420">
        <v>0</v>
      </c>
      <c r="AB114" s="420">
        <v>0</v>
      </c>
      <c r="AC114" s="420">
        <f t="shared" si="66"/>
        <v>2.8920000000000001E-2</v>
      </c>
      <c r="AD114" s="419">
        <f t="shared" si="67"/>
        <v>1.05</v>
      </c>
      <c r="AE114" s="419">
        <f t="shared" si="68"/>
        <v>1.52</v>
      </c>
      <c r="AF114" s="419">
        <f t="shared" si="69"/>
        <v>2.41</v>
      </c>
      <c r="AG114" s="454">
        <f t="shared" si="70"/>
        <v>750</v>
      </c>
      <c r="AH114" s="454">
        <f t="shared" si="92"/>
        <v>1662327.36</v>
      </c>
      <c r="AI114" s="421">
        <f t="shared" si="71"/>
        <v>195970.64</v>
      </c>
      <c r="AJ114" s="421">
        <f t="shared" si="72"/>
        <v>283690.82</v>
      </c>
      <c r="AK114" s="421">
        <f t="shared" si="73"/>
        <v>187827.93</v>
      </c>
      <c r="AL114" s="472">
        <v>0</v>
      </c>
      <c r="AM114" s="422">
        <f t="shared" si="91"/>
        <v>0</v>
      </c>
      <c r="AN114" s="423">
        <f t="shared" si="75"/>
        <v>0</v>
      </c>
      <c r="AO114" s="421">
        <f t="shared" si="76"/>
        <v>667489.39</v>
      </c>
      <c r="AP114" s="472">
        <v>0</v>
      </c>
      <c r="AQ114" s="472">
        <v>0</v>
      </c>
      <c r="AR114" s="472">
        <v>0</v>
      </c>
      <c r="AS114" s="475">
        <v>0</v>
      </c>
      <c r="AT114" s="475">
        <v>0</v>
      </c>
      <c r="AU114" s="475">
        <v>0</v>
      </c>
      <c r="AV114" s="454">
        <f t="shared" si="77"/>
        <v>2330566.75</v>
      </c>
      <c r="AW114" s="421">
        <f t="shared" si="78"/>
        <v>2330566.75</v>
      </c>
      <c r="AX114" s="455">
        <f t="shared" si="94"/>
        <v>1</v>
      </c>
      <c r="AY114" s="424">
        <f t="shared" si="79"/>
        <v>159045.12</v>
      </c>
      <c r="AZ114" s="424">
        <f t="shared" si="80"/>
        <v>0</v>
      </c>
      <c r="BA114" s="424">
        <f t="shared" si="81"/>
        <v>23720.639999999999</v>
      </c>
      <c r="BB114" s="424">
        <f t="shared" si="82"/>
        <v>0</v>
      </c>
      <c r="BC114" s="424">
        <f t="shared" si="83"/>
        <v>0</v>
      </c>
      <c r="BD114" s="424">
        <f t="shared" si="84"/>
        <v>2513332.5099999998</v>
      </c>
      <c r="BE114" s="452">
        <f t="shared" si="85"/>
        <v>2513332.5100000002</v>
      </c>
      <c r="BF114" s="448">
        <f t="shared" si="86"/>
        <v>0</v>
      </c>
      <c r="BG114" s="456">
        <f t="shared" si="87"/>
        <v>1474225.92</v>
      </c>
      <c r="BH114" s="457">
        <f t="shared" si="53"/>
        <v>188101.44000000018</v>
      </c>
      <c r="BI114" s="407" t="s">
        <v>692</v>
      </c>
      <c r="BM114" s="429">
        <f>IF(BR114&gt;BR113,BM113,IF(BM113&lt;MiscData!$F$1,EOMONTH(BM113,1),EOMONTH(BM113,-11)))</f>
        <v>41729</v>
      </c>
      <c r="BN114" s="416" t="str">
        <f t="shared" si="54"/>
        <v>20140101KUINE730</v>
      </c>
      <c r="BO114" s="427" t="str">
        <f t="shared" si="55"/>
        <v>20140101FLST</v>
      </c>
      <c r="BP114" s="407">
        <f>IF(BM114&lt;=MiscData!$B$23,MiscData!$C$23,IF(BM114&lt;=MiscData!$B$24,MiscData!$C$24,MiscData!$C$25))</f>
        <v>20140101</v>
      </c>
      <c r="BQ114" s="407" t="str">
        <f>VLOOKUP(BR114,MiscData!$V$4:$W$42,2,FALSE)</f>
        <v>KUINE730</v>
      </c>
      <c r="BR114" s="407">
        <f>IF(BR113=MiscData!$V$42,1,BR113+1)</f>
        <v>33</v>
      </c>
      <c r="BS114" s="407" t="str">
        <f>VLOOKUP(BQ114,MiscData!$W$4:$Y$42,3,FALSE)</f>
        <v>FLST</v>
      </c>
    </row>
    <row r="115" spans="1:72" hidden="1">
      <c r="A115" s="416">
        <f t="shared" si="95"/>
        <v>103</v>
      </c>
      <c r="B115" s="416" t="str">
        <f t="shared" si="49"/>
        <v>Mar 2014</v>
      </c>
      <c r="C115" s="416" t="s">
        <v>15</v>
      </c>
      <c r="D115" s="417" t="str">
        <f t="shared" si="50"/>
        <v>RS</v>
      </c>
      <c r="E115" s="417" t="str">
        <f t="shared" si="51"/>
        <v>KURSE010</v>
      </c>
      <c r="F115" s="418">
        <f t="shared" si="56"/>
        <v>229375</v>
      </c>
      <c r="G115" s="467">
        <v>-439</v>
      </c>
      <c r="H115" s="418">
        <v>0</v>
      </c>
      <c r="I115" s="418">
        <v>0</v>
      </c>
      <c r="J115" s="418">
        <v>0</v>
      </c>
      <c r="K115" s="418">
        <f t="shared" si="57"/>
        <v>267454258</v>
      </c>
      <c r="L115" s="481">
        <v>0</v>
      </c>
      <c r="M115" s="443">
        <f t="shared" si="58"/>
        <v>0</v>
      </c>
      <c r="N115" s="443">
        <f t="shared" si="59"/>
        <v>0</v>
      </c>
      <c r="O115" s="443">
        <f t="shared" si="60"/>
        <v>0</v>
      </c>
      <c r="P115" s="443">
        <f t="shared" si="61"/>
        <v>0</v>
      </c>
      <c r="Q115" s="443">
        <f t="shared" si="62"/>
        <v>0</v>
      </c>
      <c r="R115" s="443">
        <f t="shared" si="63"/>
        <v>0</v>
      </c>
      <c r="S115" s="484">
        <v>0</v>
      </c>
      <c r="T115" s="484">
        <v>0</v>
      </c>
      <c r="U115" s="484">
        <v>0</v>
      </c>
      <c r="V115" s="490">
        <v>0</v>
      </c>
      <c r="W115" s="490">
        <v>0</v>
      </c>
      <c r="X115" s="490">
        <v>0</v>
      </c>
      <c r="Y115" s="419">
        <f t="shared" si="64"/>
        <v>10.75</v>
      </c>
      <c r="Z115" s="420">
        <f t="shared" si="65"/>
        <v>7.7439999999999995E-2</v>
      </c>
      <c r="AA115" s="420">
        <v>0</v>
      </c>
      <c r="AB115" s="420">
        <v>0</v>
      </c>
      <c r="AC115" s="420">
        <f t="shared" si="66"/>
        <v>2.8920000000000001E-2</v>
      </c>
      <c r="AD115" s="419">
        <f t="shared" si="67"/>
        <v>0</v>
      </c>
      <c r="AE115" s="419">
        <f t="shared" si="68"/>
        <v>0</v>
      </c>
      <c r="AF115" s="419">
        <f t="shared" si="69"/>
        <v>0</v>
      </c>
      <c r="AG115" s="454">
        <f t="shared" si="70"/>
        <v>2461062</v>
      </c>
      <c r="AH115" s="454">
        <f t="shared" si="92"/>
        <v>20711657.739999998</v>
      </c>
      <c r="AI115" s="421">
        <f t="shared" si="71"/>
        <v>0</v>
      </c>
      <c r="AJ115" s="421">
        <f t="shared" si="72"/>
        <v>0</v>
      </c>
      <c r="AK115" s="421">
        <f t="shared" si="73"/>
        <v>0</v>
      </c>
      <c r="AL115" s="482">
        <v>0</v>
      </c>
      <c r="AM115" s="422">
        <f t="shared" si="91"/>
        <v>0</v>
      </c>
      <c r="AN115" s="423">
        <f t="shared" si="75"/>
        <v>0</v>
      </c>
      <c r="AO115" s="421">
        <f t="shared" si="76"/>
        <v>0</v>
      </c>
      <c r="AP115" s="472">
        <v>-5571.43</v>
      </c>
      <c r="AQ115" s="472">
        <v>-1237.3499999999999</v>
      </c>
      <c r="AR115" s="472">
        <v>0</v>
      </c>
      <c r="AS115" s="475">
        <v>0</v>
      </c>
      <c r="AT115" s="475">
        <v>0</v>
      </c>
      <c r="AU115" s="475">
        <v>0</v>
      </c>
      <c r="AV115" s="454">
        <f t="shared" si="77"/>
        <v>23165910.959999997</v>
      </c>
      <c r="AW115" s="421">
        <f t="shared" si="78"/>
        <v>23165910.960000001</v>
      </c>
      <c r="AX115" s="455">
        <f t="shared" si="94"/>
        <v>1.0000000000000002</v>
      </c>
      <c r="AY115" s="424">
        <f t="shared" si="79"/>
        <v>833458.87</v>
      </c>
      <c r="AZ115" s="424">
        <f t="shared" si="80"/>
        <v>933244.21</v>
      </c>
      <c r="BA115" s="424">
        <f t="shared" si="81"/>
        <v>399695.69</v>
      </c>
      <c r="BB115" s="424">
        <f t="shared" si="82"/>
        <v>0.02</v>
      </c>
      <c r="BC115" s="424">
        <f t="shared" si="83"/>
        <v>0</v>
      </c>
      <c r="BD115" s="424">
        <f t="shared" si="84"/>
        <v>25332309.75</v>
      </c>
      <c r="BE115" s="452">
        <f t="shared" si="85"/>
        <v>25332309.75</v>
      </c>
      <c r="BF115" s="448">
        <f t="shared" si="86"/>
        <v>0</v>
      </c>
      <c r="BG115" s="456">
        <f t="shared" si="87"/>
        <v>7734777.1399999997</v>
      </c>
      <c r="BH115" s="457">
        <f t="shared" si="53"/>
        <v>12975643.249999996</v>
      </c>
      <c r="BI115" s="407" t="s">
        <v>692</v>
      </c>
      <c r="BM115" s="429">
        <f>IF(BR115&gt;BR114,BM114,IF(BM114&lt;MiscData!$F$1,EOMONTH(BM114,1),EOMONTH(BM114,-11)))</f>
        <v>41729</v>
      </c>
      <c r="BN115" s="416" t="str">
        <f t="shared" si="54"/>
        <v>20140101KURSE010</v>
      </c>
      <c r="BO115" s="427" t="str">
        <f t="shared" si="55"/>
        <v>20140101RS</v>
      </c>
      <c r="BP115" s="407">
        <f>IF(BM115&lt;=MiscData!$B$23,MiscData!$C$23,IF(BM115&lt;=MiscData!$B$24,MiscData!$C$24,MiscData!$C$25))</f>
        <v>20140101</v>
      </c>
      <c r="BQ115" s="407" t="str">
        <f>VLOOKUP(BR115,MiscData!$V$4:$W$42,2,FALSE)</f>
        <v>KURSE010</v>
      </c>
      <c r="BR115" s="407">
        <f>IF(BR114=MiscData!$V$42,1,BR114+1)</f>
        <v>34</v>
      </c>
      <c r="BS115" s="407" t="str">
        <f>VLOOKUP(BQ115,MiscData!$W$4:$Y$42,3,FALSE)</f>
        <v>RS</v>
      </c>
    </row>
    <row r="116" spans="1:72" hidden="1">
      <c r="A116" s="416">
        <f t="shared" si="95"/>
        <v>104</v>
      </c>
      <c r="B116" s="416" t="str">
        <f t="shared" si="49"/>
        <v>Mar 2014</v>
      </c>
      <c r="C116" s="416" t="s">
        <v>15</v>
      </c>
      <c r="D116" s="417" t="str">
        <f t="shared" si="50"/>
        <v>RS</v>
      </c>
      <c r="E116" s="417" t="str">
        <f t="shared" si="51"/>
        <v>KURSE020</v>
      </c>
      <c r="F116" s="418">
        <f t="shared" si="56"/>
        <v>195391</v>
      </c>
      <c r="G116" s="467">
        <v>-671</v>
      </c>
      <c r="H116" s="418">
        <v>0</v>
      </c>
      <c r="I116" s="418">
        <v>0</v>
      </c>
      <c r="J116" s="418">
        <v>0</v>
      </c>
      <c r="K116" s="418">
        <f t="shared" si="57"/>
        <v>389789599</v>
      </c>
      <c r="L116" s="481">
        <v>0</v>
      </c>
      <c r="M116" s="443">
        <f t="shared" si="58"/>
        <v>0</v>
      </c>
      <c r="N116" s="443">
        <f t="shared" si="59"/>
        <v>0</v>
      </c>
      <c r="O116" s="443">
        <f t="shared" si="60"/>
        <v>0</v>
      </c>
      <c r="P116" s="443">
        <f t="shared" si="61"/>
        <v>0</v>
      </c>
      <c r="Q116" s="443">
        <f t="shared" si="62"/>
        <v>0</v>
      </c>
      <c r="R116" s="443">
        <f t="shared" si="63"/>
        <v>0</v>
      </c>
      <c r="S116" s="484">
        <v>0</v>
      </c>
      <c r="T116" s="484">
        <v>0</v>
      </c>
      <c r="U116" s="484">
        <v>0</v>
      </c>
      <c r="V116" s="490">
        <v>0</v>
      </c>
      <c r="W116" s="490">
        <v>0</v>
      </c>
      <c r="X116" s="490">
        <v>0</v>
      </c>
      <c r="Y116" s="419">
        <f t="shared" si="64"/>
        <v>10.75</v>
      </c>
      <c r="Z116" s="420">
        <f t="shared" si="65"/>
        <v>7.7439999999999995E-2</v>
      </c>
      <c r="AA116" s="420">
        <v>0</v>
      </c>
      <c r="AB116" s="420">
        <v>0</v>
      </c>
      <c r="AC116" s="420">
        <f t="shared" si="66"/>
        <v>2.8920000000000001E-2</v>
      </c>
      <c r="AD116" s="419">
        <f t="shared" si="67"/>
        <v>0</v>
      </c>
      <c r="AE116" s="419">
        <f t="shared" si="68"/>
        <v>0</v>
      </c>
      <c r="AF116" s="419">
        <f t="shared" si="69"/>
        <v>0</v>
      </c>
      <c r="AG116" s="454">
        <f t="shared" si="70"/>
        <v>2093240</v>
      </c>
      <c r="AH116" s="454">
        <f t="shared" si="92"/>
        <v>30185306.550000001</v>
      </c>
      <c r="AI116" s="421">
        <f t="shared" si="71"/>
        <v>0</v>
      </c>
      <c r="AJ116" s="421">
        <f t="shared" si="72"/>
        <v>0</v>
      </c>
      <c r="AK116" s="421">
        <f t="shared" si="73"/>
        <v>0</v>
      </c>
      <c r="AL116" s="482">
        <v>0</v>
      </c>
      <c r="AM116" s="422">
        <f t="shared" si="91"/>
        <v>0</v>
      </c>
      <c r="AN116" s="423">
        <f t="shared" si="75"/>
        <v>0</v>
      </c>
      <c r="AO116" s="421">
        <f t="shared" si="76"/>
        <v>0</v>
      </c>
      <c r="AP116" s="472">
        <v>-6865.85</v>
      </c>
      <c r="AQ116" s="472">
        <v>-65.959999999999994</v>
      </c>
      <c r="AR116" s="472">
        <v>0</v>
      </c>
      <c r="AS116" s="475">
        <v>0</v>
      </c>
      <c r="AT116" s="475">
        <v>0</v>
      </c>
      <c r="AU116" s="475">
        <v>0</v>
      </c>
      <c r="AV116" s="454">
        <f t="shared" si="77"/>
        <v>32271614.739999998</v>
      </c>
      <c r="AW116" s="421">
        <f t="shared" si="78"/>
        <v>32271614.739999998</v>
      </c>
      <c r="AX116" s="455">
        <f t="shared" si="94"/>
        <v>1</v>
      </c>
      <c r="AY116" s="424">
        <f t="shared" si="79"/>
        <v>1211791.57</v>
      </c>
      <c r="AZ116" s="424">
        <f t="shared" si="80"/>
        <v>1360354.12</v>
      </c>
      <c r="BA116" s="424">
        <f t="shared" si="81"/>
        <v>560708.9</v>
      </c>
      <c r="BB116" s="424">
        <f t="shared" si="82"/>
        <v>0</v>
      </c>
      <c r="BC116" s="424">
        <f t="shared" si="83"/>
        <v>0</v>
      </c>
      <c r="BD116" s="424">
        <f t="shared" si="84"/>
        <v>35404469.329999998</v>
      </c>
      <c r="BE116" s="452">
        <f t="shared" si="85"/>
        <v>35404469.329999998</v>
      </c>
      <c r="BF116" s="448">
        <f t="shared" si="86"/>
        <v>0</v>
      </c>
      <c r="BG116" s="456">
        <f t="shared" si="87"/>
        <v>11272715.199999999</v>
      </c>
      <c r="BH116" s="457">
        <f t="shared" si="53"/>
        <v>18912525.390000001</v>
      </c>
      <c r="BI116" s="407" t="s">
        <v>692</v>
      </c>
      <c r="BM116" s="429">
        <f>IF(BR116&gt;BR115,BM115,IF(BM115&lt;MiscData!$F$1,EOMONTH(BM115,1),EOMONTH(BM115,-11)))</f>
        <v>41729</v>
      </c>
      <c r="BN116" s="416" t="str">
        <f t="shared" si="54"/>
        <v>20140101KURSE020</v>
      </c>
      <c r="BO116" s="427" t="str">
        <f t="shared" si="55"/>
        <v>20140101RS</v>
      </c>
      <c r="BP116" s="407">
        <f>IF(BM116&lt;=MiscData!$B$23,MiscData!$C$23,IF(BM116&lt;=MiscData!$B$24,MiscData!$C$24,MiscData!$C$25))</f>
        <v>20140101</v>
      </c>
      <c r="BQ116" s="407" t="str">
        <f>VLOOKUP(BR116,MiscData!$V$4:$W$42,2,FALSE)</f>
        <v>KURSE020</v>
      </c>
      <c r="BR116" s="407">
        <f>IF(BR115=MiscData!$V$42,1,BR115+1)</f>
        <v>35</v>
      </c>
      <c r="BS116" s="407" t="str">
        <f>VLOOKUP(BQ116,MiscData!$W$4:$Y$42,3,FALSE)</f>
        <v>RS</v>
      </c>
    </row>
    <row r="117" spans="1:72" hidden="1">
      <c r="A117" s="416">
        <f t="shared" si="95"/>
        <v>105</v>
      </c>
      <c r="B117" s="416" t="str">
        <f t="shared" si="49"/>
        <v>Mar 2014</v>
      </c>
      <c r="C117" s="416" t="s">
        <v>15</v>
      </c>
      <c r="D117" s="417" t="str">
        <f t="shared" si="50"/>
        <v>RS</v>
      </c>
      <c r="E117" s="417" t="str">
        <f t="shared" si="51"/>
        <v>KURSE025</v>
      </c>
      <c r="F117" s="418">
        <f t="shared" si="56"/>
        <v>247</v>
      </c>
      <c r="G117" s="467">
        <v>-3</v>
      </c>
      <c r="H117" s="418">
        <v>0</v>
      </c>
      <c r="I117" s="418">
        <v>0</v>
      </c>
      <c r="J117" s="418">
        <v>0</v>
      </c>
      <c r="K117" s="418">
        <f t="shared" si="57"/>
        <v>547519</v>
      </c>
      <c r="L117" s="481">
        <v>0</v>
      </c>
      <c r="M117" s="443">
        <f t="shared" si="58"/>
        <v>0</v>
      </c>
      <c r="N117" s="443">
        <f t="shared" si="59"/>
        <v>0</v>
      </c>
      <c r="O117" s="443">
        <f t="shared" si="60"/>
        <v>0</v>
      </c>
      <c r="P117" s="443">
        <f t="shared" si="61"/>
        <v>0</v>
      </c>
      <c r="Q117" s="443">
        <f t="shared" si="62"/>
        <v>0</v>
      </c>
      <c r="R117" s="443">
        <f t="shared" si="63"/>
        <v>0</v>
      </c>
      <c r="S117" s="484">
        <v>0</v>
      </c>
      <c r="T117" s="484">
        <v>0</v>
      </c>
      <c r="U117" s="484">
        <v>0</v>
      </c>
      <c r="V117" s="490">
        <v>0</v>
      </c>
      <c r="W117" s="490">
        <v>0</v>
      </c>
      <c r="X117" s="490">
        <v>0</v>
      </c>
      <c r="Y117" s="419">
        <f t="shared" si="64"/>
        <v>10.75</v>
      </c>
      <c r="Z117" s="420">
        <f t="shared" si="65"/>
        <v>7.7439999999999995E-2</v>
      </c>
      <c r="AA117" s="420">
        <v>0</v>
      </c>
      <c r="AB117" s="420">
        <v>0</v>
      </c>
      <c r="AC117" s="420">
        <f t="shared" si="66"/>
        <v>2.8920000000000001E-2</v>
      </c>
      <c r="AD117" s="419">
        <f t="shared" si="67"/>
        <v>0</v>
      </c>
      <c r="AE117" s="419">
        <f t="shared" si="68"/>
        <v>0</v>
      </c>
      <c r="AF117" s="419">
        <f t="shared" si="69"/>
        <v>0</v>
      </c>
      <c r="AG117" s="454">
        <f t="shared" si="70"/>
        <v>2623</v>
      </c>
      <c r="AH117" s="454">
        <f t="shared" si="92"/>
        <v>42399.87</v>
      </c>
      <c r="AI117" s="421">
        <f t="shared" si="71"/>
        <v>0</v>
      </c>
      <c r="AJ117" s="421">
        <f t="shared" si="72"/>
        <v>0</v>
      </c>
      <c r="AK117" s="421">
        <f t="shared" si="73"/>
        <v>0</v>
      </c>
      <c r="AL117" s="482">
        <v>0</v>
      </c>
      <c r="AM117" s="422">
        <f t="shared" si="91"/>
        <v>0</v>
      </c>
      <c r="AN117" s="423">
        <f t="shared" si="75"/>
        <v>0</v>
      </c>
      <c r="AO117" s="421">
        <f t="shared" si="76"/>
        <v>0</v>
      </c>
      <c r="AP117" s="472">
        <v>39.799999999999997</v>
      </c>
      <c r="AQ117" s="472">
        <v>-0.05</v>
      </c>
      <c r="AR117" s="472">
        <v>0</v>
      </c>
      <c r="AS117" s="475">
        <v>0</v>
      </c>
      <c r="AT117" s="475">
        <v>0</v>
      </c>
      <c r="AU117" s="475">
        <v>0</v>
      </c>
      <c r="AV117" s="454">
        <f t="shared" si="77"/>
        <v>45062.62</v>
      </c>
      <c r="AW117" s="421">
        <f t="shared" si="78"/>
        <v>45062.62</v>
      </c>
      <c r="AX117" s="455">
        <f t="shared" si="94"/>
        <v>1</v>
      </c>
      <c r="AY117" s="424">
        <f t="shared" si="79"/>
        <v>1474.96</v>
      </c>
      <c r="AZ117" s="424">
        <f t="shared" si="80"/>
        <v>1910.82</v>
      </c>
      <c r="BA117" s="424">
        <f t="shared" si="81"/>
        <v>940.79</v>
      </c>
      <c r="BB117" s="424">
        <f t="shared" si="82"/>
        <v>0</v>
      </c>
      <c r="BC117" s="424">
        <f t="shared" si="83"/>
        <v>0</v>
      </c>
      <c r="BD117" s="424">
        <f t="shared" si="84"/>
        <v>49389.19</v>
      </c>
      <c r="BE117" s="452">
        <f t="shared" si="85"/>
        <v>49389.19</v>
      </c>
      <c r="BF117" s="448">
        <f t="shared" si="86"/>
        <v>0</v>
      </c>
      <c r="BG117" s="456">
        <f t="shared" si="87"/>
        <v>15834.25</v>
      </c>
      <c r="BH117" s="457">
        <f t="shared" si="53"/>
        <v>26565.57</v>
      </c>
      <c r="BI117" s="407" t="s">
        <v>692</v>
      </c>
      <c r="BM117" s="429">
        <f>IF(BR117&gt;BR116,BM116,IF(BM116&lt;MiscData!$F$1,EOMONTH(BM116,1),EOMONTH(BM116,-11)))</f>
        <v>41729</v>
      </c>
      <c r="BN117" s="416" t="str">
        <f t="shared" si="54"/>
        <v>20140101KURSE025</v>
      </c>
      <c r="BO117" s="427" t="str">
        <f t="shared" si="55"/>
        <v>20140101RS</v>
      </c>
      <c r="BP117" s="407">
        <f>IF(BM117&lt;=MiscData!$B$23,MiscData!$C$23,IF(BM117&lt;=MiscData!$B$24,MiscData!$C$24,MiscData!$C$25))</f>
        <v>20140101</v>
      </c>
      <c r="BQ117" s="407" t="str">
        <f>VLOOKUP(BR117,MiscData!$V$4:$W$42,2,FALSE)</f>
        <v>KURSE025</v>
      </c>
      <c r="BR117" s="407">
        <f>IF(BR116=MiscData!$V$42,1,BR116+1)</f>
        <v>36</v>
      </c>
      <c r="BS117" s="407" t="str">
        <f>VLOOKUP(BQ117,MiscData!$W$4:$Y$42,3,FALSE)</f>
        <v>RS</v>
      </c>
    </row>
    <row r="118" spans="1:72" hidden="1">
      <c r="A118" s="416">
        <f t="shared" si="95"/>
        <v>106</v>
      </c>
      <c r="B118" s="416" t="str">
        <f t="shared" si="49"/>
        <v>Mar 2014</v>
      </c>
      <c r="C118" s="837" t="s">
        <v>807</v>
      </c>
      <c r="D118" s="417" t="str">
        <f t="shared" si="50"/>
        <v>RSLEV</v>
      </c>
      <c r="E118" s="417" t="str">
        <f t="shared" si="51"/>
        <v>KURSE040</v>
      </c>
      <c r="F118" s="418">
        <f t="shared" si="56"/>
        <v>5</v>
      </c>
      <c r="G118" s="467">
        <v>1</v>
      </c>
      <c r="H118" s="418">
        <f>SUMIFS(_1022_KWH_P1,_1022_RevenueMonth,$B118,_1022_RateCategory,$E118)</f>
        <v>5181</v>
      </c>
      <c r="I118" s="418">
        <f>SUMIFS(_1022_KWH_P2,_1022_RevenueMonth,$B118,_1022_RateCategory,$E118)</f>
        <v>2142</v>
      </c>
      <c r="J118" s="418">
        <f>SUMIFS(_1022_KWH_P3,_1022_RevenueMonth,$B118,_1022_RateCategory,$E118)</f>
        <v>1288</v>
      </c>
      <c r="K118" s="418">
        <f t="shared" si="57"/>
        <v>8611</v>
      </c>
      <c r="L118" s="459">
        <v>0</v>
      </c>
      <c r="M118" s="443">
        <f t="shared" si="58"/>
        <v>0</v>
      </c>
      <c r="N118" s="443">
        <f t="shared" si="59"/>
        <v>0</v>
      </c>
      <c r="O118" s="443">
        <f t="shared" si="60"/>
        <v>0</v>
      </c>
      <c r="P118" s="443">
        <f t="shared" si="61"/>
        <v>0</v>
      </c>
      <c r="Q118" s="443">
        <f t="shared" si="62"/>
        <v>0</v>
      </c>
      <c r="R118" s="443">
        <f t="shared" si="63"/>
        <v>0</v>
      </c>
      <c r="S118" s="484">
        <v>0</v>
      </c>
      <c r="T118" s="484">
        <v>0</v>
      </c>
      <c r="U118" s="484">
        <v>0</v>
      </c>
      <c r="V118" s="490">
        <v>0</v>
      </c>
      <c r="W118" s="490">
        <v>0</v>
      </c>
      <c r="X118" s="490">
        <v>0</v>
      </c>
      <c r="Y118" s="419">
        <f t="shared" si="64"/>
        <v>10.75</v>
      </c>
      <c r="Z118" s="420">
        <f t="shared" si="65"/>
        <v>5.5870000000000003E-2</v>
      </c>
      <c r="AA118" s="420">
        <f>SUMIF(_Rates_Tariff_Category,$BN118,_Rates_Energy_P2)</f>
        <v>7.7630000000000005E-2</v>
      </c>
      <c r="AB118" s="420">
        <f>SUMIF(_Rates_Tariff_Category,$BN118,_Rates_Energy_P3)</f>
        <v>0.14297000000000001</v>
      </c>
      <c r="AC118" s="420">
        <f t="shared" si="66"/>
        <v>2.8920000000000001E-2</v>
      </c>
      <c r="AD118" s="419">
        <f t="shared" si="67"/>
        <v>0</v>
      </c>
      <c r="AE118" s="419">
        <f t="shared" si="68"/>
        <v>0</v>
      </c>
      <c r="AF118" s="419">
        <f t="shared" si="69"/>
        <v>0</v>
      </c>
      <c r="AG118" s="454">
        <f t="shared" si="70"/>
        <v>64.5</v>
      </c>
      <c r="AH118" s="454">
        <f t="shared" si="92"/>
        <v>639.89</v>
      </c>
      <c r="AI118" s="421">
        <f t="shared" si="71"/>
        <v>0</v>
      </c>
      <c r="AJ118" s="421">
        <f t="shared" si="72"/>
        <v>0</v>
      </c>
      <c r="AK118" s="421">
        <f t="shared" si="73"/>
        <v>0</v>
      </c>
      <c r="AL118" s="482">
        <v>0</v>
      </c>
      <c r="AM118" s="422">
        <f t="shared" si="91"/>
        <v>0</v>
      </c>
      <c r="AN118" s="423">
        <f t="shared" si="75"/>
        <v>0</v>
      </c>
      <c r="AO118" s="421">
        <f t="shared" si="76"/>
        <v>0</v>
      </c>
      <c r="AP118" s="472">
        <v>0</v>
      </c>
      <c r="AQ118" s="472">
        <v>-0.02</v>
      </c>
      <c r="AR118" s="472">
        <v>0</v>
      </c>
      <c r="AS118" s="475">
        <v>0</v>
      </c>
      <c r="AT118" s="475">
        <v>0</v>
      </c>
      <c r="AU118" s="475">
        <v>0</v>
      </c>
      <c r="AV118" s="454">
        <f t="shared" si="77"/>
        <v>704.37</v>
      </c>
      <c r="AW118" s="421">
        <f t="shared" si="78"/>
        <v>704.37</v>
      </c>
      <c r="AX118" s="455">
        <f t="shared" si="94"/>
        <v>1</v>
      </c>
      <c r="AY118" s="424">
        <f t="shared" si="79"/>
        <v>20.53</v>
      </c>
      <c r="AZ118" s="424">
        <f t="shared" si="80"/>
        <v>30.05</v>
      </c>
      <c r="BA118" s="424">
        <f t="shared" si="81"/>
        <v>16.82</v>
      </c>
      <c r="BB118" s="424">
        <f t="shared" si="82"/>
        <v>0</v>
      </c>
      <c r="BC118" s="424">
        <f t="shared" si="83"/>
        <v>0</v>
      </c>
      <c r="BD118" s="424">
        <f t="shared" si="84"/>
        <v>771.77</v>
      </c>
      <c r="BE118" s="452">
        <f t="shared" si="85"/>
        <v>771.77</v>
      </c>
      <c r="BF118" s="448">
        <f t="shared" si="86"/>
        <v>0</v>
      </c>
      <c r="BG118" s="456">
        <f t="shared" si="87"/>
        <v>249.03</v>
      </c>
      <c r="BH118" s="457">
        <f t="shared" si="53"/>
        <v>390.84000000000003</v>
      </c>
      <c r="BI118" s="407" t="s">
        <v>692</v>
      </c>
      <c r="BM118" s="429">
        <f>IF(BR118&gt;BR117,BM117,IF(BM117&lt;MiscData!$F$1,EOMONTH(BM117,1),EOMONTH(BM117,-11)))</f>
        <v>41729</v>
      </c>
      <c r="BN118" s="416" t="str">
        <f t="shared" si="54"/>
        <v>20140101KURSE040</v>
      </c>
      <c r="BO118" s="427" t="str">
        <f t="shared" si="55"/>
        <v>20140101RSLEV</v>
      </c>
      <c r="BP118" s="407">
        <f>IF(BM118&lt;=MiscData!$B$23,MiscData!$C$23,IF(BM118&lt;=MiscData!$B$24,MiscData!$C$24,MiscData!$C$25))</f>
        <v>20140101</v>
      </c>
      <c r="BQ118" s="407" t="str">
        <f>VLOOKUP(BR118,MiscData!$V$4:$W$42,2,FALSE)</f>
        <v>KURSE040</v>
      </c>
      <c r="BR118" s="407">
        <f>IF(BR117=MiscData!$V$42,1,BR117+1)</f>
        <v>37</v>
      </c>
      <c r="BS118" s="407" t="str">
        <f>VLOOKUP(BQ118,MiscData!$W$4:$Y$42,3,FALSE)</f>
        <v>RSLEV</v>
      </c>
    </row>
    <row r="119" spans="1:72" hidden="1">
      <c r="A119" s="416">
        <f t="shared" si="95"/>
        <v>107</v>
      </c>
      <c r="B119" s="416" t="str">
        <f t="shared" si="49"/>
        <v>Mar 2014</v>
      </c>
      <c r="C119" s="416" t="s">
        <v>15</v>
      </c>
      <c r="D119" s="417" t="str">
        <f t="shared" si="50"/>
        <v>RSVFD</v>
      </c>
      <c r="E119" s="417" t="str">
        <f t="shared" si="51"/>
        <v>KURSE080</v>
      </c>
      <c r="F119" s="418">
        <f t="shared" si="56"/>
        <v>49</v>
      </c>
      <c r="G119" s="467">
        <v>-1</v>
      </c>
      <c r="H119" s="418">
        <v>0</v>
      </c>
      <c r="I119" s="418">
        <v>0</v>
      </c>
      <c r="J119" s="418">
        <v>0</v>
      </c>
      <c r="K119" s="418">
        <f t="shared" si="57"/>
        <v>132111</v>
      </c>
      <c r="L119" s="481">
        <v>0</v>
      </c>
      <c r="M119" s="443">
        <f t="shared" si="58"/>
        <v>0</v>
      </c>
      <c r="N119" s="443">
        <f t="shared" si="59"/>
        <v>0</v>
      </c>
      <c r="O119" s="443">
        <f t="shared" si="60"/>
        <v>0</v>
      </c>
      <c r="P119" s="443">
        <f t="shared" si="61"/>
        <v>0</v>
      </c>
      <c r="Q119" s="443">
        <f t="shared" si="62"/>
        <v>0</v>
      </c>
      <c r="R119" s="443">
        <f t="shared" si="63"/>
        <v>0</v>
      </c>
      <c r="S119" s="484">
        <v>0</v>
      </c>
      <c r="T119" s="484">
        <v>0</v>
      </c>
      <c r="U119" s="484">
        <v>0</v>
      </c>
      <c r="V119" s="490">
        <v>0</v>
      </c>
      <c r="W119" s="490">
        <v>0</v>
      </c>
      <c r="X119" s="490">
        <v>0</v>
      </c>
      <c r="Y119" s="419">
        <f t="shared" si="64"/>
        <v>10.75</v>
      </c>
      <c r="Z119" s="420">
        <f t="shared" si="65"/>
        <v>7.7439999999999995E-2</v>
      </c>
      <c r="AA119" s="420">
        <v>0</v>
      </c>
      <c r="AB119" s="420">
        <v>0</v>
      </c>
      <c r="AC119" s="420">
        <f t="shared" si="66"/>
        <v>2.8920000000000001E-2</v>
      </c>
      <c r="AD119" s="419">
        <f t="shared" si="67"/>
        <v>0</v>
      </c>
      <c r="AE119" s="419">
        <f t="shared" si="68"/>
        <v>0</v>
      </c>
      <c r="AF119" s="419">
        <f t="shared" si="69"/>
        <v>0</v>
      </c>
      <c r="AG119" s="454">
        <f t="shared" si="70"/>
        <v>516</v>
      </c>
      <c r="AH119" s="454">
        <f t="shared" si="92"/>
        <v>10230.68</v>
      </c>
      <c r="AI119" s="421">
        <f t="shared" si="71"/>
        <v>0</v>
      </c>
      <c r="AJ119" s="421">
        <f t="shared" si="72"/>
        <v>0</v>
      </c>
      <c r="AK119" s="421">
        <f t="shared" si="73"/>
        <v>0</v>
      </c>
      <c r="AL119" s="482">
        <v>0</v>
      </c>
      <c r="AM119" s="422">
        <f t="shared" si="91"/>
        <v>0</v>
      </c>
      <c r="AN119" s="423">
        <f t="shared" si="75"/>
        <v>0</v>
      </c>
      <c r="AO119" s="421">
        <f t="shared" si="76"/>
        <v>0</v>
      </c>
      <c r="AP119" s="472">
        <v>10.75</v>
      </c>
      <c r="AQ119" s="472">
        <v>-0.01</v>
      </c>
      <c r="AR119" s="472">
        <v>0</v>
      </c>
      <c r="AS119" s="475">
        <v>0</v>
      </c>
      <c r="AT119" s="475">
        <v>0</v>
      </c>
      <c r="AU119" s="475">
        <v>0</v>
      </c>
      <c r="AV119" s="454">
        <f t="shared" si="77"/>
        <v>10757.42</v>
      </c>
      <c r="AW119" s="421">
        <f t="shared" si="78"/>
        <v>10757.42</v>
      </c>
      <c r="AX119" s="455">
        <f t="shared" si="94"/>
        <v>1</v>
      </c>
      <c r="AY119" s="424">
        <f t="shared" si="79"/>
        <v>384.71</v>
      </c>
      <c r="AZ119" s="424">
        <f t="shared" si="80"/>
        <v>461.06</v>
      </c>
      <c r="BA119" s="424">
        <f t="shared" si="81"/>
        <v>205.47</v>
      </c>
      <c r="BB119" s="424">
        <f t="shared" si="82"/>
        <v>0</v>
      </c>
      <c r="BC119" s="424">
        <f t="shared" si="83"/>
        <v>0</v>
      </c>
      <c r="BD119" s="424">
        <f t="shared" si="84"/>
        <v>11808.66</v>
      </c>
      <c r="BE119" s="452">
        <f t="shared" si="85"/>
        <v>11808.659999999998</v>
      </c>
      <c r="BF119" s="448">
        <f t="shared" si="86"/>
        <v>0</v>
      </c>
      <c r="BG119" s="456">
        <f t="shared" si="87"/>
        <v>3820.65</v>
      </c>
      <c r="BH119" s="457">
        <f t="shared" si="53"/>
        <v>6410.02</v>
      </c>
      <c r="BI119" s="407" t="s">
        <v>692</v>
      </c>
      <c r="BM119" s="429">
        <f>IF(BR119&gt;BR118,BM118,IF(BM118&lt;MiscData!$F$1,EOMONTH(BM118,1),EOMONTH(BM118,-11)))</f>
        <v>41729</v>
      </c>
      <c r="BN119" s="416" t="str">
        <f t="shared" si="54"/>
        <v>20140101KURSE080</v>
      </c>
      <c r="BO119" s="427" t="str">
        <f t="shared" si="55"/>
        <v>20140101RSVFD</v>
      </c>
      <c r="BP119" s="407">
        <f>IF(BM119&lt;=MiscData!$B$23,MiscData!$C$23,IF(BM119&lt;=MiscData!$B$24,MiscData!$C$24,MiscData!$C$25))</f>
        <v>20140101</v>
      </c>
      <c r="BQ119" s="407" t="str">
        <f>VLOOKUP(BR119,MiscData!$V$4:$W$42,2,FALSE)</f>
        <v>KURSE080</v>
      </c>
      <c r="BR119" s="407">
        <f>IF(BR118=MiscData!$V$42,1,BR118+1)</f>
        <v>38</v>
      </c>
      <c r="BS119" s="407" t="str">
        <f>VLOOKUP(BQ119,MiscData!$W$4:$Y$42,3,FALSE)</f>
        <v>RSVFD</v>
      </c>
    </row>
    <row r="120" spans="1:72" s="486" customFormat="1" hidden="1">
      <c r="A120" s="464">
        <f t="shared" si="95"/>
        <v>108</v>
      </c>
      <c r="B120" s="464" t="str">
        <f t="shared" si="49"/>
        <v>Mar 2014</v>
      </c>
      <c r="C120" s="464" t="s">
        <v>15</v>
      </c>
      <c r="D120" s="465" t="str">
        <f t="shared" si="50"/>
        <v>RS</v>
      </c>
      <c r="E120" s="465" t="str">
        <f t="shared" si="51"/>
        <v>KURSE715</v>
      </c>
      <c r="F120" s="466">
        <f t="shared" si="56"/>
        <v>52</v>
      </c>
      <c r="G120" s="467">
        <v>0</v>
      </c>
      <c r="H120" s="466">
        <v>0</v>
      </c>
      <c r="I120" s="466">
        <v>0</v>
      </c>
      <c r="J120" s="466">
        <v>0</v>
      </c>
      <c r="K120" s="466">
        <f t="shared" si="57"/>
        <v>123913</v>
      </c>
      <c r="L120" s="481">
        <v>0</v>
      </c>
      <c r="M120" s="469">
        <f t="shared" si="58"/>
        <v>0</v>
      </c>
      <c r="N120" s="469">
        <f t="shared" si="59"/>
        <v>0</v>
      </c>
      <c r="O120" s="469">
        <f t="shared" si="60"/>
        <v>0</v>
      </c>
      <c r="P120" s="469">
        <f t="shared" si="61"/>
        <v>0</v>
      </c>
      <c r="Q120" s="469">
        <f t="shared" si="62"/>
        <v>0</v>
      </c>
      <c r="R120" s="469">
        <f t="shared" si="63"/>
        <v>0</v>
      </c>
      <c r="S120" s="484">
        <v>0</v>
      </c>
      <c r="T120" s="484">
        <v>0</v>
      </c>
      <c r="U120" s="484">
        <v>0</v>
      </c>
      <c r="V120" s="490">
        <v>0</v>
      </c>
      <c r="W120" s="490">
        <v>0</v>
      </c>
      <c r="X120" s="490">
        <v>0</v>
      </c>
      <c r="Y120" s="470">
        <f t="shared" si="64"/>
        <v>10.75</v>
      </c>
      <c r="Z120" s="471">
        <f t="shared" si="65"/>
        <v>7.7439999999999995E-2</v>
      </c>
      <c r="AA120" s="471">
        <v>0</v>
      </c>
      <c r="AB120" s="471">
        <v>0</v>
      </c>
      <c r="AC120" s="471">
        <f t="shared" si="66"/>
        <v>2.8920000000000001E-2</v>
      </c>
      <c r="AD120" s="470">
        <f t="shared" si="67"/>
        <v>0</v>
      </c>
      <c r="AE120" s="470">
        <f t="shared" si="68"/>
        <v>0</v>
      </c>
      <c r="AF120" s="470">
        <f t="shared" si="69"/>
        <v>0</v>
      </c>
      <c r="AG120" s="454">
        <f t="shared" si="70"/>
        <v>559</v>
      </c>
      <c r="AH120" s="454">
        <f t="shared" si="92"/>
        <v>9595.82</v>
      </c>
      <c r="AI120" s="454">
        <f t="shared" si="71"/>
        <v>0</v>
      </c>
      <c r="AJ120" s="454">
        <f t="shared" si="72"/>
        <v>0</v>
      </c>
      <c r="AK120" s="454">
        <f t="shared" si="73"/>
        <v>0</v>
      </c>
      <c r="AL120" s="482">
        <v>0</v>
      </c>
      <c r="AM120" s="473">
        <f t="shared" si="91"/>
        <v>0</v>
      </c>
      <c r="AN120" s="474">
        <f t="shared" si="75"/>
        <v>0</v>
      </c>
      <c r="AO120" s="454">
        <f t="shared" si="76"/>
        <v>0</v>
      </c>
      <c r="AP120" s="472">
        <v>9.7100000000000009</v>
      </c>
      <c r="AQ120" s="472">
        <v>-0.01</v>
      </c>
      <c r="AR120" s="472">
        <v>0</v>
      </c>
      <c r="AS120" s="475">
        <v>0</v>
      </c>
      <c r="AT120" s="475">
        <v>0</v>
      </c>
      <c r="AU120" s="475">
        <v>0</v>
      </c>
      <c r="AV120" s="454">
        <f t="shared" si="77"/>
        <v>10164.519999999999</v>
      </c>
      <c r="AW120" s="454">
        <f t="shared" si="78"/>
        <v>10164.519999999999</v>
      </c>
      <c r="AX120" s="455">
        <f t="shared" si="94"/>
        <v>1</v>
      </c>
      <c r="AY120" s="476">
        <f t="shared" si="79"/>
        <v>328.67</v>
      </c>
      <c r="AZ120" s="476">
        <f t="shared" si="80"/>
        <v>432.46</v>
      </c>
      <c r="BA120" s="476">
        <f t="shared" si="81"/>
        <v>216.06</v>
      </c>
      <c r="BB120" s="476">
        <f t="shared" si="82"/>
        <v>0</v>
      </c>
      <c r="BC120" s="476">
        <f t="shared" si="83"/>
        <v>0</v>
      </c>
      <c r="BD120" s="476">
        <f t="shared" si="84"/>
        <v>11141.71</v>
      </c>
      <c r="BE120" s="477">
        <f t="shared" si="85"/>
        <v>11141.709999999997</v>
      </c>
      <c r="BF120" s="478">
        <f t="shared" si="86"/>
        <v>0</v>
      </c>
      <c r="BG120" s="479">
        <f t="shared" si="87"/>
        <v>3583.56</v>
      </c>
      <c r="BH120" s="485">
        <f t="shared" si="53"/>
        <v>6012.25</v>
      </c>
      <c r="BI120" s="407" t="s">
        <v>692</v>
      </c>
      <c r="BM120" s="487">
        <f>IF(BR120&gt;BR119,BM119,IF(BM119&lt;MiscData!$F$1,EOMONTH(BM119,1),EOMONTH(BM119,-11)))</f>
        <v>41729</v>
      </c>
      <c r="BN120" s="464" t="str">
        <f t="shared" si="54"/>
        <v>20140101KURSE715</v>
      </c>
      <c r="BO120" s="488" t="str">
        <f t="shared" si="55"/>
        <v>20140101RS</v>
      </c>
      <c r="BP120" s="486">
        <f>IF(BM120&lt;=MiscData!$B$23,MiscData!$C$23,IF(BM120&lt;=MiscData!$B$24,MiscData!$C$24,MiscData!$C$25))</f>
        <v>20140101</v>
      </c>
      <c r="BQ120" s="486" t="str">
        <f>VLOOKUP(BR120,MiscData!$V$4:$W$42,2,FALSE)</f>
        <v>KURSE715</v>
      </c>
      <c r="BR120" s="407">
        <f>IF(BR119=MiscData!$V$42,1,BR119+1)</f>
        <v>39</v>
      </c>
      <c r="BS120" s="486" t="str">
        <f>VLOOKUP(BQ120,MiscData!$W$4:$Y$42,3,FALSE)</f>
        <v>RS</v>
      </c>
      <c r="BT120" s="771"/>
    </row>
    <row r="121" spans="1:72" hidden="1">
      <c r="A121" s="463">
        <f t="shared" si="95"/>
        <v>109</v>
      </c>
      <c r="B121" s="464" t="str">
        <f t="shared" si="49"/>
        <v>Apr 2014</v>
      </c>
      <c r="C121" s="464" t="s">
        <v>19</v>
      </c>
      <c r="D121" s="465" t="str">
        <f t="shared" si="50"/>
        <v>RTS</v>
      </c>
      <c r="E121" s="465" t="str">
        <f t="shared" si="51"/>
        <v>KUCIE550</v>
      </c>
      <c r="F121" s="466">
        <f t="shared" si="56"/>
        <v>32</v>
      </c>
      <c r="G121" s="467">
        <v>0</v>
      </c>
      <c r="H121" s="466">
        <v>0</v>
      </c>
      <c r="I121" s="466">
        <v>0</v>
      </c>
      <c r="J121" s="466">
        <v>0</v>
      </c>
      <c r="K121" s="466">
        <f t="shared" si="57"/>
        <v>136741819</v>
      </c>
      <c r="L121" s="468">
        <v>0</v>
      </c>
      <c r="M121" s="469">
        <f t="shared" si="58"/>
        <v>302268.59999999998</v>
      </c>
      <c r="N121" s="469">
        <f t="shared" si="59"/>
        <v>297179.59999999998</v>
      </c>
      <c r="O121" s="469">
        <f t="shared" si="60"/>
        <v>283968.3</v>
      </c>
      <c r="P121" s="469">
        <f t="shared" si="61"/>
        <v>308148.40000000002</v>
      </c>
      <c r="Q121" s="469">
        <f t="shared" si="62"/>
        <v>298415.5</v>
      </c>
      <c r="R121" s="469">
        <f t="shared" si="63"/>
        <v>284807.40000000002</v>
      </c>
      <c r="S121" s="484">
        <v>5879.8</v>
      </c>
      <c r="T121" s="484">
        <v>1235.9000000000001</v>
      </c>
      <c r="U121" s="484">
        <v>839.1</v>
      </c>
      <c r="V121" s="596">
        <v>0</v>
      </c>
      <c r="W121" s="596">
        <v>0</v>
      </c>
      <c r="X121" s="596">
        <v>0</v>
      </c>
      <c r="Y121" s="470">
        <f t="shared" si="64"/>
        <v>750</v>
      </c>
      <c r="Z121" s="471">
        <f t="shared" si="65"/>
        <v>3.6339999999999997E-2</v>
      </c>
      <c r="AA121" s="471">
        <v>0</v>
      </c>
      <c r="AB121" s="471">
        <v>0</v>
      </c>
      <c r="AC121" s="471">
        <f t="shared" si="66"/>
        <v>2.8920000000000001E-2</v>
      </c>
      <c r="AD121" s="470">
        <f t="shared" si="67"/>
        <v>1.34</v>
      </c>
      <c r="AE121" s="470">
        <f t="shared" si="68"/>
        <v>2.87</v>
      </c>
      <c r="AF121" s="470">
        <f t="shared" si="69"/>
        <v>3.97</v>
      </c>
      <c r="AG121" s="454">
        <f t="shared" si="70"/>
        <v>24000</v>
      </c>
      <c r="AH121" s="454">
        <f t="shared" si="92"/>
        <v>4969197.7</v>
      </c>
      <c r="AI121" s="421">
        <f t="shared" si="71"/>
        <v>405039.92</v>
      </c>
      <c r="AJ121" s="421">
        <f t="shared" si="72"/>
        <v>852905.45</v>
      </c>
      <c r="AK121" s="421">
        <f t="shared" si="73"/>
        <v>1127354.1499999999</v>
      </c>
      <c r="AL121" s="472">
        <v>0</v>
      </c>
      <c r="AM121" s="473">
        <f t="shared" si="91"/>
        <v>0</v>
      </c>
      <c r="AN121" s="474">
        <f t="shared" si="75"/>
        <v>14757.19</v>
      </c>
      <c r="AO121" s="454">
        <f t="shared" si="76"/>
        <v>2400056.7099999995</v>
      </c>
      <c r="AP121" s="472">
        <f>SUMIFS(_SBR_BSC_Revenue,_SBR_Revenue_Month,$B121,_SBR_Rate_Category,$E121)-AG121</f>
        <v>0</v>
      </c>
      <c r="AQ121" s="472">
        <f>SUMIFS(_SBR_Energy_Revenue,_SBR_Revenue_Month,$B121,_SBR_Rate_Category,$E121)-AH121</f>
        <v>9.9999997764825821E-3</v>
      </c>
      <c r="AR121" s="472">
        <f>SUMIFS(_SBR_Demand_Revenue,_SBR_Revenue_Month,$B121,_SBR_Rate_Category,$E121)-AO121</f>
        <v>6.0000000521540642E-2</v>
      </c>
      <c r="AS121" s="475">
        <v>0</v>
      </c>
      <c r="AT121" s="475">
        <v>0</v>
      </c>
      <c r="AU121" s="475">
        <v>0</v>
      </c>
      <c r="AV121" s="454">
        <f t="shared" si="77"/>
        <v>7393254.4800000014</v>
      </c>
      <c r="AW121" s="454">
        <f t="shared" si="78"/>
        <v>7393254.4800000004</v>
      </c>
      <c r="AX121" s="455">
        <f t="shared" ref="AX121:AX129" si="96">IF(AND(AV121=0,AW121=0),1,IF(AV121=0,0,AW121/AV121))</f>
        <v>0.99999999999999989</v>
      </c>
      <c r="AY121" s="476">
        <f t="shared" si="79"/>
        <v>289892.65000000002</v>
      </c>
      <c r="AZ121" s="476">
        <f t="shared" si="80"/>
        <v>0</v>
      </c>
      <c r="BA121" s="476">
        <f t="shared" si="81"/>
        <v>72563.28</v>
      </c>
      <c r="BB121" s="476">
        <f t="shared" si="82"/>
        <v>0</v>
      </c>
      <c r="BC121" s="476">
        <f t="shared" si="83"/>
        <v>0</v>
      </c>
      <c r="BD121" s="476">
        <f t="shared" si="84"/>
        <v>7755710.4100000001</v>
      </c>
      <c r="BE121" s="477">
        <f t="shared" si="85"/>
        <v>7755710.410000002</v>
      </c>
      <c r="BF121" s="478">
        <f t="shared" si="86"/>
        <v>0</v>
      </c>
      <c r="BG121" s="479">
        <f t="shared" si="87"/>
        <v>3954573.41</v>
      </c>
      <c r="BH121" s="480">
        <f t="shared" si="53"/>
        <v>1014624.2999999998</v>
      </c>
      <c r="BI121" s="407" t="s">
        <v>692</v>
      </c>
      <c r="BM121" s="429">
        <f>IF(BR121&gt;BR120,BM120,IF(BM120&lt;MiscData!$F$1,EOMONTH(BM120,1),EOMONTH(BM120,-11)))</f>
        <v>41759</v>
      </c>
      <c r="BN121" s="416" t="str">
        <f t="shared" si="54"/>
        <v>20140101KUCIE550</v>
      </c>
      <c r="BO121" s="427" t="str">
        <f t="shared" si="55"/>
        <v>20140101RTS</v>
      </c>
      <c r="BP121" s="407">
        <f>IF(BM121&lt;=MiscData!$B$23,MiscData!$C$23,IF(BM121&lt;=MiscData!$B$24,MiscData!$C$24,MiscData!$C$25))</f>
        <v>20140101</v>
      </c>
      <c r="BQ121" s="407" t="str">
        <f>VLOOKUP(BR121,MiscData!$V$4:$W$42,2,FALSE)</f>
        <v>KUCIE550</v>
      </c>
      <c r="BR121" s="407">
        <f>IF(BR120=MiscData!$V$42,1,BR120+1)</f>
        <v>1</v>
      </c>
      <c r="BS121" s="407" t="str">
        <f>VLOOKUP(BQ121,MiscData!$W$4:$Y$42,3,FALSE)</f>
        <v>RTS</v>
      </c>
    </row>
    <row r="122" spans="1:72">
      <c r="A122" s="463">
        <f t="shared" si="95"/>
        <v>110</v>
      </c>
      <c r="B122" s="464" t="str">
        <f t="shared" si="49"/>
        <v>Apr 2014</v>
      </c>
      <c r="C122" s="464" t="s">
        <v>26</v>
      </c>
      <c r="D122" s="465" t="str">
        <f t="shared" si="50"/>
        <v>PSP</v>
      </c>
      <c r="E122" s="465" t="str">
        <f t="shared" si="51"/>
        <v>KUCIE561</v>
      </c>
      <c r="F122" s="466">
        <f t="shared" si="56"/>
        <v>166</v>
      </c>
      <c r="G122" s="467">
        <v>1</v>
      </c>
      <c r="H122" s="466">
        <v>0</v>
      </c>
      <c r="I122" s="466">
        <v>0</v>
      </c>
      <c r="J122" s="466">
        <v>0</v>
      </c>
      <c r="K122" s="466">
        <f t="shared" si="57"/>
        <v>3934684</v>
      </c>
      <c r="L122" s="459">
        <v>0</v>
      </c>
      <c r="M122" s="443">
        <f t="shared" si="58"/>
        <v>0</v>
      </c>
      <c r="N122" s="469">
        <f t="shared" si="59"/>
        <v>12153.9</v>
      </c>
      <c r="O122" s="469">
        <f t="shared" si="60"/>
        <v>0</v>
      </c>
      <c r="P122" s="469">
        <f t="shared" si="61"/>
        <v>0</v>
      </c>
      <c r="Q122" s="469">
        <f t="shared" si="62"/>
        <v>13321.35</v>
      </c>
      <c r="R122" s="469">
        <f t="shared" si="63"/>
        <v>0</v>
      </c>
      <c r="S122" s="484">
        <v>0</v>
      </c>
      <c r="T122" s="484">
        <v>1167.45</v>
      </c>
      <c r="U122" s="484">
        <v>0</v>
      </c>
      <c r="V122" s="490">
        <v>0</v>
      </c>
      <c r="W122" s="490">
        <v>0</v>
      </c>
      <c r="X122" s="490">
        <v>0</v>
      </c>
      <c r="Y122" s="470">
        <f t="shared" si="64"/>
        <v>170</v>
      </c>
      <c r="Z122" s="471">
        <f t="shared" si="65"/>
        <v>3.5619999999999999E-2</v>
      </c>
      <c r="AA122" s="471">
        <v>0</v>
      </c>
      <c r="AB122" s="471">
        <v>0</v>
      </c>
      <c r="AC122" s="471">
        <f t="shared" si="66"/>
        <v>2.8920000000000001E-2</v>
      </c>
      <c r="AD122" s="470">
        <f t="shared" si="67"/>
        <v>0</v>
      </c>
      <c r="AE122" s="470">
        <f t="shared" si="68"/>
        <v>13.18</v>
      </c>
      <c r="AF122" s="470">
        <f t="shared" si="69"/>
        <v>15.28</v>
      </c>
      <c r="AG122" s="454">
        <f t="shared" si="70"/>
        <v>28390</v>
      </c>
      <c r="AH122" s="454">
        <f t="shared" si="92"/>
        <v>140153.44</v>
      </c>
      <c r="AI122" s="421">
        <f t="shared" si="71"/>
        <v>0</v>
      </c>
      <c r="AJ122" s="421">
        <f t="shared" si="72"/>
        <v>160188.4</v>
      </c>
      <c r="AK122" s="421">
        <f t="shared" si="73"/>
        <v>0</v>
      </c>
      <c r="AL122" s="472">
        <v>0</v>
      </c>
      <c r="AM122" s="473">
        <f t="shared" si="91"/>
        <v>0</v>
      </c>
      <c r="AN122" s="474">
        <f t="shared" si="75"/>
        <v>15386.99</v>
      </c>
      <c r="AO122" s="454">
        <f t="shared" si="76"/>
        <v>175575.38999999998</v>
      </c>
      <c r="AP122" s="472">
        <v>-170</v>
      </c>
      <c r="AQ122" s="472">
        <v>0.1</v>
      </c>
      <c r="AR122" s="472">
        <v>0.01</v>
      </c>
      <c r="AS122" s="475">
        <v>0</v>
      </c>
      <c r="AT122" s="475">
        <v>0</v>
      </c>
      <c r="AU122" s="475">
        <v>0</v>
      </c>
      <c r="AV122" s="454">
        <f t="shared" si="77"/>
        <v>343948.93999999994</v>
      </c>
      <c r="AW122" s="454">
        <f t="shared" si="78"/>
        <v>343948.94</v>
      </c>
      <c r="AX122" s="455">
        <f t="shared" si="96"/>
        <v>1.0000000000000002</v>
      </c>
      <c r="AY122" s="476">
        <f t="shared" si="79"/>
        <v>8385.57</v>
      </c>
      <c r="AZ122" s="476">
        <f t="shared" si="80"/>
        <v>4477.97</v>
      </c>
      <c r="BA122" s="476">
        <f t="shared" si="81"/>
        <v>4926.37</v>
      </c>
      <c r="BB122" s="476">
        <f t="shared" si="82"/>
        <v>0</v>
      </c>
      <c r="BC122" s="476">
        <f t="shared" si="83"/>
        <v>0</v>
      </c>
      <c r="BD122" s="476">
        <f t="shared" si="84"/>
        <v>361738.85</v>
      </c>
      <c r="BE122" s="477">
        <f t="shared" si="85"/>
        <v>361738.84999999992</v>
      </c>
      <c r="BF122" s="478">
        <f t="shared" si="86"/>
        <v>0</v>
      </c>
      <c r="BG122" s="479">
        <f t="shared" si="87"/>
        <v>113791.06</v>
      </c>
      <c r="BH122" s="480">
        <f t="shared" si="53"/>
        <v>26362.48000000001</v>
      </c>
      <c r="BI122" s="407" t="s">
        <v>692</v>
      </c>
      <c r="BM122" s="429">
        <f>IF(BR122&gt;BR121,BM121,IF(BM121&lt;MiscData!$F$1,EOMONTH(BM121,1),EOMONTH(BM121,-11)))</f>
        <v>41759</v>
      </c>
      <c r="BN122" s="416" t="str">
        <f t="shared" si="54"/>
        <v>20140101KUCIE561</v>
      </c>
      <c r="BO122" s="427" t="str">
        <f t="shared" si="55"/>
        <v>20140101PSP</v>
      </c>
      <c r="BP122" s="407">
        <f>IF(BM122&lt;=MiscData!$B$23,MiscData!$C$23,IF(BM122&lt;=MiscData!$B$24,MiscData!$C$24,MiscData!$C$25))</f>
        <v>20140101</v>
      </c>
      <c r="BQ122" s="407" t="str">
        <f>VLOOKUP(BR122,MiscData!$V$4:$W$42,2,FALSE)</f>
        <v>KUCIE561</v>
      </c>
      <c r="BR122" s="407">
        <f>IF(BR121=MiscData!$V$42,1,BR121+1)</f>
        <v>2</v>
      </c>
      <c r="BS122" s="407" t="str">
        <f>VLOOKUP(BQ122,MiscData!$W$4:$Y$42,3,FALSE)</f>
        <v>PSP</v>
      </c>
    </row>
    <row r="123" spans="1:72" hidden="1">
      <c r="A123" s="463">
        <f t="shared" si="95"/>
        <v>111</v>
      </c>
      <c r="B123" s="464" t="str">
        <f t="shared" si="49"/>
        <v>Apr 2014</v>
      </c>
      <c r="C123" s="464" t="s">
        <v>25</v>
      </c>
      <c r="D123" s="465" t="str">
        <f t="shared" si="50"/>
        <v>PSS</v>
      </c>
      <c r="E123" s="465" t="str">
        <f t="shared" si="51"/>
        <v>KUCIE562</v>
      </c>
      <c r="F123" s="466">
        <f t="shared" si="56"/>
        <v>4849</v>
      </c>
      <c r="G123" s="467">
        <v>0</v>
      </c>
      <c r="H123" s="466">
        <v>0</v>
      </c>
      <c r="I123" s="466">
        <v>0</v>
      </c>
      <c r="J123" s="466">
        <v>0</v>
      </c>
      <c r="K123" s="466">
        <f t="shared" si="57"/>
        <v>124118359</v>
      </c>
      <c r="L123" s="459">
        <v>0</v>
      </c>
      <c r="M123" s="443">
        <f t="shared" si="58"/>
        <v>0</v>
      </c>
      <c r="N123" s="469">
        <f t="shared" si="59"/>
        <v>372625.1</v>
      </c>
      <c r="O123" s="469">
        <f t="shared" si="60"/>
        <v>0</v>
      </c>
      <c r="P123" s="469">
        <f t="shared" si="61"/>
        <v>0</v>
      </c>
      <c r="Q123" s="469">
        <f t="shared" si="62"/>
        <v>428530.19</v>
      </c>
      <c r="R123" s="469">
        <f t="shared" si="63"/>
        <v>0</v>
      </c>
      <c r="S123" s="484">
        <v>0</v>
      </c>
      <c r="T123" s="484">
        <v>55905.09</v>
      </c>
      <c r="U123" s="484">
        <v>0</v>
      </c>
      <c r="V123" s="490">
        <v>0</v>
      </c>
      <c r="W123" s="490">
        <v>0</v>
      </c>
      <c r="X123" s="490">
        <v>0</v>
      </c>
      <c r="Y123" s="470">
        <f t="shared" si="64"/>
        <v>90</v>
      </c>
      <c r="Z123" s="471">
        <f t="shared" si="65"/>
        <v>3.5640000000000005E-2</v>
      </c>
      <c r="AA123" s="471">
        <v>0</v>
      </c>
      <c r="AB123" s="471">
        <v>0</v>
      </c>
      <c r="AC123" s="471">
        <f t="shared" si="66"/>
        <v>2.8920000000000001E-2</v>
      </c>
      <c r="AD123" s="470">
        <f t="shared" si="67"/>
        <v>0</v>
      </c>
      <c r="AE123" s="470">
        <f t="shared" si="68"/>
        <v>13.2</v>
      </c>
      <c r="AF123" s="470">
        <f t="shared" si="69"/>
        <v>15.3</v>
      </c>
      <c r="AG123" s="454">
        <f t="shared" si="70"/>
        <v>436410</v>
      </c>
      <c r="AH123" s="454">
        <f t="shared" si="92"/>
        <v>4423578.3099999996</v>
      </c>
      <c r="AI123" s="421">
        <f t="shared" si="71"/>
        <v>0</v>
      </c>
      <c r="AJ123" s="421">
        <f t="shared" si="72"/>
        <v>4918651.32</v>
      </c>
      <c r="AK123" s="421">
        <f t="shared" si="73"/>
        <v>0</v>
      </c>
      <c r="AL123" s="472">
        <v>0</v>
      </c>
      <c r="AM123" s="473">
        <f t="shared" si="91"/>
        <v>0</v>
      </c>
      <c r="AN123" s="474">
        <f t="shared" si="75"/>
        <v>737947.19</v>
      </c>
      <c r="AO123" s="454">
        <f t="shared" si="76"/>
        <v>5656598.5099999998</v>
      </c>
      <c r="AP123" s="472">
        <v>-4278.78</v>
      </c>
      <c r="AQ123" s="472">
        <v>58.27</v>
      </c>
      <c r="AR123" s="472">
        <v>-37817.760000000002</v>
      </c>
      <c r="AS123" s="475">
        <v>0</v>
      </c>
      <c r="AT123" s="475">
        <v>0</v>
      </c>
      <c r="AU123" s="475">
        <v>0</v>
      </c>
      <c r="AV123" s="454">
        <f t="shared" si="77"/>
        <v>10474548.549999999</v>
      </c>
      <c r="AW123" s="454">
        <f t="shared" si="78"/>
        <v>10474548.550000001</v>
      </c>
      <c r="AX123" s="455">
        <f t="shared" si="96"/>
        <v>1.0000000000000002</v>
      </c>
      <c r="AY123" s="476">
        <f t="shared" si="79"/>
        <v>270962.06</v>
      </c>
      <c r="AZ123" s="476">
        <f t="shared" si="80"/>
        <v>156744.1</v>
      </c>
      <c r="BA123" s="476">
        <f t="shared" si="81"/>
        <v>150726.51</v>
      </c>
      <c r="BB123" s="476">
        <f t="shared" si="82"/>
        <v>0</v>
      </c>
      <c r="BC123" s="476">
        <f t="shared" si="83"/>
        <v>0</v>
      </c>
      <c r="BD123" s="476">
        <f t="shared" si="84"/>
        <v>11052981.220000001</v>
      </c>
      <c r="BE123" s="477">
        <f t="shared" si="85"/>
        <v>11052981.219999999</v>
      </c>
      <c r="BF123" s="478">
        <f t="shared" si="86"/>
        <v>0</v>
      </c>
      <c r="BG123" s="479">
        <f t="shared" si="87"/>
        <v>3589502.94</v>
      </c>
      <c r="BH123" s="480">
        <f t="shared" si="53"/>
        <v>834133.6399999992</v>
      </c>
      <c r="BI123" s="407" t="s">
        <v>692</v>
      </c>
      <c r="BM123" s="429">
        <f>IF(BR123&gt;BR122,BM122,IF(BM122&lt;MiscData!$F$1,EOMONTH(BM122,1),EOMONTH(BM122,-11)))</f>
        <v>41759</v>
      </c>
      <c r="BN123" s="416" t="str">
        <f t="shared" si="54"/>
        <v>20140101KUCIE562</v>
      </c>
      <c r="BO123" s="427" t="str">
        <f t="shared" si="55"/>
        <v>20140101PSS</v>
      </c>
      <c r="BP123" s="407">
        <f>IF(BM123&lt;=MiscData!$B$23,MiscData!$C$23,IF(BM123&lt;=MiscData!$B$24,MiscData!$C$24,MiscData!$C$25))</f>
        <v>20140101</v>
      </c>
      <c r="BQ123" s="407" t="str">
        <f>VLOOKUP(BR123,MiscData!$V$4:$W$42,2,FALSE)</f>
        <v>KUCIE562</v>
      </c>
      <c r="BR123" s="407">
        <f>IF(BR122=MiscData!$V$42,1,BR122+1)</f>
        <v>3</v>
      </c>
      <c r="BS123" s="407" t="str">
        <f>VLOOKUP(BQ123,MiscData!$W$4:$Y$42,3,FALSE)</f>
        <v>PSS</v>
      </c>
    </row>
    <row r="124" spans="1:72" hidden="1">
      <c r="A124" s="463">
        <f t="shared" si="95"/>
        <v>112</v>
      </c>
      <c r="B124" s="464" t="str">
        <f t="shared" si="49"/>
        <v>Apr 2014</v>
      </c>
      <c r="C124" s="464" t="s">
        <v>221</v>
      </c>
      <c r="D124" s="465" t="str">
        <f t="shared" si="50"/>
        <v>TODP</v>
      </c>
      <c r="E124" s="465" t="str">
        <f t="shared" si="51"/>
        <v>KUCIE563</v>
      </c>
      <c r="F124" s="466">
        <f t="shared" si="56"/>
        <v>54</v>
      </c>
      <c r="G124" s="467">
        <v>0</v>
      </c>
      <c r="H124" s="466">
        <v>0</v>
      </c>
      <c r="I124" s="466">
        <v>0</v>
      </c>
      <c r="J124" s="466">
        <v>0</v>
      </c>
      <c r="K124" s="466">
        <f t="shared" si="57"/>
        <v>241833815</v>
      </c>
      <c r="L124" s="459">
        <v>0</v>
      </c>
      <c r="M124" s="443">
        <f t="shared" si="58"/>
        <v>481037</v>
      </c>
      <c r="N124" s="469">
        <f t="shared" si="59"/>
        <v>480153.5</v>
      </c>
      <c r="O124" s="469">
        <f t="shared" si="60"/>
        <v>476123.4</v>
      </c>
      <c r="P124" s="469">
        <f t="shared" si="61"/>
        <v>515906.5</v>
      </c>
      <c r="Q124" s="469">
        <f t="shared" si="62"/>
        <v>485007.6</v>
      </c>
      <c r="R124" s="469">
        <f t="shared" si="63"/>
        <v>481042.8</v>
      </c>
      <c r="S124" s="484">
        <v>34869.5</v>
      </c>
      <c r="T124" s="484">
        <v>4854.1000000000004</v>
      </c>
      <c r="U124" s="484">
        <v>4919.3999999999996</v>
      </c>
      <c r="V124" s="490">
        <v>0</v>
      </c>
      <c r="W124" s="490">
        <v>0</v>
      </c>
      <c r="X124" s="490">
        <v>0</v>
      </c>
      <c r="Y124" s="470">
        <f t="shared" si="64"/>
        <v>300</v>
      </c>
      <c r="Z124" s="471">
        <f t="shared" si="65"/>
        <v>3.7650000000000003E-2</v>
      </c>
      <c r="AA124" s="471">
        <v>0</v>
      </c>
      <c r="AB124" s="471">
        <v>0</v>
      </c>
      <c r="AC124" s="471">
        <f t="shared" si="66"/>
        <v>2.8920000000000001E-2</v>
      </c>
      <c r="AD124" s="470">
        <f t="shared" si="67"/>
        <v>1.71</v>
      </c>
      <c r="AE124" s="470">
        <f t="shared" si="68"/>
        <v>2.76</v>
      </c>
      <c r="AF124" s="470">
        <f t="shared" si="69"/>
        <v>4.26</v>
      </c>
      <c r="AG124" s="454">
        <f t="shared" si="70"/>
        <v>16200</v>
      </c>
      <c r="AH124" s="454">
        <f t="shared" si="92"/>
        <v>9105043.1300000008</v>
      </c>
      <c r="AI124" s="421">
        <f t="shared" si="71"/>
        <v>822573.27</v>
      </c>
      <c r="AJ124" s="421">
        <f t="shared" si="72"/>
        <v>1325223.6599999999</v>
      </c>
      <c r="AK124" s="421">
        <f t="shared" si="73"/>
        <v>2028285.68</v>
      </c>
      <c r="AL124" s="472">
        <v>0</v>
      </c>
      <c r="AM124" s="473">
        <f t="shared" si="91"/>
        <v>0</v>
      </c>
      <c r="AN124" s="474">
        <f t="shared" si="75"/>
        <v>93980.81</v>
      </c>
      <c r="AO124" s="454">
        <f t="shared" si="76"/>
        <v>4270063.419999999</v>
      </c>
      <c r="AP124" s="472">
        <v>600.03</v>
      </c>
      <c r="AQ124" s="472">
        <v>0</v>
      </c>
      <c r="AR124" s="472">
        <v>0.01</v>
      </c>
      <c r="AS124" s="475">
        <v>0</v>
      </c>
      <c r="AT124" s="475">
        <v>0</v>
      </c>
      <c r="AU124" s="475">
        <v>0</v>
      </c>
      <c r="AV124" s="454">
        <f t="shared" si="77"/>
        <v>13391906.59</v>
      </c>
      <c r="AW124" s="454">
        <f t="shared" si="78"/>
        <v>13391906.59</v>
      </c>
      <c r="AX124" s="455">
        <f t="shared" si="96"/>
        <v>1</v>
      </c>
      <c r="AY124" s="476">
        <f t="shared" si="79"/>
        <v>580387.93000000005</v>
      </c>
      <c r="AZ124" s="476">
        <f t="shared" si="80"/>
        <v>30544.89</v>
      </c>
      <c r="BA124" s="476">
        <f t="shared" si="81"/>
        <v>147740.69</v>
      </c>
      <c r="BB124" s="476">
        <f t="shared" si="82"/>
        <v>0</v>
      </c>
      <c r="BC124" s="476">
        <f t="shared" si="83"/>
        <v>0</v>
      </c>
      <c r="BD124" s="476">
        <f t="shared" si="84"/>
        <v>14150580.1</v>
      </c>
      <c r="BE124" s="477">
        <f t="shared" si="85"/>
        <v>14150580.1</v>
      </c>
      <c r="BF124" s="478">
        <f t="shared" si="86"/>
        <v>0</v>
      </c>
      <c r="BG124" s="479">
        <f t="shared" si="87"/>
        <v>6993833.9299999997</v>
      </c>
      <c r="BH124" s="480">
        <f t="shared" si="53"/>
        <v>2111209.2000000011</v>
      </c>
      <c r="BI124" s="407" t="s">
        <v>692</v>
      </c>
      <c r="BM124" s="429">
        <f>IF(BR124&gt;BR123,BM123,IF(BM123&lt;MiscData!$F$1,EOMONTH(BM123,1),EOMONTH(BM123,-11)))</f>
        <v>41759</v>
      </c>
      <c r="BN124" s="416" t="str">
        <f t="shared" si="54"/>
        <v>20140101KUCIE563</v>
      </c>
      <c r="BO124" s="427" t="str">
        <f t="shared" si="55"/>
        <v>20140101TODP</v>
      </c>
      <c r="BP124" s="407">
        <f>IF(BM124&lt;=MiscData!$B$23,MiscData!$C$23,IF(BM124&lt;=MiscData!$B$24,MiscData!$C$24,MiscData!$C$25))</f>
        <v>20140101</v>
      </c>
      <c r="BQ124" s="407" t="str">
        <f>VLOOKUP(BR124,MiscData!$V$4:$W$42,2,FALSE)</f>
        <v>KUCIE563</v>
      </c>
      <c r="BR124" s="407">
        <f>IF(BR123=MiscData!$V$42,1,BR123+1)</f>
        <v>4</v>
      </c>
      <c r="BS124" s="407" t="str">
        <f>VLOOKUP(BQ124,MiscData!$W$4:$Y$42,3,FALSE)</f>
        <v>TODP</v>
      </c>
    </row>
    <row r="125" spans="1:72">
      <c r="A125" s="463">
        <f t="shared" si="95"/>
        <v>113</v>
      </c>
      <c r="B125" s="464" t="str">
        <f t="shared" si="49"/>
        <v>Apr 2014</v>
      </c>
      <c r="C125" s="464" t="s">
        <v>26</v>
      </c>
      <c r="D125" s="465" t="str">
        <f t="shared" si="50"/>
        <v>PSP</v>
      </c>
      <c r="E125" s="465" t="str">
        <f t="shared" si="51"/>
        <v>KUCIE566</v>
      </c>
      <c r="F125" s="466">
        <f t="shared" si="56"/>
        <v>77</v>
      </c>
      <c r="G125" s="467">
        <v>1</v>
      </c>
      <c r="H125" s="466">
        <v>0</v>
      </c>
      <c r="I125" s="466">
        <v>0</v>
      </c>
      <c r="J125" s="466">
        <v>0</v>
      </c>
      <c r="K125" s="466">
        <f t="shared" si="57"/>
        <v>21503273</v>
      </c>
      <c r="L125" s="459">
        <v>0</v>
      </c>
      <c r="M125" s="443">
        <f t="shared" si="58"/>
        <v>0</v>
      </c>
      <c r="N125" s="469">
        <f t="shared" si="59"/>
        <v>49257.7</v>
      </c>
      <c r="O125" s="469">
        <f t="shared" si="60"/>
        <v>0</v>
      </c>
      <c r="P125" s="469">
        <f t="shared" si="61"/>
        <v>0</v>
      </c>
      <c r="Q125" s="469">
        <f t="shared" si="62"/>
        <v>52241.45</v>
      </c>
      <c r="R125" s="469">
        <f t="shared" si="63"/>
        <v>0</v>
      </c>
      <c r="S125" s="484">
        <v>0</v>
      </c>
      <c r="T125" s="484">
        <v>2983.75</v>
      </c>
      <c r="U125" s="484">
        <v>0</v>
      </c>
      <c r="V125" s="490">
        <v>0</v>
      </c>
      <c r="W125" s="490">
        <v>0</v>
      </c>
      <c r="X125" s="490">
        <v>0</v>
      </c>
      <c r="Y125" s="470">
        <f t="shared" si="64"/>
        <v>170</v>
      </c>
      <c r="Z125" s="471">
        <f t="shared" si="65"/>
        <v>3.5619999999999999E-2</v>
      </c>
      <c r="AA125" s="471">
        <v>0</v>
      </c>
      <c r="AB125" s="471">
        <v>0</v>
      </c>
      <c r="AC125" s="471">
        <f t="shared" si="66"/>
        <v>2.8920000000000001E-2</v>
      </c>
      <c r="AD125" s="470">
        <f t="shared" si="67"/>
        <v>0</v>
      </c>
      <c r="AE125" s="470">
        <f t="shared" si="68"/>
        <v>13.18</v>
      </c>
      <c r="AF125" s="470">
        <f t="shared" si="69"/>
        <v>15.28</v>
      </c>
      <c r="AG125" s="454">
        <f t="shared" si="70"/>
        <v>13260</v>
      </c>
      <c r="AH125" s="454">
        <f t="shared" si="92"/>
        <v>765946.58</v>
      </c>
      <c r="AI125" s="421">
        <f t="shared" si="71"/>
        <v>0</v>
      </c>
      <c r="AJ125" s="421">
        <f t="shared" si="72"/>
        <v>649216.49</v>
      </c>
      <c r="AK125" s="421">
        <f t="shared" si="73"/>
        <v>0</v>
      </c>
      <c r="AL125" s="472">
        <v>812.5</v>
      </c>
      <c r="AM125" s="473">
        <f t="shared" si="91"/>
        <v>7512.61</v>
      </c>
      <c r="AN125" s="474">
        <f t="shared" si="75"/>
        <v>39325.83</v>
      </c>
      <c r="AO125" s="454">
        <f t="shared" si="76"/>
        <v>696867.42999999993</v>
      </c>
      <c r="AP125" s="472">
        <v>17</v>
      </c>
      <c r="AQ125" s="472">
        <v>0</v>
      </c>
      <c r="AR125" s="472">
        <v>-883.72</v>
      </c>
      <c r="AS125" s="475">
        <v>0</v>
      </c>
      <c r="AT125" s="475">
        <v>0</v>
      </c>
      <c r="AU125" s="475">
        <v>0</v>
      </c>
      <c r="AV125" s="454">
        <f t="shared" si="77"/>
        <v>1475207.29</v>
      </c>
      <c r="AW125" s="454">
        <f t="shared" si="78"/>
        <v>1475207.29</v>
      </c>
      <c r="AX125" s="455">
        <f t="shared" si="96"/>
        <v>1</v>
      </c>
      <c r="AY125" s="476">
        <f t="shared" si="79"/>
        <v>46937.31</v>
      </c>
      <c r="AZ125" s="476">
        <f t="shared" si="80"/>
        <v>16713.34</v>
      </c>
      <c r="BA125" s="476">
        <f t="shared" si="81"/>
        <v>18667.78</v>
      </c>
      <c r="BB125" s="476">
        <f t="shared" si="82"/>
        <v>0</v>
      </c>
      <c r="BC125" s="476">
        <f t="shared" si="83"/>
        <v>0</v>
      </c>
      <c r="BD125" s="476">
        <f t="shared" si="84"/>
        <v>1557525.72</v>
      </c>
      <c r="BE125" s="477">
        <f t="shared" si="85"/>
        <v>1557525.7200000002</v>
      </c>
      <c r="BF125" s="478">
        <f t="shared" si="86"/>
        <v>0</v>
      </c>
      <c r="BG125" s="479">
        <f t="shared" si="87"/>
        <v>621874.66</v>
      </c>
      <c r="BH125" s="480">
        <f t="shared" si="53"/>
        <v>144071.91999999993</v>
      </c>
      <c r="BI125" s="407" t="s">
        <v>692</v>
      </c>
      <c r="BM125" s="429">
        <f>IF(BR125&gt;BR124,BM124,IF(BM124&lt;MiscData!$F$1,EOMONTH(BM124,1),EOMONTH(BM124,-11)))</f>
        <v>41759</v>
      </c>
      <c r="BN125" s="416" t="str">
        <f t="shared" si="54"/>
        <v>20140101KUCIE566</v>
      </c>
      <c r="BO125" s="427" t="str">
        <f t="shared" si="55"/>
        <v>20140101PSP</v>
      </c>
      <c r="BP125" s="407">
        <f>IF(BM125&lt;=MiscData!$B$23,MiscData!$C$23,IF(BM125&lt;=MiscData!$B$24,MiscData!$C$24,MiscData!$C$25))</f>
        <v>20140101</v>
      </c>
      <c r="BQ125" s="407" t="str">
        <f>VLOOKUP(BR125,MiscData!$V$4:$W$42,2,FALSE)</f>
        <v>KUCIE566</v>
      </c>
      <c r="BR125" s="407">
        <f>IF(BR124=MiscData!$V$42,1,BR124+1)</f>
        <v>5</v>
      </c>
      <c r="BS125" s="407" t="str">
        <f>VLOOKUP(BQ125,MiscData!$W$4:$Y$42,3,FALSE)</f>
        <v>PSP</v>
      </c>
    </row>
    <row r="126" spans="1:72" hidden="1">
      <c r="A126" s="463">
        <f t="shared" si="95"/>
        <v>114</v>
      </c>
      <c r="B126" s="464" t="str">
        <f t="shared" si="49"/>
        <v>Apr 2014</v>
      </c>
      <c r="C126" s="464" t="s">
        <v>25</v>
      </c>
      <c r="D126" s="465" t="str">
        <f t="shared" si="50"/>
        <v>PSS</v>
      </c>
      <c r="E126" s="465" t="str">
        <f t="shared" si="51"/>
        <v>KUCIE568</v>
      </c>
      <c r="F126" s="466">
        <f t="shared" si="56"/>
        <v>399</v>
      </c>
      <c r="G126" s="467">
        <v>0</v>
      </c>
      <c r="H126" s="466">
        <v>0</v>
      </c>
      <c r="I126" s="466">
        <v>0</v>
      </c>
      <c r="J126" s="466">
        <v>0</v>
      </c>
      <c r="K126" s="466">
        <f t="shared" si="57"/>
        <v>55207646</v>
      </c>
      <c r="L126" s="459">
        <v>0</v>
      </c>
      <c r="M126" s="443">
        <f t="shared" si="58"/>
        <v>0</v>
      </c>
      <c r="N126" s="469">
        <f t="shared" si="59"/>
        <v>142960.4</v>
      </c>
      <c r="O126" s="469">
        <f t="shared" si="60"/>
        <v>0</v>
      </c>
      <c r="P126" s="469">
        <f t="shared" si="61"/>
        <v>0</v>
      </c>
      <c r="Q126" s="469">
        <f t="shared" si="62"/>
        <v>151475.17000000001</v>
      </c>
      <c r="R126" s="469">
        <f t="shared" si="63"/>
        <v>0</v>
      </c>
      <c r="S126" s="484">
        <v>0</v>
      </c>
      <c r="T126" s="484">
        <v>8514.77</v>
      </c>
      <c r="U126" s="484">
        <v>0</v>
      </c>
      <c r="V126" s="490">
        <v>0</v>
      </c>
      <c r="W126" s="490">
        <v>0</v>
      </c>
      <c r="X126" s="490">
        <v>0</v>
      </c>
      <c r="Y126" s="470">
        <f t="shared" si="64"/>
        <v>90</v>
      </c>
      <c r="Z126" s="471">
        <f t="shared" si="65"/>
        <v>3.5640000000000005E-2</v>
      </c>
      <c r="AA126" s="471">
        <v>0</v>
      </c>
      <c r="AB126" s="471">
        <v>0</v>
      </c>
      <c r="AC126" s="471">
        <f t="shared" si="66"/>
        <v>2.8920000000000001E-2</v>
      </c>
      <c r="AD126" s="470">
        <f t="shared" si="67"/>
        <v>0</v>
      </c>
      <c r="AE126" s="470">
        <f t="shared" si="68"/>
        <v>13.2</v>
      </c>
      <c r="AF126" s="470">
        <f t="shared" si="69"/>
        <v>15.3</v>
      </c>
      <c r="AG126" s="454">
        <f t="shared" si="70"/>
        <v>35910</v>
      </c>
      <c r="AH126" s="454">
        <f t="shared" si="92"/>
        <v>1967600.5</v>
      </c>
      <c r="AI126" s="421">
        <f t="shared" si="71"/>
        <v>0</v>
      </c>
      <c r="AJ126" s="421">
        <f t="shared" si="72"/>
        <v>1887077.28</v>
      </c>
      <c r="AK126" s="421">
        <f t="shared" si="73"/>
        <v>0</v>
      </c>
      <c r="AL126" s="472">
        <v>333.25</v>
      </c>
      <c r="AM126" s="473">
        <f t="shared" si="91"/>
        <v>62205.3</v>
      </c>
      <c r="AN126" s="474">
        <f t="shared" si="75"/>
        <v>112394.96</v>
      </c>
      <c r="AO126" s="454">
        <f t="shared" si="76"/>
        <v>2062010.79</v>
      </c>
      <c r="AP126" s="472">
        <v>-243.23</v>
      </c>
      <c r="AQ126" s="472">
        <v>0.02</v>
      </c>
      <c r="AR126" s="472">
        <v>-11535.19</v>
      </c>
      <c r="AS126" s="475">
        <v>0</v>
      </c>
      <c r="AT126" s="475">
        <v>0</v>
      </c>
      <c r="AU126" s="475">
        <v>0</v>
      </c>
      <c r="AV126" s="454">
        <f t="shared" si="77"/>
        <v>4053742.89</v>
      </c>
      <c r="AW126" s="454">
        <f t="shared" si="78"/>
        <v>4053742.89</v>
      </c>
      <c r="AX126" s="455">
        <f t="shared" si="96"/>
        <v>1</v>
      </c>
      <c r="AY126" s="476">
        <f t="shared" si="79"/>
        <v>119223.8</v>
      </c>
      <c r="AZ126" s="476">
        <f t="shared" si="80"/>
        <v>43645.23</v>
      </c>
      <c r="BA126" s="476">
        <f t="shared" si="81"/>
        <v>53778.19</v>
      </c>
      <c r="BB126" s="476">
        <f t="shared" si="82"/>
        <v>0</v>
      </c>
      <c r="BC126" s="476">
        <f t="shared" si="83"/>
        <v>0</v>
      </c>
      <c r="BD126" s="476">
        <f t="shared" si="84"/>
        <v>4270390.1100000003</v>
      </c>
      <c r="BE126" s="477">
        <f t="shared" si="85"/>
        <v>4270390.1100000003</v>
      </c>
      <c r="BF126" s="478">
        <f t="shared" si="86"/>
        <v>0</v>
      </c>
      <c r="BG126" s="479">
        <f t="shared" si="87"/>
        <v>1596605.12</v>
      </c>
      <c r="BH126" s="480">
        <f t="shared" si="53"/>
        <v>370995.39999999991</v>
      </c>
      <c r="BI126" s="407" t="s">
        <v>692</v>
      </c>
      <c r="BM126" s="429">
        <f>IF(BR126&gt;BR125,BM125,IF(BM125&lt;MiscData!$F$1,EOMONTH(BM125,1),EOMONTH(BM125,-11)))</f>
        <v>41759</v>
      </c>
      <c r="BN126" s="416" t="str">
        <f t="shared" si="54"/>
        <v>20140101KUCIE568</v>
      </c>
      <c r="BO126" s="427" t="str">
        <f t="shared" si="55"/>
        <v>20140101PSS</v>
      </c>
      <c r="BP126" s="407">
        <f>IF(BM126&lt;=MiscData!$B$23,MiscData!$C$23,IF(BM126&lt;=MiscData!$B$24,MiscData!$C$24,MiscData!$C$25))</f>
        <v>20140101</v>
      </c>
      <c r="BQ126" s="407" t="str">
        <f>VLOOKUP(BR126,MiscData!$V$4:$W$42,2,FALSE)</f>
        <v>KUCIE568</v>
      </c>
      <c r="BR126" s="407">
        <f>IF(BR125=MiscData!$V$42,1,BR125+1)</f>
        <v>6</v>
      </c>
      <c r="BS126" s="407" t="str">
        <f>VLOOKUP(BQ126,MiscData!$W$4:$Y$42,3,FALSE)</f>
        <v>PSS</v>
      </c>
    </row>
    <row r="127" spans="1:72" hidden="1">
      <c r="A127" s="463">
        <f t="shared" si="95"/>
        <v>115</v>
      </c>
      <c r="B127" s="464" t="str">
        <f t="shared" si="49"/>
        <v>Apr 2014</v>
      </c>
      <c r="C127" s="464" t="s">
        <v>221</v>
      </c>
      <c r="D127" s="465" t="str">
        <f t="shared" si="50"/>
        <v>TODP</v>
      </c>
      <c r="E127" s="465" t="str">
        <f t="shared" si="51"/>
        <v>KUCIE571</v>
      </c>
      <c r="F127" s="466">
        <f t="shared" si="56"/>
        <v>157</v>
      </c>
      <c r="G127" s="467">
        <v>0</v>
      </c>
      <c r="H127" s="466">
        <v>0</v>
      </c>
      <c r="I127" s="466">
        <v>0</v>
      </c>
      <c r="J127" s="466">
        <v>0</v>
      </c>
      <c r="K127" s="466">
        <f t="shared" si="57"/>
        <v>93811383</v>
      </c>
      <c r="L127" s="481">
        <v>0</v>
      </c>
      <c r="M127" s="443">
        <f t="shared" si="58"/>
        <v>243085.9</v>
      </c>
      <c r="N127" s="469">
        <f t="shared" si="59"/>
        <v>241318.7</v>
      </c>
      <c r="O127" s="469">
        <f t="shared" si="60"/>
        <v>236491.9</v>
      </c>
      <c r="P127" s="469">
        <f t="shared" si="61"/>
        <v>256018.9</v>
      </c>
      <c r="Q127" s="469">
        <f t="shared" si="62"/>
        <v>244047.1</v>
      </c>
      <c r="R127" s="469">
        <f t="shared" si="63"/>
        <v>239244.3</v>
      </c>
      <c r="S127" s="484">
        <v>12933</v>
      </c>
      <c r="T127" s="484">
        <v>2728.4</v>
      </c>
      <c r="U127" s="484">
        <v>2752.4</v>
      </c>
      <c r="V127" s="490">
        <v>0</v>
      </c>
      <c r="W127" s="490">
        <v>0</v>
      </c>
      <c r="X127" s="490">
        <v>0</v>
      </c>
      <c r="Y127" s="470">
        <f t="shared" si="64"/>
        <v>300</v>
      </c>
      <c r="Z127" s="471">
        <f t="shared" si="65"/>
        <v>3.7650000000000003E-2</v>
      </c>
      <c r="AA127" s="471">
        <v>0</v>
      </c>
      <c r="AB127" s="471">
        <v>0</v>
      </c>
      <c r="AC127" s="471">
        <f t="shared" si="66"/>
        <v>2.8920000000000001E-2</v>
      </c>
      <c r="AD127" s="470">
        <f t="shared" si="67"/>
        <v>1.71</v>
      </c>
      <c r="AE127" s="470">
        <f t="shared" si="68"/>
        <v>2.76</v>
      </c>
      <c r="AF127" s="470">
        <f t="shared" si="69"/>
        <v>4.26</v>
      </c>
      <c r="AG127" s="454">
        <f t="shared" si="70"/>
        <v>47100</v>
      </c>
      <c r="AH127" s="454">
        <f t="shared" si="92"/>
        <v>3531998.57</v>
      </c>
      <c r="AI127" s="421">
        <f t="shared" si="71"/>
        <v>415676.89</v>
      </c>
      <c r="AJ127" s="421">
        <f t="shared" si="72"/>
        <v>666039.61</v>
      </c>
      <c r="AK127" s="421">
        <f t="shared" si="73"/>
        <v>1007455.49</v>
      </c>
      <c r="AL127" s="472">
        <v>4187.5</v>
      </c>
      <c r="AM127" s="473">
        <f t="shared" si="91"/>
        <v>0</v>
      </c>
      <c r="AN127" s="474">
        <f t="shared" si="75"/>
        <v>41371.040000000001</v>
      </c>
      <c r="AO127" s="454">
        <f t="shared" si="76"/>
        <v>2134730.5299999998</v>
      </c>
      <c r="AP127" s="472">
        <v>-200</v>
      </c>
      <c r="AQ127" s="472">
        <v>0.03</v>
      </c>
      <c r="AR127" s="472">
        <v>-30609.68</v>
      </c>
      <c r="AS127" s="475">
        <v>0</v>
      </c>
      <c r="AT127" s="475">
        <v>0</v>
      </c>
      <c r="AU127" s="475">
        <v>0</v>
      </c>
      <c r="AV127" s="454">
        <f t="shared" si="77"/>
        <v>5683019.4500000011</v>
      </c>
      <c r="AW127" s="454">
        <f t="shared" si="78"/>
        <v>5683019.4500000002</v>
      </c>
      <c r="AX127" s="455">
        <f t="shared" si="96"/>
        <v>0.99999999999999989</v>
      </c>
      <c r="AY127" s="476">
        <f t="shared" si="79"/>
        <v>204333.35</v>
      </c>
      <c r="AZ127" s="476">
        <f t="shared" si="80"/>
        <v>28638.71</v>
      </c>
      <c r="BA127" s="476">
        <f t="shared" si="81"/>
        <v>64407.93</v>
      </c>
      <c r="BB127" s="476">
        <f t="shared" si="82"/>
        <v>0</v>
      </c>
      <c r="BC127" s="476">
        <f t="shared" si="83"/>
        <v>0</v>
      </c>
      <c r="BD127" s="476">
        <f t="shared" si="84"/>
        <v>5980399.4400000004</v>
      </c>
      <c r="BE127" s="477">
        <f t="shared" si="85"/>
        <v>5980399.4400000004</v>
      </c>
      <c r="BF127" s="478">
        <f t="shared" si="86"/>
        <v>0</v>
      </c>
      <c r="BG127" s="479">
        <f t="shared" si="87"/>
        <v>2713025.2</v>
      </c>
      <c r="BH127" s="480">
        <f t="shared" si="53"/>
        <v>818973.39999999944</v>
      </c>
      <c r="BI127" s="407" t="s">
        <v>692</v>
      </c>
      <c r="BM127" s="429">
        <f>IF(BR127&gt;BR126,BM126,IF(BM126&lt;MiscData!$F$1,EOMONTH(BM126,1),EOMONTH(BM126,-11)))</f>
        <v>41759</v>
      </c>
      <c r="BN127" s="416" t="str">
        <f t="shared" si="54"/>
        <v>20140101KUCIE571</v>
      </c>
      <c r="BO127" s="427" t="str">
        <f t="shared" si="55"/>
        <v>20140101TODP</v>
      </c>
      <c r="BP127" s="407">
        <f>IF(BM127&lt;=MiscData!$B$23,MiscData!$C$23,IF(BM127&lt;=MiscData!$B$24,MiscData!$C$24,MiscData!$C$25))</f>
        <v>20140101</v>
      </c>
      <c r="BQ127" s="407" t="str">
        <f>VLOOKUP(BR127,MiscData!$V$4:$W$42,2,FALSE)</f>
        <v>KUCIE571</v>
      </c>
      <c r="BR127" s="407">
        <f>IF(BR126=MiscData!$V$42,1,BR126+1)</f>
        <v>7</v>
      </c>
      <c r="BS127" s="407" t="str">
        <f>VLOOKUP(BQ127,MiscData!$W$4:$Y$42,3,FALSE)</f>
        <v>TODP</v>
      </c>
    </row>
    <row r="128" spans="1:72" hidden="1">
      <c r="A128" s="463">
        <f t="shared" si="95"/>
        <v>116</v>
      </c>
      <c r="B128" s="464" t="str">
        <f t="shared" si="49"/>
        <v>Apr 2014</v>
      </c>
      <c r="C128" s="464" t="s">
        <v>220</v>
      </c>
      <c r="D128" s="465" t="str">
        <f t="shared" si="50"/>
        <v>TODS</v>
      </c>
      <c r="E128" s="465" t="str">
        <f t="shared" si="51"/>
        <v>KUCIE572</v>
      </c>
      <c r="F128" s="466">
        <f t="shared" si="56"/>
        <v>428</v>
      </c>
      <c r="G128" s="467">
        <v>6</v>
      </c>
      <c r="H128" s="466">
        <v>0</v>
      </c>
      <c r="I128" s="466">
        <v>0</v>
      </c>
      <c r="J128" s="466">
        <v>0</v>
      </c>
      <c r="K128" s="466">
        <f t="shared" si="57"/>
        <v>94643548</v>
      </c>
      <c r="L128" s="481">
        <v>0</v>
      </c>
      <c r="M128" s="443">
        <f t="shared" si="58"/>
        <v>218397.3</v>
      </c>
      <c r="N128" s="469">
        <f t="shared" si="59"/>
        <v>216249.1</v>
      </c>
      <c r="O128" s="469">
        <f t="shared" si="60"/>
        <v>211381.5</v>
      </c>
      <c r="P128" s="469">
        <f t="shared" si="61"/>
        <v>241388.25</v>
      </c>
      <c r="Q128" s="469">
        <f t="shared" si="62"/>
        <v>217762.25</v>
      </c>
      <c r="R128" s="469">
        <f t="shared" si="63"/>
        <v>212992.1</v>
      </c>
      <c r="S128" s="484">
        <v>22990.950000000012</v>
      </c>
      <c r="T128" s="484">
        <v>1513.1499999999942</v>
      </c>
      <c r="U128" s="484">
        <v>1610.6000000000058</v>
      </c>
      <c r="V128" s="490">
        <v>0</v>
      </c>
      <c r="W128" s="490">
        <v>0</v>
      </c>
      <c r="X128" s="490">
        <v>0</v>
      </c>
      <c r="Y128" s="470">
        <f t="shared" si="64"/>
        <v>200</v>
      </c>
      <c r="Z128" s="471">
        <f t="shared" si="65"/>
        <v>3.773E-2</v>
      </c>
      <c r="AA128" s="471">
        <v>0</v>
      </c>
      <c r="AB128" s="471">
        <v>0</v>
      </c>
      <c r="AC128" s="471">
        <f t="shared" si="66"/>
        <v>2.8920000000000001E-2</v>
      </c>
      <c r="AD128" s="470">
        <f t="shared" si="67"/>
        <v>3.62</v>
      </c>
      <c r="AE128" s="470">
        <f t="shared" si="68"/>
        <v>2.95</v>
      </c>
      <c r="AF128" s="470">
        <f t="shared" si="69"/>
        <v>4.55</v>
      </c>
      <c r="AG128" s="454">
        <f t="shared" si="70"/>
        <v>86800</v>
      </c>
      <c r="AH128" s="454">
        <f t="shared" si="92"/>
        <v>3570901.07</v>
      </c>
      <c r="AI128" s="421">
        <f t="shared" si="71"/>
        <v>790598.23</v>
      </c>
      <c r="AJ128" s="421">
        <f t="shared" si="72"/>
        <v>637934.85</v>
      </c>
      <c r="AK128" s="421">
        <f t="shared" si="73"/>
        <v>961785.83</v>
      </c>
      <c r="AL128" s="472">
        <v>7907.43</v>
      </c>
      <c r="AM128" s="473">
        <f t="shared" si="91"/>
        <v>74392.84</v>
      </c>
      <c r="AN128" s="474">
        <f t="shared" si="75"/>
        <v>95019.26</v>
      </c>
      <c r="AO128" s="454">
        <f t="shared" si="76"/>
        <v>2567638.44</v>
      </c>
      <c r="AP128" s="472">
        <v>-1376.25</v>
      </c>
      <c r="AQ128" s="472">
        <v>7.0000000000000007E-2</v>
      </c>
      <c r="AR128" s="472">
        <v>29902.05</v>
      </c>
      <c r="AS128" s="475">
        <v>0</v>
      </c>
      <c r="AT128" s="475">
        <v>0</v>
      </c>
      <c r="AU128" s="475">
        <v>0</v>
      </c>
      <c r="AV128" s="454">
        <f t="shared" si="77"/>
        <v>6253865.379999999</v>
      </c>
      <c r="AW128" s="454">
        <f t="shared" si="78"/>
        <v>6253865.3799999999</v>
      </c>
      <c r="AX128" s="455">
        <f t="shared" si="96"/>
        <v>1.0000000000000002</v>
      </c>
      <c r="AY128" s="476">
        <f t="shared" si="79"/>
        <v>209608.62</v>
      </c>
      <c r="AZ128" s="476">
        <f t="shared" si="80"/>
        <v>68002.94</v>
      </c>
      <c r="BA128" s="476">
        <f t="shared" si="81"/>
        <v>77656.899999999994</v>
      </c>
      <c r="BB128" s="476">
        <f t="shared" si="82"/>
        <v>0</v>
      </c>
      <c r="BC128" s="476">
        <f t="shared" si="83"/>
        <v>0</v>
      </c>
      <c r="BD128" s="476">
        <f t="shared" si="84"/>
        <v>6609133.8399999999</v>
      </c>
      <c r="BE128" s="477">
        <f t="shared" si="85"/>
        <v>6609133.8399999999</v>
      </c>
      <c r="BF128" s="478">
        <f t="shared" si="86"/>
        <v>0</v>
      </c>
      <c r="BG128" s="479">
        <f t="shared" si="87"/>
        <v>2737091.41</v>
      </c>
      <c r="BH128" s="480">
        <f t="shared" si="53"/>
        <v>833809.72999999952</v>
      </c>
      <c r="BI128" s="407" t="s">
        <v>692</v>
      </c>
      <c r="BM128" s="429">
        <f>IF(BR128&gt;BR127,BM127,IF(BM127&lt;MiscData!$F$1,EOMONTH(BM127,1),EOMONTH(BM127,-11)))</f>
        <v>41759</v>
      </c>
      <c r="BN128" s="416" t="str">
        <f t="shared" si="54"/>
        <v>20140101KUCIE572</v>
      </c>
      <c r="BO128" s="427" t="str">
        <f t="shared" si="55"/>
        <v>20140101TODS</v>
      </c>
      <c r="BP128" s="407">
        <f>IF(BM128&lt;=MiscData!$B$23,MiscData!$C$23,IF(BM128&lt;=MiscData!$B$24,MiscData!$C$24,MiscData!$C$25))</f>
        <v>20140101</v>
      </c>
      <c r="BQ128" s="407" t="str">
        <f>VLOOKUP(BR128,MiscData!$V$4:$W$42,2,FALSE)</f>
        <v>KUCIE572</v>
      </c>
      <c r="BR128" s="407">
        <f>IF(BR127=MiscData!$V$42,1,BR127+1)</f>
        <v>8</v>
      </c>
      <c r="BS128" s="407" t="str">
        <f>VLOOKUP(BQ128,MiscData!$W$4:$Y$42,3,FALSE)</f>
        <v>TODS</v>
      </c>
    </row>
    <row r="129" spans="1:71" hidden="1">
      <c r="A129" s="463">
        <f t="shared" si="95"/>
        <v>117</v>
      </c>
      <c r="B129" s="464" t="str">
        <f t="shared" si="49"/>
        <v>Apr 2014</v>
      </c>
      <c r="C129" s="464" t="s">
        <v>25</v>
      </c>
      <c r="D129" s="465" t="str">
        <f t="shared" si="50"/>
        <v>PSS</v>
      </c>
      <c r="E129" s="465" t="str">
        <f t="shared" si="51"/>
        <v>KUCIE717</v>
      </c>
      <c r="F129" s="466">
        <f t="shared" si="56"/>
        <v>1</v>
      </c>
      <c r="G129" s="467">
        <v>0</v>
      </c>
      <c r="H129" s="466">
        <v>0</v>
      </c>
      <c r="I129" s="466">
        <v>0</v>
      </c>
      <c r="J129" s="466">
        <v>0</v>
      </c>
      <c r="K129" s="466">
        <f t="shared" si="57"/>
        <v>23280</v>
      </c>
      <c r="L129" s="459">
        <v>0</v>
      </c>
      <c r="M129" s="443">
        <f t="shared" si="58"/>
        <v>0</v>
      </c>
      <c r="N129" s="469">
        <f t="shared" si="59"/>
        <v>120.8</v>
      </c>
      <c r="O129" s="469">
        <f t="shared" si="60"/>
        <v>0</v>
      </c>
      <c r="P129" s="469">
        <f t="shared" si="61"/>
        <v>0</v>
      </c>
      <c r="Q129" s="469">
        <f t="shared" si="62"/>
        <v>0</v>
      </c>
      <c r="R129" s="469">
        <f t="shared" si="63"/>
        <v>0</v>
      </c>
      <c r="S129" s="484">
        <v>0</v>
      </c>
      <c r="T129" s="484">
        <v>0</v>
      </c>
      <c r="U129" s="484">
        <v>0</v>
      </c>
      <c r="V129" s="490">
        <v>0</v>
      </c>
      <c r="W129" s="490">
        <v>0</v>
      </c>
      <c r="X129" s="490">
        <v>0</v>
      </c>
      <c r="Y129" s="470">
        <f t="shared" si="64"/>
        <v>90</v>
      </c>
      <c r="Z129" s="471">
        <f t="shared" si="65"/>
        <v>3.5640000000000005E-2</v>
      </c>
      <c r="AA129" s="471">
        <v>0</v>
      </c>
      <c r="AB129" s="471">
        <v>0</v>
      </c>
      <c r="AC129" s="471">
        <f t="shared" si="66"/>
        <v>2.8920000000000001E-2</v>
      </c>
      <c r="AD129" s="470">
        <f t="shared" si="67"/>
        <v>0</v>
      </c>
      <c r="AE129" s="470">
        <f t="shared" si="68"/>
        <v>13.2</v>
      </c>
      <c r="AF129" s="470">
        <f t="shared" si="69"/>
        <v>15.3</v>
      </c>
      <c r="AG129" s="454">
        <f t="shared" si="70"/>
        <v>90</v>
      </c>
      <c r="AH129" s="454">
        <f t="shared" si="92"/>
        <v>829.7</v>
      </c>
      <c r="AI129" s="421">
        <f t="shared" si="71"/>
        <v>0</v>
      </c>
      <c r="AJ129" s="421">
        <f t="shared" si="72"/>
        <v>1594.56</v>
      </c>
      <c r="AK129" s="421">
        <f t="shared" si="73"/>
        <v>0</v>
      </c>
      <c r="AL129" s="472">
        <v>0</v>
      </c>
      <c r="AM129" s="473">
        <f t="shared" si="91"/>
        <v>0</v>
      </c>
      <c r="AN129" s="474">
        <f t="shared" si="75"/>
        <v>0</v>
      </c>
      <c r="AO129" s="454">
        <f t="shared" si="76"/>
        <v>1594.56</v>
      </c>
      <c r="AP129" s="472">
        <v>0</v>
      </c>
      <c r="AQ129" s="472">
        <v>0</v>
      </c>
      <c r="AR129" s="472">
        <v>0</v>
      </c>
      <c r="AS129" s="475">
        <v>0</v>
      </c>
      <c r="AT129" s="475">
        <v>0</v>
      </c>
      <c r="AU129" s="475">
        <v>0</v>
      </c>
      <c r="AV129" s="454">
        <f t="shared" si="77"/>
        <v>2514.2600000000002</v>
      </c>
      <c r="AW129" s="454">
        <f t="shared" si="78"/>
        <v>2514.2599999999998</v>
      </c>
      <c r="AX129" s="455">
        <f t="shared" si="96"/>
        <v>0.99999999999999978</v>
      </c>
      <c r="AY129" s="476">
        <f t="shared" si="79"/>
        <v>49.35</v>
      </c>
      <c r="AZ129" s="476">
        <f t="shared" si="80"/>
        <v>31.89</v>
      </c>
      <c r="BA129" s="476">
        <f t="shared" si="81"/>
        <v>39.520000000000003</v>
      </c>
      <c r="BB129" s="476">
        <f t="shared" si="82"/>
        <v>0</v>
      </c>
      <c r="BC129" s="476">
        <f t="shared" si="83"/>
        <v>0</v>
      </c>
      <c r="BD129" s="476">
        <f t="shared" si="84"/>
        <v>2635.02</v>
      </c>
      <c r="BE129" s="477">
        <f t="shared" si="85"/>
        <v>2635.02</v>
      </c>
      <c r="BF129" s="478">
        <f t="shared" si="86"/>
        <v>0</v>
      </c>
      <c r="BG129" s="479">
        <f t="shared" si="87"/>
        <v>673.26</v>
      </c>
      <c r="BH129" s="480">
        <f t="shared" si="53"/>
        <v>156.44000000000005</v>
      </c>
      <c r="BI129" s="407" t="s">
        <v>692</v>
      </c>
      <c r="BM129" s="429">
        <f>IF(BR129&gt;BR128,BM128,IF(BM128&lt;MiscData!$F$1,EOMONTH(BM128,1),EOMONTH(BM128,-11)))</f>
        <v>41759</v>
      </c>
      <c r="BN129" s="416" t="str">
        <f t="shared" si="54"/>
        <v>20140101KUCIE717</v>
      </c>
      <c r="BO129" s="427" t="str">
        <f t="shared" si="55"/>
        <v>20140101PSS</v>
      </c>
      <c r="BP129" s="407">
        <f>IF(BM129&lt;=MiscData!$B$23,MiscData!$C$23,IF(BM129&lt;=MiscData!$B$24,MiscData!$C$24,MiscData!$C$25))</f>
        <v>20140101</v>
      </c>
      <c r="BQ129" s="407" t="str">
        <f>VLOOKUP(BR129,MiscData!$V$4:$W$42,2,FALSE)</f>
        <v>KUCIE717</v>
      </c>
      <c r="BR129" s="407">
        <f>IF(BR128=MiscData!$V$42,1,BR128+1)</f>
        <v>9</v>
      </c>
      <c r="BS129" s="407" t="str">
        <f>VLOOKUP(BQ129,MiscData!$W$4:$Y$42,3,FALSE)</f>
        <v>PSS</v>
      </c>
    </row>
    <row r="130" spans="1:71" hidden="1">
      <c r="A130" s="463">
        <f t="shared" si="95"/>
        <v>118</v>
      </c>
      <c r="B130" s="464" t="str">
        <f t="shared" si="49"/>
        <v>Apr 2014</v>
      </c>
      <c r="C130" s="464" t="s">
        <v>224</v>
      </c>
      <c r="D130" s="465" t="str">
        <f t="shared" si="50"/>
        <v>GS</v>
      </c>
      <c r="E130" s="465" t="str">
        <f t="shared" si="51"/>
        <v>KUCME110</v>
      </c>
      <c r="F130" s="466">
        <f t="shared" si="56"/>
        <v>64412</v>
      </c>
      <c r="G130" s="467">
        <v>0</v>
      </c>
      <c r="H130" s="466">
        <v>0</v>
      </c>
      <c r="I130" s="466">
        <v>0</v>
      </c>
      <c r="J130" s="466">
        <v>0</v>
      </c>
      <c r="K130" s="466">
        <f t="shared" si="57"/>
        <v>59618393</v>
      </c>
      <c r="L130" s="459">
        <v>0</v>
      </c>
      <c r="M130" s="443">
        <f t="shared" si="58"/>
        <v>125187.5</v>
      </c>
      <c r="N130" s="469">
        <f t="shared" si="59"/>
        <v>0</v>
      </c>
      <c r="O130" s="469">
        <f t="shared" si="60"/>
        <v>0</v>
      </c>
      <c r="P130" s="469">
        <f t="shared" si="61"/>
        <v>0</v>
      </c>
      <c r="Q130" s="469">
        <f t="shared" si="62"/>
        <v>0</v>
      </c>
      <c r="R130" s="469">
        <f t="shared" si="63"/>
        <v>0</v>
      </c>
      <c r="S130" s="484">
        <v>0</v>
      </c>
      <c r="T130" s="484">
        <v>0</v>
      </c>
      <c r="U130" s="484">
        <v>0</v>
      </c>
      <c r="V130" s="490">
        <v>0</v>
      </c>
      <c r="W130" s="490">
        <v>0</v>
      </c>
      <c r="X130" s="490">
        <v>0</v>
      </c>
      <c r="Y130" s="470">
        <f t="shared" si="64"/>
        <v>20</v>
      </c>
      <c r="Z130" s="471">
        <f t="shared" si="65"/>
        <v>9.2249999999999999E-2</v>
      </c>
      <c r="AA130" s="471">
        <v>0</v>
      </c>
      <c r="AB130" s="471">
        <v>0</v>
      </c>
      <c r="AC130" s="471">
        <f t="shared" si="66"/>
        <v>2.8920000000000001E-2</v>
      </c>
      <c r="AD130" s="470">
        <f t="shared" si="67"/>
        <v>0</v>
      </c>
      <c r="AE130" s="470">
        <f t="shared" si="68"/>
        <v>0</v>
      </c>
      <c r="AF130" s="470">
        <f t="shared" si="69"/>
        <v>0</v>
      </c>
      <c r="AG130" s="454">
        <f t="shared" si="70"/>
        <v>1288240</v>
      </c>
      <c r="AH130" s="454">
        <f t="shared" si="92"/>
        <v>5499796.75</v>
      </c>
      <c r="AI130" s="421">
        <f t="shared" si="71"/>
        <v>0</v>
      </c>
      <c r="AJ130" s="421">
        <f t="shared" si="72"/>
        <v>0</v>
      </c>
      <c r="AK130" s="421">
        <f t="shared" si="73"/>
        <v>0</v>
      </c>
      <c r="AL130" s="472">
        <v>0</v>
      </c>
      <c r="AM130" s="473">
        <f t="shared" si="91"/>
        <v>0</v>
      </c>
      <c r="AN130" s="474">
        <f t="shared" si="75"/>
        <v>0</v>
      </c>
      <c r="AO130" s="454">
        <f t="shared" si="76"/>
        <v>0</v>
      </c>
      <c r="AP130" s="472">
        <v>11764.77</v>
      </c>
      <c r="AQ130" s="472">
        <v>34.33</v>
      </c>
      <c r="AR130" s="472">
        <v>0</v>
      </c>
      <c r="AS130" s="475">
        <v>0</v>
      </c>
      <c r="AT130" s="475">
        <v>0</v>
      </c>
      <c r="AU130" s="475">
        <v>0</v>
      </c>
      <c r="AV130" s="454">
        <f t="shared" si="77"/>
        <v>6799835.8499999996</v>
      </c>
      <c r="AW130" s="454">
        <f t="shared" si="78"/>
        <v>6799835.8500000006</v>
      </c>
      <c r="AX130" s="455">
        <f t="shared" ref="AX130:AX139" si="97">IF(AND(AV130=0,AW130=0),1,IF(AV130=0,0,AW130/AV130))</f>
        <v>1.0000000000000002</v>
      </c>
      <c r="AY130" s="476">
        <f t="shared" si="79"/>
        <v>130392.83</v>
      </c>
      <c r="AZ130" s="476">
        <f t="shared" si="80"/>
        <v>172989.52</v>
      </c>
      <c r="BA130" s="476">
        <f t="shared" si="81"/>
        <v>111648.03</v>
      </c>
      <c r="BB130" s="476">
        <f t="shared" si="82"/>
        <v>0</v>
      </c>
      <c r="BC130" s="476">
        <f t="shared" si="83"/>
        <v>0</v>
      </c>
      <c r="BD130" s="476">
        <f t="shared" si="84"/>
        <v>7214866.2300000004</v>
      </c>
      <c r="BE130" s="477">
        <f t="shared" si="85"/>
        <v>7214866.2299999995</v>
      </c>
      <c r="BF130" s="478">
        <f t="shared" si="86"/>
        <v>0</v>
      </c>
      <c r="BG130" s="479">
        <f t="shared" si="87"/>
        <v>1724163.93</v>
      </c>
      <c r="BH130" s="480">
        <f t="shared" si="53"/>
        <v>3775667.1500000004</v>
      </c>
      <c r="BI130" s="407" t="s">
        <v>692</v>
      </c>
      <c r="BM130" s="429">
        <f>IF(BR130&gt;BR129,BM129,IF(BM129&lt;MiscData!$F$1,EOMONTH(BM129,1),EOMONTH(BM129,-11)))</f>
        <v>41759</v>
      </c>
      <c r="BN130" s="416" t="str">
        <f t="shared" si="54"/>
        <v>20140101KUCME110</v>
      </c>
      <c r="BO130" s="427" t="str">
        <f t="shared" si="55"/>
        <v>20140101GS</v>
      </c>
      <c r="BP130" s="407">
        <f>IF(BM130&lt;=MiscData!$B$23,MiscData!$C$23,IF(BM130&lt;=MiscData!$B$24,MiscData!$C$24,MiscData!$C$25))</f>
        <v>20140101</v>
      </c>
      <c r="BQ130" s="407" t="str">
        <f>VLOOKUP(BR130,MiscData!$V$4:$W$42,2,FALSE)</f>
        <v>KUCME110</v>
      </c>
      <c r="BR130" s="407">
        <f>IF(BR129=MiscData!$V$42,1,BR129+1)</f>
        <v>10</v>
      </c>
      <c r="BS130" s="407" t="str">
        <f>VLOOKUP(BQ130,MiscData!$W$4:$Y$42,3,FALSE)</f>
        <v>GS</v>
      </c>
    </row>
    <row r="131" spans="1:71" hidden="1">
      <c r="A131" s="463">
        <f t="shared" si="95"/>
        <v>119</v>
      </c>
      <c r="B131" s="464" t="str">
        <f t="shared" si="49"/>
        <v>Apr 2014</v>
      </c>
      <c r="C131" s="464" t="s">
        <v>224</v>
      </c>
      <c r="D131" s="465" t="str">
        <f t="shared" si="50"/>
        <v>GS</v>
      </c>
      <c r="E131" s="465" t="str">
        <f t="shared" si="51"/>
        <v>KUCME112</v>
      </c>
      <c r="F131" s="466">
        <f t="shared" si="56"/>
        <v>61</v>
      </c>
      <c r="G131" s="467">
        <v>0</v>
      </c>
      <c r="H131" s="466">
        <v>0</v>
      </c>
      <c r="I131" s="466">
        <v>0</v>
      </c>
      <c r="J131" s="466">
        <v>0</v>
      </c>
      <c r="K131" s="466">
        <f t="shared" si="57"/>
        <v>10785</v>
      </c>
      <c r="L131" s="459">
        <v>0</v>
      </c>
      <c r="M131" s="443">
        <f t="shared" si="58"/>
        <v>0</v>
      </c>
      <c r="N131" s="469">
        <f t="shared" si="59"/>
        <v>0</v>
      </c>
      <c r="O131" s="469">
        <f t="shared" si="60"/>
        <v>0</v>
      </c>
      <c r="P131" s="469">
        <f t="shared" si="61"/>
        <v>0</v>
      </c>
      <c r="Q131" s="469">
        <f t="shared" si="62"/>
        <v>0</v>
      </c>
      <c r="R131" s="469">
        <f t="shared" si="63"/>
        <v>0</v>
      </c>
      <c r="S131" s="595">
        <v>0</v>
      </c>
      <c r="T131" s="595">
        <v>0</v>
      </c>
      <c r="U131" s="595">
        <v>0</v>
      </c>
      <c r="V131" s="596">
        <v>0</v>
      </c>
      <c r="W131" s="596">
        <v>0</v>
      </c>
      <c r="X131" s="596">
        <v>0</v>
      </c>
      <c r="Y131" s="470">
        <f t="shared" si="64"/>
        <v>20</v>
      </c>
      <c r="Z131" s="471">
        <f t="shared" si="65"/>
        <v>9.2249999999999999E-2</v>
      </c>
      <c r="AA131" s="471">
        <v>0</v>
      </c>
      <c r="AB131" s="471">
        <v>0</v>
      </c>
      <c r="AC131" s="471">
        <f t="shared" si="66"/>
        <v>2.8920000000000001E-2</v>
      </c>
      <c r="AD131" s="470">
        <f t="shared" si="67"/>
        <v>0</v>
      </c>
      <c r="AE131" s="470">
        <f t="shared" si="68"/>
        <v>0</v>
      </c>
      <c r="AF131" s="470">
        <f t="shared" si="69"/>
        <v>0</v>
      </c>
      <c r="AG131" s="454">
        <f t="shared" si="70"/>
        <v>1220</v>
      </c>
      <c r="AH131" s="454">
        <f t="shared" si="92"/>
        <v>994.92</v>
      </c>
      <c r="AI131" s="421">
        <f t="shared" si="71"/>
        <v>0</v>
      </c>
      <c r="AJ131" s="421">
        <f t="shared" si="72"/>
        <v>0</v>
      </c>
      <c r="AK131" s="421">
        <f t="shared" si="73"/>
        <v>0</v>
      </c>
      <c r="AL131" s="472">
        <v>0</v>
      </c>
      <c r="AM131" s="473">
        <f t="shared" si="91"/>
        <v>0</v>
      </c>
      <c r="AN131" s="474">
        <f t="shared" si="75"/>
        <v>0</v>
      </c>
      <c r="AO131" s="454">
        <f t="shared" si="76"/>
        <v>0</v>
      </c>
      <c r="AP131" s="472">
        <v>0</v>
      </c>
      <c r="AQ131" s="472">
        <v>0.02</v>
      </c>
      <c r="AR131" s="472">
        <v>0</v>
      </c>
      <c r="AS131" s="475">
        <v>0</v>
      </c>
      <c r="AT131" s="475">
        <v>0</v>
      </c>
      <c r="AU131" s="475">
        <v>0</v>
      </c>
      <c r="AV131" s="454">
        <f t="shared" si="77"/>
        <v>2214.94</v>
      </c>
      <c r="AW131" s="454">
        <f t="shared" si="78"/>
        <v>2214.9399999999996</v>
      </c>
      <c r="AX131" s="455">
        <f t="shared" si="97"/>
        <v>0.99999999999999978</v>
      </c>
      <c r="AY131" s="476">
        <f t="shared" si="79"/>
        <v>24.55</v>
      </c>
      <c r="AZ131" s="476">
        <f t="shared" si="80"/>
        <v>31.33</v>
      </c>
      <c r="BA131" s="476">
        <f t="shared" si="81"/>
        <v>42.4</v>
      </c>
      <c r="BB131" s="476">
        <f t="shared" si="82"/>
        <v>0</v>
      </c>
      <c r="BC131" s="476">
        <f t="shared" si="83"/>
        <v>0</v>
      </c>
      <c r="BD131" s="476">
        <f t="shared" si="84"/>
        <v>2313.2199999999998</v>
      </c>
      <c r="BE131" s="477">
        <f t="shared" si="85"/>
        <v>2313.2200000000003</v>
      </c>
      <c r="BF131" s="478">
        <f t="shared" si="86"/>
        <v>0</v>
      </c>
      <c r="BG131" s="479">
        <f t="shared" si="87"/>
        <v>311.89999999999998</v>
      </c>
      <c r="BH131" s="480">
        <f t="shared" si="53"/>
        <v>683.04</v>
      </c>
      <c r="BI131" s="407" t="s">
        <v>692</v>
      </c>
      <c r="BM131" s="429">
        <f>IF(BR131&gt;BR130,BM130,IF(BM130&lt;MiscData!$F$1,EOMONTH(BM130,1),EOMONTH(BM130,-11)))</f>
        <v>41759</v>
      </c>
      <c r="BN131" s="416" t="str">
        <f t="shared" si="54"/>
        <v>20140101KUCME112</v>
      </c>
      <c r="BO131" s="427" t="str">
        <f t="shared" si="55"/>
        <v>20140101GS</v>
      </c>
      <c r="BP131" s="407">
        <f>IF(BM131&lt;=MiscData!$B$23,MiscData!$C$23,IF(BM131&lt;=MiscData!$B$24,MiscData!$C$24,MiscData!$C$25))</f>
        <v>20140101</v>
      </c>
      <c r="BQ131" s="407" t="str">
        <f>VLOOKUP(BR131,MiscData!$V$4:$W$42,2,FALSE)</f>
        <v>KUCME112</v>
      </c>
      <c r="BR131" s="407">
        <f>IF(BR130=MiscData!$V$42,1,BR130+1)</f>
        <v>11</v>
      </c>
      <c r="BS131" s="407" t="str">
        <f>VLOOKUP(BQ131,MiscData!$W$4:$Y$42,3,FALSE)</f>
        <v>GS</v>
      </c>
    </row>
    <row r="132" spans="1:71" hidden="1">
      <c r="A132" s="463">
        <f t="shared" si="95"/>
        <v>120</v>
      </c>
      <c r="B132" s="464" t="str">
        <f t="shared" ref="B132:B195" si="98">TEXT(BM132,"mmm yyyy")</f>
        <v>Apr 2014</v>
      </c>
      <c r="C132" s="464" t="s">
        <v>18</v>
      </c>
      <c r="D132" s="465" t="str">
        <f t="shared" ref="D132:D195" si="99">BS132</f>
        <v>GS3</v>
      </c>
      <c r="E132" s="465" t="str">
        <f t="shared" ref="E132:E195" si="100">BQ132</f>
        <v>KUCME113</v>
      </c>
      <c r="F132" s="466">
        <f t="shared" si="56"/>
        <v>17245</v>
      </c>
      <c r="G132" s="467">
        <v>0</v>
      </c>
      <c r="H132" s="466">
        <v>0</v>
      </c>
      <c r="I132" s="466">
        <v>0</v>
      </c>
      <c r="J132" s="466">
        <v>0</v>
      </c>
      <c r="K132" s="466">
        <f t="shared" si="57"/>
        <v>76504036</v>
      </c>
      <c r="L132" s="459">
        <v>0</v>
      </c>
      <c r="M132" s="443">
        <f t="shared" si="58"/>
        <v>350794.2</v>
      </c>
      <c r="N132" s="469">
        <f t="shared" si="59"/>
        <v>0</v>
      </c>
      <c r="O132" s="469">
        <f t="shared" si="60"/>
        <v>0</v>
      </c>
      <c r="P132" s="469">
        <f t="shared" si="61"/>
        <v>0</v>
      </c>
      <c r="Q132" s="469">
        <f t="shared" si="62"/>
        <v>0</v>
      </c>
      <c r="R132" s="469">
        <f t="shared" si="63"/>
        <v>0</v>
      </c>
      <c r="S132" s="595">
        <v>0</v>
      </c>
      <c r="T132" s="595">
        <v>0</v>
      </c>
      <c r="U132" s="595">
        <v>0</v>
      </c>
      <c r="V132" s="596">
        <v>0</v>
      </c>
      <c r="W132" s="596">
        <v>0</v>
      </c>
      <c r="X132" s="596">
        <v>0</v>
      </c>
      <c r="Y132" s="470">
        <f t="shared" si="64"/>
        <v>35</v>
      </c>
      <c r="Z132" s="471">
        <f t="shared" si="65"/>
        <v>9.2249999999999999E-2</v>
      </c>
      <c r="AA132" s="471">
        <v>0</v>
      </c>
      <c r="AB132" s="471">
        <v>0</v>
      </c>
      <c r="AC132" s="471">
        <f t="shared" si="66"/>
        <v>2.8920000000000001E-2</v>
      </c>
      <c r="AD132" s="470">
        <f t="shared" si="67"/>
        <v>0</v>
      </c>
      <c r="AE132" s="470">
        <f t="shared" si="68"/>
        <v>0</v>
      </c>
      <c r="AF132" s="470">
        <f t="shared" si="69"/>
        <v>0</v>
      </c>
      <c r="AG132" s="454">
        <f t="shared" si="70"/>
        <v>603575</v>
      </c>
      <c r="AH132" s="454">
        <f t="shared" si="92"/>
        <v>7057497.3200000003</v>
      </c>
      <c r="AI132" s="421">
        <f t="shared" si="71"/>
        <v>0</v>
      </c>
      <c r="AJ132" s="421">
        <f t="shared" si="72"/>
        <v>0</v>
      </c>
      <c r="AK132" s="421">
        <f t="shared" si="73"/>
        <v>0</v>
      </c>
      <c r="AL132" s="472">
        <v>0</v>
      </c>
      <c r="AM132" s="473">
        <f t="shared" si="91"/>
        <v>0</v>
      </c>
      <c r="AN132" s="474">
        <f t="shared" si="75"/>
        <v>0</v>
      </c>
      <c r="AO132" s="454">
        <f t="shared" si="76"/>
        <v>0</v>
      </c>
      <c r="AP132" s="472">
        <v>2015</v>
      </c>
      <c r="AQ132" s="472">
        <v>-247.64</v>
      </c>
      <c r="AR132" s="472">
        <v>0</v>
      </c>
      <c r="AS132" s="475">
        <v>0</v>
      </c>
      <c r="AT132" s="475">
        <v>0</v>
      </c>
      <c r="AU132" s="475">
        <v>0</v>
      </c>
      <c r="AV132" s="454">
        <f t="shared" si="77"/>
        <v>7662839.6800000006</v>
      </c>
      <c r="AW132" s="454">
        <f t="shared" si="78"/>
        <v>7662839.6800000006</v>
      </c>
      <c r="AX132" s="455">
        <f t="shared" si="97"/>
        <v>1</v>
      </c>
      <c r="AY132" s="476">
        <f t="shared" si="79"/>
        <v>166066.01999999999</v>
      </c>
      <c r="AZ132" s="476">
        <f t="shared" si="80"/>
        <v>208112.8</v>
      </c>
      <c r="BA132" s="476">
        <f t="shared" si="81"/>
        <v>121349.19</v>
      </c>
      <c r="BB132" s="476">
        <f t="shared" si="82"/>
        <v>0</v>
      </c>
      <c r="BC132" s="476">
        <f t="shared" si="83"/>
        <v>0</v>
      </c>
      <c r="BD132" s="476">
        <f t="shared" si="84"/>
        <v>8158367.6900000004</v>
      </c>
      <c r="BE132" s="477">
        <f t="shared" si="85"/>
        <v>8158367.6900000004</v>
      </c>
      <c r="BF132" s="478">
        <f t="shared" si="86"/>
        <v>0</v>
      </c>
      <c r="BG132" s="479">
        <f t="shared" si="87"/>
        <v>2212496.7200000002</v>
      </c>
      <c r="BH132" s="480">
        <f t="shared" ref="BH132:BH195" si="101">AH132+AQ132-BG132</f>
        <v>4844752.9600000009</v>
      </c>
      <c r="BI132" s="407" t="s">
        <v>692</v>
      </c>
      <c r="BM132" s="429">
        <f>IF(BR132&gt;BR131,BM131,IF(BM131&lt;MiscData!$F$1,EOMONTH(BM131,1),EOMONTH(BM131,-11)))</f>
        <v>41759</v>
      </c>
      <c r="BN132" s="416" t="str">
        <f t="shared" ref="BN132:BN195" si="102">CONCATENATE(BP132&amp;BQ132)</f>
        <v>20140101KUCME113</v>
      </c>
      <c r="BO132" s="427" t="str">
        <f t="shared" ref="BO132:BO195" si="103">CONCATENATE(BP132&amp;BS132)</f>
        <v>20140101GS3</v>
      </c>
      <c r="BP132" s="407">
        <f>IF(BM132&lt;=MiscData!$B$23,MiscData!$C$23,IF(BM132&lt;=MiscData!$B$24,MiscData!$C$24,MiscData!$C$25))</f>
        <v>20140101</v>
      </c>
      <c r="BQ132" s="407" t="str">
        <f>VLOOKUP(BR132,MiscData!$V$4:$W$42,2,FALSE)</f>
        <v>KUCME113</v>
      </c>
      <c r="BR132" s="407">
        <f>IF(BR131=MiscData!$V$42,1,BR131+1)</f>
        <v>12</v>
      </c>
      <c r="BS132" s="407" t="str">
        <f>VLOOKUP(BQ132,MiscData!$W$4:$Y$42,3,FALSE)</f>
        <v>GS3</v>
      </c>
    </row>
    <row r="133" spans="1:71" hidden="1">
      <c r="A133" s="463">
        <f t="shared" si="95"/>
        <v>121</v>
      </c>
      <c r="B133" s="464" t="str">
        <f t="shared" si="98"/>
        <v>Apr 2014</v>
      </c>
      <c r="C133" s="464" t="s">
        <v>219</v>
      </c>
      <c r="D133" s="465" t="str">
        <f t="shared" si="99"/>
        <v>AES</v>
      </c>
      <c r="E133" s="465" t="str">
        <f t="shared" si="100"/>
        <v>KUCME220</v>
      </c>
      <c r="F133" s="466">
        <f t="shared" ref="F133:F196" si="104">SUMIFS(_1022_Count,_1022_RevenueMonth,$B133,_1022_RateCategory,$E133)</f>
        <v>335</v>
      </c>
      <c r="G133" s="467">
        <v>0</v>
      </c>
      <c r="H133" s="466">
        <v>0</v>
      </c>
      <c r="I133" s="466">
        <v>0</v>
      </c>
      <c r="J133" s="466">
        <v>0</v>
      </c>
      <c r="K133" s="466">
        <f t="shared" ref="K133:K196" si="105">SUMIFS(_1022_KWH,_1022_RevenueMonth,$B133,_1022_RateCategory,$E133)</f>
        <v>669685</v>
      </c>
      <c r="L133" s="459">
        <v>0</v>
      </c>
      <c r="M133" s="443">
        <f t="shared" ref="M133:M196" si="106">SUMIFS(_1022_Measured_KVA_Base,_1022_RevenueMonth,$B133,_1022_RateCategory,$E133)</f>
        <v>2645.1</v>
      </c>
      <c r="N133" s="469">
        <f t="shared" ref="N133:N196" si="107">SUMIFS(_1022_Measured_KVA_Inter,_1022_RevenueMonth,$B133,_1022_RateCategory,$E133)</f>
        <v>0</v>
      </c>
      <c r="O133" s="469">
        <f t="shared" ref="O133:O196" si="108">SUMIFS(_1022_Measured_KVA_Peak,_1022_RevenueMonth,$B133,_1022_RateCategory,$E133)</f>
        <v>0</v>
      </c>
      <c r="P133" s="469">
        <f t="shared" ref="P133:P196" si="109">SUMIFS(_1022_Demand_Base,_1022_RevenueMonth,$B133,_1022_RateCategory,$E133)</f>
        <v>0</v>
      </c>
      <c r="Q133" s="469">
        <f t="shared" ref="Q133:Q196" si="110">SUMIFS(_1022_Demand_Intermediate,_1022_RevenueMonth,$B133,_1022_RateCategory,$E133)</f>
        <v>0</v>
      </c>
      <c r="R133" s="469">
        <f t="shared" ref="R133:R196" si="111">SUMIFS(_1022_Demand_Peak,_1022_RevenueMonth,$B133,_1022_RateCategory,$E133)</f>
        <v>0</v>
      </c>
      <c r="S133" s="595">
        <v>0</v>
      </c>
      <c r="T133" s="595">
        <v>0</v>
      </c>
      <c r="U133" s="595">
        <v>0</v>
      </c>
      <c r="V133" s="596">
        <v>0</v>
      </c>
      <c r="W133" s="596">
        <v>0</v>
      </c>
      <c r="X133" s="596">
        <v>0</v>
      </c>
      <c r="Y133" s="470">
        <f t="shared" ref="Y133:Y196" si="112">SUMIF(_Rates_Tariff_Category,$BN133,_Rates_BasicServiceCharge)</f>
        <v>20</v>
      </c>
      <c r="Z133" s="471">
        <f t="shared" ref="Z133:Z196" si="113">SUMIF(_Rates_Tariff_Category,$BN133,_Rates_Energy)</f>
        <v>7.4399999999999994E-2</v>
      </c>
      <c r="AA133" s="471">
        <v>0</v>
      </c>
      <c r="AB133" s="471">
        <v>0</v>
      </c>
      <c r="AC133" s="471">
        <f t="shared" ref="AC133:AC196" si="114">SUMIF(_Rates_Tariff_Category,$BN133,_Rates_FAC_Energy)</f>
        <v>2.8920000000000001E-2</v>
      </c>
      <c r="AD133" s="470">
        <f t="shared" ref="AD133:AD196" si="115">SUMIF(_Rates_Tariff_Category,$BN133,_Rates_Demand_Base)</f>
        <v>0</v>
      </c>
      <c r="AE133" s="470">
        <f t="shared" ref="AE133:AE196" si="116">SUMIF(_Rates_Tariff_Category,$BN133,_Rates_Demand_Intermediate)</f>
        <v>0</v>
      </c>
      <c r="AF133" s="470">
        <f t="shared" ref="AF133:AF196" si="117">SUMIF(_Rates_Tariff_Category,$BN133,_Rates_Demand_Peak)</f>
        <v>0</v>
      </c>
      <c r="AG133" s="454">
        <f t="shared" ref="AG133:AG196" si="118">ROUND(($F133+$G133)*$Y133,2)</f>
        <v>6700</v>
      </c>
      <c r="AH133" s="454">
        <f t="shared" si="92"/>
        <v>49824.56</v>
      </c>
      <c r="AI133" s="421">
        <f t="shared" ref="AI133:AI196" si="119">ROUND(($M133+V133)*$AD133,2)</f>
        <v>0</v>
      </c>
      <c r="AJ133" s="421">
        <f t="shared" ref="AJ133:AJ196" si="120">ROUND(($N133+W133)*$AE133,2)</f>
        <v>0</v>
      </c>
      <c r="AK133" s="421">
        <f t="shared" ref="AK133:AK196" si="121">ROUND(($O133+X133)*$AF133,2)</f>
        <v>0</v>
      </c>
      <c r="AL133" s="472">
        <v>0</v>
      </c>
      <c r="AM133" s="473">
        <f t="shared" si="91"/>
        <v>0</v>
      </c>
      <c r="AN133" s="474">
        <f t="shared" ref="AN133:AN196" si="122">ROUND(U133*AF133+T133*AE133+S133*AD133,2)</f>
        <v>0</v>
      </c>
      <c r="AO133" s="454">
        <f t="shared" ref="AO133:AO196" si="123">SUM(AI133:AN133)</f>
        <v>0</v>
      </c>
      <c r="AP133" s="472">
        <v>0.02</v>
      </c>
      <c r="AQ133" s="472">
        <v>0.01</v>
      </c>
      <c r="AR133" s="472">
        <v>0</v>
      </c>
      <c r="AS133" s="475">
        <v>0</v>
      </c>
      <c r="AT133" s="475">
        <v>0</v>
      </c>
      <c r="AU133" s="475">
        <v>0</v>
      </c>
      <c r="AV133" s="454">
        <f t="shared" ref="AV133:AV196" si="124">SUM(AG133:AN133,AP133:AU133)</f>
        <v>56524.59</v>
      </c>
      <c r="AW133" s="454">
        <f t="shared" ref="AW133:AW196" si="125">BD133-SUM(AY133:BC133)</f>
        <v>56524.590000000004</v>
      </c>
      <c r="AX133" s="455">
        <f t="shared" si="97"/>
        <v>1.0000000000000002</v>
      </c>
      <c r="AY133" s="476">
        <f t="shared" ref="AY133:AY196" si="126">SUMIFS(_SBR_FAC,_SBR_Revenue_Month,$B133,_SBR_Rate_Category,$E133)</f>
        <v>1624.36</v>
      </c>
      <c r="AZ133" s="476">
        <f t="shared" ref="AZ133:AZ196" si="127">SUMIFS(_SBR_DSM,_SBR_Revenue_Month,$B133,_SBR_Rate_Category,$E133)</f>
        <v>752.05</v>
      </c>
      <c r="BA133" s="476">
        <f t="shared" ref="BA133:BA196" si="128">SUMIFS(_SBR_ECR,_SBR_Revenue_Month,$B133,_SBR_Rate_Category,$E133)</f>
        <v>784.22</v>
      </c>
      <c r="BB133" s="476">
        <f t="shared" ref="BB133:BB196" si="129">SUMIFS(_SBR_MSR,_SBR_Revenue_Month,$B133,_SBR_Rate_Category,$E133)</f>
        <v>0</v>
      </c>
      <c r="BC133" s="476">
        <f t="shared" ref="BC133:BC196" si="130">SUMIFS(_SBR_CSR,_SBR_Revenue_Month,$B133,_SBR_Rate_Category,$E133)</f>
        <v>0</v>
      </c>
      <c r="BD133" s="476">
        <f t="shared" ref="BD133:BD196" si="131">SUMIFS(_SBR_Revenue_Actual,_SBR_Revenue_Month,$B133,_SBR_Rate_Category,$E133)</f>
        <v>59685.22</v>
      </c>
      <c r="BE133" s="477">
        <f t="shared" ref="BE133:BE196" si="132">SUM(AV133,AY133:BC133)</f>
        <v>59685.22</v>
      </c>
      <c r="BF133" s="478">
        <f t="shared" ref="BF133:BF196" si="133">BD133-BE133</f>
        <v>0</v>
      </c>
      <c r="BG133" s="479">
        <f t="shared" ref="BG133:BG196" si="134">ROUND($K133*$AC133,2)</f>
        <v>19367.29</v>
      </c>
      <c r="BH133" s="480">
        <f t="shared" si="101"/>
        <v>30457.279999999999</v>
      </c>
      <c r="BI133" s="407" t="s">
        <v>692</v>
      </c>
      <c r="BM133" s="429">
        <f>IF(BR133&gt;BR132,BM132,IF(BM132&lt;MiscData!$F$1,EOMONTH(BM132,1),EOMONTH(BM132,-11)))</f>
        <v>41759</v>
      </c>
      <c r="BN133" s="416" t="str">
        <f t="shared" si="102"/>
        <v>20140101KUCME220</v>
      </c>
      <c r="BO133" s="427" t="str">
        <f t="shared" si="103"/>
        <v>20140101AES</v>
      </c>
      <c r="BP133" s="407">
        <f>IF(BM133&lt;=MiscData!$B$23,MiscData!$C$23,IF(BM133&lt;=MiscData!$B$24,MiscData!$C$24,MiscData!$C$25))</f>
        <v>20140101</v>
      </c>
      <c r="BQ133" s="407" t="str">
        <f>VLOOKUP(BR133,MiscData!$V$4:$W$42,2,FALSE)</f>
        <v>KUCME220</v>
      </c>
      <c r="BR133" s="407">
        <f>IF(BR132=MiscData!$V$42,1,BR132+1)</f>
        <v>13</v>
      </c>
      <c r="BS133" s="407" t="str">
        <f>VLOOKUP(BQ133,MiscData!$W$4:$Y$42,3,FALSE)</f>
        <v>AES</v>
      </c>
    </row>
    <row r="134" spans="1:71" hidden="1">
      <c r="A134" s="463">
        <f t="shared" si="95"/>
        <v>122</v>
      </c>
      <c r="B134" s="464" t="str">
        <f t="shared" si="98"/>
        <v>Apr 2014</v>
      </c>
      <c r="C134" s="464" t="s">
        <v>219</v>
      </c>
      <c r="D134" s="465" t="str">
        <f t="shared" si="99"/>
        <v>AES</v>
      </c>
      <c r="E134" s="465" t="str">
        <f t="shared" si="100"/>
        <v>KUCME221</v>
      </c>
      <c r="F134" s="466">
        <f t="shared" si="104"/>
        <v>6</v>
      </c>
      <c r="G134" s="467">
        <v>6</v>
      </c>
      <c r="H134" s="466">
        <v>0</v>
      </c>
      <c r="I134" s="466">
        <v>0</v>
      </c>
      <c r="J134" s="466">
        <v>0</v>
      </c>
      <c r="K134" s="466">
        <f t="shared" si="105"/>
        <v>-1002900</v>
      </c>
      <c r="L134" s="459">
        <v>0</v>
      </c>
      <c r="M134" s="443">
        <f t="shared" si="106"/>
        <v>160.5</v>
      </c>
      <c r="N134" s="469">
        <f t="shared" si="107"/>
        <v>0</v>
      </c>
      <c r="O134" s="469">
        <f t="shared" si="108"/>
        <v>0</v>
      </c>
      <c r="P134" s="469">
        <f t="shared" si="109"/>
        <v>0</v>
      </c>
      <c r="Q134" s="469">
        <f t="shared" si="110"/>
        <v>0</v>
      </c>
      <c r="R134" s="469">
        <f t="shared" si="111"/>
        <v>0</v>
      </c>
      <c r="S134" s="595">
        <v>0</v>
      </c>
      <c r="T134" s="595">
        <v>0</v>
      </c>
      <c r="U134" s="595">
        <v>0</v>
      </c>
      <c r="V134" s="596">
        <v>0</v>
      </c>
      <c r="W134" s="596">
        <v>0</v>
      </c>
      <c r="X134" s="596">
        <v>0</v>
      </c>
      <c r="Y134" s="470">
        <f t="shared" si="112"/>
        <v>20</v>
      </c>
      <c r="Z134" s="471">
        <f t="shared" si="113"/>
        <v>7.4399999999999994E-2</v>
      </c>
      <c r="AA134" s="471">
        <v>0</v>
      </c>
      <c r="AB134" s="471">
        <v>0</v>
      </c>
      <c r="AC134" s="471">
        <f t="shared" si="114"/>
        <v>2.8920000000000001E-2</v>
      </c>
      <c r="AD134" s="470">
        <f t="shared" si="115"/>
        <v>0</v>
      </c>
      <c r="AE134" s="470">
        <f t="shared" si="116"/>
        <v>0</v>
      </c>
      <c r="AF134" s="470">
        <f t="shared" si="117"/>
        <v>0</v>
      </c>
      <c r="AG134" s="454">
        <f t="shared" si="118"/>
        <v>240</v>
      </c>
      <c r="AH134" s="454">
        <f t="shared" si="92"/>
        <v>-74615.759999999995</v>
      </c>
      <c r="AI134" s="421">
        <f t="shared" si="119"/>
        <v>0</v>
      </c>
      <c r="AJ134" s="421">
        <f t="shared" si="120"/>
        <v>0</v>
      </c>
      <c r="AK134" s="421">
        <f t="shared" si="121"/>
        <v>0</v>
      </c>
      <c r="AL134" s="472">
        <v>0</v>
      </c>
      <c r="AM134" s="473">
        <f t="shared" si="91"/>
        <v>0</v>
      </c>
      <c r="AN134" s="474">
        <f t="shared" si="122"/>
        <v>0</v>
      </c>
      <c r="AO134" s="454">
        <f t="shared" si="123"/>
        <v>0</v>
      </c>
      <c r="AP134" s="472">
        <v>-100</v>
      </c>
      <c r="AQ134" s="472">
        <v>0.53</v>
      </c>
      <c r="AR134" s="472">
        <v>0</v>
      </c>
      <c r="AS134" s="475">
        <v>0</v>
      </c>
      <c r="AT134" s="475">
        <v>0</v>
      </c>
      <c r="AU134" s="475">
        <v>0</v>
      </c>
      <c r="AV134" s="454">
        <f t="shared" si="124"/>
        <v>-74475.23</v>
      </c>
      <c r="AW134" s="454">
        <f t="shared" si="125"/>
        <v>-74475.23000000001</v>
      </c>
      <c r="AX134" s="455">
        <f t="shared" si="97"/>
        <v>1.0000000000000002</v>
      </c>
      <c r="AY134" s="476">
        <f t="shared" si="126"/>
        <v>1468.27</v>
      </c>
      <c r="AZ134" s="476">
        <f t="shared" si="127"/>
        <v>-882.25</v>
      </c>
      <c r="BA134" s="476">
        <f t="shared" si="128"/>
        <v>-4189.8599999999997</v>
      </c>
      <c r="BB134" s="476">
        <f t="shared" si="129"/>
        <v>0</v>
      </c>
      <c r="BC134" s="476">
        <f t="shared" si="130"/>
        <v>0</v>
      </c>
      <c r="BD134" s="476">
        <f t="shared" si="131"/>
        <v>-78079.070000000007</v>
      </c>
      <c r="BE134" s="477">
        <f t="shared" si="132"/>
        <v>-78079.069999999992</v>
      </c>
      <c r="BF134" s="478">
        <f t="shared" si="133"/>
        <v>0</v>
      </c>
      <c r="BG134" s="479">
        <f t="shared" si="134"/>
        <v>-29003.87</v>
      </c>
      <c r="BH134" s="480">
        <f t="shared" si="101"/>
        <v>-45611.360000000001</v>
      </c>
      <c r="BI134" s="407" t="s">
        <v>692</v>
      </c>
      <c r="BM134" s="429">
        <f>IF(BR134&gt;BR133,BM133,IF(BM133&lt;MiscData!$F$1,EOMONTH(BM133,1),EOMONTH(BM133,-11)))</f>
        <v>41759</v>
      </c>
      <c r="BN134" s="416" t="str">
        <f t="shared" si="102"/>
        <v>20140101KUCME221</v>
      </c>
      <c r="BO134" s="427" t="str">
        <f t="shared" si="103"/>
        <v>20140101AES</v>
      </c>
      <c r="BP134" s="407">
        <f>IF(BM134&lt;=MiscData!$B$23,MiscData!$C$23,IF(BM134&lt;=MiscData!$B$24,MiscData!$C$24,MiscData!$C$25))</f>
        <v>20140101</v>
      </c>
      <c r="BQ134" s="407" t="str">
        <f>VLOOKUP(BR134,MiscData!$V$4:$W$42,2,FALSE)</f>
        <v>KUCME221</v>
      </c>
      <c r="BR134" s="407">
        <f>IF(BR133=MiscData!$V$42,1,BR133+1)</f>
        <v>14</v>
      </c>
      <c r="BS134" s="407" t="str">
        <f>VLOOKUP(BQ134,MiscData!$W$4:$Y$42,3,FALSE)</f>
        <v>AES</v>
      </c>
    </row>
    <row r="135" spans="1:71" hidden="1">
      <c r="A135" s="463">
        <f t="shared" si="95"/>
        <v>123</v>
      </c>
      <c r="B135" s="464" t="str">
        <f t="shared" si="98"/>
        <v>Apr 2014</v>
      </c>
      <c r="C135" s="837" t="s">
        <v>228</v>
      </c>
      <c r="D135" s="465" t="str">
        <f t="shared" si="99"/>
        <v>AES3</v>
      </c>
      <c r="E135" s="465" t="str">
        <f t="shared" si="100"/>
        <v>KUCME223</v>
      </c>
      <c r="F135" s="466">
        <f t="shared" si="104"/>
        <v>68</v>
      </c>
      <c r="G135" s="467">
        <v>0</v>
      </c>
      <c r="H135" s="466">
        <v>0</v>
      </c>
      <c r="I135" s="466">
        <v>0</v>
      </c>
      <c r="J135" s="466">
        <v>0</v>
      </c>
      <c r="K135" s="466">
        <f t="shared" si="105"/>
        <v>489126</v>
      </c>
      <c r="L135" s="459">
        <v>0</v>
      </c>
      <c r="M135" s="443">
        <f t="shared" si="106"/>
        <v>3674.1</v>
      </c>
      <c r="N135" s="469">
        <f t="shared" si="107"/>
        <v>0</v>
      </c>
      <c r="O135" s="469">
        <f t="shared" si="108"/>
        <v>0</v>
      </c>
      <c r="P135" s="469">
        <f t="shared" si="109"/>
        <v>0</v>
      </c>
      <c r="Q135" s="469">
        <f t="shared" si="110"/>
        <v>0</v>
      </c>
      <c r="R135" s="469">
        <f t="shared" si="111"/>
        <v>0</v>
      </c>
      <c r="S135" s="595">
        <v>0</v>
      </c>
      <c r="T135" s="595">
        <v>0</v>
      </c>
      <c r="U135" s="595">
        <v>0</v>
      </c>
      <c r="V135" s="596">
        <v>0</v>
      </c>
      <c r="W135" s="596">
        <v>0</v>
      </c>
      <c r="X135" s="596">
        <v>0</v>
      </c>
      <c r="Y135" s="470">
        <f t="shared" si="112"/>
        <v>35</v>
      </c>
      <c r="Z135" s="471">
        <f t="shared" si="113"/>
        <v>7.4399999999999994E-2</v>
      </c>
      <c r="AA135" s="471">
        <v>0</v>
      </c>
      <c r="AB135" s="471">
        <v>0</v>
      </c>
      <c r="AC135" s="471">
        <f t="shared" si="114"/>
        <v>2.8920000000000001E-2</v>
      </c>
      <c r="AD135" s="470">
        <f t="shared" si="115"/>
        <v>0</v>
      </c>
      <c r="AE135" s="470">
        <f t="shared" si="116"/>
        <v>0</v>
      </c>
      <c r="AF135" s="470">
        <f t="shared" si="117"/>
        <v>0</v>
      </c>
      <c r="AG135" s="454">
        <f t="shared" si="118"/>
        <v>2380</v>
      </c>
      <c r="AH135" s="454">
        <f t="shared" si="92"/>
        <v>36390.97</v>
      </c>
      <c r="AI135" s="421">
        <f t="shared" si="119"/>
        <v>0</v>
      </c>
      <c r="AJ135" s="421">
        <f t="shared" si="120"/>
        <v>0</v>
      </c>
      <c r="AK135" s="421">
        <f t="shared" si="121"/>
        <v>0</v>
      </c>
      <c r="AL135" s="472">
        <v>0</v>
      </c>
      <c r="AM135" s="473">
        <f t="shared" si="91"/>
        <v>0</v>
      </c>
      <c r="AN135" s="474">
        <f t="shared" si="122"/>
        <v>0</v>
      </c>
      <c r="AO135" s="454">
        <f t="shared" si="123"/>
        <v>0</v>
      </c>
      <c r="AP135" s="472">
        <v>0</v>
      </c>
      <c r="AQ135" s="472">
        <v>0.03</v>
      </c>
      <c r="AR135" s="472">
        <v>0</v>
      </c>
      <c r="AS135" s="475">
        <v>0</v>
      </c>
      <c r="AT135" s="475">
        <v>0</v>
      </c>
      <c r="AU135" s="475">
        <v>0</v>
      </c>
      <c r="AV135" s="454">
        <f t="shared" si="124"/>
        <v>38771</v>
      </c>
      <c r="AW135" s="454">
        <f t="shared" si="125"/>
        <v>38771</v>
      </c>
      <c r="AX135" s="455">
        <f t="shared" si="97"/>
        <v>1</v>
      </c>
      <c r="AY135" s="476">
        <f t="shared" si="126"/>
        <v>1072.82</v>
      </c>
      <c r="AZ135" s="476">
        <f t="shared" si="127"/>
        <v>589.07000000000005</v>
      </c>
      <c r="BA135" s="476">
        <f t="shared" si="128"/>
        <v>504.91</v>
      </c>
      <c r="BB135" s="476">
        <f t="shared" si="129"/>
        <v>0</v>
      </c>
      <c r="BC135" s="476">
        <f t="shared" si="130"/>
        <v>0</v>
      </c>
      <c r="BD135" s="476">
        <f t="shared" si="131"/>
        <v>40937.800000000003</v>
      </c>
      <c r="BE135" s="477">
        <f t="shared" si="132"/>
        <v>40937.800000000003</v>
      </c>
      <c r="BF135" s="478">
        <f t="shared" si="133"/>
        <v>0</v>
      </c>
      <c r="BG135" s="479">
        <f t="shared" si="134"/>
        <v>14145.52</v>
      </c>
      <c r="BH135" s="480">
        <f t="shared" si="101"/>
        <v>22245.48</v>
      </c>
      <c r="BI135" s="407" t="s">
        <v>692</v>
      </c>
      <c r="BM135" s="429">
        <f>IF(BR135&gt;BR134,BM134,IF(BM134&lt;MiscData!$F$1,EOMONTH(BM134,1),EOMONTH(BM134,-11)))</f>
        <v>41759</v>
      </c>
      <c r="BN135" s="416" t="str">
        <f t="shared" si="102"/>
        <v>20140101KUCME223</v>
      </c>
      <c r="BO135" s="427" t="str">
        <f t="shared" si="103"/>
        <v>20140101AES3</v>
      </c>
      <c r="BP135" s="407">
        <f>IF(BM135&lt;=MiscData!$B$23,MiscData!$C$23,IF(BM135&lt;=MiscData!$B$24,MiscData!$C$24,MiscData!$C$25))</f>
        <v>20140101</v>
      </c>
      <c r="BQ135" s="407" t="str">
        <f>VLOOKUP(BR135,MiscData!$V$4:$W$42,2,FALSE)</f>
        <v>KUCME223</v>
      </c>
      <c r="BR135" s="407">
        <f>IF(BR134=MiscData!$V$42,1,BR134+1)</f>
        <v>15</v>
      </c>
      <c r="BS135" s="407" t="str">
        <f>VLOOKUP(BQ135,MiscData!$W$4:$Y$42,3,FALSE)</f>
        <v>AES3</v>
      </c>
    </row>
    <row r="136" spans="1:71" hidden="1">
      <c r="A136" s="463">
        <f t="shared" si="95"/>
        <v>124</v>
      </c>
      <c r="B136" s="464" t="str">
        <f t="shared" si="98"/>
        <v>Apr 2014</v>
      </c>
      <c r="C136" s="837" t="s">
        <v>228</v>
      </c>
      <c r="D136" s="465" t="str">
        <f t="shared" si="99"/>
        <v>AES3</v>
      </c>
      <c r="E136" s="465" t="str">
        <f t="shared" si="100"/>
        <v>KUCME224</v>
      </c>
      <c r="F136" s="466">
        <f t="shared" si="104"/>
        <v>4</v>
      </c>
      <c r="G136" s="467">
        <v>0</v>
      </c>
      <c r="H136" s="466">
        <v>0</v>
      </c>
      <c r="I136" s="466">
        <v>0</v>
      </c>
      <c r="J136" s="466">
        <v>0</v>
      </c>
      <c r="K136" s="466">
        <f t="shared" si="105"/>
        <v>246340</v>
      </c>
      <c r="L136" s="459">
        <v>0</v>
      </c>
      <c r="M136" s="443">
        <f t="shared" si="106"/>
        <v>971.3</v>
      </c>
      <c r="N136" s="469">
        <f t="shared" si="107"/>
        <v>0</v>
      </c>
      <c r="O136" s="469">
        <f t="shared" si="108"/>
        <v>0</v>
      </c>
      <c r="P136" s="469">
        <f t="shared" si="109"/>
        <v>0</v>
      </c>
      <c r="Q136" s="469">
        <f t="shared" si="110"/>
        <v>0</v>
      </c>
      <c r="R136" s="469">
        <f t="shared" si="111"/>
        <v>0</v>
      </c>
      <c r="S136" s="595">
        <v>0</v>
      </c>
      <c r="T136" s="595">
        <v>0</v>
      </c>
      <c r="U136" s="595">
        <v>0</v>
      </c>
      <c r="V136" s="596">
        <v>0</v>
      </c>
      <c r="W136" s="596">
        <v>0</v>
      </c>
      <c r="X136" s="596">
        <v>0</v>
      </c>
      <c r="Y136" s="470">
        <f t="shared" si="112"/>
        <v>35</v>
      </c>
      <c r="Z136" s="471">
        <f t="shared" si="113"/>
        <v>7.4399999999999994E-2</v>
      </c>
      <c r="AA136" s="471">
        <v>0</v>
      </c>
      <c r="AB136" s="471">
        <v>0</v>
      </c>
      <c r="AC136" s="471">
        <f t="shared" si="114"/>
        <v>2.8920000000000001E-2</v>
      </c>
      <c r="AD136" s="470">
        <f t="shared" si="115"/>
        <v>0</v>
      </c>
      <c r="AE136" s="470">
        <f t="shared" si="116"/>
        <v>0</v>
      </c>
      <c r="AF136" s="470">
        <f t="shared" si="117"/>
        <v>0</v>
      </c>
      <c r="AG136" s="454">
        <f t="shared" si="118"/>
        <v>140</v>
      </c>
      <c r="AH136" s="454">
        <f t="shared" si="92"/>
        <v>18327.7</v>
      </c>
      <c r="AI136" s="421">
        <f t="shared" si="119"/>
        <v>0</v>
      </c>
      <c r="AJ136" s="421">
        <f t="shared" si="120"/>
        <v>0</v>
      </c>
      <c r="AK136" s="421">
        <f t="shared" si="121"/>
        <v>0</v>
      </c>
      <c r="AL136" s="472">
        <v>0</v>
      </c>
      <c r="AM136" s="473">
        <f t="shared" si="91"/>
        <v>0</v>
      </c>
      <c r="AN136" s="474">
        <f t="shared" si="122"/>
        <v>0</v>
      </c>
      <c r="AO136" s="454">
        <f t="shared" si="123"/>
        <v>0</v>
      </c>
      <c r="AP136" s="472">
        <v>0</v>
      </c>
      <c r="AQ136" s="472">
        <v>-0.01</v>
      </c>
      <c r="AR136" s="472">
        <v>0</v>
      </c>
      <c r="AS136" s="475">
        <v>0</v>
      </c>
      <c r="AT136" s="475">
        <v>0</v>
      </c>
      <c r="AU136" s="475">
        <v>0</v>
      </c>
      <c r="AV136" s="454">
        <f t="shared" si="124"/>
        <v>18467.690000000002</v>
      </c>
      <c r="AW136" s="454">
        <f t="shared" si="125"/>
        <v>18467.690000000002</v>
      </c>
      <c r="AX136" s="455">
        <f t="shared" si="97"/>
        <v>1</v>
      </c>
      <c r="AY136" s="476">
        <f t="shared" si="126"/>
        <v>626.92999999999995</v>
      </c>
      <c r="AZ136" s="476">
        <f t="shared" si="127"/>
        <v>266.36</v>
      </c>
      <c r="BA136" s="476">
        <f t="shared" si="128"/>
        <v>267.54000000000002</v>
      </c>
      <c r="BB136" s="476">
        <f t="shared" si="129"/>
        <v>0</v>
      </c>
      <c r="BC136" s="476">
        <f t="shared" si="130"/>
        <v>0</v>
      </c>
      <c r="BD136" s="476">
        <f t="shared" si="131"/>
        <v>19628.52</v>
      </c>
      <c r="BE136" s="477">
        <f t="shared" si="132"/>
        <v>19628.520000000004</v>
      </c>
      <c r="BF136" s="478">
        <f t="shared" si="133"/>
        <v>0</v>
      </c>
      <c r="BG136" s="479">
        <f t="shared" si="134"/>
        <v>7124.15</v>
      </c>
      <c r="BH136" s="480">
        <f t="shared" si="101"/>
        <v>11203.540000000003</v>
      </c>
      <c r="BI136" s="407" t="s">
        <v>692</v>
      </c>
      <c r="BM136" s="429">
        <f>IF(BR136&gt;BR135,BM135,IF(BM135&lt;MiscData!$F$1,EOMONTH(BM135,1),EOMONTH(BM135,-11)))</f>
        <v>41759</v>
      </c>
      <c r="BN136" s="416" t="str">
        <f t="shared" si="102"/>
        <v>20140101KUCME224</v>
      </c>
      <c r="BO136" s="427" t="str">
        <f t="shared" si="103"/>
        <v>20140101AES3</v>
      </c>
      <c r="BP136" s="407">
        <f>IF(BM136&lt;=MiscData!$B$23,MiscData!$C$23,IF(BM136&lt;=MiscData!$B$24,MiscData!$C$24,MiscData!$C$25))</f>
        <v>20140101</v>
      </c>
      <c r="BQ136" s="407" t="str">
        <f>VLOOKUP(BR136,MiscData!$V$4:$W$42,2,FALSE)</f>
        <v>KUCME224</v>
      </c>
      <c r="BR136" s="407">
        <f>IF(BR135=MiscData!$V$42,1,BR135+1)</f>
        <v>16</v>
      </c>
      <c r="BS136" s="407" t="str">
        <f>VLOOKUP(BQ136,MiscData!$W$4:$Y$42,3,FALSE)</f>
        <v>AES3</v>
      </c>
    </row>
    <row r="137" spans="1:71" hidden="1">
      <c r="A137" s="463">
        <f t="shared" si="95"/>
        <v>125</v>
      </c>
      <c r="B137" s="464" t="str">
        <f t="shared" si="98"/>
        <v>Apr 2014</v>
      </c>
      <c r="C137" s="837" t="s">
        <v>228</v>
      </c>
      <c r="D137" s="465" t="str">
        <f t="shared" si="99"/>
        <v>AES3</v>
      </c>
      <c r="E137" s="465" t="str">
        <f t="shared" si="100"/>
        <v>KUCME225</v>
      </c>
      <c r="F137" s="466">
        <f t="shared" si="104"/>
        <v>96</v>
      </c>
      <c r="G137" s="467">
        <v>0</v>
      </c>
      <c r="H137" s="466">
        <v>0</v>
      </c>
      <c r="I137" s="466">
        <v>0</v>
      </c>
      <c r="J137" s="466">
        <v>0</v>
      </c>
      <c r="K137" s="466">
        <f t="shared" si="105"/>
        <v>2369020</v>
      </c>
      <c r="L137" s="459">
        <v>0</v>
      </c>
      <c r="M137" s="443">
        <f t="shared" si="106"/>
        <v>12017.7</v>
      </c>
      <c r="N137" s="469">
        <f t="shared" si="107"/>
        <v>0</v>
      </c>
      <c r="O137" s="469">
        <f t="shared" si="108"/>
        <v>0</v>
      </c>
      <c r="P137" s="469">
        <f t="shared" si="109"/>
        <v>0</v>
      </c>
      <c r="Q137" s="469">
        <f t="shared" si="110"/>
        <v>0</v>
      </c>
      <c r="R137" s="469">
        <f t="shared" si="111"/>
        <v>0</v>
      </c>
      <c r="S137" s="595">
        <v>0</v>
      </c>
      <c r="T137" s="595">
        <v>0</v>
      </c>
      <c r="U137" s="595">
        <v>0</v>
      </c>
      <c r="V137" s="596">
        <v>0</v>
      </c>
      <c r="W137" s="596">
        <v>0</v>
      </c>
      <c r="X137" s="596">
        <v>0</v>
      </c>
      <c r="Y137" s="470">
        <f t="shared" si="112"/>
        <v>35</v>
      </c>
      <c r="Z137" s="471">
        <f t="shared" si="113"/>
        <v>7.4399999999999994E-2</v>
      </c>
      <c r="AA137" s="471">
        <v>0</v>
      </c>
      <c r="AB137" s="471">
        <v>0</v>
      </c>
      <c r="AC137" s="471">
        <f t="shared" si="114"/>
        <v>2.8920000000000001E-2</v>
      </c>
      <c r="AD137" s="470">
        <f t="shared" si="115"/>
        <v>0</v>
      </c>
      <c r="AE137" s="470">
        <f t="shared" si="116"/>
        <v>0</v>
      </c>
      <c r="AF137" s="470">
        <f t="shared" si="117"/>
        <v>0</v>
      </c>
      <c r="AG137" s="454">
        <f t="shared" si="118"/>
        <v>3360</v>
      </c>
      <c r="AH137" s="454">
        <f t="shared" si="92"/>
        <v>176255.09</v>
      </c>
      <c r="AI137" s="421">
        <f t="shared" si="119"/>
        <v>0</v>
      </c>
      <c r="AJ137" s="421">
        <f t="shared" si="120"/>
        <v>0</v>
      </c>
      <c r="AK137" s="421">
        <f t="shared" si="121"/>
        <v>0</v>
      </c>
      <c r="AL137" s="472">
        <v>0</v>
      </c>
      <c r="AM137" s="473">
        <f t="shared" si="91"/>
        <v>0</v>
      </c>
      <c r="AN137" s="474">
        <f t="shared" si="122"/>
        <v>0</v>
      </c>
      <c r="AO137" s="454">
        <f t="shared" si="123"/>
        <v>0</v>
      </c>
      <c r="AP137" s="472">
        <v>0</v>
      </c>
      <c r="AQ137" s="472">
        <v>0</v>
      </c>
      <c r="AR137" s="472">
        <v>0</v>
      </c>
      <c r="AS137" s="475">
        <v>0</v>
      </c>
      <c r="AT137" s="475">
        <v>0</v>
      </c>
      <c r="AU137" s="475">
        <v>0</v>
      </c>
      <c r="AV137" s="454">
        <f t="shared" si="124"/>
        <v>179615.09</v>
      </c>
      <c r="AW137" s="454">
        <f t="shared" si="125"/>
        <v>179615.09</v>
      </c>
      <c r="AX137" s="455">
        <f t="shared" si="97"/>
        <v>1</v>
      </c>
      <c r="AY137" s="476">
        <f t="shared" si="126"/>
        <v>5568.87</v>
      </c>
      <c r="AZ137" s="476">
        <f t="shared" si="127"/>
        <v>2722.64</v>
      </c>
      <c r="BA137" s="476">
        <f t="shared" si="128"/>
        <v>2457.7800000000002</v>
      </c>
      <c r="BB137" s="476">
        <f t="shared" si="129"/>
        <v>0</v>
      </c>
      <c r="BC137" s="476">
        <f t="shared" si="130"/>
        <v>0</v>
      </c>
      <c r="BD137" s="476">
        <f t="shared" si="131"/>
        <v>190364.38</v>
      </c>
      <c r="BE137" s="477">
        <f t="shared" si="132"/>
        <v>190364.38</v>
      </c>
      <c r="BF137" s="478">
        <f t="shared" si="133"/>
        <v>0</v>
      </c>
      <c r="BG137" s="479">
        <f t="shared" si="134"/>
        <v>68512.06</v>
      </c>
      <c r="BH137" s="480">
        <f t="shared" si="101"/>
        <v>107743.03</v>
      </c>
      <c r="BI137" s="407" t="s">
        <v>692</v>
      </c>
      <c r="BM137" s="429">
        <f>IF(BR137&gt;BR136,BM136,IF(BM136&lt;MiscData!$F$1,EOMONTH(BM136,1),EOMONTH(BM136,-11)))</f>
        <v>41759</v>
      </c>
      <c r="BN137" s="416" t="str">
        <f t="shared" si="102"/>
        <v>20140101KUCME225</v>
      </c>
      <c r="BO137" s="427" t="str">
        <f t="shared" si="103"/>
        <v>20140101AES3</v>
      </c>
      <c r="BP137" s="407">
        <f>IF(BM137&lt;=MiscData!$B$23,MiscData!$C$23,IF(BM137&lt;=MiscData!$B$24,MiscData!$C$24,MiscData!$C$25))</f>
        <v>20140101</v>
      </c>
      <c r="BQ137" s="407" t="str">
        <f>VLOOKUP(BR137,MiscData!$V$4:$W$42,2,FALSE)</f>
        <v>KUCME225</v>
      </c>
      <c r="BR137" s="407">
        <f>IF(BR136=MiscData!$V$42,1,BR136+1)</f>
        <v>17</v>
      </c>
      <c r="BS137" s="407" t="str">
        <f>VLOOKUP(BQ137,MiscData!$W$4:$Y$42,3,FALSE)</f>
        <v>AES3</v>
      </c>
    </row>
    <row r="138" spans="1:71" hidden="1">
      <c r="A138" s="463">
        <f t="shared" si="95"/>
        <v>126</v>
      </c>
      <c r="B138" s="464" t="str">
        <f t="shared" si="98"/>
        <v>Apr 2014</v>
      </c>
      <c r="C138" s="464" t="s">
        <v>219</v>
      </c>
      <c r="D138" s="465" t="str">
        <f t="shared" si="99"/>
        <v>AES</v>
      </c>
      <c r="E138" s="465" t="str">
        <f t="shared" si="100"/>
        <v>KUCME226</v>
      </c>
      <c r="F138" s="466">
        <f t="shared" si="104"/>
        <v>19</v>
      </c>
      <c r="G138" s="467">
        <v>0</v>
      </c>
      <c r="H138" s="466">
        <v>0</v>
      </c>
      <c r="I138" s="466">
        <v>0</v>
      </c>
      <c r="J138" s="466">
        <v>0</v>
      </c>
      <c r="K138" s="466">
        <f t="shared" si="105"/>
        <v>54793</v>
      </c>
      <c r="L138" s="459">
        <v>0</v>
      </c>
      <c r="M138" s="443">
        <f t="shared" si="106"/>
        <v>1144.5999999999999</v>
      </c>
      <c r="N138" s="469">
        <f t="shared" si="107"/>
        <v>0</v>
      </c>
      <c r="O138" s="469">
        <f t="shared" si="108"/>
        <v>0</v>
      </c>
      <c r="P138" s="469">
        <f t="shared" si="109"/>
        <v>0</v>
      </c>
      <c r="Q138" s="469">
        <f t="shared" si="110"/>
        <v>0</v>
      </c>
      <c r="R138" s="469">
        <f t="shared" si="111"/>
        <v>0</v>
      </c>
      <c r="S138" s="595">
        <v>0</v>
      </c>
      <c r="T138" s="595">
        <v>0</v>
      </c>
      <c r="U138" s="595">
        <v>0</v>
      </c>
      <c r="V138" s="596">
        <v>0</v>
      </c>
      <c r="W138" s="596">
        <v>0</v>
      </c>
      <c r="X138" s="596">
        <v>0</v>
      </c>
      <c r="Y138" s="470">
        <f t="shared" si="112"/>
        <v>20</v>
      </c>
      <c r="Z138" s="471">
        <f t="shared" si="113"/>
        <v>7.4399999999999994E-2</v>
      </c>
      <c r="AA138" s="471">
        <v>0</v>
      </c>
      <c r="AB138" s="471">
        <v>0</v>
      </c>
      <c r="AC138" s="471">
        <f t="shared" si="114"/>
        <v>2.8920000000000001E-2</v>
      </c>
      <c r="AD138" s="470">
        <f t="shared" si="115"/>
        <v>0</v>
      </c>
      <c r="AE138" s="470">
        <f t="shared" si="116"/>
        <v>0</v>
      </c>
      <c r="AF138" s="470">
        <f t="shared" si="117"/>
        <v>0</v>
      </c>
      <c r="AG138" s="454">
        <f t="shared" si="118"/>
        <v>380</v>
      </c>
      <c r="AH138" s="454">
        <f t="shared" si="92"/>
        <v>4076.6</v>
      </c>
      <c r="AI138" s="421">
        <f t="shared" si="119"/>
        <v>0</v>
      </c>
      <c r="AJ138" s="421">
        <f t="shared" si="120"/>
        <v>0</v>
      </c>
      <c r="AK138" s="421">
        <f t="shared" si="121"/>
        <v>0</v>
      </c>
      <c r="AL138" s="472">
        <v>0</v>
      </c>
      <c r="AM138" s="473">
        <f t="shared" si="91"/>
        <v>0</v>
      </c>
      <c r="AN138" s="474">
        <f t="shared" si="122"/>
        <v>0</v>
      </c>
      <c r="AO138" s="454">
        <f t="shared" si="123"/>
        <v>0</v>
      </c>
      <c r="AP138" s="472">
        <v>0</v>
      </c>
      <c r="AQ138" s="472">
        <v>-0.02</v>
      </c>
      <c r="AR138" s="472">
        <v>0</v>
      </c>
      <c r="AS138" s="475">
        <v>0</v>
      </c>
      <c r="AT138" s="475">
        <v>0</v>
      </c>
      <c r="AU138" s="475">
        <v>0</v>
      </c>
      <c r="AV138" s="454">
        <f t="shared" si="124"/>
        <v>4456.58</v>
      </c>
      <c r="AW138" s="454">
        <f t="shared" si="125"/>
        <v>4456.58</v>
      </c>
      <c r="AX138" s="455">
        <f t="shared" si="97"/>
        <v>1</v>
      </c>
      <c r="AY138" s="476">
        <f t="shared" si="126"/>
        <v>136.19</v>
      </c>
      <c r="AZ138" s="476">
        <f t="shared" si="127"/>
        <v>60.37</v>
      </c>
      <c r="BA138" s="476">
        <f t="shared" si="128"/>
        <v>63.19</v>
      </c>
      <c r="BB138" s="476">
        <f t="shared" si="129"/>
        <v>0</v>
      </c>
      <c r="BC138" s="476">
        <f t="shared" si="130"/>
        <v>0</v>
      </c>
      <c r="BD138" s="476">
        <f t="shared" si="131"/>
        <v>4716.33</v>
      </c>
      <c r="BE138" s="477">
        <f t="shared" si="132"/>
        <v>4716.329999999999</v>
      </c>
      <c r="BF138" s="478">
        <f t="shared" si="133"/>
        <v>0</v>
      </c>
      <c r="BG138" s="479">
        <f t="shared" si="134"/>
        <v>1584.61</v>
      </c>
      <c r="BH138" s="480">
        <f t="shared" si="101"/>
        <v>2491.9700000000003</v>
      </c>
      <c r="BI138" s="407" t="s">
        <v>692</v>
      </c>
      <c r="BM138" s="429">
        <f>IF(BR138&gt;BR137,BM137,IF(BM137&lt;MiscData!$F$1,EOMONTH(BM137,1),EOMONTH(BM137,-11)))</f>
        <v>41759</v>
      </c>
      <c r="BN138" s="416" t="str">
        <f t="shared" si="102"/>
        <v>20140101KUCME226</v>
      </c>
      <c r="BO138" s="427" t="str">
        <f t="shared" si="103"/>
        <v>20140101AES</v>
      </c>
      <c r="BP138" s="407">
        <f>IF(BM138&lt;=MiscData!$B$23,MiscData!$C$23,IF(BM138&lt;=MiscData!$B$24,MiscData!$C$24,MiscData!$C$25))</f>
        <v>20140101</v>
      </c>
      <c r="BQ138" s="407" t="str">
        <f>VLOOKUP(BR138,MiscData!$V$4:$W$42,2,FALSE)</f>
        <v>KUCME226</v>
      </c>
      <c r="BR138" s="407">
        <f>IF(BR137=MiscData!$V$42,1,BR137+1)</f>
        <v>18</v>
      </c>
      <c r="BS138" s="407" t="str">
        <f>VLOOKUP(BQ138,MiscData!$W$4:$Y$42,3,FALSE)</f>
        <v>AES</v>
      </c>
    </row>
    <row r="139" spans="1:71" hidden="1">
      <c r="A139" s="463">
        <f t="shared" si="95"/>
        <v>127</v>
      </c>
      <c r="B139" s="464" t="str">
        <f t="shared" si="98"/>
        <v>Apr 2014</v>
      </c>
      <c r="C139" s="837" t="s">
        <v>228</v>
      </c>
      <c r="D139" s="465" t="str">
        <f t="shared" si="99"/>
        <v>AES3</v>
      </c>
      <c r="E139" s="465" t="str">
        <f t="shared" si="100"/>
        <v>KUCME227</v>
      </c>
      <c r="F139" s="466">
        <f t="shared" si="104"/>
        <v>100</v>
      </c>
      <c r="G139" s="467">
        <v>0</v>
      </c>
      <c r="H139" s="466">
        <v>0</v>
      </c>
      <c r="I139" s="466">
        <v>0</v>
      </c>
      <c r="J139" s="466">
        <v>0</v>
      </c>
      <c r="K139" s="466">
        <f t="shared" si="105"/>
        <v>8681308</v>
      </c>
      <c r="L139" s="459">
        <v>0</v>
      </c>
      <c r="M139" s="443">
        <f t="shared" si="106"/>
        <v>37040.199999999997</v>
      </c>
      <c r="N139" s="469">
        <f t="shared" si="107"/>
        <v>0</v>
      </c>
      <c r="O139" s="469">
        <f t="shared" si="108"/>
        <v>0</v>
      </c>
      <c r="P139" s="469">
        <f t="shared" si="109"/>
        <v>0</v>
      </c>
      <c r="Q139" s="469">
        <f t="shared" si="110"/>
        <v>0</v>
      </c>
      <c r="R139" s="469">
        <f t="shared" si="111"/>
        <v>0</v>
      </c>
      <c r="S139" s="595">
        <v>0</v>
      </c>
      <c r="T139" s="595">
        <v>0</v>
      </c>
      <c r="U139" s="595">
        <v>0</v>
      </c>
      <c r="V139" s="596">
        <v>0</v>
      </c>
      <c r="W139" s="596">
        <v>0</v>
      </c>
      <c r="X139" s="596">
        <v>0</v>
      </c>
      <c r="Y139" s="470">
        <f t="shared" si="112"/>
        <v>35</v>
      </c>
      <c r="Z139" s="471">
        <f t="shared" si="113"/>
        <v>7.4399999999999994E-2</v>
      </c>
      <c r="AA139" s="471">
        <v>0</v>
      </c>
      <c r="AB139" s="471">
        <v>0</v>
      </c>
      <c r="AC139" s="471">
        <f t="shared" si="114"/>
        <v>2.8920000000000001E-2</v>
      </c>
      <c r="AD139" s="470">
        <f t="shared" si="115"/>
        <v>0</v>
      </c>
      <c r="AE139" s="470">
        <f t="shared" si="116"/>
        <v>0</v>
      </c>
      <c r="AF139" s="470">
        <f t="shared" si="117"/>
        <v>0</v>
      </c>
      <c r="AG139" s="454">
        <f t="shared" si="118"/>
        <v>3500</v>
      </c>
      <c r="AH139" s="454">
        <f t="shared" si="92"/>
        <v>645889.31999999995</v>
      </c>
      <c r="AI139" s="421">
        <f t="shared" si="119"/>
        <v>0</v>
      </c>
      <c r="AJ139" s="421">
        <f t="shared" si="120"/>
        <v>0</v>
      </c>
      <c r="AK139" s="421">
        <f t="shared" si="121"/>
        <v>0</v>
      </c>
      <c r="AL139" s="472">
        <v>0</v>
      </c>
      <c r="AM139" s="473">
        <f t="shared" si="91"/>
        <v>0</v>
      </c>
      <c r="AN139" s="474">
        <f t="shared" si="122"/>
        <v>0</v>
      </c>
      <c r="AO139" s="454">
        <f t="shared" si="123"/>
        <v>0</v>
      </c>
      <c r="AP139" s="472">
        <v>-20.52</v>
      </c>
      <c r="AQ139" s="472">
        <v>-0.02</v>
      </c>
      <c r="AR139" s="472">
        <v>0</v>
      </c>
      <c r="AS139" s="475">
        <v>0</v>
      </c>
      <c r="AT139" s="475">
        <v>0</v>
      </c>
      <c r="AU139" s="475">
        <v>0</v>
      </c>
      <c r="AV139" s="454">
        <f t="shared" si="124"/>
        <v>649368.77999999991</v>
      </c>
      <c r="AW139" s="454">
        <f t="shared" si="125"/>
        <v>649368.78</v>
      </c>
      <c r="AX139" s="455">
        <f t="shared" si="97"/>
        <v>1.0000000000000002</v>
      </c>
      <c r="AY139" s="476">
        <f t="shared" si="126"/>
        <v>20840.939999999999</v>
      </c>
      <c r="AZ139" s="476">
        <f t="shared" si="127"/>
        <v>9825.2099999999991</v>
      </c>
      <c r="BA139" s="476">
        <f t="shared" si="128"/>
        <v>9025.48</v>
      </c>
      <c r="BB139" s="476">
        <f t="shared" si="129"/>
        <v>0</v>
      </c>
      <c r="BC139" s="476">
        <f t="shared" si="130"/>
        <v>0</v>
      </c>
      <c r="BD139" s="476">
        <f t="shared" si="131"/>
        <v>689060.41</v>
      </c>
      <c r="BE139" s="477">
        <f t="shared" si="132"/>
        <v>689060.4099999998</v>
      </c>
      <c r="BF139" s="478">
        <f t="shared" si="133"/>
        <v>0</v>
      </c>
      <c r="BG139" s="479">
        <f t="shared" si="134"/>
        <v>251063.43</v>
      </c>
      <c r="BH139" s="480">
        <f t="shared" si="101"/>
        <v>394825.86999999994</v>
      </c>
      <c r="BI139" s="407" t="s">
        <v>692</v>
      </c>
      <c r="BM139" s="429">
        <f>IF(BR139&gt;BR138,BM138,IF(BM138&lt;MiscData!$F$1,EOMONTH(BM138,1),EOMONTH(BM138,-11)))</f>
        <v>41759</v>
      </c>
      <c r="BN139" s="416" t="str">
        <f t="shared" si="102"/>
        <v>20140101KUCME227</v>
      </c>
      <c r="BO139" s="427" t="str">
        <f t="shared" si="103"/>
        <v>20140101AES3</v>
      </c>
      <c r="BP139" s="407">
        <f>IF(BM139&lt;=MiscData!$B$23,MiscData!$C$23,IF(BM139&lt;=MiscData!$B$24,MiscData!$C$24,MiscData!$C$25))</f>
        <v>20140101</v>
      </c>
      <c r="BQ139" s="407" t="str">
        <f>VLOOKUP(BR139,MiscData!$V$4:$W$42,2,FALSE)</f>
        <v>KUCME227</v>
      </c>
      <c r="BR139" s="407">
        <f>IF(BR138=MiscData!$V$42,1,BR138+1)</f>
        <v>19</v>
      </c>
      <c r="BS139" s="407" t="str">
        <f>VLOOKUP(BQ139,MiscData!$W$4:$Y$42,3,FALSE)</f>
        <v>AES3</v>
      </c>
    </row>
    <row r="140" spans="1:71" hidden="1">
      <c r="A140" s="463">
        <f t="shared" si="95"/>
        <v>128</v>
      </c>
      <c r="B140" s="464" t="str">
        <f t="shared" si="98"/>
        <v>Apr 2014</v>
      </c>
      <c r="C140" s="464" t="s">
        <v>20</v>
      </c>
      <c r="D140" s="465" t="str">
        <f t="shared" si="99"/>
        <v>LE</v>
      </c>
      <c r="E140" s="465" t="str">
        <f t="shared" si="100"/>
        <v>KUCME290</v>
      </c>
      <c r="F140" s="466">
        <f t="shared" si="104"/>
        <v>1</v>
      </c>
      <c r="G140" s="467">
        <v>0</v>
      </c>
      <c r="H140" s="466">
        <v>0</v>
      </c>
      <c r="I140" s="466">
        <v>0</v>
      </c>
      <c r="J140" s="466">
        <v>0</v>
      </c>
      <c r="K140" s="466">
        <f t="shared" si="105"/>
        <v>12161</v>
      </c>
      <c r="L140" s="481">
        <v>0</v>
      </c>
      <c r="M140" s="443">
        <f t="shared" si="106"/>
        <v>38.9</v>
      </c>
      <c r="N140" s="469">
        <f t="shared" si="107"/>
        <v>0</v>
      </c>
      <c r="O140" s="469">
        <f t="shared" si="108"/>
        <v>0</v>
      </c>
      <c r="P140" s="469">
        <f t="shared" si="109"/>
        <v>0</v>
      </c>
      <c r="Q140" s="469">
        <f t="shared" si="110"/>
        <v>0</v>
      </c>
      <c r="R140" s="469">
        <f t="shared" si="111"/>
        <v>0</v>
      </c>
      <c r="S140" s="484">
        <v>0</v>
      </c>
      <c r="T140" s="484">
        <v>0</v>
      </c>
      <c r="U140" s="484">
        <v>0</v>
      </c>
      <c r="V140" s="490">
        <v>0</v>
      </c>
      <c r="W140" s="490">
        <v>0</v>
      </c>
      <c r="X140" s="490">
        <v>0</v>
      </c>
      <c r="Y140" s="470">
        <f t="shared" si="112"/>
        <v>0</v>
      </c>
      <c r="Z140" s="471">
        <f t="shared" si="113"/>
        <v>6.3799999999999996E-2</v>
      </c>
      <c r="AA140" s="471">
        <v>0</v>
      </c>
      <c r="AB140" s="471">
        <v>0</v>
      </c>
      <c r="AC140" s="471">
        <f t="shared" si="114"/>
        <v>2.8920000000000001E-2</v>
      </c>
      <c r="AD140" s="470">
        <f t="shared" si="115"/>
        <v>0</v>
      </c>
      <c r="AE140" s="470">
        <f t="shared" si="116"/>
        <v>0</v>
      </c>
      <c r="AF140" s="470">
        <f t="shared" si="117"/>
        <v>0</v>
      </c>
      <c r="AG140" s="454">
        <f t="shared" si="118"/>
        <v>0</v>
      </c>
      <c r="AH140" s="454">
        <f t="shared" si="92"/>
        <v>775.87</v>
      </c>
      <c r="AI140" s="421">
        <f t="shared" si="119"/>
        <v>0</v>
      </c>
      <c r="AJ140" s="421">
        <f t="shared" si="120"/>
        <v>0</v>
      </c>
      <c r="AK140" s="421">
        <f t="shared" si="121"/>
        <v>0</v>
      </c>
      <c r="AL140" s="472">
        <v>0</v>
      </c>
      <c r="AM140" s="473">
        <f t="shared" si="91"/>
        <v>0</v>
      </c>
      <c r="AN140" s="474">
        <f t="shared" si="122"/>
        <v>0</v>
      </c>
      <c r="AO140" s="454">
        <f t="shared" si="123"/>
        <v>0</v>
      </c>
      <c r="AP140" s="472">
        <v>0</v>
      </c>
      <c r="AQ140" s="472">
        <v>0</v>
      </c>
      <c r="AR140" s="472">
        <v>0</v>
      </c>
      <c r="AS140" s="475">
        <v>0</v>
      </c>
      <c r="AT140" s="475">
        <v>0</v>
      </c>
      <c r="AU140" s="475">
        <v>0</v>
      </c>
      <c r="AV140" s="454">
        <f t="shared" si="124"/>
        <v>775.87</v>
      </c>
      <c r="AW140" s="454">
        <f t="shared" si="125"/>
        <v>775.86999999999989</v>
      </c>
      <c r="AX140" s="455">
        <f t="shared" ref="AX140:AX145" si="135">IF(AND(AV140=0,AW140=0),1,IF(AV140=0,0,AW140/AV140))</f>
        <v>0.99999999999999989</v>
      </c>
      <c r="AY140" s="476">
        <f t="shared" si="126"/>
        <v>25.78</v>
      </c>
      <c r="AZ140" s="476">
        <f t="shared" si="127"/>
        <v>0</v>
      </c>
      <c r="BA140" s="476">
        <f t="shared" si="128"/>
        <v>9.7799999999999994</v>
      </c>
      <c r="BB140" s="476">
        <f t="shared" si="129"/>
        <v>0</v>
      </c>
      <c r="BC140" s="476">
        <f t="shared" si="130"/>
        <v>0</v>
      </c>
      <c r="BD140" s="476">
        <f t="shared" si="131"/>
        <v>811.43</v>
      </c>
      <c r="BE140" s="477">
        <f t="shared" si="132"/>
        <v>811.43</v>
      </c>
      <c r="BF140" s="478">
        <f t="shared" si="133"/>
        <v>0</v>
      </c>
      <c r="BG140" s="479">
        <f t="shared" si="134"/>
        <v>351.7</v>
      </c>
      <c r="BH140" s="480">
        <f t="shared" si="101"/>
        <v>424.17</v>
      </c>
      <c r="BI140" s="407" t="s">
        <v>692</v>
      </c>
      <c r="BM140" s="429">
        <f>IF(BR140&gt;BR139,BM139,IF(BM139&lt;MiscData!$F$1,EOMONTH(BM139,1),EOMONTH(BM139,-11)))</f>
        <v>41759</v>
      </c>
      <c r="BN140" s="416" t="str">
        <f t="shared" si="102"/>
        <v>20140101KUCME290</v>
      </c>
      <c r="BO140" s="427" t="str">
        <f t="shared" si="103"/>
        <v>20140101LE</v>
      </c>
      <c r="BP140" s="407">
        <f>IF(BM140&lt;=MiscData!$B$23,MiscData!$C$23,IF(BM140&lt;=MiscData!$B$24,MiscData!$C$24,MiscData!$C$25))</f>
        <v>20140101</v>
      </c>
      <c r="BQ140" s="407" t="str">
        <f>VLOOKUP(BR140,MiscData!$V$4:$W$42,2,FALSE)</f>
        <v>KUCME290</v>
      </c>
      <c r="BR140" s="407">
        <f>IF(BR139=MiscData!$V$42,1,BR139+1)</f>
        <v>20</v>
      </c>
      <c r="BS140" s="407" t="str">
        <f>VLOOKUP(BQ140,MiscData!$W$4:$Y$42,3,FALSE)</f>
        <v>LE</v>
      </c>
    </row>
    <row r="141" spans="1:71" hidden="1">
      <c r="A141" s="463">
        <f t="shared" si="95"/>
        <v>129</v>
      </c>
      <c r="B141" s="464" t="str">
        <f t="shared" si="98"/>
        <v>Apr 2014</v>
      </c>
      <c r="C141" s="464" t="s">
        <v>20</v>
      </c>
      <c r="D141" s="465" t="str">
        <f t="shared" si="99"/>
        <v>LE</v>
      </c>
      <c r="E141" s="465" t="str">
        <f t="shared" si="100"/>
        <v>KUCME291</v>
      </c>
      <c r="F141" s="466">
        <f t="shared" si="104"/>
        <v>1</v>
      </c>
      <c r="G141" s="467">
        <v>0</v>
      </c>
      <c r="H141" s="466">
        <v>0</v>
      </c>
      <c r="I141" s="466">
        <v>0</v>
      </c>
      <c r="J141" s="466">
        <v>0</v>
      </c>
      <c r="K141" s="466">
        <f t="shared" si="105"/>
        <v>3344</v>
      </c>
      <c r="L141" s="481">
        <v>0</v>
      </c>
      <c r="M141" s="443">
        <f t="shared" si="106"/>
        <v>0</v>
      </c>
      <c r="N141" s="469">
        <f t="shared" si="107"/>
        <v>0</v>
      </c>
      <c r="O141" s="469">
        <f t="shared" si="108"/>
        <v>0</v>
      </c>
      <c r="P141" s="469">
        <f t="shared" si="109"/>
        <v>0</v>
      </c>
      <c r="Q141" s="469">
        <f t="shared" si="110"/>
        <v>0</v>
      </c>
      <c r="R141" s="469">
        <f t="shared" si="111"/>
        <v>0</v>
      </c>
      <c r="S141" s="484">
        <v>0</v>
      </c>
      <c r="T141" s="484">
        <v>0</v>
      </c>
      <c r="U141" s="484">
        <v>0</v>
      </c>
      <c r="V141" s="490">
        <v>0</v>
      </c>
      <c r="W141" s="490">
        <v>0</v>
      </c>
      <c r="X141" s="490">
        <v>0</v>
      </c>
      <c r="Y141" s="470">
        <f t="shared" si="112"/>
        <v>0</v>
      </c>
      <c r="Z141" s="471">
        <f t="shared" si="113"/>
        <v>6.3799999999999996E-2</v>
      </c>
      <c r="AA141" s="471">
        <v>0</v>
      </c>
      <c r="AB141" s="471">
        <v>0</v>
      </c>
      <c r="AC141" s="471">
        <f t="shared" si="114"/>
        <v>2.8920000000000001E-2</v>
      </c>
      <c r="AD141" s="470">
        <f t="shared" si="115"/>
        <v>0</v>
      </c>
      <c r="AE141" s="470">
        <f t="shared" si="116"/>
        <v>0</v>
      </c>
      <c r="AF141" s="470">
        <f t="shared" si="117"/>
        <v>0</v>
      </c>
      <c r="AG141" s="454">
        <f t="shared" si="118"/>
        <v>0</v>
      </c>
      <c r="AH141" s="454">
        <f t="shared" si="92"/>
        <v>213.35</v>
      </c>
      <c r="AI141" s="421">
        <f t="shared" si="119"/>
        <v>0</v>
      </c>
      <c r="AJ141" s="421">
        <f t="shared" si="120"/>
        <v>0</v>
      </c>
      <c r="AK141" s="421">
        <f t="shared" si="121"/>
        <v>0</v>
      </c>
      <c r="AL141" s="472">
        <v>0</v>
      </c>
      <c r="AM141" s="473">
        <f t="shared" si="91"/>
        <v>0</v>
      </c>
      <c r="AN141" s="474">
        <f t="shared" si="122"/>
        <v>0</v>
      </c>
      <c r="AO141" s="454">
        <f t="shared" si="123"/>
        <v>0</v>
      </c>
      <c r="AP141" s="472">
        <v>0</v>
      </c>
      <c r="AQ141" s="472">
        <v>-0.01</v>
      </c>
      <c r="AR141" s="472">
        <v>0</v>
      </c>
      <c r="AS141" s="475">
        <v>0</v>
      </c>
      <c r="AT141" s="475">
        <v>0</v>
      </c>
      <c r="AU141" s="475">
        <v>0</v>
      </c>
      <c r="AV141" s="454">
        <f t="shared" si="124"/>
        <v>213.34</v>
      </c>
      <c r="AW141" s="454">
        <f t="shared" si="125"/>
        <v>213.34</v>
      </c>
      <c r="AX141" s="455">
        <f t="shared" si="135"/>
        <v>1</v>
      </c>
      <c r="AY141" s="476">
        <f t="shared" si="126"/>
        <v>10.43</v>
      </c>
      <c r="AZ141" s="476">
        <f t="shared" si="127"/>
        <v>0</v>
      </c>
      <c r="BA141" s="476">
        <f t="shared" si="128"/>
        <v>3.58</v>
      </c>
      <c r="BB141" s="476">
        <f t="shared" si="129"/>
        <v>0</v>
      </c>
      <c r="BC141" s="476">
        <f t="shared" si="130"/>
        <v>0</v>
      </c>
      <c r="BD141" s="476">
        <f t="shared" si="131"/>
        <v>227.35</v>
      </c>
      <c r="BE141" s="477">
        <f t="shared" si="132"/>
        <v>227.35000000000002</v>
      </c>
      <c r="BF141" s="478">
        <f t="shared" si="133"/>
        <v>0</v>
      </c>
      <c r="BG141" s="479">
        <f t="shared" si="134"/>
        <v>96.71</v>
      </c>
      <c r="BH141" s="480">
        <f t="shared" si="101"/>
        <v>116.63000000000001</v>
      </c>
      <c r="BI141" s="407" t="s">
        <v>692</v>
      </c>
      <c r="BM141" s="429">
        <f>IF(BR141&gt;BR140,BM140,IF(BM140&lt;MiscData!$F$1,EOMONTH(BM140,1),EOMONTH(BM140,-11)))</f>
        <v>41759</v>
      </c>
      <c r="BN141" s="416" t="str">
        <f t="shared" si="102"/>
        <v>20140101KUCME291</v>
      </c>
      <c r="BO141" s="427" t="str">
        <f t="shared" si="103"/>
        <v>20140101LE</v>
      </c>
      <c r="BP141" s="407">
        <f>IF(BM141&lt;=MiscData!$B$23,MiscData!$C$23,IF(BM141&lt;=MiscData!$B$24,MiscData!$C$24,MiscData!$C$25))</f>
        <v>20140101</v>
      </c>
      <c r="BQ141" s="407" t="str">
        <f>VLOOKUP(BR141,MiscData!$V$4:$W$42,2,FALSE)</f>
        <v>KUCME291</v>
      </c>
      <c r="BR141" s="407">
        <f>IF(BR140=MiscData!$V$42,1,BR140+1)</f>
        <v>21</v>
      </c>
      <c r="BS141" s="407" t="str">
        <f>VLOOKUP(BQ141,MiscData!$W$4:$Y$42,3,FALSE)</f>
        <v>LE</v>
      </c>
    </row>
    <row r="142" spans="1:71" hidden="1">
      <c r="A142" s="463">
        <f t="shared" si="95"/>
        <v>130</v>
      </c>
      <c r="B142" s="464" t="str">
        <f t="shared" si="98"/>
        <v>Apr 2014</v>
      </c>
      <c r="C142" s="464" t="s">
        <v>21</v>
      </c>
      <c r="D142" s="465" t="str">
        <f t="shared" si="99"/>
        <v>TE</v>
      </c>
      <c r="E142" s="465" t="str">
        <f t="shared" si="100"/>
        <v>KUCME295</v>
      </c>
      <c r="F142" s="466">
        <f t="shared" si="104"/>
        <v>473</v>
      </c>
      <c r="G142" s="467">
        <v>0</v>
      </c>
      <c r="H142" s="466">
        <v>0</v>
      </c>
      <c r="I142" s="466">
        <v>0</v>
      </c>
      <c r="J142" s="466">
        <v>0</v>
      </c>
      <c r="K142" s="466">
        <f t="shared" si="105"/>
        <v>90374</v>
      </c>
      <c r="L142" s="481">
        <v>0</v>
      </c>
      <c r="M142" s="443">
        <f t="shared" si="106"/>
        <v>16.5</v>
      </c>
      <c r="N142" s="469">
        <f t="shared" si="107"/>
        <v>0</v>
      </c>
      <c r="O142" s="469">
        <f t="shared" si="108"/>
        <v>0</v>
      </c>
      <c r="P142" s="469">
        <f t="shared" si="109"/>
        <v>0</v>
      </c>
      <c r="Q142" s="469">
        <f t="shared" si="110"/>
        <v>0</v>
      </c>
      <c r="R142" s="469">
        <f t="shared" si="111"/>
        <v>0</v>
      </c>
      <c r="S142" s="484">
        <v>0</v>
      </c>
      <c r="T142" s="484">
        <v>0</v>
      </c>
      <c r="U142" s="484">
        <v>0</v>
      </c>
      <c r="V142" s="490">
        <v>0</v>
      </c>
      <c r="W142" s="490">
        <v>0</v>
      </c>
      <c r="X142" s="490">
        <v>0</v>
      </c>
      <c r="Y142" s="470">
        <f t="shared" si="112"/>
        <v>3.25</v>
      </c>
      <c r="Z142" s="471">
        <f t="shared" si="113"/>
        <v>7.9780000000000004E-2</v>
      </c>
      <c r="AA142" s="471">
        <v>0</v>
      </c>
      <c r="AB142" s="471">
        <v>0</v>
      </c>
      <c r="AC142" s="471">
        <f t="shared" si="114"/>
        <v>2.8920000000000001E-2</v>
      </c>
      <c r="AD142" s="470">
        <f t="shared" si="115"/>
        <v>0</v>
      </c>
      <c r="AE142" s="470">
        <f t="shared" si="116"/>
        <v>0</v>
      </c>
      <c r="AF142" s="470">
        <f t="shared" si="117"/>
        <v>0</v>
      </c>
      <c r="AG142" s="454">
        <f t="shared" si="118"/>
        <v>1537.25</v>
      </c>
      <c r="AH142" s="454">
        <f t="shared" si="92"/>
        <v>7210.04</v>
      </c>
      <c r="AI142" s="421">
        <f t="shared" si="119"/>
        <v>0</v>
      </c>
      <c r="AJ142" s="421">
        <f t="shared" si="120"/>
        <v>0</v>
      </c>
      <c r="AK142" s="421">
        <f t="shared" si="121"/>
        <v>0</v>
      </c>
      <c r="AL142" s="472">
        <v>0</v>
      </c>
      <c r="AM142" s="473">
        <f t="shared" si="91"/>
        <v>0</v>
      </c>
      <c r="AN142" s="474">
        <f t="shared" si="122"/>
        <v>0</v>
      </c>
      <c r="AO142" s="454">
        <f t="shared" si="123"/>
        <v>0</v>
      </c>
      <c r="AP142" s="472">
        <v>0</v>
      </c>
      <c r="AQ142" s="472">
        <v>-0.05</v>
      </c>
      <c r="AR142" s="472">
        <v>0</v>
      </c>
      <c r="AS142" s="475">
        <v>0</v>
      </c>
      <c r="AT142" s="475">
        <v>0</v>
      </c>
      <c r="AU142" s="475">
        <v>0</v>
      </c>
      <c r="AV142" s="454">
        <f t="shared" si="124"/>
        <v>8747.2400000000016</v>
      </c>
      <c r="AW142" s="454">
        <f t="shared" si="125"/>
        <v>8747.24</v>
      </c>
      <c r="AX142" s="455">
        <f t="shared" si="135"/>
        <v>0.99999999999999978</v>
      </c>
      <c r="AY142" s="476">
        <f t="shared" si="126"/>
        <v>245.36</v>
      </c>
      <c r="AZ142" s="476">
        <f t="shared" si="127"/>
        <v>0</v>
      </c>
      <c r="BA142" s="476">
        <f t="shared" si="128"/>
        <v>130.13999999999999</v>
      </c>
      <c r="BB142" s="476">
        <f t="shared" si="129"/>
        <v>0</v>
      </c>
      <c r="BC142" s="476">
        <f t="shared" si="130"/>
        <v>0</v>
      </c>
      <c r="BD142" s="476">
        <f t="shared" si="131"/>
        <v>9122.74</v>
      </c>
      <c r="BE142" s="477">
        <f t="shared" si="132"/>
        <v>9122.7400000000016</v>
      </c>
      <c r="BF142" s="478">
        <f t="shared" si="133"/>
        <v>0</v>
      </c>
      <c r="BG142" s="479">
        <f t="shared" si="134"/>
        <v>2613.62</v>
      </c>
      <c r="BH142" s="480">
        <f t="shared" si="101"/>
        <v>4596.37</v>
      </c>
      <c r="BI142" s="407" t="s">
        <v>692</v>
      </c>
      <c r="BM142" s="429">
        <f>IF(BR142&gt;BR141,BM141,IF(BM141&lt;MiscData!$F$1,EOMONTH(BM141,1),EOMONTH(BM141,-11)))</f>
        <v>41759</v>
      </c>
      <c r="BN142" s="416" t="str">
        <f t="shared" si="102"/>
        <v>20140101KUCME295</v>
      </c>
      <c r="BO142" s="427" t="str">
        <f t="shared" si="103"/>
        <v>20140101TE</v>
      </c>
      <c r="BP142" s="407">
        <f>IF(BM142&lt;=MiscData!$B$23,MiscData!$C$23,IF(BM142&lt;=MiscData!$B$24,MiscData!$C$24,MiscData!$C$25))</f>
        <v>20140101</v>
      </c>
      <c r="BQ142" s="407" t="str">
        <f>VLOOKUP(BR142,MiscData!$V$4:$W$42,2,FALSE)</f>
        <v>KUCME295</v>
      </c>
      <c r="BR142" s="407">
        <f>IF(BR141=MiscData!$V$42,1,BR141+1)</f>
        <v>22</v>
      </c>
      <c r="BS142" s="407" t="str">
        <f>VLOOKUP(BQ142,MiscData!$W$4:$Y$42,3,FALSE)</f>
        <v>TE</v>
      </c>
    </row>
    <row r="143" spans="1:71" hidden="1">
      <c r="A143" s="463">
        <f t="shared" si="95"/>
        <v>131</v>
      </c>
      <c r="B143" s="464" t="str">
        <f t="shared" si="98"/>
        <v>Apr 2014</v>
      </c>
      <c r="C143" s="464" t="s">
        <v>21</v>
      </c>
      <c r="D143" s="465" t="str">
        <f t="shared" si="99"/>
        <v>TE</v>
      </c>
      <c r="E143" s="465" t="str">
        <f t="shared" si="100"/>
        <v>KUCME297</v>
      </c>
      <c r="F143" s="466">
        <f t="shared" si="104"/>
        <v>272</v>
      </c>
      <c r="G143" s="467">
        <v>0</v>
      </c>
      <c r="H143" s="466">
        <v>0</v>
      </c>
      <c r="I143" s="466">
        <v>0</v>
      </c>
      <c r="J143" s="466">
        <v>0</v>
      </c>
      <c r="K143" s="466">
        <f t="shared" si="105"/>
        <v>14416</v>
      </c>
      <c r="L143" s="481">
        <v>0</v>
      </c>
      <c r="M143" s="443">
        <f t="shared" si="106"/>
        <v>0</v>
      </c>
      <c r="N143" s="469">
        <f t="shared" si="107"/>
        <v>0</v>
      </c>
      <c r="O143" s="469">
        <f t="shared" si="108"/>
        <v>0</v>
      </c>
      <c r="P143" s="469">
        <f t="shared" si="109"/>
        <v>0</v>
      </c>
      <c r="Q143" s="469">
        <f t="shared" si="110"/>
        <v>0</v>
      </c>
      <c r="R143" s="469">
        <f t="shared" si="111"/>
        <v>0</v>
      </c>
      <c r="S143" s="595">
        <v>0</v>
      </c>
      <c r="T143" s="595">
        <v>0</v>
      </c>
      <c r="U143" s="595">
        <v>0</v>
      </c>
      <c r="V143" s="596">
        <v>0</v>
      </c>
      <c r="W143" s="596">
        <v>0</v>
      </c>
      <c r="X143" s="596">
        <v>0</v>
      </c>
      <c r="Y143" s="470">
        <f t="shared" si="112"/>
        <v>3.25</v>
      </c>
      <c r="Z143" s="471">
        <f t="shared" si="113"/>
        <v>7.9780000000000004E-2</v>
      </c>
      <c r="AA143" s="471">
        <v>0</v>
      </c>
      <c r="AB143" s="471">
        <v>0</v>
      </c>
      <c r="AC143" s="471">
        <f t="shared" si="114"/>
        <v>2.8920000000000001E-2</v>
      </c>
      <c r="AD143" s="470">
        <f t="shared" si="115"/>
        <v>0</v>
      </c>
      <c r="AE143" s="470">
        <f t="shared" si="116"/>
        <v>0</v>
      </c>
      <c r="AF143" s="470">
        <f t="shared" si="117"/>
        <v>0</v>
      </c>
      <c r="AG143" s="454">
        <f t="shared" si="118"/>
        <v>884</v>
      </c>
      <c r="AH143" s="454">
        <f t="shared" si="92"/>
        <v>1150.1099999999999</v>
      </c>
      <c r="AI143" s="421">
        <f t="shared" si="119"/>
        <v>0</v>
      </c>
      <c r="AJ143" s="421">
        <f t="shared" si="120"/>
        <v>0</v>
      </c>
      <c r="AK143" s="421">
        <f t="shared" si="121"/>
        <v>0</v>
      </c>
      <c r="AL143" s="472">
        <v>0</v>
      </c>
      <c r="AM143" s="473">
        <f t="shared" si="91"/>
        <v>0</v>
      </c>
      <c r="AN143" s="474">
        <f t="shared" si="122"/>
        <v>0</v>
      </c>
      <c r="AO143" s="454">
        <f t="shared" si="123"/>
        <v>0</v>
      </c>
      <c r="AP143" s="472">
        <v>0</v>
      </c>
      <c r="AQ143" s="472">
        <v>0.45</v>
      </c>
      <c r="AR143" s="472">
        <v>0</v>
      </c>
      <c r="AS143" s="475">
        <v>0</v>
      </c>
      <c r="AT143" s="475">
        <v>0</v>
      </c>
      <c r="AU143" s="475">
        <v>0</v>
      </c>
      <c r="AV143" s="454">
        <f t="shared" si="124"/>
        <v>2034.56</v>
      </c>
      <c r="AW143" s="454">
        <f t="shared" si="125"/>
        <v>2034.56</v>
      </c>
      <c r="AX143" s="455">
        <f t="shared" si="135"/>
        <v>1</v>
      </c>
      <c r="AY143" s="476">
        <f t="shared" si="126"/>
        <v>29.92</v>
      </c>
      <c r="AZ143" s="476">
        <f t="shared" si="127"/>
        <v>0</v>
      </c>
      <c r="BA143" s="476">
        <f t="shared" si="128"/>
        <v>24.48</v>
      </c>
      <c r="BB143" s="476">
        <f t="shared" si="129"/>
        <v>0</v>
      </c>
      <c r="BC143" s="476">
        <f t="shared" si="130"/>
        <v>0</v>
      </c>
      <c r="BD143" s="476">
        <f t="shared" si="131"/>
        <v>2088.96</v>
      </c>
      <c r="BE143" s="477">
        <f t="shared" si="132"/>
        <v>2088.96</v>
      </c>
      <c r="BF143" s="478">
        <f t="shared" si="133"/>
        <v>0</v>
      </c>
      <c r="BG143" s="479">
        <f t="shared" si="134"/>
        <v>416.91</v>
      </c>
      <c r="BH143" s="480">
        <f t="shared" si="101"/>
        <v>733.64999999999986</v>
      </c>
      <c r="BI143" s="407" t="s">
        <v>692</v>
      </c>
      <c r="BM143" s="429">
        <f>IF(BR143&gt;BR142,BM142,IF(BM142&lt;MiscData!$F$1,EOMONTH(BM142,1),EOMONTH(BM142,-11)))</f>
        <v>41759</v>
      </c>
      <c r="BN143" s="416" t="str">
        <f t="shared" si="102"/>
        <v>20140101KUCME297</v>
      </c>
      <c r="BO143" s="427" t="str">
        <f t="shared" si="103"/>
        <v>20140101TE</v>
      </c>
      <c r="BP143" s="407">
        <f>IF(BM143&lt;=MiscData!$B$23,MiscData!$C$23,IF(BM143&lt;=MiscData!$B$24,MiscData!$C$24,MiscData!$C$25))</f>
        <v>20140101</v>
      </c>
      <c r="BQ143" s="407" t="str">
        <f>VLOOKUP(BR143,MiscData!$V$4:$W$42,2,FALSE)</f>
        <v>KUCME297</v>
      </c>
      <c r="BR143" s="407">
        <f>IF(BR142=MiscData!$V$42,1,BR142+1)</f>
        <v>23</v>
      </c>
      <c r="BS143" s="407" t="str">
        <f>VLOOKUP(BQ143,MiscData!$W$4:$Y$42,3,FALSE)</f>
        <v>TE</v>
      </c>
    </row>
    <row r="144" spans="1:71" hidden="1">
      <c r="A144" s="463">
        <f t="shared" si="95"/>
        <v>132</v>
      </c>
      <c r="B144" s="464" t="str">
        <f t="shared" si="98"/>
        <v>Apr 2014</v>
      </c>
      <c r="C144" s="464" t="s">
        <v>727</v>
      </c>
      <c r="D144" s="465" t="str">
        <f t="shared" si="99"/>
        <v>SQF</v>
      </c>
      <c r="E144" s="465" t="str">
        <f t="shared" si="100"/>
        <v>KUCME705</v>
      </c>
      <c r="F144" s="466">
        <f t="shared" si="104"/>
        <v>0</v>
      </c>
      <c r="G144" s="467">
        <v>0</v>
      </c>
      <c r="H144" s="466">
        <v>0</v>
      </c>
      <c r="I144" s="466">
        <v>0</v>
      </c>
      <c r="J144" s="466">
        <v>0</v>
      </c>
      <c r="K144" s="466">
        <f t="shared" si="105"/>
        <v>0</v>
      </c>
      <c r="L144" s="481">
        <v>0</v>
      </c>
      <c r="M144" s="443">
        <f t="shared" si="106"/>
        <v>0</v>
      </c>
      <c r="N144" s="469">
        <f t="shared" si="107"/>
        <v>0</v>
      </c>
      <c r="O144" s="469">
        <f t="shared" si="108"/>
        <v>0</v>
      </c>
      <c r="P144" s="469">
        <f t="shared" si="109"/>
        <v>0</v>
      </c>
      <c r="Q144" s="469">
        <f t="shared" si="110"/>
        <v>0</v>
      </c>
      <c r="R144" s="469">
        <f t="shared" si="111"/>
        <v>0</v>
      </c>
      <c r="S144" s="484">
        <v>0</v>
      </c>
      <c r="T144" s="484">
        <v>0</v>
      </c>
      <c r="U144" s="484">
        <v>0</v>
      </c>
      <c r="V144" s="490">
        <v>0</v>
      </c>
      <c r="W144" s="490">
        <v>0</v>
      </c>
      <c r="X144" s="490">
        <v>0</v>
      </c>
      <c r="Y144" s="470">
        <f t="shared" si="112"/>
        <v>0</v>
      </c>
      <c r="Z144" s="471">
        <f t="shared" si="113"/>
        <v>0</v>
      </c>
      <c r="AA144" s="471">
        <v>0</v>
      </c>
      <c r="AB144" s="471">
        <v>0</v>
      </c>
      <c r="AC144" s="471">
        <f t="shared" si="114"/>
        <v>0</v>
      </c>
      <c r="AD144" s="470">
        <f t="shared" si="115"/>
        <v>0</v>
      </c>
      <c r="AE144" s="470">
        <f t="shared" si="116"/>
        <v>0</v>
      </c>
      <c r="AF144" s="470">
        <f t="shared" si="117"/>
        <v>0</v>
      </c>
      <c r="AG144" s="454">
        <f t="shared" si="118"/>
        <v>0</v>
      </c>
      <c r="AH144" s="454">
        <f t="shared" si="92"/>
        <v>0</v>
      </c>
      <c r="AI144" s="421">
        <f t="shared" si="119"/>
        <v>0</v>
      </c>
      <c r="AJ144" s="421">
        <f t="shared" si="120"/>
        <v>0</v>
      </c>
      <c r="AK144" s="421">
        <f t="shared" si="121"/>
        <v>0</v>
      </c>
      <c r="AL144" s="472">
        <v>0</v>
      </c>
      <c r="AM144" s="473">
        <f t="shared" si="91"/>
        <v>0</v>
      </c>
      <c r="AN144" s="474">
        <f t="shared" si="122"/>
        <v>0</v>
      </c>
      <c r="AO144" s="454">
        <f t="shared" si="123"/>
        <v>0</v>
      </c>
      <c r="AP144" s="472">
        <v>0</v>
      </c>
      <c r="AQ144" s="472">
        <v>0</v>
      </c>
      <c r="AR144" s="472">
        <v>0</v>
      </c>
      <c r="AS144" s="475">
        <v>0</v>
      </c>
      <c r="AT144" s="475">
        <v>0</v>
      </c>
      <c r="AU144" s="475">
        <v>0</v>
      </c>
      <c r="AV144" s="454">
        <f t="shared" si="124"/>
        <v>0</v>
      </c>
      <c r="AW144" s="454">
        <f t="shared" si="125"/>
        <v>0</v>
      </c>
      <c r="AX144" s="455">
        <f t="shared" si="135"/>
        <v>1</v>
      </c>
      <c r="AY144" s="476">
        <f t="shared" si="126"/>
        <v>0</v>
      </c>
      <c r="AZ144" s="476">
        <f t="shared" si="127"/>
        <v>0</v>
      </c>
      <c r="BA144" s="476">
        <f t="shared" si="128"/>
        <v>0</v>
      </c>
      <c r="BB144" s="476">
        <f t="shared" si="129"/>
        <v>0</v>
      </c>
      <c r="BC144" s="476">
        <f t="shared" si="130"/>
        <v>0</v>
      </c>
      <c r="BD144" s="476">
        <f t="shared" si="131"/>
        <v>0</v>
      </c>
      <c r="BE144" s="477">
        <f t="shared" si="132"/>
        <v>0</v>
      </c>
      <c r="BF144" s="478">
        <f t="shared" si="133"/>
        <v>0</v>
      </c>
      <c r="BG144" s="479">
        <f t="shared" si="134"/>
        <v>0</v>
      </c>
      <c r="BH144" s="480">
        <f t="shared" si="101"/>
        <v>0</v>
      </c>
      <c r="BI144" s="407" t="s">
        <v>692</v>
      </c>
      <c r="BM144" s="429">
        <f>IF(BR144&gt;BR143,BM143,IF(BM143&lt;MiscData!$F$1,EOMONTH(BM143,1),EOMONTH(BM143,-11)))</f>
        <v>41759</v>
      </c>
      <c r="BN144" s="416" t="str">
        <f t="shared" si="102"/>
        <v>20140101KUCME705</v>
      </c>
      <c r="BO144" s="427" t="str">
        <f t="shared" si="103"/>
        <v>20140101SQF</v>
      </c>
      <c r="BP144" s="407">
        <f>IF(BM144&lt;=MiscData!$B$23,MiscData!$C$23,IF(BM144&lt;=MiscData!$B$24,MiscData!$C$24,MiscData!$C$25))</f>
        <v>20140101</v>
      </c>
      <c r="BQ144" s="407" t="str">
        <f>VLOOKUP(BR144,MiscData!$V$4:$W$42,2,FALSE)</f>
        <v>KUCME705</v>
      </c>
      <c r="BR144" s="407">
        <f>IF(BR143=MiscData!$V$42,1,BR143+1)</f>
        <v>24</v>
      </c>
      <c r="BS144" s="407" t="str">
        <f>VLOOKUP(BQ144,MiscData!$W$4:$Y$42,3,FALSE)</f>
        <v>SQF</v>
      </c>
    </row>
    <row r="145" spans="1:72" hidden="1">
      <c r="A145" s="463">
        <f t="shared" si="95"/>
        <v>133</v>
      </c>
      <c r="B145" s="464" t="str">
        <f t="shared" si="98"/>
        <v>Apr 2014</v>
      </c>
      <c r="C145" s="464" t="s">
        <v>1052</v>
      </c>
      <c r="D145" s="465" t="str">
        <f t="shared" si="99"/>
        <v>LQF</v>
      </c>
      <c r="E145" s="465" t="str">
        <f t="shared" si="100"/>
        <v>KUCME707</v>
      </c>
      <c r="F145" s="466">
        <f t="shared" si="104"/>
        <v>0</v>
      </c>
      <c r="G145" s="467">
        <v>0</v>
      </c>
      <c r="H145" s="466">
        <v>0</v>
      </c>
      <c r="I145" s="466">
        <v>0</v>
      </c>
      <c r="J145" s="466">
        <v>0</v>
      </c>
      <c r="K145" s="466">
        <f t="shared" si="105"/>
        <v>0</v>
      </c>
      <c r="L145" s="481">
        <v>0</v>
      </c>
      <c r="M145" s="443">
        <f t="shared" si="106"/>
        <v>0</v>
      </c>
      <c r="N145" s="469">
        <f t="shared" si="107"/>
        <v>0</v>
      </c>
      <c r="O145" s="469">
        <f t="shared" si="108"/>
        <v>0</v>
      </c>
      <c r="P145" s="469">
        <f t="shared" si="109"/>
        <v>0</v>
      </c>
      <c r="Q145" s="469">
        <f t="shared" si="110"/>
        <v>0</v>
      </c>
      <c r="R145" s="469">
        <f t="shared" si="111"/>
        <v>0</v>
      </c>
      <c r="S145" s="484">
        <v>0</v>
      </c>
      <c r="T145" s="484">
        <v>0</v>
      </c>
      <c r="U145" s="484">
        <v>0</v>
      </c>
      <c r="V145" s="490">
        <v>0</v>
      </c>
      <c r="W145" s="490">
        <v>0</v>
      </c>
      <c r="X145" s="490">
        <v>0</v>
      </c>
      <c r="Y145" s="470">
        <f t="shared" si="112"/>
        <v>0</v>
      </c>
      <c r="Z145" s="471">
        <f t="shared" si="113"/>
        <v>0</v>
      </c>
      <c r="AA145" s="471">
        <v>0</v>
      </c>
      <c r="AB145" s="471">
        <v>0</v>
      </c>
      <c r="AC145" s="471">
        <f t="shared" si="114"/>
        <v>0</v>
      </c>
      <c r="AD145" s="470">
        <f t="shared" si="115"/>
        <v>0</v>
      </c>
      <c r="AE145" s="470">
        <f t="shared" si="116"/>
        <v>0</v>
      </c>
      <c r="AF145" s="470">
        <f t="shared" si="117"/>
        <v>0</v>
      </c>
      <c r="AG145" s="454">
        <f t="shared" si="118"/>
        <v>0</v>
      </c>
      <c r="AH145" s="454">
        <f t="shared" si="92"/>
        <v>0</v>
      </c>
      <c r="AI145" s="421">
        <f t="shared" si="119"/>
        <v>0</v>
      </c>
      <c r="AJ145" s="421">
        <f t="shared" si="120"/>
        <v>0</v>
      </c>
      <c r="AK145" s="421">
        <f t="shared" si="121"/>
        <v>0</v>
      </c>
      <c r="AL145" s="472">
        <v>0</v>
      </c>
      <c r="AM145" s="473">
        <f t="shared" si="91"/>
        <v>0</v>
      </c>
      <c r="AN145" s="474">
        <f t="shared" si="122"/>
        <v>0</v>
      </c>
      <c r="AO145" s="454">
        <f t="shared" si="123"/>
        <v>0</v>
      </c>
      <c r="AP145" s="472">
        <v>0</v>
      </c>
      <c r="AQ145" s="472">
        <v>0</v>
      </c>
      <c r="AR145" s="472">
        <v>0</v>
      </c>
      <c r="AS145" s="475">
        <v>0</v>
      </c>
      <c r="AT145" s="475">
        <v>0</v>
      </c>
      <c r="AU145" s="475">
        <v>0</v>
      </c>
      <c r="AV145" s="454">
        <f t="shared" si="124"/>
        <v>0</v>
      </c>
      <c r="AW145" s="454">
        <f t="shared" si="125"/>
        <v>0</v>
      </c>
      <c r="AX145" s="455">
        <f t="shared" si="135"/>
        <v>1</v>
      </c>
      <c r="AY145" s="476">
        <f t="shared" si="126"/>
        <v>0</v>
      </c>
      <c r="AZ145" s="476">
        <f t="shared" si="127"/>
        <v>0</v>
      </c>
      <c r="BA145" s="476">
        <f t="shared" si="128"/>
        <v>0</v>
      </c>
      <c r="BB145" s="476">
        <f t="shared" si="129"/>
        <v>0</v>
      </c>
      <c r="BC145" s="476">
        <f t="shared" si="130"/>
        <v>0</v>
      </c>
      <c r="BD145" s="476">
        <f t="shared" si="131"/>
        <v>0</v>
      </c>
      <c r="BE145" s="477">
        <f t="shared" si="132"/>
        <v>0</v>
      </c>
      <c r="BF145" s="478">
        <f t="shared" si="133"/>
        <v>0</v>
      </c>
      <c r="BG145" s="479">
        <f t="shared" si="134"/>
        <v>0</v>
      </c>
      <c r="BH145" s="480">
        <f t="shared" si="101"/>
        <v>0</v>
      </c>
      <c r="BI145" s="407" t="s">
        <v>692</v>
      </c>
      <c r="BM145" s="429">
        <f>IF(BR145&gt;BR144,BM144,IF(BM144&lt;MiscData!$F$1,EOMONTH(BM144,1),EOMONTH(BM144,-11)))</f>
        <v>41759</v>
      </c>
      <c r="BN145" s="416" t="str">
        <f t="shared" si="102"/>
        <v>20140101KUCME707</v>
      </c>
      <c r="BO145" s="427" t="str">
        <f t="shared" si="103"/>
        <v>20140101LQF</v>
      </c>
      <c r="BP145" s="407">
        <f>IF(BM145&lt;=MiscData!$B$23,MiscData!$C$23,IF(BM145&lt;=MiscData!$B$24,MiscData!$C$24,MiscData!$C$25))</f>
        <v>20140101</v>
      </c>
      <c r="BQ145" s="407" t="str">
        <f>VLOOKUP(BR145,MiscData!$V$4:$W$42,2,FALSE)</f>
        <v>KUCME707</v>
      </c>
      <c r="BR145" s="407">
        <f>IF(BR144=MiscData!$V$42,1,BR144+1)</f>
        <v>25</v>
      </c>
      <c r="BS145" s="407" t="str">
        <f>VLOOKUP(BQ145,MiscData!$W$4:$Y$42,3,FALSE)</f>
        <v>LQF</v>
      </c>
    </row>
    <row r="146" spans="1:72" hidden="1">
      <c r="A146" s="463">
        <f t="shared" si="95"/>
        <v>134</v>
      </c>
      <c r="B146" s="464" t="str">
        <f t="shared" si="98"/>
        <v>Apr 2014</v>
      </c>
      <c r="C146" s="464" t="s">
        <v>224</v>
      </c>
      <c r="D146" s="465" t="str">
        <f t="shared" si="99"/>
        <v>GS</v>
      </c>
      <c r="E146" s="465" t="str">
        <f t="shared" si="100"/>
        <v>KUCME710</v>
      </c>
      <c r="F146" s="466">
        <f t="shared" si="104"/>
        <v>8</v>
      </c>
      <c r="G146" s="467">
        <v>0</v>
      </c>
      <c r="H146" s="466">
        <v>0</v>
      </c>
      <c r="I146" s="466">
        <v>0</v>
      </c>
      <c r="J146" s="466">
        <v>0</v>
      </c>
      <c r="K146" s="466">
        <f t="shared" si="105"/>
        <v>6767</v>
      </c>
      <c r="L146" s="459">
        <v>0</v>
      </c>
      <c r="M146" s="443">
        <f t="shared" si="106"/>
        <v>0</v>
      </c>
      <c r="N146" s="469">
        <f t="shared" si="107"/>
        <v>0</v>
      </c>
      <c r="O146" s="469">
        <f t="shared" si="108"/>
        <v>0</v>
      </c>
      <c r="P146" s="469">
        <f t="shared" si="109"/>
        <v>0</v>
      </c>
      <c r="Q146" s="469">
        <f t="shared" si="110"/>
        <v>0</v>
      </c>
      <c r="R146" s="469">
        <f t="shared" si="111"/>
        <v>0</v>
      </c>
      <c r="S146" s="484">
        <v>0</v>
      </c>
      <c r="T146" s="484">
        <v>0</v>
      </c>
      <c r="U146" s="484">
        <v>0</v>
      </c>
      <c r="V146" s="490">
        <v>0</v>
      </c>
      <c r="W146" s="490">
        <v>0</v>
      </c>
      <c r="X146" s="490">
        <v>0</v>
      </c>
      <c r="Y146" s="470">
        <f t="shared" si="112"/>
        <v>20</v>
      </c>
      <c r="Z146" s="471">
        <f t="shared" si="113"/>
        <v>9.2249999999999999E-2</v>
      </c>
      <c r="AA146" s="471">
        <v>0</v>
      </c>
      <c r="AB146" s="471">
        <v>0</v>
      </c>
      <c r="AC146" s="471">
        <f t="shared" si="114"/>
        <v>2.8920000000000001E-2</v>
      </c>
      <c r="AD146" s="470">
        <f t="shared" si="115"/>
        <v>0</v>
      </c>
      <c r="AE146" s="470">
        <f t="shared" si="116"/>
        <v>0</v>
      </c>
      <c r="AF146" s="470">
        <f t="shared" si="117"/>
        <v>0</v>
      </c>
      <c r="AG146" s="454">
        <f t="shared" si="118"/>
        <v>160</v>
      </c>
      <c r="AH146" s="454">
        <f t="shared" si="92"/>
        <v>624.26</v>
      </c>
      <c r="AI146" s="421">
        <f t="shared" si="119"/>
        <v>0</v>
      </c>
      <c r="AJ146" s="421">
        <f t="shared" si="120"/>
        <v>0</v>
      </c>
      <c r="AK146" s="421">
        <f t="shared" si="121"/>
        <v>0</v>
      </c>
      <c r="AL146" s="472">
        <v>0</v>
      </c>
      <c r="AM146" s="473">
        <f t="shared" si="91"/>
        <v>0</v>
      </c>
      <c r="AN146" s="474">
        <f t="shared" si="122"/>
        <v>0</v>
      </c>
      <c r="AO146" s="454">
        <f t="shared" si="123"/>
        <v>0</v>
      </c>
      <c r="AP146" s="472">
        <v>12.67</v>
      </c>
      <c r="AQ146" s="472">
        <v>0</v>
      </c>
      <c r="AR146" s="472">
        <v>0</v>
      </c>
      <c r="AS146" s="475">
        <v>0</v>
      </c>
      <c r="AT146" s="475">
        <v>0</v>
      </c>
      <c r="AU146" s="475">
        <v>0</v>
      </c>
      <c r="AV146" s="454">
        <f t="shared" si="124"/>
        <v>796.93</v>
      </c>
      <c r="AW146" s="454">
        <f t="shared" si="125"/>
        <v>796.93000000000006</v>
      </c>
      <c r="AX146" s="455">
        <f t="shared" ref="AX146:AX159" si="136">IF(AND(AV146=0,AW146=0),1,IF(AV146=0,0,AW146/AV146))</f>
        <v>1.0000000000000002</v>
      </c>
      <c r="AY146" s="476">
        <f t="shared" si="126"/>
        <v>14.34</v>
      </c>
      <c r="AZ146" s="476">
        <f t="shared" si="127"/>
        <v>20.309999999999999</v>
      </c>
      <c r="BA146" s="476">
        <f t="shared" si="128"/>
        <v>13.12</v>
      </c>
      <c r="BB146" s="476">
        <f t="shared" si="129"/>
        <v>0</v>
      </c>
      <c r="BC146" s="476">
        <f t="shared" si="130"/>
        <v>0</v>
      </c>
      <c r="BD146" s="476">
        <f t="shared" si="131"/>
        <v>844.7</v>
      </c>
      <c r="BE146" s="477">
        <f t="shared" si="132"/>
        <v>844.69999999999993</v>
      </c>
      <c r="BF146" s="478">
        <f t="shared" si="133"/>
        <v>0</v>
      </c>
      <c r="BG146" s="479">
        <f t="shared" si="134"/>
        <v>195.7</v>
      </c>
      <c r="BH146" s="480">
        <f t="shared" si="101"/>
        <v>428.56</v>
      </c>
      <c r="BI146" s="407" t="s">
        <v>692</v>
      </c>
      <c r="BM146" s="429">
        <f>IF(BR146&gt;BR145,BM145,IF(BM145&lt;MiscData!$F$1,EOMONTH(BM145,1),EOMONTH(BM145,-11)))</f>
        <v>41759</v>
      </c>
      <c r="BN146" s="416" t="str">
        <f t="shared" si="102"/>
        <v>20140101KUCME710</v>
      </c>
      <c r="BO146" s="427" t="str">
        <f t="shared" si="103"/>
        <v>20140101GS</v>
      </c>
      <c r="BP146" s="407">
        <f>IF(BM146&lt;=MiscData!$B$23,MiscData!$C$23,IF(BM146&lt;=MiscData!$B$24,MiscData!$C$24,MiscData!$C$25))</f>
        <v>20140101</v>
      </c>
      <c r="BQ146" s="407" t="str">
        <f>VLOOKUP(BR146,MiscData!$V$4:$W$42,2,FALSE)</f>
        <v>KUCME710</v>
      </c>
      <c r="BR146" s="407">
        <f>IF(BR145=MiscData!$V$42,1,BR145+1)</f>
        <v>26</v>
      </c>
      <c r="BS146" s="407" t="str">
        <f>VLOOKUP(BQ146,MiscData!$W$4:$Y$42,3,FALSE)</f>
        <v>GS</v>
      </c>
    </row>
    <row r="147" spans="1:72" hidden="1">
      <c r="A147" s="463">
        <f t="shared" si="95"/>
        <v>135</v>
      </c>
      <c r="B147" s="464" t="str">
        <f t="shared" si="98"/>
        <v>Apr 2014</v>
      </c>
      <c r="C147" s="464" t="s">
        <v>18</v>
      </c>
      <c r="D147" s="465" t="str">
        <f t="shared" si="99"/>
        <v>GS3</v>
      </c>
      <c r="E147" s="465" t="str">
        <f t="shared" si="100"/>
        <v>KUCME713</v>
      </c>
      <c r="F147" s="466">
        <f t="shared" si="104"/>
        <v>2</v>
      </c>
      <c r="G147" s="467">
        <v>0</v>
      </c>
      <c r="H147" s="466">
        <v>0</v>
      </c>
      <c r="I147" s="466">
        <v>0</v>
      </c>
      <c r="J147" s="466">
        <v>0</v>
      </c>
      <c r="K147" s="466">
        <f t="shared" si="105"/>
        <v>10840</v>
      </c>
      <c r="L147" s="459">
        <v>0</v>
      </c>
      <c r="M147" s="443">
        <f t="shared" si="106"/>
        <v>61</v>
      </c>
      <c r="N147" s="469">
        <f t="shared" si="107"/>
        <v>0</v>
      </c>
      <c r="O147" s="469">
        <f t="shared" si="108"/>
        <v>0</v>
      </c>
      <c r="P147" s="469">
        <f t="shared" si="109"/>
        <v>0</v>
      </c>
      <c r="Q147" s="469">
        <f t="shared" si="110"/>
        <v>0</v>
      </c>
      <c r="R147" s="469">
        <f t="shared" si="111"/>
        <v>0</v>
      </c>
      <c r="S147" s="484">
        <v>0</v>
      </c>
      <c r="T147" s="484">
        <v>0</v>
      </c>
      <c r="U147" s="484">
        <v>0</v>
      </c>
      <c r="V147" s="490">
        <v>0</v>
      </c>
      <c r="W147" s="490">
        <v>0</v>
      </c>
      <c r="X147" s="490">
        <v>0</v>
      </c>
      <c r="Y147" s="470">
        <f t="shared" si="112"/>
        <v>35</v>
      </c>
      <c r="Z147" s="471">
        <f t="shared" si="113"/>
        <v>9.2249999999999999E-2</v>
      </c>
      <c r="AA147" s="471">
        <v>0</v>
      </c>
      <c r="AB147" s="471">
        <v>0</v>
      </c>
      <c r="AC147" s="471">
        <f t="shared" si="114"/>
        <v>2.8920000000000001E-2</v>
      </c>
      <c r="AD147" s="470">
        <f t="shared" si="115"/>
        <v>0</v>
      </c>
      <c r="AE147" s="470">
        <f t="shared" si="116"/>
        <v>0</v>
      </c>
      <c r="AF147" s="470">
        <f t="shared" si="117"/>
        <v>0</v>
      </c>
      <c r="AG147" s="454">
        <f t="shared" si="118"/>
        <v>70</v>
      </c>
      <c r="AH147" s="454">
        <f t="shared" si="92"/>
        <v>999.99</v>
      </c>
      <c r="AI147" s="421">
        <f t="shared" si="119"/>
        <v>0</v>
      </c>
      <c r="AJ147" s="421">
        <f t="shared" si="120"/>
        <v>0</v>
      </c>
      <c r="AK147" s="421">
        <f t="shared" si="121"/>
        <v>0</v>
      </c>
      <c r="AL147" s="472">
        <v>0</v>
      </c>
      <c r="AM147" s="473">
        <f t="shared" si="91"/>
        <v>0</v>
      </c>
      <c r="AN147" s="474">
        <f t="shared" si="122"/>
        <v>0</v>
      </c>
      <c r="AO147" s="454">
        <f t="shared" si="123"/>
        <v>0</v>
      </c>
      <c r="AP147" s="472">
        <v>0</v>
      </c>
      <c r="AQ147" s="472">
        <v>0</v>
      </c>
      <c r="AR147" s="472">
        <v>0</v>
      </c>
      <c r="AS147" s="475">
        <v>0</v>
      </c>
      <c r="AT147" s="475">
        <v>0</v>
      </c>
      <c r="AU147" s="475">
        <v>0</v>
      </c>
      <c r="AV147" s="454">
        <f t="shared" si="124"/>
        <v>1069.99</v>
      </c>
      <c r="AW147" s="454">
        <f t="shared" si="125"/>
        <v>1069.99</v>
      </c>
      <c r="AX147" s="455">
        <f t="shared" si="136"/>
        <v>1</v>
      </c>
      <c r="AY147" s="476">
        <f t="shared" si="126"/>
        <v>22.98</v>
      </c>
      <c r="AZ147" s="476">
        <f t="shared" si="127"/>
        <v>4.5599999999999996</v>
      </c>
      <c r="BA147" s="476">
        <f t="shared" si="128"/>
        <v>16.059999999999999</v>
      </c>
      <c r="BB147" s="476">
        <f t="shared" si="129"/>
        <v>0</v>
      </c>
      <c r="BC147" s="476">
        <f t="shared" si="130"/>
        <v>0</v>
      </c>
      <c r="BD147" s="476">
        <f t="shared" si="131"/>
        <v>1113.5899999999999</v>
      </c>
      <c r="BE147" s="477">
        <f t="shared" si="132"/>
        <v>1113.5899999999999</v>
      </c>
      <c r="BF147" s="478">
        <f t="shared" si="133"/>
        <v>0</v>
      </c>
      <c r="BG147" s="479">
        <f t="shared" si="134"/>
        <v>313.49</v>
      </c>
      <c r="BH147" s="480">
        <f t="shared" si="101"/>
        <v>686.5</v>
      </c>
      <c r="BI147" s="407" t="s">
        <v>692</v>
      </c>
      <c r="BM147" s="429">
        <f>IF(BR147&gt;BR146,BM146,IF(BM146&lt;MiscData!$F$1,EOMONTH(BM146,1),EOMONTH(BM146,-11)))</f>
        <v>41759</v>
      </c>
      <c r="BN147" s="416" t="str">
        <f t="shared" si="102"/>
        <v>20140101KUCME713</v>
      </c>
      <c r="BO147" s="427" t="str">
        <f t="shared" si="103"/>
        <v>20140101GS3</v>
      </c>
      <c r="BP147" s="407">
        <f>IF(BM147&lt;=MiscData!$B$23,MiscData!$C$23,IF(BM147&lt;=MiscData!$B$24,MiscData!$C$24,MiscData!$C$25))</f>
        <v>20140101</v>
      </c>
      <c r="BQ147" s="407" t="str">
        <f>VLOOKUP(BR147,MiscData!$V$4:$W$42,2,FALSE)</f>
        <v>KUCME713</v>
      </c>
      <c r="BR147" s="407">
        <f>IF(BR146=MiscData!$V$42,1,BR146+1)</f>
        <v>27</v>
      </c>
      <c r="BS147" s="407" t="str">
        <f>VLOOKUP(BQ147,MiscData!$W$4:$Y$42,3,FALSE)</f>
        <v>GS3</v>
      </c>
    </row>
    <row r="148" spans="1:72" hidden="1">
      <c r="A148" s="463">
        <f>A144+1</f>
        <v>133</v>
      </c>
      <c r="B148" s="464" t="str">
        <f t="shared" si="98"/>
        <v>Apr 2014</v>
      </c>
      <c r="C148" s="416" t="s">
        <v>1459</v>
      </c>
      <c r="D148" s="465" t="str">
        <f t="shared" si="99"/>
        <v>CSR10</v>
      </c>
      <c r="E148" s="465" t="str">
        <f t="shared" si="100"/>
        <v>KUCSR760</v>
      </c>
      <c r="F148" s="466">
        <f t="shared" si="104"/>
        <v>1</v>
      </c>
      <c r="G148" s="467">
        <v>0</v>
      </c>
      <c r="H148" s="466">
        <v>0</v>
      </c>
      <c r="I148" s="466">
        <v>0</v>
      </c>
      <c r="J148" s="466">
        <v>0</v>
      </c>
      <c r="K148" s="466">
        <f t="shared" si="105"/>
        <v>0</v>
      </c>
      <c r="L148" s="481">
        <v>0</v>
      </c>
      <c r="M148" s="443">
        <f t="shared" si="106"/>
        <v>0</v>
      </c>
      <c r="N148" s="469">
        <f t="shared" si="107"/>
        <v>0</v>
      </c>
      <c r="O148" s="469">
        <f t="shared" si="108"/>
        <v>0</v>
      </c>
      <c r="P148" s="469">
        <f t="shared" si="109"/>
        <v>0</v>
      </c>
      <c r="Q148" s="469">
        <f t="shared" si="110"/>
        <v>0</v>
      </c>
      <c r="R148" s="469">
        <f t="shared" si="111"/>
        <v>0</v>
      </c>
      <c r="S148" s="484">
        <v>0</v>
      </c>
      <c r="T148" s="484">
        <v>0</v>
      </c>
      <c r="U148" s="484">
        <v>0</v>
      </c>
      <c r="V148" s="490">
        <v>0</v>
      </c>
      <c r="W148" s="490">
        <v>0</v>
      </c>
      <c r="X148" s="490">
        <v>0</v>
      </c>
      <c r="Y148" s="470">
        <f t="shared" si="112"/>
        <v>0</v>
      </c>
      <c r="Z148" s="471">
        <f t="shared" si="113"/>
        <v>0</v>
      </c>
      <c r="AA148" s="471">
        <v>0</v>
      </c>
      <c r="AB148" s="471">
        <v>0</v>
      </c>
      <c r="AC148" s="471">
        <f t="shared" si="114"/>
        <v>0</v>
      </c>
      <c r="AD148" s="470">
        <f t="shared" si="115"/>
        <v>-5.4</v>
      </c>
      <c r="AE148" s="470">
        <f t="shared" si="116"/>
        <v>0</v>
      </c>
      <c r="AF148" s="470">
        <f t="shared" si="117"/>
        <v>0</v>
      </c>
      <c r="AG148" s="454">
        <f t="shared" si="118"/>
        <v>0</v>
      </c>
      <c r="AH148" s="454">
        <f t="shared" si="92"/>
        <v>0</v>
      </c>
      <c r="AI148" s="421">
        <f t="shared" si="119"/>
        <v>0</v>
      </c>
      <c r="AJ148" s="421">
        <f t="shared" si="120"/>
        <v>0</v>
      </c>
      <c r="AK148" s="421">
        <f t="shared" si="121"/>
        <v>0</v>
      </c>
      <c r="AL148" s="472">
        <v>0</v>
      </c>
      <c r="AM148" s="473">
        <f t="shared" si="91"/>
        <v>0</v>
      </c>
      <c r="AN148" s="474">
        <f t="shared" si="122"/>
        <v>0</v>
      </c>
      <c r="AO148" s="454">
        <f t="shared" si="123"/>
        <v>0</v>
      </c>
      <c r="AP148" s="472">
        <v>0</v>
      </c>
      <c r="AQ148" s="472">
        <v>0</v>
      </c>
      <c r="AR148" s="472">
        <v>0</v>
      </c>
      <c r="AS148" s="475">
        <v>0</v>
      </c>
      <c r="AT148" s="475">
        <v>0</v>
      </c>
      <c r="AU148" s="475">
        <v>0</v>
      </c>
      <c r="AV148" s="454">
        <f t="shared" si="124"/>
        <v>0</v>
      </c>
      <c r="AW148" s="454">
        <f t="shared" si="125"/>
        <v>0</v>
      </c>
      <c r="AX148" s="455">
        <f t="shared" si="136"/>
        <v>1</v>
      </c>
      <c r="AY148" s="476">
        <f t="shared" si="126"/>
        <v>0</v>
      </c>
      <c r="AZ148" s="476">
        <f t="shared" si="127"/>
        <v>0</v>
      </c>
      <c r="BA148" s="476">
        <f t="shared" si="128"/>
        <v>0</v>
      </c>
      <c r="BB148" s="476">
        <f t="shared" si="129"/>
        <v>0</v>
      </c>
      <c r="BC148" s="476">
        <f t="shared" si="130"/>
        <v>-939315.26</v>
      </c>
      <c r="BD148" s="476">
        <f t="shared" si="131"/>
        <v>-939315.26</v>
      </c>
      <c r="BE148" s="477">
        <f t="shared" si="132"/>
        <v>-939315.26</v>
      </c>
      <c r="BF148" s="478">
        <f t="shared" si="133"/>
        <v>0</v>
      </c>
      <c r="BG148" s="479">
        <f t="shared" si="134"/>
        <v>0</v>
      </c>
      <c r="BH148" s="480">
        <f t="shared" si="101"/>
        <v>0</v>
      </c>
      <c r="BI148" s="407" t="s">
        <v>692</v>
      </c>
      <c r="BM148" s="429">
        <f>IF(BR148&gt;BR144,BM144,IF(BM144&lt;MiscData!$F$1,EOMONTH(BM144,1),EOMONTH(BM144,-11)))</f>
        <v>41759</v>
      </c>
      <c r="BN148" s="416" t="str">
        <f t="shared" si="102"/>
        <v>20140101KUCSR760</v>
      </c>
      <c r="BO148" s="427" t="str">
        <f t="shared" si="103"/>
        <v>20140101CSR10</v>
      </c>
      <c r="BP148" s="407">
        <f>IF(BM148&lt;=MiscData!$B$23,MiscData!$C$23,IF(BM148&lt;=MiscData!$B$24,MiscData!$C$24,MiscData!$C$25))</f>
        <v>20140101</v>
      </c>
      <c r="BQ148" s="407" t="str">
        <f>VLOOKUP(BR148,MiscData!$V$4:$W$42,2,FALSE)</f>
        <v>KUCSR760</v>
      </c>
      <c r="BR148" s="407">
        <f>IF(BR147=MiscData!$V$42,1,BR147+1)</f>
        <v>28</v>
      </c>
      <c r="BS148" s="407" t="str">
        <f>VLOOKUP(BQ148,MiscData!$W$4:$Y$42,3,FALSE)</f>
        <v>CSR10</v>
      </c>
    </row>
    <row r="149" spans="1:72" hidden="1">
      <c r="A149" s="463">
        <f>A145+1</f>
        <v>134</v>
      </c>
      <c r="B149" s="464" t="str">
        <f t="shared" si="98"/>
        <v>Apr 2014</v>
      </c>
      <c r="C149" s="416" t="s">
        <v>1459</v>
      </c>
      <c r="D149" s="465" t="str">
        <f t="shared" si="99"/>
        <v>CSR10</v>
      </c>
      <c r="E149" s="465" t="str">
        <f t="shared" si="100"/>
        <v>KUCSR761</v>
      </c>
      <c r="F149" s="466">
        <f t="shared" si="104"/>
        <v>1</v>
      </c>
      <c r="G149" s="467">
        <v>0</v>
      </c>
      <c r="H149" s="466">
        <v>0</v>
      </c>
      <c r="I149" s="466">
        <v>0</v>
      </c>
      <c r="J149" s="466">
        <v>0</v>
      </c>
      <c r="K149" s="466">
        <f t="shared" si="105"/>
        <v>0</v>
      </c>
      <c r="L149" s="481">
        <v>0</v>
      </c>
      <c r="M149" s="443">
        <f t="shared" si="106"/>
        <v>0</v>
      </c>
      <c r="N149" s="469">
        <f t="shared" si="107"/>
        <v>0</v>
      </c>
      <c r="O149" s="469">
        <f t="shared" si="108"/>
        <v>0</v>
      </c>
      <c r="P149" s="469">
        <f t="shared" si="109"/>
        <v>0</v>
      </c>
      <c r="Q149" s="469">
        <f t="shared" si="110"/>
        <v>0</v>
      </c>
      <c r="R149" s="469">
        <f t="shared" si="111"/>
        <v>0</v>
      </c>
      <c r="S149" s="484">
        <v>0</v>
      </c>
      <c r="T149" s="484">
        <v>0</v>
      </c>
      <c r="U149" s="484">
        <v>0</v>
      </c>
      <c r="V149" s="490">
        <v>0</v>
      </c>
      <c r="W149" s="490">
        <v>0</v>
      </c>
      <c r="X149" s="490">
        <v>0</v>
      </c>
      <c r="Y149" s="470">
        <f t="shared" si="112"/>
        <v>0</v>
      </c>
      <c r="Z149" s="471">
        <f t="shared" si="113"/>
        <v>0</v>
      </c>
      <c r="AA149" s="471">
        <v>0</v>
      </c>
      <c r="AB149" s="471">
        <v>0</v>
      </c>
      <c r="AC149" s="471">
        <f t="shared" si="114"/>
        <v>0</v>
      </c>
      <c r="AD149" s="470">
        <f t="shared" si="115"/>
        <v>-5.5</v>
      </c>
      <c r="AE149" s="470">
        <f t="shared" si="116"/>
        <v>0</v>
      </c>
      <c r="AF149" s="470">
        <f t="shared" si="117"/>
        <v>0</v>
      </c>
      <c r="AG149" s="454">
        <f t="shared" si="118"/>
        <v>0</v>
      </c>
      <c r="AH149" s="454">
        <f t="shared" si="92"/>
        <v>0</v>
      </c>
      <c r="AI149" s="421">
        <f t="shared" si="119"/>
        <v>0</v>
      </c>
      <c r="AJ149" s="421">
        <f t="shared" si="120"/>
        <v>0</v>
      </c>
      <c r="AK149" s="421">
        <f t="shared" si="121"/>
        <v>0</v>
      </c>
      <c r="AL149" s="472">
        <v>0</v>
      </c>
      <c r="AM149" s="473">
        <f t="shared" si="91"/>
        <v>0</v>
      </c>
      <c r="AN149" s="474">
        <f t="shared" si="122"/>
        <v>0</v>
      </c>
      <c r="AO149" s="454">
        <f t="shared" si="123"/>
        <v>0</v>
      </c>
      <c r="AP149" s="472">
        <v>0</v>
      </c>
      <c r="AQ149" s="472">
        <v>0</v>
      </c>
      <c r="AR149" s="472">
        <v>0</v>
      </c>
      <c r="AS149" s="475">
        <v>0</v>
      </c>
      <c r="AT149" s="475">
        <v>0</v>
      </c>
      <c r="AU149" s="475">
        <v>0</v>
      </c>
      <c r="AV149" s="454">
        <f t="shared" si="124"/>
        <v>0</v>
      </c>
      <c r="AW149" s="454">
        <f t="shared" si="125"/>
        <v>0</v>
      </c>
      <c r="AX149" s="455">
        <f t="shared" si="136"/>
        <v>1</v>
      </c>
      <c r="AY149" s="476">
        <f t="shared" si="126"/>
        <v>0</v>
      </c>
      <c r="AZ149" s="476">
        <f t="shared" si="127"/>
        <v>0</v>
      </c>
      <c r="BA149" s="476">
        <f t="shared" si="128"/>
        <v>0</v>
      </c>
      <c r="BB149" s="476">
        <f t="shared" si="129"/>
        <v>0</v>
      </c>
      <c r="BC149" s="476">
        <f t="shared" si="130"/>
        <v>-29651.77</v>
      </c>
      <c r="BD149" s="476">
        <f t="shared" si="131"/>
        <v>-29651.77</v>
      </c>
      <c r="BE149" s="477">
        <f t="shared" si="132"/>
        <v>-29651.77</v>
      </c>
      <c r="BF149" s="478">
        <f t="shared" si="133"/>
        <v>0</v>
      </c>
      <c r="BG149" s="479">
        <f t="shared" si="134"/>
        <v>0</v>
      </c>
      <c r="BH149" s="480">
        <f t="shared" si="101"/>
        <v>0</v>
      </c>
      <c r="BI149" s="407" t="s">
        <v>692</v>
      </c>
      <c r="BM149" s="429">
        <f>IF(BR149&gt;BR145,BM145,IF(BM145&lt;MiscData!$F$1,EOMONTH(BM145,1),EOMONTH(BM145,-11)))</f>
        <v>41759</v>
      </c>
      <c r="BN149" s="416" t="str">
        <f t="shared" si="102"/>
        <v>20140101KUCSR761</v>
      </c>
      <c r="BO149" s="427" t="str">
        <f t="shared" si="103"/>
        <v>20140101CSR10</v>
      </c>
      <c r="BP149" s="407">
        <f>IF(BM149&lt;=MiscData!$B$23,MiscData!$C$23,IF(BM149&lt;=MiscData!$B$24,MiscData!$C$24,MiscData!$C$25))</f>
        <v>20140101</v>
      </c>
      <c r="BQ149" s="407" t="str">
        <f>VLOOKUP(BR149,MiscData!$V$4:$W$42,2,FALSE)</f>
        <v>KUCSR761</v>
      </c>
      <c r="BR149" s="407">
        <f>IF(BR148=MiscData!$V$42,1,BR148+1)</f>
        <v>29</v>
      </c>
      <c r="BS149" s="407" t="str">
        <f>VLOOKUP(BQ149,MiscData!$W$4:$Y$42,3,FALSE)</f>
        <v>CSR10</v>
      </c>
    </row>
    <row r="150" spans="1:72" hidden="1">
      <c r="A150" s="463">
        <f>A146+1</f>
        <v>135</v>
      </c>
      <c r="B150" s="464" t="str">
        <f t="shared" si="98"/>
        <v>Apr 2014</v>
      </c>
      <c r="C150" s="416" t="s">
        <v>1460</v>
      </c>
      <c r="D150" s="465" t="str">
        <f t="shared" si="99"/>
        <v>CSR30</v>
      </c>
      <c r="E150" s="465" t="str">
        <f t="shared" si="100"/>
        <v>KUCSR780</v>
      </c>
      <c r="F150" s="466">
        <f t="shared" si="104"/>
        <v>0</v>
      </c>
      <c r="G150" s="467">
        <v>0</v>
      </c>
      <c r="H150" s="466">
        <v>0</v>
      </c>
      <c r="I150" s="466">
        <v>0</v>
      </c>
      <c r="J150" s="466">
        <v>0</v>
      </c>
      <c r="K150" s="466">
        <f t="shared" si="105"/>
        <v>0</v>
      </c>
      <c r="L150" s="481">
        <v>0</v>
      </c>
      <c r="M150" s="443">
        <f t="shared" si="106"/>
        <v>0</v>
      </c>
      <c r="N150" s="469">
        <f t="shared" si="107"/>
        <v>0</v>
      </c>
      <c r="O150" s="469">
        <f t="shared" si="108"/>
        <v>0</v>
      </c>
      <c r="P150" s="469">
        <f t="shared" si="109"/>
        <v>0</v>
      </c>
      <c r="Q150" s="469">
        <f t="shared" si="110"/>
        <v>0</v>
      </c>
      <c r="R150" s="469">
        <f t="shared" si="111"/>
        <v>0</v>
      </c>
      <c r="S150" s="484">
        <v>0</v>
      </c>
      <c r="T150" s="484">
        <v>0</v>
      </c>
      <c r="U150" s="484">
        <v>0</v>
      </c>
      <c r="V150" s="490">
        <v>0</v>
      </c>
      <c r="W150" s="490">
        <v>0</v>
      </c>
      <c r="X150" s="490">
        <v>0</v>
      </c>
      <c r="Y150" s="470">
        <f t="shared" si="112"/>
        <v>0</v>
      </c>
      <c r="Z150" s="471">
        <f t="shared" si="113"/>
        <v>0</v>
      </c>
      <c r="AA150" s="471">
        <v>0</v>
      </c>
      <c r="AB150" s="471">
        <v>0</v>
      </c>
      <c r="AC150" s="471">
        <f t="shared" si="114"/>
        <v>0</v>
      </c>
      <c r="AD150" s="470">
        <f t="shared" si="115"/>
        <v>-4.3</v>
      </c>
      <c r="AE150" s="470">
        <f t="shared" si="116"/>
        <v>0</v>
      </c>
      <c r="AF150" s="470">
        <f t="shared" si="117"/>
        <v>0</v>
      </c>
      <c r="AG150" s="454">
        <f t="shared" si="118"/>
        <v>0</v>
      </c>
      <c r="AH150" s="454">
        <f t="shared" si="92"/>
        <v>0</v>
      </c>
      <c r="AI150" s="421">
        <f t="shared" si="119"/>
        <v>0</v>
      </c>
      <c r="AJ150" s="421">
        <f t="shared" si="120"/>
        <v>0</v>
      </c>
      <c r="AK150" s="421">
        <f t="shared" si="121"/>
        <v>0</v>
      </c>
      <c r="AL150" s="472">
        <v>0</v>
      </c>
      <c r="AM150" s="473">
        <f t="shared" si="91"/>
        <v>0</v>
      </c>
      <c r="AN150" s="474">
        <f t="shared" si="122"/>
        <v>0</v>
      </c>
      <c r="AO150" s="454">
        <f t="shared" si="123"/>
        <v>0</v>
      </c>
      <c r="AP150" s="472">
        <v>0</v>
      </c>
      <c r="AQ150" s="472">
        <v>0</v>
      </c>
      <c r="AR150" s="472">
        <v>0</v>
      </c>
      <c r="AS150" s="475">
        <v>0</v>
      </c>
      <c r="AT150" s="475">
        <v>0</v>
      </c>
      <c r="AU150" s="475">
        <v>0</v>
      </c>
      <c r="AV150" s="454">
        <f t="shared" si="124"/>
        <v>0</v>
      </c>
      <c r="AW150" s="454">
        <f t="shared" si="125"/>
        <v>0</v>
      </c>
      <c r="AX150" s="455">
        <f t="shared" si="136"/>
        <v>1</v>
      </c>
      <c r="AY150" s="476">
        <f t="shared" si="126"/>
        <v>0</v>
      </c>
      <c r="AZ150" s="476">
        <f t="shared" si="127"/>
        <v>0</v>
      </c>
      <c r="BA150" s="476">
        <f t="shared" si="128"/>
        <v>0</v>
      </c>
      <c r="BB150" s="476">
        <f t="shared" si="129"/>
        <v>0</v>
      </c>
      <c r="BC150" s="476">
        <f t="shared" si="130"/>
        <v>0</v>
      </c>
      <c r="BD150" s="476">
        <f t="shared" si="131"/>
        <v>0</v>
      </c>
      <c r="BE150" s="477">
        <f t="shared" si="132"/>
        <v>0</v>
      </c>
      <c r="BF150" s="478">
        <f t="shared" si="133"/>
        <v>0</v>
      </c>
      <c r="BG150" s="479">
        <f t="shared" si="134"/>
        <v>0</v>
      </c>
      <c r="BH150" s="480">
        <f t="shared" si="101"/>
        <v>0</v>
      </c>
      <c r="BI150" s="407" t="s">
        <v>692</v>
      </c>
      <c r="BM150" s="429">
        <f>IF(BR150&gt;BR146,BM146,IF(BM146&lt;MiscData!$F$1,EOMONTH(BM146,1),EOMONTH(BM146,-11)))</f>
        <v>41759</v>
      </c>
      <c r="BN150" s="416" t="str">
        <f t="shared" si="102"/>
        <v>20140101KUCSR780</v>
      </c>
      <c r="BO150" s="427" t="str">
        <f t="shared" si="103"/>
        <v>20140101CSR30</v>
      </c>
      <c r="BP150" s="407">
        <f>IF(BM150&lt;=MiscData!$B$23,MiscData!$C$23,IF(BM150&lt;=MiscData!$B$24,MiscData!$C$24,MiscData!$C$25))</f>
        <v>20140101</v>
      </c>
      <c r="BQ150" s="407" t="str">
        <f>VLOOKUP(BR150,MiscData!$V$4:$W$42,2,FALSE)</f>
        <v>KUCSR780</v>
      </c>
      <c r="BR150" s="407">
        <f>IF(BR149=MiscData!$V$42,1,BR149+1)</f>
        <v>30</v>
      </c>
      <c r="BS150" s="407" t="str">
        <f>VLOOKUP(BQ150,MiscData!$W$4:$Y$42,3,FALSE)</f>
        <v>CSR30</v>
      </c>
    </row>
    <row r="151" spans="1:72" hidden="1">
      <c r="A151" s="463">
        <f>A147+1</f>
        <v>136</v>
      </c>
      <c r="B151" s="464" t="str">
        <f t="shared" si="98"/>
        <v>Apr 2014</v>
      </c>
      <c r="C151" s="416" t="s">
        <v>1460</v>
      </c>
      <c r="D151" s="465" t="str">
        <f t="shared" si="99"/>
        <v>CSR30</v>
      </c>
      <c r="E151" s="465" t="str">
        <f t="shared" si="100"/>
        <v>KUCSR781</v>
      </c>
      <c r="F151" s="466">
        <f t="shared" si="104"/>
        <v>1</v>
      </c>
      <c r="G151" s="467">
        <v>0</v>
      </c>
      <c r="H151" s="466">
        <v>0</v>
      </c>
      <c r="I151" s="466">
        <v>0</v>
      </c>
      <c r="J151" s="466">
        <v>0</v>
      </c>
      <c r="K151" s="466">
        <f t="shared" si="105"/>
        <v>0</v>
      </c>
      <c r="L151" s="481">
        <v>0</v>
      </c>
      <c r="M151" s="443">
        <f t="shared" si="106"/>
        <v>0</v>
      </c>
      <c r="N151" s="469">
        <f t="shared" si="107"/>
        <v>0</v>
      </c>
      <c r="O151" s="469">
        <f t="shared" si="108"/>
        <v>0</v>
      </c>
      <c r="P151" s="469">
        <f t="shared" si="109"/>
        <v>0</v>
      </c>
      <c r="Q151" s="469">
        <f t="shared" si="110"/>
        <v>0</v>
      </c>
      <c r="R151" s="469">
        <f t="shared" si="111"/>
        <v>0</v>
      </c>
      <c r="S151" s="484">
        <v>0</v>
      </c>
      <c r="T151" s="484">
        <v>0</v>
      </c>
      <c r="U151" s="484">
        <v>0</v>
      </c>
      <c r="V151" s="490">
        <v>0</v>
      </c>
      <c r="W151" s="490">
        <v>0</v>
      </c>
      <c r="X151" s="490">
        <v>0</v>
      </c>
      <c r="Y151" s="470">
        <f t="shared" si="112"/>
        <v>0</v>
      </c>
      <c r="Z151" s="471">
        <f t="shared" si="113"/>
        <v>0</v>
      </c>
      <c r="AA151" s="471">
        <v>0</v>
      </c>
      <c r="AB151" s="471">
        <v>0</v>
      </c>
      <c r="AC151" s="471">
        <f t="shared" si="114"/>
        <v>0</v>
      </c>
      <c r="AD151" s="470">
        <f t="shared" si="115"/>
        <v>-4.4000000000000004</v>
      </c>
      <c r="AE151" s="470">
        <f t="shared" si="116"/>
        <v>0</v>
      </c>
      <c r="AF151" s="470">
        <f t="shared" si="117"/>
        <v>0</v>
      </c>
      <c r="AG151" s="454">
        <f t="shared" si="118"/>
        <v>0</v>
      </c>
      <c r="AH151" s="454">
        <f t="shared" si="92"/>
        <v>0</v>
      </c>
      <c r="AI151" s="421">
        <f t="shared" si="119"/>
        <v>0</v>
      </c>
      <c r="AJ151" s="421">
        <f t="shared" si="120"/>
        <v>0</v>
      </c>
      <c r="AK151" s="421">
        <f t="shared" si="121"/>
        <v>0</v>
      </c>
      <c r="AL151" s="472">
        <v>0</v>
      </c>
      <c r="AM151" s="473">
        <f t="shared" si="91"/>
        <v>0</v>
      </c>
      <c r="AN151" s="474">
        <f t="shared" si="122"/>
        <v>0</v>
      </c>
      <c r="AO151" s="454">
        <f t="shared" si="123"/>
        <v>0</v>
      </c>
      <c r="AP151" s="472">
        <v>0</v>
      </c>
      <c r="AQ151" s="472">
        <v>0</v>
      </c>
      <c r="AR151" s="472">
        <v>0</v>
      </c>
      <c r="AS151" s="475">
        <v>0</v>
      </c>
      <c r="AT151" s="475">
        <v>0</v>
      </c>
      <c r="AU151" s="475">
        <v>0</v>
      </c>
      <c r="AV151" s="454">
        <f t="shared" si="124"/>
        <v>0</v>
      </c>
      <c r="AW151" s="454">
        <f t="shared" si="125"/>
        <v>0</v>
      </c>
      <c r="AX151" s="455">
        <f t="shared" si="136"/>
        <v>1</v>
      </c>
      <c r="AY151" s="476">
        <f t="shared" si="126"/>
        <v>0</v>
      </c>
      <c r="AZ151" s="476">
        <f t="shared" si="127"/>
        <v>0</v>
      </c>
      <c r="BA151" s="476">
        <f t="shared" si="128"/>
        <v>0</v>
      </c>
      <c r="BB151" s="476">
        <f t="shared" si="129"/>
        <v>0</v>
      </c>
      <c r="BC151" s="476">
        <f t="shared" si="130"/>
        <v>-20814.2</v>
      </c>
      <c r="BD151" s="476">
        <f t="shared" si="131"/>
        <v>-20814.2</v>
      </c>
      <c r="BE151" s="477">
        <f t="shared" si="132"/>
        <v>-20814.2</v>
      </c>
      <c r="BF151" s="478">
        <f t="shared" si="133"/>
        <v>0</v>
      </c>
      <c r="BG151" s="479">
        <f t="shared" si="134"/>
        <v>0</v>
      </c>
      <c r="BH151" s="480">
        <f t="shared" si="101"/>
        <v>0</v>
      </c>
      <c r="BI151" s="407" t="s">
        <v>692</v>
      </c>
      <c r="BM151" s="429">
        <f>IF(BR151&gt;BR147,BM147,IF(BM147&lt;MiscData!$F$1,EOMONTH(BM147,1),EOMONTH(BM147,-11)))</f>
        <v>41759</v>
      </c>
      <c r="BN151" s="416" t="str">
        <f t="shared" si="102"/>
        <v>20140101KUCSR781</v>
      </c>
      <c r="BO151" s="427" t="str">
        <f t="shared" si="103"/>
        <v>20140101CSR30</v>
      </c>
      <c r="BP151" s="407">
        <f>IF(BM151&lt;=MiscData!$B$23,MiscData!$C$23,IF(BM151&lt;=MiscData!$B$24,MiscData!$C$24,MiscData!$C$25))</f>
        <v>20140101</v>
      </c>
      <c r="BQ151" s="407" t="str">
        <f>VLOOKUP(BR151,MiscData!$V$4:$W$42,2,FALSE)</f>
        <v>KUCSR781</v>
      </c>
      <c r="BR151" s="407">
        <f>IF(BR150=MiscData!$V$42,1,BR150+1)</f>
        <v>31</v>
      </c>
      <c r="BS151" s="407" t="str">
        <f>VLOOKUP(BQ151,MiscData!$W$4:$Y$42,3,FALSE)</f>
        <v>CSR30</v>
      </c>
    </row>
    <row r="152" spans="1:72" hidden="1">
      <c r="A152" s="463">
        <f t="shared" ref="A152:A187" si="137">A151+1</f>
        <v>137</v>
      </c>
      <c r="B152" s="464" t="str">
        <f t="shared" si="98"/>
        <v>Apr 2014</v>
      </c>
      <c r="C152" s="416" t="s">
        <v>1460</v>
      </c>
      <c r="D152" s="465" t="str">
        <f t="shared" si="99"/>
        <v>CSR30</v>
      </c>
      <c r="E152" s="465" t="str">
        <f t="shared" si="100"/>
        <v>KUCSR783</v>
      </c>
      <c r="F152" s="466">
        <f t="shared" si="104"/>
        <v>1</v>
      </c>
      <c r="G152" s="467">
        <v>0</v>
      </c>
      <c r="H152" s="466">
        <v>0</v>
      </c>
      <c r="I152" s="466">
        <v>0</v>
      </c>
      <c r="J152" s="466">
        <v>0</v>
      </c>
      <c r="K152" s="466">
        <f t="shared" si="105"/>
        <v>0</v>
      </c>
      <c r="L152" s="481">
        <v>0</v>
      </c>
      <c r="M152" s="443">
        <f t="shared" si="106"/>
        <v>0</v>
      </c>
      <c r="N152" s="469">
        <f t="shared" si="107"/>
        <v>0</v>
      </c>
      <c r="O152" s="469">
        <f t="shared" si="108"/>
        <v>0</v>
      </c>
      <c r="P152" s="469">
        <f t="shared" si="109"/>
        <v>0</v>
      </c>
      <c r="Q152" s="469">
        <f t="shared" si="110"/>
        <v>0</v>
      </c>
      <c r="R152" s="469">
        <f t="shared" si="111"/>
        <v>0</v>
      </c>
      <c r="S152" s="484">
        <v>0</v>
      </c>
      <c r="T152" s="484">
        <v>0</v>
      </c>
      <c r="U152" s="484">
        <v>0</v>
      </c>
      <c r="V152" s="490">
        <v>0</v>
      </c>
      <c r="W152" s="490">
        <v>0</v>
      </c>
      <c r="X152" s="490">
        <v>0</v>
      </c>
      <c r="Y152" s="470">
        <f t="shared" si="112"/>
        <v>0</v>
      </c>
      <c r="Z152" s="471">
        <f t="shared" si="113"/>
        <v>0</v>
      </c>
      <c r="AA152" s="471">
        <v>0</v>
      </c>
      <c r="AB152" s="471">
        <v>0</v>
      </c>
      <c r="AC152" s="471">
        <f t="shared" si="114"/>
        <v>0</v>
      </c>
      <c r="AD152" s="470">
        <f t="shared" si="115"/>
        <v>-4.4000000000000004</v>
      </c>
      <c r="AE152" s="470">
        <f t="shared" si="116"/>
        <v>0</v>
      </c>
      <c r="AF152" s="470">
        <f t="shared" si="117"/>
        <v>0</v>
      </c>
      <c r="AG152" s="454">
        <f t="shared" si="118"/>
        <v>0</v>
      </c>
      <c r="AH152" s="454">
        <f t="shared" si="92"/>
        <v>0</v>
      </c>
      <c r="AI152" s="421">
        <f t="shared" si="119"/>
        <v>0</v>
      </c>
      <c r="AJ152" s="421">
        <f t="shared" si="120"/>
        <v>0</v>
      </c>
      <c r="AK152" s="421">
        <f t="shared" si="121"/>
        <v>0</v>
      </c>
      <c r="AL152" s="472">
        <v>0</v>
      </c>
      <c r="AM152" s="473">
        <f t="shared" si="91"/>
        <v>0</v>
      </c>
      <c r="AN152" s="474">
        <f t="shared" si="122"/>
        <v>0</v>
      </c>
      <c r="AO152" s="454">
        <f t="shared" si="123"/>
        <v>0</v>
      </c>
      <c r="AP152" s="472">
        <v>0</v>
      </c>
      <c r="AQ152" s="472">
        <v>0</v>
      </c>
      <c r="AR152" s="472">
        <v>0</v>
      </c>
      <c r="AS152" s="475">
        <v>0</v>
      </c>
      <c r="AT152" s="475">
        <v>0</v>
      </c>
      <c r="AU152" s="475">
        <v>0</v>
      </c>
      <c r="AV152" s="454">
        <f t="shared" si="124"/>
        <v>0</v>
      </c>
      <c r="AW152" s="454">
        <f t="shared" si="125"/>
        <v>0</v>
      </c>
      <c r="AX152" s="455">
        <f t="shared" si="136"/>
        <v>1</v>
      </c>
      <c r="AY152" s="476">
        <f t="shared" si="126"/>
        <v>0</v>
      </c>
      <c r="AZ152" s="476">
        <f t="shared" si="127"/>
        <v>0</v>
      </c>
      <c r="BA152" s="476">
        <f t="shared" si="128"/>
        <v>0</v>
      </c>
      <c r="BB152" s="476">
        <f t="shared" si="129"/>
        <v>0</v>
      </c>
      <c r="BC152" s="476">
        <f t="shared" si="130"/>
        <v>-8800</v>
      </c>
      <c r="BD152" s="476">
        <f t="shared" si="131"/>
        <v>-8800</v>
      </c>
      <c r="BE152" s="477">
        <f t="shared" si="132"/>
        <v>-8800</v>
      </c>
      <c r="BF152" s="478">
        <f t="shared" si="133"/>
        <v>0</v>
      </c>
      <c r="BG152" s="479">
        <f t="shared" si="134"/>
        <v>0</v>
      </c>
      <c r="BH152" s="480">
        <f t="shared" si="101"/>
        <v>0</v>
      </c>
      <c r="BI152" s="407" t="s">
        <v>692</v>
      </c>
      <c r="BM152" s="429">
        <f>IF(BR152&gt;BR151,BM151,IF(BM151&lt;MiscData!$F$1,EOMONTH(BM151,1),EOMONTH(BM151,-11)))</f>
        <v>41759</v>
      </c>
      <c r="BN152" s="416" t="str">
        <f t="shared" si="102"/>
        <v>20140101KUCSR783</v>
      </c>
      <c r="BO152" s="427" t="str">
        <f t="shared" si="103"/>
        <v>20140101CSR30</v>
      </c>
      <c r="BP152" s="407">
        <f>IF(BM152&lt;=MiscData!$B$23,MiscData!$C$23,IF(BM152&lt;=MiscData!$B$24,MiscData!$C$24,MiscData!$C$25))</f>
        <v>20140101</v>
      </c>
      <c r="BQ152" s="407" t="str">
        <f>VLOOKUP(BR152,MiscData!$V$4:$W$42,2,FALSE)</f>
        <v>KUCSR783</v>
      </c>
      <c r="BR152" s="407">
        <f>IF(BR151=MiscData!$V$42,1,BR151+1)</f>
        <v>32</v>
      </c>
      <c r="BS152" s="407" t="str">
        <f>VLOOKUP(BQ152,MiscData!$W$4:$Y$42,3,FALSE)</f>
        <v>CSR30</v>
      </c>
    </row>
    <row r="153" spans="1:72" hidden="1">
      <c r="A153" s="463">
        <f t="shared" si="137"/>
        <v>138</v>
      </c>
      <c r="B153" s="464" t="str">
        <f t="shared" si="98"/>
        <v>Apr 2014</v>
      </c>
      <c r="C153" s="837" t="s">
        <v>675</v>
      </c>
      <c r="D153" s="465" t="str">
        <f t="shared" si="99"/>
        <v>FLST</v>
      </c>
      <c r="E153" s="465" t="str">
        <f t="shared" si="100"/>
        <v>KUINE730</v>
      </c>
      <c r="F153" s="466">
        <f t="shared" si="104"/>
        <v>1</v>
      </c>
      <c r="G153" s="467">
        <v>0</v>
      </c>
      <c r="H153" s="466">
        <v>0</v>
      </c>
      <c r="I153" s="466">
        <v>0</v>
      </c>
      <c r="J153" s="466">
        <v>0</v>
      </c>
      <c r="K153" s="466">
        <f t="shared" si="105"/>
        <v>49896000</v>
      </c>
      <c r="L153" s="481">
        <v>0</v>
      </c>
      <c r="M153" s="443">
        <f t="shared" si="106"/>
        <v>177947.3</v>
      </c>
      <c r="N153" s="469">
        <f t="shared" si="107"/>
        <v>177947.3</v>
      </c>
      <c r="O153" s="469">
        <f t="shared" si="108"/>
        <v>134560.70000000001</v>
      </c>
      <c r="P153" s="469">
        <f t="shared" si="109"/>
        <v>177947.3</v>
      </c>
      <c r="Q153" s="469">
        <f t="shared" si="110"/>
        <v>177947.3</v>
      </c>
      <c r="R153" s="469">
        <f t="shared" si="111"/>
        <v>134560.70000000001</v>
      </c>
      <c r="S153" s="484">
        <v>0</v>
      </c>
      <c r="T153" s="484">
        <v>0</v>
      </c>
      <c r="U153" s="484">
        <v>0</v>
      </c>
      <c r="V153" s="490">
        <v>0</v>
      </c>
      <c r="W153" s="490">
        <v>0</v>
      </c>
      <c r="X153" s="490">
        <v>0</v>
      </c>
      <c r="Y153" s="470">
        <f t="shared" si="112"/>
        <v>750</v>
      </c>
      <c r="Z153" s="471">
        <f t="shared" si="113"/>
        <v>3.261E-2</v>
      </c>
      <c r="AA153" s="471">
        <v>0</v>
      </c>
      <c r="AB153" s="471">
        <v>0</v>
      </c>
      <c r="AC153" s="471">
        <f t="shared" si="114"/>
        <v>2.8920000000000001E-2</v>
      </c>
      <c r="AD153" s="470">
        <f t="shared" si="115"/>
        <v>1.05</v>
      </c>
      <c r="AE153" s="470">
        <f t="shared" si="116"/>
        <v>1.52</v>
      </c>
      <c r="AF153" s="470">
        <f t="shared" si="117"/>
        <v>2.41</v>
      </c>
      <c r="AG153" s="454">
        <f t="shared" si="118"/>
        <v>750</v>
      </c>
      <c r="AH153" s="454">
        <f t="shared" si="92"/>
        <v>1627108.56</v>
      </c>
      <c r="AI153" s="421">
        <f t="shared" si="119"/>
        <v>186844.67</v>
      </c>
      <c r="AJ153" s="421">
        <f t="shared" si="120"/>
        <v>270479.90000000002</v>
      </c>
      <c r="AK153" s="421">
        <f t="shared" si="121"/>
        <v>324291.28999999998</v>
      </c>
      <c r="AL153" s="472">
        <v>0</v>
      </c>
      <c r="AM153" s="473">
        <f t="shared" si="91"/>
        <v>0</v>
      </c>
      <c r="AN153" s="474">
        <f t="shared" si="122"/>
        <v>0</v>
      </c>
      <c r="AO153" s="454">
        <f t="shared" si="123"/>
        <v>781615.8600000001</v>
      </c>
      <c r="AP153" s="472">
        <v>0</v>
      </c>
      <c r="AQ153" s="472">
        <v>0</v>
      </c>
      <c r="AR153" s="472">
        <v>0</v>
      </c>
      <c r="AS153" s="475">
        <v>0</v>
      </c>
      <c r="AT153" s="475">
        <v>0</v>
      </c>
      <c r="AU153" s="475">
        <v>0</v>
      </c>
      <c r="AV153" s="454">
        <f t="shared" si="124"/>
        <v>2409474.42</v>
      </c>
      <c r="AW153" s="454">
        <f t="shared" si="125"/>
        <v>2409474.42</v>
      </c>
      <c r="AX153" s="455">
        <f t="shared" si="136"/>
        <v>1</v>
      </c>
      <c r="AY153" s="476">
        <f t="shared" si="126"/>
        <v>105779.52</v>
      </c>
      <c r="AZ153" s="476">
        <f t="shared" si="127"/>
        <v>0</v>
      </c>
      <c r="BA153" s="476">
        <f t="shared" si="128"/>
        <v>20392.77</v>
      </c>
      <c r="BB153" s="476">
        <f t="shared" si="129"/>
        <v>0</v>
      </c>
      <c r="BC153" s="476">
        <f t="shared" si="130"/>
        <v>0</v>
      </c>
      <c r="BD153" s="476">
        <f t="shared" si="131"/>
        <v>2535646.71</v>
      </c>
      <c r="BE153" s="477">
        <f t="shared" si="132"/>
        <v>2535646.71</v>
      </c>
      <c r="BF153" s="478">
        <f t="shared" si="133"/>
        <v>0</v>
      </c>
      <c r="BG153" s="479">
        <f t="shared" si="134"/>
        <v>1442992.32</v>
      </c>
      <c r="BH153" s="480">
        <f t="shared" si="101"/>
        <v>184116.24</v>
      </c>
      <c r="BI153" s="407" t="s">
        <v>692</v>
      </c>
      <c r="BM153" s="429">
        <f>IF(BR153&gt;BR152,BM152,IF(BM152&lt;MiscData!$F$1,EOMONTH(BM152,1),EOMONTH(BM152,-11)))</f>
        <v>41759</v>
      </c>
      <c r="BN153" s="416" t="str">
        <f t="shared" si="102"/>
        <v>20140101KUINE730</v>
      </c>
      <c r="BO153" s="427" t="str">
        <f t="shared" si="103"/>
        <v>20140101FLST</v>
      </c>
      <c r="BP153" s="407">
        <f>IF(BM153&lt;=MiscData!$B$23,MiscData!$C$23,IF(BM153&lt;=MiscData!$B$24,MiscData!$C$24,MiscData!$C$25))</f>
        <v>20140101</v>
      </c>
      <c r="BQ153" s="407" t="str">
        <f>VLOOKUP(BR153,MiscData!$V$4:$W$42,2,FALSE)</f>
        <v>KUINE730</v>
      </c>
      <c r="BR153" s="407">
        <f>IF(BR152=MiscData!$V$42,1,BR152+1)</f>
        <v>33</v>
      </c>
      <c r="BS153" s="407" t="str">
        <f>VLOOKUP(BQ153,MiscData!$W$4:$Y$42,3,FALSE)</f>
        <v>FLST</v>
      </c>
    </row>
    <row r="154" spans="1:72" hidden="1">
      <c r="A154" s="463">
        <f t="shared" si="137"/>
        <v>139</v>
      </c>
      <c r="B154" s="464" t="str">
        <f t="shared" si="98"/>
        <v>Apr 2014</v>
      </c>
      <c r="C154" s="464" t="s">
        <v>15</v>
      </c>
      <c r="D154" s="465" t="str">
        <f t="shared" si="99"/>
        <v>RS</v>
      </c>
      <c r="E154" s="465" t="str">
        <f t="shared" si="100"/>
        <v>KURSE010</v>
      </c>
      <c r="F154" s="466">
        <f t="shared" si="104"/>
        <v>228749</v>
      </c>
      <c r="G154" s="467">
        <v>495</v>
      </c>
      <c r="H154" s="466">
        <v>0</v>
      </c>
      <c r="I154" s="466">
        <v>0</v>
      </c>
      <c r="J154" s="466">
        <v>0</v>
      </c>
      <c r="K154" s="466">
        <f t="shared" si="105"/>
        <v>189776294</v>
      </c>
      <c r="L154" s="481">
        <v>0</v>
      </c>
      <c r="M154" s="443">
        <f t="shared" si="106"/>
        <v>0</v>
      </c>
      <c r="N154" s="469">
        <f t="shared" si="107"/>
        <v>0</v>
      </c>
      <c r="O154" s="469">
        <f t="shared" si="108"/>
        <v>0</v>
      </c>
      <c r="P154" s="469">
        <f t="shared" si="109"/>
        <v>0</v>
      </c>
      <c r="Q154" s="469">
        <f t="shared" si="110"/>
        <v>0</v>
      </c>
      <c r="R154" s="469">
        <f t="shared" si="111"/>
        <v>0</v>
      </c>
      <c r="S154" s="484">
        <v>0</v>
      </c>
      <c r="T154" s="484">
        <v>0</v>
      </c>
      <c r="U154" s="484">
        <v>0</v>
      </c>
      <c r="V154" s="490">
        <v>0</v>
      </c>
      <c r="W154" s="490">
        <v>0</v>
      </c>
      <c r="X154" s="490">
        <v>0</v>
      </c>
      <c r="Y154" s="470">
        <f t="shared" si="112"/>
        <v>10.75</v>
      </c>
      <c r="Z154" s="471">
        <f t="shared" si="113"/>
        <v>7.7439999999999995E-2</v>
      </c>
      <c r="AA154" s="471">
        <v>0</v>
      </c>
      <c r="AB154" s="471">
        <v>0</v>
      </c>
      <c r="AC154" s="471">
        <f t="shared" si="114"/>
        <v>2.8920000000000001E-2</v>
      </c>
      <c r="AD154" s="470">
        <f t="shared" si="115"/>
        <v>0</v>
      </c>
      <c r="AE154" s="470">
        <f t="shared" si="116"/>
        <v>0</v>
      </c>
      <c r="AF154" s="470">
        <f t="shared" si="117"/>
        <v>0</v>
      </c>
      <c r="AG154" s="454">
        <f t="shared" si="118"/>
        <v>2464373</v>
      </c>
      <c r="AH154" s="454">
        <f t="shared" si="92"/>
        <v>14696276.210000001</v>
      </c>
      <c r="AI154" s="421">
        <f t="shared" si="119"/>
        <v>0</v>
      </c>
      <c r="AJ154" s="421">
        <f t="shared" si="120"/>
        <v>0</v>
      </c>
      <c r="AK154" s="421">
        <f t="shared" si="121"/>
        <v>0</v>
      </c>
      <c r="AL154" s="482">
        <v>0</v>
      </c>
      <c r="AM154" s="473">
        <f t="shared" si="91"/>
        <v>0</v>
      </c>
      <c r="AN154" s="474">
        <f t="shared" si="122"/>
        <v>0</v>
      </c>
      <c r="AO154" s="454">
        <f t="shared" si="123"/>
        <v>0</v>
      </c>
      <c r="AP154" s="472">
        <v>-12464.94</v>
      </c>
      <c r="AQ154" s="472">
        <v>-349.89</v>
      </c>
      <c r="AR154" s="472">
        <v>0</v>
      </c>
      <c r="AS154" s="475">
        <v>0</v>
      </c>
      <c r="AT154" s="475">
        <v>0</v>
      </c>
      <c r="AU154" s="475">
        <v>0</v>
      </c>
      <c r="AV154" s="454">
        <f t="shared" si="124"/>
        <v>17147834.379999999</v>
      </c>
      <c r="AW154" s="454">
        <f t="shared" si="125"/>
        <v>17147834.379999999</v>
      </c>
      <c r="AX154" s="455">
        <f t="shared" si="136"/>
        <v>1</v>
      </c>
      <c r="AY154" s="476">
        <f t="shared" si="126"/>
        <v>402398.45</v>
      </c>
      <c r="AZ154" s="476">
        <f t="shared" si="127"/>
        <v>747593.82</v>
      </c>
      <c r="BA154" s="476">
        <f t="shared" si="128"/>
        <v>223360.57</v>
      </c>
      <c r="BB154" s="476">
        <f t="shared" si="129"/>
        <v>0</v>
      </c>
      <c r="BC154" s="476">
        <f t="shared" si="130"/>
        <v>0</v>
      </c>
      <c r="BD154" s="476">
        <f t="shared" si="131"/>
        <v>18521187.219999999</v>
      </c>
      <c r="BE154" s="477">
        <f t="shared" si="132"/>
        <v>18521187.219999999</v>
      </c>
      <c r="BF154" s="478">
        <f t="shared" si="133"/>
        <v>0</v>
      </c>
      <c r="BG154" s="479">
        <f t="shared" si="134"/>
        <v>5488330.4199999999</v>
      </c>
      <c r="BH154" s="480">
        <f t="shared" si="101"/>
        <v>9207595.9000000004</v>
      </c>
      <c r="BI154" s="407" t="s">
        <v>692</v>
      </c>
      <c r="BM154" s="429">
        <f>IF(BR154&gt;BR153,BM153,IF(BM153&lt;MiscData!$F$1,EOMONTH(BM153,1),EOMONTH(BM153,-11)))</f>
        <v>41759</v>
      </c>
      <c r="BN154" s="416" t="str">
        <f t="shared" si="102"/>
        <v>20140101KURSE010</v>
      </c>
      <c r="BO154" s="427" t="str">
        <f t="shared" si="103"/>
        <v>20140101RS</v>
      </c>
      <c r="BP154" s="407">
        <f>IF(BM154&lt;=MiscData!$B$23,MiscData!$C$23,IF(BM154&lt;=MiscData!$B$24,MiscData!$C$24,MiscData!$C$25))</f>
        <v>20140101</v>
      </c>
      <c r="BQ154" s="407" t="str">
        <f>VLOOKUP(BR154,MiscData!$V$4:$W$42,2,FALSE)</f>
        <v>KURSE010</v>
      </c>
      <c r="BR154" s="407">
        <f>IF(BR153=MiscData!$V$42,1,BR153+1)</f>
        <v>34</v>
      </c>
      <c r="BS154" s="407" t="str">
        <f>VLOOKUP(BQ154,MiscData!$W$4:$Y$42,3,FALSE)</f>
        <v>RS</v>
      </c>
    </row>
    <row r="155" spans="1:72" hidden="1">
      <c r="A155" s="463">
        <f t="shared" si="137"/>
        <v>140</v>
      </c>
      <c r="B155" s="464" t="str">
        <f t="shared" si="98"/>
        <v>Apr 2014</v>
      </c>
      <c r="C155" s="464" t="s">
        <v>15</v>
      </c>
      <c r="D155" s="465" t="str">
        <f t="shared" si="99"/>
        <v>RS</v>
      </c>
      <c r="E155" s="465" t="str">
        <f t="shared" si="100"/>
        <v>KURSE020</v>
      </c>
      <c r="F155" s="466">
        <f t="shared" si="104"/>
        <v>194803</v>
      </c>
      <c r="G155" s="467">
        <v>250</v>
      </c>
      <c r="H155" s="466">
        <v>0</v>
      </c>
      <c r="I155" s="466">
        <v>0</v>
      </c>
      <c r="J155" s="466">
        <v>0</v>
      </c>
      <c r="K155" s="466">
        <f t="shared" si="105"/>
        <v>235356677</v>
      </c>
      <c r="L155" s="481">
        <v>0</v>
      </c>
      <c r="M155" s="443">
        <f t="shared" si="106"/>
        <v>0</v>
      </c>
      <c r="N155" s="469">
        <f t="shared" si="107"/>
        <v>0</v>
      </c>
      <c r="O155" s="469">
        <f t="shared" si="108"/>
        <v>0</v>
      </c>
      <c r="P155" s="469">
        <f t="shared" si="109"/>
        <v>0</v>
      </c>
      <c r="Q155" s="469">
        <f t="shared" si="110"/>
        <v>0</v>
      </c>
      <c r="R155" s="469">
        <f t="shared" si="111"/>
        <v>0</v>
      </c>
      <c r="S155" s="484">
        <v>0</v>
      </c>
      <c r="T155" s="484">
        <v>0</v>
      </c>
      <c r="U155" s="484">
        <v>0</v>
      </c>
      <c r="V155" s="490">
        <v>0</v>
      </c>
      <c r="W155" s="490">
        <v>0</v>
      </c>
      <c r="X155" s="490">
        <v>0</v>
      </c>
      <c r="Y155" s="470">
        <f t="shared" si="112"/>
        <v>10.75</v>
      </c>
      <c r="Z155" s="471">
        <f t="shared" si="113"/>
        <v>7.7439999999999995E-2</v>
      </c>
      <c r="AA155" s="471">
        <v>0</v>
      </c>
      <c r="AB155" s="471">
        <v>0</v>
      </c>
      <c r="AC155" s="471">
        <f t="shared" si="114"/>
        <v>2.8920000000000001E-2</v>
      </c>
      <c r="AD155" s="470">
        <f t="shared" si="115"/>
        <v>0</v>
      </c>
      <c r="AE155" s="470">
        <f t="shared" si="116"/>
        <v>0</v>
      </c>
      <c r="AF155" s="470">
        <f t="shared" si="117"/>
        <v>0</v>
      </c>
      <c r="AG155" s="454">
        <f t="shared" si="118"/>
        <v>2096819.75</v>
      </c>
      <c r="AH155" s="454">
        <f t="shared" si="92"/>
        <v>18226021.07</v>
      </c>
      <c r="AI155" s="421">
        <f t="shared" si="119"/>
        <v>0</v>
      </c>
      <c r="AJ155" s="421">
        <f t="shared" si="120"/>
        <v>0</v>
      </c>
      <c r="AK155" s="421">
        <f t="shared" si="121"/>
        <v>0</v>
      </c>
      <c r="AL155" s="482">
        <v>0</v>
      </c>
      <c r="AM155" s="473">
        <f t="shared" si="91"/>
        <v>0</v>
      </c>
      <c r="AN155" s="474">
        <f t="shared" si="122"/>
        <v>0</v>
      </c>
      <c r="AO155" s="454">
        <f t="shared" si="123"/>
        <v>0</v>
      </c>
      <c r="AP155" s="472">
        <v>-13657.44</v>
      </c>
      <c r="AQ155" s="472">
        <v>-67.150000000000006</v>
      </c>
      <c r="AR155" s="472">
        <v>0</v>
      </c>
      <c r="AS155" s="475">
        <v>0</v>
      </c>
      <c r="AT155" s="475">
        <v>0</v>
      </c>
      <c r="AU155" s="475">
        <v>0</v>
      </c>
      <c r="AV155" s="454">
        <f t="shared" si="124"/>
        <v>20309116.23</v>
      </c>
      <c r="AW155" s="454">
        <f t="shared" si="125"/>
        <v>20309116.23</v>
      </c>
      <c r="AX155" s="455">
        <f t="shared" si="136"/>
        <v>1</v>
      </c>
      <c r="AY155" s="476">
        <f t="shared" si="126"/>
        <v>499560.3</v>
      </c>
      <c r="AZ155" s="476">
        <f t="shared" si="127"/>
        <v>927059.09</v>
      </c>
      <c r="BA155" s="476">
        <f t="shared" si="128"/>
        <v>265320.93</v>
      </c>
      <c r="BB155" s="476">
        <f t="shared" si="129"/>
        <v>0</v>
      </c>
      <c r="BC155" s="476">
        <f t="shared" si="130"/>
        <v>0</v>
      </c>
      <c r="BD155" s="476">
        <f t="shared" si="131"/>
        <v>22001056.550000001</v>
      </c>
      <c r="BE155" s="477">
        <f t="shared" si="132"/>
        <v>22001056.550000001</v>
      </c>
      <c r="BF155" s="478">
        <f t="shared" si="133"/>
        <v>0</v>
      </c>
      <c r="BG155" s="479">
        <f t="shared" si="134"/>
        <v>6806515.0999999996</v>
      </c>
      <c r="BH155" s="480">
        <f t="shared" si="101"/>
        <v>11419438.820000002</v>
      </c>
      <c r="BI155" s="407" t="s">
        <v>692</v>
      </c>
      <c r="BM155" s="429">
        <f>IF(BR155&gt;BR154,BM154,IF(BM154&lt;MiscData!$F$1,EOMONTH(BM154,1),EOMONTH(BM154,-11)))</f>
        <v>41759</v>
      </c>
      <c r="BN155" s="416" t="str">
        <f t="shared" si="102"/>
        <v>20140101KURSE020</v>
      </c>
      <c r="BO155" s="427" t="str">
        <f t="shared" si="103"/>
        <v>20140101RS</v>
      </c>
      <c r="BP155" s="407">
        <f>IF(BM155&lt;=MiscData!$B$23,MiscData!$C$23,IF(BM155&lt;=MiscData!$B$24,MiscData!$C$24,MiscData!$C$25))</f>
        <v>20140101</v>
      </c>
      <c r="BQ155" s="407" t="str">
        <f>VLOOKUP(BR155,MiscData!$V$4:$W$42,2,FALSE)</f>
        <v>KURSE020</v>
      </c>
      <c r="BR155" s="407">
        <f>IF(BR154=MiscData!$V$42,1,BR154+1)</f>
        <v>35</v>
      </c>
      <c r="BS155" s="407" t="str">
        <f>VLOOKUP(BQ155,MiscData!$W$4:$Y$42,3,FALSE)</f>
        <v>RS</v>
      </c>
    </row>
    <row r="156" spans="1:72" hidden="1">
      <c r="A156" s="463">
        <f t="shared" si="137"/>
        <v>141</v>
      </c>
      <c r="B156" s="464" t="str">
        <f t="shared" si="98"/>
        <v>Apr 2014</v>
      </c>
      <c r="C156" s="464" t="s">
        <v>15</v>
      </c>
      <c r="D156" s="465" t="str">
        <f t="shared" si="99"/>
        <v>RS</v>
      </c>
      <c r="E156" s="465" t="str">
        <f t="shared" si="100"/>
        <v>KURSE025</v>
      </c>
      <c r="F156" s="466">
        <f t="shared" si="104"/>
        <v>247</v>
      </c>
      <c r="G156" s="467">
        <v>2</v>
      </c>
      <c r="H156" s="466">
        <v>0</v>
      </c>
      <c r="I156" s="466">
        <v>0</v>
      </c>
      <c r="J156" s="466">
        <v>0</v>
      </c>
      <c r="K156" s="466">
        <f t="shared" si="105"/>
        <v>458458</v>
      </c>
      <c r="L156" s="481">
        <v>0</v>
      </c>
      <c r="M156" s="443">
        <f t="shared" si="106"/>
        <v>0</v>
      </c>
      <c r="N156" s="469">
        <f t="shared" si="107"/>
        <v>0</v>
      </c>
      <c r="O156" s="469">
        <f t="shared" si="108"/>
        <v>0</v>
      </c>
      <c r="P156" s="469">
        <f t="shared" si="109"/>
        <v>0</v>
      </c>
      <c r="Q156" s="469">
        <f t="shared" si="110"/>
        <v>0</v>
      </c>
      <c r="R156" s="469">
        <f t="shared" si="111"/>
        <v>0</v>
      </c>
      <c r="S156" s="484">
        <v>0</v>
      </c>
      <c r="T156" s="484">
        <v>0</v>
      </c>
      <c r="U156" s="484">
        <v>0</v>
      </c>
      <c r="V156" s="490">
        <v>0</v>
      </c>
      <c r="W156" s="490">
        <v>0</v>
      </c>
      <c r="X156" s="490">
        <v>0</v>
      </c>
      <c r="Y156" s="470">
        <f t="shared" si="112"/>
        <v>10.75</v>
      </c>
      <c r="Z156" s="471">
        <f t="shared" si="113"/>
        <v>7.7439999999999995E-2</v>
      </c>
      <c r="AA156" s="471">
        <v>0</v>
      </c>
      <c r="AB156" s="471">
        <v>0</v>
      </c>
      <c r="AC156" s="471">
        <f t="shared" si="114"/>
        <v>2.8920000000000001E-2</v>
      </c>
      <c r="AD156" s="470">
        <f t="shared" si="115"/>
        <v>0</v>
      </c>
      <c r="AE156" s="470">
        <f t="shared" si="116"/>
        <v>0</v>
      </c>
      <c r="AF156" s="470">
        <f t="shared" si="117"/>
        <v>0</v>
      </c>
      <c r="AG156" s="454">
        <f t="shared" si="118"/>
        <v>2676.75</v>
      </c>
      <c r="AH156" s="454">
        <f t="shared" si="92"/>
        <v>35502.99</v>
      </c>
      <c r="AI156" s="421">
        <f t="shared" si="119"/>
        <v>0</v>
      </c>
      <c r="AJ156" s="421">
        <f t="shared" si="120"/>
        <v>0</v>
      </c>
      <c r="AK156" s="421">
        <f t="shared" si="121"/>
        <v>0</v>
      </c>
      <c r="AL156" s="482">
        <v>0</v>
      </c>
      <c r="AM156" s="473">
        <f t="shared" si="91"/>
        <v>0</v>
      </c>
      <c r="AN156" s="474">
        <f t="shared" si="122"/>
        <v>0</v>
      </c>
      <c r="AO156" s="454">
        <f t="shared" si="123"/>
        <v>0</v>
      </c>
      <c r="AP156" s="472">
        <v>22.58</v>
      </c>
      <c r="AQ156" s="472">
        <v>0.04</v>
      </c>
      <c r="AR156" s="472">
        <v>0</v>
      </c>
      <c r="AS156" s="475">
        <v>0</v>
      </c>
      <c r="AT156" s="475">
        <v>0</v>
      </c>
      <c r="AU156" s="475">
        <v>0</v>
      </c>
      <c r="AV156" s="454">
        <f t="shared" si="124"/>
        <v>38202.36</v>
      </c>
      <c r="AW156" s="454">
        <f t="shared" si="125"/>
        <v>38202.36</v>
      </c>
      <c r="AX156" s="455">
        <f t="shared" si="136"/>
        <v>1</v>
      </c>
      <c r="AY156" s="476">
        <f t="shared" si="126"/>
        <v>1019.68</v>
      </c>
      <c r="AZ156" s="476">
        <f t="shared" si="127"/>
        <v>1784.81</v>
      </c>
      <c r="BA156" s="476">
        <f t="shared" si="128"/>
        <v>515.69000000000005</v>
      </c>
      <c r="BB156" s="476">
        <f t="shared" si="129"/>
        <v>0</v>
      </c>
      <c r="BC156" s="476">
        <f t="shared" si="130"/>
        <v>0</v>
      </c>
      <c r="BD156" s="476">
        <f t="shared" si="131"/>
        <v>41522.54</v>
      </c>
      <c r="BE156" s="477">
        <f t="shared" si="132"/>
        <v>41522.54</v>
      </c>
      <c r="BF156" s="478">
        <f t="shared" si="133"/>
        <v>0</v>
      </c>
      <c r="BG156" s="479">
        <f t="shared" si="134"/>
        <v>13258.61</v>
      </c>
      <c r="BH156" s="480">
        <f t="shared" si="101"/>
        <v>22244.42</v>
      </c>
      <c r="BI156" s="407" t="s">
        <v>692</v>
      </c>
      <c r="BM156" s="429">
        <f>IF(BR156&gt;BR155,BM155,IF(BM155&lt;MiscData!$F$1,EOMONTH(BM155,1),EOMONTH(BM155,-11)))</f>
        <v>41759</v>
      </c>
      <c r="BN156" s="416" t="str">
        <f t="shared" si="102"/>
        <v>20140101KURSE025</v>
      </c>
      <c r="BO156" s="427" t="str">
        <f t="shared" si="103"/>
        <v>20140101RS</v>
      </c>
      <c r="BP156" s="407">
        <f>IF(BM156&lt;=MiscData!$B$23,MiscData!$C$23,IF(BM156&lt;=MiscData!$B$24,MiscData!$C$24,MiscData!$C$25))</f>
        <v>20140101</v>
      </c>
      <c r="BQ156" s="407" t="str">
        <f>VLOOKUP(BR156,MiscData!$V$4:$W$42,2,FALSE)</f>
        <v>KURSE025</v>
      </c>
      <c r="BR156" s="407">
        <f>IF(BR155=MiscData!$V$42,1,BR155+1)</f>
        <v>36</v>
      </c>
      <c r="BS156" s="407" t="str">
        <f>VLOOKUP(BQ156,MiscData!$W$4:$Y$42,3,FALSE)</f>
        <v>RS</v>
      </c>
    </row>
    <row r="157" spans="1:72" hidden="1">
      <c r="A157" s="463">
        <f t="shared" si="137"/>
        <v>142</v>
      </c>
      <c r="B157" s="464" t="str">
        <f t="shared" si="98"/>
        <v>Apr 2014</v>
      </c>
      <c r="C157" s="464" t="s">
        <v>807</v>
      </c>
      <c r="D157" s="465" t="str">
        <f t="shared" si="99"/>
        <v>RSLEV</v>
      </c>
      <c r="E157" s="465" t="str">
        <f t="shared" si="100"/>
        <v>KURSE040</v>
      </c>
      <c r="F157" s="466">
        <f t="shared" si="104"/>
        <v>5</v>
      </c>
      <c r="G157" s="467">
        <v>0</v>
      </c>
      <c r="H157" s="466">
        <f>SUMIFS(_1022_KWH_P1,_1022_RevenueMonth,$B157,_1022_RateCategory,$E157)</f>
        <v>3263</v>
      </c>
      <c r="I157" s="466">
        <f>SUMIFS(_1022_KWH_P2,_1022_RevenueMonth,$B157,_1022_RateCategory,$E157)</f>
        <v>1319</v>
      </c>
      <c r="J157" s="466">
        <f>SUMIFS(_1022_KWH_P3,_1022_RevenueMonth,$B157,_1022_RateCategory,$E157)</f>
        <v>739</v>
      </c>
      <c r="K157" s="466">
        <f t="shared" si="105"/>
        <v>5321</v>
      </c>
      <c r="L157" s="481">
        <v>0</v>
      </c>
      <c r="M157" s="443">
        <f t="shared" si="106"/>
        <v>0</v>
      </c>
      <c r="N157" s="469">
        <f t="shared" si="107"/>
        <v>0</v>
      </c>
      <c r="O157" s="469">
        <f t="shared" si="108"/>
        <v>0</v>
      </c>
      <c r="P157" s="469">
        <f t="shared" si="109"/>
        <v>0</v>
      </c>
      <c r="Q157" s="469">
        <f t="shared" si="110"/>
        <v>0</v>
      </c>
      <c r="R157" s="469">
        <f t="shared" si="111"/>
        <v>0</v>
      </c>
      <c r="S157" s="484">
        <v>0</v>
      </c>
      <c r="T157" s="484">
        <v>0</v>
      </c>
      <c r="U157" s="484">
        <v>0</v>
      </c>
      <c r="V157" s="490">
        <v>0</v>
      </c>
      <c r="W157" s="490">
        <v>0</v>
      </c>
      <c r="X157" s="490">
        <v>0</v>
      </c>
      <c r="Y157" s="470">
        <f t="shared" si="112"/>
        <v>10.75</v>
      </c>
      <c r="Z157" s="471">
        <f t="shared" si="113"/>
        <v>5.5870000000000003E-2</v>
      </c>
      <c r="AA157" s="471">
        <f>SUMIF(_Rates_Tariff_Category,$BN157,_Rates_Energy_P2)</f>
        <v>7.7630000000000005E-2</v>
      </c>
      <c r="AB157" s="471">
        <f>SUMIF(_Rates_Tariff_Category,$BN157,_Rates_Energy_P3)</f>
        <v>0.14297000000000001</v>
      </c>
      <c r="AC157" s="471">
        <f t="shared" si="114"/>
        <v>2.8920000000000001E-2</v>
      </c>
      <c r="AD157" s="470">
        <f t="shared" si="115"/>
        <v>0</v>
      </c>
      <c r="AE157" s="470">
        <f t="shared" si="116"/>
        <v>0</v>
      </c>
      <c r="AF157" s="470">
        <f t="shared" si="117"/>
        <v>0</v>
      </c>
      <c r="AG157" s="454">
        <f t="shared" si="118"/>
        <v>53.75</v>
      </c>
      <c r="AH157" s="454">
        <f t="shared" si="92"/>
        <v>390.35</v>
      </c>
      <c r="AI157" s="421">
        <f t="shared" si="119"/>
        <v>0</v>
      </c>
      <c r="AJ157" s="421">
        <f t="shared" si="120"/>
        <v>0</v>
      </c>
      <c r="AK157" s="421">
        <f t="shared" si="121"/>
        <v>0</v>
      </c>
      <c r="AL157" s="482">
        <v>0</v>
      </c>
      <c r="AM157" s="473">
        <f t="shared" si="91"/>
        <v>0</v>
      </c>
      <c r="AN157" s="474">
        <f t="shared" si="122"/>
        <v>0</v>
      </c>
      <c r="AO157" s="454">
        <f t="shared" si="123"/>
        <v>0</v>
      </c>
      <c r="AP157" s="472">
        <v>0</v>
      </c>
      <c r="AQ157" s="472">
        <v>0</v>
      </c>
      <c r="AR157" s="472">
        <v>0</v>
      </c>
      <c r="AS157" s="475">
        <v>0</v>
      </c>
      <c r="AT157" s="475">
        <v>0</v>
      </c>
      <c r="AU157" s="475">
        <v>0</v>
      </c>
      <c r="AV157" s="454">
        <f t="shared" si="124"/>
        <v>444.1</v>
      </c>
      <c r="AW157" s="454">
        <f t="shared" si="125"/>
        <v>444.09999999999997</v>
      </c>
      <c r="AX157" s="455">
        <f t="shared" si="136"/>
        <v>0.99999999999999989</v>
      </c>
      <c r="AY157" s="476">
        <f t="shared" si="126"/>
        <v>11.28</v>
      </c>
      <c r="AZ157" s="476">
        <f t="shared" si="127"/>
        <v>20.96</v>
      </c>
      <c r="BA157" s="476">
        <f t="shared" si="128"/>
        <v>5.81</v>
      </c>
      <c r="BB157" s="476">
        <f t="shared" si="129"/>
        <v>0</v>
      </c>
      <c r="BC157" s="476">
        <f t="shared" si="130"/>
        <v>0</v>
      </c>
      <c r="BD157" s="476">
        <f t="shared" si="131"/>
        <v>482.15</v>
      </c>
      <c r="BE157" s="477">
        <f t="shared" si="132"/>
        <v>482.15</v>
      </c>
      <c r="BF157" s="478">
        <f t="shared" si="133"/>
        <v>0</v>
      </c>
      <c r="BG157" s="479">
        <f t="shared" si="134"/>
        <v>153.88</v>
      </c>
      <c r="BH157" s="480">
        <f t="shared" si="101"/>
        <v>236.47000000000003</v>
      </c>
      <c r="BI157" s="407" t="s">
        <v>692</v>
      </c>
      <c r="BM157" s="429">
        <f>IF(BR157&gt;BR156,BM156,IF(BM156&lt;MiscData!$F$1,EOMONTH(BM156,1),EOMONTH(BM156,-11)))</f>
        <v>41759</v>
      </c>
      <c r="BN157" s="416" t="str">
        <f t="shared" si="102"/>
        <v>20140101KURSE040</v>
      </c>
      <c r="BO157" s="427" t="str">
        <f t="shared" si="103"/>
        <v>20140101RSLEV</v>
      </c>
      <c r="BP157" s="407">
        <f>IF(BM157&lt;=MiscData!$B$23,MiscData!$C$23,IF(BM157&lt;=MiscData!$B$24,MiscData!$C$24,MiscData!$C$25))</f>
        <v>20140101</v>
      </c>
      <c r="BQ157" s="407" t="str">
        <f>VLOOKUP(BR157,MiscData!$V$4:$W$42,2,FALSE)</f>
        <v>KURSE040</v>
      </c>
      <c r="BR157" s="407">
        <f>IF(BR156=MiscData!$V$42,1,BR156+1)</f>
        <v>37</v>
      </c>
      <c r="BS157" s="407" t="str">
        <f>VLOOKUP(BQ157,MiscData!$W$4:$Y$42,3,FALSE)</f>
        <v>RSLEV</v>
      </c>
    </row>
    <row r="158" spans="1:72" hidden="1">
      <c r="A158" s="463">
        <f t="shared" si="137"/>
        <v>143</v>
      </c>
      <c r="B158" s="464" t="str">
        <f t="shared" si="98"/>
        <v>Apr 2014</v>
      </c>
      <c r="C158" s="416" t="s">
        <v>15</v>
      </c>
      <c r="D158" s="465" t="str">
        <f t="shared" si="99"/>
        <v>RSVFD</v>
      </c>
      <c r="E158" s="465" t="str">
        <f t="shared" si="100"/>
        <v>KURSE080</v>
      </c>
      <c r="F158" s="466">
        <f t="shared" si="104"/>
        <v>49</v>
      </c>
      <c r="G158" s="467">
        <v>0</v>
      </c>
      <c r="H158" s="466">
        <v>0</v>
      </c>
      <c r="I158" s="466">
        <v>0</v>
      </c>
      <c r="J158" s="466">
        <v>0</v>
      </c>
      <c r="K158" s="466">
        <f t="shared" si="105"/>
        <v>79474</v>
      </c>
      <c r="L158" s="481">
        <v>0</v>
      </c>
      <c r="M158" s="443">
        <f t="shared" si="106"/>
        <v>0</v>
      </c>
      <c r="N158" s="469">
        <f t="shared" si="107"/>
        <v>0</v>
      </c>
      <c r="O158" s="469">
        <f t="shared" si="108"/>
        <v>0</v>
      </c>
      <c r="P158" s="469">
        <f t="shared" si="109"/>
        <v>0</v>
      </c>
      <c r="Q158" s="469">
        <f t="shared" si="110"/>
        <v>0</v>
      </c>
      <c r="R158" s="469">
        <f t="shared" si="111"/>
        <v>0</v>
      </c>
      <c r="S158" s="484">
        <v>0</v>
      </c>
      <c r="T158" s="484">
        <v>0</v>
      </c>
      <c r="U158" s="484">
        <v>0</v>
      </c>
      <c r="V158" s="490">
        <v>0</v>
      </c>
      <c r="W158" s="490">
        <v>0</v>
      </c>
      <c r="X158" s="490">
        <v>0</v>
      </c>
      <c r="Y158" s="470">
        <f t="shared" si="112"/>
        <v>10.75</v>
      </c>
      <c r="Z158" s="471">
        <f t="shared" si="113"/>
        <v>7.7439999999999995E-2</v>
      </c>
      <c r="AA158" s="471">
        <v>0</v>
      </c>
      <c r="AB158" s="471">
        <v>0</v>
      </c>
      <c r="AC158" s="471">
        <f t="shared" si="114"/>
        <v>2.8920000000000001E-2</v>
      </c>
      <c r="AD158" s="470">
        <f t="shared" si="115"/>
        <v>0</v>
      </c>
      <c r="AE158" s="470">
        <f t="shared" si="116"/>
        <v>0</v>
      </c>
      <c r="AF158" s="470">
        <f t="shared" si="117"/>
        <v>0</v>
      </c>
      <c r="AG158" s="454">
        <f t="shared" si="118"/>
        <v>526.75</v>
      </c>
      <c r="AH158" s="454">
        <f t="shared" si="92"/>
        <v>6154.47</v>
      </c>
      <c r="AI158" s="421">
        <f t="shared" si="119"/>
        <v>0</v>
      </c>
      <c r="AJ158" s="421">
        <f t="shared" si="120"/>
        <v>0</v>
      </c>
      <c r="AK158" s="421">
        <f t="shared" si="121"/>
        <v>0</v>
      </c>
      <c r="AL158" s="482">
        <v>0</v>
      </c>
      <c r="AM158" s="473">
        <f t="shared" si="91"/>
        <v>0</v>
      </c>
      <c r="AN158" s="474">
        <f t="shared" si="122"/>
        <v>0</v>
      </c>
      <c r="AO158" s="454">
        <f t="shared" si="123"/>
        <v>0</v>
      </c>
      <c r="AP158" s="472">
        <v>0</v>
      </c>
      <c r="AQ158" s="472">
        <v>0</v>
      </c>
      <c r="AR158" s="472">
        <v>0</v>
      </c>
      <c r="AS158" s="475">
        <v>0</v>
      </c>
      <c r="AT158" s="475">
        <v>0</v>
      </c>
      <c r="AU158" s="475">
        <v>0</v>
      </c>
      <c r="AV158" s="454">
        <f t="shared" si="124"/>
        <v>6681.22</v>
      </c>
      <c r="AW158" s="454">
        <f t="shared" si="125"/>
        <v>6681.2199999999993</v>
      </c>
      <c r="AX158" s="455">
        <f t="shared" si="136"/>
        <v>0.99999999999999989</v>
      </c>
      <c r="AY158" s="476">
        <f t="shared" si="126"/>
        <v>173.7</v>
      </c>
      <c r="AZ158" s="476">
        <f t="shared" si="127"/>
        <v>310.82</v>
      </c>
      <c r="BA158" s="476">
        <f t="shared" si="128"/>
        <v>89.12</v>
      </c>
      <c r="BB158" s="476">
        <f t="shared" si="129"/>
        <v>0</v>
      </c>
      <c r="BC158" s="476">
        <f t="shared" si="130"/>
        <v>0</v>
      </c>
      <c r="BD158" s="476">
        <f t="shared" si="131"/>
        <v>7254.86</v>
      </c>
      <c r="BE158" s="477">
        <f t="shared" si="132"/>
        <v>7254.86</v>
      </c>
      <c r="BF158" s="478">
        <f t="shared" si="133"/>
        <v>0</v>
      </c>
      <c r="BG158" s="479">
        <f t="shared" si="134"/>
        <v>2298.39</v>
      </c>
      <c r="BH158" s="480">
        <f t="shared" si="101"/>
        <v>3856.0800000000004</v>
      </c>
      <c r="BI158" s="407" t="s">
        <v>692</v>
      </c>
      <c r="BM158" s="429">
        <f>IF(BR158&gt;BR157,BM157,IF(BM157&lt;MiscData!$F$1,EOMONTH(BM157,1),EOMONTH(BM157,-11)))</f>
        <v>41759</v>
      </c>
      <c r="BN158" s="416" t="str">
        <f t="shared" si="102"/>
        <v>20140101KURSE080</v>
      </c>
      <c r="BO158" s="427" t="str">
        <f t="shared" si="103"/>
        <v>20140101RSVFD</v>
      </c>
      <c r="BP158" s="407">
        <f>IF(BM158&lt;=MiscData!$B$23,MiscData!$C$23,IF(BM158&lt;=MiscData!$B$24,MiscData!$C$24,MiscData!$C$25))</f>
        <v>20140101</v>
      </c>
      <c r="BQ158" s="407" t="str">
        <f>VLOOKUP(BR158,MiscData!$V$4:$W$42,2,FALSE)</f>
        <v>KURSE080</v>
      </c>
      <c r="BR158" s="407">
        <f>IF(BR157=MiscData!$V$42,1,BR157+1)</f>
        <v>38</v>
      </c>
      <c r="BS158" s="407" t="str">
        <f>VLOOKUP(BQ158,MiscData!$W$4:$Y$42,3,FALSE)</f>
        <v>RSVFD</v>
      </c>
    </row>
    <row r="159" spans="1:72" s="486" customFormat="1" hidden="1">
      <c r="A159" s="464">
        <f t="shared" si="137"/>
        <v>144</v>
      </c>
      <c r="B159" s="464" t="str">
        <f t="shared" si="98"/>
        <v>Apr 2014</v>
      </c>
      <c r="C159" s="464" t="s">
        <v>15</v>
      </c>
      <c r="D159" s="465" t="str">
        <f t="shared" si="99"/>
        <v>RS</v>
      </c>
      <c r="E159" s="465" t="str">
        <f t="shared" si="100"/>
        <v>KURSE715</v>
      </c>
      <c r="F159" s="466">
        <f t="shared" si="104"/>
        <v>52</v>
      </c>
      <c r="G159" s="467">
        <v>0</v>
      </c>
      <c r="H159" s="466">
        <v>0</v>
      </c>
      <c r="I159" s="466">
        <v>0</v>
      </c>
      <c r="J159" s="466">
        <v>0</v>
      </c>
      <c r="K159" s="466">
        <f t="shared" si="105"/>
        <v>52164</v>
      </c>
      <c r="L159" s="481">
        <v>0</v>
      </c>
      <c r="M159" s="469">
        <f t="shared" si="106"/>
        <v>0</v>
      </c>
      <c r="N159" s="469">
        <f t="shared" si="107"/>
        <v>0</v>
      </c>
      <c r="O159" s="469">
        <f t="shared" si="108"/>
        <v>0</v>
      </c>
      <c r="P159" s="469">
        <f t="shared" si="109"/>
        <v>0</v>
      </c>
      <c r="Q159" s="469">
        <f t="shared" si="110"/>
        <v>0</v>
      </c>
      <c r="R159" s="469">
        <f t="shared" si="111"/>
        <v>0</v>
      </c>
      <c r="S159" s="595">
        <f>P159-M159</f>
        <v>0</v>
      </c>
      <c r="T159" s="595">
        <f>Q159-N159</f>
        <v>0</v>
      </c>
      <c r="U159" s="595">
        <f>R159-O159</f>
        <v>0</v>
      </c>
      <c r="V159" s="596">
        <f>P159-M159</f>
        <v>0</v>
      </c>
      <c r="W159" s="596">
        <f>Q159-N159</f>
        <v>0</v>
      </c>
      <c r="X159" s="596">
        <f>R159-O159</f>
        <v>0</v>
      </c>
      <c r="Y159" s="470">
        <f t="shared" si="112"/>
        <v>10.75</v>
      </c>
      <c r="Z159" s="471">
        <f t="shared" si="113"/>
        <v>7.7439999999999995E-2</v>
      </c>
      <c r="AA159" s="471">
        <v>0</v>
      </c>
      <c r="AB159" s="471">
        <v>0</v>
      </c>
      <c r="AC159" s="471">
        <f t="shared" si="114"/>
        <v>2.8920000000000001E-2</v>
      </c>
      <c r="AD159" s="470">
        <f t="shared" si="115"/>
        <v>0</v>
      </c>
      <c r="AE159" s="470">
        <f t="shared" si="116"/>
        <v>0</v>
      </c>
      <c r="AF159" s="470">
        <f t="shared" si="117"/>
        <v>0</v>
      </c>
      <c r="AG159" s="454">
        <f t="shared" si="118"/>
        <v>559</v>
      </c>
      <c r="AH159" s="454">
        <f t="shared" si="92"/>
        <v>4039.58</v>
      </c>
      <c r="AI159" s="454">
        <f t="shared" si="119"/>
        <v>0</v>
      </c>
      <c r="AJ159" s="454">
        <f t="shared" si="120"/>
        <v>0</v>
      </c>
      <c r="AK159" s="454">
        <f t="shared" si="121"/>
        <v>0</v>
      </c>
      <c r="AL159" s="482">
        <v>0</v>
      </c>
      <c r="AM159" s="473">
        <f t="shared" ref="AM159:AM222" si="138">SUMIFS(_1022_Power_Factor_Revenue,_1022_RevenueMonth,$B159,_1022_RateCategory,$E159)</f>
        <v>0</v>
      </c>
      <c r="AN159" s="474">
        <f t="shared" si="122"/>
        <v>0</v>
      </c>
      <c r="AO159" s="454">
        <f t="shared" si="123"/>
        <v>0</v>
      </c>
      <c r="AP159" s="472">
        <v>0</v>
      </c>
      <c r="AQ159" s="472">
        <v>-0.01</v>
      </c>
      <c r="AR159" s="472">
        <v>0</v>
      </c>
      <c r="AS159" s="475">
        <v>0</v>
      </c>
      <c r="AT159" s="475">
        <v>0</v>
      </c>
      <c r="AU159" s="475">
        <v>0</v>
      </c>
      <c r="AV159" s="454">
        <f t="shared" si="124"/>
        <v>4598.57</v>
      </c>
      <c r="AW159" s="454">
        <f t="shared" si="125"/>
        <v>4598.57</v>
      </c>
      <c r="AX159" s="455">
        <f t="shared" si="136"/>
        <v>1</v>
      </c>
      <c r="AY159" s="476">
        <f t="shared" si="126"/>
        <v>110.58</v>
      </c>
      <c r="AZ159" s="476">
        <f t="shared" si="127"/>
        <v>205.53</v>
      </c>
      <c r="BA159" s="476">
        <f t="shared" si="128"/>
        <v>59.93</v>
      </c>
      <c r="BB159" s="476">
        <f t="shared" si="129"/>
        <v>0</v>
      </c>
      <c r="BC159" s="476">
        <f t="shared" si="130"/>
        <v>0</v>
      </c>
      <c r="BD159" s="476">
        <f t="shared" si="131"/>
        <v>4974.6099999999997</v>
      </c>
      <c r="BE159" s="477">
        <f t="shared" si="132"/>
        <v>4974.6099999999997</v>
      </c>
      <c r="BF159" s="478">
        <f t="shared" si="133"/>
        <v>0</v>
      </c>
      <c r="BG159" s="479">
        <f t="shared" si="134"/>
        <v>1508.58</v>
      </c>
      <c r="BH159" s="485">
        <f t="shared" si="101"/>
        <v>2530.9899999999998</v>
      </c>
      <c r="BI159" s="407" t="s">
        <v>692</v>
      </c>
      <c r="BM159" s="487">
        <f>IF(BR159&gt;BR158,BM158,IF(BM158&lt;MiscData!$F$1,EOMONTH(BM158,1),EOMONTH(BM158,-11)))</f>
        <v>41759</v>
      </c>
      <c r="BN159" s="464" t="str">
        <f t="shared" si="102"/>
        <v>20140101KURSE715</v>
      </c>
      <c r="BO159" s="488" t="str">
        <f t="shared" si="103"/>
        <v>20140101RS</v>
      </c>
      <c r="BP159" s="486">
        <f>IF(BM159&lt;=MiscData!$B$23,MiscData!$C$23,IF(BM159&lt;=MiscData!$B$24,MiscData!$C$24,MiscData!$C$25))</f>
        <v>20140101</v>
      </c>
      <c r="BQ159" s="486" t="str">
        <f>VLOOKUP(BR159,MiscData!$V$4:$W$42,2,FALSE)</f>
        <v>KURSE715</v>
      </c>
      <c r="BR159" s="407">
        <f>IF(BR158=MiscData!$V$42,1,BR158+1)</f>
        <v>39</v>
      </c>
      <c r="BS159" s="486" t="str">
        <f>VLOOKUP(BQ159,MiscData!$W$4:$Y$42,3,FALSE)</f>
        <v>RS</v>
      </c>
      <c r="BT159" s="771"/>
    </row>
    <row r="160" spans="1:72" hidden="1">
      <c r="A160" s="463">
        <f t="shared" si="137"/>
        <v>145</v>
      </c>
      <c r="B160" s="464" t="str">
        <f t="shared" si="98"/>
        <v>May 2014</v>
      </c>
      <c r="C160" s="464" t="s">
        <v>19</v>
      </c>
      <c r="D160" s="465" t="str">
        <f t="shared" si="99"/>
        <v>RTS</v>
      </c>
      <c r="E160" s="465" t="str">
        <f t="shared" si="100"/>
        <v>KUCIE550</v>
      </c>
      <c r="F160" s="466">
        <f t="shared" si="104"/>
        <v>31</v>
      </c>
      <c r="G160" s="467">
        <v>0</v>
      </c>
      <c r="H160" s="466">
        <v>0</v>
      </c>
      <c r="I160" s="466">
        <v>0</v>
      </c>
      <c r="J160" s="466">
        <v>0</v>
      </c>
      <c r="K160" s="466">
        <f t="shared" si="105"/>
        <v>130974212</v>
      </c>
      <c r="L160" s="481">
        <v>0</v>
      </c>
      <c r="M160" s="469">
        <f t="shared" si="106"/>
        <v>291586.59999999998</v>
      </c>
      <c r="N160" s="469">
        <f t="shared" si="107"/>
        <v>286637.40000000002</v>
      </c>
      <c r="O160" s="469">
        <f t="shared" si="108"/>
        <v>279717.90000000002</v>
      </c>
      <c r="P160" s="469">
        <f t="shared" si="109"/>
        <v>296102.7</v>
      </c>
      <c r="Q160" s="469">
        <f t="shared" si="110"/>
        <v>288194.40000000002</v>
      </c>
      <c r="R160" s="469">
        <f t="shared" si="111"/>
        <v>280585</v>
      </c>
      <c r="S160" s="484">
        <v>4516.0999999999767</v>
      </c>
      <c r="T160" s="484">
        <v>1557</v>
      </c>
      <c r="U160" s="484">
        <v>867.09999999997672</v>
      </c>
      <c r="V160" s="490">
        <v>0</v>
      </c>
      <c r="W160" s="490">
        <v>0</v>
      </c>
      <c r="X160" s="490">
        <v>0</v>
      </c>
      <c r="Y160" s="470">
        <f t="shared" si="112"/>
        <v>750</v>
      </c>
      <c r="Z160" s="471">
        <f t="shared" si="113"/>
        <v>3.6339999999999997E-2</v>
      </c>
      <c r="AA160" s="471">
        <v>0</v>
      </c>
      <c r="AB160" s="471">
        <v>0</v>
      </c>
      <c r="AC160" s="471">
        <f t="shared" si="114"/>
        <v>2.8920000000000001E-2</v>
      </c>
      <c r="AD160" s="470">
        <f t="shared" si="115"/>
        <v>1.34</v>
      </c>
      <c r="AE160" s="470">
        <f t="shared" si="116"/>
        <v>2.87</v>
      </c>
      <c r="AF160" s="470">
        <f t="shared" si="117"/>
        <v>3.97</v>
      </c>
      <c r="AG160" s="454">
        <f t="shared" si="118"/>
        <v>23250</v>
      </c>
      <c r="AH160" s="454">
        <f t="shared" si="92"/>
        <v>4759602.8600000003</v>
      </c>
      <c r="AI160" s="421">
        <f t="shared" si="119"/>
        <v>390726.04</v>
      </c>
      <c r="AJ160" s="421">
        <f t="shared" si="120"/>
        <v>822649.34</v>
      </c>
      <c r="AK160" s="421">
        <f t="shared" si="121"/>
        <v>1110480.06</v>
      </c>
      <c r="AL160" s="472">
        <v>0</v>
      </c>
      <c r="AM160" s="473">
        <f t="shared" si="138"/>
        <v>0</v>
      </c>
      <c r="AN160" s="474">
        <f t="shared" si="122"/>
        <v>13962.55</v>
      </c>
      <c r="AO160" s="454">
        <f t="shared" si="123"/>
        <v>2337817.9899999998</v>
      </c>
      <c r="AP160" s="472">
        <f>SUMIFS(_SBR_BSC_Revenue,_SBR_Revenue_Month,$B160,_SBR_Rate_Category,$E160)-AG160</f>
        <v>0</v>
      </c>
      <c r="AQ160" s="472">
        <v>0.01</v>
      </c>
      <c r="AR160" s="472">
        <v>0.03</v>
      </c>
      <c r="AS160" s="475">
        <v>0</v>
      </c>
      <c r="AT160" s="475">
        <v>0</v>
      </c>
      <c r="AU160" s="475">
        <v>0</v>
      </c>
      <c r="AV160" s="454">
        <f t="shared" si="124"/>
        <v>7120670.8900000006</v>
      </c>
      <c r="AW160" s="454">
        <f t="shared" si="125"/>
        <v>7120670.8899999997</v>
      </c>
      <c r="AX160" s="455">
        <f t="shared" ref="AX160:AX168" si="139">IF(AND(AV160=0,AW160=0),1,IF(AV160=0,0,AW160/AV160))</f>
        <v>0.99999999999999989</v>
      </c>
      <c r="AY160" s="476">
        <f t="shared" si="126"/>
        <v>467577.93</v>
      </c>
      <c r="AZ160" s="476">
        <f t="shared" si="127"/>
        <v>0</v>
      </c>
      <c r="BA160" s="476">
        <f t="shared" si="128"/>
        <v>126631.73</v>
      </c>
      <c r="BB160" s="476">
        <f t="shared" si="129"/>
        <v>0</v>
      </c>
      <c r="BC160" s="476">
        <f t="shared" si="130"/>
        <v>0</v>
      </c>
      <c r="BD160" s="476">
        <f t="shared" si="131"/>
        <v>7714880.5499999998</v>
      </c>
      <c r="BE160" s="477">
        <f t="shared" si="132"/>
        <v>7714880.5500000007</v>
      </c>
      <c r="BF160" s="478">
        <f t="shared" si="133"/>
        <v>0</v>
      </c>
      <c r="BG160" s="479">
        <f t="shared" si="134"/>
        <v>3787774.21</v>
      </c>
      <c r="BH160" s="485">
        <f t="shared" si="101"/>
        <v>971828.66000000015</v>
      </c>
      <c r="BI160" s="407" t="s">
        <v>692</v>
      </c>
      <c r="BJ160" s="486"/>
      <c r="BK160" s="486"/>
      <c r="BL160" s="486"/>
      <c r="BM160" s="487">
        <f>IF(BR160&gt;BR159,BM159,IF(BM159&lt;MiscData!$F$1,EOMONTH(BM159,1),EOMONTH(BM159,-11)))</f>
        <v>41790</v>
      </c>
      <c r="BN160" s="464" t="str">
        <f t="shared" si="102"/>
        <v>20140101KUCIE550</v>
      </c>
      <c r="BO160" s="488" t="str">
        <f t="shared" si="103"/>
        <v>20140101RTS</v>
      </c>
      <c r="BP160" s="486">
        <f>IF(BM160&lt;=MiscData!$B$23,MiscData!$C$23,IF(BM160&lt;=MiscData!$B$24,MiscData!$C$24,MiscData!$C$25))</f>
        <v>20140101</v>
      </c>
      <c r="BQ160" s="486" t="str">
        <f>VLOOKUP(BR160,MiscData!$V$4:$W$42,2,FALSE)</f>
        <v>KUCIE550</v>
      </c>
      <c r="BR160" s="407">
        <f>IF(BR159=MiscData!$V$42,1,BR159+1)</f>
        <v>1</v>
      </c>
      <c r="BS160" s="489" t="str">
        <f>VLOOKUP(BQ160,MiscData!$W$4:$Y$42,3,FALSE)</f>
        <v>RTS</v>
      </c>
    </row>
    <row r="161" spans="1:71">
      <c r="A161" s="463">
        <f t="shared" si="137"/>
        <v>146</v>
      </c>
      <c r="B161" s="464" t="str">
        <f t="shared" si="98"/>
        <v>May 2014</v>
      </c>
      <c r="C161" s="464" t="s">
        <v>26</v>
      </c>
      <c r="D161" s="465" t="str">
        <f t="shared" si="99"/>
        <v>PSP</v>
      </c>
      <c r="E161" s="465" t="str">
        <f t="shared" si="100"/>
        <v>KUCIE561</v>
      </c>
      <c r="F161" s="466">
        <f t="shared" si="104"/>
        <v>167</v>
      </c>
      <c r="G161" s="467">
        <v>3</v>
      </c>
      <c r="H161" s="466">
        <v>0</v>
      </c>
      <c r="I161" s="466">
        <v>0</v>
      </c>
      <c r="J161" s="466">
        <v>0</v>
      </c>
      <c r="K161" s="466">
        <f t="shared" si="105"/>
        <v>3773412</v>
      </c>
      <c r="L161" s="459">
        <v>0</v>
      </c>
      <c r="M161" s="469">
        <f t="shared" si="106"/>
        <v>0</v>
      </c>
      <c r="N161" s="469">
        <f t="shared" si="107"/>
        <v>0</v>
      </c>
      <c r="O161" s="469">
        <f t="shared" si="108"/>
        <v>13282.6</v>
      </c>
      <c r="P161" s="469">
        <f t="shared" si="109"/>
        <v>0</v>
      </c>
      <c r="Q161" s="469">
        <f t="shared" si="110"/>
        <v>0</v>
      </c>
      <c r="R161" s="469">
        <f t="shared" si="111"/>
        <v>15004.53</v>
      </c>
      <c r="S161" s="484">
        <v>0</v>
      </c>
      <c r="T161" s="484">
        <v>0</v>
      </c>
      <c r="U161" s="484">
        <v>1721.93</v>
      </c>
      <c r="V161" s="490">
        <v>0</v>
      </c>
      <c r="W161" s="490">
        <v>0</v>
      </c>
      <c r="X161" s="490">
        <v>0</v>
      </c>
      <c r="Y161" s="470">
        <f t="shared" si="112"/>
        <v>170</v>
      </c>
      <c r="Z161" s="471">
        <f t="shared" si="113"/>
        <v>3.5619999999999999E-2</v>
      </c>
      <c r="AA161" s="471">
        <v>0</v>
      </c>
      <c r="AB161" s="471">
        <v>0</v>
      </c>
      <c r="AC161" s="471">
        <f t="shared" si="114"/>
        <v>2.8920000000000001E-2</v>
      </c>
      <c r="AD161" s="470">
        <f t="shared" si="115"/>
        <v>0</v>
      </c>
      <c r="AE161" s="470">
        <f t="shared" si="116"/>
        <v>13.18</v>
      </c>
      <c r="AF161" s="470">
        <f t="shared" si="117"/>
        <v>15.28</v>
      </c>
      <c r="AG161" s="454">
        <f t="shared" si="118"/>
        <v>28900</v>
      </c>
      <c r="AH161" s="454">
        <f t="shared" si="92"/>
        <v>134408.94</v>
      </c>
      <c r="AI161" s="421">
        <f t="shared" si="119"/>
        <v>0</v>
      </c>
      <c r="AJ161" s="421">
        <f t="shared" si="120"/>
        <v>0</v>
      </c>
      <c r="AK161" s="421">
        <f t="shared" si="121"/>
        <v>202958.13</v>
      </c>
      <c r="AL161" s="472">
        <v>0</v>
      </c>
      <c r="AM161" s="473">
        <f t="shared" si="138"/>
        <v>0</v>
      </c>
      <c r="AN161" s="474">
        <f t="shared" si="122"/>
        <v>26311.09</v>
      </c>
      <c r="AO161" s="454">
        <f t="shared" si="123"/>
        <v>229269.22</v>
      </c>
      <c r="AP161" s="472">
        <v>-158.66999999999999</v>
      </c>
      <c r="AQ161" s="472">
        <v>0.01</v>
      </c>
      <c r="AR161" s="472">
        <v>-5464.84</v>
      </c>
      <c r="AS161" s="475">
        <v>0</v>
      </c>
      <c r="AT161" s="475">
        <v>0</v>
      </c>
      <c r="AU161" s="475">
        <v>0</v>
      </c>
      <c r="AV161" s="454">
        <f t="shared" si="124"/>
        <v>386954.66000000003</v>
      </c>
      <c r="AW161" s="454">
        <f t="shared" si="125"/>
        <v>386954.66000000003</v>
      </c>
      <c r="AX161" s="455">
        <f t="shared" si="139"/>
        <v>1</v>
      </c>
      <c r="AY161" s="476">
        <f t="shared" si="126"/>
        <v>13351.27</v>
      </c>
      <c r="AZ161" s="476">
        <f t="shared" si="127"/>
        <v>4308.25</v>
      </c>
      <c r="BA161" s="476">
        <f t="shared" si="128"/>
        <v>10579.66</v>
      </c>
      <c r="BB161" s="476">
        <f t="shared" si="129"/>
        <v>0</v>
      </c>
      <c r="BC161" s="476">
        <f t="shared" si="130"/>
        <v>0</v>
      </c>
      <c r="BD161" s="476">
        <f t="shared" si="131"/>
        <v>415193.84</v>
      </c>
      <c r="BE161" s="477">
        <f t="shared" si="132"/>
        <v>415193.84</v>
      </c>
      <c r="BF161" s="478">
        <f t="shared" si="133"/>
        <v>0</v>
      </c>
      <c r="BG161" s="479">
        <f t="shared" si="134"/>
        <v>109127.08</v>
      </c>
      <c r="BH161" s="485">
        <f t="shared" si="101"/>
        <v>25281.87000000001</v>
      </c>
      <c r="BI161" s="407" t="s">
        <v>692</v>
      </c>
      <c r="BJ161" s="486"/>
      <c r="BK161" s="486"/>
      <c r="BL161" s="486"/>
      <c r="BM161" s="487">
        <f>IF(BR161&gt;BR160,BM160,IF(BM160&lt;MiscData!$F$1,EOMONTH(BM160,1),EOMONTH(BM160,-11)))</f>
        <v>41790</v>
      </c>
      <c r="BN161" s="464" t="str">
        <f t="shared" si="102"/>
        <v>20140101KUCIE561</v>
      </c>
      <c r="BO161" s="488" t="str">
        <f t="shared" si="103"/>
        <v>20140101PSP</v>
      </c>
      <c r="BP161" s="486">
        <f>IF(BM161&lt;=MiscData!$B$23,MiscData!$C$23,IF(BM161&lt;=MiscData!$B$24,MiscData!$C$24,MiscData!$C$25))</f>
        <v>20140101</v>
      </c>
      <c r="BQ161" s="486" t="str">
        <f>VLOOKUP(BR161,MiscData!$V$4:$W$42,2,FALSE)</f>
        <v>KUCIE561</v>
      </c>
      <c r="BR161" s="407">
        <f>IF(BR160=MiscData!$V$42,1,BR160+1)</f>
        <v>2</v>
      </c>
      <c r="BS161" s="489" t="str">
        <f>VLOOKUP(BQ161,MiscData!$W$4:$Y$42,3,FALSE)</f>
        <v>PSP</v>
      </c>
    </row>
    <row r="162" spans="1:71" hidden="1">
      <c r="A162" s="463">
        <f t="shared" si="137"/>
        <v>147</v>
      </c>
      <c r="B162" s="464" t="str">
        <f t="shared" si="98"/>
        <v>May 2014</v>
      </c>
      <c r="C162" s="464" t="s">
        <v>25</v>
      </c>
      <c r="D162" s="465" t="str">
        <f t="shared" si="99"/>
        <v>PSS</v>
      </c>
      <c r="E162" s="465" t="str">
        <f t="shared" si="100"/>
        <v>KUCIE562</v>
      </c>
      <c r="F162" s="466">
        <f t="shared" si="104"/>
        <v>4840</v>
      </c>
      <c r="G162" s="467">
        <v>0</v>
      </c>
      <c r="H162" s="466">
        <v>0</v>
      </c>
      <c r="I162" s="466">
        <v>0</v>
      </c>
      <c r="J162" s="466">
        <v>0</v>
      </c>
      <c r="K162" s="466">
        <f t="shared" si="105"/>
        <v>131600041</v>
      </c>
      <c r="L162" s="459">
        <v>0</v>
      </c>
      <c r="M162" s="469">
        <f t="shared" si="106"/>
        <v>0</v>
      </c>
      <c r="N162" s="469">
        <f t="shared" si="107"/>
        <v>0</v>
      </c>
      <c r="O162" s="469">
        <f t="shared" si="108"/>
        <v>378414.6</v>
      </c>
      <c r="P162" s="469">
        <f t="shared" si="109"/>
        <v>0</v>
      </c>
      <c r="Q162" s="469">
        <f t="shared" si="110"/>
        <v>0</v>
      </c>
      <c r="R162" s="469">
        <f t="shared" si="111"/>
        <v>432462.87</v>
      </c>
      <c r="S162" s="484">
        <v>0</v>
      </c>
      <c r="T162" s="484">
        <v>0</v>
      </c>
      <c r="U162" s="484">
        <v>54048.27</v>
      </c>
      <c r="V162" s="490">
        <v>0</v>
      </c>
      <c r="W162" s="490">
        <v>0</v>
      </c>
      <c r="X162" s="490">
        <v>0</v>
      </c>
      <c r="Y162" s="470">
        <f t="shared" si="112"/>
        <v>90</v>
      </c>
      <c r="Z162" s="471">
        <f t="shared" si="113"/>
        <v>3.5640000000000005E-2</v>
      </c>
      <c r="AA162" s="471">
        <v>0</v>
      </c>
      <c r="AB162" s="471">
        <v>0</v>
      </c>
      <c r="AC162" s="471">
        <f t="shared" si="114"/>
        <v>2.8920000000000001E-2</v>
      </c>
      <c r="AD162" s="470">
        <f t="shared" si="115"/>
        <v>0</v>
      </c>
      <c r="AE162" s="470">
        <f t="shared" si="116"/>
        <v>13.2</v>
      </c>
      <c r="AF162" s="470">
        <f t="shared" si="117"/>
        <v>15.3</v>
      </c>
      <c r="AG162" s="454">
        <f t="shared" si="118"/>
        <v>435600</v>
      </c>
      <c r="AH162" s="454">
        <f t="shared" si="92"/>
        <v>4690225.46</v>
      </c>
      <c r="AI162" s="421">
        <f t="shared" si="119"/>
        <v>0</v>
      </c>
      <c r="AJ162" s="421">
        <f t="shared" si="120"/>
        <v>0</v>
      </c>
      <c r="AK162" s="421">
        <f t="shared" si="121"/>
        <v>5789743.3799999999</v>
      </c>
      <c r="AL162" s="472">
        <v>0</v>
      </c>
      <c r="AM162" s="473">
        <f t="shared" si="138"/>
        <v>0</v>
      </c>
      <c r="AN162" s="474">
        <f t="shared" si="122"/>
        <v>826938.53</v>
      </c>
      <c r="AO162" s="454">
        <f t="shared" si="123"/>
        <v>6616681.9100000001</v>
      </c>
      <c r="AP162" s="472">
        <v>-476.99</v>
      </c>
      <c r="AQ162" s="472">
        <v>-0.06</v>
      </c>
      <c r="AR162" s="472">
        <v>-82207.199999999997</v>
      </c>
      <c r="AS162" s="475">
        <v>0</v>
      </c>
      <c r="AT162" s="475">
        <v>0</v>
      </c>
      <c r="AU162" s="475">
        <v>0</v>
      </c>
      <c r="AV162" s="454">
        <f t="shared" si="124"/>
        <v>11659823.119999999</v>
      </c>
      <c r="AW162" s="454">
        <f t="shared" si="125"/>
        <v>11659823.120000001</v>
      </c>
      <c r="AX162" s="455">
        <f t="shared" si="139"/>
        <v>1.0000000000000002</v>
      </c>
      <c r="AY162" s="476">
        <f t="shared" si="126"/>
        <v>459689.01</v>
      </c>
      <c r="AZ162" s="476">
        <f t="shared" si="127"/>
        <v>171778.66</v>
      </c>
      <c r="BA162" s="476">
        <f t="shared" si="128"/>
        <v>298057.27</v>
      </c>
      <c r="BB162" s="476">
        <f t="shared" si="129"/>
        <v>0</v>
      </c>
      <c r="BC162" s="476">
        <f t="shared" si="130"/>
        <v>0</v>
      </c>
      <c r="BD162" s="476">
        <f t="shared" si="131"/>
        <v>12589348.060000001</v>
      </c>
      <c r="BE162" s="477">
        <f t="shared" si="132"/>
        <v>12589348.059999999</v>
      </c>
      <c r="BF162" s="478">
        <f t="shared" si="133"/>
        <v>0</v>
      </c>
      <c r="BG162" s="479">
        <f t="shared" si="134"/>
        <v>3805873.19</v>
      </c>
      <c r="BH162" s="485">
        <f t="shared" si="101"/>
        <v>884352.21000000043</v>
      </c>
      <c r="BI162" s="407" t="s">
        <v>692</v>
      </c>
      <c r="BJ162" s="486"/>
      <c r="BK162" s="486"/>
      <c r="BL162" s="486"/>
      <c r="BM162" s="487">
        <f>IF(BR162&gt;BR161,BM161,IF(BM161&lt;MiscData!$F$1,EOMONTH(BM161,1),EOMONTH(BM161,-11)))</f>
        <v>41790</v>
      </c>
      <c r="BN162" s="464" t="str">
        <f t="shared" si="102"/>
        <v>20140101KUCIE562</v>
      </c>
      <c r="BO162" s="488" t="str">
        <f t="shared" si="103"/>
        <v>20140101PSS</v>
      </c>
      <c r="BP162" s="486">
        <f>IF(BM162&lt;=MiscData!$B$23,MiscData!$C$23,IF(BM162&lt;=MiscData!$B$24,MiscData!$C$24,MiscData!$C$25))</f>
        <v>20140101</v>
      </c>
      <c r="BQ162" s="486" t="str">
        <f>VLOOKUP(BR162,MiscData!$V$4:$W$42,2,FALSE)</f>
        <v>KUCIE562</v>
      </c>
      <c r="BR162" s="407">
        <f>IF(BR161=MiscData!$V$42,1,BR161+1)</f>
        <v>3</v>
      </c>
      <c r="BS162" s="489" t="str">
        <f>VLOOKUP(BQ162,MiscData!$W$4:$Y$42,3,FALSE)</f>
        <v>PSS</v>
      </c>
    </row>
    <row r="163" spans="1:71" hidden="1">
      <c r="A163" s="463">
        <f t="shared" si="137"/>
        <v>148</v>
      </c>
      <c r="B163" s="464" t="str">
        <f t="shared" si="98"/>
        <v>May 2014</v>
      </c>
      <c r="C163" s="464" t="s">
        <v>221</v>
      </c>
      <c r="D163" s="465" t="str">
        <f t="shared" si="99"/>
        <v>TODP</v>
      </c>
      <c r="E163" s="465" t="str">
        <f t="shared" si="100"/>
        <v>KUCIE563</v>
      </c>
      <c r="F163" s="466">
        <f t="shared" si="104"/>
        <v>52</v>
      </c>
      <c r="G163" s="467">
        <v>0</v>
      </c>
      <c r="H163" s="466">
        <v>0</v>
      </c>
      <c r="I163" s="466">
        <v>0</v>
      </c>
      <c r="J163" s="466">
        <v>0</v>
      </c>
      <c r="K163" s="466">
        <f t="shared" si="105"/>
        <v>242154160</v>
      </c>
      <c r="L163" s="459">
        <v>0</v>
      </c>
      <c r="M163" s="469">
        <f t="shared" si="106"/>
        <v>478184.8</v>
      </c>
      <c r="N163" s="469">
        <f t="shared" si="107"/>
        <v>474777.2</v>
      </c>
      <c r="O163" s="469">
        <f t="shared" si="108"/>
        <v>466434.2</v>
      </c>
      <c r="P163" s="469">
        <f t="shared" si="109"/>
        <v>497917.4</v>
      </c>
      <c r="Q163" s="469">
        <f t="shared" si="110"/>
        <v>476039.9</v>
      </c>
      <c r="R163" s="469">
        <f t="shared" si="111"/>
        <v>468808.8</v>
      </c>
      <c r="S163" s="484">
        <v>19732.599999999999</v>
      </c>
      <c r="T163" s="484">
        <v>1262.7</v>
      </c>
      <c r="U163" s="484">
        <v>2374.6</v>
      </c>
      <c r="V163" s="490">
        <v>0</v>
      </c>
      <c r="W163" s="490">
        <v>0</v>
      </c>
      <c r="X163" s="490">
        <v>0</v>
      </c>
      <c r="Y163" s="470">
        <f t="shared" si="112"/>
        <v>300</v>
      </c>
      <c r="Z163" s="471">
        <f t="shared" si="113"/>
        <v>3.7650000000000003E-2</v>
      </c>
      <c r="AA163" s="471">
        <v>0</v>
      </c>
      <c r="AB163" s="471">
        <v>0</v>
      </c>
      <c r="AC163" s="471">
        <f t="shared" si="114"/>
        <v>2.8920000000000001E-2</v>
      </c>
      <c r="AD163" s="470">
        <f t="shared" si="115"/>
        <v>1.71</v>
      </c>
      <c r="AE163" s="470">
        <f t="shared" si="116"/>
        <v>2.76</v>
      </c>
      <c r="AF163" s="470">
        <f t="shared" si="117"/>
        <v>4.26</v>
      </c>
      <c r="AG163" s="454">
        <f t="shared" si="118"/>
        <v>15600</v>
      </c>
      <c r="AH163" s="454">
        <f t="shared" si="92"/>
        <v>9117104.1199999992</v>
      </c>
      <c r="AI163" s="421">
        <f t="shared" si="119"/>
        <v>817696.01</v>
      </c>
      <c r="AJ163" s="421">
        <f t="shared" si="120"/>
        <v>1310385.07</v>
      </c>
      <c r="AK163" s="421">
        <f t="shared" si="121"/>
        <v>1987009.69</v>
      </c>
      <c r="AL163" s="472">
        <v>0</v>
      </c>
      <c r="AM163" s="473">
        <f t="shared" si="138"/>
        <v>0</v>
      </c>
      <c r="AN163" s="474">
        <f t="shared" si="122"/>
        <v>47343.59</v>
      </c>
      <c r="AO163" s="454">
        <f t="shared" si="123"/>
        <v>4162434.36</v>
      </c>
      <c r="AP163" s="472">
        <v>0</v>
      </c>
      <c r="AQ163" s="472">
        <v>0.02</v>
      </c>
      <c r="AR163" s="472">
        <v>0</v>
      </c>
      <c r="AS163" s="475">
        <v>0</v>
      </c>
      <c r="AT163" s="475">
        <v>0</v>
      </c>
      <c r="AU163" s="475">
        <v>0</v>
      </c>
      <c r="AV163" s="454">
        <f t="shared" si="124"/>
        <v>13295138.499999998</v>
      </c>
      <c r="AW163" s="454">
        <f t="shared" si="125"/>
        <v>13295138.5</v>
      </c>
      <c r="AX163" s="455">
        <f t="shared" si="139"/>
        <v>1.0000000000000002</v>
      </c>
      <c r="AY163" s="476">
        <f t="shared" si="126"/>
        <v>766500.86</v>
      </c>
      <c r="AZ163" s="476">
        <f t="shared" si="127"/>
        <v>58861.77</v>
      </c>
      <c r="BA163" s="476">
        <f t="shared" si="128"/>
        <v>210865.51</v>
      </c>
      <c r="BB163" s="476">
        <f t="shared" si="129"/>
        <v>0</v>
      </c>
      <c r="BC163" s="476">
        <f t="shared" si="130"/>
        <v>0</v>
      </c>
      <c r="BD163" s="476">
        <f t="shared" si="131"/>
        <v>14331366.640000001</v>
      </c>
      <c r="BE163" s="477">
        <f t="shared" si="132"/>
        <v>14331366.639999997</v>
      </c>
      <c r="BF163" s="478">
        <f t="shared" si="133"/>
        <v>0</v>
      </c>
      <c r="BG163" s="479">
        <f t="shared" si="134"/>
        <v>7003098.3099999996</v>
      </c>
      <c r="BH163" s="485">
        <f t="shared" si="101"/>
        <v>2114005.8299999991</v>
      </c>
      <c r="BI163" s="407" t="s">
        <v>692</v>
      </c>
      <c r="BJ163" s="486"/>
      <c r="BK163" s="486"/>
      <c r="BL163" s="486"/>
      <c r="BM163" s="487">
        <f>IF(BR163&gt;BR162,BM162,IF(BM162&lt;MiscData!$F$1,EOMONTH(BM162,1),EOMONTH(BM162,-11)))</f>
        <v>41790</v>
      </c>
      <c r="BN163" s="464" t="str">
        <f t="shared" si="102"/>
        <v>20140101KUCIE563</v>
      </c>
      <c r="BO163" s="488" t="str">
        <f t="shared" si="103"/>
        <v>20140101TODP</v>
      </c>
      <c r="BP163" s="486">
        <f>IF(BM163&lt;=MiscData!$B$23,MiscData!$C$23,IF(BM163&lt;=MiscData!$B$24,MiscData!$C$24,MiscData!$C$25))</f>
        <v>20140101</v>
      </c>
      <c r="BQ163" s="486" t="str">
        <f>VLOOKUP(BR163,MiscData!$V$4:$W$42,2,FALSE)</f>
        <v>KUCIE563</v>
      </c>
      <c r="BR163" s="407">
        <f>IF(BR162=MiscData!$V$42,1,BR162+1)</f>
        <v>4</v>
      </c>
      <c r="BS163" s="489" t="str">
        <f>VLOOKUP(BQ163,MiscData!$W$4:$Y$42,3,FALSE)</f>
        <v>TODP</v>
      </c>
    </row>
    <row r="164" spans="1:71">
      <c r="A164" s="463">
        <f t="shared" si="137"/>
        <v>149</v>
      </c>
      <c r="B164" s="464" t="str">
        <f t="shared" si="98"/>
        <v>May 2014</v>
      </c>
      <c r="C164" s="464" t="s">
        <v>26</v>
      </c>
      <c r="D164" s="465" t="str">
        <f t="shared" si="99"/>
        <v>PSP</v>
      </c>
      <c r="E164" s="465" t="str">
        <f t="shared" si="100"/>
        <v>KUCIE566</v>
      </c>
      <c r="F164" s="466">
        <f t="shared" si="104"/>
        <v>74</v>
      </c>
      <c r="G164" s="467">
        <v>0</v>
      </c>
      <c r="H164" s="466">
        <v>0</v>
      </c>
      <c r="I164" s="466">
        <v>0</v>
      </c>
      <c r="J164" s="466">
        <v>0</v>
      </c>
      <c r="K164" s="466">
        <f t="shared" si="105"/>
        <v>19948394</v>
      </c>
      <c r="L164" s="459">
        <v>0</v>
      </c>
      <c r="M164" s="469">
        <f t="shared" si="106"/>
        <v>0</v>
      </c>
      <c r="N164" s="469">
        <f t="shared" si="107"/>
        <v>0</v>
      </c>
      <c r="O164" s="469">
        <f t="shared" si="108"/>
        <v>43912.800000000003</v>
      </c>
      <c r="P164" s="469">
        <f t="shared" si="109"/>
        <v>0</v>
      </c>
      <c r="Q164" s="469">
        <f t="shared" si="110"/>
        <v>0</v>
      </c>
      <c r="R164" s="469">
        <f t="shared" si="111"/>
        <v>47032.95</v>
      </c>
      <c r="S164" s="484">
        <v>0</v>
      </c>
      <c r="T164" s="484">
        <v>0</v>
      </c>
      <c r="U164" s="484">
        <v>3120.15</v>
      </c>
      <c r="V164" s="490">
        <v>0</v>
      </c>
      <c r="W164" s="490">
        <v>0</v>
      </c>
      <c r="X164" s="490">
        <v>0</v>
      </c>
      <c r="Y164" s="470">
        <f t="shared" si="112"/>
        <v>170</v>
      </c>
      <c r="Z164" s="471">
        <f t="shared" si="113"/>
        <v>3.5619999999999999E-2</v>
      </c>
      <c r="AA164" s="471">
        <v>0</v>
      </c>
      <c r="AB164" s="471">
        <v>0</v>
      </c>
      <c r="AC164" s="471">
        <f t="shared" si="114"/>
        <v>2.8920000000000001E-2</v>
      </c>
      <c r="AD164" s="470">
        <f t="shared" si="115"/>
        <v>0</v>
      </c>
      <c r="AE164" s="470">
        <f t="shared" si="116"/>
        <v>13.18</v>
      </c>
      <c r="AF164" s="470">
        <f t="shared" si="117"/>
        <v>15.28</v>
      </c>
      <c r="AG164" s="454">
        <f t="shared" si="118"/>
        <v>12580</v>
      </c>
      <c r="AH164" s="454">
        <f t="shared" ref="AH164:AH227" si="140">ROUND(IF(H164=0,(K164+L164)*Z164,SUMPRODUCT(H164:J164,Z164:AB164)),2)</f>
        <v>710561.79</v>
      </c>
      <c r="AI164" s="421">
        <f t="shared" si="119"/>
        <v>0</v>
      </c>
      <c r="AJ164" s="421">
        <f t="shared" si="120"/>
        <v>0</v>
      </c>
      <c r="AK164" s="421">
        <f t="shared" si="121"/>
        <v>670987.57999999996</v>
      </c>
      <c r="AL164" s="472">
        <v>812.5</v>
      </c>
      <c r="AM164" s="473">
        <f t="shared" si="138"/>
        <v>11888.94</v>
      </c>
      <c r="AN164" s="474">
        <f t="shared" si="122"/>
        <v>47675.89</v>
      </c>
      <c r="AO164" s="454">
        <f t="shared" si="123"/>
        <v>731364.90999999992</v>
      </c>
      <c r="AP164" s="472">
        <v>-48.07</v>
      </c>
      <c r="AQ164" s="472">
        <v>0.04</v>
      </c>
      <c r="AR164" s="472">
        <v>-6702.07</v>
      </c>
      <c r="AS164" s="475">
        <v>0</v>
      </c>
      <c r="AT164" s="475">
        <v>0</v>
      </c>
      <c r="AU164" s="475">
        <v>0</v>
      </c>
      <c r="AV164" s="454">
        <f t="shared" si="124"/>
        <v>1447756.5999999999</v>
      </c>
      <c r="AW164" s="454">
        <f t="shared" si="125"/>
        <v>1447756.5999999999</v>
      </c>
      <c r="AX164" s="455">
        <f t="shared" si="139"/>
        <v>1</v>
      </c>
      <c r="AY164" s="476">
        <f t="shared" si="126"/>
        <v>70271.72</v>
      </c>
      <c r="AZ164" s="476">
        <f t="shared" si="127"/>
        <v>15993.13</v>
      </c>
      <c r="BA164" s="476">
        <f t="shared" si="128"/>
        <v>32459.95</v>
      </c>
      <c r="BB164" s="476">
        <f t="shared" si="129"/>
        <v>0</v>
      </c>
      <c r="BC164" s="476">
        <f t="shared" si="130"/>
        <v>0</v>
      </c>
      <c r="BD164" s="476">
        <f t="shared" si="131"/>
        <v>1566481.4</v>
      </c>
      <c r="BE164" s="477">
        <f t="shared" si="132"/>
        <v>1566481.3999999997</v>
      </c>
      <c r="BF164" s="478">
        <f t="shared" si="133"/>
        <v>0</v>
      </c>
      <c r="BG164" s="479">
        <f t="shared" si="134"/>
        <v>576907.55000000005</v>
      </c>
      <c r="BH164" s="485">
        <f t="shared" si="101"/>
        <v>133654.28000000003</v>
      </c>
      <c r="BI164" s="407" t="s">
        <v>692</v>
      </c>
      <c r="BJ164" s="486"/>
      <c r="BK164" s="486"/>
      <c r="BL164" s="486"/>
      <c r="BM164" s="487">
        <f>IF(BR164&gt;BR163,BM163,IF(BM163&lt;MiscData!$F$1,EOMONTH(BM163,1),EOMONTH(BM163,-11)))</f>
        <v>41790</v>
      </c>
      <c r="BN164" s="464" t="str">
        <f t="shared" si="102"/>
        <v>20140101KUCIE566</v>
      </c>
      <c r="BO164" s="488" t="str">
        <f t="shared" si="103"/>
        <v>20140101PSP</v>
      </c>
      <c r="BP164" s="486">
        <f>IF(BM164&lt;=MiscData!$B$23,MiscData!$C$23,IF(BM164&lt;=MiscData!$B$24,MiscData!$C$24,MiscData!$C$25))</f>
        <v>20140101</v>
      </c>
      <c r="BQ164" s="486" t="str">
        <f>VLOOKUP(BR164,MiscData!$V$4:$W$42,2,FALSE)</f>
        <v>KUCIE566</v>
      </c>
      <c r="BR164" s="407">
        <f>IF(BR163=MiscData!$V$42,1,BR163+1)</f>
        <v>5</v>
      </c>
      <c r="BS164" s="489" t="str">
        <f>VLOOKUP(BQ164,MiscData!$W$4:$Y$42,3,FALSE)</f>
        <v>PSP</v>
      </c>
    </row>
    <row r="165" spans="1:71" hidden="1">
      <c r="A165" s="463">
        <f t="shared" si="137"/>
        <v>150</v>
      </c>
      <c r="B165" s="464" t="str">
        <f t="shared" si="98"/>
        <v>May 2014</v>
      </c>
      <c r="C165" s="464" t="s">
        <v>25</v>
      </c>
      <c r="D165" s="465" t="str">
        <f t="shared" si="99"/>
        <v>PSS</v>
      </c>
      <c r="E165" s="465" t="str">
        <f t="shared" si="100"/>
        <v>KUCIE568</v>
      </c>
      <c r="F165" s="466">
        <f t="shared" si="104"/>
        <v>393</v>
      </c>
      <c r="G165" s="467">
        <v>2</v>
      </c>
      <c r="H165" s="466">
        <v>0</v>
      </c>
      <c r="I165" s="466">
        <v>0</v>
      </c>
      <c r="J165" s="466">
        <v>0</v>
      </c>
      <c r="K165" s="466">
        <f t="shared" si="105"/>
        <v>58274936</v>
      </c>
      <c r="L165" s="459">
        <v>0</v>
      </c>
      <c r="M165" s="469">
        <f t="shared" si="106"/>
        <v>0</v>
      </c>
      <c r="N165" s="469">
        <f t="shared" si="107"/>
        <v>0</v>
      </c>
      <c r="O165" s="469">
        <f t="shared" si="108"/>
        <v>145742.39999999999</v>
      </c>
      <c r="P165" s="469">
        <f t="shared" si="109"/>
        <v>0</v>
      </c>
      <c r="Q165" s="469">
        <f t="shared" si="110"/>
        <v>0</v>
      </c>
      <c r="R165" s="469">
        <f t="shared" si="111"/>
        <v>153714.42000000001</v>
      </c>
      <c r="S165" s="484">
        <v>0</v>
      </c>
      <c r="T165" s="484">
        <v>0</v>
      </c>
      <c r="U165" s="484">
        <v>7972.02</v>
      </c>
      <c r="V165" s="490">
        <v>0</v>
      </c>
      <c r="W165" s="490">
        <v>0</v>
      </c>
      <c r="X165" s="490">
        <v>0</v>
      </c>
      <c r="Y165" s="470">
        <f t="shared" si="112"/>
        <v>90</v>
      </c>
      <c r="Z165" s="471">
        <f t="shared" si="113"/>
        <v>3.5640000000000005E-2</v>
      </c>
      <c r="AA165" s="471">
        <v>0</v>
      </c>
      <c r="AB165" s="471">
        <v>0</v>
      </c>
      <c r="AC165" s="471">
        <f t="shared" si="114"/>
        <v>2.8920000000000001E-2</v>
      </c>
      <c r="AD165" s="470">
        <f t="shared" si="115"/>
        <v>0</v>
      </c>
      <c r="AE165" s="470">
        <f t="shared" si="116"/>
        <v>13.2</v>
      </c>
      <c r="AF165" s="470">
        <f t="shared" si="117"/>
        <v>15.3</v>
      </c>
      <c r="AG165" s="454">
        <f t="shared" si="118"/>
        <v>35550</v>
      </c>
      <c r="AH165" s="454">
        <f t="shared" si="140"/>
        <v>2076918.72</v>
      </c>
      <c r="AI165" s="421">
        <f t="shared" si="119"/>
        <v>0</v>
      </c>
      <c r="AJ165" s="421">
        <f t="shared" si="120"/>
        <v>0</v>
      </c>
      <c r="AK165" s="421">
        <f t="shared" si="121"/>
        <v>2229858.7200000002</v>
      </c>
      <c r="AL165" s="472">
        <v>333.25</v>
      </c>
      <c r="AM165" s="473">
        <f t="shared" si="138"/>
        <v>87739.53</v>
      </c>
      <c r="AN165" s="474">
        <f t="shared" si="122"/>
        <v>121971.91</v>
      </c>
      <c r="AO165" s="454">
        <f t="shared" si="123"/>
        <v>2439903.41</v>
      </c>
      <c r="AP165" s="472">
        <v>-59.46</v>
      </c>
      <c r="AQ165" s="472">
        <v>0</v>
      </c>
      <c r="AR165" s="472">
        <v>-23596.01</v>
      </c>
      <c r="AS165" s="475">
        <v>0</v>
      </c>
      <c r="AT165" s="475">
        <v>0</v>
      </c>
      <c r="AU165" s="475">
        <v>0</v>
      </c>
      <c r="AV165" s="454">
        <f t="shared" si="124"/>
        <v>4528716.66</v>
      </c>
      <c r="AW165" s="454">
        <f t="shared" si="125"/>
        <v>4528716.66</v>
      </c>
      <c r="AX165" s="455">
        <f t="shared" si="139"/>
        <v>1</v>
      </c>
      <c r="AY165" s="476">
        <f t="shared" si="126"/>
        <v>204609.42</v>
      </c>
      <c r="AZ165" s="476">
        <f t="shared" si="127"/>
        <v>47317.46</v>
      </c>
      <c r="BA165" s="476">
        <f t="shared" si="128"/>
        <v>107716.05</v>
      </c>
      <c r="BB165" s="476">
        <f t="shared" si="129"/>
        <v>0</v>
      </c>
      <c r="BC165" s="476">
        <f t="shared" si="130"/>
        <v>0</v>
      </c>
      <c r="BD165" s="476">
        <f t="shared" si="131"/>
        <v>4888359.59</v>
      </c>
      <c r="BE165" s="477">
        <f t="shared" si="132"/>
        <v>4888359.59</v>
      </c>
      <c r="BF165" s="478">
        <f t="shared" si="133"/>
        <v>0</v>
      </c>
      <c r="BG165" s="479">
        <f t="shared" si="134"/>
        <v>1685311.15</v>
      </c>
      <c r="BH165" s="485">
        <f t="shared" si="101"/>
        <v>391607.57000000007</v>
      </c>
      <c r="BI165" s="407" t="s">
        <v>692</v>
      </c>
      <c r="BJ165" s="486"/>
      <c r="BK165" s="486"/>
      <c r="BL165" s="486"/>
      <c r="BM165" s="487">
        <f>IF(BR165&gt;BR164,BM164,IF(BM164&lt;MiscData!$F$1,EOMONTH(BM164,1),EOMONTH(BM164,-11)))</f>
        <v>41790</v>
      </c>
      <c r="BN165" s="464" t="str">
        <f t="shared" si="102"/>
        <v>20140101KUCIE568</v>
      </c>
      <c r="BO165" s="488" t="str">
        <f t="shared" si="103"/>
        <v>20140101PSS</v>
      </c>
      <c r="BP165" s="486">
        <f>IF(BM165&lt;=MiscData!$B$23,MiscData!$C$23,IF(BM165&lt;=MiscData!$B$24,MiscData!$C$24,MiscData!$C$25))</f>
        <v>20140101</v>
      </c>
      <c r="BQ165" s="486" t="str">
        <f>VLOOKUP(BR165,MiscData!$V$4:$W$42,2,FALSE)</f>
        <v>KUCIE568</v>
      </c>
      <c r="BR165" s="407">
        <f>IF(BR164=MiscData!$V$42,1,BR164+1)</f>
        <v>6</v>
      </c>
      <c r="BS165" s="489" t="str">
        <f>VLOOKUP(BQ165,MiscData!$W$4:$Y$42,3,FALSE)</f>
        <v>PSS</v>
      </c>
    </row>
    <row r="166" spans="1:71" hidden="1">
      <c r="A166" s="463">
        <f t="shared" si="137"/>
        <v>151</v>
      </c>
      <c r="B166" s="464" t="str">
        <f t="shared" si="98"/>
        <v>May 2014</v>
      </c>
      <c r="C166" s="464" t="s">
        <v>221</v>
      </c>
      <c r="D166" s="465" t="str">
        <f t="shared" si="99"/>
        <v>TODP</v>
      </c>
      <c r="E166" s="465" t="str">
        <f t="shared" si="100"/>
        <v>KUCIE571</v>
      </c>
      <c r="F166" s="466">
        <f t="shared" si="104"/>
        <v>158</v>
      </c>
      <c r="G166" s="467">
        <v>0</v>
      </c>
      <c r="H166" s="466">
        <v>0</v>
      </c>
      <c r="I166" s="466">
        <v>0</v>
      </c>
      <c r="J166" s="466">
        <v>0</v>
      </c>
      <c r="K166" s="466">
        <f t="shared" si="105"/>
        <v>100192153</v>
      </c>
      <c r="L166" s="481">
        <v>0</v>
      </c>
      <c r="M166" s="469">
        <f t="shared" si="106"/>
        <v>258634.4</v>
      </c>
      <c r="N166" s="469">
        <f t="shared" si="107"/>
        <v>255439.3</v>
      </c>
      <c r="O166" s="469">
        <f t="shared" si="108"/>
        <v>250750.8</v>
      </c>
      <c r="P166" s="469">
        <f t="shared" si="109"/>
        <v>267302.3</v>
      </c>
      <c r="Q166" s="469">
        <f t="shared" si="110"/>
        <v>256296.7</v>
      </c>
      <c r="R166" s="469">
        <f t="shared" si="111"/>
        <v>251617.2</v>
      </c>
      <c r="S166" s="484">
        <v>8667.9</v>
      </c>
      <c r="T166" s="484">
        <v>857.4</v>
      </c>
      <c r="U166" s="484">
        <v>866.4</v>
      </c>
      <c r="V166" s="490">
        <v>0</v>
      </c>
      <c r="W166" s="490">
        <v>0</v>
      </c>
      <c r="X166" s="490">
        <v>0</v>
      </c>
      <c r="Y166" s="470">
        <f t="shared" si="112"/>
        <v>300</v>
      </c>
      <c r="Z166" s="471">
        <f t="shared" si="113"/>
        <v>3.7650000000000003E-2</v>
      </c>
      <c r="AA166" s="471">
        <v>0</v>
      </c>
      <c r="AB166" s="471">
        <v>0</v>
      </c>
      <c r="AC166" s="471">
        <f t="shared" si="114"/>
        <v>2.8920000000000001E-2</v>
      </c>
      <c r="AD166" s="470">
        <f t="shared" si="115"/>
        <v>1.71</v>
      </c>
      <c r="AE166" s="470">
        <f t="shared" si="116"/>
        <v>2.76</v>
      </c>
      <c r="AF166" s="470">
        <f t="shared" si="117"/>
        <v>4.26</v>
      </c>
      <c r="AG166" s="454">
        <f t="shared" si="118"/>
        <v>47400</v>
      </c>
      <c r="AH166" s="454">
        <f t="shared" si="140"/>
        <v>3772234.56</v>
      </c>
      <c r="AI166" s="421">
        <f t="shared" si="119"/>
        <v>442264.82</v>
      </c>
      <c r="AJ166" s="421">
        <f t="shared" si="120"/>
        <v>705012.47</v>
      </c>
      <c r="AK166" s="421">
        <f t="shared" si="121"/>
        <v>1068198.4099999999</v>
      </c>
      <c r="AL166" s="472">
        <v>4187.5</v>
      </c>
      <c r="AM166" s="473">
        <f t="shared" si="138"/>
        <v>0</v>
      </c>
      <c r="AN166" s="474">
        <f t="shared" si="122"/>
        <v>20879.400000000001</v>
      </c>
      <c r="AO166" s="454">
        <f t="shared" si="123"/>
        <v>2240542.6</v>
      </c>
      <c r="AP166" s="472">
        <v>24.83</v>
      </c>
      <c r="AQ166" s="472">
        <v>0.05</v>
      </c>
      <c r="AR166" s="472">
        <v>2854.78</v>
      </c>
      <c r="AS166" s="475">
        <v>0</v>
      </c>
      <c r="AT166" s="475">
        <v>0</v>
      </c>
      <c r="AU166" s="475">
        <v>0</v>
      </c>
      <c r="AV166" s="454">
        <f t="shared" si="124"/>
        <v>6063056.8200000003</v>
      </c>
      <c r="AW166" s="454">
        <f t="shared" si="125"/>
        <v>6063056.8199999994</v>
      </c>
      <c r="AX166" s="455">
        <f t="shared" si="139"/>
        <v>0.99999999999999989</v>
      </c>
      <c r="AY166" s="476">
        <f t="shared" si="126"/>
        <v>348386.84</v>
      </c>
      <c r="AZ166" s="476">
        <f t="shared" si="127"/>
        <v>34399.67</v>
      </c>
      <c r="BA166" s="476">
        <f t="shared" si="128"/>
        <v>117238.85</v>
      </c>
      <c r="BB166" s="476">
        <f t="shared" si="129"/>
        <v>0</v>
      </c>
      <c r="BC166" s="476">
        <f t="shared" si="130"/>
        <v>0</v>
      </c>
      <c r="BD166" s="476">
        <f t="shared" si="131"/>
        <v>6563082.1799999997</v>
      </c>
      <c r="BE166" s="477">
        <f t="shared" si="132"/>
        <v>6563082.1799999997</v>
      </c>
      <c r="BF166" s="478">
        <f t="shared" si="133"/>
        <v>0</v>
      </c>
      <c r="BG166" s="479">
        <f t="shared" si="134"/>
        <v>2897557.06</v>
      </c>
      <c r="BH166" s="485">
        <f t="shared" si="101"/>
        <v>874677.54999999981</v>
      </c>
      <c r="BI166" s="407" t="s">
        <v>692</v>
      </c>
      <c r="BJ166" s="486"/>
      <c r="BK166" s="486"/>
      <c r="BL166" s="486"/>
      <c r="BM166" s="487">
        <f>IF(BR166&gt;BR165,BM165,IF(BM165&lt;MiscData!$F$1,EOMONTH(BM165,1),EOMONTH(BM165,-11)))</f>
        <v>41790</v>
      </c>
      <c r="BN166" s="464" t="str">
        <f t="shared" si="102"/>
        <v>20140101KUCIE571</v>
      </c>
      <c r="BO166" s="488" t="str">
        <f t="shared" si="103"/>
        <v>20140101TODP</v>
      </c>
      <c r="BP166" s="486">
        <f>IF(BM166&lt;=MiscData!$B$23,MiscData!$C$23,IF(BM166&lt;=MiscData!$B$24,MiscData!$C$24,MiscData!$C$25))</f>
        <v>20140101</v>
      </c>
      <c r="BQ166" s="486" t="str">
        <f>VLOOKUP(BR166,MiscData!$V$4:$W$42,2,FALSE)</f>
        <v>KUCIE571</v>
      </c>
      <c r="BR166" s="407">
        <f>IF(BR165=MiscData!$V$42,1,BR165+1)</f>
        <v>7</v>
      </c>
      <c r="BS166" s="489" t="str">
        <f>VLOOKUP(BQ166,MiscData!$W$4:$Y$42,3,FALSE)</f>
        <v>TODP</v>
      </c>
    </row>
    <row r="167" spans="1:71" hidden="1">
      <c r="A167" s="463">
        <f t="shared" si="137"/>
        <v>152</v>
      </c>
      <c r="B167" s="464" t="str">
        <f t="shared" si="98"/>
        <v>May 2014</v>
      </c>
      <c r="C167" s="464" t="s">
        <v>220</v>
      </c>
      <c r="D167" s="465" t="str">
        <f t="shared" si="99"/>
        <v>TODS</v>
      </c>
      <c r="E167" s="465" t="str">
        <f t="shared" si="100"/>
        <v>KUCIE572</v>
      </c>
      <c r="F167" s="466">
        <f t="shared" si="104"/>
        <v>439</v>
      </c>
      <c r="G167" s="467">
        <v>2</v>
      </c>
      <c r="H167" s="466">
        <v>0</v>
      </c>
      <c r="I167" s="466">
        <v>0</v>
      </c>
      <c r="J167" s="466">
        <v>0</v>
      </c>
      <c r="K167" s="466">
        <f t="shared" si="105"/>
        <v>100848428</v>
      </c>
      <c r="L167" s="481">
        <v>0</v>
      </c>
      <c r="M167" s="469">
        <f t="shared" si="106"/>
        <v>238210.1</v>
      </c>
      <c r="N167" s="469">
        <f t="shared" si="107"/>
        <v>236019.8</v>
      </c>
      <c r="O167" s="469">
        <f t="shared" si="108"/>
        <v>231678.6</v>
      </c>
      <c r="P167" s="469">
        <f t="shared" si="109"/>
        <v>252599</v>
      </c>
      <c r="Q167" s="469">
        <f t="shared" si="110"/>
        <v>236441.7</v>
      </c>
      <c r="R167" s="469">
        <f t="shared" si="111"/>
        <v>232177</v>
      </c>
      <c r="S167" s="484">
        <v>14388.899999999994</v>
      </c>
      <c r="T167" s="484">
        <v>421.90000000002328</v>
      </c>
      <c r="U167" s="484">
        <v>498.39999999999418</v>
      </c>
      <c r="V167" s="490">
        <v>0</v>
      </c>
      <c r="W167" s="490">
        <v>0</v>
      </c>
      <c r="X167" s="490">
        <v>0</v>
      </c>
      <c r="Y167" s="470">
        <f t="shared" si="112"/>
        <v>200</v>
      </c>
      <c r="Z167" s="471">
        <f t="shared" si="113"/>
        <v>3.773E-2</v>
      </c>
      <c r="AA167" s="471">
        <v>0</v>
      </c>
      <c r="AB167" s="471">
        <v>0</v>
      </c>
      <c r="AC167" s="471">
        <f t="shared" si="114"/>
        <v>2.8920000000000001E-2</v>
      </c>
      <c r="AD167" s="470">
        <f t="shared" si="115"/>
        <v>3.62</v>
      </c>
      <c r="AE167" s="470">
        <f t="shared" si="116"/>
        <v>2.95</v>
      </c>
      <c r="AF167" s="470">
        <f t="shared" si="117"/>
        <v>4.55</v>
      </c>
      <c r="AG167" s="454">
        <f t="shared" si="118"/>
        <v>88200</v>
      </c>
      <c r="AH167" s="454">
        <f t="shared" si="140"/>
        <v>3805011.19</v>
      </c>
      <c r="AI167" s="421">
        <f t="shared" si="119"/>
        <v>862320.56</v>
      </c>
      <c r="AJ167" s="421">
        <f t="shared" si="120"/>
        <v>696258.41</v>
      </c>
      <c r="AK167" s="421">
        <f t="shared" si="121"/>
        <v>1054137.6299999999</v>
      </c>
      <c r="AL167" s="472">
        <v>7907.43</v>
      </c>
      <c r="AM167" s="473">
        <f t="shared" si="138"/>
        <v>94709.28</v>
      </c>
      <c r="AN167" s="474">
        <f t="shared" si="122"/>
        <v>55600.14</v>
      </c>
      <c r="AO167" s="454">
        <f t="shared" si="123"/>
        <v>2770933.45</v>
      </c>
      <c r="AP167" s="472">
        <v>-1346.66</v>
      </c>
      <c r="AQ167" s="472">
        <v>0.05</v>
      </c>
      <c r="AR167" s="472">
        <v>19056.810000000001</v>
      </c>
      <c r="AS167" s="475">
        <v>0</v>
      </c>
      <c r="AT167" s="475">
        <v>0</v>
      </c>
      <c r="AU167" s="475">
        <v>0</v>
      </c>
      <c r="AV167" s="454">
        <f t="shared" si="124"/>
        <v>6681854.8399999989</v>
      </c>
      <c r="AW167" s="454">
        <f t="shared" si="125"/>
        <v>6681854.8399999999</v>
      </c>
      <c r="AX167" s="455">
        <f t="shared" si="139"/>
        <v>1.0000000000000002</v>
      </c>
      <c r="AY167" s="476">
        <f t="shared" si="126"/>
        <v>348165.93</v>
      </c>
      <c r="AZ167" s="476">
        <f t="shared" si="127"/>
        <v>78124.67</v>
      </c>
      <c r="BA167" s="476">
        <f t="shared" si="128"/>
        <v>140093.10999999999</v>
      </c>
      <c r="BB167" s="476">
        <f t="shared" si="129"/>
        <v>0</v>
      </c>
      <c r="BC167" s="476">
        <f t="shared" si="130"/>
        <v>0</v>
      </c>
      <c r="BD167" s="476">
        <f t="shared" si="131"/>
        <v>7248238.5499999998</v>
      </c>
      <c r="BE167" s="477">
        <f t="shared" si="132"/>
        <v>7248238.5499999989</v>
      </c>
      <c r="BF167" s="478">
        <f t="shared" si="133"/>
        <v>0</v>
      </c>
      <c r="BG167" s="479">
        <f t="shared" si="134"/>
        <v>2916536.54</v>
      </c>
      <c r="BH167" s="485">
        <f t="shared" si="101"/>
        <v>888474.69999999972</v>
      </c>
      <c r="BI167" s="407" t="s">
        <v>692</v>
      </c>
      <c r="BJ167" s="486"/>
      <c r="BK167" s="486"/>
      <c r="BL167" s="486"/>
      <c r="BM167" s="487">
        <f>IF(BR167&gt;BR166,BM166,IF(BM166&lt;MiscData!$F$1,EOMONTH(BM166,1),EOMONTH(BM166,-11)))</f>
        <v>41790</v>
      </c>
      <c r="BN167" s="464" t="str">
        <f t="shared" si="102"/>
        <v>20140101KUCIE572</v>
      </c>
      <c r="BO167" s="488" t="str">
        <f t="shared" si="103"/>
        <v>20140101TODS</v>
      </c>
      <c r="BP167" s="486">
        <f>IF(BM167&lt;=MiscData!$B$23,MiscData!$C$23,IF(BM167&lt;=MiscData!$B$24,MiscData!$C$24,MiscData!$C$25))</f>
        <v>20140101</v>
      </c>
      <c r="BQ167" s="486" t="str">
        <f>VLOOKUP(BR167,MiscData!$V$4:$W$42,2,FALSE)</f>
        <v>KUCIE572</v>
      </c>
      <c r="BR167" s="407">
        <f>IF(BR166=MiscData!$V$42,1,BR166+1)</f>
        <v>8</v>
      </c>
      <c r="BS167" s="489" t="str">
        <f>VLOOKUP(BQ167,MiscData!$W$4:$Y$42,3,FALSE)</f>
        <v>TODS</v>
      </c>
    </row>
    <row r="168" spans="1:71" hidden="1">
      <c r="A168" s="463">
        <f t="shared" si="137"/>
        <v>153</v>
      </c>
      <c r="B168" s="464" t="str">
        <f t="shared" si="98"/>
        <v>May 2014</v>
      </c>
      <c r="C168" s="464" t="s">
        <v>25</v>
      </c>
      <c r="D168" s="465" t="str">
        <f t="shared" si="99"/>
        <v>PSS</v>
      </c>
      <c r="E168" s="465" t="str">
        <f t="shared" si="100"/>
        <v>KUCIE717</v>
      </c>
      <c r="F168" s="466">
        <f t="shared" si="104"/>
        <v>1</v>
      </c>
      <c r="G168" s="467">
        <v>0</v>
      </c>
      <c r="H168" s="466">
        <v>0</v>
      </c>
      <c r="I168" s="466">
        <v>0</v>
      </c>
      <c r="J168" s="466">
        <v>0</v>
      </c>
      <c r="K168" s="466">
        <f t="shared" si="105"/>
        <v>25360</v>
      </c>
      <c r="L168" s="459">
        <v>0</v>
      </c>
      <c r="M168" s="469">
        <f t="shared" si="106"/>
        <v>0</v>
      </c>
      <c r="N168" s="469">
        <f t="shared" si="107"/>
        <v>0</v>
      </c>
      <c r="O168" s="469">
        <f t="shared" si="108"/>
        <v>77.5</v>
      </c>
      <c r="P168" s="469">
        <f t="shared" si="109"/>
        <v>0</v>
      </c>
      <c r="Q168" s="469">
        <f t="shared" si="110"/>
        <v>0</v>
      </c>
      <c r="R168" s="469">
        <f t="shared" si="111"/>
        <v>0</v>
      </c>
      <c r="S168" s="484">
        <v>0</v>
      </c>
      <c r="T168" s="484">
        <v>0</v>
      </c>
      <c r="U168" s="484">
        <v>22.5</v>
      </c>
      <c r="V168" s="490">
        <v>0</v>
      </c>
      <c r="W168" s="490">
        <v>0</v>
      </c>
      <c r="X168" s="490">
        <v>0</v>
      </c>
      <c r="Y168" s="470">
        <f t="shared" si="112"/>
        <v>90</v>
      </c>
      <c r="Z168" s="471">
        <f t="shared" si="113"/>
        <v>3.5640000000000005E-2</v>
      </c>
      <c r="AA168" s="471">
        <v>0</v>
      </c>
      <c r="AB168" s="471">
        <v>0</v>
      </c>
      <c r="AC168" s="471">
        <f t="shared" si="114"/>
        <v>2.8920000000000001E-2</v>
      </c>
      <c r="AD168" s="470">
        <f t="shared" si="115"/>
        <v>0</v>
      </c>
      <c r="AE168" s="470">
        <f t="shared" si="116"/>
        <v>13.2</v>
      </c>
      <c r="AF168" s="470">
        <f t="shared" si="117"/>
        <v>15.3</v>
      </c>
      <c r="AG168" s="454">
        <f t="shared" si="118"/>
        <v>90</v>
      </c>
      <c r="AH168" s="454">
        <f t="shared" si="140"/>
        <v>903.83</v>
      </c>
      <c r="AI168" s="421">
        <f t="shared" si="119"/>
        <v>0</v>
      </c>
      <c r="AJ168" s="421">
        <f t="shared" si="120"/>
        <v>0</v>
      </c>
      <c r="AK168" s="421">
        <f t="shared" si="121"/>
        <v>1185.75</v>
      </c>
      <c r="AL168" s="472">
        <v>0</v>
      </c>
      <c r="AM168" s="473">
        <f t="shared" si="138"/>
        <v>0</v>
      </c>
      <c r="AN168" s="474">
        <f t="shared" si="122"/>
        <v>344.25</v>
      </c>
      <c r="AO168" s="454">
        <f t="shared" si="123"/>
        <v>1530</v>
      </c>
      <c r="AP168" s="472">
        <v>0</v>
      </c>
      <c r="AQ168" s="472">
        <v>0</v>
      </c>
      <c r="AR168" s="472">
        <v>0</v>
      </c>
      <c r="AS168" s="475">
        <v>0</v>
      </c>
      <c r="AT168" s="475">
        <v>0</v>
      </c>
      <c r="AU168" s="475">
        <v>0</v>
      </c>
      <c r="AV168" s="454">
        <f t="shared" si="124"/>
        <v>2523.83</v>
      </c>
      <c r="AW168" s="454">
        <f t="shared" si="125"/>
        <v>2523.83</v>
      </c>
      <c r="AX168" s="455">
        <f t="shared" si="139"/>
        <v>1</v>
      </c>
      <c r="AY168" s="476">
        <f t="shared" si="126"/>
        <v>90.54</v>
      </c>
      <c r="AZ168" s="476">
        <f t="shared" si="127"/>
        <v>34.74</v>
      </c>
      <c r="BA168" s="476">
        <f t="shared" si="128"/>
        <v>69.36</v>
      </c>
      <c r="BB168" s="476">
        <f t="shared" si="129"/>
        <v>0</v>
      </c>
      <c r="BC168" s="476">
        <f t="shared" si="130"/>
        <v>0</v>
      </c>
      <c r="BD168" s="476">
        <f t="shared" si="131"/>
        <v>2718.47</v>
      </c>
      <c r="BE168" s="477">
        <f t="shared" si="132"/>
        <v>2718.47</v>
      </c>
      <c r="BF168" s="478">
        <f t="shared" si="133"/>
        <v>0</v>
      </c>
      <c r="BG168" s="479">
        <f t="shared" si="134"/>
        <v>733.41</v>
      </c>
      <c r="BH168" s="485">
        <f t="shared" si="101"/>
        <v>170.42000000000007</v>
      </c>
      <c r="BI168" s="407" t="s">
        <v>692</v>
      </c>
      <c r="BJ168" s="486"/>
      <c r="BK168" s="486"/>
      <c r="BL168" s="486"/>
      <c r="BM168" s="487">
        <f>IF(BR168&gt;BR167,BM167,IF(BM167&lt;MiscData!$F$1,EOMONTH(BM167,1),EOMONTH(BM167,-11)))</f>
        <v>41790</v>
      </c>
      <c r="BN168" s="464" t="str">
        <f t="shared" si="102"/>
        <v>20140101KUCIE717</v>
      </c>
      <c r="BO168" s="488" t="str">
        <f t="shared" si="103"/>
        <v>20140101PSS</v>
      </c>
      <c r="BP168" s="486">
        <f>IF(BM168&lt;=MiscData!$B$23,MiscData!$C$23,IF(BM168&lt;=MiscData!$B$24,MiscData!$C$24,MiscData!$C$25))</f>
        <v>20140101</v>
      </c>
      <c r="BQ168" s="486" t="str">
        <f>VLOOKUP(BR168,MiscData!$V$4:$W$42,2,FALSE)</f>
        <v>KUCIE717</v>
      </c>
      <c r="BR168" s="407">
        <f>IF(BR167=MiscData!$V$42,1,BR167+1)</f>
        <v>9</v>
      </c>
      <c r="BS168" s="489" t="str">
        <f>VLOOKUP(BQ168,MiscData!$W$4:$Y$42,3,FALSE)</f>
        <v>PSS</v>
      </c>
    </row>
    <row r="169" spans="1:71" hidden="1">
      <c r="A169" s="463">
        <f t="shared" si="137"/>
        <v>154</v>
      </c>
      <c r="B169" s="464" t="str">
        <f t="shared" si="98"/>
        <v>May 2014</v>
      </c>
      <c r="C169" s="464" t="s">
        <v>224</v>
      </c>
      <c r="D169" s="465" t="str">
        <f t="shared" si="99"/>
        <v>GS</v>
      </c>
      <c r="E169" s="465" t="str">
        <f t="shared" si="100"/>
        <v>KUCME110</v>
      </c>
      <c r="F169" s="466">
        <f t="shared" si="104"/>
        <v>64676</v>
      </c>
      <c r="G169" s="467">
        <v>0</v>
      </c>
      <c r="H169" s="466">
        <v>0</v>
      </c>
      <c r="I169" s="466">
        <v>0</v>
      </c>
      <c r="J169" s="466">
        <v>0</v>
      </c>
      <c r="K169" s="466">
        <f t="shared" si="105"/>
        <v>55154602</v>
      </c>
      <c r="L169" s="459">
        <v>0</v>
      </c>
      <c r="M169" s="469">
        <f t="shared" si="106"/>
        <v>119547.4</v>
      </c>
      <c r="N169" s="469">
        <f t="shared" si="107"/>
        <v>0</v>
      </c>
      <c r="O169" s="469">
        <f t="shared" si="108"/>
        <v>0</v>
      </c>
      <c r="P169" s="469">
        <f t="shared" si="109"/>
        <v>0</v>
      </c>
      <c r="Q169" s="469">
        <f t="shared" si="110"/>
        <v>0</v>
      </c>
      <c r="R169" s="469">
        <f t="shared" si="111"/>
        <v>0</v>
      </c>
      <c r="S169" s="484">
        <v>0</v>
      </c>
      <c r="T169" s="484">
        <v>0</v>
      </c>
      <c r="U169" s="484">
        <v>0</v>
      </c>
      <c r="V169" s="490">
        <v>0</v>
      </c>
      <c r="W169" s="490">
        <v>0</v>
      </c>
      <c r="X169" s="490">
        <v>0</v>
      </c>
      <c r="Y169" s="470">
        <f t="shared" si="112"/>
        <v>20</v>
      </c>
      <c r="Z169" s="471">
        <f t="shared" si="113"/>
        <v>9.2249999999999999E-2</v>
      </c>
      <c r="AA169" s="471">
        <v>0</v>
      </c>
      <c r="AB169" s="471">
        <v>0</v>
      </c>
      <c r="AC169" s="471">
        <f t="shared" si="114"/>
        <v>2.8920000000000001E-2</v>
      </c>
      <c r="AD169" s="470">
        <f t="shared" si="115"/>
        <v>0</v>
      </c>
      <c r="AE169" s="470">
        <f t="shared" si="116"/>
        <v>0</v>
      </c>
      <c r="AF169" s="470">
        <f t="shared" si="117"/>
        <v>0</v>
      </c>
      <c r="AG169" s="454">
        <f t="shared" si="118"/>
        <v>1293520</v>
      </c>
      <c r="AH169" s="454">
        <f t="shared" si="140"/>
        <v>5088012.03</v>
      </c>
      <c r="AI169" s="421">
        <f t="shared" si="119"/>
        <v>0</v>
      </c>
      <c r="AJ169" s="421">
        <f t="shared" si="120"/>
        <v>0</v>
      </c>
      <c r="AK169" s="421">
        <f t="shared" si="121"/>
        <v>0</v>
      </c>
      <c r="AL169" s="472">
        <v>0</v>
      </c>
      <c r="AM169" s="473">
        <f t="shared" si="138"/>
        <v>0</v>
      </c>
      <c r="AN169" s="474">
        <f t="shared" si="122"/>
        <v>0</v>
      </c>
      <c r="AO169" s="454">
        <f t="shared" si="123"/>
        <v>0</v>
      </c>
      <c r="AP169" s="472">
        <v>10535.55</v>
      </c>
      <c r="AQ169" s="472">
        <v>512.29</v>
      </c>
      <c r="AR169" s="472">
        <v>0</v>
      </c>
      <c r="AS169" s="475">
        <v>0</v>
      </c>
      <c r="AT169" s="475">
        <v>0</v>
      </c>
      <c r="AU169" s="475">
        <v>0</v>
      </c>
      <c r="AV169" s="454">
        <f t="shared" si="124"/>
        <v>6392579.8700000001</v>
      </c>
      <c r="AW169" s="454">
        <f t="shared" si="125"/>
        <v>6392579.8700000001</v>
      </c>
      <c r="AX169" s="455">
        <f t="shared" ref="AX169:AX178" si="141">IF(AND(AV169=0,AW169=0),1,IF(AV169=0,0,AW169/AV169))</f>
        <v>1</v>
      </c>
      <c r="AY169" s="476">
        <f t="shared" si="126"/>
        <v>193332.21</v>
      </c>
      <c r="AZ169" s="476">
        <f t="shared" si="127"/>
        <v>161367.62</v>
      </c>
      <c r="BA169" s="476">
        <f t="shared" si="128"/>
        <v>184377.09999999998</v>
      </c>
      <c r="BB169" s="476">
        <f t="shared" si="129"/>
        <v>0</v>
      </c>
      <c r="BC169" s="476">
        <f t="shared" si="130"/>
        <v>0</v>
      </c>
      <c r="BD169" s="476">
        <f t="shared" si="131"/>
        <v>6931656.7999999998</v>
      </c>
      <c r="BE169" s="477">
        <f t="shared" si="132"/>
        <v>6931656.7999999998</v>
      </c>
      <c r="BF169" s="478">
        <f t="shared" si="133"/>
        <v>0</v>
      </c>
      <c r="BG169" s="479">
        <f t="shared" si="134"/>
        <v>1595071.09</v>
      </c>
      <c r="BH169" s="485">
        <f t="shared" si="101"/>
        <v>3493453.2300000004</v>
      </c>
      <c r="BI169" s="407" t="s">
        <v>692</v>
      </c>
      <c r="BJ169" s="486"/>
      <c r="BK169" s="486"/>
      <c r="BL169" s="486"/>
      <c r="BM169" s="487">
        <f>IF(BR169&gt;BR168,BM168,IF(BM168&lt;MiscData!$F$1,EOMONTH(BM168,1),EOMONTH(BM168,-11)))</f>
        <v>41790</v>
      </c>
      <c r="BN169" s="464" t="str">
        <f t="shared" si="102"/>
        <v>20140101KUCME110</v>
      </c>
      <c r="BO169" s="488" t="str">
        <f t="shared" si="103"/>
        <v>20140101GS</v>
      </c>
      <c r="BP169" s="486">
        <f>IF(BM169&lt;=MiscData!$B$23,MiscData!$C$23,IF(BM169&lt;=MiscData!$B$24,MiscData!$C$24,MiscData!$C$25))</f>
        <v>20140101</v>
      </c>
      <c r="BQ169" s="486" t="str">
        <f>VLOOKUP(BR169,MiscData!$V$4:$W$42,2,FALSE)</f>
        <v>KUCME110</v>
      </c>
      <c r="BR169" s="407">
        <f>IF(BR168=MiscData!$V$42,1,BR168+1)</f>
        <v>10</v>
      </c>
      <c r="BS169" s="489" t="str">
        <f>VLOOKUP(BQ169,MiscData!$W$4:$Y$42,3,FALSE)</f>
        <v>GS</v>
      </c>
    </row>
    <row r="170" spans="1:71" hidden="1">
      <c r="A170" s="463">
        <f t="shared" si="137"/>
        <v>155</v>
      </c>
      <c r="B170" s="464" t="str">
        <f t="shared" si="98"/>
        <v>May 2014</v>
      </c>
      <c r="C170" s="464" t="s">
        <v>224</v>
      </c>
      <c r="D170" s="465" t="str">
        <f t="shared" si="99"/>
        <v>GS</v>
      </c>
      <c r="E170" s="465" t="str">
        <f t="shared" si="100"/>
        <v>KUCME112</v>
      </c>
      <c r="F170" s="466">
        <f t="shared" si="104"/>
        <v>61</v>
      </c>
      <c r="G170" s="467">
        <v>0</v>
      </c>
      <c r="H170" s="466">
        <v>0</v>
      </c>
      <c r="I170" s="466">
        <v>0</v>
      </c>
      <c r="J170" s="466">
        <v>0</v>
      </c>
      <c r="K170" s="466">
        <f t="shared" si="105"/>
        <v>10785</v>
      </c>
      <c r="L170" s="459">
        <v>0</v>
      </c>
      <c r="M170" s="469">
        <f t="shared" si="106"/>
        <v>0</v>
      </c>
      <c r="N170" s="469">
        <f t="shared" si="107"/>
        <v>0</v>
      </c>
      <c r="O170" s="469">
        <f t="shared" si="108"/>
        <v>0</v>
      </c>
      <c r="P170" s="469">
        <f t="shared" si="109"/>
        <v>0</v>
      </c>
      <c r="Q170" s="469">
        <f t="shared" si="110"/>
        <v>0</v>
      </c>
      <c r="R170" s="469">
        <f t="shared" si="111"/>
        <v>0</v>
      </c>
      <c r="S170" s="484">
        <v>0</v>
      </c>
      <c r="T170" s="484">
        <v>0</v>
      </c>
      <c r="U170" s="484">
        <v>0</v>
      </c>
      <c r="V170" s="490">
        <v>0</v>
      </c>
      <c r="W170" s="490">
        <v>0</v>
      </c>
      <c r="X170" s="490">
        <v>0</v>
      </c>
      <c r="Y170" s="470">
        <f t="shared" si="112"/>
        <v>20</v>
      </c>
      <c r="Z170" s="471">
        <f t="shared" si="113"/>
        <v>9.2249999999999999E-2</v>
      </c>
      <c r="AA170" s="471">
        <v>0</v>
      </c>
      <c r="AB170" s="471">
        <v>0</v>
      </c>
      <c r="AC170" s="471">
        <f t="shared" si="114"/>
        <v>2.8920000000000001E-2</v>
      </c>
      <c r="AD170" s="470">
        <f t="shared" si="115"/>
        <v>0</v>
      </c>
      <c r="AE170" s="470">
        <f t="shared" si="116"/>
        <v>0</v>
      </c>
      <c r="AF170" s="470">
        <f t="shared" si="117"/>
        <v>0</v>
      </c>
      <c r="AG170" s="454">
        <f t="shared" si="118"/>
        <v>1220</v>
      </c>
      <c r="AH170" s="454">
        <f t="shared" si="140"/>
        <v>994.92</v>
      </c>
      <c r="AI170" s="421">
        <f t="shared" si="119"/>
        <v>0</v>
      </c>
      <c r="AJ170" s="421">
        <f t="shared" si="120"/>
        <v>0</v>
      </c>
      <c r="AK170" s="421">
        <f t="shared" si="121"/>
        <v>0</v>
      </c>
      <c r="AL170" s="472">
        <v>0</v>
      </c>
      <c r="AM170" s="473">
        <f t="shared" si="138"/>
        <v>0</v>
      </c>
      <c r="AN170" s="474">
        <f t="shared" si="122"/>
        <v>0</v>
      </c>
      <c r="AO170" s="454">
        <f t="shared" si="123"/>
        <v>0</v>
      </c>
      <c r="AP170" s="472">
        <v>0</v>
      </c>
      <c r="AQ170" s="472">
        <v>0.02</v>
      </c>
      <c r="AR170" s="472">
        <v>0</v>
      </c>
      <c r="AS170" s="475">
        <v>0</v>
      </c>
      <c r="AT170" s="475">
        <v>0</v>
      </c>
      <c r="AU170" s="475">
        <v>0</v>
      </c>
      <c r="AV170" s="454">
        <f t="shared" si="124"/>
        <v>2214.94</v>
      </c>
      <c r="AW170" s="454">
        <f t="shared" si="125"/>
        <v>2214.94</v>
      </c>
      <c r="AX170" s="455">
        <f t="shared" si="141"/>
        <v>1</v>
      </c>
      <c r="AY170" s="476">
        <f t="shared" si="126"/>
        <v>36.01</v>
      </c>
      <c r="AZ170" s="476">
        <f t="shared" si="127"/>
        <v>32.39</v>
      </c>
      <c r="BA170" s="476">
        <f t="shared" si="128"/>
        <v>69.27</v>
      </c>
      <c r="BB170" s="476">
        <f t="shared" si="129"/>
        <v>0</v>
      </c>
      <c r="BC170" s="476">
        <f t="shared" si="130"/>
        <v>0</v>
      </c>
      <c r="BD170" s="476">
        <f t="shared" si="131"/>
        <v>2352.61</v>
      </c>
      <c r="BE170" s="477">
        <f t="shared" si="132"/>
        <v>2352.61</v>
      </c>
      <c r="BF170" s="478">
        <f t="shared" si="133"/>
        <v>0</v>
      </c>
      <c r="BG170" s="479">
        <f t="shared" si="134"/>
        <v>311.89999999999998</v>
      </c>
      <c r="BH170" s="485">
        <f t="shared" si="101"/>
        <v>683.04</v>
      </c>
      <c r="BI170" s="407" t="s">
        <v>692</v>
      </c>
      <c r="BJ170" s="486"/>
      <c r="BK170" s="486"/>
      <c r="BL170" s="486"/>
      <c r="BM170" s="487">
        <f>IF(BR170&gt;BR169,BM169,IF(BM169&lt;MiscData!$F$1,EOMONTH(BM169,1),EOMONTH(BM169,-11)))</f>
        <v>41790</v>
      </c>
      <c r="BN170" s="464" t="str">
        <f t="shared" si="102"/>
        <v>20140101KUCME112</v>
      </c>
      <c r="BO170" s="488" t="str">
        <f t="shared" si="103"/>
        <v>20140101GS</v>
      </c>
      <c r="BP170" s="486">
        <f>IF(BM170&lt;=MiscData!$B$23,MiscData!$C$23,IF(BM170&lt;=MiscData!$B$24,MiscData!$C$24,MiscData!$C$25))</f>
        <v>20140101</v>
      </c>
      <c r="BQ170" s="486" t="str">
        <f>VLOOKUP(BR170,MiscData!$V$4:$W$42,2,FALSE)</f>
        <v>KUCME112</v>
      </c>
      <c r="BR170" s="407">
        <f>IF(BR169=MiscData!$V$42,1,BR169+1)</f>
        <v>11</v>
      </c>
      <c r="BS170" s="489" t="str">
        <f>VLOOKUP(BQ170,MiscData!$W$4:$Y$42,3,FALSE)</f>
        <v>GS</v>
      </c>
    </row>
    <row r="171" spans="1:71" hidden="1">
      <c r="A171" s="463">
        <f t="shared" si="137"/>
        <v>156</v>
      </c>
      <c r="B171" s="464" t="str">
        <f t="shared" si="98"/>
        <v>May 2014</v>
      </c>
      <c r="C171" s="464" t="s">
        <v>18</v>
      </c>
      <c r="D171" s="465" t="str">
        <f t="shared" si="99"/>
        <v>GS3</v>
      </c>
      <c r="E171" s="465" t="str">
        <f t="shared" si="100"/>
        <v>KUCME113</v>
      </c>
      <c r="F171" s="466">
        <f t="shared" si="104"/>
        <v>17119</v>
      </c>
      <c r="G171" s="467">
        <v>0</v>
      </c>
      <c r="H171" s="466">
        <v>0</v>
      </c>
      <c r="I171" s="466">
        <v>0</v>
      </c>
      <c r="J171" s="466">
        <v>0</v>
      </c>
      <c r="K171" s="466">
        <f t="shared" si="105"/>
        <v>77641848</v>
      </c>
      <c r="L171" s="459">
        <v>0</v>
      </c>
      <c r="M171" s="469">
        <f t="shared" si="106"/>
        <v>352432.9</v>
      </c>
      <c r="N171" s="469">
        <f t="shared" si="107"/>
        <v>0</v>
      </c>
      <c r="O171" s="469">
        <f t="shared" si="108"/>
        <v>0</v>
      </c>
      <c r="P171" s="469">
        <f t="shared" si="109"/>
        <v>0</v>
      </c>
      <c r="Q171" s="469">
        <f t="shared" si="110"/>
        <v>0</v>
      </c>
      <c r="R171" s="469">
        <f t="shared" si="111"/>
        <v>0</v>
      </c>
      <c r="S171" s="484">
        <v>0</v>
      </c>
      <c r="T171" s="484">
        <v>0</v>
      </c>
      <c r="U171" s="484">
        <v>0</v>
      </c>
      <c r="V171" s="490">
        <v>0</v>
      </c>
      <c r="W171" s="490">
        <v>0</v>
      </c>
      <c r="X171" s="490">
        <v>0</v>
      </c>
      <c r="Y171" s="470">
        <f t="shared" si="112"/>
        <v>35</v>
      </c>
      <c r="Z171" s="471">
        <f t="shared" si="113"/>
        <v>9.2249999999999999E-2</v>
      </c>
      <c r="AA171" s="471">
        <v>0</v>
      </c>
      <c r="AB171" s="471">
        <v>0</v>
      </c>
      <c r="AC171" s="471">
        <f t="shared" si="114"/>
        <v>2.8920000000000001E-2</v>
      </c>
      <c r="AD171" s="470">
        <f t="shared" si="115"/>
        <v>0</v>
      </c>
      <c r="AE171" s="470">
        <f t="shared" si="116"/>
        <v>0</v>
      </c>
      <c r="AF171" s="470">
        <f t="shared" si="117"/>
        <v>0</v>
      </c>
      <c r="AG171" s="454">
        <f t="shared" si="118"/>
        <v>599165</v>
      </c>
      <c r="AH171" s="454">
        <f t="shared" si="140"/>
        <v>7162460.4800000004</v>
      </c>
      <c r="AI171" s="421">
        <f t="shared" si="119"/>
        <v>0</v>
      </c>
      <c r="AJ171" s="421">
        <f t="shared" si="120"/>
        <v>0</v>
      </c>
      <c r="AK171" s="421">
        <f t="shared" si="121"/>
        <v>0</v>
      </c>
      <c r="AL171" s="472">
        <v>0</v>
      </c>
      <c r="AM171" s="473">
        <f t="shared" si="138"/>
        <v>0</v>
      </c>
      <c r="AN171" s="474">
        <f t="shared" si="122"/>
        <v>0</v>
      </c>
      <c r="AO171" s="454">
        <f t="shared" si="123"/>
        <v>0</v>
      </c>
      <c r="AP171" s="472">
        <v>-404.72</v>
      </c>
      <c r="AQ171" s="472">
        <v>-6.87</v>
      </c>
      <c r="AR171" s="472">
        <v>0</v>
      </c>
      <c r="AS171" s="475">
        <v>0</v>
      </c>
      <c r="AT171" s="475">
        <v>0</v>
      </c>
      <c r="AU171" s="475">
        <v>0</v>
      </c>
      <c r="AV171" s="454">
        <f t="shared" si="124"/>
        <v>7761213.8900000006</v>
      </c>
      <c r="AW171" s="454">
        <f t="shared" si="125"/>
        <v>7761213.8900000006</v>
      </c>
      <c r="AX171" s="455">
        <f t="shared" si="141"/>
        <v>1</v>
      </c>
      <c r="AY171" s="476">
        <f t="shared" si="126"/>
        <v>272025.24</v>
      </c>
      <c r="AZ171" s="476">
        <f t="shared" si="127"/>
        <v>215386.72</v>
      </c>
      <c r="BA171" s="476">
        <f t="shared" si="128"/>
        <v>213387.63</v>
      </c>
      <c r="BB171" s="476">
        <f t="shared" si="129"/>
        <v>0</v>
      </c>
      <c r="BC171" s="476">
        <f t="shared" si="130"/>
        <v>0</v>
      </c>
      <c r="BD171" s="476">
        <f t="shared" si="131"/>
        <v>8462013.4800000004</v>
      </c>
      <c r="BE171" s="477">
        <f t="shared" si="132"/>
        <v>8462013.4800000004</v>
      </c>
      <c r="BF171" s="478">
        <f t="shared" si="133"/>
        <v>0</v>
      </c>
      <c r="BG171" s="479">
        <f t="shared" si="134"/>
        <v>2245402.2400000002</v>
      </c>
      <c r="BH171" s="485">
        <f t="shared" si="101"/>
        <v>4917051.37</v>
      </c>
      <c r="BI171" s="407" t="s">
        <v>692</v>
      </c>
      <c r="BJ171" s="486"/>
      <c r="BK171" s="486"/>
      <c r="BL171" s="486"/>
      <c r="BM171" s="487">
        <f>IF(BR171&gt;BR170,BM170,IF(BM170&lt;MiscData!$F$1,EOMONTH(BM170,1),EOMONTH(BM170,-11)))</f>
        <v>41790</v>
      </c>
      <c r="BN171" s="464" t="str">
        <f t="shared" si="102"/>
        <v>20140101KUCME113</v>
      </c>
      <c r="BO171" s="488" t="str">
        <f t="shared" si="103"/>
        <v>20140101GS3</v>
      </c>
      <c r="BP171" s="486">
        <f>IF(BM171&lt;=MiscData!$B$23,MiscData!$C$23,IF(BM171&lt;=MiscData!$B$24,MiscData!$C$24,MiscData!$C$25))</f>
        <v>20140101</v>
      </c>
      <c r="BQ171" s="486" t="str">
        <f>VLOOKUP(BR171,MiscData!$V$4:$W$42,2,FALSE)</f>
        <v>KUCME113</v>
      </c>
      <c r="BR171" s="407">
        <f>IF(BR170=MiscData!$V$42,1,BR170+1)</f>
        <v>12</v>
      </c>
      <c r="BS171" s="489" t="str">
        <f>VLOOKUP(BQ171,MiscData!$W$4:$Y$42,3,FALSE)</f>
        <v>GS3</v>
      </c>
    </row>
    <row r="172" spans="1:71" hidden="1">
      <c r="A172" s="463">
        <f t="shared" si="137"/>
        <v>157</v>
      </c>
      <c r="B172" s="464" t="str">
        <f t="shared" si="98"/>
        <v>May 2014</v>
      </c>
      <c r="C172" s="464" t="s">
        <v>219</v>
      </c>
      <c r="D172" s="465" t="str">
        <f t="shared" si="99"/>
        <v>AES</v>
      </c>
      <c r="E172" s="465" t="str">
        <f t="shared" si="100"/>
        <v>KUCME220</v>
      </c>
      <c r="F172" s="466">
        <f t="shared" si="104"/>
        <v>333</v>
      </c>
      <c r="G172" s="467">
        <v>0</v>
      </c>
      <c r="H172" s="466">
        <v>0</v>
      </c>
      <c r="I172" s="466">
        <v>0</v>
      </c>
      <c r="J172" s="466">
        <v>0</v>
      </c>
      <c r="K172" s="466">
        <f t="shared" si="105"/>
        <v>428919</v>
      </c>
      <c r="L172" s="459">
        <v>0</v>
      </c>
      <c r="M172" s="469">
        <f t="shared" si="106"/>
        <v>2580.1999999999998</v>
      </c>
      <c r="N172" s="469">
        <f t="shared" si="107"/>
        <v>0</v>
      </c>
      <c r="O172" s="469">
        <f t="shared" si="108"/>
        <v>0</v>
      </c>
      <c r="P172" s="469">
        <f t="shared" si="109"/>
        <v>0</v>
      </c>
      <c r="Q172" s="469">
        <f t="shared" si="110"/>
        <v>0</v>
      </c>
      <c r="R172" s="469">
        <f t="shared" si="111"/>
        <v>0</v>
      </c>
      <c r="S172" s="484">
        <v>0</v>
      </c>
      <c r="T172" s="484">
        <v>0</v>
      </c>
      <c r="U172" s="484">
        <v>0</v>
      </c>
      <c r="V172" s="490">
        <v>0</v>
      </c>
      <c r="W172" s="490">
        <v>0</v>
      </c>
      <c r="X172" s="490">
        <v>0</v>
      </c>
      <c r="Y172" s="470">
        <f t="shared" si="112"/>
        <v>20</v>
      </c>
      <c r="Z172" s="471">
        <f t="shared" si="113"/>
        <v>7.4399999999999994E-2</v>
      </c>
      <c r="AA172" s="471">
        <v>0</v>
      </c>
      <c r="AB172" s="471">
        <v>0</v>
      </c>
      <c r="AC172" s="471">
        <f t="shared" si="114"/>
        <v>2.8920000000000001E-2</v>
      </c>
      <c r="AD172" s="470">
        <f t="shared" si="115"/>
        <v>0</v>
      </c>
      <c r="AE172" s="470">
        <f t="shared" si="116"/>
        <v>0</v>
      </c>
      <c r="AF172" s="470">
        <f t="shared" si="117"/>
        <v>0</v>
      </c>
      <c r="AG172" s="454">
        <f t="shared" si="118"/>
        <v>6660</v>
      </c>
      <c r="AH172" s="454">
        <f t="shared" si="140"/>
        <v>31911.57</v>
      </c>
      <c r="AI172" s="421">
        <f t="shared" si="119"/>
        <v>0</v>
      </c>
      <c r="AJ172" s="421">
        <f t="shared" si="120"/>
        <v>0</v>
      </c>
      <c r="AK172" s="421">
        <f t="shared" si="121"/>
        <v>0</v>
      </c>
      <c r="AL172" s="472">
        <v>0</v>
      </c>
      <c r="AM172" s="473">
        <f t="shared" si="138"/>
        <v>0</v>
      </c>
      <c r="AN172" s="474">
        <f t="shared" si="122"/>
        <v>0</v>
      </c>
      <c r="AO172" s="454">
        <f t="shared" si="123"/>
        <v>0</v>
      </c>
      <c r="AP172" s="472">
        <v>6</v>
      </c>
      <c r="AQ172" s="472">
        <v>0.02</v>
      </c>
      <c r="AR172" s="472">
        <v>0</v>
      </c>
      <c r="AS172" s="475">
        <v>0</v>
      </c>
      <c r="AT172" s="475">
        <v>0</v>
      </c>
      <c r="AU172" s="475">
        <v>0</v>
      </c>
      <c r="AV172" s="454">
        <f t="shared" si="124"/>
        <v>38577.589999999997</v>
      </c>
      <c r="AW172" s="454">
        <f t="shared" si="125"/>
        <v>38577.590000000004</v>
      </c>
      <c r="AX172" s="455">
        <f t="shared" si="141"/>
        <v>1.0000000000000002</v>
      </c>
      <c r="AY172" s="476">
        <f t="shared" si="126"/>
        <v>1354.62</v>
      </c>
      <c r="AZ172" s="476">
        <f t="shared" si="127"/>
        <v>527.57000000000005</v>
      </c>
      <c r="BA172" s="476">
        <f t="shared" si="128"/>
        <v>782.23</v>
      </c>
      <c r="BB172" s="476">
        <f t="shared" si="129"/>
        <v>0</v>
      </c>
      <c r="BC172" s="476">
        <f t="shared" si="130"/>
        <v>0</v>
      </c>
      <c r="BD172" s="476">
        <f t="shared" si="131"/>
        <v>41242.01</v>
      </c>
      <c r="BE172" s="477">
        <f t="shared" si="132"/>
        <v>41242.01</v>
      </c>
      <c r="BF172" s="478">
        <f t="shared" si="133"/>
        <v>0</v>
      </c>
      <c r="BG172" s="479">
        <f t="shared" si="134"/>
        <v>12404.34</v>
      </c>
      <c r="BH172" s="485">
        <f t="shared" si="101"/>
        <v>19507.25</v>
      </c>
      <c r="BI172" s="407" t="s">
        <v>692</v>
      </c>
      <c r="BJ172" s="486"/>
      <c r="BK172" s="486"/>
      <c r="BL172" s="486"/>
      <c r="BM172" s="487">
        <f>IF(BR172&gt;BR171,BM171,IF(BM171&lt;MiscData!$F$1,EOMONTH(BM171,1),EOMONTH(BM171,-11)))</f>
        <v>41790</v>
      </c>
      <c r="BN172" s="464" t="str">
        <f t="shared" si="102"/>
        <v>20140101KUCME220</v>
      </c>
      <c r="BO172" s="488" t="str">
        <f t="shared" si="103"/>
        <v>20140101AES</v>
      </c>
      <c r="BP172" s="486">
        <f>IF(BM172&lt;=MiscData!$B$23,MiscData!$C$23,IF(BM172&lt;=MiscData!$B$24,MiscData!$C$24,MiscData!$C$25))</f>
        <v>20140101</v>
      </c>
      <c r="BQ172" s="486" t="str">
        <f>VLOOKUP(BR172,MiscData!$V$4:$W$42,2,FALSE)</f>
        <v>KUCME220</v>
      </c>
      <c r="BR172" s="407">
        <f>IF(BR171=MiscData!$V$42,1,BR171+1)</f>
        <v>13</v>
      </c>
      <c r="BS172" s="489" t="str">
        <f>VLOOKUP(BQ172,MiscData!$W$4:$Y$42,3,FALSE)</f>
        <v>AES</v>
      </c>
    </row>
    <row r="173" spans="1:71" hidden="1">
      <c r="A173" s="463">
        <f t="shared" si="137"/>
        <v>158</v>
      </c>
      <c r="B173" s="464" t="str">
        <f t="shared" si="98"/>
        <v>May 2014</v>
      </c>
      <c r="C173" s="464" t="s">
        <v>219</v>
      </c>
      <c r="D173" s="465" t="str">
        <f t="shared" si="99"/>
        <v>AES</v>
      </c>
      <c r="E173" s="465" t="str">
        <f t="shared" si="100"/>
        <v>KUCME221</v>
      </c>
      <c r="F173" s="466">
        <f t="shared" si="104"/>
        <v>6</v>
      </c>
      <c r="G173" s="467">
        <v>1</v>
      </c>
      <c r="H173" s="466">
        <v>0</v>
      </c>
      <c r="I173" s="466">
        <v>0</v>
      </c>
      <c r="J173" s="466">
        <v>0</v>
      </c>
      <c r="K173" s="466">
        <f t="shared" si="105"/>
        <v>900</v>
      </c>
      <c r="L173" s="459">
        <v>0</v>
      </c>
      <c r="M173" s="469">
        <f t="shared" si="106"/>
        <v>103.4</v>
      </c>
      <c r="N173" s="469">
        <f t="shared" si="107"/>
        <v>0</v>
      </c>
      <c r="O173" s="469">
        <f t="shared" si="108"/>
        <v>0</v>
      </c>
      <c r="P173" s="469">
        <f t="shared" si="109"/>
        <v>0</v>
      </c>
      <c r="Q173" s="469">
        <f t="shared" si="110"/>
        <v>0</v>
      </c>
      <c r="R173" s="469">
        <f t="shared" si="111"/>
        <v>0</v>
      </c>
      <c r="S173" s="484">
        <v>0</v>
      </c>
      <c r="T173" s="484">
        <v>0</v>
      </c>
      <c r="U173" s="484">
        <v>0</v>
      </c>
      <c r="V173" s="490">
        <v>0</v>
      </c>
      <c r="W173" s="490">
        <v>0</v>
      </c>
      <c r="X173" s="490">
        <v>0</v>
      </c>
      <c r="Y173" s="470">
        <f t="shared" si="112"/>
        <v>20</v>
      </c>
      <c r="Z173" s="471">
        <f t="shared" si="113"/>
        <v>7.4399999999999994E-2</v>
      </c>
      <c r="AA173" s="471">
        <v>0</v>
      </c>
      <c r="AB173" s="471">
        <v>0</v>
      </c>
      <c r="AC173" s="471">
        <f t="shared" si="114"/>
        <v>2.8920000000000001E-2</v>
      </c>
      <c r="AD173" s="470">
        <f t="shared" si="115"/>
        <v>0</v>
      </c>
      <c r="AE173" s="470">
        <f t="shared" si="116"/>
        <v>0</v>
      </c>
      <c r="AF173" s="470">
        <f t="shared" si="117"/>
        <v>0</v>
      </c>
      <c r="AG173" s="454">
        <f t="shared" si="118"/>
        <v>140</v>
      </c>
      <c r="AH173" s="454">
        <f t="shared" si="140"/>
        <v>66.959999999999994</v>
      </c>
      <c r="AI173" s="421">
        <f t="shared" si="119"/>
        <v>0</v>
      </c>
      <c r="AJ173" s="421">
        <f t="shared" si="120"/>
        <v>0</v>
      </c>
      <c r="AK173" s="421">
        <f t="shared" si="121"/>
        <v>0</v>
      </c>
      <c r="AL173" s="472">
        <v>0</v>
      </c>
      <c r="AM173" s="473">
        <f t="shared" si="138"/>
        <v>0</v>
      </c>
      <c r="AN173" s="474">
        <f t="shared" si="122"/>
        <v>0</v>
      </c>
      <c r="AO173" s="454">
        <f t="shared" si="123"/>
        <v>0</v>
      </c>
      <c r="AP173" s="472">
        <v>0</v>
      </c>
      <c r="AQ173" s="472">
        <v>0</v>
      </c>
      <c r="AR173" s="472">
        <v>0</v>
      </c>
      <c r="AS173" s="475">
        <v>0</v>
      </c>
      <c r="AT173" s="475">
        <v>0</v>
      </c>
      <c r="AU173" s="475">
        <v>0</v>
      </c>
      <c r="AV173" s="454">
        <f t="shared" si="124"/>
        <v>206.95999999999998</v>
      </c>
      <c r="AW173" s="454">
        <f t="shared" si="125"/>
        <v>206.96</v>
      </c>
      <c r="AX173" s="455">
        <f t="shared" si="141"/>
        <v>1.0000000000000002</v>
      </c>
      <c r="AY173" s="476">
        <f t="shared" si="126"/>
        <v>3.21</v>
      </c>
      <c r="AZ173" s="476">
        <f t="shared" si="127"/>
        <v>1.1100000000000001</v>
      </c>
      <c r="BA173" s="476">
        <f t="shared" si="128"/>
        <v>4.24</v>
      </c>
      <c r="BB173" s="476">
        <f t="shared" si="129"/>
        <v>0</v>
      </c>
      <c r="BC173" s="476">
        <f t="shared" si="130"/>
        <v>0</v>
      </c>
      <c r="BD173" s="476">
        <f t="shared" si="131"/>
        <v>215.52</v>
      </c>
      <c r="BE173" s="477">
        <f t="shared" si="132"/>
        <v>215.52</v>
      </c>
      <c r="BF173" s="478">
        <f t="shared" si="133"/>
        <v>0</v>
      </c>
      <c r="BG173" s="479">
        <f t="shared" si="134"/>
        <v>26.03</v>
      </c>
      <c r="BH173" s="485">
        <f t="shared" si="101"/>
        <v>40.929999999999993</v>
      </c>
      <c r="BI173" s="407" t="s">
        <v>692</v>
      </c>
      <c r="BJ173" s="486"/>
      <c r="BK173" s="486"/>
      <c r="BL173" s="486"/>
      <c r="BM173" s="487">
        <f>IF(BR173&gt;BR172,BM172,IF(BM172&lt;MiscData!$F$1,EOMONTH(BM172,1),EOMONTH(BM172,-11)))</f>
        <v>41790</v>
      </c>
      <c r="BN173" s="464" t="str">
        <f t="shared" si="102"/>
        <v>20140101KUCME221</v>
      </c>
      <c r="BO173" s="488" t="str">
        <f t="shared" si="103"/>
        <v>20140101AES</v>
      </c>
      <c r="BP173" s="486">
        <f>IF(BM173&lt;=MiscData!$B$23,MiscData!$C$23,IF(BM173&lt;=MiscData!$B$24,MiscData!$C$24,MiscData!$C$25))</f>
        <v>20140101</v>
      </c>
      <c r="BQ173" s="486" t="str">
        <f>VLOOKUP(BR173,MiscData!$V$4:$W$42,2,FALSE)</f>
        <v>KUCME221</v>
      </c>
      <c r="BR173" s="407">
        <f>IF(BR172=MiscData!$V$42,1,BR172+1)</f>
        <v>14</v>
      </c>
      <c r="BS173" s="489" t="str">
        <f>VLOOKUP(BQ173,MiscData!$W$4:$Y$42,3,FALSE)</f>
        <v>AES</v>
      </c>
    </row>
    <row r="174" spans="1:71" hidden="1">
      <c r="A174" s="463">
        <f t="shared" si="137"/>
        <v>159</v>
      </c>
      <c r="B174" s="464" t="str">
        <f t="shared" si="98"/>
        <v>May 2014</v>
      </c>
      <c r="C174" s="837" t="s">
        <v>228</v>
      </c>
      <c r="D174" s="465" t="str">
        <f t="shared" si="99"/>
        <v>AES3</v>
      </c>
      <c r="E174" s="465" t="str">
        <f t="shared" si="100"/>
        <v>KUCME223</v>
      </c>
      <c r="F174" s="466">
        <f t="shared" si="104"/>
        <v>67</v>
      </c>
      <c r="G174" s="467">
        <v>0</v>
      </c>
      <c r="H174" s="466">
        <v>0</v>
      </c>
      <c r="I174" s="466">
        <v>0</v>
      </c>
      <c r="J174" s="466">
        <v>0</v>
      </c>
      <c r="K174" s="466">
        <f t="shared" si="105"/>
        <v>353566</v>
      </c>
      <c r="L174" s="459">
        <v>0</v>
      </c>
      <c r="M174" s="469">
        <f t="shared" si="106"/>
        <v>3228.6</v>
      </c>
      <c r="N174" s="469">
        <f t="shared" si="107"/>
        <v>0</v>
      </c>
      <c r="O174" s="469">
        <f t="shared" si="108"/>
        <v>0</v>
      </c>
      <c r="P174" s="469">
        <f t="shared" si="109"/>
        <v>0</v>
      </c>
      <c r="Q174" s="469">
        <f t="shared" si="110"/>
        <v>0</v>
      </c>
      <c r="R174" s="469">
        <f t="shared" si="111"/>
        <v>0</v>
      </c>
      <c r="S174" s="484">
        <v>0</v>
      </c>
      <c r="T174" s="484">
        <v>0</v>
      </c>
      <c r="U174" s="484">
        <v>0</v>
      </c>
      <c r="V174" s="490">
        <v>0</v>
      </c>
      <c r="W174" s="490">
        <v>0</v>
      </c>
      <c r="X174" s="490">
        <v>0</v>
      </c>
      <c r="Y174" s="470">
        <f t="shared" si="112"/>
        <v>35</v>
      </c>
      <c r="Z174" s="471">
        <f t="shared" si="113"/>
        <v>7.4399999999999994E-2</v>
      </c>
      <c r="AA174" s="471">
        <v>0</v>
      </c>
      <c r="AB174" s="471">
        <v>0</v>
      </c>
      <c r="AC174" s="471">
        <f t="shared" si="114"/>
        <v>2.8920000000000001E-2</v>
      </c>
      <c r="AD174" s="470">
        <f t="shared" si="115"/>
        <v>0</v>
      </c>
      <c r="AE174" s="470">
        <f t="shared" si="116"/>
        <v>0</v>
      </c>
      <c r="AF174" s="470">
        <f t="shared" si="117"/>
        <v>0</v>
      </c>
      <c r="AG174" s="454">
        <f t="shared" si="118"/>
        <v>2345</v>
      </c>
      <c r="AH174" s="454">
        <f t="shared" si="140"/>
        <v>26305.31</v>
      </c>
      <c r="AI174" s="421">
        <f t="shared" si="119"/>
        <v>0</v>
      </c>
      <c r="AJ174" s="421">
        <f t="shared" si="120"/>
        <v>0</v>
      </c>
      <c r="AK174" s="421">
        <f t="shared" si="121"/>
        <v>0</v>
      </c>
      <c r="AL174" s="472">
        <v>0</v>
      </c>
      <c r="AM174" s="473">
        <f t="shared" si="138"/>
        <v>0</v>
      </c>
      <c r="AN174" s="474">
        <f t="shared" si="122"/>
        <v>0</v>
      </c>
      <c r="AO174" s="454">
        <f t="shared" si="123"/>
        <v>0</v>
      </c>
      <c r="AP174" s="472">
        <v>0</v>
      </c>
      <c r="AQ174" s="472">
        <v>-0.03</v>
      </c>
      <c r="AR174" s="472">
        <v>0</v>
      </c>
      <c r="AS174" s="475">
        <v>0</v>
      </c>
      <c r="AT174" s="475">
        <v>0</v>
      </c>
      <c r="AU174" s="475">
        <v>0</v>
      </c>
      <c r="AV174" s="454">
        <f t="shared" si="124"/>
        <v>28650.280000000002</v>
      </c>
      <c r="AW174" s="454">
        <f t="shared" si="125"/>
        <v>28650.28</v>
      </c>
      <c r="AX174" s="455">
        <f t="shared" si="141"/>
        <v>0.99999999999999989</v>
      </c>
      <c r="AY174" s="476">
        <f t="shared" si="126"/>
        <v>1232.3800000000001</v>
      </c>
      <c r="AZ174" s="476">
        <f t="shared" si="127"/>
        <v>434.89</v>
      </c>
      <c r="BA174" s="476">
        <f t="shared" si="128"/>
        <v>646.05999999999995</v>
      </c>
      <c r="BB174" s="476">
        <f t="shared" si="129"/>
        <v>0</v>
      </c>
      <c r="BC174" s="476">
        <f t="shared" si="130"/>
        <v>0</v>
      </c>
      <c r="BD174" s="476">
        <f t="shared" si="131"/>
        <v>30963.61</v>
      </c>
      <c r="BE174" s="477">
        <f t="shared" si="132"/>
        <v>30963.610000000004</v>
      </c>
      <c r="BF174" s="478">
        <f t="shared" si="133"/>
        <v>0</v>
      </c>
      <c r="BG174" s="479">
        <f t="shared" si="134"/>
        <v>10225.129999999999</v>
      </c>
      <c r="BH174" s="485">
        <f t="shared" si="101"/>
        <v>16080.150000000003</v>
      </c>
      <c r="BI174" s="407" t="s">
        <v>692</v>
      </c>
      <c r="BJ174" s="486"/>
      <c r="BK174" s="486"/>
      <c r="BL174" s="486"/>
      <c r="BM174" s="487">
        <f>IF(BR174&gt;BR173,BM173,IF(BM173&lt;MiscData!$F$1,EOMONTH(BM173,1),EOMONTH(BM173,-11)))</f>
        <v>41790</v>
      </c>
      <c r="BN174" s="464" t="str">
        <f t="shared" si="102"/>
        <v>20140101KUCME223</v>
      </c>
      <c r="BO174" s="488" t="str">
        <f t="shared" si="103"/>
        <v>20140101AES3</v>
      </c>
      <c r="BP174" s="486">
        <f>IF(BM174&lt;=MiscData!$B$23,MiscData!$C$23,IF(BM174&lt;=MiscData!$B$24,MiscData!$C$24,MiscData!$C$25))</f>
        <v>20140101</v>
      </c>
      <c r="BQ174" s="486" t="str">
        <f>VLOOKUP(BR174,MiscData!$V$4:$W$42,2,FALSE)</f>
        <v>KUCME223</v>
      </c>
      <c r="BR174" s="407">
        <f>IF(BR173=MiscData!$V$42,1,BR173+1)</f>
        <v>15</v>
      </c>
      <c r="BS174" s="489" t="str">
        <f>VLOOKUP(BQ174,MiscData!$W$4:$Y$42,3,FALSE)</f>
        <v>AES3</v>
      </c>
    </row>
    <row r="175" spans="1:71" hidden="1">
      <c r="A175" s="463">
        <f t="shared" si="137"/>
        <v>160</v>
      </c>
      <c r="B175" s="464" t="str">
        <f t="shared" si="98"/>
        <v>May 2014</v>
      </c>
      <c r="C175" s="837" t="s">
        <v>228</v>
      </c>
      <c r="D175" s="465" t="str">
        <f t="shared" si="99"/>
        <v>AES3</v>
      </c>
      <c r="E175" s="465" t="str">
        <f t="shared" si="100"/>
        <v>KUCME224</v>
      </c>
      <c r="F175" s="466">
        <f t="shared" si="104"/>
        <v>4</v>
      </c>
      <c r="G175" s="467">
        <v>0</v>
      </c>
      <c r="H175" s="466">
        <v>0</v>
      </c>
      <c r="I175" s="466">
        <v>0</v>
      </c>
      <c r="J175" s="466">
        <v>0</v>
      </c>
      <c r="K175" s="466">
        <f t="shared" si="105"/>
        <v>244540</v>
      </c>
      <c r="L175" s="459">
        <v>0</v>
      </c>
      <c r="M175" s="469">
        <f t="shared" si="106"/>
        <v>938.3</v>
      </c>
      <c r="N175" s="469">
        <f t="shared" si="107"/>
        <v>0</v>
      </c>
      <c r="O175" s="469">
        <f t="shared" si="108"/>
        <v>0</v>
      </c>
      <c r="P175" s="469">
        <f t="shared" si="109"/>
        <v>0</v>
      </c>
      <c r="Q175" s="469">
        <f t="shared" si="110"/>
        <v>0</v>
      </c>
      <c r="R175" s="469">
        <f t="shared" si="111"/>
        <v>0</v>
      </c>
      <c r="S175" s="484">
        <v>0</v>
      </c>
      <c r="T175" s="484">
        <v>0</v>
      </c>
      <c r="U175" s="484">
        <v>0</v>
      </c>
      <c r="V175" s="490">
        <v>0</v>
      </c>
      <c r="W175" s="490">
        <v>0</v>
      </c>
      <c r="X175" s="490">
        <v>0</v>
      </c>
      <c r="Y175" s="470">
        <f t="shared" si="112"/>
        <v>35</v>
      </c>
      <c r="Z175" s="471">
        <f t="shared" si="113"/>
        <v>7.4399999999999994E-2</v>
      </c>
      <c r="AA175" s="471">
        <v>0</v>
      </c>
      <c r="AB175" s="471">
        <v>0</v>
      </c>
      <c r="AC175" s="471">
        <f t="shared" si="114"/>
        <v>2.8920000000000001E-2</v>
      </c>
      <c r="AD175" s="470">
        <f t="shared" si="115"/>
        <v>0</v>
      </c>
      <c r="AE175" s="470">
        <f t="shared" si="116"/>
        <v>0</v>
      </c>
      <c r="AF175" s="470">
        <f t="shared" si="117"/>
        <v>0</v>
      </c>
      <c r="AG175" s="454">
        <f t="shared" si="118"/>
        <v>140</v>
      </c>
      <c r="AH175" s="454">
        <f t="shared" si="140"/>
        <v>18193.78</v>
      </c>
      <c r="AI175" s="421">
        <f t="shared" si="119"/>
        <v>0</v>
      </c>
      <c r="AJ175" s="421">
        <f t="shared" si="120"/>
        <v>0</v>
      </c>
      <c r="AK175" s="421">
        <f t="shared" si="121"/>
        <v>0</v>
      </c>
      <c r="AL175" s="472">
        <v>0</v>
      </c>
      <c r="AM175" s="473">
        <f t="shared" si="138"/>
        <v>0</v>
      </c>
      <c r="AN175" s="474">
        <f t="shared" si="122"/>
        <v>0</v>
      </c>
      <c r="AO175" s="454">
        <f t="shared" si="123"/>
        <v>0</v>
      </c>
      <c r="AP175" s="472">
        <v>0</v>
      </c>
      <c r="AQ175" s="472">
        <v>-0.01</v>
      </c>
      <c r="AR175" s="472">
        <v>0</v>
      </c>
      <c r="AS175" s="475">
        <v>0</v>
      </c>
      <c r="AT175" s="475">
        <v>0</v>
      </c>
      <c r="AU175" s="475">
        <v>0</v>
      </c>
      <c r="AV175" s="454">
        <f t="shared" si="124"/>
        <v>18333.77</v>
      </c>
      <c r="AW175" s="454">
        <f t="shared" si="125"/>
        <v>18333.77</v>
      </c>
      <c r="AX175" s="455">
        <f t="shared" si="141"/>
        <v>1</v>
      </c>
      <c r="AY175" s="476">
        <f t="shared" si="126"/>
        <v>747.29</v>
      </c>
      <c r="AZ175" s="476">
        <f t="shared" si="127"/>
        <v>300.77999999999997</v>
      </c>
      <c r="BA175" s="476">
        <f t="shared" si="128"/>
        <v>358.74</v>
      </c>
      <c r="BB175" s="476">
        <f t="shared" si="129"/>
        <v>0</v>
      </c>
      <c r="BC175" s="476">
        <f t="shared" si="130"/>
        <v>0</v>
      </c>
      <c r="BD175" s="476">
        <f t="shared" si="131"/>
        <v>19740.580000000002</v>
      </c>
      <c r="BE175" s="477">
        <f t="shared" si="132"/>
        <v>19740.580000000002</v>
      </c>
      <c r="BF175" s="478">
        <f t="shared" si="133"/>
        <v>0</v>
      </c>
      <c r="BG175" s="479">
        <f t="shared" si="134"/>
        <v>7072.1</v>
      </c>
      <c r="BH175" s="485">
        <f t="shared" si="101"/>
        <v>11121.67</v>
      </c>
      <c r="BI175" s="407" t="s">
        <v>692</v>
      </c>
      <c r="BJ175" s="486"/>
      <c r="BK175" s="486"/>
      <c r="BL175" s="486"/>
      <c r="BM175" s="487">
        <f>IF(BR175&gt;BR174,BM174,IF(BM174&lt;MiscData!$F$1,EOMONTH(BM174,1),EOMONTH(BM174,-11)))</f>
        <v>41790</v>
      </c>
      <c r="BN175" s="464" t="str">
        <f t="shared" si="102"/>
        <v>20140101KUCME224</v>
      </c>
      <c r="BO175" s="488" t="str">
        <f t="shared" si="103"/>
        <v>20140101AES3</v>
      </c>
      <c r="BP175" s="486">
        <f>IF(BM175&lt;=MiscData!$B$23,MiscData!$C$23,IF(BM175&lt;=MiscData!$B$24,MiscData!$C$24,MiscData!$C$25))</f>
        <v>20140101</v>
      </c>
      <c r="BQ175" s="486" t="str">
        <f>VLOOKUP(BR175,MiscData!$V$4:$W$42,2,FALSE)</f>
        <v>KUCME224</v>
      </c>
      <c r="BR175" s="407">
        <f>IF(BR174=MiscData!$V$42,1,BR174+1)</f>
        <v>16</v>
      </c>
      <c r="BS175" s="489" t="str">
        <f>VLOOKUP(BQ175,MiscData!$W$4:$Y$42,3,FALSE)</f>
        <v>AES3</v>
      </c>
    </row>
    <row r="176" spans="1:71" hidden="1">
      <c r="A176" s="463">
        <f t="shared" si="137"/>
        <v>161</v>
      </c>
      <c r="B176" s="464" t="str">
        <f t="shared" si="98"/>
        <v>May 2014</v>
      </c>
      <c r="C176" s="837" t="s">
        <v>228</v>
      </c>
      <c r="D176" s="465" t="str">
        <f t="shared" si="99"/>
        <v>AES3</v>
      </c>
      <c r="E176" s="465" t="str">
        <f t="shared" si="100"/>
        <v>KUCME225</v>
      </c>
      <c r="F176" s="466">
        <f t="shared" si="104"/>
        <v>96</v>
      </c>
      <c r="G176" s="467">
        <v>0</v>
      </c>
      <c r="H176" s="466">
        <v>0</v>
      </c>
      <c r="I176" s="466">
        <v>0</v>
      </c>
      <c r="J176" s="466">
        <v>0</v>
      </c>
      <c r="K176" s="466">
        <f t="shared" si="105"/>
        <v>2129140</v>
      </c>
      <c r="L176" s="459">
        <v>0</v>
      </c>
      <c r="M176" s="469">
        <f t="shared" si="106"/>
        <v>10210.6</v>
      </c>
      <c r="N176" s="469">
        <f t="shared" si="107"/>
        <v>0</v>
      </c>
      <c r="O176" s="469">
        <f t="shared" si="108"/>
        <v>0</v>
      </c>
      <c r="P176" s="469">
        <f t="shared" si="109"/>
        <v>0</v>
      </c>
      <c r="Q176" s="469">
        <f t="shared" si="110"/>
        <v>0</v>
      </c>
      <c r="R176" s="469">
        <f t="shared" si="111"/>
        <v>0</v>
      </c>
      <c r="S176" s="484">
        <v>0</v>
      </c>
      <c r="T176" s="484">
        <v>0</v>
      </c>
      <c r="U176" s="484">
        <v>0</v>
      </c>
      <c r="V176" s="490">
        <v>0</v>
      </c>
      <c r="W176" s="490">
        <v>0</v>
      </c>
      <c r="X176" s="490">
        <v>0</v>
      </c>
      <c r="Y176" s="470">
        <f t="shared" si="112"/>
        <v>35</v>
      </c>
      <c r="Z176" s="471">
        <f t="shared" si="113"/>
        <v>7.4399999999999994E-2</v>
      </c>
      <c r="AA176" s="471">
        <v>0</v>
      </c>
      <c r="AB176" s="471">
        <v>0</v>
      </c>
      <c r="AC176" s="471">
        <f t="shared" si="114"/>
        <v>2.8920000000000001E-2</v>
      </c>
      <c r="AD176" s="470">
        <f t="shared" si="115"/>
        <v>0</v>
      </c>
      <c r="AE176" s="470">
        <f t="shared" si="116"/>
        <v>0</v>
      </c>
      <c r="AF176" s="470">
        <f t="shared" si="117"/>
        <v>0</v>
      </c>
      <c r="AG176" s="454">
        <f t="shared" si="118"/>
        <v>3360</v>
      </c>
      <c r="AH176" s="454">
        <f t="shared" si="140"/>
        <v>158408.01999999999</v>
      </c>
      <c r="AI176" s="421">
        <f t="shared" si="119"/>
        <v>0</v>
      </c>
      <c r="AJ176" s="421">
        <f t="shared" si="120"/>
        <v>0</v>
      </c>
      <c r="AK176" s="421">
        <f t="shared" si="121"/>
        <v>0</v>
      </c>
      <c r="AL176" s="472">
        <v>0</v>
      </c>
      <c r="AM176" s="473">
        <f t="shared" si="138"/>
        <v>0</v>
      </c>
      <c r="AN176" s="474">
        <f t="shared" si="122"/>
        <v>0</v>
      </c>
      <c r="AO176" s="454">
        <f t="shared" si="123"/>
        <v>0</v>
      </c>
      <c r="AP176" s="472">
        <v>0</v>
      </c>
      <c r="AQ176" s="472">
        <v>-0.03</v>
      </c>
      <c r="AR176" s="472">
        <v>0</v>
      </c>
      <c r="AS176" s="475">
        <v>0</v>
      </c>
      <c r="AT176" s="475">
        <v>0</v>
      </c>
      <c r="AU176" s="475">
        <v>0</v>
      </c>
      <c r="AV176" s="454">
        <f t="shared" si="124"/>
        <v>161767.99</v>
      </c>
      <c r="AW176" s="454">
        <f t="shared" si="125"/>
        <v>161767.99</v>
      </c>
      <c r="AX176" s="455">
        <f t="shared" si="141"/>
        <v>1</v>
      </c>
      <c r="AY176" s="476">
        <f t="shared" si="126"/>
        <v>6984.13</v>
      </c>
      <c r="AZ176" s="476">
        <f t="shared" si="127"/>
        <v>2618.89</v>
      </c>
      <c r="BA176" s="476">
        <f t="shared" si="128"/>
        <v>3425.71</v>
      </c>
      <c r="BB176" s="476">
        <f t="shared" si="129"/>
        <v>0</v>
      </c>
      <c r="BC176" s="476">
        <f t="shared" si="130"/>
        <v>0</v>
      </c>
      <c r="BD176" s="476">
        <f t="shared" si="131"/>
        <v>174796.72</v>
      </c>
      <c r="BE176" s="477">
        <f t="shared" si="132"/>
        <v>174796.72</v>
      </c>
      <c r="BF176" s="478">
        <f t="shared" si="133"/>
        <v>0</v>
      </c>
      <c r="BG176" s="479">
        <f t="shared" si="134"/>
        <v>61574.73</v>
      </c>
      <c r="BH176" s="485">
        <f t="shared" si="101"/>
        <v>96833.25999999998</v>
      </c>
      <c r="BI176" s="407" t="s">
        <v>692</v>
      </c>
      <c r="BJ176" s="486"/>
      <c r="BK176" s="486"/>
      <c r="BL176" s="486"/>
      <c r="BM176" s="487">
        <f>IF(BR176&gt;BR175,BM175,IF(BM175&lt;MiscData!$F$1,EOMONTH(BM175,1),EOMONTH(BM175,-11)))</f>
        <v>41790</v>
      </c>
      <c r="BN176" s="464" t="str">
        <f t="shared" si="102"/>
        <v>20140101KUCME225</v>
      </c>
      <c r="BO176" s="488" t="str">
        <f t="shared" si="103"/>
        <v>20140101AES3</v>
      </c>
      <c r="BP176" s="486">
        <f>IF(BM176&lt;=MiscData!$B$23,MiscData!$C$23,IF(BM176&lt;=MiscData!$B$24,MiscData!$C$24,MiscData!$C$25))</f>
        <v>20140101</v>
      </c>
      <c r="BQ176" s="486" t="str">
        <f>VLOOKUP(BR176,MiscData!$V$4:$W$42,2,FALSE)</f>
        <v>KUCME225</v>
      </c>
      <c r="BR176" s="407">
        <f>IF(BR175=MiscData!$V$42,1,BR175+1)</f>
        <v>17</v>
      </c>
      <c r="BS176" s="489" t="str">
        <f>VLOOKUP(BQ176,MiscData!$W$4:$Y$42,3,FALSE)</f>
        <v>AES3</v>
      </c>
    </row>
    <row r="177" spans="1:71" hidden="1">
      <c r="A177" s="463">
        <f t="shared" si="137"/>
        <v>162</v>
      </c>
      <c r="B177" s="464" t="str">
        <f t="shared" si="98"/>
        <v>May 2014</v>
      </c>
      <c r="C177" s="464" t="s">
        <v>219</v>
      </c>
      <c r="D177" s="465" t="str">
        <f t="shared" si="99"/>
        <v>AES</v>
      </c>
      <c r="E177" s="465" t="str">
        <f t="shared" si="100"/>
        <v>KUCME226</v>
      </c>
      <c r="F177" s="466">
        <f t="shared" si="104"/>
        <v>19</v>
      </c>
      <c r="G177" s="467">
        <v>0</v>
      </c>
      <c r="H177" s="466">
        <v>0</v>
      </c>
      <c r="I177" s="466">
        <v>0</v>
      </c>
      <c r="J177" s="466">
        <v>0</v>
      </c>
      <c r="K177" s="466">
        <f t="shared" si="105"/>
        <v>45091</v>
      </c>
      <c r="L177" s="459">
        <v>0</v>
      </c>
      <c r="M177" s="469">
        <f t="shared" si="106"/>
        <v>1465.5</v>
      </c>
      <c r="N177" s="469">
        <f t="shared" si="107"/>
        <v>0</v>
      </c>
      <c r="O177" s="469">
        <f t="shared" si="108"/>
        <v>0</v>
      </c>
      <c r="P177" s="469">
        <f t="shared" si="109"/>
        <v>0</v>
      </c>
      <c r="Q177" s="469">
        <f t="shared" si="110"/>
        <v>0</v>
      </c>
      <c r="R177" s="469">
        <f t="shared" si="111"/>
        <v>0</v>
      </c>
      <c r="S177" s="484">
        <v>0</v>
      </c>
      <c r="T177" s="484">
        <v>0</v>
      </c>
      <c r="U177" s="484">
        <v>0</v>
      </c>
      <c r="V177" s="490">
        <v>0</v>
      </c>
      <c r="W177" s="490">
        <v>0</v>
      </c>
      <c r="X177" s="490">
        <v>0</v>
      </c>
      <c r="Y177" s="470">
        <f t="shared" si="112"/>
        <v>20</v>
      </c>
      <c r="Z177" s="471">
        <f t="shared" si="113"/>
        <v>7.4399999999999994E-2</v>
      </c>
      <c r="AA177" s="471">
        <v>0</v>
      </c>
      <c r="AB177" s="471">
        <v>0</v>
      </c>
      <c r="AC177" s="471">
        <f t="shared" si="114"/>
        <v>2.8920000000000001E-2</v>
      </c>
      <c r="AD177" s="470">
        <f t="shared" si="115"/>
        <v>0</v>
      </c>
      <c r="AE177" s="470">
        <f t="shared" si="116"/>
        <v>0</v>
      </c>
      <c r="AF177" s="470">
        <f t="shared" si="117"/>
        <v>0</v>
      </c>
      <c r="AG177" s="454">
        <f t="shared" si="118"/>
        <v>380</v>
      </c>
      <c r="AH177" s="454">
        <f t="shared" si="140"/>
        <v>3354.77</v>
      </c>
      <c r="AI177" s="421">
        <f t="shared" si="119"/>
        <v>0</v>
      </c>
      <c r="AJ177" s="421">
        <f t="shared" si="120"/>
        <v>0</v>
      </c>
      <c r="AK177" s="421">
        <f t="shared" si="121"/>
        <v>0</v>
      </c>
      <c r="AL177" s="472">
        <v>0</v>
      </c>
      <c r="AM177" s="473">
        <f t="shared" si="138"/>
        <v>0</v>
      </c>
      <c r="AN177" s="474">
        <f t="shared" si="122"/>
        <v>0</v>
      </c>
      <c r="AO177" s="454">
        <f t="shared" si="123"/>
        <v>0</v>
      </c>
      <c r="AP177" s="472">
        <v>0</v>
      </c>
      <c r="AQ177" s="472">
        <v>0.02</v>
      </c>
      <c r="AR177" s="472">
        <v>0</v>
      </c>
      <c r="AS177" s="475">
        <v>0</v>
      </c>
      <c r="AT177" s="475">
        <v>0</v>
      </c>
      <c r="AU177" s="475">
        <v>0</v>
      </c>
      <c r="AV177" s="454">
        <f t="shared" si="124"/>
        <v>3734.79</v>
      </c>
      <c r="AW177" s="454">
        <f t="shared" si="125"/>
        <v>3734.79</v>
      </c>
      <c r="AX177" s="455">
        <f t="shared" si="141"/>
        <v>1</v>
      </c>
      <c r="AY177" s="476">
        <f t="shared" si="126"/>
        <v>134.54</v>
      </c>
      <c r="AZ177" s="476">
        <f t="shared" si="127"/>
        <v>55.46</v>
      </c>
      <c r="BA177" s="476">
        <f t="shared" si="128"/>
        <v>71.010000000000005</v>
      </c>
      <c r="BB177" s="476">
        <f t="shared" si="129"/>
        <v>0</v>
      </c>
      <c r="BC177" s="476">
        <f t="shared" si="130"/>
        <v>0</v>
      </c>
      <c r="BD177" s="476">
        <f t="shared" si="131"/>
        <v>3995.8</v>
      </c>
      <c r="BE177" s="477">
        <f t="shared" si="132"/>
        <v>3995.8</v>
      </c>
      <c r="BF177" s="478">
        <f t="shared" si="133"/>
        <v>0</v>
      </c>
      <c r="BG177" s="479">
        <f t="shared" si="134"/>
        <v>1304.03</v>
      </c>
      <c r="BH177" s="485">
        <f t="shared" si="101"/>
        <v>2050.7600000000002</v>
      </c>
      <c r="BI177" s="407" t="s">
        <v>692</v>
      </c>
      <c r="BJ177" s="486"/>
      <c r="BK177" s="486"/>
      <c r="BL177" s="486"/>
      <c r="BM177" s="487">
        <f>IF(BR177&gt;BR176,BM176,IF(BM176&lt;MiscData!$F$1,EOMONTH(BM176,1),EOMONTH(BM176,-11)))</f>
        <v>41790</v>
      </c>
      <c r="BN177" s="464" t="str">
        <f t="shared" si="102"/>
        <v>20140101KUCME226</v>
      </c>
      <c r="BO177" s="488" t="str">
        <f t="shared" si="103"/>
        <v>20140101AES</v>
      </c>
      <c r="BP177" s="486">
        <f>IF(BM177&lt;=MiscData!$B$23,MiscData!$C$23,IF(BM177&lt;=MiscData!$B$24,MiscData!$C$24,MiscData!$C$25))</f>
        <v>20140101</v>
      </c>
      <c r="BQ177" s="486" t="str">
        <f>VLOOKUP(BR177,MiscData!$V$4:$W$42,2,FALSE)</f>
        <v>KUCME226</v>
      </c>
      <c r="BR177" s="407">
        <f>IF(BR176=MiscData!$V$42,1,BR176+1)</f>
        <v>18</v>
      </c>
      <c r="BS177" s="489" t="str">
        <f>VLOOKUP(BQ177,MiscData!$W$4:$Y$42,3,FALSE)</f>
        <v>AES</v>
      </c>
    </row>
    <row r="178" spans="1:71" hidden="1">
      <c r="A178" s="463">
        <f t="shared" si="137"/>
        <v>163</v>
      </c>
      <c r="B178" s="464" t="str">
        <f t="shared" si="98"/>
        <v>May 2014</v>
      </c>
      <c r="C178" s="837" t="s">
        <v>228</v>
      </c>
      <c r="D178" s="465" t="str">
        <f t="shared" si="99"/>
        <v>AES3</v>
      </c>
      <c r="E178" s="465" t="str">
        <f t="shared" si="100"/>
        <v>KUCME227</v>
      </c>
      <c r="F178" s="466">
        <f t="shared" si="104"/>
        <v>99</v>
      </c>
      <c r="G178" s="467">
        <v>0</v>
      </c>
      <c r="H178" s="466">
        <v>0</v>
      </c>
      <c r="I178" s="466">
        <v>0</v>
      </c>
      <c r="J178" s="466">
        <v>0</v>
      </c>
      <c r="K178" s="466">
        <f t="shared" si="105"/>
        <v>8359304</v>
      </c>
      <c r="L178" s="459">
        <v>0</v>
      </c>
      <c r="M178" s="469">
        <f t="shared" si="106"/>
        <v>33244.800000000003</v>
      </c>
      <c r="N178" s="469">
        <f t="shared" si="107"/>
        <v>0</v>
      </c>
      <c r="O178" s="469">
        <f t="shared" si="108"/>
        <v>0</v>
      </c>
      <c r="P178" s="469">
        <f t="shared" si="109"/>
        <v>0</v>
      </c>
      <c r="Q178" s="469">
        <f t="shared" si="110"/>
        <v>0</v>
      </c>
      <c r="R178" s="469">
        <f t="shared" si="111"/>
        <v>0</v>
      </c>
      <c r="S178" s="484">
        <v>0</v>
      </c>
      <c r="T178" s="484">
        <v>0</v>
      </c>
      <c r="U178" s="484">
        <v>0</v>
      </c>
      <c r="V178" s="490">
        <v>0</v>
      </c>
      <c r="W178" s="490">
        <v>0</v>
      </c>
      <c r="X178" s="490">
        <v>0</v>
      </c>
      <c r="Y178" s="470">
        <f t="shared" si="112"/>
        <v>35</v>
      </c>
      <c r="Z178" s="471">
        <f t="shared" si="113"/>
        <v>7.4399999999999994E-2</v>
      </c>
      <c r="AA178" s="471">
        <v>0</v>
      </c>
      <c r="AB178" s="471">
        <v>0</v>
      </c>
      <c r="AC178" s="471">
        <f t="shared" si="114"/>
        <v>2.8920000000000001E-2</v>
      </c>
      <c r="AD178" s="470">
        <f t="shared" si="115"/>
        <v>0</v>
      </c>
      <c r="AE178" s="470">
        <f t="shared" si="116"/>
        <v>0</v>
      </c>
      <c r="AF178" s="470">
        <f t="shared" si="117"/>
        <v>0</v>
      </c>
      <c r="AG178" s="454">
        <f t="shared" si="118"/>
        <v>3465</v>
      </c>
      <c r="AH178" s="454">
        <f t="shared" si="140"/>
        <v>621932.22</v>
      </c>
      <c r="AI178" s="421">
        <f t="shared" si="119"/>
        <v>0</v>
      </c>
      <c r="AJ178" s="421">
        <f t="shared" si="120"/>
        <v>0</v>
      </c>
      <c r="AK178" s="421">
        <f t="shared" si="121"/>
        <v>0</v>
      </c>
      <c r="AL178" s="472">
        <v>0</v>
      </c>
      <c r="AM178" s="473">
        <f t="shared" si="138"/>
        <v>0</v>
      </c>
      <c r="AN178" s="474">
        <f t="shared" si="122"/>
        <v>0</v>
      </c>
      <c r="AO178" s="454">
        <f t="shared" si="123"/>
        <v>0</v>
      </c>
      <c r="AP178" s="472">
        <v>0</v>
      </c>
      <c r="AQ178" s="472">
        <v>0.03</v>
      </c>
      <c r="AR178" s="472">
        <v>0</v>
      </c>
      <c r="AS178" s="475">
        <v>0</v>
      </c>
      <c r="AT178" s="475">
        <v>0</v>
      </c>
      <c r="AU178" s="475">
        <v>0</v>
      </c>
      <c r="AV178" s="454">
        <f t="shared" si="124"/>
        <v>625397.25</v>
      </c>
      <c r="AW178" s="454">
        <f t="shared" si="125"/>
        <v>625397.25</v>
      </c>
      <c r="AX178" s="455">
        <f t="shared" si="141"/>
        <v>1</v>
      </c>
      <c r="AY178" s="476">
        <f t="shared" si="126"/>
        <v>27037.7</v>
      </c>
      <c r="AZ178" s="476">
        <f t="shared" si="127"/>
        <v>10281.93</v>
      </c>
      <c r="BA178" s="476">
        <f t="shared" si="128"/>
        <v>13046.75</v>
      </c>
      <c r="BB178" s="476">
        <f t="shared" si="129"/>
        <v>0</v>
      </c>
      <c r="BC178" s="476">
        <f t="shared" si="130"/>
        <v>0</v>
      </c>
      <c r="BD178" s="476">
        <f t="shared" si="131"/>
        <v>675763.63</v>
      </c>
      <c r="BE178" s="477">
        <f t="shared" si="132"/>
        <v>675763.63</v>
      </c>
      <c r="BF178" s="478">
        <f t="shared" si="133"/>
        <v>0</v>
      </c>
      <c r="BG178" s="479">
        <f t="shared" si="134"/>
        <v>241751.07</v>
      </c>
      <c r="BH178" s="485">
        <f t="shared" si="101"/>
        <v>380181.18</v>
      </c>
      <c r="BI178" s="407" t="s">
        <v>692</v>
      </c>
      <c r="BJ178" s="486"/>
      <c r="BK178" s="486"/>
      <c r="BL178" s="486"/>
      <c r="BM178" s="487">
        <f>IF(BR178&gt;BR177,BM177,IF(BM177&lt;MiscData!$F$1,EOMONTH(BM177,1),EOMONTH(BM177,-11)))</f>
        <v>41790</v>
      </c>
      <c r="BN178" s="464" t="str">
        <f t="shared" si="102"/>
        <v>20140101KUCME227</v>
      </c>
      <c r="BO178" s="488" t="str">
        <f t="shared" si="103"/>
        <v>20140101AES3</v>
      </c>
      <c r="BP178" s="486">
        <f>IF(BM178&lt;=MiscData!$B$23,MiscData!$C$23,IF(BM178&lt;=MiscData!$B$24,MiscData!$C$24,MiscData!$C$25))</f>
        <v>20140101</v>
      </c>
      <c r="BQ178" s="486" t="str">
        <f>VLOOKUP(BR178,MiscData!$V$4:$W$42,2,FALSE)</f>
        <v>KUCME227</v>
      </c>
      <c r="BR178" s="407">
        <f>IF(BR177=MiscData!$V$42,1,BR177+1)</f>
        <v>19</v>
      </c>
      <c r="BS178" s="489" t="str">
        <f>VLOOKUP(BQ178,MiscData!$W$4:$Y$42,3,FALSE)</f>
        <v>AES3</v>
      </c>
    </row>
    <row r="179" spans="1:71" hidden="1">
      <c r="A179" s="463">
        <f t="shared" si="137"/>
        <v>164</v>
      </c>
      <c r="B179" s="464" t="str">
        <f t="shared" si="98"/>
        <v>May 2014</v>
      </c>
      <c r="C179" s="464" t="s">
        <v>20</v>
      </c>
      <c r="D179" s="465" t="str">
        <f t="shared" si="99"/>
        <v>LE</v>
      </c>
      <c r="E179" s="465" t="str">
        <f t="shared" si="100"/>
        <v>KUCME290</v>
      </c>
      <c r="F179" s="466">
        <f t="shared" si="104"/>
        <v>1</v>
      </c>
      <c r="G179" s="467">
        <v>0</v>
      </c>
      <c r="H179" s="466">
        <v>0</v>
      </c>
      <c r="I179" s="466">
        <v>0</v>
      </c>
      <c r="J179" s="466">
        <v>0</v>
      </c>
      <c r="K179" s="466">
        <f t="shared" si="105"/>
        <v>9255</v>
      </c>
      <c r="L179" s="481">
        <v>0</v>
      </c>
      <c r="M179" s="469">
        <f t="shared" si="106"/>
        <v>33.6</v>
      </c>
      <c r="N179" s="469">
        <f t="shared" si="107"/>
        <v>0</v>
      </c>
      <c r="O179" s="469">
        <f t="shared" si="108"/>
        <v>0</v>
      </c>
      <c r="P179" s="469">
        <f t="shared" si="109"/>
        <v>0</v>
      </c>
      <c r="Q179" s="469">
        <f t="shared" si="110"/>
        <v>0</v>
      </c>
      <c r="R179" s="469">
        <f t="shared" si="111"/>
        <v>0</v>
      </c>
      <c r="S179" s="484">
        <v>0</v>
      </c>
      <c r="T179" s="484">
        <v>0</v>
      </c>
      <c r="U179" s="484">
        <v>0</v>
      </c>
      <c r="V179" s="490">
        <v>0</v>
      </c>
      <c r="W179" s="490">
        <v>0</v>
      </c>
      <c r="X179" s="490">
        <v>0</v>
      </c>
      <c r="Y179" s="470">
        <f t="shared" si="112"/>
        <v>0</v>
      </c>
      <c r="Z179" s="471">
        <f t="shared" si="113"/>
        <v>6.3799999999999996E-2</v>
      </c>
      <c r="AA179" s="471">
        <v>0</v>
      </c>
      <c r="AB179" s="471">
        <v>0</v>
      </c>
      <c r="AC179" s="471">
        <f t="shared" si="114"/>
        <v>2.8920000000000001E-2</v>
      </c>
      <c r="AD179" s="470">
        <f t="shared" si="115"/>
        <v>0</v>
      </c>
      <c r="AE179" s="470">
        <f t="shared" si="116"/>
        <v>0</v>
      </c>
      <c r="AF179" s="470">
        <f t="shared" si="117"/>
        <v>0</v>
      </c>
      <c r="AG179" s="454">
        <f t="shared" si="118"/>
        <v>0</v>
      </c>
      <c r="AH179" s="454">
        <f t="shared" si="140"/>
        <v>590.47</v>
      </c>
      <c r="AI179" s="421">
        <f t="shared" si="119"/>
        <v>0</v>
      </c>
      <c r="AJ179" s="421">
        <f t="shared" si="120"/>
        <v>0</v>
      </c>
      <c r="AK179" s="421">
        <f t="shared" si="121"/>
        <v>0</v>
      </c>
      <c r="AL179" s="472">
        <v>0</v>
      </c>
      <c r="AM179" s="473">
        <f t="shared" si="138"/>
        <v>0</v>
      </c>
      <c r="AN179" s="474">
        <f t="shared" si="122"/>
        <v>0</v>
      </c>
      <c r="AO179" s="454">
        <f t="shared" si="123"/>
        <v>0</v>
      </c>
      <c r="AP179" s="472">
        <v>0</v>
      </c>
      <c r="AQ179" s="472">
        <v>0</v>
      </c>
      <c r="AR179" s="472">
        <v>0</v>
      </c>
      <c r="AS179" s="475">
        <v>0</v>
      </c>
      <c r="AT179" s="475">
        <v>0</v>
      </c>
      <c r="AU179" s="475">
        <v>0</v>
      </c>
      <c r="AV179" s="454">
        <f t="shared" si="124"/>
        <v>590.47</v>
      </c>
      <c r="AW179" s="454">
        <f t="shared" si="125"/>
        <v>590.47</v>
      </c>
      <c r="AX179" s="455">
        <f t="shared" ref="AX179:AX184" si="142">IF(AND(AV179=0,AW179=0),1,IF(AV179=0,0,AW179/AV179))</f>
        <v>1</v>
      </c>
      <c r="AY179" s="476">
        <f t="shared" si="126"/>
        <v>33.04</v>
      </c>
      <c r="AZ179" s="476">
        <f t="shared" si="127"/>
        <v>0</v>
      </c>
      <c r="BA179" s="476">
        <f t="shared" si="128"/>
        <v>13.65</v>
      </c>
      <c r="BB179" s="476">
        <f t="shared" si="129"/>
        <v>0</v>
      </c>
      <c r="BC179" s="476">
        <f t="shared" si="130"/>
        <v>0</v>
      </c>
      <c r="BD179" s="476">
        <f t="shared" si="131"/>
        <v>637.16</v>
      </c>
      <c r="BE179" s="477">
        <f t="shared" si="132"/>
        <v>637.16</v>
      </c>
      <c r="BF179" s="478">
        <f t="shared" si="133"/>
        <v>0</v>
      </c>
      <c r="BG179" s="479">
        <f t="shared" si="134"/>
        <v>267.64999999999998</v>
      </c>
      <c r="BH179" s="485">
        <f t="shared" si="101"/>
        <v>322.82000000000005</v>
      </c>
      <c r="BI179" s="407" t="s">
        <v>692</v>
      </c>
      <c r="BJ179" s="486"/>
      <c r="BK179" s="486"/>
      <c r="BL179" s="486"/>
      <c r="BM179" s="487">
        <f>IF(BR179&gt;BR178,BM178,IF(BM178&lt;MiscData!$F$1,EOMONTH(BM178,1),EOMONTH(BM178,-11)))</f>
        <v>41790</v>
      </c>
      <c r="BN179" s="464" t="str">
        <f t="shared" si="102"/>
        <v>20140101KUCME290</v>
      </c>
      <c r="BO179" s="488" t="str">
        <f t="shared" si="103"/>
        <v>20140101LE</v>
      </c>
      <c r="BP179" s="486">
        <f>IF(BM179&lt;=MiscData!$B$23,MiscData!$C$23,IF(BM179&lt;=MiscData!$B$24,MiscData!$C$24,MiscData!$C$25))</f>
        <v>20140101</v>
      </c>
      <c r="BQ179" s="486" t="str">
        <f>VLOOKUP(BR179,MiscData!$V$4:$W$42,2,FALSE)</f>
        <v>KUCME290</v>
      </c>
      <c r="BR179" s="407">
        <f>IF(BR178=MiscData!$V$42,1,BR178+1)</f>
        <v>20</v>
      </c>
      <c r="BS179" s="489" t="str">
        <f>VLOOKUP(BQ179,MiscData!$W$4:$Y$42,3,FALSE)</f>
        <v>LE</v>
      </c>
    </row>
    <row r="180" spans="1:71" hidden="1">
      <c r="A180" s="463">
        <f t="shared" si="137"/>
        <v>165</v>
      </c>
      <c r="B180" s="464" t="str">
        <f t="shared" si="98"/>
        <v>May 2014</v>
      </c>
      <c r="C180" s="464" t="s">
        <v>20</v>
      </c>
      <c r="D180" s="465" t="str">
        <f t="shared" si="99"/>
        <v>LE</v>
      </c>
      <c r="E180" s="465" t="str">
        <f t="shared" si="100"/>
        <v>KUCME291</v>
      </c>
      <c r="F180" s="466">
        <f t="shared" si="104"/>
        <v>1</v>
      </c>
      <c r="G180" s="467">
        <v>0</v>
      </c>
      <c r="H180" s="466">
        <v>0</v>
      </c>
      <c r="I180" s="466">
        <v>0</v>
      </c>
      <c r="J180" s="466">
        <v>0</v>
      </c>
      <c r="K180" s="466">
        <f t="shared" si="105"/>
        <v>3338</v>
      </c>
      <c r="L180" s="481">
        <v>0</v>
      </c>
      <c r="M180" s="469">
        <f t="shared" si="106"/>
        <v>0</v>
      </c>
      <c r="N180" s="469">
        <f t="shared" si="107"/>
        <v>0</v>
      </c>
      <c r="O180" s="469">
        <f t="shared" si="108"/>
        <v>0</v>
      </c>
      <c r="P180" s="469">
        <f t="shared" si="109"/>
        <v>0</v>
      </c>
      <c r="Q180" s="469">
        <f t="shared" si="110"/>
        <v>0</v>
      </c>
      <c r="R180" s="469">
        <f t="shared" si="111"/>
        <v>0</v>
      </c>
      <c r="S180" s="484">
        <v>0</v>
      </c>
      <c r="T180" s="484">
        <v>0</v>
      </c>
      <c r="U180" s="484">
        <v>0</v>
      </c>
      <c r="V180" s="490">
        <v>0</v>
      </c>
      <c r="W180" s="490">
        <v>0</v>
      </c>
      <c r="X180" s="490">
        <v>0</v>
      </c>
      <c r="Y180" s="470">
        <f t="shared" si="112"/>
        <v>0</v>
      </c>
      <c r="Z180" s="471">
        <f t="shared" si="113"/>
        <v>6.3799999999999996E-2</v>
      </c>
      <c r="AA180" s="471">
        <v>0</v>
      </c>
      <c r="AB180" s="471">
        <v>0</v>
      </c>
      <c r="AC180" s="471">
        <f t="shared" si="114"/>
        <v>2.8920000000000001E-2</v>
      </c>
      <c r="AD180" s="470">
        <f t="shared" si="115"/>
        <v>0</v>
      </c>
      <c r="AE180" s="470">
        <f t="shared" si="116"/>
        <v>0</v>
      </c>
      <c r="AF180" s="470">
        <f t="shared" si="117"/>
        <v>0</v>
      </c>
      <c r="AG180" s="454">
        <f t="shared" si="118"/>
        <v>0</v>
      </c>
      <c r="AH180" s="454">
        <f t="shared" si="140"/>
        <v>212.96</v>
      </c>
      <c r="AI180" s="421">
        <f t="shared" si="119"/>
        <v>0</v>
      </c>
      <c r="AJ180" s="421">
        <f t="shared" si="120"/>
        <v>0</v>
      </c>
      <c r="AK180" s="421">
        <f t="shared" si="121"/>
        <v>0</v>
      </c>
      <c r="AL180" s="472">
        <v>0</v>
      </c>
      <c r="AM180" s="473">
        <f t="shared" si="138"/>
        <v>0</v>
      </c>
      <c r="AN180" s="474">
        <f t="shared" si="122"/>
        <v>0</v>
      </c>
      <c r="AO180" s="454">
        <f t="shared" si="123"/>
        <v>0</v>
      </c>
      <c r="AP180" s="472">
        <v>0</v>
      </c>
      <c r="AQ180" s="472">
        <v>0</v>
      </c>
      <c r="AR180" s="472">
        <v>0</v>
      </c>
      <c r="AS180" s="475">
        <v>0</v>
      </c>
      <c r="AT180" s="475">
        <v>0</v>
      </c>
      <c r="AU180" s="475">
        <v>0</v>
      </c>
      <c r="AV180" s="454">
        <f t="shared" si="124"/>
        <v>212.96</v>
      </c>
      <c r="AW180" s="454">
        <f t="shared" si="125"/>
        <v>212.96</v>
      </c>
      <c r="AX180" s="455">
        <f t="shared" si="142"/>
        <v>1</v>
      </c>
      <c r="AY180" s="476">
        <f t="shared" si="126"/>
        <v>7.08</v>
      </c>
      <c r="AZ180" s="476">
        <f t="shared" si="127"/>
        <v>0</v>
      </c>
      <c r="BA180" s="476">
        <f t="shared" si="128"/>
        <v>2.68</v>
      </c>
      <c r="BB180" s="476">
        <f t="shared" si="129"/>
        <v>0</v>
      </c>
      <c r="BC180" s="476">
        <f t="shared" si="130"/>
        <v>0</v>
      </c>
      <c r="BD180" s="476">
        <f t="shared" si="131"/>
        <v>222.72</v>
      </c>
      <c r="BE180" s="477">
        <f t="shared" si="132"/>
        <v>222.72000000000003</v>
      </c>
      <c r="BF180" s="478">
        <f t="shared" si="133"/>
        <v>0</v>
      </c>
      <c r="BG180" s="479">
        <f t="shared" si="134"/>
        <v>96.53</v>
      </c>
      <c r="BH180" s="485">
        <f t="shared" si="101"/>
        <v>116.43</v>
      </c>
      <c r="BI180" s="407" t="s">
        <v>692</v>
      </c>
      <c r="BJ180" s="486"/>
      <c r="BK180" s="486"/>
      <c r="BL180" s="486"/>
      <c r="BM180" s="487">
        <f>IF(BR180&gt;BR179,BM179,IF(BM179&lt;MiscData!$F$1,EOMONTH(BM179,1),EOMONTH(BM179,-11)))</f>
        <v>41790</v>
      </c>
      <c r="BN180" s="464" t="str">
        <f t="shared" si="102"/>
        <v>20140101KUCME291</v>
      </c>
      <c r="BO180" s="488" t="str">
        <f t="shared" si="103"/>
        <v>20140101LE</v>
      </c>
      <c r="BP180" s="486">
        <f>IF(BM180&lt;=MiscData!$B$23,MiscData!$C$23,IF(BM180&lt;=MiscData!$B$24,MiscData!$C$24,MiscData!$C$25))</f>
        <v>20140101</v>
      </c>
      <c r="BQ180" s="486" t="str">
        <f>VLOOKUP(BR180,MiscData!$V$4:$W$42,2,FALSE)</f>
        <v>KUCME291</v>
      </c>
      <c r="BR180" s="407">
        <f>IF(BR179=MiscData!$V$42,1,BR179+1)</f>
        <v>21</v>
      </c>
      <c r="BS180" s="489" t="str">
        <f>VLOOKUP(BQ180,MiscData!$W$4:$Y$42,3,FALSE)</f>
        <v>LE</v>
      </c>
    </row>
    <row r="181" spans="1:71" hidden="1">
      <c r="A181" s="463">
        <f t="shared" si="137"/>
        <v>166</v>
      </c>
      <c r="B181" s="464" t="str">
        <f t="shared" si="98"/>
        <v>May 2014</v>
      </c>
      <c r="C181" s="464" t="s">
        <v>21</v>
      </c>
      <c r="D181" s="465" t="str">
        <f t="shared" si="99"/>
        <v>TE</v>
      </c>
      <c r="E181" s="465" t="str">
        <f t="shared" si="100"/>
        <v>KUCME295</v>
      </c>
      <c r="F181" s="466">
        <f t="shared" si="104"/>
        <v>474</v>
      </c>
      <c r="G181" s="467">
        <v>1</v>
      </c>
      <c r="H181" s="466">
        <v>0</v>
      </c>
      <c r="I181" s="466">
        <v>0</v>
      </c>
      <c r="J181" s="466">
        <v>0</v>
      </c>
      <c r="K181" s="466">
        <f t="shared" si="105"/>
        <v>89696</v>
      </c>
      <c r="L181" s="481">
        <v>0</v>
      </c>
      <c r="M181" s="469">
        <f t="shared" si="106"/>
        <v>16.5</v>
      </c>
      <c r="N181" s="469">
        <f t="shared" si="107"/>
        <v>0</v>
      </c>
      <c r="O181" s="469">
        <f t="shared" si="108"/>
        <v>0</v>
      </c>
      <c r="P181" s="469">
        <f t="shared" si="109"/>
        <v>0</v>
      </c>
      <c r="Q181" s="469">
        <f t="shared" si="110"/>
        <v>0</v>
      </c>
      <c r="R181" s="469">
        <f t="shared" si="111"/>
        <v>0</v>
      </c>
      <c r="S181" s="484">
        <v>0</v>
      </c>
      <c r="T181" s="484">
        <v>0</v>
      </c>
      <c r="U181" s="484">
        <v>0</v>
      </c>
      <c r="V181" s="490">
        <v>0</v>
      </c>
      <c r="W181" s="490">
        <v>0</v>
      </c>
      <c r="X181" s="490">
        <v>0</v>
      </c>
      <c r="Y181" s="470">
        <f t="shared" si="112"/>
        <v>3.25</v>
      </c>
      <c r="Z181" s="471">
        <f t="shared" si="113"/>
        <v>7.9780000000000004E-2</v>
      </c>
      <c r="AA181" s="471">
        <v>0</v>
      </c>
      <c r="AB181" s="471">
        <v>0</v>
      </c>
      <c r="AC181" s="471">
        <f t="shared" si="114"/>
        <v>2.8920000000000001E-2</v>
      </c>
      <c r="AD181" s="470">
        <f t="shared" si="115"/>
        <v>0</v>
      </c>
      <c r="AE181" s="470">
        <f t="shared" si="116"/>
        <v>0</v>
      </c>
      <c r="AF181" s="470">
        <f t="shared" si="117"/>
        <v>0</v>
      </c>
      <c r="AG181" s="454">
        <f t="shared" si="118"/>
        <v>1543.75</v>
      </c>
      <c r="AH181" s="454">
        <f t="shared" si="140"/>
        <v>7155.95</v>
      </c>
      <c r="AI181" s="421">
        <f t="shared" si="119"/>
        <v>0</v>
      </c>
      <c r="AJ181" s="421">
        <f t="shared" si="120"/>
        <v>0</v>
      </c>
      <c r="AK181" s="421">
        <f t="shared" si="121"/>
        <v>0</v>
      </c>
      <c r="AL181" s="472">
        <v>0</v>
      </c>
      <c r="AM181" s="473">
        <f t="shared" si="138"/>
        <v>0</v>
      </c>
      <c r="AN181" s="474">
        <f t="shared" si="122"/>
        <v>0</v>
      </c>
      <c r="AO181" s="454">
        <f t="shared" si="123"/>
        <v>0</v>
      </c>
      <c r="AP181" s="472">
        <v>1.63</v>
      </c>
      <c r="AQ181" s="472">
        <v>0.08</v>
      </c>
      <c r="AR181" s="472">
        <v>0</v>
      </c>
      <c r="AS181" s="475">
        <v>0</v>
      </c>
      <c r="AT181" s="475">
        <v>0</v>
      </c>
      <c r="AU181" s="475">
        <v>0</v>
      </c>
      <c r="AV181" s="454">
        <f t="shared" si="124"/>
        <v>8701.41</v>
      </c>
      <c r="AW181" s="454">
        <f t="shared" si="125"/>
        <v>8701.4100000000017</v>
      </c>
      <c r="AX181" s="455">
        <f t="shared" si="142"/>
        <v>1.0000000000000002</v>
      </c>
      <c r="AY181" s="476">
        <f t="shared" si="126"/>
        <v>246.27</v>
      </c>
      <c r="AZ181" s="476">
        <f t="shared" si="127"/>
        <v>0</v>
      </c>
      <c r="BA181" s="476">
        <f t="shared" si="128"/>
        <v>146.36000000000001</v>
      </c>
      <c r="BB181" s="476">
        <f t="shared" si="129"/>
        <v>0</v>
      </c>
      <c r="BC181" s="476">
        <f t="shared" si="130"/>
        <v>0</v>
      </c>
      <c r="BD181" s="476">
        <f t="shared" si="131"/>
        <v>9094.0400000000009</v>
      </c>
      <c r="BE181" s="477">
        <f t="shared" si="132"/>
        <v>9094.0400000000009</v>
      </c>
      <c r="BF181" s="478">
        <f t="shared" si="133"/>
        <v>0</v>
      </c>
      <c r="BG181" s="479">
        <f t="shared" si="134"/>
        <v>2594.0100000000002</v>
      </c>
      <c r="BH181" s="485">
        <f t="shared" si="101"/>
        <v>4562.0199999999995</v>
      </c>
      <c r="BI181" s="407" t="s">
        <v>692</v>
      </c>
      <c r="BJ181" s="486"/>
      <c r="BK181" s="486"/>
      <c r="BL181" s="486"/>
      <c r="BM181" s="487">
        <f>IF(BR181&gt;BR180,BM180,IF(BM180&lt;MiscData!$F$1,EOMONTH(BM180,1),EOMONTH(BM180,-11)))</f>
        <v>41790</v>
      </c>
      <c r="BN181" s="464" t="str">
        <f t="shared" si="102"/>
        <v>20140101KUCME295</v>
      </c>
      <c r="BO181" s="488" t="str">
        <f t="shared" si="103"/>
        <v>20140101TE</v>
      </c>
      <c r="BP181" s="486">
        <f>IF(BM181&lt;=MiscData!$B$23,MiscData!$C$23,IF(BM181&lt;=MiscData!$B$24,MiscData!$C$24,MiscData!$C$25))</f>
        <v>20140101</v>
      </c>
      <c r="BQ181" s="486" t="str">
        <f>VLOOKUP(BR181,MiscData!$V$4:$W$42,2,FALSE)</f>
        <v>KUCME295</v>
      </c>
      <c r="BR181" s="407">
        <f>IF(BR180=MiscData!$V$42,1,BR180+1)</f>
        <v>22</v>
      </c>
      <c r="BS181" s="489" t="str">
        <f>VLOOKUP(BQ181,MiscData!$W$4:$Y$42,3,FALSE)</f>
        <v>TE</v>
      </c>
    </row>
    <row r="182" spans="1:71" hidden="1">
      <c r="A182" s="463">
        <f t="shared" si="137"/>
        <v>167</v>
      </c>
      <c r="B182" s="464" t="str">
        <f t="shared" si="98"/>
        <v>May 2014</v>
      </c>
      <c r="C182" s="464" t="s">
        <v>21</v>
      </c>
      <c r="D182" s="465" t="str">
        <f t="shared" si="99"/>
        <v>TE</v>
      </c>
      <c r="E182" s="465" t="str">
        <f t="shared" si="100"/>
        <v>KUCME297</v>
      </c>
      <c r="F182" s="466">
        <f t="shared" si="104"/>
        <v>272</v>
      </c>
      <c r="G182" s="467">
        <v>0</v>
      </c>
      <c r="H182" s="466">
        <v>0</v>
      </c>
      <c r="I182" s="466">
        <v>0</v>
      </c>
      <c r="J182" s="466">
        <v>0</v>
      </c>
      <c r="K182" s="466">
        <f t="shared" si="105"/>
        <v>14416</v>
      </c>
      <c r="L182" s="481">
        <v>0</v>
      </c>
      <c r="M182" s="469">
        <f t="shared" si="106"/>
        <v>0</v>
      </c>
      <c r="N182" s="469">
        <f t="shared" si="107"/>
        <v>0</v>
      </c>
      <c r="O182" s="469">
        <f t="shared" si="108"/>
        <v>0</v>
      </c>
      <c r="P182" s="469">
        <f t="shared" si="109"/>
        <v>0</v>
      </c>
      <c r="Q182" s="469">
        <f t="shared" si="110"/>
        <v>0</v>
      </c>
      <c r="R182" s="469">
        <f t="shared" si="111"/>
        <v>0</v>
      </c>
      <c r="S182" s="484">
        <v>0</v>
      </c>
      <c r="T182" s="484">
        <v>0</v>
      </c>
      <c r="U182" s="484">
        <v>0</v>
      </c>
      <c r="V182" s="490">
        <v>0</v>
      </c>
      <c r="W182" s="490">
        <v>0</v>
      </c>
      <c r="X182" s="490">
        <v>0</v>
      </c>
      <c r="Y182" s="470">
        <f t="shared" si="112"/>
        <v>3.25</v>
      </c>
      <c r="Z182" s="471">
        <f t="shared" si="113"/>
        <v>7.9780000000000004E-2</v>
      </c>
      <c r="AA182" s="471">
        <v>0</v>
      </c>
      <c r="AB182" s="471">
        <v>0</v>
      </c>
      <c r="AC182" s="471">
        <f t="shared" si="114"/>
        <v>2.8920000000000001E-2</v>
      </c>
      <c r="AD182" s="470">
        <f t="shared" si="115"/>
        <v>0</v>
      </c>
      <c r="AE182" s="470">
        <f t="shared" si="116"/>
        <v>0</v>
      </c>
      <c r="AF182" s="470">
        <f t="shared" si="117"/>
        <v>0</v>
      </c>
      <c r="AG182" s="454">
        <f t="shared" si="118"/>
        <v>884</v>
      </c>
      <c r="AH182" s="454">
        <f t="shared" si="140"/>
        <v>1150.1099999999999</v>
      </c>
      <c r="AI182" s="421">
        <f t="shared" si="119"/>
        <v>0</v>
      </c>
      <c r="AJ182" s="421">
        <f t="shared" si="120"/>
        <v>0</v>
      </c>
      <c r="AK182" s="421">
        <f t="shared" si="121"/>
        <v>0</v>
      </c>
      <c r="AL182" s="472">
        <v>0</v>
      </c>
      <c r="AM182" s="473">
        <f t="shared" si="138"/>
        <v>0</v>
      </c>
      <c r="AN182" s="474">
        <f t="shared" si="122"/>
        <v>0</v>
      </c>
      <c r="AO182" s="454">
        <f t="shared" si="123"/>
        <v>0</v>
      </c>
      <c r="AP182" s="472">
        <v>0</v>
      </c>
      <c r="AQ182" s="472">
        <v>0.45</v>
      </c>
      <c r="AR182" s="472">
        <v>0</v>
      </c>
      <c r="AS182" s="475">
        <v>0</v>
      </c>
      <c r="AT182" s="475">
        <v>0</v>
      </c>
      <c r="AU182" s="475">
        <v>0</v>
      </c>
      <c r="AV182" s="454">
        <f t="shared" si="124"/>
        <v>2034.56</v>
      </c>
      <c r="AW182" s="454">
        <f t="shared" si="125"/>
        <v>2034.56</v>
      </c>
      <c r="AX182" s="455">
        <f t="shared" si="142"/>
        <v>1</v>
      </c>
      <c r="AY182" s="476">
        <f t="shared" si="126"/>
        <v>51.68</v>
      </c>
      <c r="AZ182" s="476">
        <f t="shared" si="127"/>
        <v>0</v>
      </c>
      <c r="BA182" s="476">
        <f t="shared" si="128"/>
        <v>46.24</v>
      </c>
      <c r="BB182" s="476">
        <f t="shared" si="129"/>
        <v>0</v>
      </c>
      <c r="BC182" s="476">
        <f t="shared" si="130"/>
        <v>0</v>
      </c>
      <c r="BD182" s="476">
        <f t="shared" si="131"/>
        <v>2132.48</v>
      </c>
      <c r="BE182" s="477">
        <f t="shared" si="132"/>
        <v>2132.4799999999996</v>
      </c>
      <c r="BF182" s="478">
        <f t="shared" si="133"/>
        <v>0</v>
      </c>
      <c r="BG182" s="479">
        <f t="shared" si="134"/>
        <v>416.91</v>
      </c>
      <c r="BH182" s="485">
        <f t="shared" si="101"/>
        <v>733.64999999999986</v>
      </c>
      <c r="BI182" s="407" t="s">
        <v>692</v>
      </c>
      <c r="BJ182" s="486"/>
      <c r="BK182" s="486"/>
      <c r="BL182" s="486"/>
      <c r="BM182" s="487">
        <f>IF(BR182&gt;BR181,BM181,IF(BM181&lt;MiscData!$F$1,EOMONTH(BM181,1),EOMONTH(BM181,-11)))</f>
        <v>41790</v>
      </c>
      <c r="BN182" s="464" t="str">
        <f t="shared" si="102"/>
        <v>20140101KUCME297</v>
      </c>
      <c r="BO182" s="488" t="str">
        <f t="shared" si="103"/>
        <v>20140101TE</v>
      </c>
      <c r="BP182" s="486">
        <f>IF(BM182&lt;=MiscData!$B$23,MiscData!$C$23,IF(BM182&lt;=MiscData!$B$24,MiscData!$C$24,MiscData!$C$25))</f>
        <v>20140101</v>
      </c>
      <c r="BQ182" s="486" t="str">
        <f>VLOOKUP(BR182,MiscData!$V$4:$W$42,2,FALSE)</f>
        <v>KUCME297</v>
      </c>
      <c r="BR182" s="407">
        <f>IF(BR181=MiscData!$V$42,1,BR181+1)</f>
        <v>23</v>
      </c>
      <c r="BS182" s="489" t="str">
        <f>VLOOKUP(BQ182,MiscData!$W$4:$Y$42,3,FALSE)</f>
        <v>TE</v>
      </c>
    </row>
    <row r="183" spans="1:71" hidden="1">
      <c r="A183" s="463">
        <f t="shared" si="137"/>
        <v>168</v>
      </c>
      <c r="B183" s="464" t="str">
        <f t="shared" si="98"/>
        <v>May 2014</v>
      </c>
      <c r="C183" s="464" t="s">
        <v>727</v>
      </c>
      <c r="D183" s="465" t="str">
        <f t="shared" si="99"/>
        <v>SQF</v>
      </c>
      <c r="E183" s="465" t="str">
        <f t="shared" si="100"/>
        <v>KUCME705</v>
      </c>
      <c r="F183" s="466">
        <f t="shared" si="104"/>
        <v>0</v>
      </c>
      <c r="G183" s="467">
        <v>0</v>
      </c>
      <c r="H183" s="466">
        <v>0</v>
      </c>
      <c r="I183" s="466">
        <v>0</v>
      </c>
      <c r="J183" s="466">
        <v>0</v>
      </c>
      <c r="K183" s="466">
        <f t="shared" si="105"/>
        <v>0</v>
      </c>
      <c r="L183" s="481">
        <v>0</v>
      </c>
      <c r="M183" s="469">
        <f t="shared" si="106"/>
        <v>0</v>
      </c>
      <c r="N183" s="469">
        <f t="shared" si="107"/>
        <v>0</v>
      </c>
      <c r="O183" s="469">
        <f t="shared" si="108"/>
        <v>0</v>
      </c>
      <c r="P183" s="469">
        <f t="shared" si="109"/>
        <v>0</v>
      </c>
      <c r="Q183" s="469">
        <f t="shared" si="110"/>
        <v>0</v>
      </c>
      <c r="R183" s="469">
        <f t="shared" si="111"/>
        <v>0</v>
      </c>
      <c r="S183" s="484">
        <v>0</v>
      </c>
      <c r="T183" s="484">
        <v>0</v>
      </c>
      <c r="U183" s="484">
        <v>0</v>
      </c>
      <c r="V183" s="490">
        <v>0</v>
      </c>
      <c r="W183" s="490">
        <v>0</v>
      </c>
      <c r="X183" s="490">
        <v>0</v>
      </c>
      <c r="Y183" s="470">
        <f t="shared" si="112"/>
        <v>0</v>
      </c>
      <c r="Z183" s="471">
        <f t="shared" si="113"/>
        <v>0</v>
      </c>
      <c r="AA183" s="471">
        <v>0</v>
      </c>
      <c r="AB183" s="471">
        <v>0</v>
      </c>
      <c r="AC183" s="471">
        <f t="shared" si="114"/>
        <v>0</v>
      </c>
      <c r="AD183" s="470">
        <f t="shared" si="115"/>
        <v>0</v>
      </c>
      <c r="AE183" s="470">
        <f t="shared" si="116"/>
        <v>0</v>
      </c>
      <c r="AF183" s="470">
        <f t="shared" si="117"/>
        <v>0</v>
      </c>
      <c r="AG183" s="454">
        <f t="shared" si="118"/>
        <v>0</v>
      </c>
      <c r="AH183" s="454">
        <f t="shared" si="140"/>
        <v>0</v>
      </c>
      <c r="AI183" s="421">
        <f t="shared" si="119"/>
        <v>0</v>
      </c>
      <c r="AJ183" s="421">
        <f t="shared" si="120"/>
        <v>0</v>
      </c>
      <c r="AK183" s="421">
        <f t="shared" si="121"/>
        <v>0</v>
      </c>
      <c r="AL183" s="472">
        <v>0</v>
      </c>
      <c r="AM183" s="473">
        <f t="shared" si="138"/>
        <v>0</v>
      </c>
      <c r="AN183" s="474">
        <f t="shared" si="122"/>
        <v>0</v>
      </c>
      <c r="AO183" s="454">
        <f t="shared" si="123"/>
        <v>0</v>
      </c>
      <c r="AP183" s="472">
        <v>0</v>
      </c>
      <c r="AQ183" s="472">
        <v>0</v>
      </c>
      <c r="AR183" s="472">
        <v>0</v>
      </c>
      <c r="AS183" s="475">
        <v>0</v>
      </c>
      <c r="AT183" s="475">
        <v>0</v>
      </c>
      <c r="AU183" s="475">
        <v>0</v>
      </c>
      <c r="AV183" s="454">
        <f t="shared" si="124"/>
        <v>0</v>
      </c>
      <c r="AW183" s="454">
        <f t="shared" si="125"/>
        <v>0</v>
      </c>
      <c r="AX183" s="455">
        <f t="shared" si="142"/>
        <v>1</v>
      </c>
      <c r="AY183" s="476">
        <f t="shared" si="126"/>
        <v>0</v>
      </c>
      <c r="AZ183" s="476">
        <f t="shared" si="127"/>
        <v>0</v>
      </c>
      <c r="BA183" s="476">
        <f t="shared" si="128"/>
        <v>0</v>
      </c>
      <c r="BB183" s="476">
        <f t="shared" si="129"/>
        <v>0</v>
      </c>
      <c r="BC183" s="476">
        <f t="shared" si="130"/>
        <v>0</v>
      </c>
      <c r="BD183" s="476">
        <f t="shared" si="131"/>
        <v>0</v>
      </c>
      <c r="BE183" s="477">
        <f t="shared" si="132"/>
        <v>0</v>
      </c>
      <c r="BF183" s="478">
        <f t="shared" si="133"/>
        <v>0</v>
      </c>
      <c r="BG183" s="479">
        <f t="shared" si="134"/>
        <v>0</v>
      </c>
      <c r="BH183" s="485">
        <f t="shared" si="101"/>
        <v>0</v>
      </c>
      <c r="BI183" s="407" t="s">
        <v>692</v>
      </c>
      <c r="BJ183" s="486"/>
      <c r="BK183" s="486"/>
      <c r="BL183" s="486"/>
      <c r="BM183" s="487">
        <f>IF(BR183&gt;BR182,BM182,IF(BM182&lt;MiscData!$F$1,EOMONTH(BM182,1),EOMONTH(BM182,-11)))</f>
        <v>41790</v>
      </c>
      <c r="BN183" s="464" t="str">
        <f t="shared" si="102"/>
        <v>20140101KUCME705</v>
      </c>
      <c r="BO183" s="488" t="str">
        <f t="shared" si="103"/>
        <v>20140101SQF</v>
      </c>
      <c r="BP183" s="486">
        <f>IF(BM183&lt;=MiscData!$B$23,MiscData!$C$23,IF(BM183&lt;=MiscData!$B$24,MiscData!$C$24,MiscData!$C$25))</f>
        <v>20140101</v>
      </c>
      <c r="BQ183" s="486" t="str">
        <f>VLOOKUP(BR183,MiscData!$V$4:$W$42,2,FALSE)</f>
        <v>KUCME705</v>
      </c>
      <c r="BR183" s="407">
        <f>IF(BR182=MiscData!$V$42,1,BR182+1)</f>
        <v>24</v>
      </c>
      <c r="BS183" s="489" t="str">
        <f>VLOOKUP(BQ183,MiscData!$W$4:$Y$42,3,FALSE)</f>
        <v>SQF</v>
      </c>
    </row>
    <row r="184" spans="1:71" hidden="1">
      <c r="A184" s="463">
        <f t="shared" si="137"/>
        <v>169</v>
      </c>
      <c r="B184" s="464" t="str">
        <f t="shared" si="98"/>
        <v>May 2014</v>
      </c>
      <c r="C184" s="464" t="s">
        <v>1052</v>
      </c>
      <c r="D184" s="465" t="str">
        <f t="shared" si="99"/>
        <v>LQF</v>
      </c>
      <c r="E184" s="465" t="str">
        <f t="shared" si="100"/>
        <v>KUCME707</v>
      </c>
      <c r="F184" s="466">
        <f t="shared" si="104"/>
        <v>0</v>
      </c>
      <c r="G184" s="467">
        <v>0</v>
      </c>
      <c r="H184" s="466">
        <v>0</v>
      </c>
      <c r="I184" s="466">
        <v>0</v>
      </c>
      <c r="J184" s="466">
        <v>0</v>
      </c>
      <c r="K184" s="466">
        <f t="shared" si="105"/>
        <v>0</v>
      </c>
      <c r="L184" s="481">
        <v>0</v>
      </c>
      <c r="M184" s="469">
        <f t="shared" si="106"/>
        <v>0</v>
      </c>
      <c r="N184" s="469">
        <f t="shared" si="107"/>
        <v>0</v>
      </c>
      <c r="O184" s="469">
        <f t="shared" si="108"/>
        <v>0</v>
      </c>
      <c r="P184" s="469">
        <f t="shared" si="109"/>
        <v>0</v>
      </c>
      <c r="Q184" s="469">
        <f t="shared" si="110"/>
        <v>0</v>
      </c>
      <c r="R184" s="469">
        <f t="shared" si="111"/>
        <v>0</v>
      </c>
      <c r="S184" s="484">
        <v>0</v>
      </c>
      <c r="T184" s="484">
        <v>0</v>
      </c>
      <c r="U184" s="484">
        <v>0</v>
      </c>
      <c r="V184" s="490">
        <v>0</v>
      </c>
      <c r="W184" s="490">
        <v>0</v>
      </c>
      <c r="X184" s="490">
        <v>0</v>
      </c>
      <c r="Y184" s="470">
        <f t="shared" si="112"/>
        <v>0</v>
      </c>
      <c r="Z184" s="471">
        <f t="shared" si="113"/>
        <v>0</v>
      </c>
      <c r="AA184" s="471">
        <v>0</v>
      </c>
      <c r="AB184" s="471">
        <v>0</v>
      </c>
      <c r="AC184" s="471">
        <f t="shared" si="114"/>
        <v>0</v>
      </c>
      <c r="AD184" s="470">
        <f t="shared" si="115"/>
        <v>0</v>
      </c>
      <c r="AE184" s="470">
        <f t="shared" si="116"/>
        <v>0</v>
      </c>
      <c r="AF184" s="470">
        <f t="shared" si="117"/>
        <v>0</v>
      </c>
      <c r="AG184" s="454">
        <f t="shared" si="118"/>
        <v>0</v>
      </c>
      <c r="AH184" s="454">
        <f t="shared" si="140"/>
        <v>0</v>
      </c>
      <c r="AI184" s="421">
        <f t="shared" si="119"/>
        <v>0</v>
      </c>
      <c r="AJ184" s="421">
        <f t="shared" si="120"/>
        <v>0</v>
      </c>
      <c r="AK184" s="421">
        <f t="shared" si="121"/>
        <v>0</v>
      </c>
      <c r="AL184" s="472">
        <v>0</v>
      </c>
      <c r="AM184" s="473">
        <f t="shared" si="138"/>
        <v>0</v>
      </c>
      <c r="AN184" s="474">
        <f t="shared" si="122"/>
        <v>0</v>
      </c>
      <c r="AO184" s="454">
        <f t="shared" si="123"/>
        <v>0</v>
      </c>
      <c r="AP184" s="472">
        <v>0</v>
      </c>
      <c r="AQ184" s="472">
        <v>0</v>
      </c>
      <c r="AR184" s="472">
        <v>0</v>
      </c>
      <c r="AS184" s="475">
        <v>0</v>
      </c>
      <c r="AT184" s="475">
        <v>0</v>
      </c>
      <c r="AU184" s="475">
        <v>0</v>
      </c>
      <c r="AV184" s="454">
        <f t="shared" si="124"/>
        <v>0</v>
      </c>
      <c r="AW184" s="454">
        <f t="shared" si="125"/>
        <v>0</v>
      </c>
      <c r="AX184" s="455">
        <f t="shared" si="142"/>
        <v>1</v>
      </c>
      <c r="AY184" s="476">
        <f t="shared" si="126"/>
        <v>0</v>
      </c>
      <c r="AZ184" s="476">
        <f t="shared" si="127"/>
        <v>0</v>
      </c>
      <c r="BA184" s="476">
        <f t="shared" si="128"/>
        <v>0</v>
      </c>
      <c r="BB184" s="476">
        <f t="shared" si="129"/>
        <v>0</v>
      </c>
      <c r="BC184" s="476">
        <f t="shared" si="130"/>
        <v>0</v>
      </c>
      <c r="BD184" s="476">
        <f t="shared" si="131"/>
        <v>0</v>
      </c>
      <c r="BE184" s="477">
        <f t="shared" si="132"/>
        <v>0</v>
      </c>
      <c r="BF184" s="478">
        <f t="shared" si="133"/>
        <v>0</v>
      </c>
      <c r="BG184" s="479">
        <f t="shared" si="134"/>
        <v>0</v>
      </c>
      <c r="BH184" s="485">
        <f t="shared" si="101"/>
        <v>0</v>
      </c>
      <c r="BI184" s="407" t="s">
        <v>692</v>
      </c>
      <c r="BJ184" s="486"/>
      <c r="BK184" s="486"/>
      <c r="BL184" s="486"/>
      <c r="BM184" s="487">
        <f>IF(BR184&gt;BR183,BM183,IF(BM183&lt;MiscData!$F$1,EOMONTH(BM183,1),EOMONTH(BM183,-11)))</f>
        <v>41790</v>
      </c>
      <c r="BN184" s="464" t="str">
        <f t="shared" si="102"/>
        <v>20140101KUCME707</v>
      </c>
      <c r="BO184" s="488" t="str">
        <f t="shared" si="103"/>
        <v>20140101LQF</v>
      </c>
      <c r="BP184" s="486">
        <f>IF(BM184&lt;=MiscData!$B$23,MiscData!$C$23,IF(BM184&lt;=MiscData!$B$24,MiscData!$C$24,MiscData!$C$25))</f>
        <v>20140101</v>
      </c>
      <c r="BQ184" s="486" t="str">
        <f>VLOOKUP(BR184,MiscData!$V$4:$W$42,2,FALSE)</f>
        <v>KUCME707</v>
      </c>
      <c r="BR184" s="407">
        <f>IF(BR183=MiscData!$V$42,1,BR183+1)</f>
        <v>25</v>
      </c>
      <c r="BS184" s="489" t="str">
        <f>VLOOKUP(BQ184,MiscData!$W$4:$Y$42,3,FALSE)</f>
        <v>LQF</v>
      </c>
    </row>
    <row r="185" spans="1:71" hidden="1">
      <c r="A185" s="463">
        <f t="shared" si="137"/>
        <v>170</v>
      </c>
      <c r="B185" s="464" t="str">
        <f t="shared" si="98"/>
        <v>May 2014</v>
      </c>
      <c r="C185" s="464" t="s">
        <v>224</v>
      </c>
      <c r="D185" s="465" t="str">
        <f t="shared" si="99"/>
        <v>GS</v>
      </c>
      <c r="E185" s="465" t="str">
        <f t="shared" si="100"/>
        <v>KUCME710</v>
      </c>
      <c r="F185" s="466">
        <f t="shared" si="104"/>
        <v>8</v>
      </c>
      <c r="G185" s="467">
        <v>0</v>
      </c>
      <c r="H185" s="466">
        <v>0</v>
      </c>
      <c r="I185" s="466">
        <v>0</v>
      </c>
      <c r="J185" s="466">
        <v>0</v>
      </c>
      <c r="K185" s="466">
        <f t="shared" si="105"/>
        <v>3336</v>
      </c>
      <c r="L185" s="459">
        <v>0</v>
      </c>
      <c r="M185" s="469">
        <f t="shared" si="106"/>
        <v>0</v>
      </c>
      <c r="N185" s="469">
        <f t="shared" si="107"/>
        <v>0</v>
      </c>
      <c r="O185" s="469">
        <f t="shared" si="108"/>
        <v>0</v>
      </c>
      <c r="P185" s="469">
        <f t="shared" si="109"/>
        <v>0</v>
      </c>
      <c r="Q185" s="469">
        <f t="shared" si="110"/>
        <v>0</v>
      </c>
      <c r="R185" s="469">
        <f t="shared" si="111"/>
        <v>0</v>
      </c>
      <c r="S185" s="484">
        <v>0</v>
      </c>
      <c r="T185" s="484">
        <v>0</v>
      </c>
      <c r="U185" s="484">
        <v>0</v>
      </c>
      <c r="V185" s="490">
        <v>0</v>
      </c>
      <c r="W185" s="490">
        <v>0</v>
      </c>
      <c r="X185" s="490">
        <v>0</v>
      </c>
      <c r="Y185" s="470">
        <f t="shared" si="112"/>
        <v>20</v>
      </c>
      <c r="Z185" s="471">
        <f t="shared" si="113"/>
        <v>9.2249999999999999E-2</v>
      </c>
      <c r="AA185" s="471">
        <v>0</v>
      </c>
      <c r="AB185" s="471">
        <v>0</v>
      </c>
      <c r="AC185" s="471">
        <f t="shared" si="114"/>
        <v>2.8920000000000001E-2</v>
      </c>
      <c r="AD185" s="470">
        <f t="shared" si="115"/>
        <v>0</v>
      </c>
      <c r="AE185" s="470">
        <f t="shared" si="116"/>
        <v>0</v>
      </c>
      <c r="AF185" s="470">
        <f t="shared" si="117"/>
        <v>0</v>
      </c>
      <c r="AG185" s="454">
        <f t="shared" si="118"/>
        <v>160</v>
      </c>
      <c r="AH185" s="454">
        <f t="shared" si="140"/>
        <v>307.75</v>
      </c>
      <c r="AI185" s="421">
        <f t="shared" si="119"/>
        <v>0</v>
      </c>
      <c r="AJ185" s="421">
        <f t="shared" si="120"/>
        <v>0</v>
      </c>
      <c r="AK185" s="421">
        <f t="shared" si="121"/>
        <v>0</v>
      </c>
      <c r="AL185" s="472">
        <v>0</v>
      </c>
      <c r="AM185" s="473">
        <f t="shared" si="138"/>
        <v>0</v>
      </c>
      <c r="AN185" s="474">
        <f t="shared" si="122"/>
        <v>0</v>
      </c>
      <c r="AO185" s="454">
        <f t="shared" si="123"/>
        <v>0</v>
      </c>
      <c r="AP185" s="472">
        <v>-10.67</v>
      </c>
      <c r="AQ185" s="472">
        <v>-0.01</v>
      </c>
      <c r="AR185" s="472">
        <v>0</v>
      </c>
      <c r="AS185" s="475">
        <v>0</v>
      </c>
      <c r="AT185" s="475">
        <v>0</v>
      </c>
      <c r="AU185" s="475">
        <v>0</v>
      </c>
      <c r="AV185" s="454">
        <f t="shared" si="124"/>
        <v>457.07</v>
      </c>
      <c r="AW185" s="454">
        <f t="shared" si="125"/>
        <v>457.07</v>
      </c>
      <c r="AX185" s="455">
        <f t="shared" ref="AX185:AX198" si="143">IF(AND(AV185=0,AW185=0),1,IF(AV185=0,0,AW185/AV185))</f>
        <v>1</v>
      </c>
      <c r="AY185" s="476">
        <f t="shared" si="126"/>
        <v>11.91</v>
      </c>
      <c r="AZ185" s="476">
        <f t="shared" si="127"/>
        <v>10.02</v>
      </c>
      <c r="BA185" s="476">
        <f t="shared" si="128"/>
        <v>14.09</v>
      </c>
      <c r="BB185" s="476">
        <f t="shared" si="129"/>
        <v>0</v>
      </c>
      <c r="BC185" s="476">
        <f t="shared" si="130"/>
        <v>0</v>
      </c>
      <c r="BD185" s="476">
        <f t="shared" si="131"/>
        <v>493.09</v>
      </c>
      <c r="BE185" s="477">
        <f t="shared" si="132"/>
        <v>493.09</v>
      </c>
      <c r="BF185" s="478">
        <f t="shared" si="133"/>
        <v>0</v>
      </c>
      <c r="BG185" s="479">
        <f t="shared" si="134"/>
        <v>96.48</v>
      </c>
      <c r="BH185" s="485">
        <f t="shared" si="101"/>
        <v>211.26</v>
      </c>
      <c r="BI185" s="407" t="s">
        <v>692</v>
      </c>
      <c r="BJ185" s="486"/>
      <c r="BK185" s="486"/>
      <c r="BL185" s="486"/>
      <c r="BM185" s="487">
        <f>IF(BR185&gt;BR184,BM184,IF(BM184&lt;MiscData!$F$1,EOMONTH(BM184,1),EOMONTH(BM184,-11)))</f>
        <v>41790</v>
      </c>
      <c r="BN185" s="464" t="str">
        <f t="shared" si="102"/>
        <v>20140101KUCME710</v>
      </c>
      <c r="BO185" s="488" t="str">
        <f t="shared" si="103"/>
        <v>20140101GS</v>
      </c>
      <c r="BP185" s="486">
        <f>IF(BM185&lt;=MiscData!$B$23,MiscData!$C$23,IF(BM185&lt;=MiscData!$B$24,MiscData!$C$24,MiscData!$C$25))</f>
        <v>20140101</v>
      </c>
      <c r="BQ185" s="486" t="str">
        <f>VLOOKUP(BR185,MiscData!$V$4:$W$42,2,FALSE)</f>
        <v>KUCME710</v>
      </c>
      <c r="BR185" s="407">
        <f>IF(BR184=MiscData!$V$42,1,BR184+1)</f>
        <v>26</v>
      </c>
      <c r="BS185" s="489" t="str">
        <f>VLOOKUP(BQ185,MiscData!$W$4:$Y$42,3,FALSE)</f>
        <v>GS</v>
      </c>
    </row>
    <row r="186" spans="1:71" hidden="1">
      <c r="A186" s="463">
        <f t="shared" si="137"/>
        <v>171</v>
      </c>
      <c r="B186" s="464" t="str">
        <f t="shared" si="98"/>
        <v>May 2014</v>
      </c>
      <c r="C186" s="464" t="s">
        <v>18</v>
      </c>
      <c r="D186" s="465" t="str">
        <f t="shared" si="99"/>
        <v>GS3</v>
      </c>
      <c r="E186" s="465" t="str">
        <f t="shared" si="100"/>
        <v>KUCME713</v>
      </c>
      <c r="F186" s="466">
        <f t="shared" si="104"/>
        <v>2</v>
      </c>
      <c r="G186" s="467">
        <v>0</v>
      </c>
      <c r="H186" s="466">
        <v>0</v>
      </c>
      <c r="I186" s="466">
        <v>0</v>
      </c>
      <c r="J186" s="466">
        <v>0</v>
      </c>
      <c r="K186" s="466">
        <f t="shared" si="105"/>
        <v>10160</v>
      </c>
      <c r="L186" s="459">
        <v>0</v>
      </c>
      <c r="M186" s="469">
        <f t="shared" si="106"/>
        <v>61</v>
      </c>
      <c r="N186" s="469">
        <f t="shared" si="107"/>
        <v>0</v>
      </c>
      <c r="O186" s="469">
        <f t="shared" si="108"/>
        <v>0</v>
      </c>
      <c r="P186" s="469">
        <f t="shared" si="109"/>
        <v>0</v>
      </c>
      <c r="Q186" s="469">
        <f t="shared" si="110"/>
        <v>0</v>
      </c>
      <c r="R186" s="469">
        <f t="shared" si="111"/>
        <v>0</v>
      </c>
      <c r="S186" s="484">
        <v>0</v>
      </c>
      <c r="T186" s="484">
        <v>0</v>
      </c>
      <c r="U186" s="484">
        <v>0</v>
      </c>
      <c r="V186" s="490">
        <v>0</v>
      </c>
      <c r="W186" s="490">
        <v>0</v>
      </c>
      <c r="X186" s="490">
        <v>0</v>
      </c>
      <c r="Y186" s="470">
        <f t="shared" si="112"/>
        <v>35</v>
      </c>
      <c r="Z186" s="471">
        <f t="shared" si="113"/>
        <v>9.2249999999999999E-2</v>
      </c>
      <c r="AA186" s="471">
        <v>0</v>
      </c>
      <c r="AB186" s="471">
        <v>0</v>
      </c>
      <c r="AC186" s="471">
        <f t="shared" si="114"/>
        <v>2.8920000000000001E-2</v>
      </c>
      <c r="AD186" s="470">
        <f t="shared" si="115"/>
        <v>0</v>
      </c>
      <c r="AE186" s="470">
        <f t="shared" si="116"/>
        <v>0</v>
      </c>
      <c r="AF186" s="470">
        <f t="shared" si="117"/>
        <v>0</v>
      </c>
      <c r="AG186" s="454">
        <f t="shared" si="118"/>
        <v>70</v>
      </c>
      <c r="AH186" s="454">
        <f t="shared" si="140"/>
        <v>937.26</v>
      </c>
      <c r="AI186" s="421">
        <f t="shared" si="119"/>
        <v>0</v>
      </c>
      <c r="AJ186" s="421">
        <f t="shared" si="120"/>
        <v>0</v>
      </c>
      <c r="AK186" s="421">
        <f t="shared" si="121"/>
        <v>0</v>
      </c>
      <c r="AL186" s="472">
        <v>0</v>
      </c>
      <c r="AM186" s="473">
        <f t="shared" si="138"/>
        <v>0</v>
      </c>
      <c r="AN186" s="474">
        <f t="shared" si="122"/>
        <v>0</v>
      </c>
      <c r="AO186" s="454">
        <f t="shared" si="123"/>
        <v>0</v>
      </c>
      <c r="AP186" s="472">
        <v>0</v>
      </c>
      <c r="AQ186" s="472">
        <v>0</v>
      </c>
      <c r="AR186" s="472">
        <v>0</v>
      </c>
      <c r="AS186" s="475">
        <v>0</v>
      </c>
      <c r="AT186" s="475">
        <v>0</v>
      </c>
      <c r="AU186" s="475">
        <v>0</v>
      </c>
      <c r="AV186" s="454">
        <f t="shared" si="124"/>
        <v>1007.26</v>
      </c>
      <c r="AW186" s="454">
        <f t="shared" si="125"/>
        <v>1007.2599999999999</v>
      </c>
      <c r="AX186" s="455">
        <f t="shared" si="143"/>
        <v>0.99999999999999989</v>
      </c>
      <c r="AY186" s="476">
        <f t="shared" si="126"/>
        <v>36.270000000000003</v>
      </c>
      <c r="AZ186" s="476">
        <f t="shared" si="127"/>
        <v>4.8</v>
      </c>
      <c r="BA186" s="476">
        <f t="shared" si="128"/>
        <v>27.29</v>
      </c>
      <c r="BB186" s="476">
        <f t="shared" si="129"/>
        <v>0</v>
      </c>
      <c r="BC186" s="476">
        <f t="shared" si="130"/>
        <v>0</v>
      </c>
      <c r="BD186" s="476">
        <f t="shared" si="131"/>
        <v>1075.6199999999999</v>
      </c>
      <c r="BE186" s="477">
        <f t="shared" si="132"/>
        <v>1075.6199999999999</v>
      </c>
      <c r="BF186" s="478">
        <f t="shared" si="133"/>
        <v>0</v>
      </c>
      <c r="BG186" s="479">
        <f t="shared" si="134"/>
        <v>293.83</v>
      </c>
      <c r="BH186" s="485">
        <f t="shared" si="101"/>
        <v>643.43000000000006</v>
      </c>
      <c r="BI186" s="407" t="s">
        <v>692</v>
      </c>
      <c r="BJ186" s="486"/>
      <c r="BK186" s="486"/>
      <c r="BL186" s="486"/>
      <c r="BM186" s="487">
        <f>IF(BR186&gt;BR185,BM185,IF(BM185&lt;MiscData!$F$1,EOMONTH(BM185,1),EOMONTH(BM185,-11)))</f>
        <v>41790</v>
      </c>
      <c r="BN186" s="464" t="str">
        <f t="shared" si="102"/>
        <v>20140101KUCME713</v>
      </c>
      <c r="BO186" s="488" t="str">
        <f t="shared" si="103"/>
        <v>20140101GS3</v>
      </c>
      <c r="BP186" s="486">
        <f>IF(BM186&lt;=MiscData!$B$23,MiscData!$C$23,IF(BM186&lt;=MiscData!$B$24,MiscData!$C$24,MiscData!$C$25))</f>
        <v>20140101</v>
      </c>
      <c r="BQ186" s="486" t="str">
        <f>VLOOKUP(BR186,MiscData!$V$4:$W$42,2,FALSE)</f>
        <v>KUCME713</v>
      </c>
      <c r="BR186" s="407">
        <f>IF(BR185=MiscData!$V$42,1,BR185+1)</f>
        <v>27</v>
      </c>
      <c r="BS186" s="489" t="str">
        <f>VLOOKUP(BQ186,MiscData!$W$4:$Y$42,3,FALSE)</f>
        <v>GS3</v>
      </c>
    </row>
    <row r="187" spans="1:71" hidden="1">
      <c r="A187" s="463">
        <f t="shared" si="137"/>
        <v>172</v>
      </c>
      <c r="B187" s="464" t="str">
        <f t="shared" si="98"/>
        <v>May 2014</v>
      </c>
      <c r="C187" s="416" t="s">
        <v>1459</v>
      </c>
      <c r="D187" s="465" t="str">
        <f t="shared" si="99"/>
        <v>CSR10</v>
      </c>
      <c r="E187" s="465" t="str">
        <f t="shared" si="100"/>
        <v>KUCSR760</v>
      </c>
      <c r="F187" s="466">
        <f t="shared" si="104"/>
        <v>1</v>
      </c>
      <c r="G187" s="467">
        <v>0</v>
      </c>
      <c r="H187" s="466">
        <v>0</v>
      </c>
      <c r="I187" s="466">
        <v>0</v>
      </c>
      <c r="J187" s="466">
        <v>0</v>
      </c>
      <c r="K187" s="466">
        <f t="shared" si="105"/>
        <v>0</v>
      </c>
      <c r="L187" s="481">
        <v>0</v>
      </c>
      <c r="M187" s="469">
        <f t="shared" si="106"/>
        <v>0</v>
      </c>
      <c r="N187" s="469">
        <f t="shared" si="107"/>
        <v>0</v>
      </c>
      <c r="O187" s="469">
        <f t="shared" si="108"/>
        <v>0</v>
      </c>
      <c r="P187" s="469">
        <f t="shared" si="109"/>
        <v>0</v>
      </c>
      <c r="Q187" s="469">
        <f t="shared" si="110"/>
        <v>0</v>
      </c>
      <c r="R187" s="469">
        <f t="shared" si="111"/>
        <v>0</v>
      </c>
      <c r="S187" s="484">
        <v>0</v>
      </c>
      <c r="T187" s="484">
        <v>0</v>
      </c>
      <c r="U187" s="484">
        <v>0</v>
      </c>
      <c r="V187" s="490">
        <v>0</v>
      </c>
      <c r="W187" s="490">
        <v>0</v>
      </c>
      <c r="X187" s="490">
        <v>0</v>
      </c>
      <c r="Y187" s="470">
        <f t="shared" si="112"/>
        <v>0</v>
      </c>
      <c r="Z187" s="471">
        <f t="shared" si="113"/>
        <v>0</v>
      </c>
      <c r="AA187" s="471">
        <v>0</v>
      </c>
      <c r="AB187" s="471">
        <v>0</v>
      </c>
      <c r="AC187" s="471">
        <f t="shared" si="114"/>
        <v>0</v>
      </c>
      <c r="AD187" s="470">
        <f t="shared" si="115"/>
        <v>-5.4</v>
      </c>
      <c r="AE187" s="470">
        <f t="shared" si="116"/>
        <v>0</v>
      </c>
      <c r="AF187" s="470">
        <f t="shared" si="117"/>
        <v>0</v>
      </c>
      <c r="AG187" s="454">
        <f t="shared" si="118"/>
        <v>0</v>
      </c>
      <c r="AH187" s="454">
        <f t="shared" si="140"/>
        <v>0</v>
      </c>
      <c r="AI187" s="421">
        <f t="shared" si="119"/>
        <v>0</v>
      </c>
      <c r="AJ187" s="421">
        <f t="shared" si="120"/>
        <v>0</v>
      </c>
      <c r="AK187" s="421">
        <f t="shared" si="121"/>
        <v>0</v>
      </c>
      <c r="AL187" s="472">
        <v>0</v>
      </c>
      <c r="AM187" s="473">
        <f t="shared" si="138"/>
        <v>0</v>
      </c>
      <c r="AN187" s="474">
        <f t="shared" si="122"/>
        <v>0</v>
      </c>
      <c r="AO187" s="454">
        <f t="shared" si="123"/>
        <v>0</v>
      </c>
      <c r="AP187" s="472">
        <v>0</v>
      </c>
      <c r="AQ187" s="472">
        <v>0</v>
      </c>
      <c r="AR187" s="472">
        <v>0</v>
      </c>
      <c r="AS187" s="475">
        <v>0</v>
      </c>
      <c r="AT187" s="475">
        <v>0</v>
      </c>
      <c r="AU187" s="475">
        <v>0</v>
      </c>
      <c r="AV187" s="454">
        <f t="shared" si="124"/>
        <v>0</v>
      </c>
      <c r="AW187" s="454">
        <f t="shared" si="125"/>
        <v>0</v>
      </c>
      <c r="AX187" s="455">
        <f t="shared" si="143"/>
        <v>1</v>
      </c>
      <c r="AY187" s="476">
        <f t="shared" si="126"/>
        <v>0</v>
      </c>
      <c r="AZ187" s="476">
        <f t="shared" si="127"/>
        <v>0</v>
      </c>
      <c r="BA187" s="476">
        <f t="shared" si="128"/>
        <v>0</v>
      </c>
      <c r="BB187" s="476">
        <f t="shared" si="129"/>
        <v>0</v>
      </c>
      <c r="BC187" s="476">
        <f t="shared" si="130"/>
        <v>-1007646.75</v>
      </c>
      <c r="BD187" s="476">
        <f t="shared" si="131"/>
        <v>-1007646.75</v>
      </c>
      <c r="BE187" s="477">
        <f t="shared" si="132"/>
        <v>-1007646.75</v>
      </c>
      <c r="BF187" s="478">
        <f t="shared" si="133"/>
        <v>0</v>
      </c>
      <c r="BG187" s="479">
        <f t="shared" si="134"/>
        <v>0</v>
      </c>
      <c r="BH187" s="485">
        <f t="shared" si="101"/>
        <v>0</v>
      </c>
      <c r="BI187" s="407" t="s">
        <v>692</v>
      </c>
      <c r="BJ187" s="486"/>
      <c r="BK187" s="486"/>
      <c r="BL187" s="486"/>
      <c r="BM187" s="487">
        <f>IF(BR187&gt;BR186,BM186,IF(BM186&lt;MiscData!$F$1,EOMONTH(BM186,1),EOMONTH(BM186,-11)))</f>
        <v>41790</v>
      </c>
      <c r="BN187" s="464" t="str">
        <f t="shared" si="102"/>
        <v>20140101KUCSR760</v>
      </c>
      <c r="BO187" s="488" t="str">
        <f t="shared" si="103"/>
        <v>20140101CSR10</v>
      </c>
      <c r="BP187" s="486">
        <f>IF(BM187&lt;=MiscData!$B$23,MiscData!$C$23,IF(BM187&lt;=MiscData!$B$24,MiscData!$C$24,MiscData!$C$25))</f>
        <v>20140101</v>
      </c>
      <c r="BQ187" s="486" t="str">
        <f>VLOOKUP(BR187,MiscData!$V$4:$W$42,2,FALSE)</f>
        <v>KUCSR760</v>
      </c>
      <c r="BR187" s="407">
        <f>IF(BR186=MiscData!$V$42,1,BR186+1)</f>
        <v>28</v>
      </c>
      <c r="BS187" s="489" t="str">
        <f>VLOOKUP(BQ187,MiscData!$W$4:$Y$42,3,FALSE)</f>
        <v>CSR10</v>
      </c>
    </row>
    <row r="188" spans="1:71" hidden="1">
      <c r="A188" s="463">
        <f>A184+1</f>
        <v>170</v>
      </c>
      <c r="B188" s="464" t="str">
        <f t="shared" si="98"/>
        <v>May 2014</v>
      </c>
      <c r="C188" s="416" t="s">
        <v>1459</v>
      </c>
      <c r="D188" s="465" t="str">
        <f t="shared" si="99"/>
        <v>CSR10</v>
      </c>
      <c r="E188" s="465" t="str">
        <f t="shared" si="100"/>
        <v>KUCSR761</v>
      </c>
      <c r="F188" s="466">
        <f t="shared" si="104"/>
        <v>1</v>
      </c>
      <c r="G188" s="467">
        <v>0</v>
      </c>
      <c r="H188" s="466">
        <v>0</v>
      </c>
      <c r="I188" s="466">
        <v>0</v>
      </c>
      <c r="J188" s="466">
        <v>0</v>
      </c>
      <c r="K188" s="466">
        <f t="shared" si="105"/>
        <v>0</v>
      </c>
      <c r="L188" s="481">
        <v>0</v>
      </c>
      <c r="M188" s="469">
        <f t="shared" si="106"/>
        <v>0</v>
      </c>
      <c r="N188" s="469">
        <f t="shared" si="107"/>
        <v>0</v>
      </c>
      <c r="O188" s="469">
        <f t="shared" si="108"/>
        <v>0</v>
      </c>
      <c r="P188" s="469">
        <f t="shared" si="109"/>
        <v>0</v>
      </c>
      <c r="Q188" s="469">
        <f t="shared" si="110"/>
        <v>0</v>
      </c>
      <c r="R188" s="469">
        <f t="shared" si="111"/>
        <v>0</v>
      </c>
      <c r="S188" s="484">
        <v>0</v>
      </c>
      <c r="T188" s="484">
        <v>0</v>
      </c>
      <c r="U188" s="484">
        <v>0</v>
      </c>
      <c r="V188" s="490">
        <v>0</v>
      </c>
      <c r="W188" s="490">
        <v>0</v>
      </c>
      <c r="X188" s="490">
        <v>0</v>
      </c>
      <c r="Y188" s="470">
        <f t="shared" si="112"/>
        <v>0</v>
      </c>
      <c r="Z188" s="471">
        <f t="shared" si="113"/>
        <v>0</v>
      </c>
      <c r="AA188" s="471">
        <v>0</v>
      </c>
      <c r="AB188" s="471">
        <v>0</v>
      </c>
      <c r="AC188" s="471">
        <f t="shared" si="114"/>
        <v>0</v>
      </c>
      <c r="AD188" s="470">
        <f t="shared" si="115"/>
        <v>-5.5</v>
      </c>
      <c r="AE188" s="470">
        <f t="shared" si="116"/>
        <v>0</v>
      </c>
      <c r="AF188" s="470">
        <f t="shared" si="117"/>
        <v>0</v>
      </c>
      <c r="AG188" s="454">
        <f t="shared" si="118"/>
        <v>0</v>
      </c>
      <c r="AH188" s="454">
        <f t="shared" si="140"/>
        <v>0</v>
      </c>
      <c r="AI188" s="421">
        <f t="shared" si="119"/>
        <v>0</v>
      </c>
      <c r="AJ188" s="421">
        <f t="shared" si="120"/>
        <v>0</v>
      </c>
      <c r="AK188" s="421">
        <f t="shared" si="121"/>
        <v>0</v>
      </c>
      <c r="AL188" s="472">
        <v>0</v>
      </c>
      <c r="AM188" s="473">
        <f t="shared" si="138"/>
        <v>0</v>
      </c>
      <c r="AN188" s="474">
        <f t="shared" si="122"/>
        <v>0</v>
      </c>
      <c r="AO188" s="454">
        <f t="shared" si="123"/>
        <v>0</v>
      </c>
      <c r="AP188" s="472">
        <v>0</v>
      </c>
      <c r="AQ188" s="472">
        <v>0</v>
      </c>
      <c r="AR188" s="472">
        <v>0</v>
      </c>
      <c r="AS188" s="475">
        <v>0</v>
      </c>
      <c r="AT188" s="475">
        <v>0</v>
      </c>
      <c r="AU188" s="475">
        <v>0</v>
      </c>
      <c r="AV188" s="454">
        <f t="shared" si="124"/>
        <v>0</v>
      </c>
      <c r="AW188" s="454">
        <f t="shared" si="125"/>
        <v>0</v>
      </c>
      <c r="AX188" s="455">
        <f t="shared" si="143"/>
        <v>1</v>
      </c>
      <c r="AY188" s="476">
        <f t="shared" si="126"/>
        <v>0</v>
      </c>
      <c r="AZ188" s="476">
        <f t="shared" si="127"/>
        <v>0</v>
      </c>
      <c r="BA188" s="476">
        <f t="shared" si="128"/>
        <v>0</v>
      </c>
      <c r="BB188" s="476">
        <f t="shared" si="129"/>
        <v>0</v>
      </c>
      <c r="BC188" s="476">
        <f t="shared" si="130"/>
        <v>-29673.38</v>
      </c>
      <c r="BD188" s="476">
        <f t="shared" si="131"/>
        <v>-29673.38</v>
      </c>
      <c r="BE188" s="477">
        <f t="shared" si="132"/>
        <v>-29673.38</v>
      </c>
      <c r="BF188" s="478">
        <f t="shared" si="133"/>
        <v>0</v>
      </c>
      <c r="BG188" s="479">
        <f t="shared" si="134"/>
        <v>0</v>
      </c>
      <c r="BH188" s="485">
        <f t="shared" si="101"/>
        <v>0</v>
      </c>
      <c r="BI188" s="407" t="s">
        <v>692</v>
      </c>
      <c r="BJ188" s="486"/>
      <c r="BK188" s="486"/>
      <c r="BL188" s="486"/>
      <c r="BM188" s="487">
        <f>IF(BR188&gt;BR184,BM184,IF(BM184&lt;MiscData!$F$1,EOMONTH(BM184,1),EOMONTH(BM184,-11)))</f>
        <v>41790</v>
      </c>
      <c r="BN188" s="464" t="str">
        <f t="shared" si="102"/>
        <v>20140101KUCSR761</v>
      </c>
      <c r="BO188" s="488" t="str">
        <f t="shared" si="103"/>
        <v>20140101CSR10</v>
      </c>
      <c r="BP188" s="486">
        <f>IF(BM188&lt;=MiscData!$B$23,MiscData!$C$23,IF(BM188&lt;=MiscData!$B$24,MiscData!$C$24,MiscData!$C$25))</f>
        <v>20140101</v>
      </c>
      <c r="BQ188" s="486" t="str">
        <f>VLOOKUP(BR188,MiscData!$V$4:$W$42,2,FALSE)</f>
        <v>KUCSR761</v>
      </c>
      <c r="BR188" s="407">
        <f>IF(BR187=MiscData!$V$42,1,BR187+1)</f>
        <v>29</v>
      </c>
      <c r="BS188" s="489" t="str">
        <f>VLOOKUP(BQ188,MiscData!$W$4:$Y$42,3,FALSE)</f>
        <v>CSR10</v>
      </c>
    </row>
    <row r="189" spans="1:71" hidden="1">
      <c r="A189" s="463">
        <f>A185+1</f>
        <v>171</v>
      </c>
      <c r="B189" s="464" t="str">
        <f t="shared" si="98"/>
        <v>May 2014</v>
      </c>
      <c r="C189" s="416" t="s">
        <v>1460</v>
      </c>
      <c r="D189" s="465" t="str">
        <f t="shared" si="99"/>
        <v>CSR30</v>
      </c>
      <c r="E189" s="465" t="str">
        <f t="shared" si="100"/>
        <v>KUCSR780</v>
      </c>
      <c r="F189" s="466">
        <f t="shared" si="104"/>
        <v>0</v>
      </c>
      <c r="G189" s="467">
        <v>0</v>
      </c>
      <c r="H189" s="466">
        <v>0</v>
      </c>
      <c r="I189" s="466">
        <v>0</v>
      </c>
      <c r="J189" s="466">
        <v>0</v>
      </c>
      <c r="K189" s="466">
        <f t="shared" si="105"/>
        <v>0</v>
      </c>
      <c r="L189" s="481">
        <v>0</v>
      </c>
      <c r="M189" s="469">
        <f t="shared" si="106"/>
        <v>0</v>
      </c>
      <c r="N189" s="469">
        <f t="shared" si="107"/>
        <v>0</v>
      </c>
      <c r="O189" s="469">
        <f t="shared" si="108"/>
        <v>0</v>
      </c>
      <c r="P189" s="469">
        <f t="shared" si="109"/>
        <v>0</v>
      </c>
      <c r="Q189" s="469">
        <f t="shared" si="110"/>
        <v>0</v>
      </c>
      <c r="R189" s="469">
        <f t="shared" si="111"/>
        <v>0</v>
      </c>
      <c r="S189" s="484">
        <v>0</v>
      </c>
      <c r="T189" s="484">
        <v>0</v>
      </c>
      <c r="U189" s="484">
        <v>0</v>
      </c>
      <c r="V189" s="490">
        <v>0</v>
      </c>
      <c r="W189" s="490">
        <v>0</v>
      </c>
      <c r="X189" s="490">
        <v>0</v>
      </c>
      <c r="Y189" s="470">
        <f t="shared" si="112"/>
        <v>0</v>
      </c>
      <c r="Z189" s="471">
        <f t="shared" si="113"/>
        <v>0</v>
      </c>
      <c r="AA189" s="471">
        <v>0</v>
      </c>
      <c r="AB189" s="471">
        <v>0</v>
      </c>
      <c r="AC189" s="471">
        <f t="shared" si="114"/>
        <v>0</v>
      </c>
      <c r="AD189" s="470">
        <f t="shared" si="115"/>
        <v>-4.3</v>
      </c>
      <c r="AE189" s="470">
        <f t="shared" si="116"/>
        <v>0</v>
      </c>
      <c r="AF189" s="470">
        <f t="shared" si="117"/>
        <v>0</v>
      </c>
      <c r="AG189" s="454">
        <f t="shared" si="118"/>
        <v>0</v>
      </c>
      <c r="AH189" s="454">
        <f t="shared" si="140"/>
        <v>0</v>
      </c>
      <c r="AI189" s="421">
        <f t="shared" si="119"/>
        <v>0</v>
      </c>
      <c r="AJ189" s="421">
        <f t="shared" si="120"/>
        <v>0</v>
      </c>
      <c r="AK189" s="421">
        <f t="shared" si="121"/>
        <v>0</v>
      </c>
      <c r="AL189" s="472">
        <v>0</v>
      </c>
      <c r="AM189" s="473">
        <f t="shared" si="138"/>
        <v>0</v>
      </c>
      <c r="AN189" s="474">
        <f t="shared" si="122"/>
        <v>0</v>
      </c>
      <c r="AO189" s="454">
        <f t="shared" si="123"/>
        <v>0</v>
      </c>
      <c r="AP189" s="472">
        <v>0</v>
      </c>
      <c r="AQ189" s="472">
        <v>0</v>
      </c>
      <c r="AR189" s="472">
        <v>0</v>
      </c>
      <c r="AS189" s="475">
        <v>0</v>
      </c>
      <c r="AT189" s="475">
        <v>0</v>
      </c>
      <c r="AU189" s="475">
        <v>0</v>
      </c>
      <c r="AV189" s="454">
        <f t="shared" si="124"/>
        <v>0</v>
      </c>
      <c r="AW189" s="454">
        <f t="shared" si="125"/>
        <v>0</v>
      </c>
      <c r="AX189" s="455">
        <f t="shared" si="143"/>
        <v>1</v>
      </c>
      <c r="AY189" s="476">
        <f t="shared" si="126"/>
        <v>0</v>
      </c>
      <c r="AZ189" s="476">
        <f t="shared" si="127"/>
        <v>0</v>
      </c>
      <c r="BA189" s="476">
        <f t="shared" si="128"/>
        <v>0</v>
      </c>
      <c r="BB189" s="476">
        <f t="shared" si="129"/>
        <v>0</v>
      </c>
      <c r="BC189" s="476">
        <f t="shared" si="130"/>
        <v>0</v>
      </c>
      <c r="BD189" s="476">
        <f t="shared" si="131"/>
        <v>0</v>
      </c>
      <c r="BE189" s="477">
        <f t="shared" si="132"/>
        <v>0</v>
      </c>
      <c r="BF189" s="478">
        <f t="shared" si="133"/>
        <v>0</v>
      </c>
      <c r="BG189" s="479">
        <f t="shared" si="134"/>
        <v>0</v>
      </c>
      <c r="BH189" s="485">
        <f t="shared" si="101"/>
        <v>0</v>
      </c>
      <c r="BI189" s="407" t="s">
        <v>692</v>
      </c>
      <c r="BJ189" s="486"/>
      <c r="BK189" s="486"/>
      <c r="BL189" s="486"/>
      <c r="BM189" s="487">
        <f>IF(BR189&gt;BR185,BM185,IF(BM185&lt;MiscData!$F$1,EOMONTH(BM185,1),EOMONTH(BM185,-11)))</f>
        <v>41790</v>
      </c>
      <c r="BN189" s="464" t="str">
        <f t="shared" si="102"/>
        <v>20140101KUCSR780</v>
      </c>
      <c r="BO189" s="488" t="str">
        <f t="shared" si="103"/>
        <v>20140101CSR30</v>
      </c>
      <c r="BP189" s="486">
        <f>IF(BM189&lt;=MiscData!$B$23,MiscData!$C$23,IF(BM189&lt;=MiscData!$B$24,MiscData!$C$24,MiscData!$C$25))</f>
        <v>20140101</v>
      </c>
      <c r="BQ189" s="486" t="str">
        <f>VLOOKUP(BR189,MiscData!$V$4:$W$42,2,FALSE)</f>
        <v>KUCSR780</v>
      </c>
      <c r="BR189" s="407">
        <f>IF(BR188=MiscData!$V$42,1,BR188+1)</f>
        <v>30</v>
      </c>
      <c r="BS189" s="489" t="str">
        <f>VLOOKUP(BQ189,MiscData!$W$4:$Y$42,3,FALSE)</f>
        <v>CSR30</v>
      </c>
    </row>
    <row r="190" spans="1:71" hidden="1">
      <c r="A190" s="463">
        <f>A186+1</f>
        <v>172</v>
      </c>
      <c r="B190" s="464" t="str">
        <f t="shared" si="98"/>
        <v>May 2014</v>
      </c>
      <c r="C190" s="416" t="s">
        <v>1460</v>
      </c>
      <c r="D190" s="465" t="str">
        <f t="shared" si="99"/>
        <v>CSR30</v>
      </c>
      <c r="E190" s="465" t="str">
        <f t="shared" si="100"/>
        <v>KUCSR781</v>
      </c>
      <c r="F190" s="466">
        <f t="shared" si="104"/>
        <v>1</v>
      </c>
      <c r="G190" s="467">
        <v>0</v>
      </c>
      <c r="H190" s="466">
        <v>0</v>
      </c>
      <c r="I190" s="466">
        <v>0</v>
      </c>
      <c r="J190" s="466">
        <v>0</v>
      </c>
      <c r="K190" s="466">
        <f t="shared" si="105"/>
        <v>0</v>
      </c>
      <c r="L190" s="481">
        <v>0</v>
      </c>
      <c r="M190" s="469">
        <f t="shared" si="106"/>
        <v>0</v>
      </c>
      <c r="N190" s="469">
        <f t="shared" si="107"/>
        <v>0</v>
      </c>
      <c r="O190" s="469">
        <f t="shared" si="108"/>
        <v>0</v>
      </c>
      <c r="P190" s="469">
        <f t="shared" si="109"/>
        <v>0</v>
      </c>
      <c r="Q190" s="469">
        <f t="shared" si="110"/>
        <v>0</v>
      </c>
      <c r="R190" s="469">
        <f t="shared" si="111"/>
        <v>0</v>
      </c>
      <c r="S190" s="484">
        <v>0</v>
      </c>
      <c r="T190" s="484">
        <v>0</v>
      </c>
      <c r="U190" s="484">
        <v>0</v>
      </c>
      <c r="V190" s="490">
        <v>0</v>
      </c>
      <c r="W190" s="490">
        <v>0</v>
      </c>
      <c r="X190" s="490">
        <v>0</v>
      </c>
      <c r="Y190" s="470">
        <f t="shared" si="112"/>
        <v>0</v>
      </c>
      <c r="Z190" s="471">
        <f t="shared" si="113"/>
        <v>0</v>
      </c>
      <c r="AA190" s="471">
        <v>0</v>
      </c>
      <c r="AB190" s="471">
        <v>0</v>
      </c>
      <c r="AC190" s="471">
        <f t="shared" si="114"/>
        <v>0</v>
      </c>
      <c r="AD190" s="470">
        <f t="shared" si="115"/>
        <v>-4.4000000000000004</v>
      </c>
      <c r="AE190" s="470">
        <f t="shared" si="116"/>
        <v>0</v>
      </c>
      <c r="AF190" s="470">
        <f t="shared" si="117"/>
        <v>0</v>
      </c>
      <c r="AG190" s="454">
        <f t="shared" si="118"/>
        <v>0</v>
      </c>
      <c r="AH190" s="454">
        <f t="shared" si="140"/>
        <v>0</v>
      </c>
      <c r="AI190" s="421">
        <f t="shared" si="119"/>
        <v>0</v>
      </c>
      <c r="AJ190" s="421">
        <f t="shared" si="120"/>
        <v>0</v>
      </c>
      <c r="AK190" s="421">
        <f t="shared" si="121"/>
        <v>0</v>
      </c>
      <c r="AL190" s="472">
        <v>0</v>
      </c>
      <c r="AM190" s="473">
        <f t="shared" si="138"/>
        <v>0</v>
      </c>
      <c r="AN190" s="474">
        <f t="shared" si="122"/>
        <v>0</v>
      </c>
      <c r="AO190" s="454">
        <f t="shared" si="123"/>
        <v>0</v>
      </c>
      <c r="AP190" s="472">
        <v>0</v>
      </c>
      <c r="AQ190" s="472">
        <v>0</v>
      </c>
      <c r="AR190" s="472">
        <v>0</v>
      </c>
      <c r="AS190" s="475">
        <v>0</v>
      </c>
      <c r="AT190" s="475">
        <v>0</v>
      </c>
      <c r="AU190" s="475">
        <v>0</v>
      </c>
      <c r="AV190" s="454">
        <f t="shared" si="124"/>
        <v>0</v>
      </c>
      <c r="AW190" s="454">
        <f t="shared" si="125"/>
        <v>0</v>
      </c>
      <c r="AX190" s="455">
        <f t="shared" si="143"/>
        <v>1</v>
      </c>
      <c r="AY190" s="476">
        <f t="shared" si="126"/>
        <v>0</v>
      </c>
      <c r="AZ190" s="476">
        <f t="shared" si="127"/>
        <v>0</v>
      </c>
      <c r="BA190" s="476">
        <f t="shared" si="128"/>
        <v>0</v>
      </c>
      <c r="BB190" s="476">
        <f t="shared" si="129"/>
        <v>0</v>
      </c>
      <c r="BC190" s="476">
        <f t="shared" si="130"/>
        <v>-25585.08</v>
      </c>
      <c r="BD190" s="476">
        <f t="shared" si="131"/>
        <v>-25585.08</v>
      </c>
      <c r="BE190" s="477">
        <f t="shared" si="132"/>
        <v>-25585.08</v>
      </c>
      <c r="BF190" s="478">
        <f t="shared" si="133"/>
        <v>0</v>
      </c>
      <c r="BG190" s="479">
        <f t="shared" si="134"/>
        <v>0</v>
      </c>
      <c r="BH190" s="485">
        <f t="shared" si="101"/>
        <v>0</v>
      </c>
      <c r="BI190" s="407" t="s">
        <v>692</v>
      </c>
      <c r="BJ190" s="486"/>
      <c r="BK190" s="486"/>
      <c r="BL190" s="486"/>
      <c r="BM190" s="487">
        <f>IF(BR190&gt;BR186,BM186,IF(BM186&lt;MiscData!$F$1,EOMONTH(BM186,1),EOMONTH(BM186,-11)))</f>
        <v>41790</v>
      </c>
      <c r="BN190" s="464" t="str">
        <f t="shared" si="102"/>
        <v>20140101KUCSR781</v>
      </c>
      <c r="BO190" s="488" t="str">
        <f t="shared" si="103"/>
        <v>20140101CSR30</v>
      </c>
      <c r="BP190" s="486">
        <f>IF(BM190&lt;=MiscData!$B$23,MiscData!$C$23,IF(BM190&lt;=MiscData!$B$24,MiscData!$C$24,MiscData!$C$25))</f>
        <v>20140101</v>
      </c>
      <c r="BQ190" s="486" t="str">
        <f>VLOOKUP(BR190,MiscData!$V$4:$W$42,2,FALSE)</f>
        <v>KUCSR781</v>
      </c>
      <c r="BR190" s="407">
        <f>IF(BR189=MiscData!$V$42,1,BR189+1)</f>
        <v>31</v>
      </c>
      <c r="BS190" s="489" t="str">
        <f>VLOOKUP(BQ190,MiscData!$W$4:$Y$42,3,FALSE)</f>
        <v>CSR30</v>
      </c>
    </row>
    <row r="191" spans="1:71" hidden="1">
      <c r="A191" s="463">
        <f>A187+1</f>
        <v>173</v>
      </c>
      <c r="B191" s="464" t="str">
        <f t="shared" si="98"/>
        <v>May 2014</v>
      </c>
      <c r="C191" s="416" t="s">
        <v>1460</v>
      </c>
      <c r="D191" s="465" t="str">
        <f t="shared" si="99"/>
        <v>CSR30</v>
      </c>
      <c r="E191" s="465" t="str">
        <f t="shared" si="100"/>
        <v>KUCSR783</v>
      </c>
      <c r="F191" s="466">
        <f t="shared" si="104"/>
        <v>1</v>
      </c>
      <c r="G191" s="467">
        <v>0</v>
      </c>
      <c r="H191" s="466">
        <v>0</v>
      </c>
      <c r="I191" s="466">
        <v>0</v>
      </c>
      <c r="J191" s="466">
        <v>0</v>
      </c>
      <c r="K191" s="466">
        <f t="shared" si="105"/>
        <v>0</v>
      </c>
      <c r="L191" s="481">
        <v>0</v>
      </c>
      <c r="M191" s="469">
        <f t="shared" si="106"/>
        <v>0</v>
      </c>
      <c r="N191" s="469">
        <f t="shared" si="107"/>
        <v>0</v>
      </c>
      <c r="O191" s="469">
        <f t="shared" si="108"/>
        <v>0</v>
      </c>
      <c r="P191" s="469">
        <f t="shared" si="109"/>
        <v>0</v>
      </c>
      <c r="Q191" s="469">
        <f t="shared" si="110"/>
        <v>0</v>
      </c>
      <c r="R191" s="469">
        <f t="shared" si="111"/>
        <v>0</v>
      </c>
      <c r="S191" s="484">
        <v>0</v>
      </c>
      <c r="T191" s="484">
        <v>0</v>
      </c>
      <c r="U191" s="484">
        <v>0</v>
      </c>
      <c r="V191" s="490">
        <v>0</v>
      </c>
      <c r="W191" s="490">
        <v>0</v>
      </c>
      <c r="X191" s="490">
        <v>0</v>
      </c>
      <c r="Y191" s="470">
        <f t="shared" si="112"/>
        <v>0</v>
      </c>
      <c r="Z191" s="471">
        <f t="shared" si="113"/>
        <v>0</v>
      </c>
      <c r="AA191" s="471">
        <v>0</v>
      </c>
      <c r="AB191" s="471">
        <v>0</v>
      </c>
      <c r="AC191" s="471">
        <f t="shared" si="114"/>
        <v>0</v>
      </c>
      <c r="AD191" s="470">
        <f t="shared" si="115"/>
        <v>-4.4000000000000004</v>
      </c>
      <c r="AE191" s="470">
        <f t="shared" si="116"/>
        <v>0</v>
      </c>
      <c r="AF191" s="470">
        <f t="shared" si="117"/>
        <v>0</v>
      </c>
      <c r="AG191" s="454">
        <f t="shared" si="118"/>
        <v>0</v>
      </c>
      <c r="AH191" s="454">
        <f t="shared" si="140"/>
        <v>0</v>
      </c>
      <c r="AI191" s="421">
        <f t="shared" si="119"/>
        <v>0</v>
      </c>
      <c r="AJ191" s="421">
        <f t="shared" si="120"/>
        <v>0</v>
      </c>
      <c r="AK191" s="421">
        <f t="shared" si="121"/>
        <v>0</v>
      </c>
      <c r="AL191" s="472">
        <v>0</v>
      </c>
      <c r="AM191" s="473">
        <f t="shared" si="138"/>
        <v>0</v>
      </c>
      <c r="AN191" s="474">
        <f t="shared" si="122"/>
        <v>0</v>
      </c>
      <c r="AO191" s="454">
        <f t="shared" si="123"/>
        <v>0</v>
      </c>
      <c r="AP191" s="472">
        <v>0</v>
      </c>
      <c r="AQ191" s="472">
        <v>0</v>
      </c>
      <c r="AR191" s="472">
        <v>0</v>
      </c>
      <c r="AS191" s="475">
        <v>0</v>
      </c>
      <c r="AT191" s="475">
        <v>0</v>
      </c>
      <c r="AU191" s="475">
        <v>0</v>
      </c>
      <c r="AV191" s="454">
        <f t="shared" si="124"/>
        <v>0</v>
      </c>
      <c r="AW191" s="454">
        <f t="shared" si="125"/>
        <v>0</v>
      </c>
      <c r="AX191" s="455">
        <f t="shared" si="143"/>
        <v>1</v>
      </c>
      <c r="AY191" s="476">
        <f t="shared" si="126"/>
        <v>0</v>
      </c>
      <c r="AZ191" s="476">
        <f t="shared" si="127"/>
        <v>0</v>
      </c>
      <c r="BA191" s="476">
        <f t="shared" si="128"/>
        <v>0</v>
      </c>
      <c r="BB191" s="476">
        <f t="shared" si="129"/>
        <v>0</v>
      </c>
      <c r="BC191" s="476">
        <f t="shared" si="130"/>
        <v>-8800</v>
      </c>
      <c r="BD191" s="476">
        <f t="shared" si="131"/>
        <v>-8800</v>
      </c>
      <c r="BE191" s="477">
        <f t="shared" si="132"/>
        <v>-8800</v>
      </c>
      <c r="BF191" s="478">
        <f t="shared" si="133"/>
        <v>0</v>
      </c>
      <c r="BG191" s="479">
        <f t="shared" si="134"/>
        <v>0</v>
      </c>
      <c r="BH191" s="485">
        <f t="shared" si="101"/>
        <v>0</v>
      </c>
      <c r="BI191" s="407" t="s">
        <v>692</v>
      </c>
      <c r="BJ191" s="486"/>
      <c r="BK191" s="486"/>
      <c r="BL191" s="486"/>
      <c r="BM191" s="487">
        <f>IF(BR191&gt;BR187,BM187,IF(BM187&lt;MiscData!$F$1,EOMONTH(BM187,1),EOMONTH(BM187,-11)))</f>
        <v>41790</v>
      </c>
      <c r="BN191" s="464" t="str">
        <f t="shared" si="102"/>
        <v>20140101KUCSR783</v>
      </c>
      <c r="BO191" s="488" t="str">
        <f t="shared" si="103"/>
        <v>20140101CSR30</v>
      </c>
      <c r="BP191" s="486">
        <f>IF(BM191&lt;=MiscData!$B$23,MiscData!$C$23,IF(BM191&lt;=MiscData!$B$24,MiscData!$C$24,MiscData!$C$25))</f>
        <v>20140101</v>
      </c>
      <c r="BQ191" s="486" t="str">
        <f>VLOOKUP(BR191,MiscData!$V$4:$W$42,2,FALSE)</f>
        <v>KUCSR783</v>
      </c>
      <c r="BR191" s="407">
        <f>IF(BR190=MiscData!$V$42,1,BR190+1)</f>
        <v>32</v>
      </c>
      <c r="BS191" s="489" t="str">
        <f>VLOOKUP(BQ191,MiscData!$W$4:$Y$42,3,FALSE)</f>
        <v>CSR30</v>
      </c>
    </row>
    <row r="192" spans="1:71" hidden="1">
      <c r="A192" s="463">
        <f t="shared" ref="A192:A225" si="144">A191+1</f>
        <v>174</v>
      </c>
      <c r="B192" s="464" t="str">
        <f t="shared" si="98"/>
        <v>May 2014</v>
      </c>
      <c r="C192" s="837" t="s">
        <v>675</v>
      </c>
      <c r="D192" s="465" t="str">
        <f t="shared" si="99"/>
        <v>FLST</v>
      </c>
      <c r="E192" s="465" t="str">
        <f t="shared" si="100"/>
        <v>KUINE730</v>
      </c>
      <c r="F192" s="466">
        <f t="shared" si="104"/>
        <v>1</v>
      </c>
      <c r="G192" s="467">
        <v>0</v>
      </c>
      <c r="H192" s="466">
        <v>0</v>
      </c>
      <c r="I192" s="466">
        <v>0</v>
      </c>
      <c r="J192" s="466">
        <v>0</v>
      </c>
      <c r="K192" s="466">
        <f t="shared" si="105"/>
        <v>47520000</v>
      </c>
      <c r="L192" s="481">
        <v>0</v>
      </c>
      <c r="M192" s="469">
        <f t="shared" si="106"/>
        <v>190601.2</v>
      </c>
      <c r="N192" s="469">
        <f t="shared" si="107"/>
        <v>190601.2</v>
      </c>
      <c r="O192" s="469">
        <f t="shared" si="108"/>
        <v>137655.1</v>
      </c>
      <c r="P192" s="469">
        <f t="shared" si="109"/>
        <v>190601.2</v>
      </c>
      <c r="Q192" s="469">
        <f t="shared" si="110"/>
        <v>190601.2</v>
      </c>
      <c r="R192" s="469">
        <f t="shared" si="111"/>
        <v>137655.1</v>
      </c>
      <c r="S192" s="484">
        <v>0</v>
      </c>
      <c r="T192" s="484">
        <v>0</v>
      </c>
      <c r="U192" s="484">
        <v>0</v>
      </c>
      <c r="V192" s="490">
        <v>0</v>
      </c>
      <c r="W192" s="490">
        <v>0</v>
      </c>
      <c r="X192" s="490">
        <v>0</v>
      </c>
      <c r="Y192" s="470">
        <f t="shared" si="112"/>
        <v>750</v>
      </c>
      <c r="Z192" s="471">
        <f t="shared" si="113"/>
        <v>3.261E-2</v>
      </c>
      <c r="AA192" s="471">
        <v>0</v>
      </c>
      <c r="AB192" s="471">
        <v>0</v>
      </c>
      <c r="AC192" s="471">
        <f t="shared" si="114"/>
        <v>2.8920000000000001E-2</v>
      </c>
      <c r="AD192" s="470">
        <f t="shared" si="115"/>
        <v>1.05</v>
      </c>
      <c r="AE192" s="470">
        <f t="shared" si="116"/>
        <v>1.52</v>
      </c>
      <c r="AF192" s="470">
        <f t="shared" si="117"/>
        <v>2.41</v>
      </c>
      <c r="AG192" s="454">
        <f t="shared" si="118"/>
        <v>750</v>
      </c>
      <c r="AH192" s="454">
        <f t="shared" si="140"/>
        <v>1549627.2</v>
      </c>
      <c r="AI192" s="421">
        <f t="shared" si="119"/>
        <v>200131.26</v>
      </c>
      <c r="AJ192" s="421">
        <f t="shared" si="120"/>
        <v>289713.82</v>
      </c>
      <c r="AK192" s="421">
        <f t="shared" si="121"/>
        <v>331748.78999999998</v>
      </c>
      <c r="AL192" s="472">
        <v>0</v>
      </c>
      <c r="AM192" s="473">
        <f t="shared" si="138"/>
        <v>0</v>
      </c>
      <c r="AN192" s="474">
        <f t="shared" si="122"/>
        <v>0</v>
      </c>
      <c r="AO192" s="454">
        <f t="shared" si="123"/>
        <v>821593.87</v>
      </c>
      <c r="AP192" s="472">
        <v>0</v>
      </c>
      <c r="AQ192" s="472">
        <v>0</v>
      </c>
      <c r="AR192" s="472">
        <v>0</v>
      </c>
      <c r="AS192" s="475">
        <v>0</v>
      </c>
      <c r="AT192" s="475">
        <v>0</v>
      </c>
      <c r="AU192" s="475">
        <v>0</v>
      </c>
      <c r="AV192" s="454">
        <f t="shared" si="124"/>
        <v>2371971.0699999998</v>
      </c>
      <c r="AW192" s="454">
        <f t="shared" si="125"/>
        <v>2371971.0699999998</v>
      </c>
      <c r="AX192" s="455">
        <f t="shared" si="143"/>
        <v>1</v>
      </c>
      <c r="AY192" s="476">
        <f t="shared" si="126"/>
        <v>169646.4</v>
      </c>
      <c r="AZ192" s="476">
        <f t="shared" si="127"/>
        <v>0</v>
      </c>
      <c r="BA192" s="476">
        <f t="shared" si="128"/>
        <v>37912.32</v>
      </c>
      <c r="BB192" s="476">
        <f t="shared" si="129"/>
        <v>0</v>
      </c>
      <c r="BC192" s="476">
        <f t="shared" si="130"/>
        <v>0</v>
      </c>
      <c r="BD192" s="476">
        <f t="shared" si="131"/>
        <v>2579529.79</v>
      </c>
      <c r="BE192" s="477">
        <f t="shared" si="132"/>
        <v>2579529.7899999996</v>
      </c>
      <c r="BF192" s="478">
        <f t="shared" si="133"/>
        <v>0</v>
      </c>
      <c r="BG192" s="479">
        <f t="shared" si="134"/>
        <v>1374278.4</v>
      </c>
      <c r="BH192" s="485">
        <f t="shared" si="101"/>
        <v>175348.80000000005</v>
      </c>
      <c r="BI192" s="407" t="s">
        <v>692</v>
      </c>
      <c r="BJ192" s="486"/>
      <c r="BK192" s="486"/>
      <c r="BL192" s="486"/>
      <c r="BM192" s="487">
        <f>IF(BR192&gt;BR191,BM191,IF(BM191&lt;MiscData!$F$1,EOMONTH(BM191,1),EOMONTH(BM191,-11)))</f>
        <v>41790</v>
      </c>
      <c r="BN192" s="464" t="str">
        <f t="shared" si="102"/>
        <v>20140101KUINE730</v>
      </c>
      <c r="BO192" s="488" t="str">
        <f t="shared" si="103"/>
        <v>20140101FLST</v>
      </c>
      <c r="BP192" s="486">
        <f>IF(BM192&lt;=MiscData!$B$23,MiscData!$C$23,IF(BM192&lt;=MiscData!$B$24,MiscData!$C$24,MiscData!$C$25))</f>
        <v>20140101</v>
      </c>
      <c r="BQ192" s="486" t="str">
        <f>VLOOKUP(BR192,MiscData!$V$4:$W$42,2,FALSE)</f>
        <v>KUINE730</v>
      </c>
      <c r="BR192" s="407">
        <f>IF(BR191=MiscData!$V$42,1,BR191+1)</f>
        <v>33</v>
      </c>
      <c r="BS192" s="489" t="str">
        <f>VLOOKUP(BQ192,MiscData!$W$4:$Y$42,3,FALSE)</f>
        <v>FLST</v>
      </c>
    </row>
    <row r="193" spans="1:72" hidden="1">
      <c r="A193" s="463">
        <f t="shared" si="144"/>
        <v>175</v>
      </c>
      <c r="B193" s="464" t="str">
        <f t="shared" si="98"/>
        <v>May 2014</v>
      </c>
      <c r="C193" s="464" t="s">
        <v>15</v>
      </c>
      <c r="D193" s="465" t="str">
        <f t="shared" si="99"/>
        <v>RS</v>
      </c>
      <c r="E193" s="465" t="str">
        <f t="shared" si="100"/>
        <v>KURSE010</v>
      </c>
      <c r="F193" s="466">
        <f t="shared" si="104"/>
        <v>228849</v>
      </c>
      <c r="G193" s="467">
        <v>394</v>
      </c>
      <c r="H193" s="466">
        <v>0</v>
      </c>
      <c r="I193" s="466">
        <v>0</v>
      </c>
      <c r="J193" s="466">
        <v>0</v>
      </c>
      <c r="K193" s="466">
        <f t="shared" si="105"/>
        <v>175043396</v>
      </c>
      <c r="L193" s="481">
        <v>0</v>
      </c>
      <c r="M193" s="469">
        <f t="shared" si="106"/>
        <v>0</v>
      </c>
      <c r="N193" s="469">
        <f t="shared" si="107"/>
        <v>0</v>
      </c>
      <c r="O193" s="469">
        <f t="shared" si="108"/>
        <v>0</v>
      </c>
      <c r="P193" s="469">
        <f t="shared" si="109"/>
        <v>0</v>
      </c>
      <c r="Q193" s="469">
        <f t="shared" si="110"/>
        <v>0</v>
      </c>
      <c r="R193" s="469">
        <f t="shared" si="111"/>
        <v>0</v>
      </c>
      <c r="S193" s="484">
        <v>0</v>
      </c>
      <c r="T193" s="484">
        <v>0</v>
      </c>
      <c r="U193" s="484">
        <v>0</v>
      </c>
      <c r="V193" s="490">
        <v>0</v>
      </c>
      <c r="W193" s="490">
        <v>0</v>
      </c>
      <c r="X193" s="490">
        <v>0</v>
      </c>
      <c r="Y193" s="470">
        <f t="shared" si="112"/>
        <v>10.75</v>
      </c>
      <c r="Z193" s="471">
        <f t="shared" si="113"/>
        <v>7.7439999999999995E-2</v>
      </c>
      <c r="AA193" s="471">
        <v>0</v>
      </c>
      <c r="AB193" s="471">
        <v>0</v>
      </c>
      <c r="AC193" s="471">
        <f t="shared" si="114"/>
        <v>2.8920000000000001E-2</v>
      </c>
      <c r="AD193" s="470">
        <f t="shared" si="115"/>
        <v>0</v>
      </c>
      <c r="AE193" s="470">
        <f t="shared" si="116"/>
        <v>0</v>
      </c>
      <c r="AF193" s="470">
        <f t="shared" si="117"/>
        <v>0</v>
      </c>
      <c r="AG193" s="454">
        <f t="shared" si="118"/>
        <v>2464362.25</v>
      </c>
      <c r="AH193" s="454">
        <f t="shared" si="140"/>
        <v>13555360.59</v>
      </c>
      <c r="AI193" s="421">
        <f t="shared" si="119"/>
        <v>0</v>
      </c>
      <c r="AJ193" s="421">
        <f t="shared" si="120"/>
        <v>0</v>
      </c>
      <c r="AK193" s="421">
        <f t="shared" si="121"/>
        <v>0</v>
      </c>
      <c r="AL193" s="472">
        <v>0</v>
      </c>
      <c r="AM193" s="473">
        <f t="shared" si="138"/>
        <v>0</v>
      </c>
      <c r="AN193" s="474">
        <f t="shared" si="122"/>
        <v>0</v>
      </c>
      <c r="AO193" s="454">
        <f t="shared" si="123"/>
        <v>0</v>
      </c>
      <c r="AP193" s="472">
        <v>-13362.11</v>
      </c>
      <c r="AQ193" s="472">
        <v>-386.08</v>
      </c>
      <c r="AR193" s="472">
        <v>0</v>
      </c>
      <c r="AS193" s="475">
        <v>0</v>
      </c>
      <c r="AT193" s="475">
        <v>0</v>
      </c>
      <c r="AU193" s="475">
        <v>0</v>
      </c>
      <c r="AV193" s="454">
        <f t="shared" si="124"/>
        <v>16005974.65</v>
      </c>
      <c r="AW193" s="454">
        <f t="shared" si="125"/>
        <v>16005974.650000002</v>
      </c>
      <c r="AX193" s="455">
        <f t="shared" si="143"/>
        <v>1.0000000000000002</v>
      </c>
      <c r="AY193" s="476">
        <f t="shared" si="126"/>
        <v>624516.57999999996</v>
      </c>
      <c r="AZ193" s="476">
        <f t="shared" si="127"/>
        <v>689596.62</v>
      </c>
      <c r="BA193" s="476">
        <f t="shared" si="128"/>
        <v>379200.91</v>
      </c>
      <c r="BB193" s="476">
        <f t="shared" si="129"/>
        <v>0</v>
      </c>
      <c r="BC193" s="476">
        <f t="shared" si="130"/>
        <v>0</v>
      </c>
      <c r="BD193" s="476">
        <f t="shared" si="131"/>
        <v>17699288.760000002</v>
      </c>
      <c r="BE193" s="477">
        <f t="shared" si="132"/>
        <v>17699288.760000002</v>
      </c>
      <c r="BF193" s="478">
        <f t="shared" si="133"/>
        <v>0</v>
      </c>
      <c r="BG193" s="479">
        <f t="shared" si="134"/>
        <v>5062255.01</v>
      </c>
      <c r="BH193" s="485">
        <f t="shared" si="101"/>
        <v>8492719.5</v>
      </c>
      <c r="BI193" s="407" t="s">
        <v>692</v>
      </c>
      <c r="BJ193" s="486"/>
      <c r="BK193" s="486"/>
      <c r="BL193" s="486"/>
      <c r="BM193" s="487">
        <f>IF(BR193&gt;BR192,BM192,IF(BM192&lt;MiscData!$F$1,EOMONTH(BM192,1),EOMONTH(BM192,-11)))</f>
        <v>41790</v>
      </c>
      <c r="BN193" s="464" t="str">
        <f t="shared" si="102"/>
        <v>20140101KURSE010</v>
      </c>
      <c r="BO193" s="488" t="str">
        <f t="shared" si="103"/>
        <v>20140101RS</v>
      </c>
      <c r="BP193" s="486">
        <f>IF(BM193&lt;=MiscData!$B$23,MiscData!$C$23,IF(BM193&lt;=MiscData!$B$24,MiscData!$C$24,MiscData!$C$25))</f>
        <v>20140101</v>
      </c>
      <c r="BQ193" s="486" t="str">
        <f>VLOOKUP(BR193,MiscData!$V$4:$W$42,2,FALSE)</f>
        <v>KURSE010</v>
      </c>
      <c r="BR193" s="407">
        <f>IF(BR192=MiscData!$V$42,1,BR192+1)</f>
        <v>34</v>
      </c>
      <c r="BS193" s="489" t="str">
        <f>VLOOKUP(BQ193,MiscData!$W$4:$Y$42,3,FALSE)</f>
        <v>RS</v>
      </c>
    </row>
    <row r="194" spans="1:72" hidden="1">
      <c r="A194" s="463">
        <f t="shared" si="144"/>
        <v>176</v>
      </c>
      <c r="B194" s="464" t="str">
        <f t="shared" si="98"/>
        <v>May 2014</v>
      </c>
      <c r="C194" s="464" t="s">
        <v>15</v>
      </c>
      <c r="D194" s="465" t="str">
        <f t="shared" si="99"/>
        <v>RS</v>
      </c>
      <c r="E194" s="465" t="str">
        <f t="shared" si="100"/>
        <v>KURSE020</v>
      </c>
      <c r="F194" s="466">
        <f t="shared" si="104"/>
        <v>194797</v>
      </c>
      <c r="G194" s="467">
        <v>357</v>
      </c>
      <c r="H194" s="466">
        <v>0</v>
      </c>
      <c r="I194" s="466">
        <v>0</v>
      </c>
      <c r="J194" s="466">
        <v>0</v>
      </c>
      <c r="K194" s="466">
        <f t="shared" si="105"/>
        <v>176531151</v>
      </c>
      <c r="L194" s="481">
        <v>0</v>
      </c>
      <c r="M194" s="469">
        <f t="shared" si="106"/>
        <v>0</v>
      </c>
      <c r="N194" s="469">
        <f t="shared" si="107"/>
        <v>0</v>
      </c>
      <c r="O194" s="469">
        <f t="shared" si="108"/>
        <v>0</v>
      </c>
      <c r="P194" s="469">
        <f t="shared" si="109"/>
        <v>0</v>
      </c>
      <c r="Q194" s="469">
        <f t="shared" si="110"/>
        <v>0</v>
      </c>
      <c r="R194" s="469">
        <f t="shared" si="111"/>
        <v>0</v>
      </c>
      <c r="S194" s="484">
        <v>0</v>
      </c>
      <c r="T194" s="484">
        <v>0</v>
      </c>
      <c r="U194" s="484">
        <v>0</v>
      </c>
      <c r="V194" s="490">
        <v>0</v>
      </c>
      <c r="W194" s="490">
        <v>0</v>
      </c>
      <c r="X194" s="490">
        <v>0</v>
      </c>
      <c r="Y194" s="470">
        <f t="shared" si="112"/>
        <v>10.75</v>
      </c>
      <c r="Z194" s="471">
        <f t="shared" si="113"/>
        <v>7.7439999999999995E-2</v>
      </c>
      <c r="AA194" s="471">
        <v>0</v>
      </c>
      <c r="AB194" s="471">
        <v>0</v>
      </c>
      <c r="AC194" s="471">
        <f t="shared" si="114"/>
        <v>2.8920000000000001E-2</v>
      </c>
      <c r="AD194" s="470">
        <f t="shared" si="115"/>
        <v>0</v>
      </c>
      <c r="AE194" s="470">
        <f t="shared" si="116"/>
        <v>0</v>
      </c>
      <c r="AF194" s="470">
        <f t="shared" si="117"/>
        <v>0</v>
      </c>
      <c r="AG194" s="454">
        <f t="shared" si="118"/>
        <v>2097905.5</v>
      </c>
      <c r="AH194" s="454">
        <f t="shared" si="140"/>
        <v>13670572.33</v>
      </c>
      <c r="AI194" s="421">
        <f t="shared" si="119"/>
        <v>0</v>
      </c>
      <c r="AJ194" s="421">
        <f t="shared" si="120"/>
        <v>0</v>
      </c>
      <c r="AK194" s="421">
        <f t="shared" si="121"/>
        <v>0</v>
      </c>
      <c r="AL194" s="472">
        <v>0</v>
      </c>
      <c r="AM194" s="473">
        <f t="shared" si="138"/>
        <v>0</v>
      </c>
      <c r="AN194" s="474">
        <f t="shared" si="122"/>
        <v>0</v>
      </c>
      <c r="AO194" s="454">
        <f t="shared" si="123"/>
        <v>0</v>
      </c>
      <c r="AP194" s="472">
        <v>-18116.419999999998</v>
      </c>
      <c r="AQ194" s="472">
        <v>55.72</v>
      </c>
      <c r="AR194" s="472">
        <v>0</v>
      </c>
      <c r="AS194" s="475">
        <v>0</v>
      </c>
      <c r="AT194" s="475">
        <v>0</v>
      </c>
      <c r="AU194" s="475">
        <v>0</v>
      </c>
      <c r="AV194" s="454">
        <f t="shared" si="124"/>
        <v>15750417.130000001</v>
      </c>
      <c r="AW194" s="454">
        <f t="shared" si="125"/>
        <v>15750417.129999999</v>
      </c>
      <c r="AX194" s="455">
        <f t="shared" si="143"/>
        <v>0.99999999999999989</v>
      </c>
      <c r="AY194" s="476">
        <f t="shared" si="126"/>
        <v>629855.61</v>
      </c>
      <c r="AZ194" s="476">
        <f t="shared" si="127"/>
        <v>695562.89</v>
      </c>
      <c r="BA194" s="476">
        <f t="shared" si="128"/>
        <v>373618.77</v>
      </c>
      <c r="BB194" s="476">
        <f t="shared" si="129"/>
        <v>0</v>
      </c>
      <c r="BC194" s="476">
        <f t="shared" si="130"/>
        <v>0</v>
      </c>
      <c r="BD194" s="476">
        <f t="shared" si="131"/>
        <v>17449454.399999999</v>
      </c>
      <c r="BE194" s="477">
        <f t="shared" si="132"/>
        <v>17449454.399999999</v>
      </c>
      <c r="BF194" s="478">
        <f t="shared" si="133"/>
        <v>0</v>
      </c>
      <c r="BG194" s="479">
        <f t="shared" si="134"/>
        <v>5105280.8899999997</v>
      </c>
      <c r="BH194" s="485">
        <f t="shared" si="101"/>
        <v>8565347.1600000001</v>
      </c>
      <c r="BI194" s="407" t="s">
        <v>692</v>
      </c>
      <c r="BJ194" s="486"/>
      <c r="BK194" s="486"/>
      <c r="BL194" s="486"/>
      <c r="BM194" s="487">
        <f>IF(BR194&gt;BR193,BM193,IF(BM193&lt;MiscData!$F$1,EOMONTH(BM193,1),EOMONTH(BM193,-11)))</f>
        <v>41790</v>
      </c>
      <c r="BN194" s="464" t="str">
        <f t="shared" si="102"/>
        <v>20140101KURSE020</v>
      </c>
      <c r="BO194" s="488" t="str">
        <f t="shared" si="103"/>
        <v>20140101RS</v>
      </c>
      <c r="BP194" s="486">
        <f>IF(BM194&lt;=MiscData!$B$23,MiscData!$C$23,IF(BM194&lt;=MiscData!$B$24,MiscData!$C$24,MiscData!$C$25))</f>
        <v>20140101</v>
      </c>
      <c r="BQ194" s="486" t="str">
        <f>VLOOKUP(BR194,MiscData!$V$4:$W$42,2,FALSE)</f>
        <v>KURSE020</v>
      </c>
      <c r="BR194" s="407">
        <f>IF(BR193=MiscData!$V$42,1,BR193+1)</f>
        <v>35</v>
      </c>
      <c r="BS194" s="489" t="str">
        <f>VLOOKUP(BQ194,MiscData!$W$4:$Y$42,3,FALSE)</f>
        <v>RS</v>
      </c>
    </row>
    <row r="195" spans="1:72" hidden="1">
      <c r="A195" s="463">
        <f t="shared" si="144"/>
        <v>177</v>
      </c>
      <c r="B195" s="464" t="str">
        <f t="shared" si="98"/>
        <v>May 2014</v>
      </c>
      <c r="C195" s="464" t="s">
        <v>15</v>
      </c>
      <c r="D195" s="465" t="str">
        <f t="shared" si="99"/>
        <v>RS</v>
      </c>
      <c r="E195" s="465" t="str">
        <f t="shared" si="100"/>
        <v>KURSE025</v>
      </c>
      <c r="F195" s="466">
        <f t="shared" si="104"/>
        <v>243</v>
      </c>
      <c r="G195" s="467">
        <v>0</v>
      </c>
      <c r="H195" s="466">
        <v>0</v>
      </c>
      <c r="I195" s="466">
        <v>0</v>
      </c>
      <c r="J195" s="466">
        <v>0</v>
      </c>
      <c r="K195" s="466">
        <f t="shared" si="105"/>
        <v>403406</v>
      </c>
      <c r="L195" s="481">
        <v>0</v>
      </c>
      <c r="M195" s="469">
        <f t="shared" si="106"/>
        <v>0</v>
      </c>
      <c r="N195" s="469">
        <f t="shared" si="107"/>
        <v>0</v>
      </c>
      <c r="O195" s="469">
        <f t="shared" si="108"/>
        <v>0</v>
      </c>
      <c r="P195" s="469">
        <f t="shared" si="109"/>
        <v>0</v>
      </c>
      <c r="Q195" s="469">
        <f t="shared" si="110"/>
        <v>0</v>
      </c>
      <c r="R195" s="469">
        <f t="shared" si="111"/>
        <v>0</v>
      </c>
      <c r="S195" s="484">
        <v>0</v>
      </c>
      <c r="T195" s="484">
        <v>0</v>
      </c>
      <c r="U195" s="484">
        <v>0</v>
      </c>
      <c r="V195" s="490">
        <v>0</v>
      </c>
      <c r="W195" s="490">
        <v>0</v>
      </c>
      <c r="X195" s="490">
        <v>0</v>
      </c>
      <c r="Y195" s="470">
        <f t="shared" si="112"/>
        <v>10.75</v>
      </c>
      <c r="Z195" s="471">
        <f t="shared" si="113"/>
        <v>7.7439999999999995E-2</v>
      </c>
      <c r="AA195" s="471">
        <v>0</v>
      </c>
      <c r="AB195" s="471">
        <v>0</v>
      </c>
      <c r="AC195" s="471">
        <f t="shared" si="114"/>
        <v>2.8920000000000001E-2</v>
      </c>
      <c r="AD195" s="470">
        <f t="shared" si="115"/>
        <v>0</v>
      </c>
      <c r="AE195" s="470">
        <f t="shared" si="116"/>
        <v>0</v>
      </c>
      <c r="AF195" s="470">
        <f t="shared" si="117"/>
        <v>0</v>
      </c>
      <c r="AG195" s="454">
        <f t="shared" si="118"/>
        <v>2612.25</v>
      </c>
      <c r="AH195" s="454">
        <f t="shared" si="140"/>
        <v>31239.759999999998</v>
      </c>
      <c r="AI195" s="421">
        <f t="shared" si="119"/>
        <v>0</v>
      </c>
      <c r="AJ195" s="421">
        <f t="shared" si="120"/>
        <v>0</v>
      </c>
      <c r="AK195" s="421">
        <f t="shared" si="121"/>
        <v>0</v>
      </c>
      <c r="AL195" s="472">
        <v>0</v>
      </c>
      <c r="AM195" s="473">
        <f t="shared" si="138"/>
        <v>0</v>
      </c>
      <c r="AN195" s="474">
        <f t="shared" si="122"/>
        <v>0</v>
      </c>
      <c r="AO195" s="454">
        <f t="shared" si="123"/>
        <v>0</v>
      </c>
      <c r="AP195" s="472">
        <v>0</v>
      </c>
      <c r="AQ195" s="472">
        <v>0.04</v>
      </c>
      <c r="AR195" s="472">
        <v>0</v>
      </c>
      <c r="AS195" s="475">
        <v>0</v>
      </c>
      <c r="AT195" s="475">
        <v>0</v>
      </c>
      <c r="AU195" s="475">
        <v>0</v>
      </c>
      <c r="AV195" s="454">
        <f t="shared" si="124"/>
        <v>33852.049999999996</v>
      </c>
      <c r="AW195" s="454">
        <f t="shared" si="125"/>
        <v>33852.050000000003</v>
      </c>
      <c r="AX195" s="455">
        <f t="shared" si="143"/>
        <v>1.0000000000000002</v>
      </c>
      <c r="AY195" s="476">
        <f t="shared" si="126"/>
        <v>1426.09</v>
      </c>
      <c r="AZ195" s="476">
        <f t="shared" si="127"/>
        <v>1589.33</v>
      </c>
      <c r="BA195" s="476">
        <f t="shared" si="128"/>
        <v>799.49</v>
      </c>
      <c r="BB195" s="476">
        <f t="shared" si="129"/>
        <v>0</v>
      </c>
      <c r="BC195" s="476">
        <f t="shared" si="130"/>
        <v>0</v>
      </c>
      <c r="BD195" s="476">
        <f t="shared" si="131"/>
        <v>37666.959999999999</v>
      </c>
      <c r="BE195" s="477">
        <f t="shared" si="132"/>
        <v>37666.959999999992</v>
      </c>
      <c r="BF195" s="478">
        <f t="shared" si="133"/>
        <v>0</v>
      </c>
      <c r="BG195" s="479">
        <f t="shared" si="134"/>
        <v>11666.5</v>
      </c>
      <c r="BH195" s="485">
        <f t="shared" si="101"/>
        <v>19573.3</v>
      </c>
      <c r="BI195" s="407" t="s">
        <v>692</v>
      </c>
      <c r="BJ195" s="486"/>
      <c r="BK195" s="486"/>
      <c r="BL195" s="486"/>
      <c r="BM195" s="487">
        <f>IF(BR195&gt;BR194,BM194,IF(BM194&lt;MiscData!$F$1,EOMONTH(BM194,1),EOMONTH(BM194,-11)))</f>
        <v>41790</v>
      </c>
      <c r="BN195" s="464" t="str">
        <f t="shared" si="102"/>
        <v>20140101KURSE025</v>
      </c>
      <c r="BO195" s="488" t="str">
        <f t="shared" si="103"/>
        <v>20140101RS</v>
      </c>
      <c r="BP195" s="486">
        <f>IF(BM195&lt;=MiscData!$B$23,MiscData!$C$23,IF(BM195&lt;=MiscData!$B$24,MiscData!$C$24,MiscData!$C$25))</f>
        <v>20140101</v>
      </c>
      <c r="BQ195" s="486" t="str">
        <f>VLOOKUP(BR195,MiscData!$V$4:$W$42,2,FALSE)</f>
        <v>KURSE025</v>
      </c>
      <c r="BR195" s="407">
        <f>IF(BR194=MiscData!$V$42,1,BR194+1)</f>
        <v>36</v>
      </c>
      <c r="BS195" s="489" t="str">
        <f>VLOOKUP(BQ195,MiscData!$W$4:$Y$42,3,FALSE)</f>
        <v>RS</v>
      </c>
    </row>
    <row r="196" spans="1:72" hidden="1">
      <c r="A196" s="463">
        <f t="shared" si="144"/>
        <v>178</v>
      </c>
      <c r="B196" s="464" t="str">
        <f t="shared" ref="B196:B259" si="145">TEXT(BM196,"mmm yyyy")</f>
        <v>May 2014</v>
      </c>
      <c r="C196" s="464" t="s">
        <v>807</v>
      </c>
      <c r="D196" s="465" t="str">
        <f t="shared" ref="D196:D259" si="146">BS196</f>
        <v>RSLEV</v>
      </c>
      <c r="E196" s="465" t="str">
        <f t="shared" ref="E196:E259" si="147">BQ196</f>
        <v>KURSE040</v>
      </c>
      <c r="F196" s="466">
        <f t="shared" si="104"/>
        <v>5</v>
      </c>
      <c r="G196" s="467">
        <v>0</v>
      </c>
      <c r="H196" s="466">
        <f>SUMIFS(_1022_KWH_P1,_1022_RevenueMonth,$B196,_1022_RateCategory,$E196)</f>
        <v>2666</v>
      </c>
      <c r="I196" s="466">
        <f>SUMIFS(_1022_KWH_P2,_1022_RevenueMonth,$B196,_1022_RateCategory,$E196)</f>
        <v>814</v>
      </c>
      <c r="J196" s="466">
        <f>SUMIFS(_1022_KWH_P3,_1022_RevenueMonth,$B196,_1022_RateCategory,$E196)</f>
        <v>473</v>
      </c>
      <c r="K196" s="466">
        <f t="shared" si="105"/>
        <v>3953</v>
      </c>
      <c r="L196" s="481">
        <v>0</v>
      </c>
      <c r="M196" s="469">
        <f t="shared" si="106"/>
        <v>0</v>
      </c>
      <c r="N196" s="469">
        <f t="shared" si="107"/>
        <v>0</v>
      </c>
      <c r="O196" s="469">
        <f t="shared" si="108"/>
        <v>0</v>
      </c>
      <c r="P196" s="469">
        <f t="shared" si="109"/>
        <v>0</v>
      </c>
      <c r="Q196" s="469">
        <f t="shared" si="110"/>
        <v>0</v>
      </c>
      <c r="R196" s="469">
        <f t="shared" si="111"/>
        <v>0</v>
      </c>
      <c r="S196" s="484">
        <v>0</v>
      </c>
      <c r="T196" s="484">
        <v>0</v>
      </c>
      <c r="U196" s="484">
        <v>0</v>
      </c>
      <c r="V196" s="490">
        <v>0</v>
      </c>
      <c r="W196" s="490">
        <v>0</v>
      </c>
      <c r="X196" s="490">
        <v>0</v>
      </c>
      <c r="Y196" s="470">
        <f t="shared" si="112"/>
        <v>10.75</v>
      </c>
      <c r="Z196" s="471">
        <f t="shared" si="113"/>
        <v>5.5870000000000003E-2</v>
      </c>
      <c r="AA196" s="471">
        <f>SUMIF(_Rates_Tariff_Category,$BN196,_Rates_Energy_P2)</f>
        <v>7.7630000000000005E-2</v>
      </c>
      <c r="AB196" s="471">
        <f>SUMIF(_Rates_Tariff_Category,$BN196,_Rates_Energy_P3)</f>
        <v>0.14297000000000001</v>
      </c>
      <c r="AC196" s="471">
        <f t="shared" si="114"/>
        <v>2.8920000000000001E-2</v>
      </c>
      <c r="AD196" s="470">
        <f t="shared" si="115"/>
        <v>0</v>
      </c>
      <c r="AE196" s="470">
        <f t="shared" si="116"/>
        <v>0</v>
      </c>
      <c r="AF196" s="470">
        <f t="shared" si="117"/>
        <v>0</v>
      </c>
      <c r="AG196" s="454">
        <f t="shared" si="118"/>
        <v>53.75</v>
      </c>
      <c r="AH196" s="454">
        <f t="shared" si="140"/>
        <v>279.77</v>
      </c>
      <c r="AI196" s="421">
        <f t="shared" si="119"/>
        <v>0</v>
      </c>
      <c r="AJ196" s="421">
        <f t="shared" si="120"/>
        <v>0</v>
      </c>
      <c r="AK196" s="421">
        <f t="shared" si="121"/>
        <v>0</v>
      </c>
      <c r="AL196" s="472">
        <v>0</v>
      </c>
      <c r="AM196" s="473">
        <f t="shared" si="138"/>
        <v>0</v>
      </c>
      <c r="AN196" s="474">
        <f t="shared" si="122"/>
        <v>0</v>
      </c>
      <c r="AO196" s="454">
        <f t="shared" si="123"/>
        <v>0</v>
      </c>
      <c r="AP196" s="472">
        <v>0</v>
      </c>
      <c r="AQ196" s="472">
        <v>0</v>
      </c>
      <c r="AR196" s="472">
        <v>0</v>
      </c>
      <c r="AS196" s="475">
        <v>0</v>
      </c>
      <c r="AT196" s="475">
        <v>0</v>
      </c>
      <c r="AU196" s="475">
        <v>0</v>
      </c>
      <c r="AV196" s="454">
        <f t="shared" si="124"/>
        <v>333.52</v>
      </c>
      <c r="AW196" s="454">
        <f t="shared" si="125"/>
        <v>333.52</v>
      </c>
      <c r="AX196" s="455">
        <f t="shared" si="143"/>
        <v>1</v>
      </c>
      <c r="AY196" s="476">
        <f t="shared" si="126"/>
        <v>14.11</v>
      </c>
      <c r="AZ196" s="476">
        <f t="shared" si="127"/>
        <v>15.58</v>
      </c>
      <c r="BA196" s="476">
        <f t="shared" si="128"/>
        <v>7.94</v>
      </c>
      <c r="BB196" s="476">
        <f t="shared" si="129"/>
        <v>0</v>
      </c>
      <c r="BC196" s="476">
        <f t="shared" si="130"/>
        <v>0</v>
      </c>
      <c r="BD196" s="476">
        <f t="shared" si="131"/>
        <v>371.15</v>
      </c>
      <c r="BE196" s="477">
        <f t="shared" si="132"/>
        <v>371.15</v>
      </c>
      <c r="BF196" s="478">
        <f t="shared" si="133"/>
        <v>0</v>
      </c>
      <c r="BG196" s="479">
        <f t="shared" si="134"/>
        <v>114.32</v>
      </c>
      <c r="BH196" s="485">
        <f t="shared" ref="BH196:BH259" si="148">AH196+AQ196-BG196</f>
        <v>165.45</v>
      </c>
      <c r="BI196" s="407" t="s">
        <v>692</v>
      </c>
      <c r="BJ196" s="486"/>
      <c r="BK196" s="486"/>
      <c r="BL196" s="486"/>
      <c r="BM196" s="487">
        <f>IF(BR196&gt;BR195,BM195,IF(BM195&lt;MiscData!$F$1,EOMONTH(BM195,1),EOMONTH(BM195,-11)))</f>
        <v>41790</v>
      </c>
      <c r="BN196" s="464" t="str">
        <f t="shared" ref="BN196:BN259" si="149">CONCATENATE(BP196&amp;BQ196)</f>
        <v>20140101KURSE040</v>
      </c>
      <c r="BO196" s="488" t="str">
        <f t="shared" ref="BO196:BO259" si="150">CONCATENATE(BP196&amp;BS196)</f>
        <v>20140101RSLEV</v>
      </c>
      <c r="BP196" s="486">
        <f>IF(BM196&lt;=MiscData!$B$23,MiscData!$C$23,IF(BM196&lt;=MiscData!$B$24,MiscData!$C$24,MiscData!$C$25))</f>
        <v>20140101</v>
      </c>
      <c r="BQ196" s="486" t="str">
        <f>VLOOKUP(BR196,MiscData!$V$4:$W$42,2,FALSE)</f>
        <v>KURSE040</v>
      </c>
      <c r="BR196" s="407">
        <f>IF(BR195=MiscData!$V$42,1,BR195+1)</f>
        <v>37</v>
      </c>
      <c r="BS196" s="489" t="str">
        <f>VLOOKUP(BQ196,MiscData!$W$4:$Y$42,3,FALSE)</f>
        <v>RSLEV</v>
      </c>
    </row>
    <row r="197" spans="1:72" hidden="1">
      <c r="A197" s="463">
        <f t="shared" si="144"/>
        <v>179</v>
      </c>
      <c r="B197" s="464" t="str">
        <f t="shared" si="145"/>
        <v>May 2014</v>
      </c>
      <c r="C197" s="416" t="s">
        <v>15</v>
      </c>
      <c r="D197" s="465" t="str">
        <f t="shared" si="146"/>
        <v>RSVFD</v>
      </c>
      <c r="E197" s="465" t="str">
        <f t="shared" si="147"/>
        <v>KURSE080</v>
      </c>
      <c r="F197" s="466">
        <f t="shared" ref="F197:F260" si="151">SUMIFS(_1022_Count,_1022_RevenueMonth,$B197,_1022_RateCategory,$E197)</f>
        <v>50</v>
      </c>
      <c r="G197" s="467">
        <v>1</v>
      </c>
      <c r="H197" s="466">
        <v>0</v>
      </c>
      <c r="I197" s="466">
        <v>0</v>
      </c>
      <c r="J197" s="466">
        <v>0</v>
      </c>
      <c r="K197" s="466">
        <f t="shared" ref="K197:K260" si="152">SUMIFS(_1022_KWH,_1022_RevenueMonth,$B197,_1022_RateCategory,$E197)</f>
        <v>61280</v>
      </c>
      <c r="L197" s="481">
        <v>0</v>
      </c>
      <c r="M197" s="469">
        <f t="shared" ref="M197:M260" si="153">SUMIFS(_1022_Measured_KVA_Base,_1022_RevenueMonth,$B197,_1022_RateCategory,$E197)</f>
        <v>0</v>
      </c>
      <c r="N197" s="469">
        <f t="shared" ref="N197:N260" si="154">SUMIFS(_1022_Measured_KVA_Inter,_1022_RevenueMonth,$B197,_1022_RateCategory,$E197)</f>
        <v>0</v>
      </c>
      <c r="O197" s="469">
        <f t="shared" ref="O197:O260" si="155">SUMIFS(_1022_Measured_KVA_Peak,_1022_RevenueMonth,$B197,_1022_RateCategory,$E197)</f>
        <v>0</v>
      </c>
      <c r="P197" s="469">
        <f t="shared" ref="P197:P260" si="156">SUMIFS(_1022_Demand_Base,_1022_RevenueMonth,$B197,_1022_RateCategory,$E197)</f>
        <v>0</v>
      </c>
      <c r="Q197" s="469">
        <f t="shared" ref="Q197:Q260" si="157">SUMIFS(_1022_Demand_Intermediate,_1022_RevenueMonth,$B197,_1022_RateCategory,$E197)</f>
        <v>0</v>
      </c>
      <c r="R197" s="469">
        <f t="shared" ref="R197:R260" si="158">SUMIFS(_1022_Demand_Peak,_1022_RevenueMonth,$B197,_1022_RateCategory,$E197)</f>
        <v>0</v>
      </c>
      <c r="S197" s="484">
        <v>0</v>
      </c>
      <c r="T197" s="484">
        <v>0</v>
      </c>
      <c r="U197" s="484">
        <v>0</v>
      </c>
      <c r="V197" s="490">
        <v>0</v>
      </c>
      <c r="W197" s="490">
        <v>0</v>
      </c>
      <c r="X197" s="490">
        <v>0</v>
      </c>
      <c r="Y197" s="470">
        <f t="shared" ref="Y197:Y260" si="159">SUMIF(_Rates_Tariff_Category,$BN197,_Rates_BasicServiceCharge)</f>
        <v>10.75</v>
      </c>
      <c r="Z197" s="471">
        <f t="shared" ref="Z197:Z260" si="160">SUMIF(_Rates_Tariff_Category,$BN197,_Rates_Energy)</f>
        <v>7.7439999999999995E-2</v>
      </c>
      <c r="AA197" s="471">
        <v>0</v>
      </c>
      <c r="AB197" s="471">
        <v>0</v>
      </c>
      <c r="AC197" s="471">
        <f t="shared" ref="AC197:AC260" si="161">SUMIF(_Rates_Tariff_Category,$BN197,_Rates_FAC_Energy)</f>
        <v>2.8920000000000001E-2</v>
      </c>
      <c r="AD197" s="470">
        <f t="shared" ref="AD197:AD260" si="162">SUMIF(_Rates_Tariff_Category,$BN197,_Rates_Demand_Base)</f>
        <v>0</v>
      </c>
      <c r="AE197" s="470">
        <f t="shared" ref="AE197:AE260" si="163">SUMIF(_Rates_Tariff_Category,$BN197,_Rates_Demand_Intermediate)</f>
        <v>0</v>
      </c>
      <c r="AF197" s="470">
        <f t="shared" ref="AF197:AF260" si="164">SUMIF(_Rates_Tariff_Category,$BN197,_Rates_Demand_Peak)</f>
        <v>0</v>
      </c>
      <c r="AG197" s="454">
        <f t="shared" ref="AG197:AG260" si="165">ROUND(($F197+$G197)*$Y197,2)</f>
        <v>548.25</v>
      </c>
      <c r="AH197" s="454">
        <f t="shared" si="140"/>
        <v>4745.5200000000004</v>
      </c>
      <c r="AI197" s="421">
        <f t="shared" ref="AI197:AI260" si="166">ROUND(($M197+V197)*$AD197,2)</f>
        <v>0</v>
      </c>
      <c r="AJ197" s="421">
        <f t="shared" ref="AJ197:AJ260" si="167">ROUND(($N197+W197)*$AE197,2)</f>
        <v>0</v>
      </c>
      <c r="AK197" s="421">
        <f t="shared" ref="AK197:AK260" si="168">ROUND(($O197+X197)*$AF197,2)</f>
        <v>0</v>
      </c>
      <c r="AL197" s="472">
        <v>0</v>
      </c>
      <c r="AM197" s="473">
        <f t="shared" si="138"/>
        <v>0</v>
      </c>
      <c r="AN197" s="474">
        <f t="shared" ref="AN197:AN260" si="169">ROUND(U197*AF197+T197*AE197+S197*AD197,2)</f>
        <v>0</v>
      </c>
      <c r="AO197" s="454">
        <f t="shared" ref="AO197:AO260" si="170">SUM(AI197:AN197)</f>
        <v>0</v>
      </c>
      <c r="AP197" s="472">
        <v>0</v>
      </c>
      <c r="AQ197" s="472">
        <v>-0.02</v>
      </c>
      <c r="AR197" s="472">
        <v>0</v>
      </c>
      <c r="AS197" s="475">
        <v>0</v>
      </c>
      <c r="AT197" s="475">
        <v>0</v>
      </c>
      <c r="AU197" s="475">
        <v>0</v>
      </c>
      <c r="AV197" s="454">
        <f t="shared" ref="AV197:AV260" si="171">SUM(AG197:AN197,AP197:AU197)</f>
        <v>5293.75</v>
      </c>
      <c r="AW197" s="454">
        <f t="shared" ref="AW197:AW260" si="172">BD197-SUM(AY197:BC197)</f>
        <v>5293.75</v>
      </c>
      <c r="AX197" s="455">
        <f t="shared" si="143"/>
        <v>1</v>
      </c>
      <c r="AY197" s="476">
        <f t="shared" ref="AY197:AY260" si="173">SUMIFS(_SBR_FAC,_SBR_Revenue_Month,$B197,_SBR_Rate_Category,$E197)</f>
        <v>211.25</v>
      </c>
      <c r="AZ197" s="476">
        <f t="shared" ref="AZ197:AZ260" si="174">SUMIFS(_SBR_DSM,_SBR_Revenue_Month,$B197,_SBR_Rate_Category,$E197)</f>
        <v>241.44</v>
      </c>
      <c r="BA197" s="476">
        <f t="shared" ref="BA197:BA260" si="175">SUMIFS(_SBR_ECR,_SBR_Revenue_Month,$B197,_SBR_Rate_Category,$E197)</f>
        <v>121.43</v>
      </c>
      <c r="BB197" s="476">
        <f t="shared" ref="BB197:BB260" si="176">SUMIFS(_SBR_MSR,_SBR_Revenue_Month,$B197,_SBR_Rate_Category,$E197)</f>
        <v>0</v>
      </c>
      <c r="BC197" s="476">
        <f t="shared" ref="BC197:BC260" si="177">SUMIFS(_SBR_CSR,_SBR_Revenue_Month,$B197,_SBR_Rate_Category,$E197)</f>
        <v>0</v>
      </c>
      <c r="BD197" s="476">
        <f t="shared" ref="BD197:BD260" si="178">SUMIFS(_SBR_Revenue_Actual,_SBR_Revenue_Month,$B197,_SBR_Rate_Category,$E197)</f>
        <v>5867.87</v>
      </c>
      <c r="BE197" s="477">
        <f t="shared" ref="BE197:BE260" si="179">SUM(AV197,AY197:BC197)</f>
        <v>5867.87</v>
      </c>
      <c r="BF197" s="478">
        <f t="shared" ref="BF197:BF260" si="180">BD197-BE197</f>
        <v>0</v>
      </c>
      <c r="BG197" s="479">
        <f t="shared" ref="BG197:BG260" si="181">ROUND($K197*$AC197,2)</f>
        <v>1772.22</v>
      </c>
      <c r="BH197" s="485">
        <f t="shared" si="148"/>
        <v>2973.2799999999997</v>
      </c>
      <c r="BI197" s="407" t="s">
        <v>692</v>
      </c>
      <c r="BJ197" s="486"/>
      <c r="BK197" s="486"/>
      <c r="BL197" s="486"/>
      <c r="BM197" s="487">
        <f>IF(BR197&gt;BR196,BM196,IF(BM196&lt;MiscData!$F$1,EOMONTH(BM196,1),EOMONTH(BM196,-11)))</f>
        <v>41790</v>
      </c>
      <c r="BN197" s="464" t="str">
        <f t="shared" si="149"/>
        <v>20140101KURSE080</v>
      </c>
      <c r="BO197" s="488" t="str">
        <f t="shared" si="150"/>
        <v>20140101RSVFD</v>
      </c>
      <c r="BP197" s="486">
        <f>IF(BM197&lt;=MiscData!$B$23,MiscData!$C$23,IF(BM197&lt;=MiscData!$B$24,MiscData!$C$24,MiscData!$C$25))</f>
        <v>20140101</v>
      </c>
      <c r="BQ197" s="486" t="str">
        <f>VLOOKUP(BR197,MiscData!$V$4:$W$42,2,FALSE)</f>
        <v>KURSE080</v>
      </c>
      <c r="BR197" s="407">
        <f>IF(BR196=MiscData!$V$42,1,BR196+1)</f>
        <v>38</v>
      </c>
      <c r="BS197" s="489" t="str">
        <f>VLOOKUP(BQ197,MiscData!$W$4:$Y$42,3,FALSE)</f>
        <v>RSVFD</v>
      </c>
    </row>
    <row r="198" spans="1:72" s="486" customFormat="1" hidden="1">
      <c r="A198" s="464">
        <f t="shared" si="144"/>
        <v>180</v>
      </c>
      <c r="B198" s="464" t="str">
        <f t="shared" si="145"/>
        <v>May 2014</v>
      </c>
      <c r="C198" s="464" t="s">
        <v>15</v>
      </c>
      <c r="D198" s="465" t="str">
        <f t="shared" si="146"/>
        <v>RS</v>
      </c>
      <c r="E198" s="465" t="str">
        <f t="shared" si="147"/>
        <v>KURSE715</v>
      </c>
      <c r="F198" s="466">
        <f t="shared" si="151"/>
        <v>52</v>
      </c>
      <c r="G198" s="467">
        <v>0</v>
      </c>
      <c r="H198" s="466">
        <v>0</v>
      </c>
      <c r="I198" s="466">
        <v>0</v>
      </c>
      <c r="J198" s="466">
        <v>0</v>
      </c>
      <c r="K198" s="466">
        <f t="shared" si="152"/>
        <v>33790</v>
      </c>
      <c r="L198" s="481">
        <v>0</v>
      </c>
      <c r="M198" s="469">
        <f t="shared" si="153"/>
        <v>0</v>
      </c>
      <c r="N198" s="469">
        <f t="shared" si="154"/>
        <v>0</v>
      </c>
      <c r="O198" s="469">
        <f t="shared" si="155"/>
        <v>0</v>
      </c>
      <c r="P198" s="469">
        <f t="shared" si="156"/>
        <v>0</v>
      </c>
      <c r="Q198" s="469">
        <f t="shared" si="157"/>
        <v>0</v>
      </c>
      <c r="R198" s="469">
        <f t="shared" si="158"/>
        <v>0</v>
      </c>
      <c r="S198" s="484">
        <v>0</v>
      </c>
      <c r="T198" s="484">
        <v>0</v>
      </c>
      <c r="U198" s="484">
        <v>0</v>
      </c>
      <c r="V198" s="490">
        <v>0</v>
      </c>
      <c r="W198" s="490">
        <v>0</v>
      </c>
      <c r="X198" s="490">
        <v>0</v>
      </c>
      <c r="Y198" s="470">
        <f t="shared" si="159"/>
        <v>10.75</v>
      </c>
      <c r="Z198" s="471">
        <f t="shared" si="160"/>
        <v>7.7439999999999995E-2</v>
      </c>
      <c r="AA198" s="471">
        <v>0</v>
      </c>
      <c r="AB198" s="471">
        <v>0</v>
      </c>
      <c r="AC198" s="471">
        <f t="shared" si="161"/>
        <v>2.8920000000000001E-2</v>
      </c>
      <c r="AD198" s="470">
        <f t="shared" si="162"/>
        <v>0</v>
      </c>
      <c r="AE198" s="470">
        <f t="shared" si="163"/>
        <v>0</v>
      </c>
      <c r="AF198" s="470">
        <f t="shared" si="164"/>
        <v>0</v>
      </c>
      <c r="AG198" s="454">
        <f t="shared" si="165"/>
        <v>559</v>
      </c>
      <c r="AH198" s="454">
        <f t="shared" si="140"/>
        <v>2616.6999999999998</v>
      </c>
      <c r="AI198" s="454">
        <f t="shared" si="166"/>
        <v>0</v>
      </c>
      <c r="AJ198" s="454">
        <f t="shared" si="167"/>
        <v>0</v>
      </c>
      <c r="AK198" s="454">
        <f t="shared" si="168"/>
        <v>0</v>
      </c>
      <c r="AL198" s="472">
        <v>0</v>
      </c>
      <c r="AM198" s="473">
        <f t="shared" si="138"/>
        <v>0</v>
      </c>
      <c r="AN198" s="474">
        <f t="shared" si="169"/>
        <v>0</v>
      </c>
      <c r="AO198" s="454">
        <f t="shared" si="170"/>
        <v>0</v>
      </c>
      <c r="AP198" s="472">
        <v>2.5099999999999998</v>
      </c>
      <c r="AQ198" s="472">
        <v>-0.04</v>
      </c>
      <c r="AR198" s="472">
        <v>0</v>
      </c>
      <c r="AS198" s="475">
        <v>0</v>
      </c>
      <c r="AT198" s="475">
        <v>0</v>
      </c>
      <c r="AU198" s="475">
        <v>0</v>
      </c>
      <c r="AV198" s="454">
        <f t="shared" si="171"/>
        <v>3178.17</v>
      </c>
      <c r="AW198" s="454">
        <f t="shared" si="172"/>
        <v>3178.17</v>
      </c>
      <c r="AX198" s="455">
        <f t="shared" si="143"/>
        <v>1</v>
      </c>
      <c r="AY198" s="476">
        <f t="shared" si="173"/>
        <v>120.61</v>
      </c>
      <c r="AZ198" s="476">
        <f t="shared" si="174"/>
        <v>133.12</v>
      </c>
      <c r="BA198" s="476">
        <f t="shared" si="175"/>
        <v>75.23</v>
      </c>
      <c r="BB198" s="476">
        <f t="shared" si="176"/>
        <v>0</v>
      </c>
      <c r="BC198" s="476">
        <f t="shared" si="177"/>
        <v>0</v>
      </c>
      <c r="BD198" s="476">
        <f t="shared" si="178"/>
        <v>3507.13</v>
      </c>
      <c r="BE198" s="477">
        <f t="shared" si="179"/>
        <v>3507.13</v>
      </c>
      <c r="BF198" s="478">
        <f t="shared" si="180"/>
        <v>0</v>
      </c>
      <c r="BG198" s="479">
        <f t="shared" si="181"/>
        <v>977.21</v>
      </c>
      <c r="BH198" s="485">
        <f t="shared" si="148"/>
        <v>1639.4499999999998</v>
      </c>
      <c r="BI198" s="407" t="s">
        <v>692</v>
      </c>
      <c r="BM198" s="487">
        <f>IF(BR198&gt;BR197,BM197,IF(BM197&lt;MiscData!$F$1,EOMONTH(BM197,1),EOMONTH(BM197,-11)))</f>
        <v>41790</v>
      </c>
      <c r="BN198" s="464" t="str">
        <f t="shared" si="149"/>
        <v>20140101KURSE715</v>
      </c>
      <c r="BO198" s="488" t="str">
        <f t="shared" si="150"/>
        <v>20140101RS</v>
      </c>
      <c r="BP198" s="486">
        <f>IF(BM198&lt;=MiscData!$B$23,MiscData!$C$23,IF(BM198&lt;=MiscData!$B$24,MiscData!$C$24,MiscData!$C$25))</f>
        <v>20140101</v>
      </c>
      <c r="BQ198" s="486" t="str">
        <f>VLOOKUP(BR198,MiscData!$V$4:$W$42,2,FALSE)</f>
        <v>KURSE715</v>
      </c>
      <c r="BR198" s="407">
        <f>IF(BR197=MiscData!$V$42,1,BR197+1)</f>
        <v>39</v>
      </c>
      <c r="BS198" s="486" t="str">
        <f>VLOOKUP(BQ198,MiscData!$W$4:$Y$42,3,FALSE)</f>
        <v>RS</v>
      </c>
      <c r="BT198" s="771"/>
    </row>
    <row r="199" spans="1:72" hidden="1">
      <c r="A199" s="416">
        <f t="shared" si="144"/>
        <v>181</v>
      </c>
      <c r="B199" s="416" t="str">
        <f t="shared" si="145"/>
        <v>Jun 2014</v>
      </c>
      <c r="C199" s="416" t="s">
        <v>19</v>
      </c>
      <c r="D199" s="417" t="str">
        <f t="shared" si="146"/>
        <v>RTS</v>
      </c>
      <c r="E199" s="417" t="str">
        <f t="shared" si="147"/>
        <v>KUCIE550</v>
      </c>
      <c r="F199" s="418">
        <f t="shared" si="151"/>
        <v>31</v>
      </c>
      <c r="G199" s="467">
        <v>1</v>
      </c>
      <c r="H199" s="418">
        <v>0</v>
      </c>
      <c r="I199" s="418">
        <v>0</v>
      </c>
      <c r="J199" s="418">
        <v>0</v>
      </c>
      <c r="K199" s="418">
        <f t="shared" si="152"/>
        <v>133910524</v>
      </c>
      <c r="L199" s="481">
        <v>0</v>
      </c>
      <c r="M199" s="443">
        <f t="shared" si="153"/>
        <v>301789</v>
      </c>
      <c r="N199" s="443">
        <f t="shared" si="154"/>
        <v>293865.5</v>
      </c>
      <c r="O199" s="443">
        <f t="shared" si="155"/>
        <v>291423.40000000002</v>
      </c>
      <c r="P199" s="443">
        <f t="shared" si="156"/>
        <v>309714.2</v>
      </c>
      <c r="Q199" s="443">
        <f t="shared" si="157"/>
        <v>295672.8</v>
      </c>
      <c r="R199" s="443">
        <f t="shared" si="158"/>
        <v>292542.7</v>
      </c>
      <c r="S199" s="484">
        <v>7925.2</v>
      </c>
      <c r="T199" s="484">
        <v>1807.3</v>
      </c>
      <c r="U199" s="484">
        <v>1119.3</v>
      </c>
      <c r="V199" s="490">
        <v>0</v>
      </c>
      <c r="W199" s="490">
        <v>0</v>
      </c>
      <c r="X199" s="490">
        <v>0</v>
      </c>
      <c r="Y199" s="419">
        <f t="shared" si="159"/>
        <v>750</v>
      </c>
      <c r="Z199" s="420">
        <f t="shared" si="160"/>
        <v>3.6339999999999997E-2</v>
      </c>
      <c r="AA199" s="420">
        <v>0</v>
      </c>
      <c r="AB199" s="420">
        <v>0</v>
      </c>
      <c r="AC199" s="420">
        <f t="shared" si="161"/>
        <v>2.8920000000000001E-2</v>
      </c>
      <c r="AD199" s="419">
        <f t="shared" si="162"/>
        <v>1.34</v>
      </c>
      <c r="AE199" s="419">
        <f t="shared" si="163"/>
        <v>2.87</v>
      </c>
      <c r="AF199" s="419">
        <f t="shared" si="164"/>
        <v>3.97</v>
      </c>
      <c r="AG199" s="454">
        <f t="shared" si="165"/>
        <v>24000</v>
      </c>
      <c r="AH199" s="454">
        <f t="shared" si="140"/>
        <v>4866308.4400000004</v>
      </c>
      <c r="AI199" s="421">
        <f t="shared" si="166"/>
        <v>404397.26</v>
      </c>
      <c r="AJ199" s="421">
        <f t="shared" si="167"/>
        <v>843393.99</v>
      </c>
      <c r="AK199" s="421">
        <f t="shared" si="168"/>
        <v>1156950.8999999999</v>
      </c>
      <c r="AL199" s="472">
        <v>0</v>
      </c>
      <c r="AM199" s="422">
        <f t="shared" si="138"/>
        <v>0</v>
      </c>
      <c r="AN199" s="423">
        <f t="shared" si="169"/>
        <v>20250.34</v>
      </c>
      <c r="AO199" s="421">
        <f t="shared" si="170"/>
        <v>2424992.4899999998</v>
      </c>
      <c r="AP199" s="472">
        <v>0</v>
      </c>
      <c r="AQ199" s="472">
        <v>0.01</v>
      </c>
      <c r="AR199" s="472">
        <v>0.06</v>
      </c>
      <c r="AS199" s="475">
        <v>0</v>
      </c>
      <c r="AT199" s="475">
        <v>0</v>
      </c>
      <c r="AU199" s="475">
        <v>0</v>
      </c>
      <c r="AV199" s="454">
        <f t="shared" si="171"/>
        <v>7315300.9999999991</v>
      </c>
      <c r="AW199" s="421">
        <f t="shared" si="172"/>
        <v>7315301</v>
      </c>
      <c r="AX199" s="455">
        <f t="shared" ref="AX199:AX207" si="182">IF(AND(AV199=0,AW199=0),1,IF(AV199=0,0,AW199/AV199))</f>
        <v>1.0000000000000002</v>
      </c>
      <c r="AY199" s="424">
        <f t="shared" si="173"/>
        <v>660142.5</v>
      </c>
      <c r="AZ199" s="424">
        <f t="shared" si="174"/>
        <v>0</v>
      </c>
      <c r="BA199" s="424">
        <f t="shared" si="175"/>
        <v>177275.17</v>
      </c>
      <c r="BB199" s="424">
        <f t="shared" si="176"/>
        <v>0</v>
      </c>
      <c r="BC199" s="424">
        <f t="shared" si="177"/>
        <v>0</v>
      </c>
      <c r="BD199" s="424">
        <f t="shared" si="178"/>
        <v>8152718.6699999999</v>
      </c>
      <c r="BE199" s="452">
        <f t="shared" si="179"/>
        <v>8152718.669999999</v>
      </c>
      <c r="BF199" s="448">
        <f t="shared" si="180"/>
        <v>0</v>
      </c>
      <c r="BG199" s="456">
        <f t="shared" si="181"/>
        <v>3872692.35</v>
      </c>
      <c r="BH199" s="457">
        <f t="shared" si="148"/>
        <v>993616.10000000009</v>
      </c>
      <c r="BI199" s="407" t="s">
        <v>692</v>
      </c>
      <c r="BM199" s="429">
        <f>IF(BR199&gt;BR198,BM198,IF(BM198&lt;MiscData!$F$1,EOMONTH(BM198,1),EOMONTH(BM198,-11)))</f>
        <v>41820</v>
      </c>
      <c r="BN199" s="416" t="str">
        <f t="shared" si="149"/>
        <v>20140101KUCIE550</v>
      </c>
      <c r="BO199" s="427" t="str">
        <f t="shared" si="150"/>
        <v>20140101RTS</v>
      </c>
      <c r="BP199" s="407">
        <f>IF(BM199&lt;=MiscData!$B$23,MiscData!$C$23,IF(BM199&lt;=MiscData!$B$24,MiscData!$C$24,MiscData!$C$25))</f>
        <v>20140101</v>
      </c>
      <c r="BQ199" s="407" t="str">
        <f>VLOOKUP(BR199,MiscData!$V$4:$W$42,2,FALSE)</f>
        <v>KUCIE550</v>
      </c>
      <c r="BR199" s="407">
        <f>IF(BR198=MiscData!$V$42,1,BR198+1)</f>
        <v>1</v>
      </c>
      <c r="BS199" s="407" t="str">
        <f>VLOOKUP(BQ199,MiscData!$W$4:$Y$42,3,FALSE)</f>
        <v>RTS</v>
      </c>
    </row>
    <row r="200" spans="1:72">
      <c r="A200" s="416">
        <f t="shared" si="144"/>
        <v>182</v>
      </c>
      <c r="B200" s="416" t="str">
        <f t="shared" si="145"/>
        <v>Jun 2014</v>
      </c>
      <c r="C200" s="416" t="s">
        <v>26</v>
      </c>
      <c r="D200" s="417" t="str">
        <f t="shared" si="146"/>
        <v>PSP</v>
      </c>
      <c r="E200" s="417" t="str">
        <f t="shared" si="147"/>
        <v>KUCIE561</v>
      </c>
      <c r="F200" s="418">
        <f t="shared" si="151"/>
        <v>168</v>
      </c>
      <c r="G200" s="467">
        <v>1</v>
      </c>
      <c r="H200" s="418">
        <v>0</v>
      </c>
      <c r="I200" s="418">
        <v>0</v>
      </c>
      <c r="J200" s="418">
        <v>0</v>
      </c>
      <c r="K200" s="418">
        <f t="shared" si="152"/>
        <v>4570312</v>
      </c>
      <c r="L200" s="459">
        <v>0</v>
      </c>
      <c r="M200" s="443">
        <f t="shared" si="153"/>
        <v>0</v>
      </c>
      <c r="N200" s="443">
        <f t="shared" si="154"/>
        <v>0</v>
      </c>
      <c r="O200" s="443">
        <f t="shared" si="155"/>
        <v>13791.6</v>
      </c>
      <c r="P200" s="443">
        <f t="shared" si="156"/>
        <v>0</v>
      </c>
      <c r="Q200" s="443">
        <f t="shared" si="157"/>
        <v>0</v>
      </c>
      <c r="R200" s="443">
        <f t="shared" si="158"/>
        <v>15619.5</v>
      </c>
      <c r="S200" s="484">
        <v>0</v>
      </c>
      <c r="T200" s="484">
        <v>0</v>
      </c>
      <c r="U200" s="595">
        <v>1827.9</v>
      </c>
      <c r="V200" s="490">
        <v>0</v>
      </c>
      <c r="W200" s="490">
        <v>0</v>
      </c>
      <c r="X200" s="490">
        <v>0</v>
      </c>
      <c r="Y200" s="419">
        <f t="shared" si="159"/>
        <v>170</v>
      </c>
      <c r="Z200" s="420">
        <f t="shared" si="160"/>
        <v>3.5619999999999999E-2</v>
      </c>
      <c r="AA200" s="420">
        <v>0</v>
      </c>
      <c r="AB200" s="420">
        <v>0</v>
      </c>
      <c r="AC200" s="420">
        <f t="shared" si="161"/>
        <v>2.8920000000000001E-2</v>
      </c>
      <c r="AD200" s="419">
        <f t="shared" si="162"/>
        <v>0</v>
      </c>
      <c r="AE200" s="419">
        <f t="shared" si="163"/>
        <v>13.18</v>
      </c>
      <c r="AF200" s="419">
        <f t="shared" si="164"/>
        <v>15.28</v>
      </c>
      <c r="AG200" s="454">
        <f t="shared" si="165"/>
        <v>28730</v>
      </c>
      <c r="AH200" s="454">
        <f t="shared" si="140"/>
        <v>162794.51</v>
      </c>
      <c r="AI200" s="421">
        <f t="shared" si="166"/>
        <v>0</v>
      </c>
      <c r="AJ200" s="421">
        <f t="shared" si="167"/>
        <v>0</v>
      </c>
      <c r="AK200" s="421">
        <f t="shared" si="168"/>
        <v>210735.65</v>
      </c>
      <c r="AL200" s="472">
        <v>0</v>
      </c>
      <c r="AM200" s="422">
        <f t="shared" si="138"/>
        <v>0</v>
      </c>
      <c r="AN200" s="423">
        <f t="shared" si="169"/>
        <v>27930.31</v>
      </c>
      <c r="AO200" s="421">
        <f t="shared" si="170"/>
        <v>238665.96</v>
      </c>
      <c r="AP200" s="472">
        <v>-578</v>
      </c>
      <c r="AQ200" s="472">
        <v>-0.03</v>
      </c>
      <c r="AR200" s="472">
        <v>3485.83</v>
      </c>
      <c r="AS200" s="475">
        <v>0</v>
      </c>
      <c r="AT200" s="475">
        <v>0</v>
      </c>
      <c r="AU200" s="475">
        <v>0</v>
      </c>
      <c r="AV200" s="454">
        <f t="shared" si="171"/>
        <v>433098.27</v>
      </c>
      <c r="AW200" s="421">
        <f t="shared" si="172"/>
        <v>433098.26999999996</v>
      </c>
      <c r="AX200" s="455">
        <f t="shared" si="182"/>
        <v>0.99999999999999989</v>
      </c>
      <c r="AY200" s="424">
        <f t="shared" si="173"/>
        <v>22657.98</v>
      </c>
      <c r="AZ200" s="424">
        <f t="shared" si="174"/>
        <v>5430.59</v>
      </c>
      <c r="BA200" s="424">
        <f t="shared" si="175"/>
        <v>15841.32</v>
      </c>
      <c r="BB200" s="424">
        <f t="shared" si="176"/>
        <v>0</v>
      </c>
      <c r="BC200" s="424">
        <f t="shared" si="177"/>
        <v>0</v>
      </c>
      <c r="BD200" s="424">
        <f t="shared" si="178"/>
        <v>477028.16</v>
      </c>
      <c r="BE200" s="452">
        <f t="shared" si="179"/>
        <v>477028.16000000003</v>
      </c>
      <c r="BF200" s="448">
        <f t="shared" si="180"/>
        <v>0</v>
      </c>
      <c r="BG200" s="456">
        <f t="shared" si="181"/>
        <v>132173.42000000001</v>
      </c>
      <c r="BH200" s="457">
        <f t="shared" si="148"/>
        <v>30621.059999999998</v>
      </c>
      <c r="BI200" s="407" t="s">
        <v>692</v>
      </c>
      <c r="BM200" s="429">
        <f>IF(BR200&gt;BR199,BM199,IF(BM199&lt;MiscData!$F$1,EOMONTH(BM199,1),EOMONTH(BM199,-11)))</f>
        <v>41820</v>
      </c>
      <c r="BN200" s="416" t="str">
        <f t="shared" si="149"/>
        <v>20140101KUCIE561</v>
      </c>
      <c r="BO200" s="427" t="str">
        <f t="shared" si="150"/>
        <v>20140101PSP</v>
      </c>
      <c r="BP200" s="407">
        <f>IF(BM200&lt;=MiscData!$B$23,MiscData!$C$23,IF(BM200&lt;=MiscData!$B$24,MiscData!$C$24,MiscData!$C$25))</f>
        <v>20140101</v>
      </c>
      <c r="BQ200" s="407" t="str">
        <f>VLOOKUP(BR200,MiscData!$V$4:$W$42,2,FALSE)</f>
        <v>KUCIE561</v>
      </c>
      <c r="BR200" s="407">
        <f>IF(BR199=MiscData!$V$42,1,BR199+1)</f>
        <v>2</v>
      </c>
      <c r="BS200" s="407" t="str">
        <f>VLOOKUP(BQ200,MiscData!$W$4:$Y$42,3,FALSE)</f>
        <v>PSP</v>
      </c>
    </row>
    <row r="201" spans="1:72" hidden="1">
      <c r="A201" s="416">
        <f t="shared" si="144"/>
        <v>183</v>
      </c>
      <c r="B201" s="416" t="str">
        <f t="shared" si="145"/>
        <v>Jun 2014</v>
      </c>
      <c r="C201" s="416" t="s">
        <v>25</v>
      </c>
      <c r="D201" s="417" t="str">
        <f t="shared" si="146"/>
        <v>PSS</v>
      </c>
      <c r="E201" s="417" t="str">
        <f t="shared" si="147"/>
        <v>KUCIE562</v>
      </c>
      <c r="F201" s="418">
        <f t="shared" si="151"/>
        <v>4817</v>
      </c>
      <c r="G201" s="467">
        <v>0</v>
      </c>
      <c r="H201" s="418">
        <v>0</v>
      </c>
      <c r="I201" s="418">
        <v>0</v>
      </c>
      <c r="J201" s="418">
        <v>0</v>
      </c>
      <c r="K201" s="418">
        <f t="shared" si="152"/>
        <v>148883695</v>
      </c>
      <c r="L201" s="459">
        <v>0</v>
      </c>
      <c r="M201" s="443">
        <f t="shared" si="153"/>
        <v>0</v>
      </c>
      <c r="N201" s="443">
        <f t="shared" si="154"/>
        <v>0</v>
      </c>
      <c r="O201" s="443">
        <f t="shared" si="155"/>
        <v>396248.1</v>
      </c>
      <c r="P201" s="443">
        <f t="shared" si="156"/>
        <v>0</v>
      </c>
      <c r="Q201" s="443">
        <f t="shared" si="157"/>
        <v>0</v>
      </c>
      <c r="R201" s="443">
        <f t="shared" si="158"/>
        <v>444576.42</v>
      </c>
      <c r="S201" s="484">
        <v>0</v>
      </c>
      <c r="T201" s="484">
        <v>0</v>
      </c>
      <c r="U201" s="484">
        <v>48328.32</v>
      </c>
      <c r="V201" s="490">
        <v>0</v>
      </c>
      <c r="W201" s="490">
        <v>0</v>
      </c>
      <c r="X201" s="490">
        <v>0</v>
      </c>
      <c r="Y201" s="419">
        <f t="shared" si="159"/>
        <v>90</v>
      </c>
      <c r="Z201" s="420">
        <f t="shared" si="160"/>
        <v>3.5640000000000005E-2</v>
      </c>
      <c r="AA201" s="420">
        <v>0</v>
      </c>
      <c r="AB201" s="420">
        <v>0</v>
      </c>
      <c r="AC201" s="420">
        <f t="shared" si="161"/>
        <v>2.8920000000000001E-2</v>
      </c>
      <c r="AD201" s="419">
        <f t="shared" si="162"/>
        <v>0</v>
      </c>
      <c r="AE201" s="419">
        <f t="shared" si="163"/>
        <v>13.2</v>
      </c>
      <c r="AF201" s="419">
        <f t="shared" si="164"/>
        <v>15.3</v>
      </c>
      <c r="AG201" s="454">
        <f t="shared" si="165"/>
        <v>433530</v>
      </c>
      <c r="AH201" s="454">
        <f t="shared" si="140"/>
        <v>5306214.8899999997</v>
      </c>
      <c r="AI201" s="421">
        <f t="shared" si="166"/>
        <v>0</v>
      </c>
      <c r="AJ201" s="421">
        <f t="shared" si="167"/>
        <v>0</v>
      </c>
      <c r="AK201" s="421">
        <f t="shared" si="168"/>
        <v>6062595.9299999997</v>
      </c>
      <c r="AL201" s="472">
        <v>0</v>
      </c>
      <c r="AM201" s="422">
        <f t="shared" si="138"/>
        <v>0</v>
      </c>
      <c r="AN201" s="423">
        <f t="shared" si="169"/>
        <v>739423.3</v>
      </c>
      <c r="AO201" s="421">
        <f t="shared" si="170"/>
        <v>6802019.2299999995</v>
      </c>
      <c r="AP201" s="472">
        <v>461.66</v>
      </c>
      <c r="AQ201" s="472">
        <v>-0.2</v>
      </c>
      <c r="AR201" s="472">
        <v>-13362.41</v>
      </c>
      <c r="AS201" s="475">
        <v>0</v>
      </c>
      <c r="AT201" s="475">
        <v>0</v>
      </c>
      <c r="AU201" s="475">
        <v>0</v>
      </c>
      <c r="AV201" s="454">
        <f t="shared" si="171"/>
        <v>12528863.170000002</v>
      </c>
      <c r="AW201" s="421">
        <f t="shared" si="172"/>
        <v>12528863.17</v>
      </c>
      <c r="AX201" s="455">
        <f t="shared" si="182"/>
        <v>0.99999999999999989</v>
      </c>
      <c r="AY201" s="424">
        <f t="shared" si="173"/>
        <v>729694.57</v>
      </c>
      <c r="AZ201" s="424">
        <f t="shared" si="174"/>
        <v>194605.49</v>
      </c>
      <c r="BA201" s="424">
        <f t="shared" si="175"/>
        <v>430300.33</v>
      </c>
      <c r="BB201" s="424">
        <f t="shared" si="176"/>
        <v>0</v>
      </c>
      <c r="BC201" s="424">
        <f t="shared" si="177"/>
        <v>0</v>
      </c>
      <c r="BD201" s="424">
        <f t="shared" si="178"/>
        <v>13883463.560000001</v>
      </c>
      <c r="BE201" s="452">
        <f t="shared" si="179"/>
        <v>13883463.560000002</v>
      </c>
      <c r="BF201" s="448">
        <f t="shared" si="180"/>
        <v>0</v>
      </c>
      <c r="BG201" s="456">
        <f t="shared" si="181"/>
        <v>4305716.46</v>
      </c>
      <c r="BH201" s="457">
        <f t="shared" si="148"/>
        <v>1000498.2299999995</v>
      </c>
      <c r="BI201" s="407" t="s">
        <v>692</v>
      </c>
      <c r="BM201" s="429">
        <f>IF(BR201&gt;BR200,BM200,IF(BM200&lt;MiscData!$F$1,EOMONTH(BM200,1),EOMONTH(BM200,-11)))</f>
        <v>41820</v>
      </c>
      <c r="BN201" s="416" t="str">
        <f t="shared" si="149"/>
        <v>20140101KUCIE562</v>
      </c>
      <c r="BO201" s="427" t="str">
        <f t="shared" si="150"/>
        <v>20140101PSS</v>
      </c>
      <c r="BP201" s="407">
        <f>IF(BM201&lt;=MiscData!$B$23,MiscData!$C$23,IF(BM201&lt;=MiscData!$B$24,MiscData!$C$24,MiscData!$C$25))</f>
        <v>20140101</v>
      </c>
      <c r="BQ201" s="407" t="str">
        <f>VLOOKUP(BR201,MiscData!$V$4:$W$42,2,FALSE)</f>
        <v>KUCIE562</v>
      </c>
      <c r="BR201" s="407">
        <f>IF(BR200=MiscData!$V$42,1,BR200+1)</f>
        <v>3</v>
      </c>
      <c r="BS201" s="407" t="str">
        <f>VLOOKUP(BQ201,MiscData!$W$4:$Y$42,3,FALSE)</f>
        <v>PSS</v>
      </c>
    </row>
    <row r="202" spans="1:72" hidden="1">
      <c r="A202" s="416">
        <f t="shared" si="144"/>
        <v>184</v>
      </c>
      <c r="B202" s="416" t="str">
        <f t="shared" si="145"/>
        <v>Jun 2014</v>
      </c>
      <c r="C202" s="416" t="s">
        <v>221</v>
      </c>
      <c r="D202" s="417" t="str">
        <f t="shared" si="146"/>
        <v>TODP</v>
      </c>
      <c r="E202" s="417" t="str">
        <f t="shared" si="147"/>
        <v>KUCIE563</v>
      </c>
      <c r="F202" s="418">
        <f t="shared" si="151"/>
        <v>53</v>
      </c>
      <c r="G202" s="467">
        <v>1</v>
      </c>
      <c r="H202" s="418">
        <v>0</v>
      </c>
      <c r="I202" s="418">
        <v>0</v>
      </c>
      <c r="J202" s="418">
        <v>0</v>
      </c>
      <c r="K202" s="418">
        <f t="shared" si="152"/>
        <v>258255428</v>
      </c>
      <c r="L202" s="459">
        <v>0</v>
      </c>
      <c r="M202" s="443">
        <f t="shared" si="153"/>
        <v>503667.8</v>
      </c>
      <c r="N202" s="443">
        <f t="shared" si="154"/>
        <v>499668.1</v>
      </c>
      <c r="O202" s="443">
        <f t="shared" si="155"/>
        <v>493520.7</v>
      </c>
      <c r="P202" s="443">
        <f t="shared" si="156"/>
        <v>519412.9</v>
      </c>
      <c r="Q202" s="443">
        <f t="shared" si="157"/>
        <v>500432.8</v>
      </c>
      <c r="R202" s="443">
        <f t="shared" si="158"/>
        <v>494296.9</v>
      </c>
      <c r="S202" s="484">
        <v>15745.1</v>
      </c>
      <c r="T202" s="484">
        <v>764.7</v>
      </c>
      <c r="U202" s="484">
        <v>776.2</v>
      </c>
      <c r="V202" s="490">
        <v>0</v>
      </c>
      <c r="W202" s="490">
        <v>0</v>
      </c>
      <c r="X202" s="490">
        <v>0</v>
      </c>
      <c r="Y202" s="419">
        <f t="shared" si="159"/>
        <v>300</v>
      </c>
      <c r="Z202" s="420">
        <f t="shared" si="160"/>
        <v>3.7650000000000003E-2</v>
      </c>
      <c r="AA202" s="420">
        <v>0</v>
      </c>
      <c r="AB202" s="420">
        <v>0</v>
      </c>
      <c r="AC202" s="420">
        <f t="shared" si="161"/>
        <v>2.8920000000000001E-2</v>
      </c>
      <c r="AD202" s="419">
        <f t="shared" si="162"/>
        <v>1.71</v>
      </c>
      <c r="AE202" s="419">
        <f t="shared" si="163"/>
        <v>2.76</v>
      </c>
      <c r="AF202" s="419">
        <f t="shared" si="164"/>
        <v>4.26</v>
      </c>
      <c r="AG202" s="454">
        <f t="shared" si="165"/>
        <v>16200</v>
      </c>
      <c r="AH202" s="454">
        <f t="shared" si="140"/>
        <v>9723316.8599999994</v>
      </c>
      <c r="AI202" s="421">
        <f t="shared" si="166"/>
        <v>861271.94</v>
      </c>
      <c r="AJ202" s="421">
        <f t="shared" si="167"/>
        <v>1379083.96</v>
      </c>
      <c r="AK202" s="421">
        <f t="shared" si="168"/>
        <v>2102398.1800000002</v>
      </c>
      <c r="AL202" s="472">
        <v>0</v>
      </c>
      <c r="AM202" s="422">
        <f t="shared" si="138"/>
        <v>0</v>
      </c>
      <c r="AN202" s="423">
        <f t="shared" si="169"/>
        <v>32341.31</v>
      </c>
      <c r="AO202" s="421">
        <f t="shared" si="170"/>
        <v>4375095.3899999997</v>
      </c>
      <c r="AP202" s="472">
        <v>0</v>
      </c>
      <c r="AQ202" s="472">
        <v>0.02</v>
      </c>
      <c r="AR202" s="472">
        <v>-0.03</v>
      </c>
      <c r="AS202" s="475">
        <v>0</v>
      </c>
      <c r="AT202" s="475">
        <v>0</v>
      </c>
      <c r="AU202" s="475">
        <v>0</v>
      </c>
      <c r="AV202" s="454">
        <f t="shared" si="171"/>
        <v>14114612.239999998</v>
      </c>
      <c r="AW202" s="421">
        <f t="shared" si="172"/>
        <v>14114612.24</v>
      </c>
      <c r="AX202" s="455">
        <f t="shared" si="182"/>
        <v>1.0000000000000002</v>
      </c>
      <c r="AY202" s="424">
        <f t="shared" si="173"/>
        <v>1174837.7</v>
      </c>
      <c r="AZ202" s="424">
        <f t="shared" si="174"/>
        <v>63642.54</v>
      </c>
      <c r="BA202" s="424">
        <f t="shared" si="175"/>
        <v>319033.45</v>
      </c>
      <c r="BB202" s="424">
        <f t="shared" si="176"/>
        <v>0</v>
      </c>
      <c r="BC202" s="424">
        <f t="shared" si="177"/>
        <v>0</v>
      </c>
      <c r="BD202" s="424">
        <f t="shared" si="178"/>
        <v>15672125.93</v>
      </c>
      <c r="BE202" s="452">
        <f t="shared" si="179"/>
        <v>15672125.929999996</v>
      </c>
      <c r="BF202" s="448">
        <f t="shared" si="180"/>
        <v>0</v>
      </c>
      <c r="BG202" s="456">
        <f t="shared" si="181"/>
        <v>7468746.9800000004</v>
      </c>
      <c r="BH202" s="457">
        <f t="shared" si="148"/>
        <v>2254569.8999999985</v>
      </c>
      <c r="BI202" s="407" t="s">
        <v>692</v>
      </c>
      <c r="BM202" s="429">
        <f>IF(BR202&gt;BR201,BM201,IF(BM201&lt;MiscData!$F$1,EOMONTH(BM201,1),EOMONTH(BM201,-11)))</f>
        <v>41820</v>
      </c>
      <c r="BN202" s="416" t="str">
        <f t="shared" si="149"/>
        <v>20140101KUCIE563</v>
      </c>
      <c r="BO202" s="427" t="str">
        <f t="shared" si="150"/>
        <v>20140101TODP</v>
      </c>
      <c r="BP202" s="407">
        <f>IF(BM202&lt;=MiscData!$B$23,MiscData!$C$23,IF(BM202&lt;=MiscData!$B$24,MiscData!$C$24,MiscData!$C$25))</f>
        <v>20140101</v>
      </c>
      <c r="BQ202" s="407" t="str">
        <f>VLOOKUP(BR202,MiscData!$V$4:$W$42,2,FALSE)</f>
        <v>KUCIE563</v>
      </c>
      <c r="BR202" s="407">
        <f>IF(BR201=MiscData!$V$42,1,BR201+1)</f>
        <v>4</v>
      </c>
      <c r="BS202" s="407" t="str">
        <f>VLOOKUP(BQ202,MiscData!$W$4:$Y$42,3,FALSE)</f>
        <v>TODP</v>
      </c>
    </row>
    <row r="203" spans="1:72">
      <c r="A203" s="416">
        <f t="shared" si="144"/>
        <v>185</v>
      </c>
      <c r="B203" s="416" t="str">
        <f t="shared" si="145"/>
        <v>Jun 2014</v>
      </c>
      <c r="C203" s="416" t="s">
        <v>26</v>
      </c>
      <c r="D203" s="417" t="str">
        <f t="shared" si="146"/>
        <v>PSP</v>
      </c>
      <c r="E203" s="417" t="str">
        <f t="shared" si="147"/>
        <v>KUCIE566</v>
      </c>
      <c r="F203" s="418">
        <f t="shared" si="151"/>
        <v>76</v>
      </c>
      <c r="G203" s="467">
        <v>2</v>
      </c>
      <c r="H203" s="418">
        <v>0</v>
      </c>
      <c r="I203" s="418">
        <v>0</v>
      </c>
      <c r="J203" s="418">
        <v>0</v>
      </c>
      <c r="K203" s="418">
        <f t="shared" si="152"/>
        <v>23110040</v>
      </c>
      <c r="L203" s="459">
        <v>0</v>
      </c>
      <c r="M203" s="443">
        <f t="shared" si="153"/>
        <v>0</v>
      </c>
      <c r="N203" s="443">
        <f t="shared" si="154"/>
        <v>0</v>
      </c>
      <c r="O203" s="443">
        <f t="shared" si="155"/>
        <v>50432.1</v>
      </c>
      <c r="P203" s="443">
        <f t="shared" si="156"/>
        <v>0</v>
      </c>
      <c r="Q203" s="443">
        <f t="shared" si="157"/>
        <v>0</v>
      </c>
      <c r="R203" s="443">
        <f t="shared" si="158"/>
        <v>54404.3</v>
      </c>
      <c r="S203" s="484">
        <v>0</v>
      </c>
      <c r="T203" s="484">
        <v>0</v>
      </c>
      <c r="U203" s="484">
        <v>3972.2</v>
      </c>
      <c r="V203" s="490">
        <v>0</v>
      </c>
      <c r="W203" s="490">
        <v>0</v>
      </c>
      <c r="X203" s="490">
        <v>0</v>
      </c>
      <c r="Y203" s="419">
        <f t="shared" si="159"/>
        <v>170</v>
      </c>
      <c r="Z203" s="420">
        <f t="shared" si="160"/>
        <v>3.5619999999999999E-2</v>
      </c>
      <c r="AA203" s="420">
        <v>0</v>
      </c>
      <c r="AB203" s="420">
        <v>0</v>
      </c>
      <c r="AC203" s="420">
        <f t="shared" si="161"/>
        <v>2.8920000000000001E-2</v>
      </c>
      <c r="AD203" s="419">
        <f t="shared" si="162"/>
        <v>0</v>
      </c>
      <c r="AE203" s="419">
        <f t="shared" si="163"/>
        <v>13.18</v>
      </c>
      <c r="AF203" s="419">
        <f t="shared" si="164"/>
        <v>15.28</v>
      </c>
      <c r="AG203" s="454">
        <f t="shared" si="165"/>
        <v>13260</v>
      </c>
      <c r="AH203" s="454">
        <f t="shared" si="140"/>
        <v>823179.62</v>
      </c>
      <c r="AI203" s="421">
        <f t="shared" si="166"/>
        <v>0</v>
      </c>
      <c r="AJ203" s="421">
        <f t="shared" si="167"/>
        <v>0</v>
      </c>
      <c r="AK203" s="421">
        <f t="shared" si="168"/>
        <v>770602.49</v>
      </c>
      <c r="AL203" s="472">
        <v>812.5</v>
      </c>
      <c r="AM203" s="422">
        <f t="shared" si="138"/>
        <v>10922.15</v>
      </c>
      <c r="AN203" s="423">
        <f t="shared" si="169"/>
        <v>60695.22</v>
      </c>
      <c r="AO203" s="421">
        <f t="shared" si="170"/>
        <v>843032.36</v>
      </c>
      <c r="AP203" s="472">
        <v>-96.33</v>
      </c>
      <c r="AQ203" s="472">
        <v>-0.03</v>
      </c>
      <c r="AR203" s="472">
        <v>-1132.5899999999999</v>
      </c>
      <c r="AS203" s="475">
        <v>0</v>
      </c>
      <c r="AT203" s="475">
        <v>0</v>
      </c>
      <c r="AU203" s="475">
        <v>0</v>
      </c>
      <c r="AV203" s="454">
        <f t="shared" si="171"/>
        <v>1678243.0299999996</v>
      </c>
      <c r="AW203" s="421">
        <f t="shared" si="172"/>
        <v>1678243.03</v>
      </c>
      <c r="AX203" s="455">
        <f t="shared" si="182"/>
        <v>1.0000000000000002</v>
      </c>
      <c r="AY203" s="424">
        <f t="shared" si="173"/>
        <v>111619.31</v>
      </c>
      <c r="AZ203" s="424">
        <f t="shared" si="174"/>
        <v>18850.419999999998</v>
      </c>
      <c r="BA203" s="424">
        <f t="shared" si="175"/>
        <v>51863.08</v>
      </c>
      <c r="BB203" s="424">
        <f t="shared" si="176"/>
        <v>0</v>
      </c>
      <c r="BC203" s="424">
        <f t="shared" si="177"/>
        <v>0</v>
      </c>
      <c r="BD203" s="424">
        <f t="shared" si="178"/>
        <v>1860575.84</v>
      </c>
      <c r="BE203" s="452">
        <f t="shared" si="179"/>
        <v>1860575.8399999996</v>
      </c>
      <c r="BF203" s="448">
        <f t="shared" si="180"/>
        <v>0</v>
      </c>
      <c r="BG203" s="456">
        <f t="shared" si="181"/>
        <v>668342.36</v>
      </c>
      <c r="BH203" s="457">
        <f t="shared" si="148"/>
        <v>154837.22999999998</v>
      </c>
      <c r="BI203" s="407" t="s">
        <v>692</v>
      </c>
      <c r="BM203" s="429">
        <f>IF(BR203&gt;BR202,BM202,IF(BM202&lt;MiscData!$F$1,EOMONTH(BM202,1),EOMONTH(BM202,-11)))</f>
        <v>41820</v>
      </c>
      <c r="BN203" s="416" t="str">
        <f t="shared" si="149"/>
        <v>20140101KUCIE566</v>
      </c>
      <c r="BO203" s="427" t="str">
        <f t="shared" si="150"/>
        <v>20140101PSP</v>
      </c>
      <c r="BP203" s="407">
        <f>IF(BM203&lt;=MiscData!$B$23,MiscData!$C$23,IF(BM203&lt;=MiscData!$B$24,MiscData!$C$24,MiscData!$C$25))</f>
        <v>20140101</v>
      </c>
      <c r="BQ203" s="407" t="str">
        <f>VLOOKUP(BR203,MiscData!$V$4:$W$42,2,FALSE)</f>
        <v>KUCIE566</v>
      </c>
      <c r="BR203" s="407">
        <f>IF(BR202=MiscData!$V$42,1,BR202+1)</f>
        <v>5</v>
      </c>
      <c r="BS203" s="407" t="str">
        <f>VLOOKUP(BQ203,MiscData!$W$4:$Y$42,3,FALSE)</f>
        <v>PSP</v>
      </c>
    </row>
    <row r="204" spans="1:72" hidden="1">
      <c r="A204" s="416">
        <f t="shared" si="144"/>
        <v>186</v>
      </c>
      <c r="B204" s="416" t="str">
        <f t="shared" si="145"/>
        <v>Jun 2014</v>
      </c>
      <c r="C204" s="416" t="s">
        <v>25</v>
      </c>
      <c r="D204" s="417" t="str">
        <f t="shared" si="146"/>
        <v>PSS</v>
      </c>
      <c r="E204" s="417" t="str">
        <f t="shared" si="147"/>
        <v>KUCIE568</v>
      </c>
      <c r="F204" s="418">
        <f t="shared" si="151"/>
        <v>388</v>
      </c>
      <c r="G204" s="467">
        <v>3</v>
      </c>
      <c r="H204" s="418">
        <v>0</v>
      </c>
      <c r="I204" s="418">
        <v>0</v>
      </c>
      <c r="J204" s="418">
        <v>0</v>
      </c>
      <c r="K204" s="418">
        <f t="shared" si="152"/>
        <v>60748792</v>
      </c>
      <c r="L204" s="459">
        <v>0</v>
      </c>
      <c r="M204" s="443">
        <f t="shared" si="153"/>
        <v>0</v>
      </c>
      <c r="N204" s="443">
        <f t="shared" si="154"/>
        <v>0</v>
      </c>
      <c r="O204" s="443">
        <f t="shared" si="155"/>
        <v>146025.9</v>
      </c>
      <c r="P204" s="443">
        <f t="shared" si="156"/>
        <v>0</v>
      </c>
      <c r="Q204" s="443">
        <f t="shared" si="157"/>
        <v>0</v>
      </c>
      <c r="R204" s="443">
        <f t="shared" si="158"/>
        <v>151725.95000000001</v>
      </c>
      <c r="S204" s="484">
        <v>0</v>
      </c>
      <c r="T204" s="484">
        <v>0</v>
      </c>
      <c r="U204" s="484">
        <v>5700.05</v>
      </c>
      <c r="V204" s="490">
        <v>0</v>
      </c>
      <c r="W204" s="490">
        <v>0</v>
      </c>
      <c r="X204" s="490">
        <v>0</v>
      </c>
      <c r="Y204" s="419">
        <f t="shared" si="159"/>
        <v>90</v>
      </c>
      <c r="Z204" s="420">
        <f t="shared" si="160"/>
        <v>3.5640000000000005E-2</v>
      </c>
      <c r="AA204" s="420">
        <v>0</v>
      </c>
      <c r="AB204" s="420">
        <v>0</v>
      </c>
      <c r="AC204" s="420">
        <f t="shared" si="161"/>
        <v>2.8920000000000001E-2</v>
      </c>
      <c r="AD204" s="419">
        <f t="shared" si="162"/>
        <v>0</v>
      </c>
      <c r="AE204" s="419">
        <f t="shared" si="163"/>
        <v>13.2</v>
      </c>
      <c r="AF204" s="419">
        <f t="shared" si="164"/>
        <v>15.3</v>
      </c>
      <c r="AG204" s="454">
        <f t="shared" si="165"/>
        <v>35190</v>
      </c>
      <c r="AH204" s="454">
        <f t="shared" si="140"/>
        <v>2165086.9500000002</v>
      </c>
      <c r="AI204" s="421">
        <f t="shared" si="166"/>
        <v>0</v>
      </c>
      <c r="AJ204" s="421">
        <f t="shared" si="167"/>
        <v>0</v>
      </c>
      <c r="AK204" s="421">
        <f t="shared" si="168"/>
        <v>2234196.27</v>
      </c>
      <c r="AL204" s="472">
        <v>335.25</v>
      </c>
      <c r="AM204" s="422">
        <f t="shared" si="138"/>
        <v>84540.53</v>
      </c>
      <c r="AN204" s="423">
        <f t="shared" si="169"/>
        <v>87210.77</v>
      </c>
      <c r="AO204" s="421">
        <f t="shared" si="170"/>
        <v>2406282.8199999998</v>
      </c>
      <c r="AP204" s="472">
        <v>-454.13</v>
      </c>
      <c r="AQ204" s="472">
        <v>0</v>
      </c>
      <c r="AR204" s="472">
        <v>-18575.150000000001</v>
      </c>
      <c r="AS204" s="475">
        <v>0</v>
      </c>
      <c r="AT204" s="475">
        <v>0</v>
      </c>
      <c r="AU204" s="475">
        <v>0</v>
      </c>
      <c r="AV204" s="454">
        <f t="shared" si="171"/>
        <v>4587530.49</v>
      </c>
      <c r="AW204" s="421">
        <f t="shared" si="172"/>
        <v>4587530.49</v>
      </c>
      <c r="AX204" s="455">
        <f t="shared" si="182"/>
        <v>1</v>
      </c>
      <c r="AY204" s="424">
        <f t="shared" si="173"/>
        <v>298801.51</v>
      </c>
      <c r="AZ204" s="424">
        <f t="shared" si="174"/>
        <v>50940.480000000003</v>
      </c>
      <c r="BA204" s="424">
        <f t="shared" si="175"/>
        <v>147734.59</v>
      </c>
      <c r="BB204" s="424">
        <f t="shared" si="176"/>
        <v>0</v>
      </c>
      <c r="BC204" s="424">
        <f t="shared" si="177"/>
        <v>0</v>
      </c>
      <c r="BD204" s="424">
        <f t="shared" si="178"/>
        <v>5085007.07</v>
      </c>
      <c r="BE204" s="452">
        <f t="shared" si="179"/>
        <v>5085007.07</v>
      </c>
      <c r="BF204" s="448">
        <f t="shared" si="180"/>
        <v>0</v>
      </c>
      <c r="BG204" s="456">
        <f t="shared" si="181"/>
        <v>1756855.06</v>
      </c>
      <c r="BH204" s="457">
        <f t="shared" si="148"/>
        <v>408231.89000000013</v>
      </c>
      <c r="BI204" s="407" t="s">
        <v>692</v>
      </c>
      <c r="BM204" s="429">
        <f>IF(BR204&gt;BR203,BM203,IF(BM203&lt;MiscData!$F$1,EOMONTH(BM203,1),EOMONTH(BM203,-11)))</f>
        <v>41820</v>
      </c>
      <c r="BN204" s="416" t="str">
        <f t="shared" si="149"/>
        <v>20140101KUCIE568</v>
      </c>
      <c r="BO204" s="427" t="str">
        <f t="shared" si="150"/>
        <v>20140101PSS</v>
      </c>
      <c r="BP204" s="407">
        <f>IF(BM204&lt;=MiscData!$B$23,MiscData!$C$23,IF(BM204&lt;=MiscData!$B$24,MiscData!$C$24,MiscData!$C$25))</f>
        <v>20140101</v>
      </c>
      <c r="BQ204" s="407" t="str">
        <f>VLOOKUP(BR204,MiscData!$V$4:$W$42,2,FALSE)</f>
        <v>KUCIE568</v>
      </c>
      <c r="BR204" s="407">
        <f>IF(BR203=MiscData!$V$42,1,BR203+1)</f>
        <v>6</v>
      </c>
      <c r="BS204" s="407" t="str">
        <f>VLOOKUP(BQ204,MiscData!$W$4:$Y$42,3,FALSE)</f>
        <v>PSS</v>
      </c>
    </row>
    <row r="205" spans="1:72" hidden="1">
      <c r="A205" s="416">
        <f t="shared" si="144"/>
        <v>187</v>
      </c>
      <c r="B205" s="416" t="str">
        <f t="shared" si="145"/>
        <v>Jun 2014</v>
      </c>
      <c r="C205" s="416" t="s">
        <v>221</v>
      </c>
      <c r="D205" s="417" t="str">
        <f t="shared" si="146"/>
        <v>TODP</v>
      </c>
      <c r="E205" s="417" t="str">
        <f t="shared" si="147"/>
        <v>KUCIE571</v>
      </c>
      <c r="F205" s="418">
        <f t="shared" si="151"/>
        <v>156</v>
      </c>
      <c r="G205" s="467">
        <v>0</v>
      </c>
      <c r="H205" s="418">
        <v>0</v>
      </c>
      <c r="I205" s="418">
        <v>0</v>
      </c>
      <c r="J205" s="418">
        <v>0</v>
      </c>
      <c r="K205" s="418">
        <f t="shared" si="152"/>
        <v>106841640</v>
      </c>
      <c r="L205" s="481">
        <v>0</v>
      </c>
      <c r="M205" s="443">
        <f t="shared" si="153"/>
        <v>262858.8</v>
      </c>
      <c r="N205" s="443">
        <f t="shared" si="154"/>
        <v>260987.8</v>
      </c>
      <c r="O205" s="443">
        <f t="shared" si="155"/>
        <v>254232.1</v>
      </c>
      <c r="P205" s="443">
        <f t="shared" si="156"/>
        <v>271759.7</v>
      </c>
      <c r="Q205" s="443">
        <f t="shared" si="157"/>
        <v>262603.90000000002</v>
      </c>
      <c r="R205" s="443">
        <f t="shared" si="158"/>
        <v>257287.7</v>
      </c>
      <c r="S205" s="484">
        <v>8900.9</v>
      </c>
      <c r="T205" s="484">
        <v>1616.1</v>
      </c>
      <c r="U205" s="484">
        <v>3055.6</v>
      </c>
      <c r="V205" s="490">
        <v>0</v>
      </c>
      <c r="W205" s="490">
        <v>0</v>
      </c>
      <c r="X205" s="490">
        <v>0</v>
      </c>
      <c r="Y205" s="419">
        <f t="shared" si="159"/>
        <v>300</v>
      </c>
      <c r="Z205" s="420">
        <f t="shared" si="160"/>
        <v>3.7650000000000003E-2</v>
      </c>
      <c r="AA205" s="420">
        <v>0</v>
      </c>
      <c r="AB205" s="420">
        <v>0</v>
      </c>
      <c r="AC205" s="420">
        <f t="shared" si="161"/>
        <v>2.8920000000000001E-2</v>
      </c>
      <c r="AD205" s="419">
        <f t="shared" si="162"/>
        <v>1.71</v>
      </c>
      <c r="AE205" s="419">
        <f t="shared" si="163"/>
        <v>2.76</v>
      </c>
      <c r="AF205" s="419">
        <f t="shared" si="164"/>
        <v>4.26</v>
      </c>
      <c r="AG205" s="454">
        <f t="shared" si="165"/>
        <v>46800</v>
      </c>
      <c r="AH205" s="454">
        <f t="shared" si="140"/>
        <v>4022587.75</v>
      </c>
      <c r="AI205" s="421">
        <f t="shared" si="166"/>
        <v>449488.55</v>
      </c>
      <c r="AJ205" s="421">
        <f t="shared" si="167"/>
        <v>720326.33</v>
      </c>
      <c r="AK205" s="421">
        <f t="shared" si="168"/>
        <v>1083028.75</v>
      </c>
      <c r="AL205" s="472">
        <v>16954.04</v>
      </c>
      <c r="AM205" s="422">
        <f t="shared" si="138"/>
        <v>0</v>
      </c>
      <c r="AN205" s="423">
        <f t="shared" si="169"/>
        <v>32697.83</v>
      </c>
      <c r="AO205" s="421">
        <f t="shared" si="170"/>
        <v>2302495.5</v>
      </c>
      <c r="AP205" s="472">
        <v>-240</v>
      </c>
      <c r="AQ205" s="472">
        <v>0.02</v>
      </c>
      <c r="AR205" s="472">
        <v>-8608.43</v>
      </c>
      <c r="AS205" s="475">
        <v>0</v>
      </c>
      <c r="AT205" s="475">
        <v>0</v>
      </c>
      <c r="AU205" s="475">
        <v>0</v>
      </c>
      <c r="AV205" s="454">
        <f t="shared" si="171"/>
        <v>6363034.8399999999</v>
      </c>
      <c r="AW205" s="421">
        <f t="shared" si="172"/>
        <v>6363034.8399999999</v>
      </c>
      <c r="AX205" s="455">
        <f t="shared" si="182"/>
        <v>1</v>
      </c>
      <c r="AY205" s="424">
        <f t="shared" si="173"/>
        <v>520315.37</v>
      </c>
      <c r="AZ205" s="424">
        <f t="shared" si="174"/>
        <v>37453.599999999999</v>
      </c>
      <c r="BA205" s="424">
        <f t="shared" si="175"/>
        <v>167643.62</v>
      </c>
      <c r="BB205" s="424">
        <f t="shared" si="176"/>
        <v>0</v>
      </c>
      <c r="BC205" s="424">
        <f t="shared" si="177"/>
        <v>0</v>
      </c>
      <c r="BD205" s="424">
        <f t="shared" si="178"/>
        <v>7088447.4299999997</v>
      </c>
      <c r="BE205" s="452">
        <f t="shared" si="179"/>
        <v>7088447.4299999997</v>
      </c>
      <c r="BF205" s="448">
        <f t="shared" si="180"/>
        <v>0</v>
      </c>
      <c r="BG205" s="456">
        <f t="shared" si="181"/>
        <v>3089860.23</v>
      </c>
      <c r="BH205" s="457">
        <f t="shared" si="148"/>
        <v>932727.54</v>
      </c>
      <c r="BI205" s="407" t="s">
        <v>692</v>
      </c>
      <c r="BM205" s="429">
        <f>IF(BR205&gt;BR204,BM204,IF(BM204&lt;MiscData!$F$1,EOMONTH(BM204,1),EOMONTH(BM204,-11)))</f>
        <v>41820</v>
      </c>
      <c r="BN205" s="416" t="str">
        <f t="shared" si="149"/>
        <v>20140101KUCIE571</v>
      </c>
      <c r="BO205" s="427" t="str">
        <f t="shared" si="150"/>
        <v>20140101TODP</v>
      </c>
      <c r="BP205" s="407">
        <f>IF(BM205&lt;=MiscData!$B$23,MiscData!$C$23,IF(BM205&lt;=MiscData!$B$24,MiscData!$C$24,MiscData!$C$25))</f>
        <v>20140101</v>
      </c>
      <c r="BQ205" s="407" t="str">
        <f>VLOOKUP(BR205,MiscData!$V$4:$W$42,2,FALSE)</f>
        <v>KUCIE571</v>
      </c>
      <c r="BR205" s="407">
        <f>IF(BR204=MiscData!$V$42,1,BR204+1)</f>
        <v>7</v>
      </c>
      <c r="BS205" s="407" t="str">
        <f>VLOOKUP(BQ205,MiscData!$W$4:$Y$42,3,FALSE)</f>
        <v>TODP</v>
      </c>
    </row>
    <row r="206" spans="1:72" hidden="1">
      <c r="A206" s="416">
        <f t="shared" si="144"/>
        <v>188</v>
      </c>
      <c r="B206" s="416" t="str">
        <f t="shared" si="145"/>
        <v>Jun 2014</v>
      </c>
      <c r="C206" s="416" t="s">
        <v>220</v>
      </c>
      <c r="D206" s="417" t="str">
        <f t="shared" si="146"/>
        <v>TODS</v>
      </c>
      <c r="E206" s="417" t="str">
        <f t="shared" si="147"/>
        <v>KUCIE572</v>
      </c>
      <c r="F206" s="418">
        <f t="shared" si="151"/>
        <v>457</v>
      </c>
      <c r="G206" s="467">
        <v>5</v>
      </c>
      <c r="H206" s="418">
        <v>0</v>
      </c>
      <c r="I206" s="418">
        <v>0</v>
      </c>
      <c r="J206" s="418">
        <v>0</v>
      </c>
      <c r="K206" s="418">
        <f t="shared" si="152"/>
        <v>114521799</v>
      </c>
      <c r="L206" s="481">
        <v>0</v>
      </c>
      <c r="M206" s="443">
        <f t="shared" si="153"/>
        <v>256884.6</v>
      </c>
      <c r="N206" s="443">
        <f t="shared" si="154"/>
        <v>254148.4</v>
      </c>
      <c r="O206" s="443">
        <f t="shared" si="155"/>
        <v>247729.4</v>
      </c>
      <c r="P206" s="443">
        <f t="shared" si="156"/>
        <v>273071.95</v>
      </c>
      <c r="Q206" s="443">
        <f t="shared" si="157"/>
        <v>255432.35</v>
      </c>
      <c r="R206" s="443">
        <f t="shared" si="158"/>
        <v>249189</v>
      </c>
      <c r="S206" s="484">
        <v>16187.350000000006</v>
      </c>
      <c r="T206" s="484">
        <v>1283.9500000000116</v>
      </c>
      <c r="U206" s="484">
        <v>1459.6000000000058</v>
      </c>
      <c r="V206" s="490">
        <v>0</v>
      </c>
      <c r="W206" s="490">
        <v>0</v>
      </c>
      <c r="X206" s="490">
        <v>0</v>
      </c>
      <c r="Y206" s="419">
        <f t="shared" si="159"/>
        <v>200</v>
      </c>
      <c r="Z206" s="420">
        <f t="shared" si="160"/>
        <v>3.773E-2</v>
      </c>
      <c r="AA206" s="420">
        <v>0</v>
      </c>
      <c r="AB206" s="420">
        <v>0</v>
      </c>
      <c r="AC206" s="420">
        <f t="shared" si="161"/>
        <v>2.8920000000000001E-2</v>
      </c>
      <c r="AD206" s="419">
        <f t="shared" si="162"/>
        <v>3.62</v>
      </c>
      <c r="AE206" s="419">
        <f t="shared" si="163"/>
        <v>2.95</v>
      </c>
      <c r="AF206" s="419">
        <f t="shared" si="164"/>
        <v>4.55</v>
      </c>
      <c r="AG206" s="454">
        <f t="shared" si="165"/>
        <v>92400</v>
      </c>
      <c r="AH206" s="454">
        <f t="shared" si="140"/>
        <v>4320907.4800000004</v>
      </c>
      <c r="AI206" s="421">
        <f t="shared" si="166"/>
        <v>929922.25</v>
      </c>
      <c r="AJ206" s="421">
        <f t="shared" si="167"/>
        <v>749737.78</v>
      </c>
      <c r="AK206" s="421">
        <f t="shared" si="168"/>
        <v>1127168.77</v>
      </c>
      <c r="AL206" s="472">
        <v>7916.67</v>
      </c>
      <c r="AM206" s="422">
        <f t="shared" si="138"/>
        <v>112000.92</v>
      </c>
      <c r="AN206" s="423">
        <f t="shared" si="169"/>
        <v>69027.039999999994</v>
      </c>
      <c r="AO206" s="421">
        <f t="shared" si="170"/>
        <v>2995773.4299999997</v>
      </c>
      <c r="AP206" s="472">
        <v>-511.67</v>
      </c>
      <c r="AQ206" s="472">
        <v>0.09</v>
      </c>
      <c r="AR206" s="472">
        <v>17157.919999999998</v>
      </c>
      <c r="AS206" s="475">
        <v>0</v>
      </c>
      <c r="AT206" s="475">
        <v>0</v>
      </c>
      <c r="AU206" s="475">
        <v>0</v>
      </c>
      <c r="AV206" s="454">
        <f t="shared" si="171"/>
        <v>7425727.2500000009</v>
      </c>
      <c r="AW206" s="421">
        <f t="shared" si="172"/>
        <v>7425727.25</v>
      </c>
      <c r="AX206" s="455">
        <f t="shared" si="182"/>
        <v>0.99999999999999989</v>
      </c>
      <c r="AY206" s="424">
        <f t="shared" si="173"/>
        <v>555064.85</v>
      </c>
      <c r="AZ206" s="424">
        <f t="shared" si="174"/>
        <v>90860.2</v>
      </c>
      <c r="BA206" s="424">
        <f t="shared" si="175"/>
        <v>212318.99</v>
      </c>
      <c r="BB206" s="424">
        <f t="shared" si="176"/>
        <v>0</v>
      </c>
      <c r="BC206" s="424">
        <f t="shared" si="177"/>
        <v>0</v>
      </c>
      <c r="BD206" s="424">
        <f t="shared" si="178"/>
        <v>8283971.29</v>
      </c>
      <c r="BE206" s="452">
        <f t="shared" si="179"/>
        <v>8283971.290000001</v>
      </c>
      <c r="BF206" s="448">
        <f t="shared" si="180"/>
        <v>0</v>
      </c>
      <c r="BG206" s="456">
        <f t="shared" si="181"/>
        <v>3311970.43</v>
      </c>
      <c r="BH206" s="457">
        <f t="shared" si="148"/>
        <v>1008937.1400000001</v>
      </c>
      <c r="BI206" s="407" t="s">
        <v>692</v>
      </c>
      <c r="BM206" s="429">
        <f>IF(BR206&gt;BR205,BM205,IF(BM205&lt;MiscData!$F$1,EOMONTH(BM205,1),EOMONTH(BM205,-11)))</f>
        <v>41820</v>
      </c>
      <c r="BN206" s="416" t="str">
        <f t="shared" si="149"/>
        <v>20140101KUCIE572</v>
      </c>
      <c r="BO206" s="427" t="str">
        <f t="shared" si="150"/>
        <v>20140101TODS</v>
      </c>
      <c r="BP206" s="407">
        <f>IF(BM206&lt;=MiscData!$B$23,MiscData!$C$23,IF(BM206&lt;=MiscData!$B$24,MiscData!$C$24,MiscData!$C$25))</f>
        <v>20140101</v>
      </c>
      <c r="BQ206" s="407" t="str">
        <f>VLOOKUP(BR206,MiscData!$V$4:$W$42,2,FALSE)</f>
        <v>KUCIE572</v>
      </c>
      <c r="BR206" s="407">
        <f>IF(BR205=MiscData!$V$42,1,BR205+1)</f>
        <v>8</v>
      </c>
      <c r="BS206" s="407" t="str">
        <f>VLOOKUP(BQ206,MiscData!$W$4:$Y$42,3,FALSE)</f>
        <v>TODS</v>
      </c>
    </row>
    <row r="207" spans="1:72" hidden="1">
      <c r="A207" s="416">
        <f t="shared" si="144"/>
        <v>189</v>
      </c>
      <c r="B207" s="416" t="str">
        <f t="shared" si="145"/>
        <v>Jun 2014</v>
      </c>
      <c r="C207" s="416" t="s">
        <v>25</v>
      </c>
      <c r="D207" s="417" t="str">
        <f t="shared" si="146"/>
        <v>PSS</v>
      </c>
      <c r="E207" s="417" t="str">
        <f t="shared" si="147"/>
        <v>KUCIE717</v>
      </c>
      <c r="F207" s="418">
        <f t="shared" si="151"/>
        <v>1</v>
      </c>
      <c r="G207" s="467">
        <v>0</v>
      </c>
      <c r="H207" s="418">
        <v>0</v>
      </c>
      <c r="I207" s="418">
        <v>0</v>
      </c>
      <c r="J207" s="418">
        <v>0</v>
      </c>
      <c r="K207" s="418">
        <f t="shared" si="152"/>
        <v>31680</v>
      </c>
      <c r="L207" s="459">
        <v>0</v>
      </c>
      <c r="M207" s="443">
        <f t="shared" si="153"/>
        <v>0</v>
      </c>
      <c r="N207" s="443">
        <f t="shared" si="154"/>
        <v>0</v>
      </c>
      <c r="O207" s="443">
        <f t="shared" si="155"/>
        <v>85</v>
      </c>
      <c r="P207" s="443">
        <f t="shared" si="156"/>
        <v>0</v>
      </c>
      <c r="Q207" s="443">
        <f t="shared" si="157"/>
        <v>0</v>
      </c>
      <c r="R207" s="443">
        <f t="shared" si="158"/>
        <v>0</v>
      </c>
      <c r="S207" s="484">
        <v>0</v>
      </c>
      <c r="T207" s="484">
        <v>0</v>
      </c>
      <c r="U207" s="484">
        <v>15</v>
      </c>
      <c r="V207" s="490">
        <v>0</v>
      </c>
      <c r="W207" s="490">
        <v>0</v>
      </c>
      <c r="X207" s="490">
        <v>0</v>
      </c>
      <c r="Y207" s="419">
        <f t="shared" si="159"/>
        <v>90</v>
      </c>
      <c r="Z207" s="420">
        <f t="shared" si="160"/>
        <v>3.5640000000000005E-2</v>
      </c>
      <c r="AA207" s="420">
        <v>0</v>
      </c>
      <c r="AB207" s="420">
        <v>0</v>
      </c>
      <c r="AC207" s="420">
        <f t="shared" si="161"/>
        <v>2.8920000000000001E-2</v>
      </c>
      <c r="AD207" s="419">
        <f t="shared" si="162"/>
        <v>0</v>
      </c>
      <c r="AE207" s="419">
        <f t="shared" si="163"/>
        <v>13.2</v>
      </c>
      <c r="AF207" s="419">
        <f t="shared" si="164"/>
        <v>15.3</v>
      </c>
      <c r="AG207" s="454">
        <f t="shared" si="165"/>
        <v>90</v>
      </c>
      <c r="AH207" s="454">
        <f t="shared" si="140"/>
        <v>1129.08</v>
      </c>
      <c r="AI207" s="421">
        <f t="shared" si="166"/>
        <v>0</v>
      </c>
      <c r="AJ207" s="421">
        <f t="shared" si="167"/>
        <v>0</v>
      </c>
      <c r="AK207" s="421">
        <f t="shared" si="168"/>
        <v>1300.5</v>
      </c>
      <c r="AL207" s="472">
        <v>0</v>
      </c>
      <c r="AM207" s="422">
        <f t="shared" si="138"/>
        <v>0</v>
      </c>
      <c r="AN207" s="423">
        <f t="shared" si="169"/>
        <v>229.5</v>
      </c>
      <c r="AO207" s="421">
        <f t="shared" si="170"/>
        <v>1530</v>
      </c>
      <c r="AP207" s="472">
        <v>0</v>
      </c>
      <c r="AQ207" s="472">
        <v>0</v>
      </c>
      <c r="AR207" s="472">
        <v>0</v>
      </c>
      <c r="AS207" s="475">
        <v>0</v>
      </c>
      <c r="AT207" s="475">
        <v>0</v>
      </c>
      <c r="AU207" s="475">
        <v>0</v>
      </c>
      <c r="AV207" s="454">
        <f t="shared" si="171"/>
        <v>2749.08</v>
      </c>
      <c r="AW207" s="421">
        <f t="shared" si="172"/>
        <v>2749.08</v>
      </c>
      <c r="AX207" s="455">
        <f t="shared" si="182"/>
        <v>1</v>
      </c>
      <c r="AY207" s="424">
        <f t="shared" si="173"/>
        <v>157.44999999999999</v>
      </c>
      <c r="AZ207" s="424">
        <f t="shared" si="174"/>
        <v>43.4</v>
      </c>
      <c r="BA207" s="424">
        <f t="shared" si="175"/>
        <v>97.38</v>
      </c>
      <c r="BB207" s="424">
        <f t="shared" si="176"/>
        <v>0</v>
      </c>
      <c r="BC207" s="424">
        <f t="shared" si="177"/>
        <v>0</v>
      </c>
      <c r="BD207" s="424">
        <f t="shared" si="178"/>
        <v>3047.31</v>
      </c>
      <c r="BE207" s="452">
        <f t="shared" si="179"/>
        <v>3047.31</v>
      </c>
      <c r="BF207" s="448">
        <f t="shared" si="180"/>
        <v>0</v>
      </c>
      <c r="BG207" s="456">
        <f t="shared" si="181"/>
        <v>916.19</v>
      </c>
      <c r="BH207" s="457">
        <f t="shared" si="148"/>
        <v>212.88999999999987</v>
      </c>
      <c r="BI207" s="407" t="s">
        <v>692</v>
      </c>
      <c r="BM207" s="429">
        <f>IF(BR207&gt;BR206,BM206,IF(BM206&lt;MiscData!$F$1,EOMONTH(BM206,1),EOMONTH(BM206,-11)))</f>
        <v>41820</v>
      </c>
      <c r="BN207" s="416" t="str">
        <f t="shared" si="149"/>
        <v>20140101KUCIE717</v>
      </c>
      <c r="BO207" s="427" t="str">
        <f t="shared" si="150"/>
        <v>20140101PSS</v>
      </c>
      <c r="BP207" s="407">
        <f>IF(BM207&lt;=MiscData!$B$23,MiscData!$C$23,IF(BM207&lt;=MiscData!$B$24,MiscData!$C$24,MiscData!$C$25))</f>
        <v>20140101</v>
      </c>
      <c r="BQ207" s="407" t="str">
        <f>VLOOKUP(BR207,MiscData!$V$4:$W$42,2,FALSE)</f>
        <v>KUCIE717</v>
      </c>
      <c r="BR207" s="407">
        <f>IF(BR206=MiscData!$V$42,1,BR206+1)</f>
        <v>9</v>
      </c>
      <c r="BS207" s="407" t="str">
        <f>VLOOKUP(BQ207,MiscData!$W$4:$Y$42,3,FALSE)</f>
        <v>PSS</v>
      </c>
    </row>
    <row r="208" spans="1:72" hidden="1">
      <c r="A208" s="416">
        <f t="shared" si="144"/>
        <v>190</v>
      </c>
      <c r="B208" s="416" t="str">
        <f t="shared" si="145"/>
        <v>Jun 2014</v>
      </c>
      <c r="C208" s="416" t="s">
        <v>224</v>
      </c>
      <c r="D208" s="417" t="str">
        <f t="shared" si="146"/>
        <v>GS</v>
      </c>
      <c r="E208" s="417" t="str">
        <f t="shared" si="147"/>
        <v>KUCME110</v>
      </c>
      <c r="F208" s="418">
        <f t="shared" si="151"/>
        <v>63580</v>
      </c>
      <c r="G208" s="467">
        <v>0</v>
      </c>
      <c r="H208" s="418">
        <v>0</v>
      </c>
      <c r="I208" s="418">
        <v>0</v>
      </c>
      <c r="J208" s="418">
        <v>0</v>
      </c>
      <c r="K208" s="418">
        <f t="shared" si="152"/>
        <v>59244758</v>
      </c>
      <c r="L208" s="459">
        <v>0</v>
      </c>
      <c r="M208" s="443">
        <f t="shared" si="153"/>
        <v>101914.7</v>
      </c>
      <c r="N208" s="443">
        <f t="shared" si="154"/>
        <v>0</v>
      </c>
      <c r="O208" s="443">
        <f t="shared" si="155"/>
        <v>0</v>
      </c>
      <c r="P208" s="443">
        <f t="shared" si="156"/>
        <v>0</v>
      </c>
      <c r="Q208" s="443">
        <f t="shared" si="157"/>
        <v>0</v>
      </c>
      <c r="R208" s="443">
        <f t="shared" si="158"/>
        <v>0</v>
      </c>
      <c r="S208" s="484">
        <v>0</v>
      </c>
      <c r="T208" s="484">
        <v>0</v>
      </c>
      <c r="U208" s="484">
        <v>0</v>
      </c>
      <c r="V208" s="490">
        <v>0</v>
      </c>
      <c r="W208" s="490">
        <v>0</v>
      </c>
      <c r="X208" s="490">
        <v>0</v>
      </c>
      <c r="Y208" s="419">
        <f t="shared" si="159"/>
        <v>20</v>
      </c>
      <c r="Z208" s="420">
        <f t="shared" si="160"/>
        <v>9.2249999999999999E-2</v>
      </c>
      <c r="AA208" s="420">
        <v>0</v>
      </c>
      <c r="AB208" s="420">
        <v>0</v>
      </c>
      <c r="AC208" s="420">
        <f t="shared" si="161"/>
        <v>2.8920000000000001E-2</v>
      </c>
      <c r="AD208" s="419">
        <f t="shared" si="162"/>
        <v>0</v>
      </c>
      <c r="AE208" s="419">
        <f t="shared" si="163"/>
        <v>0</v>
      </c>
      <c r="AF208" s="419">
        <f t="shared" si="164"/>
        <v>0</v>
      </c>
      <c r="AG208" s="454">
        <f t="shared" si="165"/>
        <v>1271600</v>
      </c>
      <c r="AH208" s="454">
        <f t="shared" si="140"/>
        <v>5465328.9299999997</v>
      </c>
      <c r="AI208" s="421">
        <f t="shared" si="166"/>
        <v>0</v>
      </c>
      <c r="AJ208" s="421">
        <f t="shared" si="167"/>
        <v>0</v>
      </c>
      <c r="AK208" s="421">
        <f t="shared" si="168"/>
        <v>0</v>
      </c>
      <c r="AL208" s="472">
        <v>0</v>
      </c>
      <c r="AM208" s="422">
        <f t="shared" si="138"/>
        <v>0</v>
      </c>
      <c r="AN208" s="423">
        <f t="shared" si="169"/>
        <v>0</v>
      </c>
      <c r="AO208" s="421">
        <f t="shared" si="170"/>
        <v>0</v>
      </c>
      <c r="AP208" s="472">
        <v>11696.24</v>
      </c>
      <c r="AQ208" s="472">
        <v>9.82</v>
      </c>
      <c r="AR208" s="472">
        <v>0</v>
      </c>
      <c r="AS208" s="475">
        <v>0</v>
      </c>
      <c r="AT208" s="475">
        <v>0</v>
      </c>
      <c r="AU208" s="475">
        <v>0</v>
      </c>
      <c r="AV208" s="454">
        <f t="shared" si="171"/>
        <v>6748634.9900000002</v>
      </c>
      <c r="AW208" s="421">
        <f t="shared" si="172"/>
        <v>6748634.9900000002</v>
      </c>
      <c r="AX208" s="455">
        <f t="shared" ref="AX208:AX217" si="183">IF(AND(AV208=0,AW208=0),1,IF(AV208=0,0,AW208/AV208))</f>
        <v>1</v>
      </c>
      <c r="AY208" s="424">
        <f t="shared" si="173"/>
        <v>290937.03000000003</v>
      </c>
      <c r="AZ208" s="424">
        <f t="shared" si="174"/>
        <v>173861</v>
      </c>
      <c r="BA208" s="424">
        <f t="shared" si="175"/>
        <v>267899.77</v>
      </c>
      <c r="BB208" s="424">
        <f t="shared" si="176"/>
        <v>0</v>
      </c>
      <c r="BC208" s="424">
        <f t="shared" si="177"/>
        <v>0</v>
      </c>
      <c r="BD208" s="424">
        <f t="shared" si="178"/>
        <v>7481332.79</v>
      </c>
      <c r="BE208" s="452">
        <f t="shared" si="179"/>
        <v>7481332.790000001</v>
      </c>
      <c r="BF208" s="448">
        <f t="shared" si="180"/>
        <v>0</v>
      </c>
      <c r="BG208" s="456">
        <f t="shared" si="181"/>
        <v>1713358.4</v>
      </c>
      <c r="BH208" s="457">
        <f t="shared" si="148"/>
        <v>3751980.35</v>
      </c>
      <c r="BI208" s="407" t="s">
        <v>692</v>
      </c>
      <c r="BM208" s="429">
        <f>IF(BR208&gt;BR207,BM207,IF(BM207&lt;MiscData!$F$1,EOMONTH(BM207,1),EOMONTH(BM207,-11)))</f>
        <v>41820</v>
      </c>
      <c r="BN208" s="416" t="str">
        <f t="shared" si="149"/>
        <v>20140101KUCME110</v>
      </c>
      <c r="BO208" s="427" t="str">
        <f t="shared" si="150"/>
        <v>20140101GS</v>
      </c>
      <c r="BP208" s="407">
        <f>IF(BM208&lt;=MiscData!$B$23,MiscData!$C$23,IF(BM208&lt;=MiscData!$B$24,MiscData!$C$24,MiscData!$C$25))</f>
        <v>20140101</v>
      </c>
      <c r="BQ208" s="407" t="str">
        <f>VLOOKUP(BR208,MiscData!$V$4:$W$42,2,FALSE)</f>
        <v>KUCME110</v>
      </c>
      <c r="BR208" s="407">
        <f>IF(BR207=MiscData!$V$42,1,BR207+1)</f>
        <v>10</v>
      </c>
      <c r="BS208" s="407" t="str">
        <f>VLOOKUP(BQ208,MiscData!$W$4:$Y$42,3,FALSE)</f>
        <v>GS</v>
      </c>
    </row>
    <row r="209" spans="1:71" hidden="1">
      <c r="A209" s="416">
        <f t="shared" si="144"/>
        <v>191</v>
      </c>
      <c r="B209" s="416" t="str">
        <f t="shared" si="145"/>
        <v>Jun 2014</v>
      </c>
      <c r="C209" s="416" t="s">
        <v>224</v>
      </c>
      <c r="D209" s="417" t="str">
        <f t="shared" si="146"/>
        <v>GS</v>
      </c>
      <c r="E209" s="417" t="str">
        <f t="shared" si="147"/>
        <v>KUCME112</v>
      </c>
      <c r="F209" s="418">
        <f t="shared" si="151"/>
        <v>61</v>
      </c>
      <c r="G209" s="467">
        <v>0</v>
      </c>
      <c r="H209" s="418">
        <v>0</v>
      </c>
      <c r="I209" s="418">
        <v>0</v>
      </c>
      <c r="J209" s="418">
        <v>0</v>
      </c>
      <c r="K209" s="418">
        <f t="shared" si="152"/>
        <v>10785</v>
      </c>
      <c r="L209" s="459">
        <v>0</v>
      </c>
      <c r="M209" s="443">
        <f t="shared" si="153"/>
        <v>0</v>
      </c>
      <c r="N209" s="443">
        <f t="shared" si="154"/>
        <v>0</v>
      </c>
      <c r="O209" s="443">
        <f t="shared" si="155"/>
        <v>0</v>
      </c>
      <c r="P209" s="443">
        <f t="shared" si="156"/>
        <v>0</v>
      </c>
      <c r="Q209" s="443">
        <f t="shared" si="157"/>
        <v>0</v>
      </c>
      <c r="R209" s="443">
        <f t="shared" si="158"/>
        <v>0</v>
      </c>
      <c r="S209" s="484">
        <v>0</v>
      </c>
      <c r="T209" s="484">
        <v>0</v>
      </c>
      <c r="U209" s="484">
        <v>0</v>
      </c>
      <c r="V209" s="490">
        <v>0</v>
      </c>
      <c r="W209" s="490">
        <v>0</v>
      </c>
      <c r="X209" s="490">
        <v>0</v>
      </c>
      <c r="Y209" s="419">
        <f t="shared" si="159"/>
        <v>20</v>
      </c>
      <c r="Z209" s="420">
        <f t="shared" si="160"/>
        <v>9.2249999999999999E-2</v>
      </c>
      <c r="AA209" s="420">
        <v>0</v>
      </c>
      <c r="AB209" s="420">
        <v>0</v>
      </c>
      <c r="AC209" s="420">
        <f t="shared" si="161"/>
        <v>2.8920000000000001E-2</v>
      </c>
      <c r="AD209" s="419">
        <f t="shared" si="162"/>
        <v>0</v>
      </c>
      <c r="AE209" s="419">
        <f t="shared" si="163"/>
        <v>0</v>
      </c>
      <c r="AF209" s="419">
        <f t="shared" si="164"/>
        <v>0</v>
      </c>
      <c r="AG209" s="454">
        <f t="shared" si="165"/>
        <v>1220</v>
      </c>
      <c r="AH209" s="454">
        <f t="shared" si="140"/>
        <v>994.92</v>
      </c>
      <c r="AI209" s="421">
        <f t="shared" si="166"/>
        <v>0</v>
      </c>
      <c r="AJ209" s="421">
        <f t="shared" si="167"/>
        <v>0</v>
      </c>
      <c r="AK209" s="421">
        <f t="shared" si="168"/>
        <v>0</v>
      </c>
      <c r="AL209" s="472">
        <v>0</v>
      </c>
      <c r="AM209" s="422">
        <f t="shared" si="138"/>
        <v>0</v>
      </c>
      <c r="AN209" s="423">
        <f t="shared" si="169"/>
        <v>0</v>
      </c>
      <c r="AO209" s="421">
        <f t="shared" si="170"/>
        <v>0</v>
      </c>
      <c r="AP209" s="472">
        <v>0</v>
      </c>
      <c r="AQ209" s="472">
        <v>0.02</v>
      </c>
      <c r="AR209" s="472">
        <v>0</v>
      </c>
      <c r="AS209" s="475">
        <v>0</v>
      </c>
      <c r="AT209" s="475">
        <v>0</v>
      </c>
      <c r="AU209" s="475">
        <v>0</v>
      </c>
      <c r="AV209" s="454">
        <f t="shared" si="171"/>
        <v>2214.94</v>
      </c>
      <c r="AW209" s="421">
        <f t="shared" si="172"/>
        <v>2214.9399999999996</v>
      </c>
      <c r="AX209" s="455">
        <f t="shared" si="183"/>
        <v>0.99999999999999978</v>
      </c>
      <c r="AY209" s="424">
        <f t="shared" si="173"/>
        <v>51.21</v>
      </c>
      <c r="AZ209" s="424">
        <f t="shared" si="174"/>
        <v>32.39</v>
      </c>
      <c r="BA209" s="424">
        <f t="shared" si="175"/>
        <v>96.91</v>
      </c>
      <c r="BB209" s="424">
        <f t="shared" si="176"/>
        <v>0</v>
      </c>
      <c r="BC209" s="424">
        <f t="shared" si="177"/>
        <v>0</v>
      </c>
      <c r="BD209" s="424">
        <f t="shared" si="178"/>
        <v>2395.4499999999998</v>
      </c>
      <c r="BE209" s="452">
        <f t="shared" si="179"/>
        <v>2395.4499999999998</v>
      </c>
      <c r="BF209" s="448">
        <f t="shared" si="180"/>
        <v>0</v>
      </c>
      <c r="BG209" s="456">
        <f t="shared" si="181"/>
        <v>311.89999999999998</v>
      </c>
      <c r="BH209" s="457">
        <f t="shared" si="148"/>
        <v>683.04</v>
      </c>
      <c r="BI209" s="407" t="s">
        <v>692</v>
      </c>
      <c r="BM209" s="429">
        <f>IF(BR209&gt;BR208,BM208,IF(BM208&lt;MiscData!$F$1,EOMONTH(BM208,1),EOMONTH(BM208,-11)))</f>
        <v>41820</v>
      </c>
      <c r="BN209" s="416" t="str">
        <f t="shared" si="149"/>
        <v>20140101KUCME112</v>
      </c>
      <c r="BO209" s="427" t="str">
        <f t="shared" si="150"/>
        <v>20140101GS</v>
      </c>
      <c r="BP209" s="407">
        <f>IF(BM209&lt;=MiscData!$B$23,MiscData!$C$23,IF(BM209&lt;=MiscData!$B$24,MiscData!$C$24,MiscData!$C$25))</f>
        <v>20140101</v>
      </c>
      <c r="BQ209" s="407" t="str">
        <f>VLOOKUP(BR209,MiscData!$V$4:$W$42,2,FALSE)</f>
        <v>KUCME112</v>
      </c>
      <c r="BR209" s="407">
        <f>IF(BR208=MiscData!$V$42,1,BR208+1)</f>
        <v>11</v>
      </c>
      <c r="BS209" s="407" t="str">
        <f>VLOOKUP(BQ209,MiscData!$W$4:$Y$42,3,FALSE)</f>
        <v>GS</v>
      </c>
    </row>
    <row r="210" spans="1:71" hidden="1">
      <c r="A210" s="416">
        <f t="shared" si="144"/>
        <v>192</v>
      </c>
      <c r="B210" s="416" t="str">
        <f t="shared" si="145"/>
        <v>Jun 2014</v>
      </c>
      <c r="C210" s="416" t="s">
        <v>18</v>
      </c>
      <c r="D210" s="417" t="str">
        <f t="shared" si="146"/>
        <v>GS3</v>
      </c>
      <c r="E210" s="417" t="str">
        <f t="shared" si="147"/>
        <v>KUCME113</v>
      </c>
      <c r="F210" s="418">
        <f t="shared" si="151"/>
        <v>18341</v>
      </c>
      <c r="G210" s="467">
        <v>0</v>
      </c>
      <c r="H210" s="418">
        <v>0</v>
      </c>
      <c r="I210" s="418">
        <v>0</v>
      </c>
      <c r="J210" s="418">
        <v>0</v>
      </c>
      <c r="K210" s="418">
        <f t="shared" si="152"/>
        <v>90852791</v>
      </c>
      <c r="L210" s="459">
        <v>0</v>
      </c>
      <c r="M210" s="443">
        <f t="shared" si="153"/>
        <v>369809.3</v>
      </c>
      <c r="N210" s="443">
        <f t="shared" si="154"/>
        <v>0</v>
      </c>
      <c r="O210" s="443">
        <f t="shared" si="155"/>
        <v>0</v>
      </c>
      <c r="P210" s="443">
        <f t="shared" si="156"/>
        <v>0</v>
      </c>
      <c r="Q210" s="443">
        <f t="shared" si="157"/>
        <v>0</v>
      </c>
      <c r="R210" s="443">
        <f t="shared" si="158"/>
        <v>0</v>
      </c>
      <c r="S210" s="484">
        <v>0</v>
      </c>
      <c r="T210" s="484">
        <v>0</v>
      </c>
      <c r="U210" s="484">
        <v>0</v>
      </c>
      <c r="V210" s="490">
        <v>0</v>
      </c>
      <c r="W210" s="490">
        <v>0</v>
      </c>
      <c r="X210" s="490">
        <v>0</v>
      </c>
      <c r="Y210" s="419">
        <f t="shared" si="159"/>
        <v>35</v>
      </c>
      <c r="Z210" s="420">
        <f t="shared" si="160"/>
        <v>9.2249999999999999E-2</v>
      </c>
      <c r="AA210" s="420">
        <v>0</v>
      </c>
      <c r="AB210" s="420">
        <v>0</v>
      </c>
      <c r="AC210" s="420">
        <f t="shared" si="161"/>
        <v>2.8920000000000001E-2</v>
      </c>
      <c r="AD210" s="419">
        <f t="shared" si="162"/>
        <v>0</v>
      </c>
      <c r="AE210" s="419">
        <f t="shared" si="163"/>
        <v>0</v>
      </c>
      <c r="AF210" s="419">
        <f t="shared" si="164"/>
        <v>0</v>
      </c>
      <c r="AG210" s="454">
        <f t="shared" si="165"/>
        <v>641935</v>
      </c>
      <c r="AH210" s="454">
        <f t="shared" si="140"/>
        <v>8381169.9699999997</v>
      </c>
      <c r="AI210" s="421">
        <f t="shared" si="166"/>
        <v>0</v>
      </c>
      <c r="AJ210" s="421">
        <f t="shared" si="167"/>
        <v>0</v>
      </c>
      <c r="AK210" s="421">
        <f t="shared" si="168"/>
        <v>0</v>
      </c>
      <c r="AL210" s="472">
        <v>0</v>
      </c>
      <c r="AM210" s="422">
        <f t="shared" si="138"/>
        <v>0</v>
      </c>
      <c r="AN210" s="423">
        <f t="shared" si="169"/>
        <v>0</v>
      </c>
      <c r="AO210" s="421">
        <f t="shared" si="170"/>
        <v>0</v>
      </c>
      <c r="AP210" s="472">
        <v>1138.79</v>
      </c>
      <c r="AQ210" s="472">
        <v>3.7</v>
      </c>
      <c r="AR210" s="472">
        <v>0</v>
      </c>
      <c r="AS210" s="475">
        <v>0</v>
      </c>
      <c r="AT210" s="475">
        <v>0</v>
      </c>
      <c r="AU210" s="475">
        <v>0</v>
      </c>
      <c r="AV210" s="454">
        <f t="shared" si="171"/>
        <v>9024247.4599999972</v>
      </c>
      <c r="AW210" s="421">
        <f t="shared" si="172"/>
        <v>9024247.4600000009</v>
      </c>
      <c r="AX210" s="455">
        <f t="shared" si="183"/>
        <v>1.0000000000000004</v>
      </c>
      <c r="AY210" s="424">
        <f t="shared" si="173"/>
        <v>447281.72</v>
      </c>
      <c r="AZ210" s="424">
        <f t="shared" si="174"/>
        <v>250414.98</v>
      </c>
      <c r="BA210" s="424">
        <f t="shared" si="175"/>
        <v>341796.33999999997</v>
      </c>
      <c r="BB210" s="424">
        <f t="shared" si="176"/>
        <v>0</v>
      </c>
      <c r="BC210" s="424">
        <f t="shared" si="177"/>
        <v>0</v>
      </c>
      <c r="BD210" s="424">
        <f t="shared" si="178"/>
        <v>10063740.5</v>
      </c>
      <c r="BE210" s="452">
        <f t="shared" si="179"/>
        <v>10063740.499999998</v>
      </c>
      <c r="BF210" s="448">
        <f t="shared" si="180"/>
        <v>0</v>
      </c>
      <c r="BG210" s="456">
        <f t="shared" si="181"/>
        <v>2627462.7200000002</v>
      </c>
      <c r="BH210" s="457">
        <f t="shared" si="148"/>
        <v>5753710.9499999993</v>
      </c>
      <c r="BI210" s="407" t="s">
        <v>692</v>
      </c>
      <c r="BM210" s="429">
        <f>IF(BR210&gt;BR209,BM209,IF(BM209&lt;MiscData!$F$1,EOMONTH(BM209,1),EOMONTH(BM209,-11)))</f>
        <v>41820</v>
      </c>
      <c r="BN210" s="416" t="str">
        <f t="shared" si="149"/>
        <v>20140101KUCME113</v>
      </c>
      <c r="BO210" s="427" t="str">
        <f t="shared" si="150"/>
        <v>20140101GS3</v>
      </c>
      <c r="BP210" s="407">
        <f>IF(BM210&lt;=MiscData!$B$23,MiscData!$C$23,IF(BM210&lt;=MiscData!$B$24,MiscData!$C$24,MiscData!$C$25))</f>
        <v>20140101</v>
      </c>
      <c r="BQ210" s="407" t="str">
        <f>VLOOKUP(BR210,MiscData!$V$4:$W$42,2,FALSE)</f>
        <v>KUCME113</v>
      </c>
      <c r="BR210" s="407">
        <f>IF(BR209=MiscData!$V$42,1,BR209+1)</f>
        <v>12</v>
      </c>
      <c r="BS210" s="407" t="str">
        <f>VLOOKUP(BQ210,MiscData!$W$4:$Y$42,3,FALSE)</f>
        <v>GS3</v>
      </c>
    </row>
    <row r="211" spans="1:71" hidden="1">
      <c r="A211" s="416">
        <f t="shared" si="144"/>
        <v>193</v>
      </c>
      <c r="B211" s="416" t="str">
        <f t="shared" si="145"/>
        <v>Jun 2014</v>
      </c>
      <c r="C211" s="416" t="s">
        <v>219</v>
      </c>
      <c r="D211" s="417" t="str">
        <f t="shared" si="146"/>
        <v>AES</v>
      </c>
      <c r="E211" s="417" t="str">
        <f t="shared" si="147"/>
        <v>KUCME220</v>
      </c>
      <c r="F211" s="418">
        <f t="shared" si="151"/>
        <v>331</v>
      </c>
      <c r="G211" s="467">
        <v>6</v>
      </c>
      <c r="H211" s="418">
        <v>0</v>
      </c>
      <c r="I211" s="418">
        <v>0</v>
      </c>
      <c r="J211" s="418">
        <v>0</v>
      </c>
      <c r="K211" s="418">
        <f t="shared" si="152"/>
        <v>381270</v>
      </c>
      <c r="L211" s="481">
        <v>0</v>
      </c>
      <c r="M211" s="443">
        <f t="shared" si="153"/>
        <v>2204</v>
      </c>
      <c r="N211" s="443">
        <f t="shared" si="154"/>
        <v>0</v>
      </c>
      <c r="O211" s="443">
        <f t="shared" si="155"/>
        <v>0</v>
      </c>
      <c r="P211" s="443">
        <f t="shared" si="156"/>
        <v>0</v>
      </c>
      <c r="Q211" s="443">
        <f t="shared" si="157"/>
        <v>0</v>
      </c>
      <c r="R211" s="443">
        <f t="shared" si="158"/>
        <v>0</v>
      </c>
      <c r="S211" s="484">
        <v>0</v>
      </c>
      <c r="T211" s="484">
        <v>0</v>
      </c>
      <c r="U211" s="484">
        <v>0</v>
      </c>
      <c r="V211" s="490">
        <v>0</v>
      </c>
      <c r="W211" s="490">
        <v>0</v>
      </c>
      <c r="X211" s="490">
        <v>0</v>
      </c>
      <c r="Y211" s="419">
        <f t="shared" si="159"/>
        <v>20</v>
      </c>
      <c r="Z211" s="420">
        <f t="shared" si="160"/>
        <v>7.4399999999999994E-2</v>
      </c>
      <c r="AA211" s="420">
        <v>0</v>
      </c>
      <c r="AB211" s="420">
        <v>0</v>
      </c>
      <c r="AC211" s="420">
        <f t="shared" si="161"/>
        <v>2.8920000000000001E-2</v>
      </c>
      <c r="AD211" s="419">
        <f t="shared" si="162"/>
        <v>0</v>
      </c>
      <c r="AE211" s="419">
        <f t="shared" si="163"/>
        <v>0</v>
      </c>
      <c r="AF211" s="419">
        <f t="shared" si="164"/>
        <v>0</v>
      </c>
      <c r="AG211" s="454">
        <f t="shared" si="165"/>
        <v>6740</v>
      </c>
      <c r="AH211" s="454">
        <f t="shared" si="140"/>
        <v>28366.49</v>
      </c>
      <c r="AI211" s="421">
        <f t="shared" si="166"/>
        <v>0</v>
      </c>
      <c r="AJ211" s="421">
        <f t="shared" si="167"/>
        <v>0</v>
      </c>
      <c r="AK211" s="421">
        <f t="shared" si="168"/>
        <v>0</v>
      </c>
      <c r="AL211" s="472">
        <v>0</v>
      </c>
      <c r="AM211" s="422">
        <f t="shared" si="138"/>
        <v>0</v>
      </c>
      <c r="AN211" s="423">
        <f t="shared" si="169"/>
        <v>0</v>
      </c>
      <c r="AO211" s="421">
        <f t="shared" si="170"/>
        <v>0</v>
      </c>
      <c r="AP211" s="472">
        <v>-22.71</v>
      </c>
      <c r="AQ211" s="472">
        <v>-0.12</v>
      </c>
      <c r="AR211" s="472">
        <v>0</v>
      </c>
      <c r="AS211" s="475">
        <v>0</v>
      </c>
      <c r="AT211" s="475">
        <v>0</v>
      </c>
      <c r="AU211" s="475">
        <v>0</v>
      </c>
      <c r="AV211" s="454">
        <f t="shared" si="171"/>
        <v>35083.660000000003</v>
      </c>
      <c r="AW211" s="421">
        <f t="shared" si="172"/>
        <v>35083.660000000003</v>
      </c>
      <c r="AX211" s="455">
        <f t="shared" si="183"/>
        <v>1</v>
      </c>
      <c r="AY211" s="424">
        <f t="shared" si="173"/>
        <v>1763.14</v>
      </c>
      <c r="AZ211" s="424">
        <f t="shared" si="174"/>
        <v>468.89</v>
      </c>
      <c r="BA211" s="424">
        <f t="shared" si="175"/>
        <v>1045</v>
      </c>
      <c r="BB211" s="424">
        <f t="shared" si="176"/>
        <v>0</v>
      </c>
      <c r="BC211" s="424">
        <f t="shared" si="177"/>
        <v>0</v>
      </c>
      <c r="BD211" s="424">
        <f t="shared" si="178"/>
        <v>38360.69</v>
      </c>
      <c r="BE211" s="452">
        <f t="shared" si="179"/>
        <v>38360.69</v>
      </c>
      <c r="BF211" s="448">
        <f t="shared" si="180"/>
        <v>0</v>
      </c>
      <c r="BG211" s="456">
        <f t="shared" si="181"/>
        <v>11026.33</v>
      </c>
      <c r="BH211" s="457">
        <f t="shared" si="148"/>
        <v>17340.04</v>
      </c>
      <c r="BI211" s="407" t="s">
        <v>692</v>
      </c>
      <c r="BM211" s="429">
        <f>IF(BR211&gt;BR210,BM210,IF(BM210&lt;MiscData!$F$1,EOMONTH(BM210,1),EOMONTH(BM210,-11)))</f>
        <v>41820</v>
      </c>
      <c r="BN211" s="416" t="str">
        <f t="shared" si="149"/>
        <v>20140101KUCME220</v>
      </c>
      <c r="BO211" s="427" t="str">
        <f t="shared" si="150"/>
        <v>20140101AES</v>
      </c>
      <c r="BP211" s="407">
        <f>IF(BM211&lt;=MiscData!$B$23,MiscData!$C$23,IF(BM211&lt;=MiscData!$B$24,MiscData!$C$24,MiscData!$C$25))</f>
        <v>20140101</v>
      </c>
      <c r="BQ211" s="407" t="str">
        <f>VLOOKUP(BR211,MiscData!$V$4:$W$42,2,FALSE)</f>
        <v>KUCME220</v>
      </c>
      <c r="BR211" s="407">
        <f>IF(BR210=MiscData!$V$42,1,BR210+1)</f>
        <v>13</v>
      </c>
      <c r="BS211" s="407" t="str">
        <f>VLOOKUP(BQ211,MiscData!$W$4:$Y$42,3,FALSE)</f>
        <v>AES</v>
      </c>
    </row>
    <row r="212" spans="1:71" hidden="1">
      <c r="A212" s="416">
        <f t="shared" si="144"/>
        <v>194</v>
      </c>
      <c r="B212" s="416" t="str">
        <f t="shared" si="145"/>
        <v>Jun 2014</v>
      </c>
      <c r="C212" s="416" t="s">
        <v>219</v>
      </c>
      <c r="D212" s="417" t="str">
        <f t="shared" si="146"/>
        <v>AES</v>
      </c>
      <c r="E212" s="417" t="str">
        <f t="shared" si="147"/>
        <v>KUCME221</v>
      </c>
      <c r="F212" s="418">
        <f t="shared" si="151"/>
        <v>5</v>
      </c>
      <c r="G212" s="467">
        <v>0</v>
      </c>
      <c r="H212" s="418">
        <v>0</v>
      </c>
      <c r="I212" s="418">
        <v>0</v>
      </c>
      <c r="J212" s="418">
        <v>0</v>
      </c>
      <c r="K212" s="418">
        <f t="shared" si="152"/>
        <v>480</v>
      </c>
      <c r="L212" s="481">
        <v>0</v>
      </c>
      <c r="M212" s="443">
        <f t="shared" si="153"/>
        <v>164.6</v>
      </c>
      <c r="N212" s="443">
        <f t="shared" si="154"/>
        <v>0</v>
      </c>
      <c r="O212" s="443">
        <f t="shared" si="155"/>
        <v>0</v>
      </c>
      <c r="P212" s="443">
        <f t="shared" si="156"/>
        <v>0</v>
      </c>
      <c r="Q212" s="443">
        <f t="shared" si="157"/>
        <v>0</v>
      </c>
      <c r="R212" s="443">
        <f t="shared" si="158"/>
        <v>0</v>
      </c>
      <c r="S212" s="484">
        <v>0</v>
      </c>
      <c r="T212" s="484">
        <v>0</v>
      </c>
      <c r="U212" s="484">
        <v>0</v>
      </c>
      <c r="V212" s="490">
        <v>0</v>
      </c>
      <c r="W212" s="490">
        <v>0</v>
      </c>
      <c r="X212" s="490">
        <v>0</v>
      </c>
      <c r="Y212" s="419">
        <f t="shared" si="159"/>
        <v>20</v>
      </c>
      <c r="Z212" s="420">
        <f t="shared" si="160"/>
        <v>7.4399999999999994E-2</v>
      </c>
      <c r="AA212" s="420">
        <v>0</v>
      </c>
      <c r="AB212" s="420">
        <v>0</v>
      </c>
      <c r="AC212" s="420">
        <f t="shared" si="161"/>
        <v>2.8920000000000001E-2</v>
      </c>
      <c r="AD212" s="419">
        <f t="shared" si="162"/>
        <v>0</v>
      </c>
      <c r="AE212" s="419">
        <f t="shared" si="163"/>
        <v>0</v>
      </c>
      <c r="AF212" s="419">
        <f t="shared" si="164"/>
        <v>0</v>
      </c>
      <c r="AG212" s="454">
        <f t="shared" si="165"/>
        <v>100</v>
      </c>
      <c r="AH212" s="454">
        <f t="shared" si="140"/>
        <v>35.71</v>
      </c>
      <c r="AI212" s="421">
        <f t="shared" si="166"/>
        <v>0</v>
      </c>
      <c r="AJ212" s="421">
        <f t="shared" si="167"/>
        <v>0</v>
      </c>
      <c r="AK212" s="421">
        <f t="shared" si="168"/>
        <v>0</v>
      </c>
      <c r="AL212" s="472">
        <v>0</v>
      </c>
      <c r="AM212" s="422">
        <f t="shared" si="138"/>
        <v>0</v>
      </c>
      <c r="AN212" s="423">
        <f t="shared" si="169"/>
        <v>0</v>
      </c>
      <c r="AO212" s="421">
        <f t="shared" si="170"/>
        <v>0</v>
      </c>
      <c r="AP212" s="472">
        <v>0</v>
      </c>
      <c r="AQ212" s="472">
        <v>0</v>
      </c>
      <c r="AR212" s="472">
        <v>0</v>
      </c>
      <c r="AS212" s="475">
        <v>0</v>
      </c>
      <c r="AT212" s="475">
        <v>0</v>
      </c>
      <c r="AU212" s="475">
        <v>0</v>
      </c>
      <c r="AV212" s="454">
        <f t="shared" si="171"/>
        <v>135.71</v>
      </c>
      <c r="AW212" s="421">
        <f t="shared" si="172"/>
        <v>135.71</v>
      </c>
      <c r="AX212" s="455">
        <f t="shared" si="183"/>
        <v>1</v>
      </c>
      <c r="AY212" s="424">
        <f t="shared" si="173"/>
        <v>2.39</v>
      </c>
      <c r="AZ212" s="424">
        <f t="shared" si="174"/>
        <v>0.59</v>
      </c>
      <c r="BA212" s="424">
        <f t="shared" si="175"/>
        <v>4</v>
      </c>
      <c r="BB212" s="424">
        <f t="shared" si="176"/>
        <v>0</v>
      </c>
      <c r="BC212" s="424">
        <f t="shared" si="177"/>
        <v>0</v>
      </c>
      <c r="BD212" s="424">
        <f t="shared" si="178"/>
        <v>142.69</v>
      </c>
      <c r="BE212" s="452">
        <f t="shared" si="179"/>
        <v>142.69</v>
      </c>
      <c r="BF212" s="448">
        <f t="shared" si="180"/>
        <v>0</v>
      </c>
      <c r="BG212" s="456">
        <f t="shared" si="181"/>
        <v>13.88</v>
      </c>
      <c r="BH212" s="457">
        <f t="shared" si="148"/>
        <v>21.83</v>
      </c>
      <c r="BI212" s="407" t="s">
        <v>692</v>
      </c>
      <c r="BM212" s="429">
        <f>IF(BR212&gt;BR211,BM211,IF(BM211&lt;MiscData!$F$1,EOMONTH(BM211,1),EOMONTH(BM211,-11)))</f>
        <v>41820</v>
      </c>
      <c r="BN212" s="416" t="str">
        <f t="shared" si="149"/>
        <v>20140101KUCME221</v>
      </c>
      <c r="BO212" s="427" t="str">
        <f t="shared" si="150"/>
        <v>20140101AES</v>
      </c>
      <c r="BP212" s="407">
        <f>IF(BM212&lt;=MiscData!$B$23,MiscData!$C$23,IF(BM212&lt;=MiscData!$B$24,MiscData!$C$24,MiscData!$C$25))</f>
        <v>20140101</v>
      </c>
      <c r="BQ212" s="407" t="str">
        <f>VLOOKUP(BR212,MiscData!$V$4:$W$42,2,FALSE)</f>
        <v>KUCME221</v>
      </c>
      <c r="BR212" s="407">
        <f>IF(BR211=MiscData!$V$42,1,BR211+1)</f>
        <v>14</v>
      </c>
      <c r="BS212" s="407" t="str">
        <f>VLOOKUP(BQ212,MiscData!$W$4:$Y$42,3,FALSE)</f>
        <v>AES</v>
      </c>
    </row>
    <row r="213" spans="1:71" hidden="1">
      <c r="A213" s="416">
        <f t="shared" si="144"/>
        <v>195</v>
      </c>
      <c r="B213" s="416" t="str">
        <f t="shared" si="145"/>
        <v>Jun 2014</v>
      </c>
      <c r="C213" s="837" t="s">
        <v>228</v>
      </c>
      <c r="D213" s="417" t="str">
        <f t="shared" si="146"/>
        <v>AES3</v>
      </c>
      <c r="E213" s="417" t="str">
        <f t="shared" si="147"/>
        <v>KUCME223</v>
      </c>
      <c r="F213" s="418">
        <f t="shared" si="151"/>
        <v>68</v>
      </c>
      <c r="G213" s="467">
        <v>0</v>
      </c>
      <c r="H213" s="418">
        <v>0</v>
      </c>
      <c r="I213" s="418">
        <v>0</v>
      </c>
      <c r="J213" s="418">
        <v>0</v>
      </c>
      <c r="K213" s="418">
        <f t="shared" si="152"/>
        <v>312915</v>
      </c>
      <c r="L213" s="481">
        <v>0</v>
      </c>
      <c r="M213" s="443">
        <f t="shared" si="153"/>
        <v>2754.8</v>
      </c>
      <c r="N213" s="443">
        <f t="shared" si="154"/>
        <v>0</v>
      </c>
      <c r="O213" s="443">
        <f t="shared" si="155"/>
        <v>0</v>
      </c>
      <c r="P213" s="443">
        <f t="shared" si="156"/>
        <v>0</v>
      </c>
      <c r="Q213" s="443">
        <f t="shared" si="157"/>
        <v>0</v>
      </c>
      <c r="R213" s="443">
        <f t="shared" si="158"/>
        <v>0</v>
      </c>
      <c r="S213" s="484">
        <v>0</v>
      </c>
      <c r="T213" s="484">
        <v>0</v>
      </c>
      <c r="U213" s="484">
        <v>0</v>
      </c>
      <c r="V213" s="490">
        <v>0</v>
      </c>
      <c r="W213" s="490">
        <v>0</v>
      </c>
      <c r="X213" s="490">
        <v>0</v>
      </c>
      <c r="Y213" s="419">
        <f t="shared" si="159"/>
        <v>35</v>
      </c>
      <c r="Z213" s="420">
        <f t="shared" si="160"/>
        <v>7.4399999999999994E-2</v>
      </c>
      <c r="AA213" s="420">
        <v>0</v>
      </c>
      <c r="AB213" s="420">
        <v>0</v>
      </c>
      <c r="AC213" s="420">
        <f t="shared" si="161"/>
        <v>2.8920000000000001E-2</v>
      </c>
      <c r="AD213" s="419">
        <f t="shared" si="162"/>
        <v>0</v>
      </c>
      <c r="AE213" s="419">
        <f t="shared" si="163"/>
        <v>0</v>
      </c>
      <c r="AF213" s="419">
        <f t="shared" si="164"/>
        <v>0</v>
      </c>
      <c r="AG213" s="454">
        <f t="shared" si="165"/>
        <v>2380</v>
      </c>
      <c r="AH213" s="454">
        <f t="shared" si="140"/>
        <v>23280.880000000001</v>
      </c>
      <c r="AI213" s="421">
        <f t="shared" si="166"/>
        <v>0</v>
      </c>
      <c r="AJ213" s="421">
        <f t="shared" si="167"/>
        <v>0</v>
      </c>
      <c r="AK213" s="421">
        <f t="shared" si="168"/>
        <v>0</v>
      </c>
      <c r="AL213" s="472">
        <v>0</v>
      </c>
      <c r="AM213" s="422">
        <f t="shared" si="138"/>
        <v>0</v>
      </c>
      <c r="AN213" s="423">
        <f t="shared" si="169"/>
        <v>0</v>
      </c>
      <c r="AO213" s="421">
        <f t="shared" si="170"/>
        <v>0</v>
      </c>
      <c r="AP213" s="472">
        <v>0</v>
      </c>
      <c r="AQ213" s="472">
        <v>-0.02</v>
      </c>
      <c r="AR213" s="472">
        <v>0</v>
      </c>
      <c r="AS213" s="475">
        <v>0</v>
      </c>
      <c r="AT213" s="475">
        <v>0</v>
      </c>
      <c r="AU213" s="475">
        <v>0</v>
      </c>
      <c r="AV213" s="454">
        <f t="shared" si="171"/>
        <v>25660.86</v>
      </c>
      <c r="AW213" s="421">
        <f t="shared" si="172"/>
        <v>25660.86</v>
      </c>
      <c r="AX213" s="455">
        <f t="shared" si="183"/>
        <v>1</v>
      </c>
      <c r="AY213" s="424">
        <f t="shared" si="173"/>
        <v>1536.3</v>
      </c>
      <c r="AZ213" s="424">
        <f t="shared" si="174"/>
        <v>384.84</v>
      </c>
      <c r="BA213" s="424">
        <f t="shared" si="175"/>
        <v>813.95</v>
      </c>
      <c r="BB213" s="424">
        <f t="shared" si="176"/>
        <v>0</v>
      </c>
      <c r="BC213" s="424">
        <f t="shared" si="177"/>
        <v>0</v>
      </c>
      <c r="BD213" s="424">
        <f t="shared" si="178"/>
        <v>28395.95</v>
      </c>
      <c r="BE213" s="452">
        <f t="shared" si="179"/>
        <v>28395.95</v>
      </c>
      <c r="BF213" s="448">
        <f t="shared" si="180"/>
        <v>0</v>
      </c>
      <c r="BG213" s="456">
        <f t="shared" si="181"/>
        <v>9049.5</v>
      </c>
      <c r="BH213" s="457">
        <f t="shared" si="148"/>
        <v>14231.36</v>
      </c>
      <c r="BI213" s="407" t="s">
        <v>692</v>
      </c>
      <c r="BM213" s="429">
        <f>IF(BR213&gt;BR212,BM212,IF(BM212&lt;MiscData!$F$1,EOMONTH(BM212,1),EOMONTH(BM212,-11)))</f>
        <v>41820</v>
      </c>
      <c r="BN213" s="416" t="str">
        <f t="shared" si="149"/>
        <v>20140101KUCME223</v>
      </c>
      <c r="BO213" s="427" t="str">
        <f t="shared" si="150"/>
        <v>20140101AES3</v>
      </c>
      <c r="BP213" s="407">
        <f>IF(BM213&lt;=MiscData!$B$23,MiscData!$C$23,IF(BM213&lt;=MiscData!$B$24,MiscData!$C$24,MiscData!$C$25))</f>
        <v>20140101</v>
      </c>
      <c r="BQ213" s="407" t="str">
        <f>VLOOKUP(BR213,MiscData!$V$4:$W$42,2,FALSE)</f>
        <v>KUCME223</v>
      </c>
      <c r="BR213" s="407">
        <f>IF(BR212=MiscData!$V$42,1,BR212+1)</f>
        <v>15</v>
      </c>
      <c r="BS213" s="407" t="str">
        <f>VLOOKUP(BQ213,MiscData!$W$4:$Y$42,3,FALSE)</f>
        <v>AES3</v>
      </c>
    </row>
    <row r="214" spans="1:71" hidden="1">
      <c r="A214" s="416">
        <f t="shared" si="144"/>
        <v>196</v>
      </c>
      <c r="B214" s="416" t="str">
        <f t="shared" si="145"/>
        <v>Jun 2014</v>
      </c>
      <c r="C214" s="837" t="s">
        <v>228</v>
      </c>
      <c r="D214" s="417" t="str">
        <f t="shared" si="146"/>
        <v>AES3</v>
      </c>
      <c r="E214" s="417" t="str">
        <f t="shared" si="147"/>
        <v>KUCME224</v>
      </c>
      <c r="F214" s="418">
        <f t="shared" si="151"/>
        <v>4</v>
      </c>
      <c r="G214" s="467">
        <v>0</v>
      </c>
      <c r="H214" s="418">
        <v>0</v>
      </c>
      <c r="I214" s="418">
        <v>0</v>
      </c>
      <c r="J214" s="418">
        <v>0</v>
      </c>
      <c r="K214" s="418">
        <f t="shared" si="152"/>
        <v>222820</v>
      </c>
      <c r="L214" s="481">
        <v>0</v>
      </c>
      <c r="M214" s="443">
        <f t="shared" si="153"/>
        <v>853</v>
      </c>
      <c r="N214" s="443">
        <f t="shared" si="154"/>
        <v>0</v>
      </c>
      <c r="O214" s="443">
        <f t="shared" si="155"/>
        <v>0</v>
      </c>
      <c r="P214" s="443">
        <f t="shared" si="156"/>
        <v>0</v>
      </c>
      <c r="Q214" s="443">
        <f t="shared" si="157"/>
        <v>0</v>
      </c>
      <c r="R214" s="443">
        <f t="shared" si="158"/>
        <v>0</v>
      </c>
      <c r="S214" s="484">
        <v>0</v>
      </c>
      <c r="T214" s="484">
        <v>0</v>
      </c>
      <c r="U214" s="484">
        <v>0</v>
      </c>
      <c r="V214" s="490">
        <v>0</v>
      </c>
      <c r="W214" s="490">
        <v>0</v>
      </c>
      <c r="X214" s="490">
        <v>0</v>
      </c>
      <c r="Y214" s="419">
        <f t="shared" si="159"/>
        <v>35</v>
      </c>
      <c r="Z214" s="420">
        <f t="shared" si="160"/>
        <v>7.4399999999999994E-2</v>
      </c>
      <c r="AA214" s="420">
        <v>0</v>
      </c>
      <c r="AB214" s="420">
        <v>0</v>
      </c>
      <c r="AC214" s="420">
        <f t="shared" si="161"/>
        <v>2.8920000000000001E-2</v>
      </c>
      <c r="AD214" s="419">
        <f t="shared" si="162"/>
        <v>0</v>
      </c>
      <c r="AE214" s="419">
        <f t="shared" si="163"/>
        <v>0</v>
      </c>
      <c r="AF214" s="419">
        <f t="shared" si="164"/>
        <v>0</v>
      </c>
      <c r="AG214" s="454">
        <f t="shared" si="165"/>
        <v>140</v>
      </c>
      <c r="AH214" s="454">
        <f t="shared" si="140"/>
        <v>16577.810000000001</v>
      </c>
      <c r="AI214" s="421">
        <f t="shared" si="166"/>
        <v>0</v>
      </c>
      <c r="AJ214" s="421">
        <f t="shared" si="167"/>
        <v>0</v>
      </c>
      <c r="AK214" s="421">
        <f t="shared" si="168"/>
        <v>0</v>
      </c>
      <c r="AL214" s="472">
        <v>0</v>
      </c>
      <c r="AM214" s="422">
        <f t="shared" si="138"/>
        <v>0</v>
      </c>
      <c r="AN214" s="423">
        <f t="shared" si="169"/>
        <v>0</v>
      </c>
      <c r="AO214" s="421">
        <f t="shared" si="170"/>
        <v>0</v>
      </c>
      <c r="AP214" s="472">
        <v>0</v>
      </c>
      <c r="AQ214" s="472">
        <v>0</v>
      </c>
      <c r="AR214" s="472">
        <v>0</v>
      </c>
      <c r="AS214" s="475">
        <v>0</v>
      </c>
      <c r="AT214" s="475">
        <v>0</v>
      </c>
      <c r="AU214" s="475">
        <v>0</v>
      </c>
      <c r="AV214" s="454">
        <f t="shared" si="171"/>
        <v>16717.810000000001</v>
      </c>
      <c r="AW214" s="421">
        <f t="shared" si="172"/>
        <v>16717.809999999998</v>
      </c>
      <c r="AX214" s="455">
        <f t="shared" si="183"/>
        <v>0.99999999999999978</v>
      </c>
      <c r="AY214" s="424">
        <f t="shared" si="173"/>
        <v>998.63</v>
      </c>
      <c r="AZ214" s="424">
        <f t="shared" si="174"/>
        <v>274.07</v>
      </c>
      <c r="BA214" s="424">
        <f t="shared" si="175"/>
        <v>488.41</v>
      </c>
      <c r="BB214" s="424">
        <f t="shared" si="176"/>
        <v>0</v>
      </c>
      <c r="BC214" s="424">
        <f t="shared" si="177"/>
        <v>0</v>
      </c>
      <c r="BD214" s="424">
        <f t="shared" si="178"/>
        <v>18478.919999999998</v>
      </c>
      <c r="BE214" s="452">
        <f t="shared" si="179"/>
        <v>18478.920000000002</v>
      </c>
      <c r="BF214" s="448">
        <f t="shared" si="180"/>
        <v>0</v>
      </c>
      <c r="BG214" s="456">
        <f t="shared" si="181"/>
        <v>6443.95</v>
      </c>
      <c r="BH214" s="457">
        <f t="shared" si="148"/>
        <v>10133.86</v>
      </c>
      <c r="BI214" s="407" t="s">
        <v>692</v>
      </c>
      <c r="BM214" s="429">
        <f>IF(BR214&gt;BR213,BM213,IF(BM213&lt;MiscData!$F$1,EOMONTH(BM213,1),EOMONTH(BM213,-11)))</f>
        <v>41820</v>
      </c>
      <c r="BN214" s="416" t="str">
        <f t="shared" si="149"/>
        <v>20140101KUCME224</v>
      </c>
      <c r="BO214" s="427" t="str">
        <f t="shared" si="150"/>
        <v>20140101AES3</v>
      </c>
      <c r="BP214" s="407">
        <f>IF(BM214&lt;=MiscData!$B$23,MiscData!$C$23,IF(BM214&lt;=MiscData!$B$24,MiscData!$C$24,MiscData!$C$25))</f>
        <v>20140101</v>
      </c>
      <c r="BQ214" s="407" t="str">
        <f>VLOOKUP(BR214,MiscData!$V$4:$W$42,2,FALSE)</f>
        <v>KUCME224</v>
      </c>
      <c r="BR214" s="407">
        <f>IF(BR213=MiscData!$V$42,1,BR213+1)</f>
        <v>16</v>
      </c>
      <c r="BS214" s="407" t="str">
        <f>VLOOKUP(BQ214,MiscData!$W$4:$Y$42,3,FALSE)</f>
        <v>AES3</v>
      </c>
    </row>
    <row r="215" spans="1:71" hidden="1">
      <c r="A215" s="416">
        <f t="shared" si="144"/>
        <v>197</v>
      </c>
      <c r="B215" s="416" t="str">
        <f t="shared" si="145"/>
        <v>Jun 2014</v>
      </c>
      <c r="C215" s="837" t="s">
        <v>228</v>
      </c>
      <c r="D215" s="417" t="str">
        <f t="shared" si="146"/>
        <v>AES3</v>
      </c>
      <c r="E215" s="417" t="str">
        <f t="shared" si="147"/>
        <v>KUCME225</v>
      </c>
      <c r="F215" s="418">
        <f t="shared" si="151"/>
        <v>96</v>
      </c>
      <c r="G215" s="467">
        <v>1</v>
      </c>
      <c r="H215" s="418">
        <v>0</v>
      </c>
      <c r="I215" s="418">
        <v>0</v>
      </c>
      <c r="J215" s="418">
        <v>0</v>
      </c>
      <c r="K215" s="418">
        <f t="shared" si="152"/>
        <v>2077714</v>
      </c>
      <c r="L215" s="481">
        <v>0</v>
      </c>
      <c r="M215" s="443">
        <f t="shared" si="153"/>
        <v>10061.799999999999</v>
      </c>
      <c r="N215" s="443">
        <f t="shared" si="154"/>
        <v>0</v>
      </c>
      <c r="O215" s="443">
        <f t="shared" si="155"/>
        <v>0</v>
      </c>
      <c r="P215" s="443">
        <f t="shared" si="156"/>
        <v>0</v>
      </c>
      <c r="Q215" s="443">
        <f t="shared" si="157"/>
        <v>0</v>
      </c>
      <c r="R215" s="443">
        <f t="shared" si="158"/>
        <v>0</v>
      </c>
      <c r="S215" s="484">
        <v>0</v>
      </c>
      <c r="T215" s="484">
        <v>0</v>
      </c>
      <c r="U215" s="484">
        <v>0</v>
      </c>
      <c r="V215" s="490">
        <v>0</v>
      </c>
      <c r="W215" s="490">
        <v>0</v>
      </c>
      <c r="X215" s="490">
        <v>0</v>
      </c>
      <c r="Y215" s="419">
        <f t="shared" si="159"/>
        <v>35</v>
      </c>
      <c r="Z215" s="420">
        <f t="shared" si="160"/>
        <v>7.4399999999999994E-2</v>
      </c>
      <c r="AA215" s="420">
        <v>0</v>
      </c>
      <c r="AB215" s="420">
        <v>0</v>
      </c>
      <c r="AC215" s="420">
        <f t="shared" si="161"/>
        <v>2.8920000000000001E-2</v>
      </c>
      <c r="AD215" s="419">
        <f t="shared" si="162"/>
        <v>0</v>
      </c>
      <c r="AE215" s="419">
        <f t="shared" si="163"/>
        <v>0</v>
      </c>
      <c r="AF215" s="419">
        <f t="shared" si="164"/>
        <v>0</v>
      </c>
      <c r="AG215" s="454">
        <f t="shared" si="165"/>
        <v>3395</v>
      </c>
      <c r="AH215" s="454">
        <f t="shared" si="140"/>
        <v>154581.92000000001</v>
      </c>
      <c r="AI215" s="421">
        <f t="shared" si="166"/>
        <v>0</v>
      </c>
      <c r="AJ215" s="421">
        <f t="shared" si="167"/>
        <v>0</v>
      </c>
      <c r="AK215" s="421">
        <f t="shared" si="168"/>
        <v>0</v>
      </c>
      <c r="AL215" s="472">
        <v>0</v>
      </c>
      <c r="AM215" s="422">
        <f t="shared" si="138"/>
        <v>0</v>
      </c>
      <c r="AN215" s="423">
        <f t="shared" si="169"/>
        <v>0</v>
      </c>
      <c r="AO215" s="421">
        <f t="shared" si="170"/>
        <v>0</v>
      </c>
      <c r="AP215" s="472">
        <v>-35</v>
      </c>
      <c r="AQ215" s="472">
        <v>7.0000000000000007E-2</v>
      </c>
      <c r="AR215" s="472">
        <v>0</v>
      </c>
      <c r="AS215" s="475">
        <v>0</v>
      </c>
      <c r="AT215" s="475">
        <v>0</v>
      </c>
      <c r="AU215" s="475">
        <v>0</v>
      </c>
      <c r="AV215" s="454">
        <f t="shared" si="171"/>
        <v>157941.99000000002</v>
      </c>
      <c r="AW215" s="421">
        <f t="shared" si="172"/>
        <v>157941.99</v>
      </c>
      <c r="AX215" s="455">
        <f t="shared" si="183"/>
        <v>0.99999999999999978</v>
      </c>
      <c r="AY215" s="424">
        <f t="shared" si="173"/>
        <v>9763.24</v>
      </c>
      <c r="AZ215" s="424">
        <f t="shared" si="174"/>
        <v>2555.63</v>
      </c>
      <c r="BA215" s="424">
        <f t="shared" si="175"/>
        <v>4830.7</v>
      </c>
      <c r="BB215" s="424">
        <f t="shared" si="176"/>
        <v>0</v>
      </c>
      <c r="BC215" s="424">
        <f t="shared" si="177"/>
        <v>0</v>
      </c>
      <c r="BD215" s="424">
        <f t="shared" si="178"/>
        <v>175091.56</v>
      </c>
      <c r="BE215" s="452">
        <f t="shared" si="179"/>
        <v>175091.56000000003</v>
      </c>
      <c r="BF215" s="448">
        <f t="shared" si="180"/>
        <v>0</v>
      </c>
      <c r="BG215" s="456">
        <f t="shared" si="181"/>
        <v>60087.49</v>
      </c>
      <c r="BH215" s="457">
        <f t="shared" si="148"/>
        <v>94494.500000000029</v>
      </c>
      <c r="BI215" s="407" t="s">
        <v>692</v>
      </c>
      <c r="BM215" s="429">
        <f>IF(BR215&gt;BR214,BM214,IF(BM214&lt;MiscData!$F$1,EOMONTH(BM214,1),EOMONTH(BM214,-11)))</f>
        <v>41820</v>
      </c>
      <c r="BN215" s="416" t="str">
        <f t="shared" si="149"/>
        <v>20140101KUCME225</v>
      </c>
      <c r="BO215" s="427" t="str">
        <f t="shared" si="150"/>
        <v>20140101AES3</v>
      </c>
      <c r="BP215" s="407">
        <f>IF(BM215&lt;=MiscData!$B$23,MiscData!$C$23,IF(BM215&lt;=MiscData!$B$24,MiscData!$C$24,MiscData!$C$25))</f>
        <v>20140101</v>
      </c>
      <c r="BQ215" s="407" t="str">
        <f>VLOOKUP(BR215,MiscData!$V$4:$W$42,2,FALSE)</f>
        <v>KUCME225</v>
      </c>
      <c r="BR215" s="407">
        <f>IF(BR214=MiscData!$V$42,1,BR214+1)</f>
        <v>17</v>
      </c>
      <c r="BS215" s="407" t="str">
        <f>VLOOKUP(BQ215,MiscData!$W$4:$Y$42,3,FALSE)</f>
        <v>AES3</v>
      </c>
    </row>
    <row r="216" spans="1:71" hidden="1">
      <c r="A216" s="416">
        <f t="shared" si="144"/>
        <v>198</v>
      </c>
      <c r="B216" s="416" t="str">
        <f t="shared" si="145"/>
        <v>Jun 2014</v>
      </c>
      <c r="C216" s="416" t="s">
        <v>219</v>
      </c>
      <c r="D216" s="417" t="str">
        <f t="shared" si="146"/>
        <v>AES</v>
      </c>
      <c r="E216" s="417" t="str">
        <f t="shared" si="147"/>
        <v>KUCME226</v>
      </c>
      <c r="F216" s="418">
        <f t="shared" si="151"/>
        <v>19</v>
      </c>
      <c r="G216" s="467">
        <v>0</v>
      </c>
      <c r="H216" s="418">
        <v>0</v>
      </c>
      <c r="I216" s="418">
        <v>0</v>
      </c>
      <c r="J216" s="418">
        <v>0</v>
      </c>
      <c r="K216" s="418">
        <f t="shared" si="152"/>
        <v>43228</v>
      </c>
      <c r="L216" s="481">
        <v>0</v>
      </c>
      <c r="M216" s="443">
        <f t="shared" si="153"/>
        <v>1252.4000000000001</v>
      </c>
      <c r="N216" s="443">
        <f t="shared" si="154"/>
        <v>0</v>
      </c>
      <c r="O216" s="443">
        <f t="shared" si="155"/>
        <v>0</v>
      </c>
      <c r="P216" s="443">
        <f t="shared" si="156"/>
        <v>0</v>
      </c>
      <c r="Q216" s="443">
        <f t="shared" si="157"/>
        <v>0</v>
      </c>
      <c r="R216" s="443">
        <f t="shared" si="158"/>
        <v>0</v>
      </c>
      <c r="S216" s="484">
        <v>0</v>
      </c>
      <c r="T216" s="484">
        <v>0</v>
      </c>
      <c r="U216" s="484">
        <v>0</v>
      </c>
      <c r="V216" s="490">
        <v>0</v>
      </c>
      <c r="W216" s="490">
        <v>0</v>
      </c>
      <c r="X216" s="490">
        <v>0</v>
      </c>
      <c r="Y216" s="419">
        <f t="shared" si="159"/>
        <v>20</v>
      </c>
      <c r="Z216" s="420">
        <f t="shared" si="160"/>
        <v>7.4399999999999994E-2</v>
      </c>
      <c r="AA216" s="420">
        <v>0</v>
      </c>
      <c r="AB216" s="420">
        <v>0</v>
      </c>
      <c r="AC216" s="420">
        <f t="shared" si="161"/>
        <v>2.8920000000000001E-2</v>
      </c>
      <c r="AD216" s="419">
        <f t="shared" si="162"/>
        <v>0</v>
      </c>
      <c r="AE216" s="419">
        <f t="shared" si="163"/>
        <v>0</v>
      </c>
      <c r="AF216" s="419">
        <f t="shared" si="164"/>
        <v>0</v>
      </c>
      <c r="AG216" s="454">
        <f t="shared" si="165"/>
        <v>380</v>
      </c>
      <c r="AH216" s="454">
        <f t="shared" si="140"/>
        <v>3216.16</v>
      </c>
      <c r="AI216" s="421">
        <f t="shared" si="166"/>
        <v>0</v>
      </c>
      <c r="AJ216" s="421">
        <f t="shared" si="167"/>
        <v>0</v>
      </c>
      <c r="AK216" s="421">
        <f t="shared" si="168"/>
        <v>0</v>
      </c>
      <c r="AL216" s="472">
        <v>0</v>
      </c>
      <c r="AM216" s="422">
        <f t="shared" si="138"/>
        <v>0</v>
      </c>
      <c r="AN216" s="423">
        <f t="shared" si="169"/>
        <v>0</v>
      </c>
      <c r="AO216" s="421">
        <f t="shared" si="170"/>
        <v>0</v>
      </c>
      <c r="AP216" s="472">
        <v>0</v>
      </c>
      <c r="AQ216" s="472">
        <v>0.01</v>
      </c>
      <c r="AR216" s="472">
        <v>0</v>
      </c>
      <c r="AS216" s="475">
        <v>0</v>
      </c>
      <c r="AT216" s="475">
        <v>0</v>
      </c>
      <c r="AU216" s="475">
        <v>0</v>
      </c>
      <c r="AV216" s="454">
        <f t="shared" si="171"/>
        <v>3596.17</v>
      </c>
      <c r="AW216" s="421">
        <f t="shared" si="172"/>
        <v>3596.17</v>
      </c>
      <c r="AX216" s="455">
        <f t="shared" si="183"/>
        <v>1</v>
      </c>
      <c r="AY216" s="424">
        <f t="shared" si="173"/>
        <v>191.91</v>
      </c>
      <c r="AZ216" s="424">
        <f t="shared" si="174"/>
        <v>53.17</v>
      </c>
      <c r="BA216" s="424">
        <f t="shared" si="175"/>
        <v>103.52</v>
      </c>
      <c r="BB216" s="424">
        <f t="shared" si="176"/>
        <v>0</v>
      </c>
      <c r="BC216" s="424">
        <f t="shared" si="177"/>
        <v>0</v>
      </c>
      <c r="BD216" s="424">
        <f t="shared" si="178"/>
        <v>3944.77</v>
      </c>
      <c r="BE216" s="452">
        <f t="shared" si="179"/>
        <v>3944.77</v>
      </c>
      <c r="BF216" s="448">
        <f t="shared" si="180"/>
        <v>0</v>
      </c>
      <c r="BG216" s="456">
        <f t="shared" si="181"/>
        <v>1250.1500000000001</v>
      </c>
      <c r="BH216" s="457">
        <f t="shared" si="148"/>
        <v>1966.02</v>
      </c>
      <c r="BI216" s="407" t="s">
        <v>692</v>
      </c>
      <c r="BM216" s="429">
        <f>IF(BR216&gt;BR215,BM215,IF(BM215&lt;MiscData!$F$1,EOMONTH(BM215,1),EOMONTH(BM215,-11)))</f>
        <v>41820</v>
      </c>
      <c r="BN216" s="416" t="str">
        <f t="shared" si="149"/>
        <v>20140101KUCME226</v>
      </c>
      <c r="BO216" s="427" t="str">
        <f t="shared" si="150"/>
        <v>20140101AES</v>
      </c>
      <c r="BP216" s="407">
        <f>IF(BM216&lt;=MiscData!$B$23,MiscData!$C$23,IF(BM216&lt;=MiscData!$B$24,MiscData!$C$24,MiscData!$C$25))</f>
        <v>20140101</v>
      </c>
      <c r="BQ216" s="407" t="str">
        <f>VLOOKUP(BR216,MiscData!$V$4:$W$42,2,FALSE)</f>
        <v>KUCME226</v>
      </c>
      <c r="BR216" s="407">
        <f>IF(BR215=MiscData!$V$42,1,BR215+1)</f>
        <v>18</v>
      </c>
      <c r="BS216" s="407" t="str">
        <f>VLOOKUP(BQ216,MiscData!$W$4:$Y$42,3,FALSE)</f>
        <v>AES</v>
      </c>
    </row>
    <row r="217" spans="1:71" hidden="1">
      <c r="A217" s="416">
        <f t="shared" si="144"/>
        <v>199</v>
      </c>
      <c r="B217" s="416" t="str">
        <f t="shared" si="145"/>
        <v>Jun 2014</v>
      </c>
      <c r="C217" s="837" t="s">
        <v>228</v>
      </c>
      <c r="D217" s="417" t="str">
        <f t="shared" si="146"/>
        <v>AES3</v>
      </c>
      <c r="E217" s="417" t="str">
        <f t="shared" si="147"/>
        <v>KUCME227</v>
      </c>
      <c r="F217" s="418">
        <f t="shared" si="151"/>
        <v>99</v>
      </c>
      <c r="G217" s="467">
        <v>0</v>
      </c>
      <c r="H217" s="418">
        <v>0</v>
      </c>
      <c r="I217" s="418">
        <v>0</v>
      </c>
      <c r="J217" s="418">
        <v>0</v>
      </c>
      <c r="K217" s="418">
        <f t="shared" si="152"/>
        <v>8310128</v>
      </c>
      <c r="L217" s="481">
        <v>0</v>
      </c>
      <c r="M217" s="443">
        <f t="shared" si="153"/>
        <v>33399.199999999997</v>
      </c>
      <c r="N217" s="443">
        <f t="shared" si="154"/>
        <v>0</v>
      </c>
      <c r="O217" s="443">
        <f t="shared" si="155"/>
        <v>0</v>
      </c>
      <c r="P217" s="443">
        <f t="shared" si="156"/>
        <v>0</v>
      </c>
      <c r="Q217" s="443">
        <f t="shared" si="157"/>
        <v>0</v>
      </c>
      <c r="R217" s="443">
        <f t="shared" si="158"/>
        <v>0</v>
      </c>
      <c r="S217" s="484">
        <v>0</v>
      </c>
      <c r="T217" s="484">
        <v>0</v>
      </c>
      <c r="U217" s="484">
        <v>0</v>
      </c>
      <c r="V217" s="490">
        <v>0</v>
      </c>
      <c r="W217" s="490">
        <v>0</v>
      </c>
      <c r="X217" s="490">
        <v>0</v>
      </c>
      <c r="Y217" s="419">
        <f t="shared" si="159"/>
        <v>35</v>
      </c>
      <c r="Z217" s="420">
        <f t="shared" si="160"/>
        <v>7.4399999999999994E-2</v>
      </c>
      <c r="AA217" s="420">
        <v>0</v>
      </c>
      <c r="AB217" s="420">
        <v>0</v>
      </c>
      <c r="AC217" s="420">
        <f t="shared" si="161"/>
        <v>2.8920000000000001E-2</v>
      </c>
      <c r="AD217" s="419">
        <f t="shared" si="162"/>
        <v>0</v>
      </c>
      <c r="AE217" s="419">
        <f t="shared" si="163"/>
        <v>0</v>
      </c>
      <c r="AF217" s="419">
        <f t="shared" si="164"/>
        <v>0</v>
      </c>
      <c r="AG217" s="454">
        <f t="shared" si="165"/>
        <v>3465</v>
      </c>
      <c r="AH217" s="454">
        <f t="shared" si="140"/>
        <v>618273.52</v>
      </c>
      <c r="AI217" s="421">
        <f t="shared" si="166"/>
        <v>0</v>
      </c>
      <c r="AJ217" s="421">
        <f t="shared" si="167"/>
        <v>0</v>
      </c>
      <c r="AK217" s="421">
        <f t="shared" si="168"/>
        <v>0</v>
      </c>
      <c r="AL217" s="472">
        <v>0</v>
      </c>
      <c r="AM217" s="422">
        <f t="shared" si="138"/>
        <v>0</v>
      </c>
      <c r="AN217" s="423">
        <f t="shared" si="169"/>
        <v>0</v>
      </c>
      <c r="AO217" s="421">
        <f t="shared" si="170"/>
        <v>0</v>
      </c>
      <c r="AP217" s="472">
        <v>0</v>
      </c>
      <c r="AQ217" s="472">
        <v>-0.04</v>
      </c>
      <c r="AR217" s="472">
        <v>0</v>
      </c>
      <c r="AS217" s="475">
        <v>0</v>
      </c>
      <c r="AT217" s="475">
        <v>0</v>
      </c>
      <c r="AU217" s="475">
        <v>0</v>
      </c>
      <c r="AV217" s="454">
        <f t="shared" si="171"/>
        <v>621738.48</v>
      </c>
      <c r="AW217" s="421">
        <f t="shared" si="172"/>
        <v>621738.48</v>
      </c>
      <c r="AX217" s="455">
        <f t="shared" si="183"/>
        <v>1</v>
      </c>
      <c r="AY217" s="424">
        <f t="shared" si="173"/>
        <v>38491.199999999997</v>
      </c>
      <c r="AZ217" s="424">
        <f t="shared" si="174"/>
        <v>10221.43</v>
      </c>
      <c r="BA217" s="424">
        <f t="shared" si="175"/>
        <v>18768.22</v>
      </c>
      <c r="BB217" s="424">
        <f t="shared" si="176"/>
        <v>0</v>
      </c>
      <c r="BC217" s="424">
        <f t="shared" si="177"/>
        <v>0</v>
      </c>
      <c r="BD217" s="424">
        <f t="shared" si="178"/>
        <v>689219.33</v>
      </c>
      <c r="BE217" s="452">
        <f t="shared" si="179"/>
        <v>689219.33</v>
      </c>
      <c r="BF217" s="448">
        <f t="shared" si="180"/>
        <v>0</v>
      </c>
      <c r="BG217" s="456">
        <f t="shared" si="181"/>
        <v>240328.9</v>
      </c>
      <c r="BH217" s="457">
        <f t="shared" si="148"/>
        <v>377944.57999999996</v>
      </c>
      <c r="BI217" s="407" t="s">
        <v>692</v>
      </c>
      <c r="BM217" s="429">
        <f>IF(BR217&gt;BR216,BM216,IF(BM216&lt;MiscData!$F$1,EOMONTH(BM216,1),EOMONTH(BM216,-11)))</f>
        <v>41820</v>
      </c>
      <c r="BN217" s="416" t="str">
        <f t="shared" si="149"/>
        <v>20140101KUCME227</v>
      </c>
      <c r="BO217" s="427" t="str">
        <f t="shared" si="150"/>
        <v>20140101AES3</v>
      </c>
      <c r="BP217" s="407">
        <f>IF(BM217&lt;=MiscData!$B$23,MiscData!$C$23,IF(BM217&lt;=MiscData!$B$24,MiscData!$C$24,MiscData!$C$25))</f>
        <v>20140101</v>
      </c>
      <c r="BQ217" s="407" t="str">
        <f>VLOOKUP(BR217,MiscData!$V$4:$W$42,2,FALSE)</f>
        <v>KUCME227</v>
      </c>
      <c r="BR217" s="407">
        <f>IF(BR216=MiscData!$V$42,1,BR216+1)</f>
        <v>19</v>
      </c>
      <c r="BS217" s="407" t="str">
        <f>VLOOKUP(BQ217,MiscData!$W$4:$Y$42,3,FALSE)</f>
        <v>AES3</v>
      </c>
    </row>
    <row r="218" spans="1:71" hidden="1">
      <c r="A218" s="416">
        <f t="shared" si="144"/>
        <v>200</v>
      </c>
      <c r="B218" s="416" t="str">
        <f t="shared" si="145"/>
        <v>Jun 2014</v>
      </c>
      <c r="C218" s="416" t="s">
        <v>20</v>
      </c>
      <c r="D218" s="417" t="str">
        <f t="shared" si="146"/>
        <v>LE</v>
      </c>
      <c r="E218" s="417" t="str">
        <f t="shared" si="147"/>
        <v>KUCME290</v>
      </c>
      <c r="F218" s="418">
        <f t="shared" si="151"/>
        <v>1</v>
      </c>
      <c r="G218" s="467">
        <v>0</v>
      </c>
      <c r="H218" s="418">
        <v>0</v>
      </c>
      <c r="I218" s="418">
        <v>0</v>
      </c>
      <c r="J218" s="418">
        <v>0</v>
      </c>
      <c r="K218" s="418">
        <f t="shared" si="152"/>
        <v>9877</v>
      </c>
      <c r="L218" s="481">
        <v>0</v>
      </c>
      <c r="M218" s="443">
        <f t="shared" si="153"/>
        <v>34.1</v>
      </c>
      <c r="N218" s="443">
        <f t="shared" si="154"/>
        <v>0</v>
      </c>
      <c r="O218" s="443">
        <f t="shared" si="155"/>
        <v>0</v>
      </c>
      <c r="P218" s="443">
        <f t="shared" si="156"/>
        <v>0</v>
      </c>
      <c r="Q218" s="443">
        <f t="shared" si="157"/>
        <v>0</v>
      </c>
      <c r="R218" s="443">
        <f t="shared" si="158"/>
        <v>0</v>
      </c>
      <c r="S218" s="484">
        <v>0</v>
      </c>
      <c r="T218" s="484">
        <v>0</v>
      </c>
      <c r="U218" s="484">
        <v>0</v>
      </c>
      <c r="V218" s="490">
        <v>0</v>
      </c>
      <c r="W218" s="490">
        <v>0</v>
      </c>
      <c r="X218" s="490">
        <v>0</v>
      </c>
      <c r="Y218" s="419">
        <f t="shared" si="159"/>
        <v>0</v>
      </c>
      <c r="Z218" s="420">
        <f t="shared" si="160"/>
        <v>6.3799999999999996E-2</v>
      </c>
      <c r="AA218" s="420">
        <v>0</v>
      </c>
      <c r="AB218" s="420">
        <v>0</v>
      </c>
      <c r="AC218" s="420">
        <f t="shared" si="161"/>
        <v>2.8920000000000001E-2</v>
      </c>
      <c r="AD218" s="419">
        <f t="shared" si="162"/>
        <v>0</v>
      </c>
      <c r="AE218" s="419">
        <f t="shared" si="163"/>
        <v>0</v>
      </c>
      <c r="AF218" s="419">
        <f t="shared" si="164"/>
        <v>0</v>
      </c>
      <c r="AG218" s="454">
        <f t="shared" si="165"/>
        <v>0</v>
      </c>
      <c r="AH218" s="454">
        <f t="shared" si="140"/>
        <v>630.15</v>
      </c>
      <c r="AI218" s="421">
        <f t="shared" si="166"/>
        <v>0</v>
      </c>
      <c r="AJ218" s="421">
        <f t="shared" si="167"/>
        <v>0</v>
      </c>
      <c r="AK218" s="421">
        <f t="shared" si="168"/>
        <v>0</v>
      </c>
      <c r="AL218" s="472">
        <v>0</v>
      </c>
      <c r="AM218" s="422">
        <f t="shared" si="138"/>
        <v>0</v>
      </c>
      <c r="AN218" s="423">
        <f t="shared" si="169"/>
        <v>0</v>
      </c>
      <c r="AO218" s="421">
        <f t="shared" si="170"/>
        <v>0</v>
      </c>
      <c r="AP218" s="472">
        <v>0</v>
      </c>
      <c r="AQ218" s="472">
        <v>0</v>
      </c>
      <c r="AR218" s="472">
        <v>0</v>
      </c>
      <c r="AS218" s="475">
        <v>0</v>
      </c>
      <c r="AT218" s="475">
        <v>0</v>
      </c>
      <c r="AU218" s="475">
        <v>0</v>
      </c>
      <c r="AV218" s="454">
        <f t="shared" si="171"/>
        <v>630.15</v>
      </c>
      <c r="AW218" s="421">
        <f t="shared" si="172"/>
        <v>630.15</v>
      </c>
      <c r="AX218" s="455">
        <f t="shared" ref="AX218:AX223" si="184">IF(AND(AV218=0,AW218=0),1,IF(AV218=0,0,AW218/AV218))</f>
        <v>1</v>
      </c>
      <c r="AY218" s="424">
        <f t="shared" si="173"/>
        <v>49.09</v>
      </c>
      <c r="AZ218" s="424">
        <f t="shared" si="174"/>
        <v>0</v>
      </c>
      <c r="BA218" s="424">
        <f t="shared" si="175"/>
        <v>20.309999999999999</v>
      </c>
      <c r="BB218" s="424">
        <f t="shared" si="176"/>
        <v>0</v>
      </c>
      <c r="BC218" s="424">
        <f t="shared" si="177"/>
        <v>0</v>
      </c>
      <c r="BD218" s="424">
        <f t="shared" si="178"/>
        <v>699.55</v>
      </c>
      <c r="BE218" s="452">
        <f t="shared" si="179"/>
        <v>699.55</v>
      </c>
      <c r="BF218" s="448">
        <f t="shared" si="180"/>
        <v>0</v>
      </c>
      <c r="BG218" s="456">
        <f t="shared" si="181"/>
        <v>285.64</v>
      </c>
      <c r="BH218" s="457">
        <f t="shared" si="148"/>
        <v>344.51</v>
      </c>
      <c r="BI218" s="407" t="s">
        <v>692</v>
      </c>
      <c r="BM218" s="429">
        <f>IF(BR218&gt;BR217,BM217,IF(BM217&lt;MiscData!$F$1,EOMONTH(BM217,1),EOMONTH(BM217,-11)))</f>
        <v>41820</v>
      </c>
      <c r="BN218" s="416" t="str">
        <f t="shared" si="149"/>
        <v>20140101KUCME290</v>
      </c>
      <c r="BO218" s="427" t="str">
        <f t="shared" si="150"/>
        <v>20140101LE</v>
      </c>
      <c r="BP218" s="407">
        <f>IF(BM218&lt;=MiscData!$B$23,MiscData!$C$23,IF(BM218&lt;=MiscData!$B$24,MiscData!$C$24,MiscData!$C$25))</f>
        <v>20140101</v>
      </c>
      <c r="BQ218" s="407" t="str">
        <f>VLOOKUP(BR218,MiscData!$V$4:$W$42,2,FALSE)</f>
        <v>KUCME290</v>
      </c>
      <c r="BR218" s="407">
        <f>IF(BR217=MiscData!$V$42,1,BR217+1)</f>
        <v>20</v>
      </c>
      <c r="BS218" s="407" t="str">
        <f>VLOOKUP(BQ218,MiscData!$W$4:$Y$42,3,FALSE)</f>
        <v>LE</v>
      </c>
    </row>
    <row r="219" spans="1:71" hidden="1">
      <c r="A219" s="416">
        <f t="shared" si="144"/>
        <v>201</v>
      </c>
      <c r="B219" s="416" t="str">
        <f t="shared" si="145"/>
        <v>Jun 2014</v>
      </c>
      <c r="C219" s="416" t="s">
        <v>20</v>
      </c>
      <c r="D219" s="417" t="str">
        <f t="shared" si="146"/>
        <v>LE</v>
      </c>
      <c r="E219" s="417" t="str">
        <f t="shared" si="147"/>
        <v>KUCME291</v>
      </c>
      <c r="F219" s="418">
        <f t="shared" si="151"/>
        <v>1</v>
      </c>
      <c r="G219" s="467">
        <v>0</v>
      </c>
      <c r="H219" s="418">
        <v>0</v>
      </c>
      <c r="I219" s="418">
        <v>0</v>
      </c>
      <c r="J219" s="418">
        <v>0</v>
      </c>
      <c r="K219" s="418">
        <f t="shared" si="152"/>
        <v>2716</v>
      </c>
      <c r="L219" s="481">
        <v>0</v>
      </c>
      <c r="M219" s="443">
        <f t="shared" si="153"/>
        <v>0</v>
      </c>
      <c r="N219" s="443">
        <f t="shared" si="154"/>
        <v>0</v>
      </c>
      <c r="O219" s="443">
        <f t="shared" si="155"/>
        <v>0</v>
      </c>
      <c r="P219" s="443">
        <f t="shared" si="156"/>
        <v>0</v>
      </c>
      <c r="Q219" s="443">
        <f t="shared" si="157"/>
        <v>0</v>
      </c>
      <c r="R219" s="443">
        <f t="shared" si="158"/>
        <v>0</v>
      </c>
      <c r="S219" s="484">
        <v>0</v>
      </c>
      <c r="T219" s="484">
        <v>0</v>
      </c>
      <c r="U219" s="484">
        <v>0</v>
      </c>
      <c r="V219" s="490">
        <v>0</v>
      </c>
      <c r="W219" s="490">
        <v>0</v>
      </c>
      <c r="X219" s="490">
        <v>0</v>
      </c>
      <c r="Y219" s="419">
        <f t="shared" si="159"/>
        <v>0</v>
      </c>
      <c r="Z219" s="420">
        <f t="shared" si="160"/>
        <v>6.3799999999999996E-2</v>
      </c>
      <c r="AA219" s="420">
        <v>0</v>
      </c>
      <c r="AB219" s="420">
        <v>0</v>
      </c>
      <c r="AC219" s="420">
        <f t="shared" si="161"/>
        <v>2.8920000000000001E-2</v>
      </c>
      <c r="AD219" s="419">
        <f t="shared" si="162"/>
        <v>0</v>
      </c>
      <c r="AE219" s="419">
        <f t="shared" si="163"/>
        <v>0</v>
      </c>
      <c r="AF219" s="419">
        <f t="shared" si="164"/>
        <v>0</v>
      </c>
      <c r="AG219" s="454">
        <f t="shared" si="165"/>
        <v>0</v>
      </c>
      <c r="AH219" s="454">
        <f t="shared" si="140"/>
        <v>173.28</v>
      </c>
      <c r="AI219" s="421">
        <f t="shared" si="166"/>
        <v>0</v>
      </c>
      <c r="AJ219" s="421">
        <f t="shared" si="167"/>
        <v>0</v>
      </c>
      <c r="AK219" s="421">
        <f t="shared" si="168"/>
        <v>0</v>
      </c>
      <c r="AL219" s="472">
        <v>0</v>
      </c>
      <c r="AM219" s="422">
        <f t="shared" si="138"/>
        <v>0</v>
      </c>
      <c r="AN219" s="423">
        <f t="shared" si="169"/>
        <v>0</v>
      </c>
      <c r="AO219" s="421">
        <f t="shared" si="170"/>
        <v>0</v>
      </c>
      <c r="AP219" s="472">
        <v>0</v>
      </c>
      <c r="AQ219" s="472">
        <v>0</v>
      </c>
      <c r="AR219" s="472">
        <v>0</v>
      </c>
      <c r="AS219" s="475">
        <v>0</v>
      </c>
      <c r="AT219" s="475">
        <v>0</v>
      </c>
      <c r="AU219" s="475">
        <v>0</v>
      </c>
      <c r="AV219" s="454">
        <f t="shared" si="171"/>
        <v>173.28</v>
      </c>
      <c r="AW219" s="421">
        <f t="shared" si="172"/>
        <v>173.28</v>
      </c>
      <c r="AX219" s="455">
        <f t="shared" si="184"/>
        <v>1</v>
      </c>
      <c r="AY219" s="424">
        <f t="shared" si="173"/>
        <v>9.6999999999999993</v>
      </c>
      <c r="AZ219" s="424">
        <f t="shared" si="174"/>
        <v>0</v>
      </c>
      <c r="BA219" s="424">
        <f t="shared" si="175"/>
        <v>4.01</v>
      </c>
      <c r="BB219" s="424">
        <f t="shared" si="176"/>
        <v>0</v>
      </c>
      <c r="BC219" s="424">
        <f t="shared" si="177"/>
        <v>0</v>
      </c>
      <c r="BD219" s="424">
        <f t="shared" si="178"/>
        <v>186.99</v>
      </c>
      <c r="BE219" s="452">
        <f t="shared" si="179"/>
        <v>186.98999999999998</v>
      </c>
      <c r="BF219" s="448">
        <f t="shared" si="180"/>
        <v>0</v>
      </c>
      <c r="BG219" s="456">
        <f t="shared" si="181"/>
        <v>78.55</v>
      </c>
      <c r="BH219" s="457">
        <f t="shared" si="148"/>
        <v>94.73</v>
      </c>
      <c r="BI219" s="407" t="s">
        <v>692</v>
      </c>
      <c r="BM219" s="429">
        <f>IF(BR219&gt;BR218,BM218,IF(BM218&lt;MiscData!$F$1,EOMONTH(BM218,1),EOMONTH(BM218,-11)))</f>
        <v>41820</v>
      </c>
      <c r="BN219" s="416" t="str">
        <f t="shared" si="149"/>
        <v>20140101KUCME291</v>
      </c>
      <c r="BO219" s="427" t="str">
        <f t="shared" si="150"/>
        <v>20140101LE</v>
      </c>
      <c r="BP219" s="407">
        <f>IF(BM219&lt;=MiscData!$B$23,MiscData!$C$23,IF(BM219&lt;=MiscData!$B$24,MiscData!$C$24,MiscData!$C$25))</f>
        <v>20140101</v>
      </c>
      <c r="BQ219" s="407" t="str">
        <f>VLOOKUP(BR219,MiscData!$V$4:$W$42,2,FALSE)</f>
        <v>KUCME291</v>
      </c>
      <c r="BR219" s="407">
        <f>IF(BR218=MiscData!$V$42,1,BR218+1)</f>
        <v>21</v>
      </c>
      <c r="BS219" s="407" t="str">
        <f>VLOOKUP(BQ219,MiscData!$W$4:$Y$42,3,FALSE)</f>
        <v>LE</v>
      </c>
    </row>
    <row r="220" spans="1:71" hidden="1">
      <c r="A220" s="416">
        <f t="shared" si="144"/>
        <v>202</v>
      </c>
      <c r="B220" s="416" t="str">
        <f t="shared" si="145"/>
        <v>Jun 2014</v>
      </c>
      <c r="C220" s="416" t="s">
        <v>21</v>
      </c>
      <c r="D220" s="417" t="str">
        <f t="shared" si="146"/>
        <v>TE</v>
      </c>
      <c r="E220" s="417" t="str">
        <f t="shared" si="147"/>
        <v>KUCME295</v>
      </c>
      <c r="F220" s="418">
        <f t="shared" si="151"/>
        <v>477</v>
      </c>
      <c r="G220" s="467">
        <v>1</v>
      </c>
      <c r="H220" s="418">
        <v>0</v>
      </c>
      <c r="I220" s="418">
        <v>0</v>
      </c>
      <c r="J220" s="418">
        <v>0</v>
      </c>
      <c r="K220" s="418">
        <f t="shared" si="152"/>
        <v>91300</v>
      </c>
      <c r="L220" s="481">
        <v>0</v>
      </c>
      <c r="M220" s="443">
        <f t="shared" si="153"/>
        <v>16.399999999999999</v>
      </c>
      <c r="N220" s="443">
        <f t="shared" si="154"/>
        <v>0</v>
      </c>
      <c r="O220" s="443">
        <f t="shared" si="155"/>
        <v>0</v>
      </c>
      <c r="P220" s="443">
        <f t="shared" si="156"/>
        <v>0</v>
      </c>
      <c r="Q220" s="443">
        <f t="shared" si="157"/>
        <v>0</v>
      </c>
      <c r="R220" s="443">
        <f t="shared" si="158"/>
        <v>0</v>
      </c>
      <c r="S220" s="484">
        <v>0</v>
      </c>
      <c r="T220" s="484">
        <v>0</v>
      </c>
      <c r="U220" s="484">
        <v>0</v>
      </c>
      <c r="V220" s="490">
        <v>0</v>
      </c>
      <c r="W220" s="490">
        <v>0</v>
      </c>
      <c r="X220" s="490">
        <v>0</v>
      </c>
      <c r="Y220" s="419">
        <f t="shared" si="159"/>
        <v>3.25</v>
      </c>
      <c r="Z220" s="420">
        <f t="shared" si="160"/>
        <v>7.9780000000000004E-2</v>
      </c>
      <c r="AA220" s="420">
        <v>0</v>
      </c>
      <c r="AB220" s="420">
        <v>0</v>
      </c>
      <c r="AC220" s="420">
        <f t="shared" si="161"/>
        <v>2.8920000000000001E-2</v>
      </c>
      <c r="AD220" s="419">
        <f t="shared" si="162"/>
        <v>0</v>
      </c>
      <c r="AE220" s="419">
        <f t="shared" si="163"/>
        <v>0</v>
      </c>
      <c r="AF220" s="419">
        <f t="shared" si="164"/>
        <v>0</v>
      </c>
      <c r="AG220" s="454">
        <f t="shared" si="165"/>
        <v>1553.5</v>
      </c>
      <c r="AH220" s="454">
        <f t="shared" si="140"/>
        <v>7283.91</v>
      </c>
      <c r="AI220" s="421">
        <f t="shared" si="166"/>
        <v>0</v>
      </c>
      <c r="AJ220" s="421">
        <f t="shared" si="167"/>
        <v>0</v>
      </c>
      <c r="AK220" s="421">
        <f t="shared" si="168"/>
        <v>0</v>
      </c>
      <c r="AL220" s="472">
        <v>0</v>
      </c>
      <c r="AM220" s="422">
        <f t="shared" si="138"/>
        <v>0</v>
      </c>
      <c r="AN220" s="423">
        <f t="shared" si="169"/>
        <v>0</v>
      </c>
      <c r="AO220" s="421">
        <f t="shared" si="170"/>
        <v>0</v>
      </c>
      <c r="AP220" s="472">
        <v>-1.42</v>
      </c>
      <c r="AQ220" s="472">
        <v>0.03</v>
      </c>
      <c r="AR220" s="472">
        <v>0</v>
      </c>
      <c r="AS220" s="475">
        <v>0</v>
      </c>
      <c r="AT220" s="475">
        <v>0</v>
      </c>
      <c r="AU220" s="475">
        <v>0</v>
      </c>
      <c r="AV220" s="454">
        <f t="shared" si="171"/>
        <v>8836.02</v>
      </c>
      <c r="AW220" s="421">
        <f t="shared" si="172"/>
        <v>8836.02</v>
      </c>
      <c r="AX220" s="455">
        <f t="shared" si="184"/>
        <v>1</v>
      </c>
      <c r="AY220" s="424">
        <f t="shared" si="173"/>
        <v>383.3</v>
      </c>
      <c r="AZ220" s="424">
        <f t="shared" si="174"/>
        <v>0</v>
      </c>
      <c r="BA220" s="424">
        <f t="shared" si="175"/>
        <v>234.47</v>
      </c>
      <c r="BB220" s="424">
        <f t="shared" si="176"/>
        <v>0</v>
      </c>
      <c r="BC220" s="424">
        <f t="shared" si="177"/>
        <v>0</v>
      </c>
      <c r="BD220" s="424">
        <f t="shared" si="178"/>
        <v>9453.7900000000009</v>
      </c>
      <c r="BE220" s="452">
        <f t="shared" si="179"/>
        <v>9453.7899999999991</v>
      </c>
      <c r="BF220" s="448">
        <f t="shared" si="180"/>
        <v>0</v>
      </c>
      <c r="BG220" s="456">
        <f t="shared" si="181"/>
        <v>2640.4</v>
      </c>
      <c r="BH220" s="457">
        <f t="shared" si="148"/>
        <v>4643.5399999999991</v>
      </c>
      <c r="BI220" s="407" t="s">
        <v>692</v>
      </c>
      <c r="BM220" s="429">
        <f>IF(BR220&gt;BR219,BM219,IF(BM219&lt;MiscData!$F$1,EOMONTH(BM219,1),EOMONTH(BM219,-11)))</f>
        <v>41820</v>
      </c>
      <c r="BN220" s="416" t="str">
        <f t="shared" si="149"/>
        <v>20140101KUCME295</v>
      </c>
      <c r="BO220" s="427" t="str">
        <f t="shared" si="150"/>
        <v>20140101TE</v>
      </c>
      <c r="BP220" s="407">
        <f>IF(BM220&lt;=MiscData!$B$23,MiscData!$C$23,IF(BM220&lt;=MiscData!$B$24,MiscData!$C$24,MiscData!$C$25))</f>
        <v>20140101</v>
      </c>
      <c r="BQ220" s="407" t="str">
        <f>VLOOKUP(BR220,MiscData!$V$4:$W$42,2,FALSE)</f>
        <v>KUCME295</v>
      </c>
      <c r="BR220" s="407">
        <f>IF(BR219=MiscData!$V$42,1,BR219+1)</f>
        <v>22</v>
      </c>
      <c r="BS220" s="407" t="str">
        <f>VLOOKUP(BQ220,MiscData!$W$4:$Y$42,3,FALSE)</f>
        <v>TE</v>
      </c>
    </row>
    <row r="221" spans="1:71" hidden="1">
      <c r="A221" s="416">
        <f t="shared" si="144"/>
        <v>203</v>
      </c>
      <c r="B221" s="416" t="str">
        <f t="shared" si="145"/>
        <v>Jun 2014</v>
      </c>
      <c r="C221" s="416" t="s">
        <v>21</v>
      </c>
      <c r="D221" s="417" t="str">
        <f t="shared" si="146"/>
        <v>TE</v>
      </c>
      <c r="E221" s="417" t="str">
        <f t="shared" si="147"/>
        <v>KUCME297</v>
      </c>
      <c r="F221" s="418">
        <f t="shared" si="151"/>
        <v>272</v>
      </c>
      <c r="G221" s="467">
        <v>0</v>
      </c>
      <c r="H221" s="418">
        <v>0</v>
      </c>
      <c r="I221" s="418">
        <v>0</v>
      </c>
      <c r="J221" s="418">
        <v>0</v>
      </c>
      <c r="K221" s="418">
        <f t="shared" si="152"/>
        <v>14416</v>
      </c>
      <c r="L221" s="481">
        <v>0</v>
      </c>
      <c r="M221" s="443">
        <f t="shared" si="153"/>
        <v>0</v>
      </c>
      <c r="N221" s="443">
        <f t="shared" si="154"/>
        <v>0</v>
      </c>
      <c r="O221" s="443">
        <f t="shared" si="155"/>
        <v>0</v>
      </c>
      <c r="P221" s="443">
        <f t="shared" si="156"/>
        <v>0</v>
      </c>
      <c r="Q221" s="443">
        <f t="shared" si="157"/>
        <v>0</v>
      </c>
      <c r="R221" s="443">
        <f t="shared" si="158"/>
        <v>0</v>
      </c>
      <c r="S221" s="484">
        <v>0</v>
      </c>
      <c r="T221" s="484">
        <v>0</v>
      </c>
      <c r="U221" s="484">
        <v>0</v>
      </c>
      <c r="V221" s="490">
        <v>0</v>
      </c>
      <c r="W221" s="490">
        <v>0</v>
      </c>
      <c r="X221" s="490">
        <v>0</v>
      </c>
      <c r="Y221" s="419">
        <f t="shared" si="159"/>
        <v>3.25</v>
      </c>
      <c r="Z221" s="420">
        <f t="shared" si="160"/>
        <v>7.9780000000000004E-2</v>
      </c>
      <c r="AA221" s="420">
        <v>0</v>
      </c>
      <c r="AB221" s="420">
        <v>0</v>
      </c>
      <c r="AC221" s="420">
        <f t="shared" si="161"/>
        <v>2.8920000000000001E-2</v>
      </c>
      <c r="AD221" s="419">
        <f t="shared" si="162"/>
        <v>0</v>
      </c>
      <c r="AE221" s="419">
        <f t="shared" si="163"/>
        <v>0</v>
      </c>
      <c r="AF221" s="419">
        <f t="shared" si="164"/>
        <v>0</v>
      </c>
      <c r="AG221" s="454">
        <f t="shared" si="165"/>
        <v>884</v>
      </c>
      <c r="AH221" s="454">
        <f t="shared" si="140"/>
        <v>1150.1099999999999</v>
      </c>
      <c r="AI221" s="421">
        <f t="shared" si="166"/>
        <v>0</v>
      </c>
      <c r="AJ221" s="421">
        <f t="shared" si="167"/>
        <v>0</v>
      </c>
      <c r="AK221" s="421">
        <f t="shared" si="168"/>
        <v>0</v>
      </c>
      <c r="AL221" s="472">
        <v>0</v>
      </c>
      <c r="AM221" s="422">
        <f t="shared" si="138"/>
        <v>0</v>
      </c>
      <c r="AN221" s="423">
        <f t="shared" si="169"/>
        <v>0</v>
      </c>
      <c r="AO221" s="421">
        <f t="shared" si="170"/>
        <v>0</v>
      </c>
      <c r="AP221" s="472">
        <v>0</v>
      </c>
      <c r="AQ221" s="472">
        <v>0.45</v>
      </c>
      <c r="AR221" s="472">
        <v>0</v>
      </c>
      <c r="AS221" s="475">
        <v>0</v>
      </c>
      <c r="AT221" s="475">
        <v>0</v>
      </c>
      <c r="AU221" s="475">
        <v>0</v>
      </c>
      <c r="AV221" s="454">
        <f t="shared" si="171"/>
        <v>2034.56</v>
      </c>
      <c r="AW221" s="421">
        <f t="shared" si="172"/>
        <v>2034.5600000000002</v>
      </c>
      <c r="AX221" s="455">
        <f t="shared" si="184"/>
        <v>1.0000000000000002</v>
      </c>
      <c r="AY221" s="424">
        <f t="shared" si="173"/>
        <v>70.72</v>
      </c>
      <c r="AZ221" s="424">
        <f t="shared" si="174"/>
        <v>0</v>
      </c>
      <c r="BA221" s="424">
        <f t="shared" si="175"/>
        <v>62.56</v>
      </c>
      <c r="BB221" s="424">
        <f t="shared" si="176"/>
        <v>0</v>
      </c>
      <c r="BC221" s="424">
        <f t="shared" si="177"/>
        <v>0</v>
      </c>
      <c r="BD221" s="424">
        <f t="shared" si="178"/>
        <v>2167.84</v>
      </c>
      <c r="BE221" s="452">
        <f t="shared" si="179"/>
        <v>2167.8399999999997</v>
      </c>
      <c r="BF221" s="448">
        <f t="shared" si="180"/>
        <v>0</v>
      </c>
      <c r="BG221" s="456">
        <f t="shared" si="181"/>
        <v>416.91</v>
      </c>
      <c r="BH221" s="457">
        <f t="shared" si="148"/>
        <v>733.64999999999986</v>
      </c>
      <c r="BI221" s="407" t="s">
        <v>692</v>
      </c>
      <c r="BM221" s="429">
        <f>IF(BR221&gt;BR220,BM220,IF(BM220&lt;MiscData!$F$1,EOMONTH(BM220,1),EOMONTH(BM220,-11)))</f>
        <v>41820</v>
      </c>
      <c r="BN221" s="416" t="str">
        <f t="shared" si="149"/>
        <v>20140101KUCME297</v>
      </c>
      <c r="BO221" s="427" t="str">
        <f t="shared" si="150"/>
        <v>20140101TE</v>
      </c>
      <c r="BP221" s="407">
        <f>IF(BM221&lt;=MiscData!$B$23,MiscData!$C$23,IF(BM221&lt;=MiscData!$B$24,MiscData!$C$24,MiscData!$C$25))</f>
        <v>20140101</v>
      </c>
      <c r="BQ221" s="407" t="str">
        <f>VLOOKUP(BR221,MiscData!$V$4:$W$42,2,FALSE)</f>
        <v>KUCME297</v>
      </c>
      <c r="BR221" s="407">
        <f>IF(BR220=MiscData!$V$42,1,BR220+1)</f>
        <v>23</v>
      </c>
      <c r="BS221" s="407" t="str">
        <f>VLOOKUP(BQ221,MiscData!$W$4:$Y$42,3,FALSE)</f>
        <v>TE</v>
      </c>
    </row>
    <row r="222" spans="1:71" hidden="1">
      <c r="A222" s="416">
        <f t="shared" si="144"/>
        <v>204</v>
      </c>
      <c r="B222" s="416" t="str">
        <f t="shared" si="145"/>
        <v>Jun 2014</v>
      </c>
      <c r="C222" s="416" t="s">
        <v>727</v>
      </c>
      <c r="D222" s="417" t="str">
        <f t="shared" si="146"/>
        <v>SQF</v>
      </c>
      <c r="E222" s="417" t="str">
        <f t="shared" si="147"/>
        <v>KUCME705</v>
      </c>
      <c r="F222" s="418">
        <f t="shared" si="151"/>
        <v>0</v>
      </c>
      <c r="G222" s="467">
        <v>0</v>
      </c>
      <c r="H222" s="418">
        <v>0</v>
      </c>
      <c r="I222" s="418">
        <v>0</v>
      </c>
      <c r="J222" s="418">
        <v>0</v>
      </c>
      <c r="K222" s="418">
        <f t="shared" si="152"/>
        <v>0</v>
      </c>
      <c r="L222" s="481">
        <v>0</v>
      </c>
      <c r="M222" s="443">
        <f t="shared" si="153"/>
        <v>0</v>
      </c>
      <c r="N222" s="443">
        <f t="shared" si="154"/>
        <v>0</v>
      </c>
      <c r="O222" s="443">
        <f t="shared" si="155"/>
        <v>0</v>
      </c>
      <c r="P222" s="443">
        <f t="shared" si="156"/>
        <v>0</v>
      </c>
      <c r="Q222" s="443">
        <f t="shared" si="157"/>
        <v>0</v>
      </c>
      <c r="R222" s="443">
        <f t="shared" si="158"/>
        <v>0</v>
      </c>
      <c r="S222" s="484">
        <v>0</v>
      </c>
      <c r="T222" s="484">
        <v>0</v>
      </c>
      <c r="U222" s="484">
        <v>0</v>
      </c>
      <c r="V222" s="490">
        <v>0</v>
      </c>
      <c r="W222" s="490">
        <v>0</v>
      </c>
      <c r="X222" s="490">
        <v>0</v>
      </c>
      <c r="Y222" s="419">
        <f t="shared" si="159"/>
        <v>0</v>
      </c>
      <c r="Z222" s="420">
        <f t="shared" si="160"/>
        <v>0</v>
      </c>
      <c r="AA222" s="420">
        <v>0</v>
      </c>
      <c r="AB222" s="420">
        <v>0</v>
      </c>
      <c r="AC222" s="420">
        <f t="shared" si="161"/>
        <v>0</v>
      </c>
      <c r="AD222" s="419">
        <f t="shared" si="162"/>
        <v>0</v>
      </c>
      <c r="AE222" s="419">
        <f t="shared" si="163"/>
        <v>0</v>
      </c>
      <c r="AF222" s="419">
        <f t="shared" si="164"/>
        <v>0</v>
      </c>
      <c r="AG222" s="454">
        <f t="shared" si="165"/>
        <v>0</v>
      </c>
      <c r="AH222" s="454">
        <f t="shared" si="140"/>
        <v>0</v>
      </c>
      <c r="AI222" s="421">
        <f t="shared" si="166"/>
        <v>0</v>
      </c>
      <c r="AJ222" s="421">
        <f t="shared" si="167"/>
        <v>0</v>
      </c>
      <c r="AK222" s="421">
        <f t="shared" si="168"/>
        <v>0</v>
      </c>
      <c r="AL222" s="472">
        <v>0</v>
      </c>
      <c r="AM222" s="422">
        <f t="shared" si="138"/>
        <v>0</v>
      </c>
      <c r="AN222" s="423">
        <f t="shared" si="169"/>
        <v>0</v>
      </c>
      <c r="AO222" s="421">
        <f t="shared" si="170"/>
        <v>0</v>
      </c>
      <c r="AP222" s="472">
        <v>0</v>
      </c>
      <c r="AQ222" s="472">
        <v>0</v>
      </c>
      <c r="AR222" s="472">
        <v>0</v>
      </c>
      <c r="AS222" s="475">
        <v>0</v>
      </c>
      <c r="AT222" s="475">
        <v>0</v>
      </c>
      <c r="AU222" s="475">
        <v>0</v>
      </c>
      <c r="AV222" s="454">
        <f t="shared" si="171"/>
        <v>0</v>
      </c>
      <c r="AW222" s="421">
        <f t="shared" si="172"/>
        <v>0</v>
      </c>
      <c r="AX222" s="455">
        <f t="shared" si="184"/>
        <v>1</v>
      </c>
      <c r="AY222" s="424">
        <f t="shared" si="173"/>
        <v>0</v>
      </c>
      <c r="AZ222" s="424">
        <f t="shared" si="174"/>
        <v>0</v>
      </c>
      <c r="BA222" s="424">
        <f t="shared" si="175"/>
        <v>0</v>
      </c>
      <c r="BB222" s="424">
        <f t="shared" si="176"/>
        <v>0</v>
      </c>
      <c r="BC222" s="424">
        <f t="shared" si="177"/>
        <v>0</v>
      </c>
      <c r="BD222" s="424">
        <f t="shared" si="178"/>
        <v>0</v>
      </c>
      <c r="BE222" s="452">
        <f t="shared" si="179"/>
        <v>0</v>
      </c>
      <c r="BF222" s="448">
        <f t="shared" si="180"/>
        <v>0</v>
      </c>
      <c r="BG222" s="456">
        <f t="shared" si="181"/>
        <v>0</v>
      </c>
      <c r="BH222" s="457">
        <f t="shared" si="148"/>
        <v>0</v>
      </c>
      <c r="BI222" s="407" t="s">
        <v>692</v>
      </c>
      <c r="BM222" s="429">
        <f>IF(BR222&gt;BR221,BM221,IF(BM221&lt;MiscData!$F$1,EOMONTH(BM221,1),EOMONTH(BM221,-11)))</f>
        <v>41820</v>
      </c>
      <c r="BN222" s="416" t="str">
        <f t="shared" si="149"/>
        <v>20140101KUCME705</v>
      </c>
      <c r="BO222" s="427" t="str">
        <f t="shared" si="150"/>
        <v>20140101SQF</v>
      </c>
      <c r="BP222" s="407">
        <f>IF(BM222&lt;=MiscData!$B$23,MiscData!$C$23,IF(BM222&lt;=MiscData!$B$24,MiscData!$C$24,MiscData!$C$25))</f>
        <v>20140101</v>
      </c>
      <c r="BQ222" s="407" t="str">
        <f>VLOOKUP(BR222,MiscData!$V$4:$W$42,2,FALSE)</f>
        <v>KUCME705</v>
      </c>
      <c r="BR222" s="407">
        <f>IF(BR221=MiscData!$V$42,1,BR221+1)</f>
        <v>24</v>
      </c>
      <c r="BS222" s="407" t="str">
        <f>VLOOKUP(BQ222,MiscData!$W$4:$Y$42,3,FALSE)</f>
        <v>SQF</v>
      </c>
    </row>
    <row r="223" spans="1:71" hidden="1">
      <c r="A223" s="416">
        <f t="shared" si="144"/>
        <v>205</v>
      </c>
      <c r="B223" s="416" t="str">
        <f t="shared" si="145"/>
        <v>Jun 2014</v>
      </c>
      <c r="C223" s="416" t="s">
        <v>1052</v>
      </c>
      <c r="D223" s="417" t="str">
        <f t="shared" si="146"/>
        <v>LQF</v>
      </c>
      <c r="E223" s="417" t="str">
        <f t="shared" si="147"/>
        <v>KUCME707</v>
      </c>
      <c r="F223" s="418">
        <f t="shared" si="151"/>
        <v>0</v>
      </c>
      <c r="G223" s="467">
        <v>0</v>
      </c>
      <c r="H223" s="418">
        <v>0</v>
      </c>
      <c r="I223" s="418">
        <v>0</v>
      </c>
      <c r="J223" s="418">
        <v>0</v>
      </c>
      <c r="K223" s="418">
        <f t="shared" si="152"/>
        <v>0</v>
      </c>
      <c r="L223" s="481">
        <v>0</v>
      </c>
      <c r="M223" s="443">
        <f t="shared" si="153"/>
        <v>0</v>
      </c>
      <c r="N223" s="443">
        <f t="shared" si="154"/>
        <v>0</v>
      </c>
      <c r="O223" s="443">
        <f t="shared" si="155"/>
        <v>0</v>
      </c>
      <c r="P223" s="443">
        <f t="shared" si="156"/>
        <v>0</v>
      </c>
      <c r="Q223" s="443">
        <f t="shared" si="157"/>
        <v>0</v>
      </c>
      <c r="R223" s="443">
        <f t="shared" si="158"/>
        <v>0</v>
      </c>
      <c r="S223" s="484">
        <v>0</v>
      </c>
      <c r="T223" s="484">
        <v>0</v>
      </c>
      <c r="U223" s="484">
        <v>0</v>
      </c>
      <c r="V223" s="490">
        <v>0</v>
      </c>
      <c r="W223" s="490">
        <v>0</v>
      </c>
      <c r="X223" s="490">
        <v>0</v>
      </c>
      <c r="Y223" s="419">
        <f t="shared" si="159"/>
        <v>0</v>
      </c>
      <c r="Z223" s="420">
        <f t="shared" si="160"/>
        <v>0</v>
      </c>
      <c r="AA223" s="420">
        <v>0</v>
      </c>
      <c r="AB223" s="420">
        <v>0</v>
      </c>
      <c r="AC223" s="420">
        <f t="shared" si="161"/>
        <v>0</v>
      </c>
      <c r="AD223" s="419">
        <f t="shared" si="162"/>
        <v>0</v>
      </c>
      <c r="AE223" s="419">
        <f t="shared" si="163"/>
        <v>0</v>
      </c>
      <c r="AF223" s="419">
        <f t="shared" si="164"/>
        <v>0</v>
      </c>
      <c r="AG223" s="454">
        <f t="shared" si="165"/>
        <v>0</v>
      </c>
      <c r="AH223" s="454">
        <f t="shared" si="140"/>
        <v>0</v>
      </c>
      <c r="AI223" s="421">
        <f t="shared" si="166"/>
        <v>0</v>
      </c>
      <c r="AJ223" s="421">
        <f t="shared" si="167"/>
        <v>0</v>
      </c>
      <c r="AK223" s="421">
        <f t="shared" si="168"/>
        <v>0</v>
      </c>
      <c r="AL223" s="472">
        <v>0</v>
      </c>
      <c r="AM223" s="422">
        <f t="shared" ref="AM223:AM286" si="185">SUMIFS(_1022_Power_Factor_Revenue,_1022_RevenueMonth,$B223,_1022_RateCategory,$E223)</f>
        <v>0</v>
      </c>
      <c r="AN223" s="423">
        <f t="shared" si="169"/>
        <v>0</v>
      </c>
      <c r="AO223" s="421">
        <f t="shared" si="170"/>
        <v>0</v>
      </c>
      <c r="AP223" s="472">
        <v>0</v>
      </c>
      <c r="AQ223" s="472">
        <v>0</v>
      </c>
      <c r="AR223" s="472">
        <v>0</v>
      </c>
      <c r="AS223" s="475">
        <v>0</v>
      </c>
      <c r="AT223" s="475">
        <v>0</v>
      </c>
      <c r="AU223" s="475">
        <v>0</v>
      </c>
      <c r="AV223" s="454">
        <f t="shared" si="171"/>
        <v>0</v>
      </c>
      <c r="AW223" s="421">
        <f t="shared" si="172"/>
        <v>0</v>
      </c>
      <c r="AX223" s="455">
        <f t="shared" si="184"/>
        <v>1</v>
      </c>
      <c r="AY223" s="424">
        <f t="shared" si="173"/>
        <v>0</v>
      </c>
      <c r="AZ223" s="424">
        <f t="shared" si="174"/>
        <v>0</v>
      </c>
      <c r="BA223" s="424">
        <f t="shared" si="175"/>
        <v>0</v>
      </c>
      <c r="BB223" s="424">
        <f t="shared" si="176"/>
        <v>0</v>
      </c>
      <c r="BC223" s="424">
        <f t="shared" si="177"/>
        <v>0</v>
      </c>
      <c r="BD223" s="424">
        <f t="shared" si="178"/>
        <v>0</v>
      </c>
      <c r="BE223" s="452">
        <f t="shared" si="179"/>
        <v>0</v>
      </c>
      <c r="BF223" s="448">
        <f t="shared" si="180"/>
        <v>0</v>
      </c>
      <c r="BG223" s="456">
        <f t="shared" si="181"/>
        <v>0</v>
      </c>
      <c r="BH223" s="457">
        <f t="shared" si="148"/>
        <v>0</v>
      </c>
      <c r="BI223" s="407" t="s">
        <v>692</v>
      </c>
      <c r="BM223" s="429">
        <f>IF(BR223&gt;BR222,BM222,IF(BM222&lt;MiscData!$F$1,EOMONTH(BM222,1),EOMONTH(BM222,-11)))</f>
        <v>41820</v>
      </c>
      <c r="BN223" s="416" t="str">
        <f t="shared" si="149"/>
        <v>20140101KUCME707</v>
      </c>
      <c r="BO223" s="427" t="str">
        <f t="shared" si="150"/>
        <v>20140101LQF</v>
      </c>
      <c r="BP223" s="407">
        <f>IF(BM223&lt;=MiscData!$B$23,MiscData!$C$23,IF(BM223&lt;=MiscData!$B$24,MiscData!$C$24,MiscData!$C$25))</f>
        <v>20140101</v>
      </c>
      <c r="BQ223" s="407" t="str">
        <f>VLOOKUP(BR223,MiscData!$V$4:$W$42,2,FALSE)</f>
        <v>KUCME707</v>
      </c>
      <c r="BR223" s="407">
        <f>IF(BR222=MiscData!$V$42,1,BR222+1)</f>
        <v>25</v>
      </c>
      <c r="BS223" s="407" t="str">
        <f>VLOOKUP(BQ223,MiscData!$W$4:$Y$42,3,FALSE)</f>
        <v>LQF</v>
      </c>
    </row>
    <row r="224" spans="1:71" hidden="1">
      <c r="A224" s="416">
        <f t="shared" si="144"/>
        <v>206</v>
      </c>
      <c r="B224" s="416" t="str">
        <f t="shared" si="145"/>
        <v>Jun 2014</v>
      </c>
      <c r="C224" s="416" t="s">
        <v>224</v>
      </c>
      <c r="D224" s="417" t="str">
        <f t="shared" si="146"/>
        <v>GS</v>
      </c>
      <c r="E224" s="417" t="str">
        <f t="shared" si="147"/>
        <v>KUCME710</v>
      </c>
      <c r="F224" s="418">
        <f t="shared" si="151"/>
        <v>10</v>
      </c>
      <c r="G224" s="467">
        <v>0</v>
      </c>
      <c r="H224" s="418">
        <v>0</v>
      </c>
      <c r="I224" s="418">
        <v>0</v>
      </c>
      <c r="J224" s="418">
        <v>0</v>
      </c>
      <c r="K224" s="418">
        <f t="shared" si="152"/>
        <v>5304</v>
      </c>
      <c r="L224" s="459">
        <v>0</v>
      </c>
      <c r="M224" s="443">
        <f t="shared" si="153"/>
        <v>0</v>
      </c>
      <c r="N224" s="443">
        <f t="shared" si="154"/>
        <v>0</v>
      </c>
      <c r="O224" s="443">
        <f t="shared" si="155"/>
        <v>0</v>
      </c>
      <c r="P224" s="443">
        <f t="shared" si="156"/>
        <v>0</v>
      </c>
      <c r="Q224" s="443">
        <f t="shared" si="157"/>
        <v>0</v>
      </c>
      <c r="R224" s="443">
        <f t="shared" si="158"/>
        <v>0</v>
      </c>
      <c r="S224" s="484">
        <v>0</v>
      </c>
      <c r="T224" s="484">
        <v>0</v>
      </c>
      <c r="U224" s="484">
        <v>0</v>
      </c>
      <c r="V224" s="490">
        <v>0</v>
      </c>
      <c r="W224" s="490">
        <v>0</v>
      </c>
      <c r="X224" s="490">
        <v>0</v>
      </c>
      <c r="Y224" s="419">
        <f t="shared" si="159"/>
        <v>20</v>
      </c>
      <c r="Z224" s="420">
        <f t="shared" si="160"/>
        <v>9.2249999999999999E-2</v>
      </c>
      <c r="AA224" s="420">
        <v>0</v>
      </c>
      <c r="AB224" s="420">
        <v>0</v>
      </c>
      <c r="AC224" s="420">
        <f t="shared" si="161"/>
        <v>2.8920000000000001E-2</v>
      </c>
      <c r="AD224" s="419">
        <f t="shared" si="162"/>
        <v>0</v>
      </c>
      <c r="AE224" s="419">
        <f t="shared" si="163"/>
        <v>0</v>
      </c>
      <c r="AF224" s="419">
        <f t="shared" si="164"/>
        <v>0</v>
      </c>
      <c r="AG224" s="454">
        <f t="shared" si="165"/>
        <v>200</v>
      </c>
      <c r="AH224" s="454">
        <f t="shared" si="140"/>
        <v>489.29</v>
      </c>
      <c r="AI224" s="421">
        <f t="shared" si="166"/>
        <v>0</v>
      </c>
      <c r="AJ224" s="421">
        <f t="shared" si="167"/>
        <v>0</v>
      </c>
      <c r="AK224" s="421">
        <f t="shared" si="168"/>
        <v>0</v>
      </c>
      <c r="AL224" s="472">
        <v>0</v>
      </c>
      <c r="AM224" s="422">
        <f t="shared" si="185"/>
        <v>0</v>
      </c>
      <c r="AN224" s="423">
        <f t="shared" si="169"/>
        <v>0</v>
      </c>
      <c r="AO224" s="421">
        <f t="shared" si="170"/>
        <v>0</v>
      </c>
      <c r="AP224" s="472">
        <v>-12.48</v>
      </c>
      <c r="AQ224" s="472">
        <v>0.01</v>
      </c>
      <c r="AR224" s="472">
        <v>0</v>
      </c>
      <c r="AS224" s="475">
        <v>0</v>
      </c>
      <c r="AT224" s="475">
        <v>0</v>
      </c>
      <c r="AU224" s="475">
        <v>0</v>
      </c>
      <c r="AV224" s="454">
        <f t="shared" si="171"/>
        <v>676.81999999999994</v>
      </c>
      <c r="AW224" s="421">
        <f t="shared" si="172"/>
        <v>676.82</v>
      </c>
      <c r="AX224" s="455">
        <f t="shared" ref="AX224:AX237" si="186">IF(AND(AV224=0,AW224=0),1,IF(AV224=0,0,AW224/AV224))</f>
        <v>1.0000000000000002</v>
      </c>
      <c r="AY224" s="424">
        <f t="shared" si="173"/>
        <v>26.36</v>
      </c>
      <c r="AZ224" s="424">
        <f t="shared" si="174"/>
        <v>15.9</v>
      </c>
      <c r="BA224" s="424">
        <f t="shared" si="175"/>
        <v>28</v>
      </c>
      <c r="BB224" s="424">
        <f t="shared" si="176"/>
        <v>0</v>
      </c>
      <c r="BC224" s="424">
        <f t="shared" si="177"/>
        <v>0</v>
      </c>
      <c r="BD224" s="424">
        <f t="shared" si="178"/>
        <v>747.08</v>
      </c>
      <c r="BE224" s="452">
        <f t="shared" si="179"/>
        <v>747.07999999999993</v>
      </c>
      <c r="BF224" s="448">
        <f t="shared" si="180"/>
        <v>0</v>
      </c>
      <c r="BG224" s="456">
        <f t="shared" si="181"/>
        <v>153.38999999999999</v>
      </c>
      <c r="BH224" s="457">
        <f t="shared" si="148"/>
        <v>335.91</v>
      </c>
      <c r="BI224" s="407" t="s">
        <v>692</v>
      </c>
      <c r="BM224" s="429">
        <f>IF(BR224&gt;BR223,BM223,IF(BM223&lt;MiscData!$F$1,EOMONTH(BM223,1),EOMONTH(BM223,-11)))</f>
        <v>41820</v>
      </c>
      <c r="BN224" s="416" t="str">
        <f t="shared" si="149"/>
        <v>20140101KUCME710</v>
      </c>
      <c r="BO224" s="427" t="str">
        <f t="shared" si="150"/>
        <v>20140101GS</v>
      </c>
      <c r="BP224" s="407">
        <f>IF(BM224&lt;=MiscData!$B$23,MiscData!$C$23,IF(BM224&lt;=MiscData!$B$24,MiscData!$C$24,MiscData!$C$25))</f>
        <v>20140101</v>
      </c>
      <c r="BQ224" s="407" t="str">
        <f>VLOOKUP(BR224,MiscData!$V$4:$W$42,2,FALSE)</f>
        <v>KUCME710</v>
      </c>
      <c r="BR224" s="407">
        <f>IF(BR223=MiscData!$V$42,1,BR223+1)</f>
        <v>26</v>
      </c>
      <c r="BS224" s="407" t="str">
        <f>VLOOKUP(BQ224,MiscData!$W$4:$Y$42,3,FALSE)</f>
        <v>GS</v>
      </c>
    </row>
    <row r="225" spans="1:72" hidden="1">
      <c r="A225" s="416">
        <f t="shared" si="144"/>
        <v>207</v>
      </c>
      <c r="B225" s="416" t="str">
        <f t="shared" si="145"/>
        <v>Jun 2014</v>
      </c>
      <c r="C225" s="416" t="s">
        <v>18</v>
      </c>
      <c r="D225" s="417" t="str">
        <f t="shared" si="146"/>
        <v>GS3</v>
      </c>
      <c r="E225" s="417" t="str">
        <f t="shared" si="147"/>
        <v>KUCME713</v>
      </c>
      <c r="F225" s="418">
        <f t="shared" si="151"/>
        <v>2</v>
      </c>
      <c r="G225" s="467">
        <v>0</v>
      </c>
      <c r="H225" s="418">
        <v>0</v>
      </c>
      <c r="I225" s="418">
        <v>0</v>
      </c>
      <c r="J225" s="418">
        <v>0</v>
      </c>
      <c r="K225" s="418">
        <f t="shared" si="152"/>
        <v>11560</v>
      </c>
      <c r="L225" s="459">
        <v>0</v>
      </c>
      <c r="M225" s="443">
        <f t="shared" si="153"/>
        <v>67.400000000000006</v>
      </c>
      <c r="N225" s="443">
        <f t="shared" si="154"/>
        <v>0</v>
      </c>
      <c r="O225" s="443">
        <f t="shared" si="155"/>
        <v>0</v>
      </c>
      <c r="P225" s="443">
        <f t="shared" si="156"/>
        <v>0</v>
      </c>
      <c r="Q225" s="443">
        <f t="shared" si="157"/>
        <v>0</v>
      </c>
      <c r="R225" s="443">
        <f t="shared" si="158"/>
        <v>0</v>
      </c>
      <c r="S225" s="484">
        <v>0</v>
      </c>
      <c r="T225" s="484">
        <v>0</v>
      </c>
      <c r="U225" s="484">
        <v>0</v>
      </c>
      <c r="V225" s="490">
        <v>0</v>
      </c>
      <c r="W225" s="490">
        <v>0</v>
      </c>
      <c r="X225" s="490">
        <v>0</v>
      </c>
      <c r="Y225" s="419">
        <f t="shared" si="159"/>
        <v>35</v>
      </c>
      <c r="Z225" s="420">
        <f t="shared" si="160"/>
        <v>9.2249999999999999E-2</v>
      </c>
      <c r="AA225" s="420">
        <v>0</v>
      </c>
      <c r="AB225" s="420">
        <v>0</v>
      </c>
      <c r="AC225" s="420">
        <f t="shared" si="161"/>
        <v>2.8920000000000001E-2</v>
      </c>
      <c r="AD225" s="419">
        <f t="shared" si="162"/>
        <v>0</v>
      </c>
      <c r="AE225" s="419">
        <f t="shared" si="163"/>
        <v>0</v>
      </c>
      <c r="AF225" s="419">
        <f t="shared" si="164"/>
        <v>0</v>
      </c>
      <c r="AG225" s="454">
        <f t="shared" si="165"/>
        <v>70</v>
      </c>
      <c r="AH225" s="454">
        <f t="shared" si="140"/>
        <v>1066.4100000000001</v>
      </c>
      <c r="AI225" s="421">
        <f t="shared" si="166"/>
        <v>0</v>
      </c>
      <c r="AJ225" s="421">
        <f t="shared" si="167"/>
        <v>0</v>
      </c>
      <c r="AK225" s="421">
        <f t="shared" si="168"/>
        <v>0</v>
      </c>
      <c r="AL225" s="472">
        <v>0</v>
      </c>
      <c r="AM225" s="422">
        <f t="shared" si="185"/>
        <v>0</v>
      </c>
      <c r="AN225" s="423">
        <f t="shared" si="169"/>
        <v>0</v>
      </c>
      <c r="AO225" s="421">
        <f t="shared" si="170"/>
        <v>0</v>
      </c>
      <c r="AP225" s="472">
        <v>0</v>
      </c>
      <c r="AQ225" s="472">
        <v>0</v>
      </c>
      <c r="AR225" s="472">
        <v>0</v>
      </c>
      <c r="AS225" s="475">
        <v>0</v>
      </c>
      <c r="AT225" s="475">
        <v>0</v>
      </c>
      <c r="AU225" s="475">
        <v>0</v>
      </c>
      <c r="AV225" s="454">
        <f t="shared" si="171"/>
        <v>1136.4100000000001</v>
      </c>
      <c r="AW225" s="421">
        <f t="shared" si="172"/>
        <v>1136.4099999999999</v>
      </c>
      <c r="AX225" s="455">
        <f t="shared" si="186"/>
        <v>0.99999999999999978</v>
      </c>
      <c r="AY225" s="424">
        <f t="shared" si="173"/>
        <v>57.45</v>
      </c>
      <c r="AZ225" s="424">
        <f t="shared" si="174"/>
        <v>7.68</v>
      </c>
      <c r="BA225" s="424">
        <f t="shared" si="175"/>
        <v>42.03</v>
      </c>
      <c r="BB225" s="424">
        <f t="shared" si="176"/>
        <v>0</v>
      </c>
      <c r="BC225" s="424">
        <f t="shared" si="177"/>
        <v>0</v>
      </c>
      <c r="BD225" s="424">
        <f t="shared" si="178"/>
        <v>1243.57</v>
      </c>
      <c r="BE225" s="452">
        <f t="shared" si="179"/>
        <v>1243.5700000000002</v>
      </c>
      <c r="BF225" s="448">
        <f t="shared" si="180"/>
        <v>0</v>
      </c>
      <c r="BG225" s="456">
        <f t="shared" si="181"/>
        <v>334.32</v>
      </c>
      <c r="BH225" s="457">
        <f t="shared" si="148"/>
        <v>732.09000000000015</v>
      </c>
      <c r="BI225" s="407" t="s">
        <v>692</v>
      </c>
      <c r="BM225" s="429">
        <f>IF(BR225&gt;BR224,BM224,IF(BM224&lt;MiscData!$F$1,EOMONTH(BM224,1),EOMONTH(BM224,-11)))</f>
        <v>41820</v>
      </c>
      <c r="BN225" s="416" t="str">
        <f t="shared" si="149"/>
        <v>20140101KUCME713</v>
      </c>
      <c r="BO225" s="427" t="str">
        <f t="shared" si="150"/>
        <v>20140101GS3</v>
      </c>
      <c r="BP225" s="407">
        <f>IF(BM225&lt;=MiscData!$B$23,MiscData!$C$23,IF(BM225&lt;=MiscData!$B$24,MiscData!$C$24,MiscData!$C$25))</f>
        <v>20140101</v>
      </c>
      <c r="BQ225" s="407" t="str">
        <f>VLOOKUP(BR225,MiscData!$V$4:$W$42,2,FALSE)</f>
        <v>KUCME713</v>
      </c>
      <c r="BR225" s="407">
        <f>IF(BR224=MiscData!$V$42,1,BR224+1)</f>
        <v>27</v>
      </c>
      <c r="BS225" s="407" t="str">
        <f>VLOOKUP(BQ225,MiscData!$W$4:$Y$42,3,FALSE)</f>
        <v>GS3</v>
      </c>
    </row>
    <row r="226" spans="1:72" hidden="1">
      <c r="A226" s="416">
        <f>A222+1</f>
        <v>205</v>
      </c>
      <c r="B226" s="416" t="str">
        <f t="shared" si="145"/>
        <v>Jun 2014</v>
      </c>
      <c r="C226" s="416" t="s">
        <v>1459</v>
      </c>
      <c r="D226" s="417" t="str">
        <f t="shared" si="146"/>
        <v>CSR10</v>
      </c>
      <c r="E226" s="417" t="str">
        <f t="shared" si="147"/>
        <v>KUCSR760</v>
      </c>
      <c r="F226" s="418">
        <f t="shared" si="151"/>
        <v>1</v>
      </c>
      <c r="G226" s="467">
        <v>0</v>
      </c>
      <c r="H226" s="418">
        <v>0</v>
      </c>
      <c r="I226" s="418">
        <v>0</v>
      </c>
      <c r="J226" s="418">
        <v>0</v>
      </c>
      <c r="K226" s="418">
        <f t="shared" si="152"/>
        <v>0</v>
      </c>
      <c r="L226" s="481">
        <v>0</v>
      </c>
      <c r="M226" s="443">
        <f t="shared" si="153"/>
        <v>0</v>
      </c>
      <c r="N226" s="443">
        <f t="shared" si="154"/>
        <v>0</v>
      </c>
      <c r="O226" s="443">
        <f t="shared" si="155"/>
        <v>0</v>
      </c>
      <c r="P226" s="443">
        <f t="shared" si="156"/>
        <v>0</v>
      </c>
      <c r="Q226" s="443">
        <f t="shared" si="157"/>
        <v>0</v>
      </c>
      <c r="R226" s="443">
        <f t="shared" si="158"/>
        <v>0</v>
      </c>
      <c r="S226" s="484">
        <v>0</v>
      </c>
      <c r="T226" s="484">
        <v>0</v>
      </c>
      <c r="U226" s="484">
        <v>0</v>
      </c>
      <c r="V226" s="490">
        <v>0</v>
      </c>
      <c r="W226" s="490">
        <v>0</v>
      </c>
      <c r="X226" s="490">
        <v>0</v>
      </c>
      <c r="Y226" s="419">
        <f t="shared" si="159"/>
        <v>0</v>
      </c>
      <c r="Z226" s="420">
        <f t="shared" si="160"/>
        <v>0</v>
      </c>
      <c r="AA226" s="420">
        <v>0</v>
      </c>
      <c r="AB226" s="420">
        <v>0</v>
      </c>
      <c r="AC226" s="420">
        <f t="shared" si="161"/>
        <v>0</v>
      </c>
      <c r="AD226" s="419">
        <f t="shared" si="162"/>
        <v>-5.4</v>
      </c>
      <c r="AE226" s="419">
        <f t="shared" si="163"/>
        <v>0</v>
      </c>
      <c r="AF226" s="419">
        <f t="shared" si="164"/>
        <v>0</v>
      </c>
      <c r="AG226" s="454">
        <f t="shared" si="165"/>
        <v>0</v>
      </c>
      <c r="AH226" s="454">
        <f t="shared" si="140"/>
        <v>0</v>
      </c>
      <c r="AI226" s="421">
        <f t="shared" si="166"/>
        <v>0</v>
      </c>
      <c r="AJ226" s="421">
        <f t="shared" si="167"/>
        <v>0</v>
      </c>
      <c r="AK226" s="421">
        <f t="shared" si="168"/>
        <v>0</v>
      </c>
      <c r="AL226" s="472">
        <v>0</v>
      </c>
      <c r="AM226" s="422">
        <f t="shared" si="185"/>
        <v>0</v>
      </c>
      <c r="AN226" s="423">
        <f t="shared" si="169"/>
        <v>0</v>
      </c>
      <c r="AO226" s="421">
        <f t="shared" si="170"/>
        <v>0</v>
      </c>
      <c r="AP226" s="472">
        <v>0</v>
      </c>
      <c r="AQ226" s="472">
        <v>0</v>
      </c>
      <c r="AR226" s="472">
        <v>0</v>
      </c>
      <c r="AS226" s="475">
        <v>0</v>
      </c>
      <c r="AT226" s="475">
        <v>0</v>
      </c>
      <c r="AU226" s="475">
        <v>0</v>
      </c>
      <c r="AV226" s="454">
        <f t="shared" si="171"/>
        <v>0</v>
      </c>
      <c r="AW226" s="421">
        <f t="shared" si="172"/>
        <v>0</v>
      </c>
      <c r="AX226" s="455">
        <f t="shared" si="186"/>
        <v>1</v>
      </c>
      <c r="AY226" s="424">
        <f t="shared" si="173"/>
        <v>0</v>
      </c>
      <c r="AZ226" s="424">
        <f t="shared" si="174"/>
        <v>0</v>
      </c>
      <c r="BA226" s="424">
        <f t="shared" si="175"/>
        <v>0</v>
      </c>
      <c r="BB226" s="424">
        <f t="shared" si="176"/>
        <v>0</v>
      </c>
      <c r="BC226" s="424">
        <f t="shared" si="177"/>
        <v>-997368.28</v>
      </c>
      <c r="BD226" s="424">
        <f t="shared" si="178"/>
        <v>-997368.28</v>
      </c>
      <c r="BE226" s="452">
        <f t="shared" si="179"/>
        <v>-997368.28</v>
      </c>
      <c r="BF226" s="448">
        <f t="shared" si="180"/>
        <v>0</v>
      </c>
      <c r="BG226" s="456">
        <f t="shared" si="181"/>
        <v>0</v>
      </c>
      <c r="BH226" s="457">
        <f t="shared" si="148"/>
        <v>0</v>
      </c>
      <c r="BI226" s="407" t="s">
        <v>692</v>
      </c>
      <c r="BM226" s="429">
        <f>IF(BR226&gt;BR222,BM222,IF(BM222&lt;MiscData!$F$1,EOMONTH(BM222,1),EOMONTH(BM222,-11)))</f>
        <v>41820</v>
      </c>
      <c r="BN226" s="416" t="str">
        <f t="shared" si="149"/>
        <v>20140101KUCSR760</v>
      </c>
      <c r="BO226" s="427" t="str">
        <f t="shared" si="150"/>
        <v>20140101CSR10</v>
      </c>
      <c r="BP226" s="407">
        <f>IF(BM226&lt;=MiscData!$B$23,MiscData!$C$23,IF(BM226&lt;=MiscData!$B$24,MiscData!$C$24,MiscData!$C$25))</f>
        <v>20140101</v>
      </c>
      <c r="BQ226" s="407" t="str">
        <f>VLOOKUP(BR226,MiscData!$V$4:$W$42,2,FALSE)</f>
        <v>KUCSR760</v>
      </c>
      <c r="BR226" s="407">
        <f>IF(BR225=MiscData!$V$42,1,BR225+1)</f>
        <v>28</v>
      </c>
      <c r="BS226" s="407" t="str">
        <f>VLOOKUP(BQ226,MiscData!$W$4:$Y$42,3,FALSE)</f>
        <v>CSR10</v>
      </c>
    </row>
    <row r="227" spans="1:72" hidden="1">
      <c r="A227" s="416">
        <f>A223+1</f>
        <v>206</v>
      </c>
      <c r="B227" s="416" t="str">
        <f t="shared" si="145"/>
        <v>Jun 2014</v>
      </c>
      <c r="C227" s="416" t="s">
        <v>1459</v>
      </c>
      <c r="D227" s="417" t="str">
        <f t="shared" si="146"/>
        <v>CSR10</v>
      </c>
      <c r="E227" s="417" t="str">
        <f t="shared" si="147"/>
        <v>KUCSR761</v>
      </c>
      <c r="F227" s="418">
        <f t="shared" si="151"/>
        <v>1</v>
      </c>
      <c r="G227" s="467">
        <v>0</v>
      </c>
      <c r="H227" s="418">
        <v>0</v>
      </c>
      <c r="I227" s="418">
        <v>0</v>
      </c>
      <c r="J227" s="418">
        <v>0</v>
      </c>
      <c r="K227" s="418">
        <f t="shared" si="152"/>
        <v>0</v>
      </c>
      <c r="L227" s="481">
        <v>0</v>
      </c>
      <c r="M227" s="443">
        <f t="shared" si="153"/>
        <v>0</v>
      </c>
      <c r="N227" s="443">
        <f t="shared" si="154"/>
        <v>0</v>
      </c>
      <c r="O227" s="443">
        <f t="shared" si="155"/>
        <v>0</v>
      </c>
      <c r="P227" s="443">
        <f t="shared" si="156"/>
        <v>0</v>
      </c>
      <c r="Q227" s="443">
        <f t="shared" si="157"/>
        <v>0</v>
      </c>
      <c r="R227" s="443">
        <f t="shared" si="158"/>
        <v>0</v>
      </c>
      <c r="S227" s="484">
        <v>0</v>
      </c>
      <c r="T227" s="484">
        <v>0</v>
      </c>
      <c r="U227" s="484">
        <v>0</v>
      </c>
      <c r="V227" s="490">
        <v>0</v>
      </c>
      <c r="W227" s="490">
        <v>0</v>
      </c>
      <c r="X227" s="490">
        <v>0</v>
      </c>
      <c r="Y227" s="419">
        <f t="shared" si="159"/>
        <v>0</v>
      </c>
      <c r="Z227" s="420">
        <f t="shared" si="160"/>
        <v>0</v>
      </c>
      <c r="AA227" s="420">
        <v>0</v>
      </c>
      <c r="AB227" s="420">
        <v>0</v>
      </c>
      <c r="AC227" s="420">
        <f t="shared" si="161"/>
        <v>0</v>
      </c>
      <c r="AD227" s="419">
        <f t="shared" si="162"/>
        <v>-5.5</v>
      </c>
      <c r="AE227" s="419">
        <f t="shared" si="163"/>
        <v>0</v>
      </c>
      <c r="AF227" s="419">
        <f t="shared" si="164"/>
        <v>0</v>
      </c>
      <c r="AG227" s="454">
        <f t="shared" si="165"/>
        <v>0</v>
      </c>
      <c r="AH227" s="454">
        <f t="shared" si="140"/>
        <v>0</v>
      </c>
      <c r="AI227" s="421">
        <f t="shared" si="166"/>
        <v>0</v>
      </c>
      <c r="AJ227" s="421">
        <f t="shared" si="167"/>
        <v>0</v>
      </c>
      <c r="AK227" s="421">
        <f t="shared" si="168"/>
        <v>0</v>
      </c>
      <c r="AL227" s="472">
        <v>0</v>
      </c>
      <c r="AM227" s="422">
        <f t="shared" si="185"/>
        <v>0</v>
      </c>
      <c r="AN227" s="423">
        <f t="shared" si="169"/>
        <v>0</v>
      </c>
      <c r="AO227" s="421">
        <f t="shared" si="170"/>
        <v>0</v>
      </c>
      <c r="AP227" s="472">
        <v>0</v>
      </c>
      <c r="AQ227" s="472">
        <v>0</v>
      </c>
      <c r="AR227" s="472">
        <v>0</v>
      </c>
      <c r="AS227" s="475">
        <v>0</v>
      </c>
      <c r="AT227" s="475">
        <v>0</v>
      </c>
      <c r="AU227" s="475">
        <v>0</v>
      </c>
      <c r="AV227" s="454">
        <f t="shared" si="171"/>
        <v>0</v>
      </c>
      <c r="AW227" s="421">
        <f t="shared" si="172"/>
        <v>0</v>
      </c>
      <c r="AX227" s="455">
        <f t="shared" si="186"/>
        <v>1</v>
      </c>
      <c r="AY227" s="424">
        <f t="shared" si="173"/>
        <v>0</v>
      </c>
      <c r="AZ227" s="424">
        <f t="shared" si="174"/>
        <v>0</v>
      </c>
      <c r="BA227" s="424">
        <f t="shared" si="175"/>
        <v>0</v>
      </c>
      <c r="BB227" s="424">
        <f t="shared" si="176"/>
        <v>0</v>
      </c>
      <c r="BC227" s="424">
        <f t="shared" si="177"/>
        <v>-32950.339999999997</v>
      </c>
      <c r="BD227" s="424">
        <f t="shared" si="178"/>
        <v>-32950.339999999997</v>
      </c>
      <c r="BE227" s="452">
        <f t="shared" si="179"/>
        <v>-32950.339999999997</v>
      </c>
      <c r="BF227" s="448">
        <f t="shared" si="180"/>
        <v>0</v>
      </c>
      <c r="BG227" s="456">
        <f t="shared" si="181"/>
        <v>0</v>
      </c>
      <c r="BH227" s="457">
        <f t="shared" si="148"/>
        <v>0</v>
      </c>
      <c r="BI227" s="407" t="s">
        <v>692</v>
      </c>
      <c r="BM227" s="429">
        <f>IF(BR227&gt;BR223,BM223,IF(BM223&lt;MiscData!$F$1,EOMONTH(BM223,1),EOMONTH(BM223,-11)))</f>
        <v>41820</v>
      </c>
      <c r="BN227" s="416" t="str">
        <f t="shared" si="149"/>
        <v>20140101KUCSR761</v>
      </c>
      <c r="BO227" s="427" t="str">
        <f t="shared" si="150"/>
        <v>20140101CSR10</v>
      </c>
      <c r="BP227" s="407">
        <f>IF(BM227&lt;=MiscData!$B$23,MiscData!$C$23,IF(BM227&lt;=MiscData!$B$24,MiscData!$C$24,MiscData!$C$25))</f>
        <v>20140101</v>
      </c>
      <c r="BQ227" s="407" t="str">
        <f>VLOOKUP(BR227,MiscData!$V$4:$W$42,2,FALSE)</f>
        <v>KUCSR761</v>
      </c>
      <c r="BR227" s="407">
        <f>IF(BR226=MiscData!$V$42,1,BR226+1)</f>
        <v>29</v>
      </c>
      <c r="BS227" s="407" t="str">
        <f>VLOOKUP(BQ227,MiscData!$W$4:$Y$42,3,FALSE)</f>
        <v>CSR10</v>
      </c>
    </row>
    <row r="228" spans="1:72" hidden="1">
      <c r="A228" s="416">
        <f>A224+1</f>
        <v>207</v>
      </c>
      <c r="B228" s="416" t="str">
        <f t="shared" si="145"/>
        <v>Jun 2014</v>
      </c>
      <c r="C228" s="416" t="s">
        <v>1460</v>
      </c>
      <c r="D228" s="417" t="str">
        <f t="shared" si="146"/>
        <v>CSR30</v>
      </c>
      <c r="E228" s="417" t="str">
        <f t="shared" si="147"/>
        <v>KUCSR780</v>
      </c>
      <c r="F228" s="418">
        <f t="shared" si="151"/>
        <v>1</v>
      </c>
      <c r="G228" s="467">
        <v>0</v>
      </c>
      <c r="H228" s="418">
        <v>0</v>
      </c>
      <c r="I228" s="418">
        <v>0</v>
      </c>
      <c r="J228" s="418">
        <v>0</v>
      </c>
      <c r="K228" s="418">
        <f t="shared" si="152"/>
        <v>0</v>
      </c>
      <c r="L228" s="481">
        <v>0</v>
      </c>
      <c r="M228" s="443">
        <f t="shared" si="153"/>
        <v>0</v>
      </c>
      <c r="N228" s="443">
        <f t="shared" si="154"/>
        <v>0</v>
      </c>
      <c r="O228" s="443">
        <f t="shared" si="155"/>
        <v>0</v>
      </c>
      <c r="P228" s="443">
        <f t="shared" si="156"/>
        <v>0</v>
      </c>
      <c r="Q228" s="443">
        <f t="shared" si="157"/>
        <v>0</v>
      </c>
      <c r="R228" s="443">
        <f t="shared" si="158"/>
        <v>0</v>
      </c>
      <c r="S228" s="484">
        <v>0</v>
      </c>
      <c r="T228" s="484">
        <v>0</v>
      </c>
      <c r="U228" s="484">
        <v>0</v>
      </c>
      <c r="V228" s="490">
        <v>0</v>
      </c>
      <c r="W228" s="490">
        <v>0</v>
      </c>
      <c r="X228" s="490">
        <v>0</v>
      </c>
      <c r="Y228" s="419">
        <f t="shared" si="159"/>
        <v>0</v>
      </c>
      <c r="Z228" s="420">
        <f t="shared" si="160"/>
        <v>0</v>
      </c>
      <c r="AA228" s="420">
        <v>0</v>
      </c>
      <c r="AB228" s="420">
        <v>0</v>
      </c>
      <c r="AC228" s="420">
        <f t="shared" si="161"/>
        <v>0</v>
      </c>
      <c r="AD228" s="419">
        <f t="shared" si="162"/>
        <v>-4.3</v>
      </c>
      <c r="AE228" s="419">
        <f t="shared" si="163"/>
        <v>0</v>
      </c>
      <c r="AF228" s="419">
        <f t="shared" si="164"/>
        <v>0</v>
      </c>
      <c r="AG228" s="454">
        <f t="shared" si="165"/>
        <v>0</v>
      </c>
      <c r="AH228" s="454">
        <f t="shared" ref="AH228:AH291" si="187">ROUND(IF(H228=0,(K228+L228)*Z228,SUMPRODUCT(H228:J228,Z228:AB228)),2)</f>
        <v>0</v>
      </c>
      <c r="AI228" s="421">
        <f t="shared" si="166"/>
        <v>0</v>
      </c>
      <c r="AJ228" s="421">
        <f t="shared" si="167"/>
        <v>0</v>
      </c>
      <c r="AK228" s="421">
        <f t="shared" si="168"/>
        <v>0</v>
      </c>
      <c r="AL228" s="472">
        <v>0</v>
      </c>
      <c r="AM228" s="422">
        <f t="shared" si="185"/>
        <v>0</v>
      </c>
      <c r="AN228" s="423">
        <f t="shared" si="169"/>
        <v>0</v>
      </c>
      <c r="AO228" s="421">
        <f t="shared" si="170"/>
        <v>0</v>
      </c>
      <c r="AP228" s="472">
        <v>0</v>
      </c>
      <c r="AQ228" s="472">
        <v>0</v>
      </c>
      <c r="AR228" s="472">
        <v>0</v>
      </c>
      <c r="AS228" s="475">
        <v>0</v>
      </c>
      <c r="AT228" s="475">
        <v>0</v>
      </c>
      <c r="AU228" s="475">
        <v>0</v>
      </c>
      <c r="AV228" s="454">
        <f t="shared" si="171"/>
        <v>0</v>
      </c>
      <c r="AW228" s="421">
        <f t="shared" si="172"/>
        <v>0</v>
      </c>
      <c r="AX228" s="455">
        <f t="shared" si="186"/>
        <v>1</v>
      </c>
      <c r="AY228" s="424">
        <f t="shared" si="173"/>
        <v>0</v>
      </c>
      <c r="AZ228" s="424">
        <f t="shared" si="174"/>
        <v>0</v>
      </c>
      <c r="BA228" s="424">
        <f t="shared" si="175"/>
        <v>0</v>
      </c>
      <c r="BB228" s="424">
        <f t="shared" si="176"/>
        <v>0</v>
      </c>
      <c r="BC228" s="424">
        <f t="shared" si="177"/>
        <v>-27298.85</v>
      </c>
      <c r="BD228" s="424">
        <f t="shared" si="178"/>
        <v>-27298.85</v>
      </c>
      <c r="BE228" s="452">
        <f t="shared" si="179"/>
        <v>-27298.85</v>
      </c>
      <c r="BF228" s="448">
        <f t="shared" si="180"/>
        <v>0</v>
      </c>
      <c r="BG228" s="456">
        <f t="shared" si="181"/>
        <v>0</v>
      </c>
      <c r="BH228" s="457">
        <f t="shared" si="148"/>
        <v>0</v>
      </c>
      <c r="BI228" s="407" t="s">
        <v>692</v>
      </c>
      <c r="BM228" s="429">
        <f>IF(BR228&gt;BR224,BM224,IF(BM224&lt;MiscData!$F$1,EOMONTH(BM224,1),EOMONTH(BM224,-11)))</f>
        <v>41820</v>
      </c>
      <c r="BN228" s="416" t="str">
        <f t="shared" si="149"/>
        <v>20140101KUCSR780</v>
      </c>
      <c r="BO228" s="427" t="str">
        <f t="shared" si="150"/>
        <v>20140101CSR30</v>
      </c>
      <c r="BP228" s="407">
        <f>IF(BM228&lt;=MiscData!$B$23,MiscData!$C$23,IF(BM228&lt;=MiscData!$B$24,MiscData!$C$24,MiscData!$C$25))</f>
        <v>20140101</v>
      </c>
      <c r="BQ228" s="407" t="str">
        <f>VLOOKUP(BR228,MiscData!$V$4:$W$42,2,FALSE)</f>
        <v>KUCSR780</v>
      </c>
      <c r="BR228" s="407">
        <f>IF(BR227=MiscData!$V$42,1,BR227+1)</f>
        <v>30</v>
      </c>
      <c r="BS228" s="407" t="str">
        <f>VLOOKUP(BQ228,MiscData!$W$4:$Y$42,3,FALSE)</f>
        <v>CSR30</v>
      </c>
    </row>
    <row r="229" spans="1:72" hidden="1">
      <c r="A229" s="416">
        <f>A225+1</f>
        <v>208</v>
      </c>
      <c r="B229" s="416" t="str">
        <f t="shared" si="145"/>
        <v>Jun 2014</v>
      </c>
      <c r="C229" s="416" t="s">
        <v>1460</v>
      </c>
      <c r="D229" s="417" t="str">
        <f t="shared" si="146"/>
        <v>CSR30</v>
      </c>
      <c r="E229" s="417" t="str">
        <f t="shared" si="147"/>
        <v>KUCSR781</v>
      </c>
      <c r="F229" s="418">
        <f t="shared" si="151"/>
        <v>1</v>
      </c>
      <c r="G229" s="467">
        <v>0</v>
      </c>
      <c r="H229" s="418">
        <v>0</v>
      </c>
      <c r="I229" s="418">
        <v>0</v>
      </c>
      <c r="J229" s="418">
        <v>0</v>
      </c>
      <c r="K229" s="418">
        <f t="shared" si="152"/>
        <v>0</v>
      </c>
      <c r="L229" s="481">
        <v>0</v>
      </c>
      <c r="M229" s="443">
        <f t="shared" si="153"/>
        <v>0</v>
      </c>
      <c r="N229" s="443">
        <f t="shared" si="154"/>
        <v>0</v>
      </c>
      <c r="O229" s="443">
        <f t="shared" si="155"/>
        <v>0</v>
      </c>
      <c r="P229" s="443">
        <f t="shared" si="156"/>
        <v>0</v>
      </c>
      <c r="Q229" s="443">
        <f t="shared" si="157"/>
        <v>0</v>
      </c>
      <c r="R229" s="443">
        <f t="shared" si="158"/>
        <v>0</v>
      </c>
      <c r="S229" s="484">
        <v>0</v>
      </c>
      <c r="T229" s="484">
        <v>0</v>
      </c>
      <c r="U229" s="484">
        <v>0</v>
      </c>
      <c r="V229" s="490">
        <v>0</v>
      </c>
      <c r="W229" s="490">
        <v>0</v>
      </c>
      <c r="X229" s="490">
        <v>0</v>
      </c>
      <c r="Y229" s="419">
        <f t="shared" si="159"/>
        <v>0</v>
      </c>
      <c r="Z229" s="420">
        <f t="shared" si="160"/>
        <v>0</v>
      </c>
      <c r="AA229" s="420">
        <v>0</v>
      </c>
      <c r="AB229" s="420">
        <v>0</v>
      </c>
      <c r="AC229" s="420">
        <f t="shared" si="161"/>
        <v>0</v>
      </c>
      <c r="AD229" s="419">
        <f t="shared" si="162"/>
        <v>-4.4000000000000004</v>
      </c>
      <c r="AE229" s="419">
        <f t="shared" si="163"/>
        <v>0</v>
      </c>
      <c r="AF229" s="419">
        <f t="shared" si="164"/>
        <v>0</v>
      </c>
      <c r="AG229" s="454">
        <f t="shared" si="165"/>
        <v>0</v>
      </c>
      <c r="AH229" s="454">
        <f t="shared" si="187"/>
        <v>0</v>
      </c>
      <c r="AI229" s="421">
        <f t="shared" si="166"/>
        <v>0</v>
      </c>
      <c r="AJ229" s="421">
        <f t="shared" si="167"/>
        <v>0</v>
      </c>
      <c r="AK229" s="421">
        <f t="shared" si="168"/>
        <v>0</v>
      </c>
      <c r="AL229" s="472">
        <v>0</v>
      </c>
      <c r="AM229" s="422">
        <f t="shared" si="185"/>
        <v>0</v>
      </c>
      <c r="AN229" s="423">
        <f t="shared" si="169"/>
        <v>0</v>
      </c>
      <c r="AO229" s="421">
        <f t="shared" si="170"/>
        <v>0</v>
      </c>
      <c r="AP229" s="472">
        <v>0</v>
      </c>
      <c r="AQ229" s="472">
        <v>0</v>
      </c>
      <c r="AR229" s="472">
        <v>0</v>
      </c>
      <c r="AS229" s="475">
        <v>0</v>
      </c>
      <c r="AT229" s="475">
        <v>0</v>
      </c>
      <c r="AU229" s="475">
        <v>0</v>
      </c>
      <c r="AV229" s="454">
        <f t="shared" si="171"/>
        <v>0</v>
      </c>
      <c r="AW229" s="421">
        <f t="shared" si="172"/>
        <v>0</v>
      </c>
      <c r="AX229" s="455">
        <f t="shared" si="186"/>
        <v>1</v>
      </c>
      <c r="AY229" s="424">
        <f t="shared" si="173"/>
        <v>0</v>
      </c>
      <c r="AZ229" s="424">
        <f t="shared" si="174"/>
        <v>0</v>
      </c>
      <c r="BA229" s="424">
        <f t="shared" si="175"/>
        <v>0</v>
      </c>
      <c r="BB229" s="424">
        <f t="shared" si="176"/>
        <v>0</v>
      </c>
      <c r="BC229" s="424">
        <f t="shared" si="177"/>
        <v>-25058.75</v>
      </c>
      <c r="BD229" s="424">
        <f t="shared" si="178"/>
        <v>-25058.75</v>
      </c>
      <c r="BE229" s="452">
        <f t="shared" si="179"/>
        <v>-25058.75</v>
      </c>
      <c r="BF229" s="448">
        <f t="shared" si="180"/>
        <v>0</v>
      </c>
      <c r="BG229" s="456">
        <f t="shared" si="181"/>
        <v>0</v>
      </c>
      <c r="BH229" s="457">
        <f t="shared" si="148"/>
        <v>0</v>
      </c>
      <c r="BI229" s="407" t="s">
        <v>692</v>
      </c>
      <c r="BM229" s="429">
        <f>IF(BR229&gt;BR225,BM225,IF(BM225&lt;MiscData!$F$1,EOMONTH(BM225,1),EOMONTH(BM225,-11)))</f>
        <v>41820</v>
      </c>
      <c r="BN229" s="416" t="str">
        <f t="shared" si="149"/>
        <v>20140101KUCSR781</v>
      </c>
      <c r="BO229" s="427" t="str">
        <f t="shared" si="150"/>
        <v>20140101CSR30</v>
      </c>
      <c r="BP229" s="407">
        <f>IF(BM229&lt;=MiscData!$B$23,MiscData!$C$23,IF(BM229&lt;=MiscData!$B$24,MiscData!$C$24,MiscData!$C$25))</f>
        <v>20140101</v>
      </c>
      <c r="BQ229" s="407" t="str">
        <f>VLOOKUP(BR229,MiscData!$V$4:$W$42,2,FALSE)</f>
        <v>KUCSR781</v>
      </c>
      <c r="BR229" s="407">
        <f>IF(BR228=MiscData!$V$42,1,BR228+1)</f>
        <v>31</v>
      </c>
      <c r="BS229" s="407" t="str">
        <f>VLOOKUP(BQ229,MiscData!$W$4:$Y$42,3,FALSE)</f>
        <v>CSR30</v>
      </c>
    </row>
    <row r="230" spans="1:72" hidden="1">
      <c r="A230" s="416">
        <f t="shared" ref="A230:A265" si="188">A229+1</f>
        <v>209</v>
      </c>
      <c r="B230" s="416" t="str">
        <f t="shared" si="145"/>
        <v>Jun 2014</v>
      </c>
      <c r="C230" s="416" t="s">
        <v>1460</v>
      </c>
      <c r="D230" s="417" t="str">
        <f t="shared" si="146"/>
        <v>CSR30</v>
      </c>
      <c r="E230" s="417" t="str">
        <f t="shared" si="147"/>
        <v>KUCSR783</v>
      </c>
      <c r="F230" s="418">
        <f t="shared" si="151"/>
        <v>1</v>
      </c>
      <c r="G230" s="467">
        <v>0</v>
      </c>
      <c r="H230" s="418">
        <v>0</v>
      </c>
      <c r="I230" s="418">
        <v>0</v>
      </c>
      <c r="J230" s="418">
        <v>0</v>
      </c>
      <c r="K230" s="418">
        <f t="shared" si="152"/>
        <v>0</v>
      </c>
      <c r="L230" s="481">
        <v>0</v>
      </c>
      <c r="M230" s="443">
        <f t="shared" si="153"/>
        <v>0</v>
      </c>
      <c r="N230" s="443">
        <f t="shared" si="154"/>
        <v>0</v>
      </c>
      <c r="O230" s="443">
        <f t="shared" si="155"/>
        <v>0</v>
      </c>
      <c r="P230" s="443">
        <f t="shared" si="156"/>
        <v>0</v>
      </c>
      <c r="Q230" s="443">
        <f t="shared" si="157"/>
        <v>0</v>
      </c>
      <c r="R230" s="443">
        <f t="shared" si="158"/>
        <v>0</v>
      </c>
      <c r="S230" s="484">
        <v>0</v>
      </c>
      <c r="T230" s="484">
        <v>0</v>
      </c>
      <c r="U230" s="484">
        <v>0</v>
      </c>
      <c r="V230" s="490">
        <v>0</v>
      </c>
      <c r="W230" s="490">
        <v>0</v>
      </c>
      <c r="X230" s="490">
        <v>0</v>
      </c>
      <c r="Y230" s="419">
        <f t="shared" si="159"/>
        <v>0</v>
      </c>
      <c r="Z230" s="420">
        <f t="shared" si="160"/>
        <v>0</v>
      </c>
      <c r="AA230" s="420">
        <v>0</v>
      </c>
      <c r="AB230" s="420">
        <v>0</v>
      </c>
      <c r="AC230" s="420">
        <f t="shared" si="161"/>
        <v>0</v>
      </c>
      <c r="AD230" s="419">
        <f t="shared" si="162"/>
        <v>-4.4000000000000004</v>
      </c>
      <c r="AE230" s="419">
        <f t="shared" si="163"/>
        <v>0</v>
      </c>
      <c r="AF230" s="419">
        <f t="shared" si="164"/>
        <v>0</v>
      </c>
      <c r="AG230" s="454">
        <f t="shared" si="165"/>
        <v>0</v>
      </c>
      <c r="AH230" s="454">
        <f t="shared" si="187"/>
        <v>0</v>
      </c>
      <c r="AI230" s="421">
        <f t="shared" si="166"/>
        <v>0</v>
      </c>
      <c r="AJ230" s="421">
        <f t="shared" si="167"/>
        <v>0</v>
      </c>
      <c r="AK230" s="421">
        <f t="shared" si="168"/>
        <v>0</v>
      </c>
      <c r="AL230" s="472">
        <v>0</v>
      </c>
      <c r="AM230" s="422">
        <f t="shared" si="185"/>
        <v>0</v>
      </c>
      <c r="AN230" s="423">
        <f t="shared" si="169"/>
        <v>0</v>
      </c>
      <c r="AO230" s="421">
        <f t="shared" si="170"/>
        <v>0</v>
      </c>
      <c r="AP230" s="472">
        <v>0</v>
      </c>
      <c r="AQ230" s="472">
        <v>0</v>
      </c>
      <c r="AR230" s="472">
        <v>0</v>
      </c>
      <c r="AS230" s="475">
        <v>0</v>
      </c>
      <c r="AT230" s="475">
        <v>0</v>
      </c>
      <c r="AU230" s="475">
        <v>0</v>
      </c>
      <c r="AV230" s="454">
        <f t="shared" si="171"/>
        <v>0</v>
      </c>
      <c r="AW230" s="421">
        <f t="shared" si="172"/>
        <v>0</v>
      </c>
      <c r="AX230" s="455">
        <f t="shared" si="186"/>
        <v>1</v>
      </c>
      <c r="AY230" s="424">
        <f t="shared" si="173"/>
        <v>0</v>
      </c>
      <c r="AZ230" s="424">
        <f t="shared" si="174"/>
        <v>0</v>
      </c>
      <c r="BA230" s="424">
        <f t="shared" si="175"/>
        <v>0</v>
      </c>
      <c r="BB230" s="424">
        <f t="shared" si="176"/>
        <v>0</v>
      </c>
      <c r="BC230" s="424">
        <f t="shared" si="177"/>
        <v>-8800</v>
      </c>
      <c r="BD230" s="424">
        <f t="shared" si="178"/>
        <v>-8800</v>
      </c>
      <c r="BE230" s="452">
        <f t="shared" si="179"/>
        <v>-8800</v>
      </c>
      <c r="BF230" s="448">
        <f t="shared" si="180"/>
        <v>0</v>
      </c>
      <c r="BG230" s="456">
        <f t="shared" si="181"/>
        <v>0</v>
      </c>
      <c r="BH230" s="457">
        <f t="shared" si="148"/>
        <v>0</v>
      </c>
      <c r="BI230" s="407" t="s">
        <v>692</v>
      </c>
      <c r="BM230" s="429">
        <f>IF(BR230&gt;BR229,BM229,IF(BM229&lt;MiscData!$F$1,EOMONTH(BM229,1),EOMONTH(BM229,-11)))</f>
        <v>41820</v>
      </c>
      <c r="BN230" s="416" t="str">
        <f t="shared" si="149"/>
        <v>20140101KUCSR783</v>
      </c>
      <c r="BO230" s="427" t="str">
        <f t="shared" si="150"/>
        <v>20140101CSR30</v>
      </c>
      <c r="BP230" s="407">
        <f>IF(BM230&lt;=MiscData!$B$23,MiscData!$C$23,IF(BM230&lt;=MiscData!$B$24,MiscData!$C$24,MiscData!$C$25))</f>
        <v>20140101</v>
      </c>
      <c r="BQ230" s="407" t="str">
        <f>VLOOKUP(BR230,MiscData!$V$4:$W$42,2,FALSE)</f>
        <v>KUCSR783</v>
      </c>
      <c r="BR230" s="407">
        <f>IF(BR229=MiscData!$V$42,1,BR229+1)</f>
        <v>32</v>
      </c>
      <c r="BS230" s="407" t="str">
        <f>VLOOKUP(BQ230,MiscData!$W$4:$Y$42,3,FALSE)</f>
        <v>CSR30</v>
      </c>
    </row>
    <row r="231" spans="1:72" hidden="1">
      <c r="A231" s="416">
        <f t="shared" si="188"/>
        <v>210</v>
      </c>
      <c r="B231" s="416" t="str">
        <f t="shared" si="145"/>
        <v>Jun 2014</v>
      </c>
      <c r="C231" s="837" t="s">
        <v>675</v>
      </c>
      <c r="D231" s="417" t="str">
        <f t="shared" si="146"/>
        <v>FLST</v>
      </c>
      <c r="E231" s="417" t="str">
        <f t="shared" si="147"/>
        <v>KUINE730</v>
      </c>
      <c r="F231" s="418">
        <f t="shared" si="151"/>
        <v>1</v>
      </c>
      <c r="G231" s="467">
        <v>0</v>
      </c>
      <c r="H231" s="418">
        <v>0</v>
      </c>
      <c r="I231" s="418">
        <v>0</v>
      </c>
      <c r="J231" s="418">
        <v>0</v>
      </c>
      <c r="K231" s="418">
        <f t="shared" si="152"/>
        <v>48168000</v>
      </c>
      <c r="L231" s="481">
        <v>0</v>
      </c>
      <c r="M231" s="443">
        <f t="shared" si="153"/>
        <v>188697.8</v>
      </c>
      <c r="N231" s="443">
        <f t="shared" si="154"/>
        <v>188697.8</v>
      </c>
      <c r="O231" s="443">
        <f t="shared" si="155"/>
        <v>154867.5</v>
      </c>
      <c r="P231" s="443">
        <f t="shared" si="156"/>
        <v>188697.8</v>
      </c>
      <c r="Q231" s="443">
        <f t="shared" si="157"/>
        <v>188697.8</v>
      </c>
      <c r="R231" s="443">
        <f t="shared" si="158"/>
        <v>154867.5</v>
      </c>
      <c r="S231" s="484">
        <v>0</v>
      </c>
      <c r="T231" s="484">
        <v>0</v>
      </c>
      <c r="U231" s="484">
        <v>0</v>
      </c>
      <c r="V231" s="490">
        <v>0</v>
      </c>
      <c r="W231" s="490">
        <v>0</v>
      </c>
      <c r="X231" s="490">
        <v>0</v>
      </c>
      <c r="Y231" s="419">
        <f t="shared" si="159"/>
        <v>750</v>
      </c>
      <c r="Z231" s="420">
        <f t="shared" si="160"/>
        <v>3.261E-2</v>
      </c>
      <c r="AA231" s="420">
        <v>0</v>
      </c>
      <c r="AB231" s="420">
        <v>0</v>
      </c>
      <c r="AC231" s="420">
        <f t="shared" si="161"/>
        <v>2.8920000000000001E-2</v>
      </c>
      <c r="AD231" s="419">
        <f t="shared" si="162"/>
        <v>1.05</v>
      </c>
      <c r="AE231" s="419">
        <f t="shared" si="163"/>
        <v>1.52</v>
      </c>
      <c r="AF231" s="419">
        <f t="shared" si="164"/>
        <v>2.41</v>
      </c>
      <c r="AG231" s="454">
        <f t="shared" si="165"/>
        <v>750</v>
      </c>
      <c r="AH231" s="454">
        <f t="shared" si="187"/>
        <v>1570758.48</v>
      </c>
      <c r="AI231" s="421">
        <f t="shared" si="166"/>
        <v>198132.69</v>
      </c>
      <c r="AJ231" s="421">
        <f t="shared" si="167"/>
        <v>286820.65999999997</v>
      </c>
      <c r="AK231" s="421">
        <f t="shared" si="168"/>
        <v>373230.68</v>
      </c>
      <c r="AL231" s="472">
        <v>0</v>
      </c>
      <c r="AM231" s="422">
        <f t="shared" si="185"/>
        <v>0</v>
      </c>
      <c r="AN231" s="423">
        <f t="shared" si="169"/>
        <v>0</v>
      </c>
      <c r="AO231" s="421">
        <f t="shared" si="170"/>
        <v>858184.03</v>
      </c>
      <c r="AP231" s="472">
        <v>0</v>
      </c>
      <c r="AQ231" s="472">
        <v>0</v>
      </c>
      <c r="AR231" s="472">
        <v>0</v>
      </c>
      <c r="AS231" s="475">
        <v>0</v>
      </c>
      <c r="AT231" s="475">
        <v>0</v>
      </c>
      <c r="AU231" s="475">
        <v>0</v>
      </c>
      <c r="AV231" s="454">
        <f t="shared" si="171"/>
        <v>2429692.5099999998</v>
      </c>
      <c r="AW231" s="421">
        <f t="shared" si="172"/>
        <v>2429692.5100000002</v>
      </c>
      <c r="AX231" s="455">
        <f t="shared" si="186"/>
        <v>1.0000000000000002</v>
      </c>
      <c r="AY231" s="424">
        <f t="shared" si="173"/>
        <v>239394.96</v>
      </c>
      <c r="AZ231" s="424">
        <f t="shared" si="174"/>
        <v>0</v>
      </c>
      <c r="BA231" s="424">
        <f t="shared" si="175"/>
        <v>53803.38</v>
      </c>
      <c r="BB231" s="424">
        <f t="shared" si="176"/>
        <v>0</v>
      </c>
      <c r="BC231" s="424">
        <f t="shared" si="177"/>
        <v>0</v>
      </c>
      <c r="BD231" s="424">
        <f t="shared" si="178"/>
        <v>2722890.85</v>
      </c>
      <c r="BE231" s="452">
        <f t="shared" si="179"/>
        <v>2722890.8499999996</v>
      </c>
      <c r="BF231" s="448">
        <f t="shared" si="180"/>
        <v>0</v>
      </c>
      <c r="BG231" s="456">
        <f t="shared" si="181"/>
        <v>1393018.56</v>
      </c>
      <c r="BH231" s="457">
        <f t="shared" si="148"/>
        <v>177739.91999999993</v>
      </c>
      <c r="BI231" s="407" t="s">
        <v>692</v>
      </c>
      <c r="BM231" s="429">
        <f>IF(BR231&gt;BR230,BM230,IF(BM230&lt;MiscData!$F$1,EOMONTH(BM230,1),EOMONTH(BM230,-11)))</f>
        <v>41820</v>
      </c>
      <c r="BN231" s="416" t="str">
        <f t="shared" si="149"/>
        <v>20140101KUINE730</v>
      </c>
      <c r="BO231" s="427" t="str">
        <f t="shared" si="150"/>
        <v>20140101FLST</v>
      </c>
      <c r="BP231" s="407">
        <f>IF(BM231&lt;=MiscData!$B$23,MiscData!$C$23,IF(BM231&lt;=MiscData!$B$24,MiscData!$C$24,MiscData!$C$25))</f>
        <v>20140101</v>
      </c>
      <c r="BQ231" s="407" t="str">
        <f>VLOOKUP(BR231,MiscData!$V$4:$W$42,2,FALSE)</f>
        <v>KUINE730</v>
      </c>
      <c r="BR231" s="407">
        <f>IF(BR230=MiscData!$V$42,1,BR230+1)</f>
        <v>33</v>
      </c>
      <c r="BS231" s="407" t="str">
        <f>VLOOKUP(BQ231,MiscData!$W$4:$Y$42,3,FALSE)</f>
        <v>FLST</v>
      </c>
    </row>
    <row r="232" spans="1:72" hidden="1">
      <c r="A232" s="416">
        <f t="shared" si="188"/>
        <v>211</v>
      </c>
      <c r="B232" s="416" t="str">
        <f t="shared" si="145"/>
        <v>Jun 2014</v>
      </c>
      <c r="C232" s="416" t="s">
        <v>15</v>
      </c>
      <c r="D232" s="417" t="str">
        <f t="shared" si="146"/>
        <v>RS</v>
      </c>
      <c r="E232" s="417" t="str">
        <f t="shared" si="147"/>
        <v>KURSE010</v>
      </c>
      <c r="F232" s="418">
        <f t="shared" si="151"/>
        <v>229309</v>
      </c>
      <c r="G232" s="467">
        <v>414</v>
      </c>
      <c r="H232" s="418">
        <v>0</v>
      </c>
      <c r="I232" s="418">
        <v>0</v>
      </c>
      <c r="J232" s="418">
        <v>0</v>
      </c>
      <c r="K232" s="418">
        <f t="shared" si="152"/>
        <v>234384000</v>
      </c>
      <c r="L232" s="481">
        <v>0</v>
      </c>
      <c r="M232" s="443">
        <f t="shared" si="153"/>
        <v>0</v>
      </c>
      <c r="N232" s="443">
        <f t="shared" si="154"/>
        <v>0</v>
      </c>
      <c r="O232" s="443">
        <f t="shared" si="155"/>
        <v>0</v>
      </c>
      <c r="P232" s="443">
        <f t="shared" si="156"/>
        <v>0</v>
      </c>
      <c r="Q232" s="443">
        <f t="shared" si="157"/>
        <v>0</v>
      </c>
      <c r="R232" s="443">
        <f t="shared" si="158"/>
        <v>0</v>
      </c>
      <c r="S232" s="484">
        <v>0</v>
      </c>
      <c r="T232" s="484">
        <v>0</v>
      </c>
      <c r="U232" s="484">
        <v>0</v>
      </c>
      <c r="V232" s="490">
        <v>0</v>
      </c>
      <c r="W232" s="490">
        <v>0</v>
      </c>
      <c r="X232" s="490">
        <v>0</v>
      </c>
      <c r="Y232" s="419">
        <f t="shared" si="159"/>
        <v>10.75</v>
      </c>
      <c r="Z232" s="420">
        <f t="shared" si="160"/>
        <v>7.7439999999999995E-2</v>
      </c>
      <c r="AA232" s="420">
        <v>0</v>
      </c>
      <c r="AB232" s="420">
        <v>0</v>
      </c>
      <c r="AC232" s="420">
        <f t="shared" si="161"/>
        <v>2.8920000000000001E-2</v>
      </c>
      <c r="AD232" s="419">
        <f t="shared" si="162"/>
        <v>0</v>
      </c>
      <c r="AE232" s="419">
        <f t="shared" si="163"/>
        <v>0</v>
      </c>
      <c r="AF232" s="419">
        <f t="shared" si="164"/>
        <v>0</v>
      </c>
      <c r="AG232" s="454">
        <f t="shared" si="165"/>
        <v>2469522.25</v>
      </c>
      <c r="AH232" s="454">
        <f t="shared" si="187"/>
        <v>18150696.960000001</v>
      </c>
      <c r="AI232" s="421">
        <f t="shared" si="166"/>
        <v>0</v>
      </c>
      <c r="AJ232" s="421">
        <f t="shared" si="167"/>
        <v>0</v>
      </c>
      <c r="AK232" s="421">
        <f t="shared" si="168"/>
        <v>0</v>
      </c>
      <c r="AL232" s="472">
        <v>0</v>
      </c>
      <c r="AM232" s="422">
        <f t="shared" si="185"/>
        <v>0</v>
      </c>
      <c r="AN232" s="423">
        <f t="shared" si="169"/>
        <v>0</v>
      </c>
      <c r="AO232" s="421">
        <f t="shared" si="170"/>
        <v>0</v>
      </c>
      <c r="AP232" s="472">
        <v>-17588.259999999998</v>
      </c>
      <c r="AQ232" s="472">
        <v>-6.07</v>
      </c>
      <c r="AR232" s="472">
        <v>0</v>
      </c>
      <c r="AS232" s="475">
        <v>0</v>
      </c>
      <c r="AT232" s="475">
        <v>0</v>
      </c>
      <c r="AU232" s="475">
        <v>0</v>
      </c>
      <c r="AV232" s="454">
        <f t="shared" si="171"/>
        <v>20602624.879999999</v>
      </c>
      <c r="AW232" s="421">
        <f t="shared" si="172"/>
        <v>20602624.879999999</v>
      </c>
      <c r="AX232" s="455">
        <f t="shared" si="186"/>
        <v>1</v>
      </c>
      <c r="AY232" s="424">
        <f t="shared" si="173"/>
        <v>1164610.43</v>
      </c>
      <c r="AZ232" s="424">
        <f t="shared" si="174"/>
        <v>923469.63</v>
      </c>
      <c r="BA232" s="424">
        <f t="shared" si="175"/>
        <v>678310.37</v>
      </c>
      <c r="BB232" s="424">
        <f t="shared" si="176"/>
        <v>0</v>
      </c>
      <c r="BC232" s="424">
        <f t="shared" si="177"/>
        <v>0</v>
      </c>
      <c r="BD232" s="424">
        <f t="shared" si="178"/>
        <v>23369015.309999999</v>
      </c>
      <c r="BE232" s="452">
        <f t="shared" si="179"/>
        <v>23369015.309999999</v>
      </c>
      <c r="BF232" s="448">
        <f t="shared" si="180"/>
        <v>0</v>
      </c>
      <c r="BG232" s="456">
        <f t="shared" si="181"/>
        <v>6778385.2800000003</v>
      </c>
      <c r="BH232" s="457">
        <f t="shared" si="148"/>
        <v>11372305.609999999</v>
      </c>
      <c r="BI232" s="407" t="s">
        <v>692</v>
      </c>
      <c r="BM232" s="429">
        <f>IF(BR232&gt;BR231,BM231,IF(BM231&lt;MiscData!$F$1,EOMONTH(BM231,1),EOMONTH(BM231,-11)))</f>
        <v>41820</v>
      </c>
      <c r="BN232" s="416" t="str">
        <f t="shared" si="149"/>
        <v>20140101KURSE010</v>
      </c>
      <c r="BO232" s="427" t="str">
        <f t="shared" si="150"/>
        <v>20140101RS</v>
      </c>
      <c r="BP232" s="407">
        <f>IF(BM232&lt;=MiscData!$B$23,MiscData!$C$23,IF(BM232&lt;=MiscData!$B$24,MiscData!$C$24,MiscData!$C$25))</f>
        <v>20140101</v>
      </c>
      <c r="BQ232" s="407" t="str">
        <f>VLOOKUP(BR232,MiscData!$V$4:$W$42,2,FALSE)</f>
        <v>KURSE010</v>
      </c>
      <c r="BR232" s="407">
        <f>IF(BR231=MiscData!$V$42,1,BR231+1)</f>
        <v>34</v>
      </c>
      <c r="BS232" s="407" t="str">
        <f>VLOOKUP(BQ232,MiscData!$W$4:$Y$42,3,FALSE)</f>
        <v>RS</v>
      </c>
    </row>
    <row r="233" spans="1:72" hidden="1">
      <c r="A233" s="416">
        <f t="shared" si="188"/>
        <v>212</v>
      </c>
      <c r="B233" s="416" t="str">
        <f t="shared" si="145"/>
        <v>Jun 2014</v>
      </c>
      <c r="C233" s="416" t="s">
        <v>15</v>
      </c>
      <c r="D233" s="417" t="str">
        <f t="shared" si="146"/>
        <v>RS</v>
      </c>
      <c r="E233" s="417" t="str">
        <f t="shared" si="147"/>
        <v>KURSE020</v>
      </c>
      <c r="F233" s="418">
        <f t="shared" si="151"/>
        <v>195153</v>
      </c>
      <c r="G233" s="467">
        <v>311</v>
      </c>
      <c r="H233" s="418">
        <v>0</v>
      </c>
      <c r="I233" s="418">
        <v>0</v>
      </c>
      <c r="J233" s="418">
        <v>0</v>
      </c>
      <c r="K233" s="418">
        <f t="shared" si="152"/>
        <v>204298851</v>
      </c>
      <c r="L233" s="481">
        <v>0</v>
      </c>
      <c r="M233" s="443">
        <f t="shared" si="153"/>
        <v>0</v>
      </c>
      <c r="N233" s="443">
        <f t="shared" si="154"/>
        <v>0</v>
      </c>
      <c r="O233" s="443">
        <f t="shared" si="155"/>
        <v>0</v>
      </c>
      <c r="P233" s="443">
        <f t="shared" si="156"/>
        <v>0</v>
      </c>
      <c r="Q233" s="443">
        <f t="shared" si="157"/>
        <v>0</v>
      </c>
      <c r="R233" s="443">
        <f t="shared" si="158"/>
        <v>0</v>
      </c>
      <c r="S233" s="484">
        <v>0</v>
      </c>
      <c r="T233" s="484">
        <v>0</v>
      </c>
      <c r="U233" s="484">
        <v>0</v>
      </c>
      <c r="V233" s="490">
        <v>0</v>
      </c>
      <c r="W233" s="490">
        <v>0</v>
      </c>
      <c r="X233" s="490">
        <v>0</v>
      </c>
      <c r="Y233" s="419">
        <f t="shared" si="159"/>
        <v>10.75</v>
      </c>
      <c r="Z233" s="420">
        <f t="shared" si="160"/>
        <v>7.7439999999999995E-2</v>
      </c>
      <c r="AA233" s="420">
        <v>0</v>
      </c>
      <c r="AB233" s="420">
        <v>0</v>
      </c>
      <c r="AC233" s="420">
        <f t="shared" si="161"/>
        <v>2.8920000000000001E-2</v>
      </c>
      <c r="AD233" s="419">
        <f t="shared" si="162"/>
        <v>0</v>
      </c>
      <c r="AE233" s="419">
        <f t="shared" si="163"/>
        <v>0</v>
      </c>
      <c r="AF233" s="419">
        <f t="shared" si="164"/>
        <v>0</v>
      </c>
      <c r="AG233" s="454">
        <f t="shared" si="165"/>
        <v>2101238</v>
      </c>
      <c r="AH233" s="454">
        <f t="shared" si="187"/>
        <v>15820903.02</v>
      </c>
      <c r="AI233" s="421">
        <f t="shared" si="166"/>
        <v>0</v>
      </c>
      <c r="AJ233" s="421">
        <f t="shared" si="167"/>
        <v>0</v>
      </c>
      <c r="AK233" s="421">
        <f t="shared" si="168"/>
        <v>0</v>
      </c>
      <c r="AL233" s="472">
        <v>0</v>
      </c>
      <c r="AM233" s="422">
        <f t="shared" si="185"/>
        <v>0</v>
      </c>
      <c r="AN233" s="423">
        <f t="shared" si="169"/>
        <v>0</v>
      </c>
      <c r="AO233" s="421">
        <f t="shared" si="170"/>
        <v>0</v>
      </c>
      <c r="AP233" s="472">
        <v>-21123.69</v>
      </c>
      <c r="AQ233" s="472">
        <v>-0.24</v>
      </c>
      <c r="AR233" s="472">
        <v>0</v>
      </c>
      <c r="AS233" s="475">
        <v>0</v>
      </c>
      <c r="AT233" s="475">
        <v>0</v>
      </c>
      <c r="AU233" s="475">
        <v>0</v>
      </c>
      <c r="AV233" s="454">
        <f t="shared" si="171"/>
        <v>17901017.09</v>
      </c>
      <c r="AW233" s="421">
        <f t="shared" si="172"/>
        <v>17901017.09</v>
      </c>
      <c r="AX233" s="455">
        <f t="shared" si="186"/>
        <v>1</v>
      </c>
      <c r="AY233" s="424">
        <f t="shared" si="173"/>
        <v>1014887.3</v>
      </c>
      <c r="AZ233" s="424">
        <f t="shared" si="174"/>
        <v>804939</v>
      </c>
      <c r="BA233" s="424">
        <f t="shared" si="175"/>
        <v>589373.76</v>
      </c>
      <c r="BB233" s="424">
        <f t="shared" si="176"/>
        <v>0</v>
      </c>
      <c r="BC233" s="424">
        <f t="shared" si="177"/>
        <v>0</v>
      </c>
      <c r="BD233" s="424">
        <f t="shared" si="178"/>
        <v>20310217.149999999</v>
      </c>
      <c r="BE233" s="452">
        <f t="shared" si="179"/>
        <v>20310217.150000002</v>
      </c>
      <c r="BF233" s="448">
        <f t="shared" si="180"/>
        <v>0</v>
      </c>
      <c r="BG233" s="456">
        <f t="shared" si="181"/>
        <v>5908322.7699999996</v>
      </c>
      <c r="BH233" s="457">
        <f t="shared" si="148"/>
        <v>9912580.0099999998</v>
      </c>
      <c r="BI233" s="407" t="s">
        <v>692</v>
      </c>
      <c r="BM233" s="429">
        <f>IF(BR233&gt;BR232,BM232,IF(BM232&lt;MiscData!$F$1,EOMONTH(BM232,1),EOMONTH(BM232,-11)))</f>
        <v>41820</v>
      </c>
      <c r="BN233" s="416" t="str">
        <f t="shared" si="149"/>
        <v>20140101KURSE020</v>
      </c>
      <c r="BO233" s="427" t="str">
        <f t="shared" si="150"/>
        <v>20140101RS</v>
      </c>
      <c r="BP233" s="407">
        <f>IF(BM233&lt;=MiscData!$B$23,MiscData!$C$23,IF(BM233&lt;=MiscData!$B$24,MiscData!$C$24,MiscData!$C$25))</f>
        <v>20140101</v>
      </c>
      <c r="BQ233" s="407" t="str">
        <f>VLOOKUP(BR233,MiscData!$V$4:$W$42,2,FALSE)</f>
        <v>KURSE020</v>
      </c>
      <c r="BR233" s="407">
        <f>IF(BR232=MiscData!$V$42,1,BR232+1)</f>
        <v>35</v>
      </c>
      <c r="BS233" s="407" t="str">
        <f>VLOOKUP(BQ233,MiscData!$W$4:$Y$42,3,FALSE)</f>
        <v>RS</v>
      </c>
    </row>
    <row r="234" spans="1:72" hidden="1">
      <c r="A234" s="416">
        <f t="shared" si="188"/>
        <v>213</v>
      </c>
      <c r="B234" s="416" t="str">
        <f t="shared" si="145"/>
        <v>Jun 2014</v>
      </c>
      <c r="C234" s="416" t="s">
        <v>15</v>
      </c>
      <c r="D234" s="417" t="str">
        <f t="shared" si="146"/>
        <v>RS</v>
      </c>
      <c r="E234" s="417" t="str">
        <f t="shared" si="147"/>
        <v>KURSE025</v>
      </c>
      <c r="F234" s="418">
        <f t="shared" si="151"/>
        <v>244</v>
      </c>
      <c r="G234" s="467">
        <v>3</v>
      </c>
      <c r="H234" s="418">
        <v>0</v>
      </c>
      <c r="I234" s="418">
        <v>0</v>
      </c>
      <c r="J234" s="418">
        <v>0</v>
      </c>
      <c r="K234" s="418">
        <f t="shared" si="152"/>
        <v>545440</v>
      </c>
      <c r="L234" s="481">
        <v>0</v>
      </c>
      <c r="M234" s="443">
        <f t="shared" si="153"/>
        <v>0</v>
      </c>
      <c r="N234" s="443">
        <f t="shared" si="154"/>
        <v>0</v>
      </c>
      <c r="O234" s="443">
        <f t="shared" si="155"/>
        <v>0</v>
      </c>
      <c r="P234" s="443">
        <f t="shared" si="156"/>
        <v>0</v>
      </c>
      <c r="Q234" s="443">
        <f t="shared" si="157"/>
        <v>0</v>
      </c>
      <c r="R234" s="443">
        <f t="shared" si="158"/>
        <v>0</v>
      </c>
      <c r="S234" s="484">
        <v>0</v>
      </c>
      <c r="T234" s="484">
        <v>0</v>
      </c>
      <c r="U234" s="484">
        <v>0</v>
      </c>
      <c r="V234" s="490">
        <v>0</v>
      </c>
      <c r="W234" s="490">
        <v>0</v>
      </c>
      <c r="X234" s="490">
        <v>0</v>
      </c>
      <c r="Y234" s="419">
        <f t="shared" si="159"/>
        <v>10.75</v>
      </c>
      <c r="Z234" s="420">
        <f t="shared" si="160"/>
        <v>7.7439999999999995E-2</v>
      </c>
      <c r="AA234" s="420">
        <v>0</v>
      </c>
      <c r="AB234" s="420">
        <v>0</v>
      </c>
      <c r="AC234" s="420">
        <f t="shared" si="161"/>
        <v>2.8920000000000001E-2</v>
      </c>
      <c r="AD234" s="419">
        <f t="shared" si="162"/>
        <v>0</v>
      </c>
      <c r="AE234" s="419">
        <f t="shared" si="163"/>
        <v>0</v>
      </c>
      <c r="AF234" s="419">
        <f t="shared" si="164"/>
        <v>0</v>
      </c>
      <c r="AG234" s="454">
        <f t="shared" si="165"/>
        <v>2655.25</v>
      </c>
      <c r="AH234" s="454">
        <f t="shared" si="187"/>
        <v>42238.87</v>
      </c>
      <c r="AI234" s="421">
        <f t="shared" si="166"/>
        <v>0</v>
      </c>
      <c r="AJ234" s="421">
        <f t="shared" si="167"/>
        <v>0</v>
      </c>
      <c r="AK234" s="421">
        <f t="shared" si="168"/>
        <v>0</v>
      </c>
      <c r="AL234" s="472">
        <v>0</v>
      </c>
      <c r="AM234" s="422">
        <f t="shared" si="185"/>
        <v>0</v>
      </c>
      <c r="AN234" s="423">
        <f t="shared" si="169"/>
        <v>0</v>
      </c>
      <c r="AO234" s="421">
        <f t="shared" si="170"/>
        <v>0</v>
      </c>
      <c r="AP234" s="472">
        <v>-17.690000000000001</v>
      </c>
      <c r="AQ234" s="472">
        <v>-0.04</v>
      </c>
      <c r="AR234" s="472">
        <v>0</v>
      </c>
      <c r="AS234" s="475">
        <v>0</v>
      </c>
      <c r="AT234" s="475">
        <v>0</v>
      </c>
      <c r="AU234" s="475">
        <v>0</v>
      </c>
      <c r="AV234" s="454">
        <f t="shared" si="171"/>
        <v>44876.39</v>
      </c>
      <c r="AW234" s="421">
        <f t="shared" si="172"/>
        <v>44876.39</v>
      </c>
      <c r="AX234" s="455">
        <f t="shared" si="186"/>
        <v>1</v>
      </c>
      <c r="AY234" s="424">
        <f t="shared" si="173"/>
        <v>2630.64</v>
      </c>
      <c r="AZ234" s="424">
        <f t="shared" si="174"/>
        <v>2148.25</v>
      </c>
      <c r="BA234" s="424">
        <f t="shared" si="175"/>
        <v>1451.36</v>
      </c>
      <c r="BB234" s="424">
        <f t="shared" si="176"/>
        <v>0</v>
      </c>
      <c r="BC234" s="424">
        <f t="shared" si="177"/>
        <v>0</v>
      </c>
      <c r="BD234" s="424">
        <f t="shared" si="178"/>
        <v>51106.64</v>
      </c>
      <c r="BE234" s="452">
        <f t="shared" si="179"/>
        <v>51106.64</v>
      </c>
      <c r="BF234" s="448">
        <f t="shared" si="180"/>
        <v>0</v>
      </c>
      <c r="BG234" s="456">
        <f t="shared" si="181"/>
        <v>15774.12</v>
      </c>
      <c r="BH234" s="457">
        <f t="shared" si="148"/>
        <v>26464.71</v>
      </c>
      <c r="BI234" s="407" t="s">
        <v>692</v>
      </c>
      <c r="BM234" s="429">
        <f>IF(BR234&gt;BR233,BM233,IF(BM233&lt;MiscData!$F$1,EOMONTH(BM233,1),EOMONTH(BM233,-11)))</f>
        <v>41820</v>
      </c>
      <c r="BN234" s="416" t="str">
        <f t="shared" si="149"/>
        <v>20140101KURSE025</v>
      </c>
      <c r="BO234" s="427" t="str">
        <f t="shared" si="150"/>
        <v>20140101RS</v>
      </c>
      <c r="BP234" s="407">
        <f>IF(BM234&lt;=MiscData!$B$23,MiscData!$C$23,IF(BM234&lt;=MiscData!$B$24,MiscData!$C$24,MiscData!$C$25))</f>
        <v>20140101</v>
      </c>
      <c r="BQ234" s="407" t="str">
        <f>VLOOKUP(BR234,MiscData!$V$4:$W$42,2,FALSE)</f>
        <v>KURSE025</v>
      </c>
      <c r="BR234" s="407">
        <f>IF(BR233=MiscData!$V$42,1,BR233+1)</f>
        <v>36</v>
      </c>
      <c r="BS234" s="407" t="str">
        <f>VLOOKUP(BQ234,MiscData!$W$4:$Y$42,3,FALSE)</f>
        <v>RS</v>
      </c>
    </row>
    <row r="235" spans="1:72" hidden="1">
      <c r="A235" s="416">
        <f t="shared" si="188"/>
        <v>214</v>
      </c>
      <c r="B235" s="416" t="str">
        <f t="shared" si="145"/>
        <v>Jun 2014</v>
      </c>
      <c r="C235" s="416" t="s">
        <v>807</v>
      </c>
      <c r="D235" s="417" t="str">
        <f t="shared" si="146"/>
        <v>RSLEV</v>
      </c>
      <c r="E235" s="417" t="str">
        <f t="shared" si="147"/>
        <v>KURSE040</v>
      </c>
      <c r="F235" s="418">
        <f t="shared" si="151"/>
        <v>5</v>
      </c>
      <c r="G235" s="467">
        <v>0</v>
      </c>
      <c r="H235" s="418">
        <f>SUMIFS(_1022_KWH_P1,_1022_RevenueMonth,$B235,_1022_RateCategory,$E235)</f>
        <v>3672</v>
      </c>
      <c r="I235" s="418">
        <f>SUMIFS(_1022_KWH_P2,_1022_RevenueMonth,$B235,_1022_RateCategory,$E235)</f>
        <v>871</v>
      </c>
      <c r="J235" s="418">
        <f>SUMIFS(_1022_KWH_P3,_1022_RevenueMonth,$B235,_1022_RateCategory,$E235)</f>
        <v>646</v>
      </c>
      <c r="K235" s="418">
        <f t="shared" si="152"/>
        <v>5189</v>
      </c>
      <c r="L235" s="481">
        <v>0</v>
      </c>
      <c r="M235" s="443">
        <f t="shared" si="153"/>
        <v>0</v>
      </c>
      <c r="N235" s="443">
        <f t="shared" si="154"/>
        <v>0</v>
      </c>
      <c r="O235" s="443">
        <f t="shared" si="155"/>
        <v>0</v>
      </c>
      <c r="P235" s="443">
        <f t="shared" si="156"/>
        <v>0</v>
      </c>
      <c r="Q235" s="443">
        <f t="shared" si="157"/>
        <v>0</v>
      </c>
      <c r="R235" s="443">
        <f t="shared" si="158"/>
        <v>0</v>
      </c>
      <c r="S235" s="484">
        <v>0</v>
      </c>
      <c r="T235" s="484">
        <v>0</v>
      </c>
      <c r="U235" s="484">
        <v>0</v>
      </c>
      <c r="V235" s="490">
        <v>0</v>
      </c>
      <c r="W235" s="490">
        <v>0</v>
      </c>
      <c r="X235" s="490">
        <v>0</v>
      </c>
      <c r="Y235" s="419">
        <f t="shared" si="159"/>
        <v>10.75</v>
      </c>
      <c r="Z235" s="420">
        <f t="shared" si="160"/>
        <v>5.5870000000000003E-2</v>
      </c>
      <c r="AA235" s="420">
        <f>SUMIF(_Rates_Tariff_Category,$BN235,_Rates_Energy_P2)</f>
        <v>7.7630000000000005E-2</v>
      </c>
      <c r="AB235" s="420">
        <f>SUMIF(_Rates_Tariff_Category,$BN235,_Rates_Energy_P3)</f>
        <v>0.14297000000000001</v>
      </c>
      <c r="AC235" s="420">
        <f t="shared" si="161"/>
        <v>2.8920000000000001E-2</v>
      </c>
      <c r="AD235" s="419">
        <f t="shared" si="162"/>
        <v>0</v>
      </c>
      <c r="AE235" s="419">
        <f t="shared" si="163"/>
        <v>0</v>
      </c>
      <c r="AF235" s="419">
        <f t="shared" si="164"/>
        <v>0</v>
      </c>
      <c r="AG235" s="454">
        <f t="shared" si="165"/>
        <v>53.75</v>
      </c>
      <c r="AH235" s="454">
        <f t="shared" si="187"/>
        <v>365.13</v>
      </c>
      <c r="AI235" s="421">
        <f t="shared" si="166"/>
        <v>0</v>
      </c>
      <c r="AJ235" s="421">
        <f t="shared" si="167"/>
        <v>0</v>
      </c>
      <c r="AK235" s="421">
        <f t="shared" si="168"/>
        <v>0</v>
      </c>
      <c r="AL235" s="472">
        <v>0</v>
      </c>
      <c r="AM235" s="422">
        <f t="shared" si="185"/>
        <v>0</v>
      </c>
      <c r="AN235" s="423">
        <f t="shared" si="169"/>
        <v>0</v>
      </c>
      <c r="AO235" s="421">
        <f t="shared" si="170"/>
        <v>0</v>
      </c>
      <c r="AP235" s="472">
        <v>0</v>
      </c>
      <c r="AQ235" s="472">
        <v>0</v>
      </c>
      <c r="AR235" s="472">
        <v>0</v>
      </c>
      <c r="AS235" s="475">
        <v>0</v>
      </c>
      <c r="AT235" s="475">
        <v>0</v>
      </c>
      <c r="AU235" s="475">
        <v>0</v>
      </c>
      <c r="AV235" s="454">
        <f t="shared" si="171"/>
        <v>418.88</v>
      </c>
      <c r="AW235" s="421">
        <f t="shared" si="172"/>
        <v>418.88</v>
      </c>
      <c r="AX235" s="455">
        <f t="shared" si="186"/>
        <v>1</v>
      </c>
      <c r="AY235" s="424">
        <f t="shared" si="173"/>
        <v>25.8</v>
      </c>
      <c r="AZ235" s="424">
        <f t="shared" si="174"/>
        <v>20.43</v>
      </c>
      <c r="BA235" s="424">
        <f t="shared" si="175"/>
        <v>13.92</v>
      </c>
      <c r="BB235" s="424">
        <f t="shared" si="176"/>
        <v>0</v>
      </c>
      <c r="BC235" s="424">
        <f t="shared" si="177"/>
        <v>0</v>
      </c>
      <c r="BD235" s="424">
        <f t="shared" si="178"/>
        <v>479.03</v>
      </c>
      <c r="BE235" s="452">
        <f t="shared" si="179"/>
        <v>479.03000000000003</v>
      </c>
      <c r="BF235" s="448">
        <f t="shared" si="180"/>
        <v>0</v>
      </c>
      <c r="BG235" s="456">
        <f t="shared" si="181"/>
        <v>150.07</v>
      </c>
      <c r="BH235" s="457">
        <f t="shared" si="148"/>
        <v>215.06</v>
      </c>
      <c r="BI235" s="407" t="s">
        <v>692</v>
      </c>
      <c r="BM235" s="429">
        <f>IF(BR235&gt;BR234,BM234,IF(BM234&lt;MiscData!$F$1,EOMONTH(BM234,1),EOMONTH(BM234,-11)))</f>
        <v>41820</v>
      </c>
      <c r="BN235" s="416" t="str">
        <f t="shared" si="149"/>
        <v>20140101KURSE040</v>
      </c>
      <c r="BO235" s="427" t="str">
        <f t="shared" si="150"/>
        <v>20140101RSLEV</v>
      </c>
      <c r="BP235" s="407">
        <f>IF(BM235&lt;=MiscData!$B$23,MiscData!$C$23,IF(BM235&lt;=MiscData!$B$24,MiscData!$C$24,MiscData!$C$25))</f>
        <v>20140101</v>
      </c>
      <c r="BQ235" s="407" t="str">
        <f>VLOOKUP(BR235,MiscData!$V$4:$W$42,2,FALSE)</f>
        <v>KURSE040</v>
      </c>
      <c r="BR235" s="407">
        <f>IF(BR234=MiscData!$V$42,1,BR234+1)</f>
        <v>37</v>
      </c>
      <c r="BS235" s="407" t="str">
        <f>VLOOKUP(BQ235,MiscData!$W$4:$Y$42,3,FALSE)</f>
        <v>RSLEV</v>
      </c>
    </row>
    <row r="236" spans="1:72" hidden="1">
      <c r="A236" s="416">
        <f t="shared" si="188"/>
        <v>215</v>
      </c>
      <c r="B236" s="416" t="str">
        <f t="shared" si="145"/>
        <v>Jun 2014</v>
      </c>
      <c r="C236" s="416" t="s">
        <v>15</v>
      </c>
      <c r="D236" s="417" t="str">
        <f t="shared" si="146"/>
        <v>RSVFD</v>
      </c>
      <c r="E236" s="417" t="str">
        <f t="shared" si="147"/>
        <v>KURSE080</v>
      </c>
      <c r="F236" s="418">
        <f t="shared" si="151"/>
        <v>50</v>
      </c>
      <c r="G236" s="467">
        <v>0</v>
      </c>
      <c r="H236" s="418">
        <v>0</v>
      </c>
      <c r="I236" s="418">
        <v>0</v>
      </c>
      <c r="J236" s="418">
        <v>0</v>
      </c>
      <c r="K236" s="418">
        <f t="shared" si="152"/>
        <v>70898</v>
      </c>
      <c r="L236" s="481">
        <v>0</v>
      </c>
      <c r="M236" s="443">
        <f t="shared" si="153"/>
        <v>0</v>
      </c>
      <c r="N236" s="443">
        <f t="shared" si="154"/>
        <v>0</v>
      </c>
      <c r="O236" s="443">
        <f t="shared" si="155"/>
        <v>0</v>
      </c>
      <c r="P236" s="443">
        <f t="shared" si="156"/>
        <v>0</v>
      </c>
      <c r="Q236" s="443">
        <f t="shared" si="157"/>
        <v>0</v>
      </c>
      <c r="R236" s="443">
        <f t="shared" si="158"/>
        <v>0</v>
      </c>
      <c r="S236" s="484">
        <v>0</v>
      </c>
      <c r="T236" s="484">
        <v>0</v>
      </c>
      <c r="U236" s="484">
        <v>0</v>
      </c>
      <c r="V236" s="490">
        <v>0</v>
      </c>
      <c r="W236" s="490">
        <v>0</v>
      </c>
      <c r="X236" s="490">
        <v>0</v>
      </c>
      <c r="Y236" s="419">
        <f t="shared" si="159"/>
        <v>10.75</v>
      </c>
      <c r="Z236" s="420">
        <f t="shared" si="160"/>
        <v>7.7439999999999995E-2</v>
      </c>
      <c r="AA236" s="420">
        <v>0</v>
      </c>
      <c r="AB236" s="420">
        <v>0</v>
      </c>
      <c r="AC236" s="420">
        <f t="shared" si="161"/>
        <v>2.8920000000000001E-2</v>
      </c>
      <c r="AD236" s="419">
        <f t="shared" si="162"/>
        <v>0</v>
      </c>
      <c r="AE236" s="419">
        <f t="shared" si="163"/>
        <v>0</v>
      </c>
      <c r="AF236" s="419">
        <f t="shared" si="164"/>
        <v>0</v>
      </c>
      <c r="AG236" s="454">
        <f t="shared" si="165"/>
        <v>537.5</v>
      </c>
      <c r="AH236" s="454">
        <f t="shared" si="187"/>
        <v>5490.34</v>
      </c>
      <c r="AI236" s="421">
        <f t="shared" si="166"/>
        <v>0</v>
      </c>
      <c r="AJ236" s="421">
        <f t="shared" si="167"/>
        <v>0</v>
      </c>
      <c r="AK236" s="421">
        <f t="shared" si="168"/>
        <v>0</v>
      </c>
      <c r="AL236" s="472">
        <v>0</v>
      </c>
      <c r="AM236" s="422">
        <f t="shared" si="185"/>
        <v>0</v>
      </c>
      <c r="AN236" s="423">
        <f t="shared" si="169"/>
        <v>0</v>
      </c>
      <c r="AO236" s="421">
        <f t="shared" si="170"/>
        <v>0</v>
      </c>
      <c r="AP236" s="472">
        <v>0</v>
      </c>
      <c r="AQ236" s="472">
        <v>0.02</v>
      </c>
      <c r="AR236" s="472">
        <v>0</v>
      </c>
      <c r="AS236" s="475">
        <v>0</v>
      </c>
      <c r="AT236" s="475">
        <v>0</v>
      </c>
      <c r="AU236" s="475">
        <v>0</v>
      </c>
      <c r="AV236" s="454">
        <f t="shared" si="171"/>
        <v>6027.8600000000006</v>
      </c>
      <c r="AW236" s="421">
        <f t="shared" si="172"/>
        <v>6027.8600000000006</v>
      </c>
      <c r="AX236" s="455">
        <f t="shared" si="186"/>
        <v>1</v>
      </c>
      <c r="AY236" s="424">
        <f t="shared" si="173"/>
        <v>348.02</v>
      </c>
      <c r="AZ236" s="424">
        <f t="shared" si="174"/>
        <v>279.35000000000002</v>
      </c>
      <c r="BA236" s="424">
        <f t="shared" si="175"/>
        <v>196.79</v>
      </c>
      <c r="BB236" s="424">
        <f t="shared" si="176"/>
        <v>0</v>
      </c>
      <c r="BC236" s="424">
        <f t="shared" si="177"/>
        <v>0</v>
      </c>
      <c r="BD236" s="424">
        <f t="shared" si="178"/>
        <v>6852.02</v>
      </c>
      <c r="BE236" s="452">
        <f t="shared" si="179"/>
        <v>6852.0200000000013</v>
      </c>
      <c r="BF236" s="448">
        <f t="shared" si="180"/>
        <v>0</v>
      </c>
      <c r="BG236" s="456">
        <f t="shared" si="181"/>
        <v>2050.37</v>
      </c>
      <c r="BH236" s="457">
        <f t="shared" si="148"/>
        <v>3439.9900000000007</v>
      </c>
      <c r="BI236" s="407" t="s">
        <v>692</v>
      </c>
      <c r="BM236" s="429">
        <f>IF(BR236&gt;BR235,BM235,IF(BM235&lt;MiscData!$F$1,EOMONTH(BM235,1),EOMONTH(BM235,-11)))</f>
        <v>41820</v>
      </c>
      <c r="BN236" s="416" t="str">
        <f t="shared" si="149"/>
        <v>20140101KURSE080</v>
      </c>
      <c r="BO236" s="427" t="str">
        <f t="shared" si="150"/>
        <v>20140101RSVFD</v>
      </c>
      <c r="BP236" s="407">
        <f>IF(BM236&lt;=MiscData!$B$23,MiscData!$C$23,IF(BM236&lt;=MiscData!$B$24,MiscData!$C$24,MiscData!$C$25))</f>
        <v>20140101</v>
      </c>
      <c r="BQ236" s="407" t="str">
        <f>VLOOKUP(BR236,MiscData!$V$4:$W$42,2,FALSE)</f>
        <v>KURSE080</v>
      </c>
      <c r="BR236" s="407">
        <f>IF(BR235=MiscData!$V$42,1,BR235+1)</f>
        <v>38</v>
      </c>
      <c r="BS236" s="407" t="str">
        <f>VLOOKUP(BQ236,MiscData!$W$4:$Y$42,3,FALSE)</f>
        <v>RSVFD</v>
      </c>
    </row>
    <row r="237" spans="1:72" s="486" customFormat="1" hidden="1">
      <c r="A237" s="464">
        <f t="shared" si="188"/>
        <v>216</v>
      </c>
      <c r="B237" s="464" t="str">
        <f t="shared" si="145"/>
        <v>Jun 2014</v>
      </c>
      <c r="C237" s="464" t="s">
        <v>15</v>
      </c>
      <c r="D237" s="465" t="str">
        <f t="shared" si="146"/>
        <v>RS</v>
      </c>
      <c r="E237" s="465" t="str">
        <f t="shared" si="147"/>
        <v>KURSE715</v>
      </c>
      <c r="F237" s="466">
        <f t="shared" si="151"/>
        <v>52</v>
      </c>
      <c r="G237" s="467">
        <v>0</v>
      </c>
      <c r="H237" s="466">
        <v>0</v>
      </c>
      <c r="I237" s="466">
        <v>0</v>
      </c>
      <c r="J237" s="466">
        <v>0</v>
      </c>
      <c r="K237" s="466">
        <f t="shared" si="152"/>
        <v>41147</v>
      </c>
      <c r="L237" s="481">
        <v>0</v>
      </c>
      <c r="M237" s="469">
        <f t="shared" si="153"/>
        <v>0</v>
      </c>
      <c r="N237" s="469">
        <f t="shared" si="154"/>
        <v>0</v>
      </c>
      <c r="O237" s="469">
        <f t="shared" si="155"/>
        <v>0</v>
      </c>
      <c r="P237" s="469">
        <f t="shared" si="156"/>
        <v>0</v>
      </c>
      <c r="Q237" s="469">
        <f t="shared" si="157"/>
        <v>0</v>
      </c>
      <c r="R237" s="469">
        <f t="shared" si="158"/>
        <v>0</v>
      </c>
      <c r="S237" s="484">
        <v>0</v>
      </c>
      <c r="T237" s="484">
        <v>0</v>
      </c>
      <c r="U237" s="484">
        <v>0</v>
      </c>
      <c r="V237" s="490">
        <v>0</v>
      </c>
      <c r="W237" s="490">
        <v>0</v>
      </c>
      <c r="X237" s="490">
        <v>0</v>
      </c>
      <c r="Y237" s="470">
        <f t="shared" si="159"/>
        <v>10.75</v>
      </c>
      <c r="Z237" s="471">
        <f t="shared" si="160"/>
        <v>7.7439999999999995E-2</v>
      </c>
      <c r="AA237" s="471">
        <v>0</v>
      </c>
      <c r="AB237" s="471">
        <v>0</v>
      </c>
      <c r="AC237" s="471">
        <f t="shared" si="161"/>
        <v>2.8920000000000001E-2</v>
      </c>
      <c r="AD237" s="470">
        <f t="shared" si="162"/>
        <v>0</v>
      </c>
      <c r="AE237" s="470">
        <f t="shared" si="163"/>
        <v>0</v>
      </c>
      <c r="AF237" s="470">
        <f t="shared" si="164"/>
        <v>0</v>
      </c>
      <c r="AG237" s="454">
        <f t="shared" si="165"/>
        <v>559</v>
      </c>
      <c r="AH237" s="454">
        <f t="shared" si="187"/>
        <v>3186.42</v>
      </c>
      <c r="AI237" s="454">
        <f t="shared" si="166"/>
        <v>0</v>
      </c>
      <c r="AJ237" s="454">
        <f t="shared" si="167"/>
        <v>0</v>
      </c>
      <c r="AK237" s="454">
        <f t="shared" si="168"/>
        <v>0</v>
      </c>
      <c r="AL237" s="472">
        <v>0</v>
      </c>
      <c r="AM237" s="473">
        <f t="shared" si="185"/>
        <v>0</v>
      </c>
      <c r="AN237" s="474">
        <f t="shared" si="169"/>
        <v>0</v>
      </c>
      <c r="AO237" s="454">
        <f t="shared" si="170"/>
        <v>0</v>
      </c>
      <c r="AP237" s="472">
        <v>0</v>
      </c>
      <c r="AQ237" s="472">
        <v>0</v>
      </c>
      <c r="AR237" s="472">
        <v>0</v>
      </c>
      <c r="AS237" s="475">
        <v>0</v>
      </c>
      <c r="AT237" s="475">
        <v>0</v>
      </c>
      <c r="AU237" s="475">
        <v>0</v>
      </c>
      <c r="AV237" s="454">
        <f t="shared" si="171"/>
        <v>3745.42</v>
      </c>
      <c r="AW237" s="454">
        <f t="shared" si="172"/>
        <v>3745.4199999999996</v>
      </c>
      <c r="AX237" s="455">
        <f t="shared" si="186"/>
        <v>0.99999999999999989</v>
      </c>
      <c r="AY237" s="476">
        <f t="shared" si="173"/>
        <v>204.48</v>
      </c>
      <c r="AZ237" s="476">
        <f t="shared" si="174"/>
        <v>162.11000000000001</v>
      </c>
      <c r="BA237" s="476">
        <f t="shared" si="175"/>
        <v>122.93</v>
      </c>
      <c r="BB237" s="476">
        <f t="shared" si="176"/>
        <v>0</v>
      </c>
      <c r="BC237" s="476">
        <f t="shared" si="177"/>
        <v>0</v>
      </c>
      <c r="BD237" s="476">
        <f t="shared" si="178"/>
        <v>4234.9399999999996</v>
      </c>
      <c r="BE237" s="477">
        <f t="shared" si="179"/>
        <v>4234.9400000000005</v>
      </c>
      <c r="BF237" s="478">
        <f t="shared" si="180"/>
        <v>0</v>
      </c>
      <c r="BG237" s="479">
        <f t="shared" si="181"/>
        <v>1189.97</v>
      </c>
      <c r="BH237" s="485">
        <f t="shared" si="148"/>
        <v>1996.45</v>
      </c>
      <c r="BI237" s="407" t="s">
        <v>692</v>
      </c>
      <c r="BM237" s="487">
        <f>IF(BR237&gt;BR236,BM236,IF(BM236&lt;MiscData!$F$1,EOMONTH(BM236,1),EOMONTH(BM236,-11)))</f>
        <v>41820</v>
      </c>
      <c r="BN237" s="464" t="str">
        <f t="shared" si="149"/>
        <v>20140101KURSE715</v>
      </c>
      <c r="BO237" s="488" t="str">
        <f t="shared" si="150"/>
        <v>20140101RS</v>
      </c>
      <c r="BP237" s="486">
        <f>IF(BM237&lt;=MiscData!$B$23,MiscData!$C$23,IF(BM237&lt;=MiscData!$B$24,MiscData!$C$24,MiscData!$C$25))</f>
        <v>20140101</v>
      </c>
      <c r="BQ237" s="486" t="str">
        <f>VLOOKUP(BR237,MiscData!$V$4:$W$42,2,FALSE)</f>
        <v>KURSE715</v>
      </c>
      <c r="BR237" s="407">
        <f>IF(BR236=MiscData!$V$42,1,BR236+1)</f>
        <v>39</v>
      </c>
      <c r="BS237" s="486" t="str">
        <f>VLOOKUP(BQ237,MiscData!$W$4:$Y$42,3,FALSE)</f>
        <v>RS</v>
      </c>
      <c r="BT237" s="771"/>
    </row>
    <row r="238" spans="1:72" hidden="1">
      <c r="A238" s="416">
        <f t="shared" si="188"/>
        <v>217</v>
      </c>
      <c r="B238" s="416" t="str">
        <f t="shared" si="145"/>
        <v>Jul 2014</v>
      </c>
      <c r="C238" s="416" t="s">
        <v>19</v>
      </c>
      <c r="D238" s="417" t="str">
        <f t="shared" si="146"/>
        <v>RTS</v>
      </c>
      <c r="E238" s="417" t="str">
        <f t="shared" si="147"/>
        <v>KUCIE550</v>
      </c>
      <c r="F238" s="418">
        <f t="shared" si="151"/>
        <v>32</v>
      </c>
      <c r="G238" s="467">
        <v>1</v>
      </c>
      <c r="H238" s="418">
        <v>0</v>
      </c>
      <c r="I238" s="418">
        <v>0</v>
      </c>
      <c r="J238" s="418">
        <v>0</v>
      </c>
      <c r="K238" s="418">
        <f t="shared" si="152"/>
        <v>123501495</v>
      </c>
      <c r="L238" s="481">
        <v>0</v>
      </c>
      <c r="M238" s="443">
        <f t="shared" si="153"/>
        <v>304109.59999999998</v>
      </c>
      <c r="N238" s="443">
        <f t="shared" si="154"/>
        <v>295424.59999999998</v>
      </c>
      <c r="O238" s="443">
        <f t="shared" si="155"/>
        <v>292703.7</v>
      </c>
      <c r="P238" s="443">
        <f t="shared" si="156"/>
        <v>308003.09999999998</v>
      </c>
      <c r="Q238" s="443">
        <f t="shared" si="157"/>
        <v>297203.7</v>
      </c>
      <c r="R238" s="443">
        <f t="shared" si="158"/>
        <v>293790.5</v>
      </c>
      <c r="S238" s="484">
        <v>3893.5</v>
      </c>
      <c r="T238" s="484">
        <v>1779.1</v>
      </c>
      <c r="U238" s="484">
        <v>1086.8</v>
      </c>
      <c r="V238" s="490">
        <v>0</v>
      </c>
      <c r="W238" s="490">
        <v>0</v>
      </c>
      <c r="X238" s="490">
        <v>0</v>
      </c>
      <c r="Y238" s="419">
        <f t="shared" si="159"/>
        <v>750</v>
      </c>
      <c r="Z238" s="420">
        <f t="shared" si="160"/>
        <v>3.6339999999999997E-2</v>
      </c>
      <c r="AA238" s="420">
        <v>0</v>
      </c>
      <c r="AB238" s="420">
        <v>0</v>
      </c>
      <c r="AC238" s="420">
        <f t="shared" si="161"/>
        <v>2.8920000000000001E-2</v>
      </c>
      <c r="AD238" s="419">
        <f t="shared" si="162"/>
        <v>1.34</v>
      </c>
      <c r="AE238" s="419">
        <f t="shared" si="163"/>
        <v>2.87</v>
      </c>
      <c r="AF238" s="419">
        <f t="shared" si="164"/>
        <v>3.97</v>
      </c>
      <c r="AG238" s="454">
        <f t="shared" si="165"/>
        <v>24750</v>
      </c>
      <c r="AH238" s="454">
        <f t="shared" si="187"/>
        <v>4488044.33</v>
      </c>
      <c r="AI238" s="421">
        <f t="shared" si="166"/>
        <v>407506.86</v>
      </c>
      <c r="AJ238" s="421">
        <f t="shared" si="167"/>
        <v>847868.6</v>
      </c>
      <c r="AK238" s="421">
        <f t="shared" si="168"/>
        <v>1162033.69</v>
      </c>
      <c r="AL238" s="472">
        <v>0</v>
      </c>
      <c r="AM238" s="422">
        <f t="shared" si="185"/>
        <v>0</v>
      </c>
      <c r="AN238" s="423">
        <f t="shared" si="169"/>
        <v>14637.9</v>
      </c>
      <c r="AO238" s="421">
        <f t="shared" si="170"/>
        <v>2432047.0499999998</v>
      </c>
      <c r="AP238" s="472">
        <v>0</v>
      </c>
      <c r="AQ238" s="472">
        <v>0</v>
      </c>
      <c r="AR238" s="472">
        <v>0.04</v>
      </c>
      <c r="AS238" s="475">
        <v>0</v>
      </c>
      <c r="AT238" s="475">
        <v>0</v>
      </c>
      <c r="AU238" s="475">
        <v>0</v>
      </c>
      <c r="AV238" s="454">
        <f t="shared" si="171"/>
        <v>6944841.4200000009</v>
      </c>
      <c r="AW238" s="421">
        <f t="shared" si="172"/>
        <v>6944841.4199999999</v>
      </c>
      <c r="AX238" s="455">
        <f t="shared" ref="AX238:AX246" si="189">IF(AND(AV238=0,AW238=0),1,IF(AV238=0,0,AW238/AV238))</f>
        <v>0.99999999999999989</v>
      </c>
      <c r="AY238" s="424">
        <f t="shared" si="173"/>
        <v>316216.61</v>
      </c>
      <c r="AZ238" s="424">
        <f t="shared" si="174"/>
        <v>0</v>
      </c>
      <c r="BA238" s="424">
        <f t="shared" si="175"/>
        <v>195290.03</v>
      </c>
      <c r="BB238" s="424">
        <f t="shared" si="176"/>
        <v>0</v>
      </c>
      <c r="BC238" s="424">
        <f t="shared" si="177"/>
        <v>0</v>
      </c>
      <c r="BD238" s="424">
        <f t="shared" si="178"/>
        <v>7456348.0599999996</v>
      </c>
      <c r="BE238" s="452">
        <f t="shared" si="179"/>
        <v>7456348.0600000015</v>
      </c>
      <c r="BF238" s="448">
        <f t="shared" si="180"/>
        <v>0</v>
      </c>
      <c r="BG238" s="456">
        <f t="shared" si="181"/>
        <v>3571663.24</v>
      </c>
      <c r="BH238" s="457">
        <f t="shared" si="148"/>
        <v>916381.08999999985</v>
      </c>
      <c r="BI238" s="407" t="s">
        <v>692</v>
      </c>
      <c r="BM238" s="429">
        <f>IF(BR238&gt;BR237,BM237,IF(BM237&lt;MiscData!$F$1,EOMONTH(BM237,1),EOMONTH(BM237,-11)))</f>
        <v>41851</v>
      </c>
      <c r="BN238" s="416" t="str">
        <f t="shared" si="149"/>
        <v>20140101KUCIE550</v>
      </c>
      <c r="BO238" s="427" t="str">
        <f t="shared" si="150"/>
        <v>20140101RTS</v>
      </c>
      <c r="BP238" s="407">
        <f>IF(BM238&lt;=MiscData!$B$23,MiscData!$C$23,IF(BM238&lt;=MiscData!$B$24,MiscData!$C$24,MiscData!$C$25))</f>
        <v>20140101</v>
      </c>
      <c r="BQ238" s="407" t="str">
        <f>VLOOKUP(BR238,MiscData!$V$4:$W$42,2,FALSE)</f>
        <v>KUCIE550</v>
      </c>
      <c r="BR238" s="407">
        <f>IF(BR237=MiscData!$V$42,1,BR237+1)</f>
        <v>1</v>
      </c>
      <c r="BS238" s="407" t="str">
        <f>VLOOKUP(BQ238,MiscData!$W$4:$Y$42,3,FALSE)</f>
        <v>RTS</v>
      </c>
    </row>
    <row r="239" spans="1:72">
      <c r="A239" s="416">
        <f t="shared" si="188"/>
        <v>218</v>
      </c>
      <c r="B239" s="416" t="str">
        <f t="shared" si="145"/>
        <v>Jul 2014</v>
      </c>
      <c r="C239" s="416" t="s">
        <v>26</v>
      </c>
      <c r="D239" s="417" t="str">
        <f t="shared" si="146"/>
        <v>PSP</v>
      </c>
      <c r="E239" s="417" t="str">
        <f t="shared" si="147"/>
        <v>KUCIE561</v>
      </c>
      <c r="F239" s="418">
        <f t="shared" si="151"/>
        <v>166</v>
      </c>
      <c r="G239" s="467">
        <v>4</v>
      </c>
      <c r="H239" s="418">
        <v>0</v>
      </c>
      <c r="I239" s="418">
        <v>0</v>
      </c>
      <c r="J239" s="418">
        <v>0</v>
      </c>
      <c r="K239" s="418">
        <f t="shared" si="152"/>
        <v>5416412</v>
      </c>
      <c r="L239" s="459">
        <v>0</v>
      </c>
      <c r="M239" s="443">
        <f t="shared" si="153"/>
        <v>0</v>
      </c>
      <c r="N239" s="443">
        <f t="shared" si="154"/>
        <v>0</v>
      </c>
      <c r="O239" s="443">
        <f t="shared" si="155"/>
        <v>15235.9</v>
      </c>
      <c r="P239" s="443">
        <f t="shared" si="156"/>
        <v>0</v>
      </c>
      <c r="Q239" s="443">
        <f t="shared" si="157"/>
        <v>0</v>
      </c>
      <c r="R239" s="443">
        <f t="shared" si="158"/>
        <v>17162.900000000001</v>
      </c>
      <c r="S239" s="484">
        <v>0</v>
      </c>
      <c r="T239" s="484">
        <v>0</v>
      </c>
      <c r="U239" s="484">
        <v>1927</v>
      </c>
      <c r="V239" s="490">
        <v>0</v>
      </c>
      <c r="W239" s="490">
        <v>0</v>
      </c>
      <c r="X239" s="490">
        <v>0</v>
      </c>
      <c r="Y239" s="419">
        <f t="shared" si="159"/>
        <v>170</v>
      </c>
      <c r="Z239" s="420">
        <f t="shared" si="160"/>
        <v>3.5619999999999999E-2</v>
      </c>
      <c r="AA239" s="420">
        <v>0</v>
      </c>
      <c r="AB239" s="420">
        <v>0</v>
      </c>
      <c r="AC239" s="420">
        <f t="shared" si="161"/>
        <v>2.8920000000000001E-2</v>
      </c>
      <c r="AD239" s="419">
        <f t="shared" si="162"/>
        <v>0</v>
      </c>
      <c r="AE239" s="419">
        <f t="shared" si="163"/>
        <v>13.18</v>
      </c>
      <c r="AF239" s="419">
        <f t="shared" si="164"/>
        <v>15.28</v>
      </c>
      <c r="AG239" s="454">
        <f t="shared" si="165"/>
        <v>28900</v>
      </c>
      <c r="AH239" s="454">
        <f t="shared" si="187"/>
        <v>192932.6</v>
      </c>
      <c r="AI239" s="421">
        <f t="shared" si="166"/>
        <v>0</v>
      </c>
      <c r="AJ239" s="421">
        <f t="shared" si="167"/>
        <v>0</v>
      </c>
      <c r="AK239" s="421">
        <f t="shared" si="168"/>
        <v>232804.55</v>
      </c>
      <c r="AL239" s="472">
        <v>0</v>
      </c>
      <c r="AM239" s="422">
        <f t="shared" si="185"/>
        <v>0</v>
      </c>
      <c r="AN239" s="423">
        <f t="shared" si="169"/>
        <v>29444.560000000001</v>
      </c>
      <c r="AO239" s="421">
        <f t="shared" si="170"/>
        <v>262249.11</v>
      </c>
      <c r="AP239" s="472">
        <v>0</v>
      </c>
      <c r="AQ239" s="472">
        <v>0</v>
      </c>
      <c r="AR239" s="472">
        <v>-0.04</v>
      </c>
      <c r="AS239" s="475">
        <v>0</v>
      </c>
      <c r="AT239" s="475">
        <v>0</v>
      </c>
      <c r="AU239" s="475">
        <v>0</v>
      </c>
      <c r="AV239" s="454">
        <f t="shared" si="171"/>
        <v>484081.67000000004</v>
      </c>
      <c r="AW239" s="421">
        <f t="shared" si="172"/>
        <v>484081.67</v>
      </c>
      <c r="AX239" s="455">
        <f t="shared" si="189"/>
        <v>0.99999999999999989</v>
      </c>
      <c r="AY239" s="424">
        <f t="shared" si="173"/>
        <v>14009.55</v>
      </c>
      <c r="AZ239" s="424">
        <f t="shared" si="174"/>
        <v>6539.85</v>
      </c>
      <c r="BA239" s="424">
        <f t="shared" si="175"/>
        <v>19285.73</v>
      </c>
      <c r="BB239" s="424">
        <f t="shared" si="176"/>
        <v>0</v>
      </c>
      <c r="BC239" s="424">
        <f t="shared" si="177"/>
        <v>0</v>
      </c>
      <c r="BD239" s="424">
        <f t="shared" si="178"/>
        <v>523916.79999999999</v>
      </c>
      <c r="BE239" s="452">
        <f t="shared" si="179"/>
        <v>523916.79999999999</v>
      </c>
      <c r="BF239" s="448">
        <f t="shared" si="180"/>
        <v>0</v>
      </c>
      <c r="BG239" s="456">
        <f t="shared" si="181"/>
        <v>156642.64000000001</v>
      </c>
      <c r="BH239" s="457">
        <f t="shared" si="148"/>
        <v>36289.959999999992</v>
      </c>
      <c r="BI239" s="407" t="s">
        <v>692</v>
      </c>
      <c r="BM239" s="429">
        <f>IF(BR239&gt;BR238,BM238,IF(BM238&lt;MiscData!$F$1,EOMONTH(BM238,1),EOMONTH(BM238,-11)))</f>
        <v>41851</v>
      </c>
      <c r="BN239" s="416" t="str">
        <f t="shared" si="149"/>
        <v>20140101KUCIE561</v>
      </c>
      <c r="BO239" s="427" t="str">
        <f t="shared" si="150"/>
        <v>20140101PSP</v>
      </c>
      <c r="BP239" s="407">
        <f>IF(BM239&lt;=MiscData!$B$23,MiscData!$C$23,IF(BM239&lt;=MiscData!$B$24,MiscData!$C$24,MiscData!$C$25))</f>
        <v>20140101</v>
      </c>
      <c r="BQ239" s="407" t="str">
        <f>VLOOKUP(BR239,MiscData!$V$4:$W$42,2,FALSE)</f>
        <v>KUCIE561</v>
      </c>
      <c r="BR239" s="407">
        <f>IF(BR238=MiscData!$V$42,1,BR238+1)</f>
        <v>2</v>
      </c>
      <c r="BS239" s="407" t="str">
        <f>VLOOKUP(BQ239,MiscData!$W$4:$Y$42,3,FALSE)</f>
        <v>PSP</v>
      </c>
    </row>
    <row r="240" spans="1:72" hidden="1">
      <c r="A240" s="416">
        <f t="shared" si="188"/>
        <v>219</v>
      </c>
      <c r="B240" s="416" t="str">
        <f t="shared" si="145"/>
        <v>Jul 2014</v>
      </c>
      <c r="C240" s="416" t="s">
        <v>25</v>
      </c>
      <c r="D240" s="417" t="str">
        <f t="shared" si="146"/>
        <v>PSS</v>
      </c>
      <c r="E240" s="417" t="str">
        <f t="shared" si="147"/>
        <v>KUCIE562</v>
      </c>
      <c r="F240" s="418">
        <f t="shared" si="151"/>
        <v>4767</v>
      </c>
      <c r="G240" s="467">
        <v>0</v>
      </c>
      <c r="H240" s="418">
        <v>0</v>
      </c>
      <c r="I240" s="418">
        <v>0</v>
      </c>
      <c r="J240" s="418">
        <v>0</v>
      </c>
      <c r="K240" s="418">
        <f t="shared" si="152"/>
        <v>157324850</v>
      </c>
      <c r="L240" s="459">
        <v>0</v>
      </c>
      <c r="M240" s="443">
        <f t="shared" si="153"/>
        <v>0</v>
      </c>
      <c r="N240" s="443">
        <f t="shared" si="154"/>
        <v>0</v>
      </c>
      <c r="O240" s="443">
        <f t="shared" si="155"/>
        <v>403576.2</v>
      </c>
      <c r="P240" s="443">
        <f t="shared" si="156"/>
        <v>0</v>
      </c>
      <c r="Q240" s="443">
        <f t="shared" si="157"/>
        <v>0</v>
      </c>
      <c r="R240" s="443">
        <f t="shared" si="158"/>
        <v>449787.97</v>
      </c>
      <c r="S240" s="484">
        <v>0</v>
      </c>
      <c r="T240" s="484">
        <v>0</v>
      </c>
      <c r="U240" s="484">
        <v>46211.77</v>
      </c>
      <c r="V240" s="490">
        <v>0</v>
      </c>
      <c r="W240" s="490">
        <v>0</v>
      </c>
      <c r="X240" s="490">
        <v>0</v>
      </c>
      <c r="Y240" s="419">
        <f t="shared" si="159"/>
        <v>90</v>
      </c>
      <c r="Z240" s="420">
        <f t="shared" si="160"/>
        <v>3.5640000000000005E-2</v>
      </c>
      <c r="AA240" s="420">
        <v>0</v>
      </c>
      <c r="AB240" s="420">
        <v>0</v>
      </c>
      <c r="AC240" s="420">
        <f t="shared" si="161"/>
        <v>2.8920000000000001E-2</v>
      </c>
      <c r="AD240" s="419">
        <f t="shared" si="162"/>
        <v>0</v>
      </c>
      <c r="AE240" s="419">
        <f t="shared" si="163"/>
        <v>13.2</v>
      </c>
      <c r="AF240" s="419">
        <f t="shared" si="164"/>
        <v>15.3</v>
      </c>
      <c r="AG240" s="454">
        <f t="shared" si="165"/>
        <v>429030</v>
      </c>
      <c r="AH240" s="454">
        <f t="shared" si="187"/>
        <v>5607057.6500000004</v>
      </c>
      <c r="AI240" s="421">
        <f t="shared" si="166"/>
        <v>0</v>
      </c>
      <c r="AJ240" s="421">
        <f t="shared" si="167"/>
        <v>0</v>
      </c>
      <c r="AK240" s="421">
        <f t="shared" si="168"/>
        <v>6174715.8600000003</v>
      </c>
      <c r="AL240" s="472">
        <v>0</v>
      </c>
      <c r="AM240" s="422">
        <f t="shared" si="185"/>
        <v>0</v>
      </c>
      <c r="AN240" s="423">
        <f t="shared" si="169"/>
        <v>707040.08</v>
      </c>
      <c r="AO240" s="421">
        <f t="shared" si="170"/>
        <v>6881755.9400000004</v>
      </c>
      <c r="AP240" s="472">
        <v>-1938.87</v>
      </c>
      <c r="AQ240" s="472">
        <v>0.46</v>
      </c>
      <c r="AR240" s="472">
        <v>-17453.86</v>
      </c>
      <c r="AS240" s="475">
        <v>0</v>
      </c>
      <c r="AT240" s="475">
        <v>0</v>
      </c>
      <c r="AU240" s="475">
        <v>0</v>
      </c>
      <c r="AV240" s="454">
        <f t="shared" si="171"/>
        <v>12898451.320000004</v>
      </c>
      <c r="AW240" s="421">
        <f t="shared" si="172"/>
        <v>12898451.32</v>
      </c>
      <c r="AX240" s="455">
        <f t="shared" si="189"/>
        <v>0.99999999999999967</v>
      </c>
      <c r="AY240" s="424">
        <f t="shared" si="173"/>
        <v>420948.33</v>
      </c>
      <c r="AZ240" s="424">
        <f t="shared" si="174"/>
        <v>205935.17</v>
      </c>
      <c r="BA240" s="424">
        <f t="shared" si="175"/>
        <v>492623.93</v>
      </c>
      <c r="BB240" s="424">
        <f t="shared" si="176"/>
        <v>0</v>
      </c>
      <c r="BC240" s="424">
        <f t="shared" si="177"/>
        <v>0</v>
      </c>
      <c r="BD240" s="424">
        <f t="shared" si="178"/>
        <v>14017958.75</v>
      </c>
      <c r="BE240" s="452">
        <f t="shared" si="179"/>
        <v>14017958.750000004</v>
      </c>
      <c r="BF240" s="448">
        <f t="shared" si="180"/>
        <v>0</v>
      </c>
      <c r="BG240" s="456">
        <f t="shared" si="181"/>
        <v>4549834.66</v>
      </c>
      <c r="BH240" s="457">
        <f t="shared" si="148"/>
        <v>1057223.4500000002</v>
      </c>
      <c r="BI240" s="407" t="s">
        <v>692</v>
      </c>
      <c r="BM240" s="429">
        <f>IF(BR240&gt;BR239,BM239,IF(BM239&lt;MiscData!$F$1,EOMONTH(BM239,1),EOMONTH(BM239,-11)))</f>
        <v>41851</v>
      </c>
      <c r="BN240" s="416" t="str">
        <f t="shared" si="149"/>
        <v>20140101KUCIE562</v>
      </c>
      <c r="BO240" s="427" t="str">
        <f t="shared" si="150"/>
        <v>20140101PSS</v>
      </c>
      <c r="BP240" s="407">
        <f>IF(BM240&lt;=MiscData!$B$23,MiscData!$C$23,IF(BM240&lt;=MiscData!$B$24,MiscData!$C$24,MiscData!$C$25))</f>
        <v>20140101</v>
      </c>
      <c r="BQ240" s="407" t="str">
        <f>VLOOKUP(BR240,MiscData!$V$4:$W$42,2,FALSE)</f>
        <v>KUCIE562</v>
      </c>
      <c r="BR240" s="407">
        <f>IF(BR239=MiscData!$V$42,1,BR239+1)</f>
        <v>3</v>
      </c>
      <c r="BS240" s="407" t="str">
        <f>VLOOKUP(BQ240,MiscData!$W$4:$Y$42,3,FALSE)</f>
        <v>PSS</v>
      </c>
    </row>
    <row r="241" spans="1:71" hidden="1">
      <c r="A241" s="416">
        <f t="shared" si="188"/>
        <v>220</v>
      </c>
      <c r="B241" s="416" t="str">
        <f t="shared" si="145"/>
        <v>Jul 2014</v>
      </c>
      <c r="C241" s="416" t="s">
        <v>221</v>
      </c>
      <c r="D241" s="417" t="str">
        <f t="shared" si="146"/>
        <v>TODP</v>
      </c>
      <c r="E241" s="417" t="str">
        <f t="shared" si="147"/>
        <v>KUCIE563</v>
      </c>
      <c r="F241" s="418">
        <f t="shared" si="151"/>
        <v>54</v>
      </c>
      <c r="G241" s="467">
        <v>3</v>
      </c>
      <c r="H241" s="418">
        <v>0</v>
      </c>
      <c r="I241" s="418">
        <v>0</v>
      </c>
      <c r="J241" s="418">
        <v>0</v>
      </c>
      <c r="K241" s="418">
        <f t="shared" si="152"/>
        <v>300636951</v>
      </c>
      <c r="L241" s="481">
        <v>0</v>
      </c>
      <c r="M241" s="443">
        <f t="shared" si="153"/>
        <v>611442.4</v>
      </c>
      <c r="N241" s="443">
        <f t="shared" si="154"/>
        <v>608164.5</v>
      </c>
      <c r="O241" s="443">
        <f t="shared" si="155"/>
        <v>598084.9</v>
      </c>
      <c r="P241" s="443">
        <f t="shared" si="156"/>
        <v>623693.80000000005</v>
      </c>
      <c r="Q241" s="443">
        <f t="shared" si="157"/>
        <v>609211.69999999995</v>
      </c>
      <c r="R241" s="443">
        <f t="shared" si="158"/>
        <v>599169.5</v>
      </c>
      <c r="S241" s="484">
        <v>12251.4</v>
      </c>
      <c r="T241" s="484">
        <v>1047.2</v>
      </c>
      <c r="U241" s="484">
        <v>1084.5999999999999</v>
      </c>
      <c r="V241" s="490">
        <v>0</v>
      </c>
      <c r="W241" s="490">
        <v>0</v>
      </c>
      <c r="X241" s="490">
        <v>0</v>
      </c>
      <c r="Y241" s="419">
        <f t="shared" si="159"/>
        <v>300</v>
      </c>
      <c r="Z241" s="420">
        <f t="shared" si="160"/>
        <v>3.7650000000000003E-2</v>
      </c>
      <c r="AA241" s="420">
        <v>0</v>
      </c>
      <c r="AB241" s="420">
        <v>0</v>
      </c>
      <c r="AC241" s="420">
        <f t="shared" si="161"/>
        <v>2.8920000000000001E-2</v>
      </c>
      <c r="AD241" s="419">
        <f t="shared" si="162"/>
        <v>1.71</v>
      </c>
      <c r="AE241" s="419">
        <f t="shared" si="163"/>
        <v>2.76</v>
      </c>
      <c r="AF241" s="419">
        <f t="shared" si="164"/>
        <v>4.26</v>
      </c>
      <c r="AG241" s="454">
        <f t="shared" si="165"/>
        <v>17100</v>
      </c>
      <c r="AH241" s="454">
        <f t="shared" si="187"/>
        <v>11318981.210000001</v>
      </c>
      <c r="AI241" s="421">
        <f t="shared" si="166"/>
        <v>1045566.5</v>
      </c>
      <c r="AJ241" s="421">
        <f t="shared" si="167"/>
        <v>1678534.02</v>
      </c>
      <c r="AK241" s="421">
        <f t="shared" si="168"/>
        <v>2547841.67</v>
      </c>
      <c r="AL241" s="472">
        <v>0</v>
      </c>
      <c r="AM241" s="422">
        <f t="shared" si="185"/>
        <v>0</v>
      </c>
      <c r="AN241" s="423">
        <f t="shared" si="169"/>
        <v>28460.560000000001</v>
      </c>
      <c r="AO241" s="421">
        <f t="shared" si="170"/>
        <v>5300402.7499999991</v>
      </c>
      <c r="AP241" s="472"/>
      <c r="AQ241" s="472">
        <v>0</v>
      </c>
      <c r="AR241" s="472">
        <v>0.04</v>
      </c>
      <c r="AS241" s="475">
        <v>0</v>
      </c>
      <c r="AT241" s="475">
        <v>0</v>
      </c>
      <c r="AU241" s="475">
        <v>0</v>
      </c>
      <c r="AV241" s="454">
        <f t="shared" si="171"/>
        <v>16636484</v>
      </c>
      <c r="AW241" s="421">
        <f t="shared" si="172"/>
        <v>16636484</v>
      </c>
      <c r="AX241" s="455">
        <f t="shared" si="189"/>
        <v>1</v>
      </c>
      <c r="AY241" s="424">
        <f t="shared" si="173"/>
        <v>980794.96</v>
      </c>
      <c r="AZ241" s="424">
        <f t="shared" si="174"/>
        <v>67588.11</v>
      </c>
      <c r="BA241" s="424">
        <f t="shared" si="175"/>
        <v>449790.47</v>
      </c>
      <c r="BB241" s="424">
        <f t="shared" si="176"/>
        <v>0</v>
      </c>
      <c r="BC241" s="424">
        <f t="shared" si="177"/>
        <v>0</v>
      </c>
      <c r="BD241" s="424">
        <f t="shared" si="178"/>
        <v>18134657.539999999</v>
      </c>
      <c r="BE241" s="452">
        <f t="shared" si="179"/>
        <v>18134657.539999999</v>
      </c>
      <c r="BF241" s="448">
        <f t="shared" si="180"/>
        <v>0</v>
      </c>
      <c r="BG241" s="456">
        <f t="shared" si="181"/>
        <v>8694420.6199999992</v>
      </c>
      <c r="BH241" s="457">
        <f t="shared" si="148"/>
        <v>2624560.5900000017</v>
      </c>
      <c r="BI241" s="407" t="s">
        <v>692</v>
      </c>
      <c r="BM241" s="429">
        <f>IF(BR241&gt;BR240,BM240,IF(BM240&lt;MiscData!$F$1,EOMONTH(BM240,1),EOMONTH(BM240,-11)))</f>
        <v>41851</v>
      </c>
      <c r="BN241" s="416" t="str">
        <f t="shared" si="149"/>
        <v>20140101KUCIE563</v>
      </c>
      <c r="BO241" s="427" t="str">
        <f t="shared" si="150"/>
        <v>20140101TODP</v>
      </c>
      <c r="BP241" s="407">
        <f>IF(BM241&lt;=MiscData!$B$23,MiscData!$C$23,IF(BM241&lt;=MiscData!$B$24,MiscData!$C$24,MiscData!$C$25))</f>
        <v>20140101</v>
      </c>
      <c r="BQ241" s="407" t="str">
        <f>VLOOKUP(BR241,MiscData!$V$4:$W$42,2,FALSE)</f>
        <v>KUCIE563</v>
      </c>
      <c r="BR241" s="407">
        <f>IF(BR240=MiscData!$V$42,1,BR240+1)</f>
        <v>4</v>
      </c>
      <c r="BS241" s="407" t="str">
        <f>VLOOKUP(BQ241,MiscData!$W$4:$Y$42,3,FALSE)</f>
        <v>TODP</v>
      </c>
    </row>
    <row r="242" spans="1:71">
      <c r="A242" s="416">
        <f t="shared" si="188"/>
        <v>221</v>
      </c>
      <c r="B242" s="416" t="str">
        <f t="shared" si="145"/>
        <v>Jul 2014</v>
      </c>
      <c r="C242" s="416" t="s">
        <v>26</v>
      </c>
      <c r="D242" s="417" t="str">
        <f t="shared" si="146"/>
        <v>PSP</v>
      </c>
      <c r="E242" s="417" t="str">
        <f t="shared" si="147"/>
        <v>KUCIE566</v>
      </c>
      <c r="F242" s="418">
        <f t="shared" si="151"/>
        <v>69</v>
      </c>
      <c r="G242" s="467">
        <v>0</v>
      </c>
      <c r="H242" s="418">
        <v>0</v>
      </c>
      <c r="I242" s="418">
        <v>0</v>
      </c>
      <c r="J242" s="418">
        <v>0</v>
      </c>
      <c r="K242" s="418">
        <f t="shared" si="152"/>
        <v>19965688</v>
      </c>
      <c r="L242" s="459">
        <v>0</v>
      </c>
      <c r="M242" s="443">
        <f t="shared" si="153"/>
        <v>0</v>
      </c>
      <c r="N242" s="443">
        <f t="shared" si="154"/>
        <v>0</v>
      </c>
      <c r="O242" s="443">
        <f t="shared" si="155"/>
        <v>43372.9</v>
      </c>
      <c r="P242" s="443">
        <f t="shared" si="156"/>
        <v>0</v>
      </c>
      <c r="Q242" s="443">
        <f t="shared" si="157"/>
        <v>0</v>
      </c>
      <c r="R242" s="443">
        <f t="shared" si="158"/>
        <v>45579.05</v>
      </c>
      <c r="S242" s="484"/>
      <c r="T242" s="484"/>
      <c r="U242" s="484">
        <v>2206.15</v>
      </c>
      <c r="V242" s="490">
        <v>0</v>
      </c>
      <c r="W242" s="490">
        <v>0</v>
      </c>
      <c r="X242" s="490">
        <v>0</v>
      </c>
      <c r="Y242" s="419">
        <f t="shared" si="159"/>
        <v>170</v>
      </c>
      <c r="Z242" s="420">
        <f t="shared" si="160"/>
        <v>3.5619999999999999E-2</v>
      </c>
      <c r="AA242" s="420">
        <v>0</v>
      </c>
      <c r="AB242" s="420">
        <v>0</v>
      </c>
      <c r="AC242" s="420">
        <f t="shared" si="161"/>
        <v>2.8920000000000001E-2</v>
      </c>
      <c r="AD242" s="419">
        <f t="shared" si="162"/>
        <v>0</v>
      </c>
      <c r="AE242" s="419">
        <f t="shared" si="163"/>
        <v>13.18</v>
      </c>
      <c r="AF242" s="419">
        <f t="shared" si="164"/>
        <v>15.28</v>
      </c>
      <c r="AG242" s="454">
        <f t="shared" si="165"/>
        <v>11730</v>
      </c>
      <c r="AH242" s="454">
        <f t="shared" si="187"/>
        <v>711177.81</v>
      </c>
      <c r="AI242" s="421">
        <f t="shared" si="166"/>
        <v>0</v>
      </c>
      <c r="AJ242" s="421">
        <f t="shared" si="167"/>
        <v>0</v>
      </c>
      <c r="AK242" s="421">
        <f t="shared" si="168"/>
        <v>662737.91</v>
      </c>
      <c r="AL242" s="472">
        <v>812.5</v>
      </c>
      <c r="AM242" s="422">
        <f t="shared" si="185"/>
        <v>12410.43</v>
      </c>
      <c r="AN242" s="423">
        <f t="shared" si="169"/>
        <v>33709.97</v>
      </c>
      <c r="AO242" s="421">
        <f t="shared" si="170"/>
        <v>709670.81</v>
      </c>
      <c r="AP242" s="472">
        <v>-240.43</v>
      </c>
      <c r="AQ242" s="472">
        <v>0.01</v>
      </c>
      <c r="AR242" s="472">
        <v>-5226.71</v>
      </c>
      <c r="AS242" s="475">
        <v>0</v>
      </c>
      <c r="AT242" s="475">
        <v>0</v>
      </c>
      <c r="AU242" s="475">
        <v>0</v>
      </c>
      <c r="AV242" s="454">
        <f t="shared" si="171"/>
        <v>1427111.4900000002</v>
      </c>
      <c r="AW242" s="421">
        <f t="shared" si="172"/>
        <v>1427111.4900000002</v>
      </c>
      <c r="AX242" s="455">
        <f t="shared" si="189"/>
        <v>1</v>
      </c>
      <c r="AY242" s="424">
        <f t="shared" si="173"/>
        <v>54567.24</v>
      </c>
      <c r="AZ242" s="424">
        <f t="shared" si="174"/>
        <v>16639.88</v>
      </c>
      <c r="BA242" s="424">
        <f t="shared" si="175"/>
        <v>49773.24</v>
      </c>
      <c r="BB242" s="424">
        <f t="shared" si="176"/>
        <v>0</v>
      </c>
      <c r="BC242" s="424">
        <f t="shared" si="177"/>
        <v>0</v>
      </c>
      <c r="BD242" s="424">
        <f t="shared" si="178"/>
        <v>1548091.85</v>
      </c>
      <c r="BE242" s="452">
        <f t="shared" si="179"/>
        <v>1548091.85</v>
      </c>
      <c r="BF242" s="448">
        <f t="shared" si="180"/>
        <v>0</v>
      </c>
      <c r="BG242" s="456">
        <f t="shared" si="181"/>
        <v>577407.69999999995</v>
      </c>
      <c r="BH242" s="457">
        <f t="shared" si="148"/>
        <v>133770.12000000011</v>
      </c>
      <c r="BI242" s="407" t="s">
        <v>692</v>
      </c>
      <c r="BM242" s="429">
        <f>IF(BR242&gt;BR241,BM241,IF(BM241&lt;MiscData!$F$1,EOMONTH(BM241,1),EOMONTH(BM241,-11)))</f>
        <v>41851</v>
      </c>
      <c r="BN242" s="416" t="str">
        <f t="shared" si="149"/>
        <v>20140101KUCIE566</v>
      </c>
      <c r="BO242" s="427" t="str">
        <f t="shared" si="150"/>
        <v>20140101PSP</v>
      </c>
      <c r="BP242" s="407">
        <f>IF(BM242&lt;=MiscData!$B$23,MiscData!$C$23,IF(BM242&lt;=MiscData!$B$24,MiscData!$C$24,MiscData!$C$25))</f>
        <v>20140101</v>
      </c>
      <c r="BQ242" s="407" t="str">
        <f>VLOOKUP(BR242,MiscData!$V$4:$W$42,2,FALSE)</f>
        <v>KUCIE566</v>
      </c>
      <c r="BR242" s="407">
        <f>IF(BR241=MiscData!$V$42,1,BR241+1)</f>
        <v>5</v>
      </c>
      <c r="BS242" s="407" t="str">
        <f>VLOOKUP(BQ242,MiscData!$W$4:$Y$42,3,FALSE)</f>
        <v>PSP</v>
      </c>
    </row>
    <row r="243" spans="1:71" hidden="1">
      <c r="A243" s="416">
        <f t="shared" si="188"/>
        <v>222</v>
      </c>
      <c r="B243" s="416" t="str">
        <f t="shared" si="145"/>
        <v>Jul 2014</v>
      </c>
      <c r="C243" s="416" t="s">
        <v>25</v>
      </c>
      <c r="D243" s="417" t="str">
        <f t="shared" si="146"/>
        <v>PSS</v>
      </c>
      <c r="E243" s="417" t="str">
        <f t="shared" si="147"/>
        <v>KUCIE568</v>
      </c>
      <c r="F243" s="418">
        <f t="shared" si="151"/>
        <v>379</v>
      </c>
      <c r="G243" s="467">
        <v>0</v>
      </c>
      <c r="H243" s="418">
        <v>0</v>
      </c>
      <c r="I243" s="418">
        <v>0</v>
      </c>
      <c r="J243" s="418">
        <v>0</v>
      </c>
      <c r="K243" s="418">
        <f t="shared" si="152"/>
        <v>59633358</v>
      </c>
      <c r="L243" s="459">
        <v>0</v>
      </c>
      <c r="M243" s="443">
        <f t="shared" si="153"/>
        <v>0</v>
      </c>
      <c r="N243" s="443">
        <f t="shared" si="154"/>
        <v>0</v>
      </c>
      <c r="O243" s="443">
        <f t="shared" si="155"/>
        <v>144196</v>
      </c>
      <c r="P243" s="443">
        <f t="shared" si="156"/>
        <v>0</v>
      </c>
      <c r="Q243" s="443">
        <f t="shared" si="157"/>
        <v>0</v>
      </c>
      <c r="R243" s="443">
        <f t="shared" si="158"/>
        <v>141783.94</v>
      </c>
      <c r="S243" s="484"/>
      <c r="T243" s="484"/>
      <c r="U243" s="484">
        <v>-2412.06</v>
      </c>
      <c r="V243" s="490">
        <v>0</v>
      </c>
      <c r="W243" s="490">
        <v>0</v>
      </c>
      <c r="X243" s="490">
        <v>0</v>
      </c>
      <c r="Y243" s="419">
        <f t="shared" si="159"/>
        <v>90</v>
      </c>
      <c r="Z243" s="420">
        <f t="shared" si="160"/>
        <v>3.5640000000000005E-2</v>
      </c>
      <c r="AA243" s="420">
        <v>0</v>
      </c>
      <c r="AB243" s="420">
        <v>0</v>
      </c>
      <c r="AC243" s="420">
        <f t="shared" si="161"/>
        <v>2.8920000000000001E-2</v>
      </c>
      <c r="AD243" s="419">
        <f t="shared" si="162"/>
        <v>0</v>
      </c>
      <c r="AE243" s="419">
        <f t="shared" si="163"/>
        <v>13.2</v>
      </c>
      <c r="AF243" s="419">
        <f t="shared" si="164"/>
        <v>15.3</v>
      </c>
      <c r="AG243" s="454">
        <f t="shared" si="165"/>
        <v>34110</v>
      </c>
      <c r="AH243" s="454">
        <f t="shared" si="187"/>
        <v>2125332.88</v>
      </c>
      <c r="AI243" s="421">
        <f t="shared" si="166"/>
        <v>0</v>
      </c>
      <c r="AJ243" s="421">
        <f t="shared" si="167"/>
        <v>0</v>
      </c>
      <c r="AK243" s="421">
        <f t="shared" si="168"/>
        <v>2206198.7999999998</v>
      </c>
      <c r="AL243" s="472">
        <v>335.25</v>
      </c>
      <c r="AM243" s="422">
        <f t="shared" si="185"/>
        <v>80606.559999999998</v>
      </c>
      <c r="AN243" s="423">
        <f t="shared" si="169"/>
        <v>-36904.519999999997</v>
      </c>
      <c r="AO243" s="421">
        <f t="shared" si="170"/>
        <v>2250236.09</v>
      </c>
      <c r="AP243" s="472">
        <v>-466.95</v>
      </c>
      <c r="AQ243" s="472">
        <v>-1183.6300000000001</v>
      </c>
      <c r="AR243" s="472">
        <v>-49941.43</v>
      </c>
      <c r="AS243" s="475">
        <v>0</v>
      </c>
      <c r="AT243" s="475">
        <v>0</v>
      </c>
      <c r="AU243" s="475">
        <v>0</v>
      </c>
      <c r="AV243" s="454">
        <f t="shared" si="171"/>
        <v>4358086.96</v>
      </c>
      <c r="AW243" s="421">
        <f t="shared" si="172"/>
        <v>4358086.96</v>
      </c>
      <c r="AX243" s="455">
        <f t="shared" si="189"/>
        <v>1</v>
      </c>
      <c r="AY243" s="424">
        <f t="shared" si="173"/>
        <v>158438.25</v>
      </c>
      <c r="AZ243" s="424">
        <f t="shared" si="174"/>
        <v>50241.26</v>
      </c>
      <c r="BA243" s="424">
        <f t="shared" si="175"/>
        <v>154894.49</v>
      </c>
      <c r="BB243" s="424">
        <f t="shared" si="176"/>
        <v>0</v>
      </c>
      <c r="BC243" s="424">
        <f t="shared" si="177"/>
        <v>0</v>
      </c>
      <c r="BD243" s="424">
        <f t="shared" si="178"/>
        <v>4721660.96</v>
      </c>
      <c r="BE243" s="452">
        <f t="shared" si="179"/>
        <v>4721660.96</v>
      </c>
      <c r="BF243" s="448">
        <f t="shared" si="180"/>
        <v>0</v>
      </c>
      <c r="BG243" s="456">
        <f t="shared" si="181"/>
        <v>1724596.71</v>
      </c>
      <c r="BH243" s="457">
        <f t="shared" si="148"/>
        <v>399552.54000000004</v>
      </c>
      <c r="BI243" s="407" t="s">
        <v>692</v>
      </c>
      <c r="BM243" s="429">
        <f>IF(BR243&gt;BR242,BM242,IF(BM242&lt;MiscData!$F$1,EOMONTH(BM242,1),EOMONTH(BM242,-11)))</f>
        <v>41851</v>
      </c>
      <c r="BN243" s="416" t="str">
        <f t="shared" si="149"/>
        <v>20140101KUCIE568</v>
      </c>
      <c r="BO243" s="427" t="str">
        <f t="shared" si="150"/>
        <v>20140101PSS</v>
      </c>
      <c r="BP243" s="407">
        <f>IF(BM243&lt;=MiscData!$B$23,MiscData!$C$23,IF(BM243&lt;=MiscData!$B$24,MiscData!$C$24,MiscData!$C$25))</f>
        <v>20140101</v>
      </c>
      <c r="BQ243" s="407" t="str">
        <f>VLOOKUP(BR243,MiscData!$V$4:$W$42,2,FALSE)</f>
        <v>KUCIE568</v>
      </c>
      <c r="BR243" s="407">
        <f>IF(BR242=MiscData!$V$42,1,BR242+1)</f>
        <v>6</v>
      </c>
      <c r="BS243" s="407" t="str">
        <f>VLOOKUP(BQ243,MiscData!$W$4:$Y$42,3,FALSE)</f>
        <v>PSS</v>
      </c>
    </row>
    <row r="244" spans="1:71" hidden="1">
      <c r="A244" s="416">
        <f t="shared" si="188"/>
        <v>223</v>
      </c>
      <c r="B244" s="416" t="str">
        <f t="shared" si="145"/>
        <v>Jul 2014</v>
      </c>
      <c r="C244" s="416" t="s">
        <v>221</v>
      </c>
      <c r="D244" s="417" t="str">
        <f t="shared" si="146"/>
        <v>TODP</v>
      </c>
      <c r="E244" s="417" t="str">
        <f t="shared" si="147"/>
        <v>KUCIE571</v>
      </c>
      <c r="F244" s="418">
        <f t="shared" si="151"/>
        <v>165</v>
      </c>
      <c r="G244" s="467">
        <v>5</v>
      </c>
      <c r="H244" s="418">
        <v>0</v>
      </c>
      <c r="I244" s="418">
        <v>0</v>
      </c>
      <c r="J244" s="418">
        <v>0</v>
      </c>
      <c r="K244" s="418">
        <f t="shared" si="152"/>
        <v>116046769</v>
      </c>
      <c r="L244" s="481">
        <v>0</v>
      </c>
      <c r="M244" s="443">
        <f t="shared" si="153"/>
        <v>290033.40000000002</v>
      </c>
      <c r="N244" s="443">
        <f t="shared" si="154"/>
        <v>287903.8</v>
      </c>
      <c r="O244" s="443">
        <f t="shared" si="155"/>
        <v>279562.59999999998</v>
      </c>
      <c r="P244" s="443">
        <f t="shared" si="156"/>
        <v>299599.09999999998</v>
      </c>
      <c r="Q244" s="443">
        <f t="shared" si="157"/>
        <v>289528.90000000002</v>
      </c>
      <c r="R244" s="443">
        <f t="shared" si="158"/>
        <v>282298</v>
      </c>
      <c r="S244" s="484">
        <v>9565.7000000000007</v>
      </c>
      <c r="T244" s="484">
        <v>1625.1</v>
      </c>
      <c r="U244" s="484">
        <v>2735.4</v>
      </c>
      <c r="V244" s="490">
        <v>0</v>
      </c>
      <c r="W244" s="490">
        <v>0</v>
      </c>
      <c r="X244" s="490">
        <v>0</v>
      </c>
      <c r="Y244" s="419">
        <f t="shared" si="159"/>
        <v>300</v>
      </c>
      <c r="Z244" s="420">
        <f t="shared" si="160"/>
        <v>3.7650000000000003E-2</v>
      </c>
      <c r="AA244" s="420">
        <v>0</v>
      </c>
      <c r="AB244" s="420">
        <v>0</v>
      </c>
      <c r="AC244" s="420">
        <f t="shared" si="161"/>
        <v>2.8920000000000001E-2</v>
      </c>
      <c r="AD244" s="419">
        <f t="shared" si="162"/>
        <v>1.71</v>
      </c>
      <c r="AE244" s="419">
        <f t="shared" si="163"/>
        <v>2.76</v>
      </c>
      <c r="AF244" s="419">
        <f t="shared" si="164"/>
        <v>4.26</v>
      </c>
      <c r="AG244" s="454">
        <f t="shared" si="165"/>
        <v>51000</v>
      </c>
      <c r="AH244" s="454">
        <f t="shared" si="187"/>
        <v>4369160.8499999996</v>
      </c>
      <c r="AI244" s="421">
        <f t="shared" si="166"/>
        <v>495957.11</v>
      </c>
      <c r="AJ244" s="421">
        <f t="shared" si="167"/>
        <v>794614.49</v>
      </c>
      <c r="AK244" s="421">
        <f t="shared" si="168"/>
        <v>1190936.68</v>
      </c>
      <c r="AL244" s="472">
        <v>18597.14</v>
      </c>
      <c r="AM244" s="422">
        <f t="shared" si="185"/>
        <v>0</v>
      </c>
      <c r="AN244" s="423">
        <f t="shared" si="169"/>
        <v>32495.43</v>
      </c>
      <c r="AO244" s="421">
        <f t="shared" si="170"/>
        <v>2532600.8500000006</v>
      </c>
      <c r="AP244" s="472">
        <v>-175.71</v>
      </c>
      <c r="AQ244" s="472">
        <v>0.05</v>
      </c>
      <c r="AR244" s="472">
        <v>3257.51</v>
      </c>
      <c r="AS244" s="475">
        <v>0</v>
      </c>
      <c r="AT244" s="475">
        <v>0</v>
      </c>
      <c r="AU244" s="475">
        <v>0</v>
      </c>
      <c r="AV244" s="454">
        <f t="shared" si="171"/>
        <v>6955843.5499999989</v>
      </c>
      <c r="AW244" s="421">
        <f t="shared" si="172"/>
        <v>6955843.5499999998</v>
      </c>
      <c r="AX244" s="455">
        <f t="shared" si="189"/>
        <v>1.0000000000000002</v>
      </c>
      <c r="AY244" s="424">
        <f t="shared" si="173"/>
        <v>316165.44</v>
      </c>
      <c r="AZ244" s="424">
        <f t="shared" si="174"/>
        <v>45814.1</v>
      </c>
      <c r="BA244" s="424">
        <f t="shared" si="175"/>
        <v>208475.07</v>
      </c>
      <c r="BB244" s="424">
        <f t="shared" si="176"/>
        <v>0</v>
      </c>
      <c r="BC244" s="424">
        <f t="shared" si="177"/>
        <v>0</v>
      </c>
      <c r="BD244" s="424">
        <f t="shared" si="178"/>
        <v>7526298.1600000001</v>
      </c>
      <c r="BE244" s="452">
        <f t="shared" si="179"/>
        <v>7526298.1599999992</v>
      </c>
      <c r="BF244" s="448">
        <f t="shared" si="180"/>
        <v>0</v>
      </c>
      <c r="BG244" s="456">
        <f t="shared" si="181"/>
        <v>3356072.56</v>
      </c>
      <c r="BH244" s="457">
        <f t="shared" si="148"/>
        <v>1013088.3399999994</v>
      </c>
      <c r="BI244" s="407" t="s">
        <v>692</v>
      </c>
      <c r="BM244" s="429">
        <f>IF(BR244&gt;BR243,BM243,IF(BM243&lt;MiscData!$F$1,EOMONTH(BM243,1),EOMONTH(BM243,-11)))</f>
        <v>41851</v>
      </c>
      <c r="BN244" s="416" t="str">
        <f t="shared" si="149"/>
        <v>20140101KUCIE571</v>
      </c>
      <c r="BO244" s="427" t="str">
        <f t="shared" si="150"/>
        <v>20140101TODP</v>
      </c>
      <c r="BP244" s="407">
        <f>IF(BM244&lt;=MiscData!$B$23,MiscData!$C$23,IF(BM244&lt;=MiscData!$B$24,MiscData!$C$24,MiscData!$C$25))</f>
        <v>20140101</v>
      </c>
      <c r="BQ244" s="407" t="str">
        <f>VLOOKUP(BR244,MiscData!$V$4:$W$42,2,FALSE)</f>
        <v>KUCIE571</v>
      </c>
      <c r="BR244" s="407">
        <f>IF(BR243=MiscData!$V$42,1,BR243+1)</f>
        <v>7</v>
      </c>
      <c r="BS244" s="407" t="str">
        <f>VLOOKUP(BQ244,MiscData!$W$4:$Y$42,3,FALSE)</f>
        <v>TODP</v>
      </c>
    </row>
    <row r="245" spans="1:71" hidden="1">
      <c r="A245" s="416">
        <f t="shared" si="188"/>
        <v>224</v>
      </c>
      <c r="B245" s="416" t="str">
        <f t="shared" si="145"/>
        <v>Jul 2014</v>
      </c>
      <c r="C245" s="416" t="s">
        <v>220</v>
      </c>
      <c r="D245" s="417" t="str">
        <f t="shared" si="146"/>
        <v>TODS</v>
      </c>
      <c r="E245" s="417" t="str">
        <f t="shared" si="147"/>
        <v>KUCIE572</v>
      </c>
      <c r="F245" s="418">
        <f t="shared" si="151"/>
        <v>475</v>
      </c>
      <c r="G245" s="467">
        <v>11</v>
      </c>
      <c r="H245" s="418">
        <v>0</v>
      </c>
      <c r="I245" s="418">
        <v>0</v>
      </c>
      <c r="J245" s="418">
        <v>0</v>
      </c>
      <c r="K245" s="418">
        <f t="shared" si="152"/>
        <v>124772908</v>
      </c>
      <c r="L245" s="481">
        <v>0</v>
      </c>
      <c r="M245" s="443">
        <f t="shared" si="153"/>
        <v>271984.40000000002</v>
      </c>
      <c r="N245" s="443">
        <f t="shared" si="154"/>
        <v>268249.40000000002</v>
      </c>
      <c r="O245" s="443">
        <f t="shared" si="155"/>
        <v>262540</v>
      </c>
      <c r="P245" s="443">
        <f t="shared" si="156"/>
        <v>290283.02500000002</v>
      </c>
      <c r="Q245" s="443">
        <f t="shared" si="157"/>
        <v>269933.90000000002</v>
      </c>
      <c r="R245" s="443">
        <f t="shared" si="158"/>
        <v>264707.8</v>
      </c>
      <c r="S245" s="484">
        <v>18298.63</v>
      </c>
      <c r="T245" s="484">
        <v>1684.5</v>
      </c>
      <c r="U245" s="484">
        <v>2167.8000000000002</v>
      </c>
      <c r="V245" s="490">
        <v>0</v>
      </c>
      <c r="W245" s="490">
        <v>0</v>
      </c>
      <c r="X245" s="490">
        <v>0</v>
      </c>
      <c r="Y245" s="419">
        <f t="shared" si="159"/>
        <v>200</v>
      </c>
      <c r="Z245" s="420">
        <f t="shared" si="160"/>
        <v>3.773E-2</v>
      </c>
      <c r="AA245" s="420">
        <v>0</v>
      </c>
      <c r="AB245" s="420">
        <v>0</v>
      </c>
      <c r="AC245" s="420">
        <f t="shared" si="161"/>
        <v>2.8920000000000001E-2</v>
      </c>
      <c r="AD245" s="419">
        <f t="shared" si="162"/>
        <v>3.62</v>
      </c>
      <c r="AE245" s="419">
        <f t="shared" si="163"/>
        <v>2.95</v>
      </c>
      <c r="AF245" s="419">
        <f t="shared" si="164"/>
        <v>4.55</v>
      </c>
      <c r="AG245" s="454">
        <f t="shared" si="165"/>
        <v>97200</v>
      </c>
      <c r="AH245" s="454">
        <f t="shared" si="187"/>
        <v>4707681.82</v>
      </c>
      <c r="AI245" s="421">
        <f t="shared" si="166"/>
        <v>984583.53</v>
      </c>
      <c r="AJ245" s="421">
        <f t="shared" si="167"/>
        <v>791335.73</v>
      </c>
      <c r="AK245" s="421">
        <f t="shared" si="168"/>
        <v>1194557</v>
      </c>
      <c r="AL245" s="472">
        <v>7977.61</v>
      </c>
      <c r="AM245" s="422">
        <f t="shared" si="185"/>
        <v>119390.8</v>
      </c>
      <c r="AN245" s="423">
        <f t="shared" si="169"/>
        <v>81073.81</v>
      </c>
      <c r="AO245" s="421">
        <f t="shared" si="170"/>
        <v>3178918.4799999995</v>
      </c>
      <c r="AP245" s="472">
        <v>-1246.46</v>
      </c>
      <c r="AQ245" s="472">
        <v>0.19</v>
      </c>
      <c r="AR245" s="472">
        <v>51473.45</v>
      </c>
      <c r="AS245" s="475">
        <v>0</v>
      </c>
      <c r="AT245" s="475">
        <v>0</v>
      </c>
      <c r="AU245" s="475">
        <v>0</v>
      </c>
      <c r="AV245" s="454">
        <f t="shared" si="171"/>
        <v>8034027.4800000004</v>
      </c>
      <c r="AW245" s="421">
        <f t="shared" si="172"/>
        <v>8034027.4800000004</v>
      </c>
      <c r="AX245" s="455">
        <f t="shared" si="189"/>
        <v>1</v>
      </c>
      <c r="AY245" s="424">
        <f t="shared" si="173"/>
        <v>343332.3</v>
      </c>
      <c r="AZ245" s="424">
        <f t="shared" si="174"/>
        <v>98252.91</v>
      </c>
      <c r="BA245" s="424">
        <f t="shared" si="175"/>
        <v>259219.87</v>
      </c>
      <c r="BB245" s="424">
        <f t="shared" si="176"/>
        <v>0</v>
      </c>
      <c r="BC245" s="424">
        <f t="shared" si="177"/>
        <v>0</v>
      </c>
      <c r="BD245" s="424">
        <f t="shared" si="178"/>
        <v>8734832.5600000005</v>
      </c>
      <c r="BE245" s="452">
        <f t="shared" si="179"/>
        <v>8734832.5599999987</v>
      </c>
      <c r="BF245" s="448">
        <f t="shared" si="180"/>
        <v>0</v>
      </c>
      <c r="BG245" s="456">
        <f t="shared" si="181"/>
        <v>3608432.5</v>
      </c>
      <c r="BH245" s="457">
        <f t="shared" si="148"/>
        <v>1099249.5100000007</v>
      </c>
      <c r="BI245" s="407" t="s">
        <v>692</v>
      </c>
      <c r="BM245" s="429">
        <f>IF(BR245&gt;BR244,BM244,IF(BM244&lt;MiscData!$F$1,EOMONTH(BM244,1),EOMONTH(BM244,-11)))</f>
        <v>41851</v>
      </c>
      <c r="BN245" s="416" t="str">
        <f t="shared" si="149"/>
        <v>20140101KUCIE572</v>
      </c>
      <c r="BO245" s="427" t="str">
        <f t="shared" si="150"/>
        <v>20140101TODS</v>
      </c>
      <c r="BP245" s="407">
        <f>IF(BM245&lt;=MiscData!$B$23,MiscData!$C$23,IF(BM245&lt;=MiscData!$B$24,MiscData!$C$24,MiscData!$C$25))</f>
        <v>20140101</v>
      </c>
      <c r="BQ245" s="407" t="str">
        <f>VLOOKUP(BR245,MiscData!$V$4:$W$42,2,FALSE)</f>
        <v>KUCIE572</v>
      </c>
      <c r="BR245" s="407">
        <f>IF(BR244=MiscData!$V$42,1,BR244+1)</f>
        <v>8</v>
      </c>
      <c r="BS245" s="407" t="str">
        <f>VLOOKUP(BQ245,MiscData!$W$4:$Y$42,3,FALSE)</f>
        <v>TODS</v>
      </c>
    </row>
    <row r="246" spans="1:71" hidden="1">
      <c r="A246" s="416">
        <f t="shared" si="188"/>
        <v>225</v>
      </c>
      <c r="B246" s="416" t="str">
        <f t="shared" si="145"/>
        <v>Jul 2014</v>
      </c>
      <c r="C246" s="416" t="s">
        <v>25</v>
      </c>
      <c r="D246" s="417" t="str">
        <f t="shared" si="146"/>
        <v>PSS</v>
      </c>
      <c r="E246" s="417" t="str">
        <f t="shared" si="147"/>
        <v>KUCIE717</v>
      </c>
      <c r="F246" s="418">
        <f t="shared" si="151"/>
        <v>1</v>
      </c>
      <c r="G246" s="467">
        <v>0</v>
      </c>
      <c r="H246" s="418">
        <v>0</v>
      </c>
      <c r="I246" s="418">
        <v>0</v>
      </c>
      <c r="J246" s="418">
        <v>0</v>
      </c>
      <c r="K246" s="418">
        <f t="shared" si="152"/>
        <v>33680</v>
      </c>
      <c r="L246" s="459">
        <v>0</v>
      </c>
      <c r="M246" s="443">
        <f t="shared" si="153"/>
        <v>0</v>
      </c>
      <c r="N246" s="443">
        <f t="shared" si="154"/>
        <v>0</v>
      </c>
      <c r="O246" s="443">
        <f t="shared" si="155"/>
        <v>99.1</v>
      </c>
      <c r="P246" s="443">
        <f t="shared" si="156"/>
        <v>0</v>
      </c>
      <c r="Q246" s="443">
        <f t="shared" si="157"/>
        <v>0</v>
      </c>
      <c r="R246" s="443">
        <f t="shared" si="158"/>
        <v>0</v>
      </c>
      <c r="S246" s="484">
        <v>0</v>
      </c>
      <c r="T246" s="484">
        <v>0</v>
      </c>
      <c r="U246" s="484">
        <v>0.9</v>
      </c>
      <c r="V246" s="490">
        <v>0</v>
      </c>
      <c r="W246" s="490">
        <v>0</v>
      </c>
      <c r="X246" s="490">
        <v>0</v>
      </c>
      <c r="Y246" s="419">
        <f t="shared" si="159"/>
        <v>90</v>
      </c>
      <c r="Z246" s="420">
        <f t="shared" si="160"/>
        <v>3.5640000000000005E-2</v>
      </c>
      <c r="AA246" s="420">
        <v>0</v>
      </c>
      <c r="AB246" s="420">
        <v>0</v>
      </c>
      <c r="AC246" s="420">
        <f t="shared" si="161"/>
        <v>2.8920000000000001E-2</v>
      </c>
      <c r="AD246" s="419">
        <f t="shared" si="162"/>
        <v>0</v>
      </c>
      <c r="AE246" s="419">
        <f t="shared" si="163"/>
        <v>13.2</v>
      </c>
      <c r="AF246" s="419">
        <f t="shared" si="164"/>
        <v>15.3</v>
      </c>
      <c r="AG246" s="454">
        <f t="shared" si="165"/>
        <v>90</v>
      </c>
      <c r="AH246" s="454">
        <f t="shared" si="187"/>
        <v>1200.3599999999999</v>
      </c>
      <c r="AI246" s="421">
        <f t="shared" si="166"/>
        <v>0</v>
      </c>
      <c r="AJ246" s="421">
        <f t="shared" si="167"/>
        <v>0</v>
      </c>
      <c r="AK246" s="421">
        <f t="shared" si="168"/>
        <v>1516.23</v>
      </c>
      <c r="AL246" s="472">
        <v>0</v>
      </c>
      <c r="AM246" s="422">
        <f t="shared" si="185"/>
        <v>0</v>
      </c>
      <c r="AN246" s="423">
        <f t="shared" si="169"/>
        <v>13.77</v>
      </c>
      <c r="AO246" s="421">
        <f t="shared" si="170"/>
        <v>1530</v>
      </c>
      <c r="AP246" s="472">
        <v>0</v>
      </c>
      <c r="AQ246" s="472">
        <v>0</v>
      </c>
      <c r="AR246" s="472">
        <v>0</v>
      </c>
      <c r="AS246" s="475">
        <v>0</v>
      </c>
      <c r="AT246" s="475">
        <v>0</v>
      </c>
      <c r="AU246" s="475">
        <v>0</v>
      </c>
      <c r="AV246" s="454">
        <f t="shared" si="171"/>
        <v>2820.36</v>
      </c>
      <c r="AW246" s="421">
        <f t="shared" si="172"/>
        <v>2820.36</v>
      </c>
      <c r="AX246" s="455">
        <f t="shared" si="189"/>
        <v>1</v>
      </c>
      <c r="AY246" s="424">
        <f t="shared" si="173"/>
        <v>86.22</v>
      </c>
      <c r="AZ246" s="424">
        <f t="shared" si="174"/>
        <v>46.14</v>
      </c>
      <c r="BA246" s="424">
        <f t="shared" si="175"/>
        <v>109.57</v>
      </c>
      <c r="BB246" s="424">
        <f t="shared" si="176"/>
        <v>0</v>
      </c>
      <c r="BC246" s="424">
        <f t="shared" si="177"/>
        <v>0</v>
      </c>
      <c r="BD246" s="424">
        <f t="shared" si="178"/>
        <v>3062.29</v>
      </c>
      <c r="BE246" s="452">
        <f t="shared" si="179"/>
        <v>3062.29</v>
      </c>
      <c r="BF246" s="448">
        <f t="shared" si="180"/>
        <v>0</v>
      </c>
      <c r="BG246" s="456">
        <f t="shared" si="181"/>
        <v>974.03</v>
      </c>
      <c r="BH246" s="457">
        <f t="shared" si="148"/>
        <v>226.32999999999993</v>
      </c>
      <c r="BI246" s="407" t="s">
        <v>692</v>
      </c>
      <c r="BM246" s="429">
        <f>IF(BR246&gt;BR245,BM245,IF(BM245&lt;MiscData!$F$1,EOMONTH(BM245,1),EOMONTH(BM245,-11)))</f>
        <v>41851</v>
      </c>
      <c r="BN246" s="416" t="str">
        <f t="shared" si="149"/>
        <v>20140101KUCIE717</v>
      </c>
      <c r="BO246" s="427" t="str">
        <f t="shared" si="150"/>
        <v>20140101PSS</v>
      </c>
      <c r="BP246" s="407">
        <f>IF(BM246&lt;=MiscData!$B$23,MiscData!$C$23,IF(BM246&lt;=MiscData!$B$24,MiscData!$C$24,MiscData!$C$25))</f>
        <v>20140101</v>
      </c>
      <c r="BQ246" s="407" t="str">
        <f>VLOOKUP(BR246,MiscData!$V$4:$W$42,2,FALSE)</f>
        <v>KUCIE717</v>
      </c>
      <c r="BR246" s="407">
        <f>IF(BR245=MiscData!$V$42,1,BR245+1)</f>
        <v>9</v>
      </c>
      <c r="BS246" s="407" t="str">
        <f>VLOOKUP(BQ246,MiscData!$W$4:$Y$42,3,FALSE)</f>
        <v>PSS</v>
      </c>
    </row>
    <row r="247" spans="1:71" hidden="1">
      <c r="A247" s="416">
        <f t="shared" si="188"/>
        <v>226</v>
      </c>
      <c r="B247" s="416" t="str">
        <f t="shared" si="145"/>
        <v>Jul 2014</v>
      </c>
      <c r="C247" s="416" t="s">
        <v>224</v>
      </c>
      <c r="D247" s="417" t="str">
        <f t="shared" si="146"/>
        <v>GS</v>
      </c>
      <c r="E247" s="417" t="str">
        <f t="shared" si="147"/>
        <v>KUCME110</v>
      </c>
      <c r="F247" s="418">
        <f t="shared" si="151"/>
        <v>63631</v>
      </c>
      <c r="G247" s="467">
        <v>0</v>
      </c>
      <c r="H247" s="418">
        <v>0</v>
      </c>
      <c r="I247" s="418">
        <v>0</v>
      </c>
      <c r="J247" s="418">
        <v>0</v>
      </c>
      <c r="K247" s="418">
        <f t="shared" si="152"/>
        <v>66109772</v>
      </c>
      <c r="L247" s="459">
        <v>0</v>
      </c>
      <c r="M247" s="443">
        <f t="shared" si="153"/>
        <v>97326.6</v>
      </c>
      <c r="N247" s="443">
        <f t="shared" si="154"/>
        <v>0</v>
      </c>
      <c r="O247" s="443">
        <f t="shared" si="155"/>
        <v>0</v>
      </c>
      <c r="P247" s="443">
        <f t="shared" si="156"/>
        <v>0</v>
      </c>
      <c r="Q247" s="443">
        <f t="shared" si="157"/>
        <v>0</v>
      </c>
      <c r="R247" s="443">
        <f t="shared" si="158"/>
        <v>0</v>
      </c>
      <c r="S247" s="484">
        <v>0</v>
      </c>
      <c r="T247" s="484">
        <v>0</v>
      </c>
      <c r="U247" s="484">
        <v>0</v>
      </c>
      <c r="V247" s="490">
        <v>0</v>
      </c>
      <c r="W247" s="490">
        <v>0</v>
      </c>
      <c r="X247" s="490">
        <v>0</v>
      </c>
      <c r="Y247" s="419">
        <f t="shared" si="159"/>
        <v>20</v>
      </c>
      <c r="Z247" s="420">
        <f t="shared" si="160"/>
        <v>9.2249999999999999E-2</v>
      </c>
      <c r="AA247" s="420">
        <v>0</v>
      </c>
      <c r="AB247" s="420">
        <v>0</v>
      </c>
      <c r="AC247" s="420">
        <f t="shared" si="161"/>
        <v>2.8920000000000001E-2</v>
      </c>
      <c r="AD247" s="419">
        <f t="shared" si="162"/>
        <v>0</v>
      </c>
      <c r="AE247" s="419">
        <f t="shared" si="163"/>
        <v>0</v>
      </c>
      <c r="AF247" s="419">
        <f t="shared" si="164"/>
        <v>0</v>
      </c>
      <c r="AG247" s="454">
        <f t="shared" si="165"/>
        <v>1272620</v>
      </c>
      <c r="AH247" s="454">
        <f t="shared" si="187"/>
        <v>6098626.4699999997</v>
      </c>
      <c r="AI247" s="421">
        <f t="shared" si="166"/>
        <v>0</v>
      </c>
      <c r="AJ247" s="421">
        <f t="shared" si="167"/>
        <v>0</v>
      </c>
      <c r="AK247" s="421">
        <f t="shared" si="168"/>
        <v>0</v>
      </c>
      <c r="AL247" s="472">
        <v>0</v>
      </c>
      <c r="AM247" s="422">
        <f t="shared" si="185"/>
        <v>0</v>
      </c>
      <c r="AN247" s="423">
        <f t="shared" si="169"/>
        <v>0</v>
      </c>
      <c r="AO247" s="421">
        <f t="shared" si="170"/>
        <v>0</v>
      </c>
      <c r="AP247" s="472">
        <v>19389.060000000001</v>
      </c>
      <c r="AQ247" s="472">
        <v>24.83</v>
      </c>
      <c r="AR247" s="472">
        <v>0</v>
      </c>
      <c r="AS247" s="475">
        <v>0</v>
      </c>
      <c r="AT247" s="475">
        <v>0</v>
      </c>
      <c r="AU247" s="475">
        <v>0</v>
      </c>
      <c r="AV247" s="454">
        <f t="shared" si="171"/>
        <v>7390660.3599999994</v>
      </c>
      <c r="AW247" s="421">
        <f t="shared" si="172"/>
        <v>7390660.3600000003</v>
      </c>
      <c r="AX247" s="455">
        <f t="shared" ref="AX247:AX256" si="190">IF(AND(AV247=0,AW247=0),1,IF(AV247=0,0,AW247/AV247))</f>
        <v>1.0000000000000002</v>
      </c>
      <c r="AY247" s="424">
        <f t="shared" si="173"/>
        <v>175473.96</v>
      </c>
      <c r="AZ247" s="424">
        <f t="shared" si="174"/>
        <v>195287.45</v>
      </c>
      <c r="BA247" s="424">
        <f t="shared" si="175"/>
        <v>326956.72000000003</v>
      </c>
      <c r="BB247" s="424">
        <f t="shared" si="176"/>
        <v>0</v>
      </c>
      <c r="BC247" s="424">
        <f t="shared" si="177"/>
        <v>0</v>
      </c>
      <c r="BD247" s="424">
        <f t="shared" si="178"/>
        <v>8088378.4900000002</v>
      </c>
      <c r="BE247" s="452">
        <f t="shared" si="179"/>
        <v>8088378.4899999993</v>
      </c>
      <c r="BF247" s="448">
        <f t="shared" si="180"/>
        <v>0</v>
      </c>
      <c r="BG247" s="456">
        <f t="shared" si="181"/>
        <v>1911894.61</v>
      </c>
      <c r="BH247" s="457">
        <f t="shared" si="148"/>
        <v>4186756.6899999995</v>
      </c>
      <c r="BI247" s="407" t="s">
        <v>692</v>
      </c>
      <c r="BM247" s="429">
        <f>IF(BR247&gt;BR246,BM246,IF(BM246&lt;MiscData!$F$1,EOMONTH(BM246,1),EOMONTH(BM246,-11)))</f>
        <v>41851</v>
      </c>
      <c r="BN247" s="416" t="str">
        <f t="shared" si="149"/>
        <v>20140101KUCME110</v>
      </c>
      <c r="BO247" s="427" t="str">
        <f t="shared" si="150"/>
        <v>20140101GS</v>
      </c>
      <c r="BP247" s="407">
        <f>IF(BM247&lt;=MiscData!$B$23,MiscData!$C$23,IF(BM247&lt;=MiscData!$B$24,MiscData!$C$24,MiscData!$C$25))</f>
        <v>20140101</v>
      </c>
      <c r="BQ247" s="407" t="str">
        <f>VLOOKUP(BR247,MiscData!$V$4:$W$42,2,FALSE)</f>
        <v>KUCME110</v>
      </c>
      <c r="BR247" s="407">
        <f>IF(BR246=MiscData!$V$42,1,BR246+1)</f>
        <v>10</v>
      </c>
      <c r="BS247" s="407" t="str">
        <f>VLOOKUP(BQ247,MiscData!$W$4:$Y$42,3,FALSE)</f>
        <v>GS</v>
      </c>
    </row>
    <row r="248" spans="1:71" hidden="1">
      <c r="A248" s="416">
        <f t="shared" si="188"/>
        <v>227</v>
      </c>
      <c r="B248" s="416" t="str">
        <f t="shared" si="145"/>
        <v>Jul 2014</v>
      </c>
      <c r="C248" s="416" t="s">
        <v>224</v>
      </c>
      <c r="D248" s="417" t="str">
        <f t="shared" si="146"/>
        <v>GS</v>
      </c>
      <c r="E248" s="417" t="str">
        <f t="shared" si="147"/>
        <v>KUCME112</v>
      </c>
      <c r="F248" s="418">
        <f t="shared" si="151"/>
        <v>61</v>
      </c>
      <c r="G248" s="467">
        <v>0</v>
      </c>
      <c r="H248" s="418">
        <v>0</v>
      </c>
      <c r="I248" s="418">
        <v>0</v>
      </c>
      <c r="J248" s="418">
        <v>0</v>
      </c>
      <c r="K248" s="418">
        <f t="shared" si="152"/>
        <v>10885</v>
      </c>
      <c r="L248" s="459">
        <v>0</v>
      </c>
      <c r="M248" s="443">
        <f t="shared" si="153"/>
        <v>0</v>
      </c>
      <c r="N248" s="443">
        <f t="shared" si="154"/>
        <v>0</v>
      </c>
      <c r="O248" s="443">
        <f t="shared" si="155"/>
        <v>0</v>
      </c>
      <c r="P248" s="443">
        <f t="shared" si="156"/>
        <v>0</v>
      </c>
      <c r="Q248" s="443">
        <f t="shared" si="157"/>
        <v>0</v>
      </c>
      <c r="R248" s="443">
        <f t="shared" si="158"/>
        <v>0</v>
      </c>
      <c r="S248" s="484">
        <v>0</v>
      </c>
      <c r="T248" s="484">
        <v>0</v>
      </c>
      <c r="U248" s="484">
        <v>0</v>
      </c>
      <c r="V248" s="490">
        <v>0</v>
      </c>
      <c r="W248" s="490">
        <v>0</v>
      </c>
      <c r="X248" s="490">
        <v>0</v>
      </c>
      <c r="Y248" s="419">
        <f t="shared" si="159"/>
        <v>20</v>
      </c>
      <c r="Z248" s="420">
        <f t="shared" si="160"/>
        <v>9.2249999999999999E-2</v>
      </c>
      <c r="AA248" s="420">
        <v>0</v>
      </c>
      <c r="AB248" s="420">
        <v>0</v>
      </c>
      <c r="AC248" s="420">
        <f t="shared" si="161"/>
        <v>2.8920000000000001E-2</v>
      </c>
      <c r="AD248" s="419">
        <f t="shared" si="162"/>
        <v>0</v>
      </c>
      <c r="AE248" s="419">
        <f t="shared" si="163"/>
        <v>0</v>
      </c>
      <c r="AF248" s="419">
        <f t="shared" si="164"/>
        <v>0</v>
      </c>
      <c r="AG248" s="454">
        <f t="shared" si="165"/>
        <v>1220</v>
      </c>
      <c r="AH248" s="454">
        <f t="shared" si="187"/>
        <v>1004.14</v>
      </c>
      <c r="AI248" s="421">
        <f t="shared" si="166"/>
        <v>0</v>
      </c>
      <c r="AJ248" s="421">
        <f t="shared" si="167"/>
        <v>0</v>
      </c>
      <c r="AK248" s="421">
        <f t="shared" si="168"/>
        <v>0</v>
      </c>
      <c r="AL248" s="472">
        <v>0</v>
      </c>
      <c r="AM248" s="422">
        <f t="shared" si="185"/>
        <v>0</v>
      </c>
      <c r="AN248" s="423">
        <f t="shared" si="169"/>
        <v>0</v>
      </c>
      <c r="AO248" s="421">
        <f t="shared" si="170"/>
        <v>0</v>
      </c>
      <c r="AP248" s="472">
        <v>20</v>
      </c>
      <c r="AQ248" s="472">
        <v>0.03</v>
      </c>
      <c r="AR248" s="472">
        <v>0</v>
      </c>
      <c r="AS248" s="475">
        <v>0</v>
      </c>
      <c r="AT248" s="475">
        <v>0</v>
      </c>
      <c r="AU248" s="475">
        <v>0</v>
      </c>
      <c r="AV248" s="454">
        <f t="shared" si="171"/>
        <v>2244.17</v>
      </c>
      <c r="AW248" s="421">
        <f t="shared" si="172"/>
        <v>2244.17</v>
      </c>
      <c r="AX248" s="455">
        <f t="shared" si="190"/>
        <v>1</v>
      </c>
      <c r="AY248" s="424">
        <f t="shared" si="173"/>
        <v>32</v>
      </c>
      <c r="AZ248" s="424">
        <f t="shared" si="174"/>
        <v>32.69</v>
      </c>
      <c r="BA248" s="424">
        <f t="shared" si="175"/>
        <v>112.1</v>
      </c>
      <c r="BB248" s="424">
        <f t="shared" si="176"/>
        <v>0</v>
      </c>
      <c r="BC248" s="424">
        <f t="shared" si="177"/>
        <v>0</v>
      </c>
      <c r="BD248" s="424">
        <f t="shared" si="178"/>
        <v>2420.96</v>
      </c>
      <c r="BE248" s="452">
        <f t="shared" si="179"/>
        <v>2420.96</v>
      </c>
      <c r="BF248" s="448">
        <f t="shared" si="180"/>
        <v>0</v>
      </c>
      <c r="BG248" s="456">
        <f t="shared" si="181"/>
        <v>314.79000000000002</v>
      </c>
      <c r="BH248" s="457">
        <f t="shared" si="148"/>
        <v>689.37999999999988</v>
      </c>
      <c r="BI248" s="407" t="s">
        <v>692</v>
      </c>
      <c r="BM248" s="429">
        <f>IF(BR248&gt;BR247,BM247,IF(BM247&lt;MiscData!$F$1,EOMONTH(BM247,1),EOMONTH(BM247,-11)))</f>
        <v>41851</v>
      </c>
      <c r="BN248" s="416" t="str">
        <f t="shared" si="149"/>
        <v>20140101KUCME112</v>
      </c>
      <c r="BO248" s="427" t="str">
        <f t="shared" si="150"/>
        <v>20140101GS</v>
      </c>
      <c r="BP248" s="407">
        <f>IF(BM248&lt;=MiscData!$B$23,MiscData!$C$23,IF(BM248&lt;=MiscData!$B$24,MiscData!$C$24,MiscData!$C$25))</f>
        <v>20140101</v>
      </c>
      <c r="BQ248" s="407" t="str">
        <f>VLOOKUP(BR248,MiscData!$V$4:$W$42,2,FALSE)</f>
        <v>KUCME112</v>
      </c>
      <c r="BR248" s="407">
        <f>IF(BR247=MiscData!$V$42,1,BR247+1)</f>
        <v>11</v>
      </c>
      <c r="BS248" s="407" t="str">
        <f>VLOOKUP(BQ248,MiscData!$W$4:$Y$42,3,FALSE)</f>
        <v>GS</v>
      </c>
    </row>
    <row r="249" spans="1:71" hidden="1">
      <c r="A249" s="416">
        <f t="shared" si="188"/>
        <v>228</v>
      </c>
      <c r="B249" s="416" t="str">
        <f t="shared" si="145"/>
        <v>Jul 2014</v>
      </c>
      <c r="C249" s="416" t="s">
        <v>18</v>
      </c>
      <c r="D249" s="417" t="str">
        <f t="shared" si="146"/>
        <v>GS3</v>
      </c>
      <c r="E249" s="417" t="str">
        <f t="shared" si="147"/>
        <v>KUCME113</v>
      </c>
      <c r="F249" s="418">
        <f t="shared" si="151"/>
        <v>18472</v>
      </c>
      <c r="G249" s="467">
        <v>0</v>
      </c>
      <c r="H249" s="418">
        <v>0</v>
      </c>
      <c r="I249" s="418">
        <v>0</v>
      </c>
      <c r="J249" s="418">
        <v>0</v>
      </c>
      <c r="K249" s="418">
        <f t="shared" si="152"/>
        <v>99447216</v>
      </c>
      <c r="L249" s="459">
        <v>0</v>
      </c>
      <c r="M249" s="443">
        <f t="shared" si="153"/>
        <v>379519.3</v>
      </c>
      <c r="N249" s="443">
        <f t="shared" si="154"/>
        <v>0</v>
      </c>
      <c r="O249" s="443">
        <f t="shared" si="155"/>
        <v>0</v>
      </c>
      <c r="P249" s="443">
        <f t="shared" si="156"/>
        <v>0</v>
      </c>
      <c r="Q249" s="443">
        <f t="shared" si="157"/>
        <v>0</v>
      </c>
      <c r="R249" s="443">
        <f t="shared" si="158"/>
        <v>0</v>
      </c>
      <c r="S249" s="484">
        <v>0</v>
      </c>
      <c r="T249" s="484">
        <v>0</v>
      </c>
      <c r="U249" s="484">
        <v>0</v>
      </c>
      <c r="V249" s="490">
        <v>0</v>
      </c>
      <c r="W249" s="490">
        <v>0</v>
      </c>
      <c r="X249" s="490">
        <v>0</v>
      </c>
      <c r="Y249" s="419">
        <f t="shared" si="159"/>
        <v>35</v>
      </c>
      <c r="Z249" s="420">
        <f t="shared" si="160"/>
        <v>9.2249999999999999E-2</v>
      </c>
      <c r="AA249" s="420">
        <v>0</v>
      </c>
      <c r="AB249" s="420">
        <v>0</v>
      </c>
      <c r="AC249" s="420">
        <f t="shared" si="161"/>
        <v>2.8920000000000001E-2</v>
      </c>
      <c r="AD249" s="419">
        <f t="shared" si="162"/>
        <v>0</v>
      </c>
      <c r="AE249" s="419">
        <f t="shared" si="163"/>
        <v>0</v>
      </c>
      <c r="AF249" s="419">
        <f t="shared" si="164"/>
        <v>0</v>
      </c>
      <c r="AG249" s="454">
        <f t="shared" si="165"/>
        <v>646520</v>
      </c>
      <c r="AH249" s="454">
        <f t="shared" si="187"/>
        <v>9174005.6799999997</v>
      </c>
      <c r="AI249" s="421">
        <f t="shared" si="166"/>
        <v>0</v>
      </c>
      <c r="AJ249" s="421">
        <f t="shared" si="167"/>
        <v>0</v>
      </c>
      <c r="AK249" s="421">
        <f t="shared" si="168"/>
        <v>0</v>
      </c>
      <c r="AL249" s="472">
        <v>0</v>
      </c>
      <c r="AM249" s="422">
        <f t="shared" si="185"/>
        <v>0</v>
      </c>
      <c r="AN249" s="423">
        <f t="shared" si="169"/>
        <v>0</v>
      </c>
      <c r="AO249" s="421">
        <f t="shared" si="170"/>
        <v>0</v>
      </c>
      <c r="AP249" s="472">
        <v>1073.03</v>
      </c>
      <c r="AQ249" s="472">
        <v>3.9</v>
      </c>
      <c r="AR249" s="472">
        <v>0</v>
      </c>
      <c r="AS249" s="475">
        <v>0</v>
      </c>
      <c r="AT249" s="475">
        <v>0</v>
      </c>
      <c r="AU249" s="475">
        <v>0</v>
      </c>
      <c r="AV249" s="454">
        <f t="shared" si="171"/>
        <v>9821602.6099999994</v>
      </c>
      <c r="AW249" s="421">
        <f t="shared" si="172"/>
        <v>9821602.6099999994</v>
      </c>
      <c r="AX249" s="455">
        <f t="shared" si="190"/>
        <v>1</v>
      </c>
      <c r="AY249" s="424">
        <f t="shared" si="173"/>
        <v>262983.51</v>
      </c>
      <c r="AZ249" s="424">
        <f t="shared" si="174"/>
        <v>279289.58</v>
      </c>
      <c r="BA249" s="424">
        <f t="shared" si="175"/>
        <v>416795.63</v>
      </c>
      <c r="BB249" s="424">
        <f t="shared" si="176"/>
        <v>0</v>
      </c>
      <c r="BC249" s="424">
        <f t="shared" si="177"/>
        <v>0</v>
      </c>
      <c r="BD249" s="424">
        <f t="shared" si="178"/>
        <v>10780671.33</v>
      </c>
      <c r="BE249" s="452">
        <f t="shared" si="179"/>
        <v>10780671.33</v>
      </c>
      <c r="BF249" s="448">
        <f t="shared" si="180"/>
        <v>0</v>
      </c>
      <c r="BG249" s="456">
        <f t="shared" si="181"/>
        <v>2876013.49</v>
      </c>
      <c r="BH249" s="457">
        <f t="shared" si="148"/>
        <v>6297996.0899999999</v>
      </c>
      <c r="BI249" s="407" t="s">
        <v>692</v>
      </c>
      <c r="BM249" s="429">
        <f>IF(BR249&gt;BR248,BM248,IF(BM248&lt;MiscData!$F$1,EOMONTH(BM248,1),EOMONTH(BM248,-11)))</f>
        <v>41851</v>
      </c>
      <c r="BN249" s="416" t="str">
        <f t="shared" si="149"/>
        <v>20140101KUCME113</v>
      </c>
      <c r="BO249" s="427" t="str">
        <f t="shared" si="150"/>
        <v>20140101GS3</v>
      </c>
      <c r="BP249" s="407">
        <f>IF(BM249&lt;=MiscData!$B$23,MiscData!$C$23,IF(BM249&lt;=MiscData!$B$24,MiscData!$C$24,MiscData!$C$25))</f>
        <v>20140101</v>
      </c>
      <c r="BQ249" s="407" t="str">
        <f>VLOOKUP(BR249,MiscData!$V$4:$W$42,2,FALSE)</f>
        <v>KUCME113</v>
      </c>
      <c r="BR249" s="407">
        <f>IF(BR248=MiscData!$V$42,1,BR248+1)</f>
        <v>12</v>
      </c>
      <c r="BS249" s="407" t="str">
        <f>VLOOKUP(BQ249,MiscData!$W$4:$Y$42,3,FALSE)</f>
        <v>GS3</v>
      </c>
    </row>
    <row r="250" spans="1:71" hidden="1">
      <c r="A250" s="416">
        <f t="shared" si="188"/>
        <v>229</v>
      </c>
      <c r="B250" s="416" t="str">
        <f t="shared" si="145"/>
        <v>Jul 2014</v>
      </c>
      <c r="C250" s="416" t="s">
        <v>219</v>
      </c>
      <c r="D250" s="417" t="str">
        <f t="shared" si="146"/>
        <v>AES</v>
      </c>
      <c r="E250" s="417" t="str">
        <f t="shared" si="147"/>
        <v>KUCME220</v>
      </c>
      <c r="F250" s="418">
        <f t="shared" si="151"/>
        <v>329</v>
      </c>
      <c r="G250" s="467">
        <v>20</v>
      </c>
      <c r="H250" s="418">
        <v>0</v>
      </c>
      <c r="I250" s="418">
        <v>0</v>
      </c>
      <c r="J250" s="418">
        <v>0</v>
      </c>
      <c r="K250" s="418">
        <f t="shared" si="152"/>
        <v>370960</v>
      </c>
      <c r="L250" s="481">
        <v>0</v>
      </c>
      <c r="M250" s="443">
        <f t="shared" si="153"/>
        <v>1786.2</v>
      </c>
      <c r="N250" s="443">
        <f t="shared" si="154"/>
        <v>0</v>
      </c>
      <c r="O250" s="443">
        <f t="shared" si="155"/>
        <v>0</v>
      </c>
      <c r="P250" s="443">
        <f t="shared" si="156"/>
        <v>0</v>
      </c>
      <c r="Q250" s="443">
        <f t="shared" si="157"/>
        <v>0</v>
      </c>
      <c r="R250" s="443">
        <f t="shared" si="158"/>
        <v>0</v>
      </c>
      <c r="S250" s="484">
        <v>0</v>
      </c>
      <c r="T250" s="484">
        <v>0</v>
      </c>
      <c r="U250" s="484">
        <v>0</v>
      </c>
      <c r="V250" s="490">
        <v>0</v>
      </c>
      <c r="W250" s="490">
        <v>0</v>
      </c>
      <c r="X250" s="490">
        <v>0</v>
      </c>
      <c r="Y250" s="419">
        <f t="shared" si="159"/>
        <v>20</v>
      </c>
      <c r="Z250" s="420">
        <f t="shared" si="160"/>
        <v>7.4399999999999994E-2</v>
      </c>
      <c r="AA250" s="420">
        <v>0</v>
      </c>
      <c r="AB250" s="420">
        <v>0</v>
      </c>
      <c r="AC250" s="420">
        <f t="shared" si="161"/>
        <v>2.8920000000000001E-2</v>
      </c>
      <c r="AD250" s="419">
        <f t="shared" si="162"/>
        <v>0</v>
      </c>
      <c r="AE250" s="419">
        <f t="shared" si="163"/>
        <v>0</v>
      </c>
      <c r="AF250" s="419">
        <f t="shared" si="164"/>
        <v>0</v>
      </c>
      <c r="AG250" s="454">
        <f t="shared" si="165"/>
        <v>6980</v>
      </c>
      <c r="AH250" s="454">
        <f t="shared" si="187"/>
        <v>27599.42</v>
      </c>
      <c r="AI250" s="421">
        <f t="shared" si="166"/>
        <v>0</v>
      </c>
      <c r="AJ250" s="421">
        <f t="shared" si="167"/>
        <v>0</v>
      </c>
      <c r="AK250" s="421">
        <f t="shared" si="168"/>
        <v>0</v>
      </c>
      <c r="AL250" s="472">
        <v>0</v>
      </c>
      <c r="AM250" s="422">
        <f t="shared" si="185"/>
        <v>0</v>
      </c>
      <c r="AN250" s="423">
        <f t="shared" si="169"/>
        <v>0</v>
      </c>
      <c r="AO250" s="421">
        <f t="shared" si="170"/>
        <v>0</v>
      </c>
      <c r="AP250" s="472">
        <v>-68.87</v>
      </c>
      <c r="AQ250" s="472">
        <v>0.02</v>
      </c>
      <c r="AR250" s="472">
        <v>0</v>
      </c>
      <c r="AS250" s="475">
        <v>0</v>
      </c>
      <c r="AT250" s="475">
        <v>0</v>
      </c>
      <c r="AU250" s="475">
        <v>0</v>
      </c>
      <c r="AV250" s="454">
        <f t="shared" si="171"/>
        <v>34510.569999999992</v>
      </c>
      <c r="AW250" s="421">
        <f t="shared" si="172"/>
        <v>34510.570000000007</v>
      </c>
      <c r="AX250" s="455">
        <f t="shared" si="190"/>
        <v>1.0000000000000004</v>
      </c>
      <c r="AY250" s="424">
        <f t="shared" si="173"/>
        <v>1133.47</v>
      </c>
      <c r="AZ250" s="424">
        <f t="shared" si="174"/>
        <v>456.2</v>
      </c>
      <c r="BA250" s="424">
        <f t="shared" si="175"/>
        <v>1177.17</v>
      </c>
      <c r="BB250" s="424">
        <f t="shared" si="176"/>
        <v>0</v>
      </c>
      <c r="BC250" s="424">
        <f t="shared" si="177"/>
        <v>0</v>
      </c>
      <c r="BD250" s="424">
        <f t="shared" si="178"/>
        <v>37277.410000000003</v>
      </c>
      <c r="BE250" s="452">
        <f t="shared" si="179"/>
        <v>37277.409999999989</v>
      </c>
      <c r="BF250" s="448">
        <f t="shared" si="180"/>
        <v>0</v>
      </c>
      <c r="BG250" s="456">
        <f t="shared" si="181"/>
        <v>10728.16</v>
      </c>
      <c r="BH250" s="457">
        <f t="shared" si="148"/>
        <v>16871.28</v>
      </c>
      <c r="BI250" s="407" t="s">
        <v>692</v>
      </c>
      <c r="BM250" s="429">
        <f>IF(BR250&gt;BR249,BM249,IF(BM249&lt;MiscData!$F$1,EOMONTH(BM249,1),EOMONTH(BM249,-11)))</f>
        <v>41851</v>
      </c>
      <c r="BN250" s="416" t="str">
        <f t="shared" si="149"/>
        <v>20140101KUCME220</v>
      </c>
      <c r="BO250" s="427" t="str">
        <f t="shared" si="150"/>
        <v>20140101AES</v>
      </c>
      <c r="BP250" s="407">
        <f>IF(BM250&lt;=MiscData!$B$23,MiscData!$C$23,IF(BM250&lt;=MiscData!$B$24,MiscData!$C$24,MiscData!$C$25))</f>
        <v>20140101</v>
      </c>
      <c r="BQ250" s="407" t="str">
        <f>VLOOKUP(BR250,MiscData!$V$4:$W$42,2,FALSE)</f>
        <v>KUCME220</v>
      </c>
      <c r="BR250" s="407">
        <f>IF(BR249=MiscData!$V$42,1,BR249+1)</f>
        <v>13</v>
      </c>
      <c r="BS250" s="407" t="str">
        <f>VLOOKUP(BQ250,MiscData!$W$4:$Y$42,3,FALSE)</f>
        <v>AES</v>
      </c>
    </row>
    <row r="251" spans="1:71" hidden="1">
      <c r="A251" s="416">
        <f t="shared" si="188"/>
        <v>230</v>
      </c>
      <c r="B251" s="416" t="str">
        <f t="shared" si="145"/>
        <v>Jul 2014</v>
      </c>
      <c r="C251" s="416" t="s">
        <v>219</v>
      </c>
      <c r="D251" s="417" t="str">
        <f t="shared" si="146"/>
        <v>AES</v>
      </c>
      <c r="E251" s="417" t="str">
        <f t="shared" si="147"/>
        <v>KUCME221</v>
      </c>
      <c r="F251" s="418">
        <f t="shared" si="151"/>
        <v>6</v>
      </c>
      <c r="G251" s="467">
        <v>2</v>
      </c>
      <c r="H251" s="418">
        <v>0</v>
      </c>
      <c r="I251" s="418">
        <v>0</v>
      </c>
      <c r="J251" s="418">
        <v>0</v>
      </c>
      <c r="K251" s="418">
        <f t="shared" si="152"/>
        <v>360</v>
      </c>
      <c r="L251" s="481">
        <v>0</v>
      </c>
      <c r="M251" s="443">
        <f t="shared" si="153"/>
        <v>160.19999999999999</v>
      </c>
      <c r="N251" s="443">
        <f t="shared" si="154"/>
        <v>0</v>
      </c>
      <c r="O251" s="443">
        <f t="shared" si="155"/>
        <v>0</v>
      </c>
      <c r="P251" s="443">
        <f t="shared" si="156"/>
        <v>0</v>
      </c>
      <c r="Q251" s="443">
        <f t="shared" si="157"/>
        <v>0</v>
      </c>
      <c r="R251" s="443">
        <f t="shared" si="158"/>
        <v>0</v>
      </c>
      <c r="S251" s="484">
        <v>0</v>
      </c>
      <c r="T251" s="484">
        <v>0</v>
      </c>
      <c r="U251" s="484">
        <v>0</v>
      </c>
      <c r="V251" s="490">
        <v>0</v>
      </c>
      <c r="W251" s="490">
        <v>0</v>
      </c>
      <c r="X251" s="490">
        <v>0</v>
      </c>
      <c r="Y251" s="419">
        <f t="shared" si="159"/>
        <v>20</v>
      </c>
      <c r="Z251" s="420">
        <f t="shared" si="160"/>
        <v>7.4399999999999994E-2</v>
      </c>
      <c r="AA251" s="420">
        <v>0</v>
      </c>
      <c r="AB251" s="420">
        <v>0</v>
      </c>
      <c r="AC251" s="420">
        <f t="shared" si="161"/>
        <v>2.8920000000000001E-2</v>
      </c>
      <c r="AD251" s="419">
        <f t="shared" si="162"/>
        <v>0</v>
      </c>
      <c r="AE251" s="419">
        <f t="shared" si="163"/>
        <v>0</v>
      </c>
      <c r="AF251" s="419">
        <f t="shared" si="164"/>
        <v>0</v>
      </c>
      <c r="AG251" s="454">
        <f t="shared" si="165"/>
        <v>160</v>
      </c>
      <c r="AH251" s="454">
        <f t="shared" si="187"/>
        <v>26.78</v>
      </c>
      <c r="AI251" s="421">
        <f t="shared" si="166"/>
        <v>0</v>
      </c>
      <c r="AJ251" s="421">
        <f t="shared" si="167"/>
        <v>0</v>
      </c>
      <c r="AK251" s="421">
        <f t="shared" si="168"/>
        <v>0</v>
      </c>
      <c r="AL251" s="472">
        <v>0</v>
      </c>
      <c r="AM251" s="422">
        <f t="shared" si="185"/>
        <v>0</v>
      </c>
      <c r="AN251" s="423">
        <f t="shared" si="169"/>
        <v>0</v>
      </c>
      <c r="AO251" s="421">
        <f t="shared" si="170"/>
        <v>0</v>
      </c>
      <c r="AP251" s="472">
        <v>0</v>
      </c>
      <c r="AQ251" s="472">
        <v>0</v>
      </c>
      <c r="AR251" s="472">
        <v>0</v>
      </c>
      <c r="AS251" s="475">
        <v>0</v>
      </c>
      <c r="AT251" s="475">
        <v>0</v>
      </c>
      <c r="AU251" s="475">
        <v>0</v>
      </c>
      <c r="AV251" s="454">
        <f t="shared" si="171"/>
        <v>186.78</v>
      </c>
      <c r="AW251" s="421">
        <f t="shared" si="172"/>
        <v>186.78</v>
      </c>
      <c r="AX251" s="455">
        <f t="shared" si="190"/>
        <v>1</v>
      </c>
      <c r="AY251" s="424">
        <f t="shared" si="173"/>
        <v>1.35</v>
      </c>
      <c r="AZ251" s="424">
        <f t="shared" si="174"/>
        <v>0.44</v>
      </c>
      <c r="BA251" s="424">
        <f t="shared" si="175"/>
        <v>6.11</v>
      </c>
      <c r="BB251" s="424">
        <f t="shared" si="176"/>
        <v>0</v>
      </c>
      <c r="BC251" s="424">
        <f t="shared" si="177"/>
        <v>0</v>
      </c>
      <c r="BD251" s="424">
        <f t="shared" si="178"/>
        <v>194.68</v>
      </c>
      <c r="BE251" s="452">
        <f t="shared" si="179"/>
        <v>194.68</v>
      </c>
      <c r="BF251" s="448">
        <f t="shared" si="180"/>
        <v>0</v>
      </c>
      <c r="BG251" s="456">
        <f t="shared" si="181"/>
        <v>10.41</v>
      </c>
      <c r="BH251" s="457">
        <f t="shared" si="148"/>
        <v>16.37</v>
      </c>
      <c r="BI251" s="407" t="s">
        <v>692</v>
      </c>
      <c r="BM251" s="429">
        <f>IF(BR251&gt;BR250,BM250,IF(BM250&lt;MiscData!$F$1,EOMONTH(BM250,1),EOMONTH(BM250,-11)))</f>
        <v>41851</v>
      </c>
      <c r="BN251" s="416" t="str">
        <f t="shared" si="149"/>
        <v>20140101KUCME221</v>
      </c>
      <c r="BO251" s="427" t="str">
        <f t="shared" si="150"/>
        <v>20140101AES</v>
      </c>
      <c r="BP251" s="407">
        <f>IF(BM251&lt;=MiscData!$B$23,MiscData!$C$23,IF(BM251&lt;=MiscData!$B$24,MiscData!$C$24,MiscData!$C$25))</f>
        <v>20140101</v>
      </c>
      <c r="BQ251" s="407" t="str">
        <f>VLOOKUP(BR251,MiscData!$V$4:$W$42,2,FALSE)</f>
        <v>KUCME221</v>
      </c>
      <c r="BR251" s="407">
        <f>IF(BR250=MiscData!$V$42,1,BR250+1)</f>
        <v>14</v>
      </c>
      <c r="BS251" s="407" t="str">
        <f>VLOOKUP(BQ251,MiscData!$W$4:$Y$42,3,FALSE)</f>
        <v>AES</v>
      </c>
    </row>
    <row r="252" spans="1:71" hidden="1">
      <c r="A252" s="416">
        <f t="shared" si="188"/>
        <v>231</v>
      </c>
      <c r="B252" s="416" t="str">
        <f t="shared" si="145"/>
        <v>Jul 2014</v>
      </c>
      <c r="C252" s="837" t="s">
        <v>228</v>
      </c>
      <c r="D252" s="417" t="str">
        <f t="shared" si="146"/>
        <v>AES3</v>
      </c>
      <c r="E252" s="417" t="str">
        <f t="shared" si="147"/>
        <v>KUCME223</v>
      </c>
      <c r="F252" s="418">
        <f t="shared" si="151"/>
        <v>67</v>
      </c>
      <c r="G252" s="467">
        <v>1</v>
      </c>
      <c r="H252" s="418">
        <v>0</v>
      </c>
      <c r="I252" s="418">
        <v>0</v>
      </c>
      <c r="J252" s="418">
        <v>0</v>
      </c>
      <c r="K252" s="418">
        <f t="shared" si="152"/>
        <v>293238</v>
      </c>
      <c r="L252" s="481">
        <v>0</v>
      </c>
      <c r="M252" s="443">
        <f t="shared" si="153"/>
        <v>1908.7</v>
      </c>
      <c r="N252" s="443">
        <f t="shared" si="154"/>
        <v>0</v>
      </c>
      <c r="O252" s="443">
        <f t="shared" si="155"/>
        <v>0</v>
      </c>
      <c r="P252" s="443">
        <f t="shared" si="156"/>
        <v>0</v>
      </c>
      <c r="Q252" s="443">
        <f t="shared" si="157"/>
        <v>0</v>
      </c>
      <c r="R252" s="443">
        <f t="shared" si="158"/>
        <v>0</v>
      </c>
      <c r="S252" s="484">
        <v>0</v>
      </c>
      <c r="T252" s="484">
        <v>0</v>
      </c>
      <c r="U252" s="484">
        <v>0</v>
      </c>
      <c r="V252" s="490">
        <v>0</v>
      </c>
      <c r="W252" s="490">
        <v>0</v>
      </c>
      <c r="X252" s="490">
        <v>0</v>
      </c>
      <c r="Y252" s="419">
        <f t="shared" si="159"/>
        <v>35</v>
      </c>
      <c r="Z252" s="420">
        <f t="shared" si="160"/>
        <v>7.4399999999999994E-2</v>
      </c>
      <c r="AA252" s="420">
        <v>0</v>
      </c>
      <c r="AB252" s="420">
        <v>0</v>
      </c>
      <c r="AC252" s="420">
        <f t="shared" si="161"/>
        <v>2.8920000000000001E-2</v>
      </c>
      <c r="AD252" s="419">
        <f t="shared" si="162"/>
        <v>0</v>
      </c>
      <c r="AE252" s="419">
        <f t="shared" si="163"/>
        <v>0</v>
      </c>
      <c r="AF252" s="419">
        <f t="shared" si="164"/>
        <v>0</v>
      </c>
      <c r="AG252" s="454">
        <f t="shared" si="165"/>
        <v>2380</v>
      </c>
      <c r="AH252" s="454">
        <f t="shared" si="187"/>
        <v>21816.91</v>
      </c>
      <c r="AI252" s="421">
        <f t="shared" si="166"/>
        <v>0</v>
      </c>
      <c r="AJ252" s="421">
        <f t="shared" si="167"/>
        <v>0</v>
      </c>
      <c r="AK252" s="421">
        <f t="shared" si="168"/>
        <v>0</v>
      </c>
      <c r="AL252" s="472">
        <v>0</v>
      </c>
      <c r="AM252" s="422">
        <f t="shared" si="185"/>
        <v>0</v>
      </c>
      <c r="AN252" s="423">
        <f t="shared" si="169"/>
        <v>0</v>
      </c>
      <c r="AO252" s="421">
        <f t="shared" si="170"/>
        <v>0</v>
      </c>
      <c r="AP252" s="472">
        <v>0</v>
      </c>
      <c r="AQ252" s="472">
        <v>0.01</v>
      </c>
      <c r="AR252" s="472">
        <v>0</v>
      </c>
      <c r="AS252" s="475">
        <v>0</v>
      </c>
      <c r="AT252" s="475">
        <v>0</v>
      </c>
      <c r="AU252" s="475">
        <v>0</v>
      </c>
      <c r="AV252" s="454">
        <f t="shared" si="171"/>
        <v>24196.92</v>
      </c>
      <c r="AW252" s="421">
        <f t="shared" si="172"/>
        <v>24196.92</v>
      </c>
      <c r="AX252" s="455">
        <f t="shared" si="190"/>
        <v>1</v>
      </c>
      <c r="AY252" s="424">
        <f t="shared" si="173"/>
        <v>791.92</v>
      </c>
      <c r="AZ252" s="424">
        <f t="shared" si="174"/>
        <v>360.68</v>
      </c>
      <c r="BA252" s="424">
        <f t="shared" si="175"/>
        <v>838.51</v>
      </c>
      <c r="BB252" s="424">
        <f t="shared" si="176"/>
        <v>0</v>
      </c>
      <c r="BC252" s="424">
        <f t="shared" si="177"/>
        <v>0</v>
      </c>
      <c r="BD252" s="424">
        <f t="shared" si="178"/>
        <v>26188.03</v>
      </c>
      <c r="BE252" s="452">
        <f t="shared" si="179"/>
        <v>26188.029999999995</v>
      </c>
      <c r="BF252" s="448">
        <f t="shared" si="180"/>
        <v>0</v>
      </c>
      <c r="BG252" s="456">
        <f t="shared" si="181"/>
        <v>8480.44</v>
      </c>
      <c r="BH252" s="457">
        <f t="shared" si="148"/>
        <v>13336.479999999998</v>
      </c>
      <c r="BI252" s="407" t="s">
        <v>692</v>
      </c>
      <c r="BM252" s="429">
        <f>IF(BR252&gt;BR251,BM251,IF(BM251&lt;MiscData!$F$1,EOMONTH(BM251,1),EOMONTH(BM251,-11)))</f>
        <v>41851</v>
      </c>
      <c r="BN252" s="416" t="str">
        <f t="shared" si="149"/>
        <v>20140101KUCME223</v>
      </c>
      <c r="BO252" s="427" t="str">
        <f t="shared" si="150"/>
        <v>20140101AES3</v>
      </c>
      <c r="BP252" s="407">
        <f>IF(BM252&lt;=MiscData!$B$23,MiscData!$C$23,IF(BM252&lt;=MiscData!$B$24,MiscData!$C$24,MiscData!$C$25))</f>
        <v>20140101</v>
      </c>
      <c r="BQ252" s="407" t="str">
        <f>VLOOKUP(BR252,MiscData!$V$4:$W$42,2,FALSE)</f>
        <v>KUCME223</v>
      </c>
      <c r="BR252" s="407">
        <f>IF(BR251=MiscData!$V$42,1,BR251+1)</f>
        <v>15</v>
      </c>
      <c r="BS252" s="407" t="str">
        <f>VLOOKUP(BQ252,MiscData!$W$4:$Y$42,3,FALSE)</f>
        <v>AES3</v>
      </c>
    </row>
    <row r="253" spans="1:71" hidden="1">
      <c r="A253" s="416">
        <f t="shared" si="188"/>
        <v>232</v>
      </c>
      <c r="B253" s="416" t="str">
        <f t="shared" si="145"/>
        <v>Jul 2014</v>
      </c>
      <c r="C253" s="837" t="s">
        <v>228</v>
      </c>
      <c r="D253" s="417" t="str">
        <f t="shared" si="146"/>
        <v>AES3</v>
      </c>
      <c r="E253" s="417" t="str">
        <f t="shared" si="147"/>
        <v>KUCME224</v>
      </c>
      <c r="F253" s="418">
        <f t="shared" si="151"/>
        <v>4</v>
      </c>
      <c r="G253" s="467">
        <v>0</v>
      </c>
      <c r="H253" s="418">
        <v>0</v>
      </c>
      <c r="I253" s="418">
        <v>0</v>
      </c>
      <c r="J253" s="418">
        <v>0</v>
      </c>
      <c r="K253" s="418">
        <f t="shared" si="152"/>
        <v>219600</v>
      </c>
      <c r="L253" s="481">
        <v>0</v>
      </c>
      <c r="M253" s="443">
        <f t="shared" si="153"/>
        <v>647.79999999999995</v>
      </c>
      <c r="N253" s="443">
        <f t="shared" si="154"/>
        <v>0</v>
      </c>
      <c r="O253" s="443">
        <f t="shared" si="155"/>
        <v>0</v>
      </c>
      <c r="P253" s="443">
        <f t="shared" si="156"/>
        <v>0</v>
      </c>
      <c r="Q253" s="443">
        <f t="shared" si="157"/>
        <v>0</v>
      </c>
      <c r="R253" s="443">
        <f t="shared" si="158"/>
        <v>0</v>
      </c>
      <c r="S253" s="484">
        <v>0</v>
      </c>
      <c r="T253" s="484">
        <v>0</v>
      </c>
      <c r="U253" s="484">
        <v>0</v>
      </c>
      <c r="V253" s="490">
        <v>0</v>
      </c>
      <c r="W253" s="490">
        <v>0</v>
      </c>
      <c r="X253" s="490">
        <v>0</v>
      </c>
      <c r="Y253" s="419">
        <f t="shared" si="159"/>
        <v>35</v>
      </c>
      <c r="Z253" s="420">
        <f t="shared" si="160"/>
        <v>7.4399999999999994E-2</v>
      </c>
      <c r="AA253" s="420">
        <v>0</v>
      </c>
      <c r="AB253" s="420">
        <v>0</v>
      </c>
      <c r="AC253" s="420">
        <f t="shared" si="161"/>
        <v>2.8920000000000001E-2</v>
      </c>
      <c r="AD253" s="419">
        <f t="shared" si="162"/>
        <v>0</v>
      </c>
      <c r="AE253" s="419">
        <f t="shared" si="163"/>
        <v>0</v>
      </c>
      <c r="AF253" s="419">
        <f t="shared" si="164"/>
        <v>0</v>
      </c>
      <c r="AG253" s="454">
        <f t="shared" si="165"/>
        <v>140</v>
      </c>
      <c r="AH253" s="454">
        <f t="shared" si="187"/>
        <v>16338.24</v>
      </c>
      <c r="AI253" s="421">
        <f t="shared" si="166"/>
        <v>0</v>
      </c>
      <c r="AJ253" s="421">
        <f t="shared" si="167"/>
        <v>0</v>
      </c>
      <c r="AK253" s="421">
        <f t="shared" si="168"/>
        <v>0</v>
      </c>
      <c r="AL253" s="472">
        <v>0</v>
      </c>
      <c r="AM253" s="422">
        <f t="shared" si="185"/>
        <v>0</v>
      </c>
      <c r="AN253" s="423">
        <f t="shared" si="169"/>
        <v>0</v>
      </c>
      <c r="AO253" s="421">
        <f t="shared" si="170"/>
        <v>0</v>
      </c>
      <c r="AP253" s="472">
        <v>0</v>
      </c>
      <c r="AQ253" s="472">
        <v>0</v>
      </c>
      <c r="AR253" s="472">
        <v>0</v>
      </c>
      <c r="AS253" s="475">
        <v>0</v>
      </c>
      <c r="AT253" s="475">
        <v>0</v>
      </c>
      <c r="AU253" s="475">
        <v>0</v>
      </c>
      <c r="AV253" s="454">
        <f t="shared" si="171"/>
        <v>16478.239999999998</v>
      </c>
      <c r="AW253" s="421">
        <f t="shared" si="172"/>
        <v>16478.239999999998</v>
      </c>
      <c r="AX253" s="455">
        <f t="shared" si="190"/>
        <v>1</v>
      </c>
      <c r="AY253" s="424">
        <f t="shared" si="173"/>
        <v>766.06</v>
      </c>
      <c r="AZ253" s="424">
        <f t="shared" si="174"/>
        <v>270.11</v>
      </c>
      <c r="BA253" s="424">
        <f t="shared" si="175"/>
        <v>559.94000000000005</v>
      </c>
      <c r="BB253" s="424">
        <f t="shared" si="176"/>
        <v>0</v>
      </c>
      <c r="BC253" s="424">
        <f t="shared" si="177"/>
        <v>0</v>
      </c>
      <c r="BD253" s="424">
        <f t="shared" si="178"/>
        <v>18074.349999999999</v>
      </c>
      <c r="BE253" s="452">
        <f t="shared" si="179"/>
        <v>18074.349999999999</v>
      </c>
      <c r="BF253" s="448">
        <f t="shared" si="180"/>
        <v>0</v>
      </c>
      <c r="BG253" s="456">
        <f t="shared" si="181"/>
        <v>6350.83</v>
      </c>
      <c r="BH253" s="457">
        <f t="shared" si="148"/>
        <v>9987.41</v>
      </c>
      <c r="BI253" s="407" t="s">
        <v>692</v>
      </c>
      <c r="BM253" s="429">
        <f>IF(BR253&gt;BR252,BM252,IF(BM252&lt;MiscData!$F$1,EOMONTH(BM252,1),EOMONTH(BM252,-11)))</f>
        <v>41851</v>
      </c>
      <c r="BN253" s="416" t="str">
        <f t="shared" si="149"/>
        <v>20140101KUCME224</v>
      </c>
      <c r="BO253" s="427" t="str">
        <f t="shared" si="150"/>
        <v>20140101AES3</v>
      </c>
      <c r="BP253" s="407">
        <f>IF(BM253&lt;=MiscData!$B$23,MiscData!$C$23,IF(BM253&lt;=MiscData!$B$24,MiscData!$C$24,MiscData!$C$25))</f>
        <v>20140101</v>
      </c>
      <c r="BQ253" s="407" t="str">
        <f>VLOOKUP(BR253,MiscData!$V$4:$W$42,2,FALSE)</f>
        <v>KUCME224</v>
      </c>
      <c r="BR253" s="407">
        <f>IF(BR252=MiscData!$V$42,1,BR252+1)</f>
        <v>16</v>
      </c>
      <c r="BS253" s="407" t="str">
        <f>VLOOKUP(BQ253,MiscData!$W$4:$Y$42,3,FALSE)</f>
        <v>AES3</v>
      </c>
    </row>
    <row r="254" spans="1:71" hidden="1">
      <c r="A254" s="416">
        <f t="shared" si="188"/>
        <v>233</v>
      </c>
      <c r="B254" s="416" t="str">
        <f t="shared" si="145"/>
        <v>Jul 2014</v>
      </c>
      <c r="C254" s="837" t="s">
        <v>228</v>
      </c>
      <c r="D254" s="417" t="str">
        <f t="shared" si="146"/>
        <v>AES3</v>
      </c>
      <c r="E254" s="417" t="str">
        <f t="shared" si="147"/>
        <v>KUCME225</v>
      </c>
      <c r="F254" s="418">
        <f t="shared" si="151"/>
        <v>96</v>
      </c>
      <c r="G254" s="467">
        <v>4</v>
      </c>
      <c r="H254" s="418">
        <v>0</v>
      </c>
      <c r="I254" s="418">
        <v>0</v>
      </c>
      <c r="J254" s="418">
        <v>0</v>
      </c>
      <c r="K254" s="418">
        <f t="shared" si="152"/>
        <v>1853513</v>
      </c>
      <c r="L254" s="481">
        <v>0</v>
      </c>
      <c r="M254" s="443">
        <f t="shared" si="153"/>
        <v>7860</v>
      </c>
      <c r="N254" s="443">
        <f t="shared" si="154"/>
        <v>0</v>
      </c>
      <c r="O254" s="443">
        <f t="shared" si="155"/>
        <v>0</v>
      </c>
      <c r="P254" s="443">
        <f t="shared" si="156"/>
        <v>0</v>
      </c>
      <c r="Q254" s="443">
        <f t="shared" si="157"/>
        <v>0</v>
      </c>
      <c r="R254" s="443">
        <f t="shared" si="158"/>
        <v>0</v>
      </c>
      <c r="S254" s="484">
        <v>0</v>
      </c>
      <c r="T254" s="484">
        <v>0</v>
      </c>
      <c r="U254" s="484">
        <v>0</v>
      </c>
      <c r="V254" s="490">
        <v>0</v>
      </c>
      <c r="W254" s="490">
        <v>0</v>
      </c>
      <c r="X254" s="490">
        <v>0</v>
      </c>
      <c r="Y254" s="419">
        <f t="shared" si="159"/>
        <v>35</v>
      </c>
      <c r="Z254" s="420">
        <f t="shared" si="160"/>
        <v>7.4399999999999994E-2</v>
      </c>
      <c r="AA254" s="420">
        <v>0</v>
      </c>
      <c r="AB254" s="420">
        <v>0</v>
      </c>
      <c r="AC254" s="420">
        <f t="shared" si="161"/>
        <v>2.8920000000000001E-2</v>
      </c>
      <c r="AD254" s="419">
        <f t="shared" si="162"/>
        <v>0</v>
      </c>
      <c r="AE254" s="419">
        <f t="shared" si="163"/>
        <v>0</v>
      </c>
      <c r="AF254" s="419">
        <f t="shared" si="164"/>
        <v>0</v>
      </c>
      <c r="AG254" s="454">
        <f t="shared" si="165"/>
        <v>3500</v>
      </c>
      <c r="AH254" s="454">
        <f t="shared" si="187"/>
        <v>137901.37</v>
      </c>
      <c r="AI254" s="421">
        <f t="shared" si="166"/>
        <v>0</v>
      </c>
      <c r="AJ254" s="421">
        <f t="shared" si="167"/>
        <v>0</v>
      </c>
      <c r="AK254" s="421">
        <f t="shared" si="168"/>
        <v>0</v>
      </c>
      <c r="AL254" s="472">
        <v>0</v>
      </c>
      <c r="AM254" s="422">
        <f t="shared" si="185"/>
        <v>0</v>
      </c>
      <c r="AN254" s="423">
        <f t="shared" si="169"/>
        <v>0</v>
      </c>
      <c r="AO254" s="421">
        <f t="shared" si="170"/>
        <v>0</v>
      </c>
      <c r="AP254" s="472">
        <v>-35</v>
      </c>
      <c r="AQ254" s="472">
        <v>0</v>
      </c>
      <c r="AR254" s="472">
        <v>0</v>
      </c>
      <c r="AS254" s="475">
        <v>0</v>
      </c>
      <c r="AT254" s="475">
        <v>0</v>
      </c>
      <c r="AU254" s="475">
        <v>0</v>
      </c>
      <c r="AV254" s="454">
        <f t="shared" si="171"/>
        <v>141366.37</v>
      </c>
      <c r="AW254" s="421">
        <f t="shared" si="172"/>
        <v>141366.37</v>
      </c>
      <c r="AX254" s="455">
        <f t="shared" si="190"/>
        <v>1</v>
      </c>
      <c r="AY254" s="424">
        <f t="shared" si="173"/>
        <v>5609.99</v>
      </c>
      <c r="AZ254" s="424">
        <f t="shared" si="174"/>
        <v>2279.84</v>
      </c>
      <c r="BA254" s="424">
        <f t="shared" si="175"/>
        <v>4869.6099999999997</v>
      </c>
      <c r="BB254" s="424">
        <f t="shared" si="176"/>
        <v>0</v>
      </c>
      <c r="BC254" s="424">
        <f t="shared" si="177"/>
        <v>0</v>
      </c>
      <c r="BD254" s="424">
        <f t="shared" si="178"/>
        <v>154125.81</v>
      </c>
      <c r="BE254" s="452">
        <f t="shared" si="179"/>
        <v>154125.80999999997</v>
      </c>
      <c r="BF254" s="448">
        <f t="shared" si="180"/>
        <v>0</v>
      </c>
      <c r="BG254" s="456">
        <f t="shared" si="181"/>
        <v>53603.6</v>
      </c>
      <c r="BH254" s="457">
        <f t="shared" si="148"/>
        <v>84297.76999999999</v>
      </c>
      <c r="BI254" s="407" t="s">
        <v>692</v>
      </c>
      <c r="BM254" s="429">
        <f>IF(BR254&gt;BR253,BM253,IF(BM253&lt;MiscData!$F$1,EOMONTH(BM253,1),EOMONTH(BM253,-11)))</f>
        <v>41851</v>
      </c>
      <c r="BN254" s="416" t="str">
        <f t="shared" si="149"/>
        <v>20140101KUCME225</v>
      </c>
      <c r="BO254" s="427" t="str">
        <f t="shared" si="150"/>
        <v>20140101AES3</v>
      </c>
      <c r="BP254" s="407">
        <f>IF(BM254&lt;=MiscData!$B$23,MiscData!$C$23,IF(BM254&lt;=MiscData!$B$24,MiscData!$C$24,MiscData!$C$25))</f>
        <v>20140101</v>
      </c>
      <c r="BQ254" s="407" t="str">
        <f>VLOOKUP(BR254,MiscData!$V$4:$W$42,2,FALSE)</f>
        <v>KUCME225</v>
      </c>
      <c r="BR254" s="407">
        <f>IF(BR253=MiscData!$V$42,1,BR253+1)</f>
        <v>17</v>
      </c>
      <c r="BS254" s="407" t="str">
        <f>VLOOKUP(BQ254,MiscData!$W$4:$Y$42,3,FALSE)</f>
        <v>AES3</v>
      </c>
    </row>
    <row r="255" spans="1:71" hidden="1">
      <c r="A255" s="416">
        <f t="shared" si="188"/>
        <v>234</v>
      </c>
      <c r="B255" s="416" t="str">
        <f t="shared" si="145"/>
        <v>Jul 2014</v>
      </c>
      <c r="C255" s="416" t="s">
        <v>219</v>
      </c>
      <c r="D255" s="417" t="str">
        <f t="shared" si="146"/>
        <v>AES</v>
      </c>
      <c r="E255" s="417" t="str">
        <f t="shared" si="147"/>
        <v>KUCME226</v>
      </c>
      <c r="F255" s="418">
        <f t="shared" si="151"/>
        <v>19</v>
      </c>
      <c r="G255" s="467">
        <v>0</v>
      </c>
      <c r="H255" s="418">
        <v>0</v>
      </c>
      <c r="I255" s="418">
        <v>0</v>
      </c>
      <c r="J255" s="418">
        <v>0</v>
      </c>
      <c r="K255" s="418">
        <f t="shared" si="152"/>
        <v>39934</v>
      </c>
      <c r="L255" s="481">
        <v>0</v>
      </c>
      <c r="M255" s="443">
        <f t="shared" si="153"/>
        <v>874.9</v>
      </c>
      <c r="N255" s="443">
        <f t="shared" si="154"/>
        <v>0</v>
      </c>
      <c r="O255" s="443">
        <f t="shared" si="155"/>
        <v>0</v>
      </c>
      <c r="P255" s="443">
        <f t="shared" si="156"/>
        <v>0</v>
      </c>
      <c r="Q255" s="443">
        <f t="shared" si="157"/>
        <v>0</v>
      </c>
      <c r="R255" s="443">
        <f t="shared" si="158"/>
        <v>0</v>
      </c>
      <c r="S255" s="484">
        <v>0</v>
      </c>
      <c r="T255" s="484">
        <v>0</v>
      </c>
      <c r="U255" s="484">
        <v>0</v>
      </c>
      <c r="V255" s="490">
        <v>0</v>
      </c>
      <c r="W255" s="490">
        <v>0</v>
      </c>
      <c r="X255" s="490">
        <v>0</v>
      </c>
      <c r="Y255" s="419">
        <f t="shared" si="159"/>
        <v>20</v>
      </c>
      <c r="Z255" s="420">
        <f t="shared" si="160"/>
        <v>7.4399999999999994E-2</v>
      </c>
      <c r="AA255" s="420">
        <v>0</v>
      </c>
      <c r="AB255" s="420">
        <v>0</v>
      </c>
      <c r="AC255" s="420">
        <f t="shared" si="161"/>
        <v>2.8920000000000001E-2</v>
      </c>
      <c r="AD255" s="419">
        <f t="shared" si="162"/>
        <v>0</v>
      </c>
      <c r="AE255" s="419">
        <f t="shared" si="163"/>
        <v>0</v>
      </c>
      <c r="AF255" s="419">
        <f t="shared" si="164"/>
        <v>0</v>
      </c>
      <c r="AG255" s="454">
        <f t="shared" si="165"/>
        <v>380</v>
      </c>
      <c r="AH255" s="454">
        <f t="shared" si="187"/>
        <v>2971.09</v>
      </c>
      <c r="AI255" s="421">
        <f t="shared" si="166"/>
        <v>0</v>
      </c>
      <c r="AJ255" s="421">
        <f t="shared" si="167"/>
        <v>0</v>
      </c>
      <c r="AK255" s="421">
        <f t="shared" si="168"/>
        <v>0</v>
      </c>
      <c r="AL255" s="472">
        <v>0</v>
      </c>
      <c r="AM255" s="422">
        <f t="shared" si="185"/>
        <v>0</v>
      </c>
      <c r="AN255" s="423">
        <f t="shared" si="169"/>
        <v>0</v>
      </c>
      <c r="AO255" s="421">
        <f t="shared" si="170"/>
        <v>0</v>
      </c>
      <c r="AP255" s="472">
        <v>0</v>
      </c>
      <c r="AQ255" s="472">
        <v>0</v>
      </c>
      <c r="AR255" s="472">
        <v>0</v>
      </c>
      <c r="AS255" s="475">
        <v>0</v>
      </c>
      <c r="AT255" s="475">
        <v>0</v>
      </c>
      <c r="AU255" s="475">
        <v>0</v>
      </c>
      <c r="AV255" s="454">
        <f t="shared" si="171"/>
        <v>3351.09</v>
      </c>
      <c r="AW255" s="421">
        <f t="shared" si="172"/>
        <v>3351.09</v>
      </c>
      <c r="AX255" s="455">
        <f t="shared" si="190"/>
        <v>1</v>
      </c>
      <c r="AY255" s="424">
        <f t="shared" si="173"/>
        <v>132.51</v>
      </c>
      <c r="AZ255" s="424">
        <f t="shared" si="174"/>
        <v>49.12</v>
      </c>
      <c r="BA255" s="424">
        <f t="shared" si="175"/>
        <v>113.8</v>
      </c>
      <c r="BB255" s="424">
        <f t="shared" si="176"/>
        <v>0</v>
      </c>
      <c r="BC255" s="424">
        <f t="shared" si="177"/>
        <v>0</v>
      </c>
      <c r="BD255" s="424">
        <f t="shared" si="178"/>
        <v>3646.52</v>
      </c>
      <c r="BE255" s="452">
        <f t="shared" si="179"/>
        <v>3646.5200000000004</v>
      </c>
      <c r="BF255" s="448">
        <f t="shared" si="180"/>
        <v>0</v>
      </c>
      <c r="BG255" s="456">
        <f t="shared" si="181"/>
        <v>1154.8900000000001</v>
      </c>
      <c r="BH255" s="457">
        <f t="shared" si="148"/>
        <v>1816.2</v>
      </c>
      <c r="BI255" s="407" t="s">
        <v>692</v>
      </c>
      <c r="BM255" s="429">
        <f>IF(BR255&gt;BR254,BM254,IF(BM254&lt;MiscData!$F$1,EOMONTH(BM254,1),EOMONTH(BM254,-11)))</f>
        <v>41851</v>
      </c>
      <c r="BN255" s="416" t="str">
        <f t="shared" si="149"/>
        <v>20140101KUCME226</v>
      </c>
      <c r="BO255" s="427" t="str">
        <f t="shared" si="150"/>
        <v>20140101AES</v>
      </c>
      <c r="BP255" s="407">
        <f>IF(BM255&lt;=MiscData!$B$23,MiscData!$C$23,IF(BM255&lt;=MiscData!$B$24,MiscData!$C$24,MiscData!$C$25))</f>
        <v>20140101</v>
      </c>
      <c r="BQ255" s="407" t="str">
        <f>VLOOKUP(BR255,MiscData!$V$4:$W$42,2,FALSE)</f>
        <v>KUCME226</v>
      </c>
      <c r="BR255" s="407">
        <f>IF(BR254=MiscData!$V$42,1,BR254+1)</f>
        <v>18</v>
      </c>
      <c r="BS255" s="407" t="str">
        <f>VLOOKUP(BQ255,MiscData!$W$4:$Y$42,3,FALSE)</f>
        <v>AES</v>
      </c>
    </row>
    <row r="256" spans="1:71" hidden="1">
      <c r="A256" s="416">
        <f t="shared" si="188"/>
        <v>235</v>
      </c>
      <c r="B256" s="416" t="str">
        <f t="shared" si="145"/>
        <v>Jul 2014</v>
      </c>
      <c r="C256" s="837" t="s">
        <v>228</v>
      </c>
      <c r="D256" s="417" t="str">
        <f t="shared" si="146"/>
        <v>AES3</v>
      </c>
      <c r="E256" s="417" t="str">
        <f t="shared" si="147"/>
        <v>KUCME227</v>
      </c>
      <c r="F256" s="418">
        <f t="shared" si="151"/>
        <v>99</v>
      </c>
      <c r="G256" s="467">
        <v>2</v>
      </c>
      <c r="H256" s="418">
        <v>0</v>
      </c>
      <c r="I256" s="418">
        <v>0</v>
      </c>
      <c r="J256" s="418">
        <v>0</v>
      </c>
      <c r="K256" s="418">
        <f t="shared" si="152"/>
        <v>7160624</v>
      </c>
      <c r="L256" s="481">
        <v>0</v>
      </c>
      <c r="M256" s="443">
        <f t="shared" si="153"/>
        <v>23348</v>
      </c>
      <c r="N256" s="443">
        <f t="shared" si="154"/>
        <v>0</v>
      </c>
      <c r="O256" s="443">
        <f t="shared" si="155"/>
        <v>0</v>
      </c>
      <c r="P256" s="443">
        <f t="shared" si="156"/>
        <v>0</v>
      </c>
      <c r="Q256" s="443">
        <f t="shared" si="157"/>
        <v>0</v>
      </c>
      <c r="R256" s="443">
        <f t="shared" si="158"/>
        <v>0</v>
      </c>
      <c r="S256" s="484">
        <v>0</v>
      </c>
      <c r="T256" s="484">
        <v>0</v>
      </c>
      <c r="U256" s="484">
        <v>0</v>
      </c>
      <c r="V256" s="490">
        <v>0</v>
      </c>
      <c r="W256" s="490">
        <v>0</v>
      </c>
      <c r="X256" s="490">
        <v>0</v>
      </c>
      <c r="Y256" s="419">
        <f t="shared" si="159"/>
        <v>35</v>
      </c>
      <c r="Z256" s="420">
        <f t="shared" si="160"/>
        <v>7.4399999999999994E-2</v>
      </c>
      <c r="AA256" s="420">
        <v>0</v>
      </c>
      <c r="AB256" s="420">
        <v>0</v>
      </c>
      <c r="AC256" s="420">
        <f t="shared" si="161"/>
        <v>2.8920000000000001E-2</v>
      </c>
      <c r="AD256" s="419">
        <f t="shared" si="162"/>
        <v>0</v>
      </c>
      <c r="AE256" s="419">
        <f t="shared" si="163"/>
        <v>0</v>
      </c>
      <c r="AF256" s="419">
        <f t="shared" si="164"/>
        <v>0</v>
      </c>
      <c r="AG256" s="454">
        <f t="shared" si="165"/>
        <v>3535</v>
      </c>
      <c r="AH256" s="454">
        <f t="shared" si="187"/>
        <v>532750.43000000005</v>
      </c>
      <c r="AI256" s="421">
        <f t="shared" si="166"/>
        <v>0</v>
      </c>
      <c r="AJ256" s="421">
        <f t="shared" si="167"/>
        <v>0</v>
      </c>
      <c r="AK256" s="421">
        <f t="shared" si="168"/>
        <v>0</v>
      </c>
      <c r="AL256" s="472">
        <v>0</v>
      </c>
      <c r="AM256" s="422">
        <f t="shared" si="185"/>
        <v>0</v>
      </c>
      <c r="AN256" s="423">
        <f t="shared" si="169"/>
        <v>0</v>
      </c>
      <c r="AO256" s="421">
        <f t="shared" si="170"/>
        <v>0</v>
      </c>
      <c r="AP256" s="472">
        <v>-35</v>
      </c>
      <c r="AQ256" s="472">
        <v>-0.03</v>
      </c>
      <c r="AR256" s="472"/>
      <c r="AS256" s="475"/>
      <c r="AT256" s="475"/>
      <c r="AU256" s="475"/>
      <c r="AV256" s="454">
        <f t="shared" si="171"/>
        <v>536250.4</v>
      </c>
      <c r="AW256" s="421">
        <f t="shared" si="172"/>
        <v>536250.4</v>
      </c>
      <c r="AX256" s="455">
        <f t="shared" si="190"/>
        <v>1</v>
      </c>
      <c r="AY256" s="424">
        <f t="shared" si="173"/>
        <v>23155.13</v>
      </c>
      <c r="AZ256" s="424">
        <f t="shared" si="174"/>
        <v>8807.57</v>
      </c>
      <c r="BA256" s="424">
        <f t="shared" si="175"/>
        <v>18370.21</v>
      </c>
      <c r="BB256" s="424">
        <f t="shared" si="176"/>
        <v>0</v>
      </c>
      <c r="BC256" s="424">
        <f t="shared" si="177"/>
        <v>0</v>
      </c>
      <c r="BD256" s="424">
        <f t="shared" si="178"/>
        <v>586583.31000000006</v>
      </c>
      <c r="BE256" s="452">
        <f t="shared" si="179"/>
        <v>586583.30999999994</v>
      </c>
      <c r="BF256" s="448">
        <f t="shared" si="180"/>
        <v>0</v>
      </c>
      <c r="BG256" s="456">
        <f t="shared" si="181"/>
        <v>207085.25</v>
      </c>
      <c r="BH256" s="457">
        <f t="shared" si="148"/>
        <v>325665.15000000002</v>
      </c>
      <c r="BI256" s="407" t="s">
        <v>692</v>
      </c>
      <c r="BM256" s="429">
        <f>IF(BR256&gt;BR255,BM255,IF(BM255&lt;MiscData!$F$1,EOMONTH(BM255,1),EOMONTH(BM255,-11)))</f>
        <v>41851</v>
      </c>
      <c r="BN256" s="416" t="str">
        <f t="shared" si="149"/>
        <v>20140101KUCME227</v>
      </c>
      <c r="BO256" s="427" t="str">
        <f t="shared" si="150"/>
        <v>20140101AES3</v>
      </c>
      <c r="BP256" s="407">
        <f>IF(BM256&lt;=MiscData!$B$23,MiscData!$C$23,IF(BM256&lt;=MiscData!$B$24,MiscData!$C$24,MiscData!$C$25))</f>
        <v>20140101</v>
      </c>
      <c r="BQ256" s="407" t="str">
        <f>VLOOKUP(BR256,MiscData!$V$4:$W$42,2,FALSE)</f>
        <v>KUCME227</v>
      </c>
      <c r="BR256" s="407">
        <f>IF(BR255=MiscData!$V$42,1,BR255+1)</f>
        <v>19</v>
      </c>
      <c r="BS256" s="407" t="str">
        <f>VLOOKUP(BQ256,MiscData!$W$4:$Y$42,3,FALSE)</f>
        <v>AES3</v>
      </c>
    </row>
    <row r="257" spans="1:71" hidden="1">
      <c r="A257" s="416">
        <f t="shared" si="188"/>
        <v>236</v>
      </c>
      <c r="B257" s="416" t="str">
        <f t="shared" si="145"/>
        <v>Jul 2014</v>
      </c>
      <c r="C257" s="416" t="s">
        <v>20</v>
      </c>
      <c r="D257" s="417" t="str">
        <f t="shared" si="146"/>
        <v>LE</v>
      </c>
      <c r="E257" s="417" t="str">
        <f t="shared" si="147"/>
        <v>KUCME290</v>
      </c>
      <c r="F257" s="418">
        <f t="shared" si="151"/>
        <v>1</v>
      </c>
      <c r="G257" s="467">
        <v>0</v>
      </c>
      <c r="H257" s="418">
        <v>0</v>
      </c>
      <c r="I257" s="418">
        <v>0</v>
      </c>
      <c r="J257" s="418">
        <v>0</v>
      </c>
      <c r="K257" s="418">
        <f t="shared" si="152"/>
        <v>10809</v>
      </c>
      <c r="L257" s="481">
        <v>0</v>
      </c>
      <c r="M257" s="443">
        <f t="shared" si="153"/>
        <v>39.200000000000003</v>
      </c>
      <c r="N257" s="443">
        <f t="shared" si="154"/>
        <v>0</v>
      </c>
      <c r="O257" s="443">
        <f t="shared" si="155"/>
        <v>0</v>
      </c>
      <c r="P257" s="443">
        <f t="shared" si="156"/>
        <v>0</v>
      </c>
      <c r="Q257" s="443">
        <f t="shared" si="157"/>
        <v>0</v>
      </c>
      <c r="R257" s="443">
        <f t="shared" si="158"/>
        <v>0</v>
      </c>
      <c r="S257" s="484">
        <v>0</v>
      </c>
      <c r="T257" s="484">
        <v>0</v>
      </c>
      <c r="U257" s="484">
        <v>0</v>
      </c>
      <c r="V257" s="490">
        <v>0</v>
      </c>
      <c r="W257" s="490">
        <v>0</v>
      </c>
      <c r="X257" s="490">
        <v>0</v>
      </c>
      <c r="Y257" s="419">
        <f t="shared" si="159"/>
        <v>0</v>
      </c>
      <c r="Z257" s="420">
        <f t="shared" si="160"/>
        <v>6.3799999999999996E-2</v>
      </c>
      <c r="AA257" s="420">
        <v>0</v>
      </c>
      <c r="AB257" s="420">
        <v>0</v>
      </c>
      <c r="AC257" s="420">
        <f t="shared" si="161"/>
        <v>2.8920000000000001E-2</v>
      </c>
      <c r="AD257" s="419">
        <f t="shared" si="162"/>
        <v>0</v>
      </c>
      <c r="AE257" s="419">
        <f t="shared" si="163"/>
        <v>0</v>
      </c>
      <c r="AF257" s="419">
        <f t="shared" si="164"/>
        <v>0</v>
      </c>
      <c r="AG257" s="454">
        <f t="shared" si="165"/>
        <v>0</v>
      </c>
      <c r="AH257" s="454">
        <f t="shared" si="187"/>
        <v>689.61</v>
      </c>
      <c r="AI257" s="421">
        <f t="shared" si="166"/>
        <v>0</v>
      </c>
      <c r="AJ257" s="421">
        <f t="shared" si="167"/>
        <v>0</v>
      </c>
      <c r="AK257" s="421">
        <f t="shared" si="168"/>
        <v>0</v>
      </c>
      <c r="AL257" s="472">
        <v>0</v>
      </c>
      <c r="AM257" s="422">
        <f t="shared" si="185"/>
        <v>0</v>
      </c>
      <c r="AN257" s="423">
        <f t="shared" si="169"/>
        <v>0</v>
      </c>
      <c r="AO257" s="421">
        <f t="shared" si="170"/>
        <v>0</v>
      </c>
      <c r="AP257" s="472">
        <v>0</v>
      </c>
      <c r="AQ257" s="472">
        <v>0</v>
      </c>
      <c r="AR257" s="472">
        <v>0</v>
      </c>
      <c r="AS257" s="475">
        <v>0</v>
      </c>
      <c r="AT257" s="475">
        <v>0</v>
      </c>
      <c r="AU257" s="475">
        <v>0</v>
      </c>
      <c r="AV257" s="454">
        <f t="shared" si="171"/>
        <v>689.61</v>
      </c>
      <c r="AW257" s="421">
        <f t="shared" si="172"/>
        <v>689.6099999999999</v>
      </c>
      <c r="AX257" s="455">
        <f t="shared" ref="AX257:AX262" si="191">IF(AND(AV257=0,AW257=0),1,IF(AV257=0,0,AW257/AV257))</f>
        <v>0.99999999999999989</v>
      </c>
      <c r="AY257" s="424">
        <f t="shared" si="173"/>
        <v>27.67</v>
      </c>
      <c r="AZ257" s="424">
        <f t="shared" si="174"/>
        <v>0</v>
      </c>
      <c r="BA257" s="424">
        <f t="shared" si="175"/>
        <v>23.89</v>
      </c>
      <c r="BB257" s="424">
        <f t="shared" si="176"/>
        <v>0</v>
      </c>
      <c r="BC257" s="424">
        <f t="shared" si="177"/>
        <v>0</v>
      </c>
      <c r="BD257" s="424">
        <f t="shared" si="178"/>
        <v>741.17</v>
      </c>
      <c r="BE257" s="452">
        <f t="shared" si="179"/>
        <v>741.17</v>
      </c>
      <c r="BF257" s="448">
        <f t="shared" si="180"/>
        <v>0</v>
      </c>
      <c r="BG257" s="456">
        <f t="shared" si="181"/>
        <v>312.60000000000002</v>
      </c>
      <c r="BH257" s="457">
        <f t="shared" si="148"/>
        <v>377.01</v>
      </c>
      <c r="BI257" s="407" t="s">
        <v>692</v>
      </c>
      <c r="BM257" s="429">
        <f>IF(BR257&gt;BR256,BM256,IF(BM256&lt;MiscData!$F$1,EOMONTH(BM256,1),EOMONTH(BM256,-11)))</f>
        <v>41851</v>
      </c>
      <c r="BN257" s="416" t="str">
        <f t="shared" si="149"/>
        <v>20140101KUCME290</v>
      </c>
      <c r="BO257" s="427" t="str">
        <f t="shared" si="150"/>
        <v>20140101LE</v>
      </c>
      <c r="BP257" s="407">
        <f>IF(BM257&lt;=MiscData!$B$23,MiscData!$C$23,IF(BM257&lt;=MiscData!$B$24,MiscData!$C$24,MiscData!$C$25))</f>
        <v>20140101</v>
      </c>
      <c r="BQ257" s="407" t="str">
        <f>VLOOKUP(BR257,MiscData!$V$4:$W$42,2,FALSE)</f>
        <v>KUCME290</v>
      </c>
      <c r="BR257" s="407">
        <f>IF(BR256=MiscData!$V$42,1,BR256+1)</f>
        <v>20</v>
      </c>
      <c r="BS257" s="407" t="str">
        <f>VLOOKUP(BQ257,MiscData!$W$4:$Y$42,3,FALSE)</f>
        <v>LE</v>
      </c>
    </row>
    <row r="258" spans="1:71" hidden="1">
      <c r="A258" s="416">
        <f t="shared" si="188"/>
        <v>237</v>
      </c>
      <c r="B258" s="416" t="str">
        <f t="shared" si="145"/>
        <v>Jul 2014</v>
      </c>
      <c r="C258" s="416" t="s">
        <v>20</v>
      </c>
      <c r="D258" s="417" t="str">
        <f t="shared" si="146"/>
        <v>LE</v>
      </c>
      <c r="E258" s="417" t="str">
        <f t="shared" si="147"/>
        <v>KUCME291</v>
      </c>
      <c r="F258" s="418">
        <f t="shared" si="151"/>
        <v>1</v>
      </c>
      <c r="G258" s="467">
        <v>0</v>
      </c>
      <c r="H258" s="418">
        <v>0</v>
      </c>
      <c r="I258" s="418">
        <v>0</v>
      </c>
      <c r="J258" s="418">
        <v>0</v>
      </c>
      <c r="K258" s="418">
        <f t="shared" si="152"/>
        <v>2625</v>
      </c>
      <c r="L258" s="481">
        <v>0</v>
      </c>
      <c r="M258" s="443">
        <f t="shared" si="153"/>
        <v>0</v>
      </c>
      <c r="N258" s="443">
        <f t="shared" si="154"/>
        <v>0</v>
      </c>
      <c r="O258" s="443">
        <f t="shared" si="155"/>
        <v>0</v>
      </c>
      <c r="P258" s="443">
        <f t="shared" si="156"/>
        <v>0</v>
      </c>
      <c r="Q258" s="443">
        <f t="shared" si="157"/>
        <v>0</v>
      </c>
      <c r="R258" s="443">
        <f t="shared" si="158"/>
        <v>0</v>
      </c>
      <c r="S258" s="484">
        <v>0</v>
      </c>
      <c r="T258" s="484">
        <v>0</v>
      </c>
      <c r="U258" s="484">
        <v>0</v>
      </c>
      <c r="V258" s="490">
        <v>0</v>
      </c>
      <c r="W258" s="490">
        <v>0</v>
      </c>
      <c r="X258" s="490">
        <v>0</v>
      </c>
      <c r="Y258" s="419">
        <f t="shared" si="159"/>
        <v>0</v>
      </c>
      <c r="Z258" s="420">
        <f t="shared" si="160"/>
        <v>6.3799999999999996E-2</v>
      </c>
      <c r="AA258" s="420">
        <v>0</v>
      </c>
      <c r="AB258" s="420">
        <v>0</v>
      </c>
      <c r="AC258" s="420">
        <f t="shared" si="161"/>
        <v>2.8920000000000001E-2</v>
      </c>
      <c r="AD258" s="419">
        <f t="shared" si="162"/>
        <v>0</v>
      </c>
      <c r="AE258" s="419">
        <f t="shared" si="163"/>
        <v>0</v>
      </c>
      <c r="AF258" s="419">
        <f t="shared" si="164"/>
        <v>0</v>
      </c>
      <c r="AG258" s="454">
        <f t="shared" si="165"/>
        <v>0</v>
      </c>
      <c r="AH258" s="454">
        <f t="shared" si="187"/>
        <v>167.48</v>
      </c>
      <c r="AI258" s="421">
        <f t="shared" si="166"/>
        <v>0</v>
      </c>
      <c r="AJ258" s="421">
        <f t="shared" si="167"/>
        <v>0</v>
      </c>
      <c r="AK258" s="421">
        <f t="shared" si="168"/>
        <v>0</v>
      </c>
      <c r="AL258" s="472">
        <v>0</v>
      </c>
      <c r="AM258" s="422">
        <f t="shared" si="185"/>
        <v>0</v>
      </c>
      <c r="AN258" s="423">
        <f t="shared" si="169"/>
        <v>0</v>
      </c>
      <c r="AO258" s="421">
        <f t="shared" si="170"/>
        <v>0</v>
      </c>
      <c r="AP258" s="472">
        <v>0</v>
      </c>
      <c r="AQ258" s="472">
        <v>0</v>
      </c>
      <c r="AR258" s="472">
        <v>0</v>
      </c>
      <c r="AS258" s="475">
        <v>0</v>
      </c>
      <c r="AT258" s="475">
        <v>0</v>
      </c>
      <c r="AU258" s="475">
        <v>0</v>
      </c>
      <c r="AV258" s="454">
        <f t="shared" si="171"/>
        <v>167.48</v>
      </c>
      <c r="AW258" s="421">
        <f t="shared" si="172"/>
        <v>167.48000000000002</v>
      </c>
      <c r="AX258" s="455">
        <f t="shared" si="191"/>
        <v>1.0000000000000002</v>
      </c>
      <c r="AY258" s="424">
        <f t="shared" si="173"/>
        <v>13.05</v>
      </c>
      <c r="AZ258" s="424">
        <f t="shared" si="174"/>
        <v>0</v>
      </c>
      <c r="BA258" s="424">
        <f t="shared" si="175"/>
        <v>5.4</v>
      </c>
      <c r="BB258" s="424">
        <f t="shared" si="176"/>
        <v>0</v>
      </c>
      <c r="BC258" s="424">
        <f t="shared" si="177"/>
        <v>0</v>
      </c>
      <c r="BD258" s="424">
        <f t="shared" si="178"/>
        <v>185.93</v>
      </c>
      <c r="BE258" s="452">
        <f t="shared" si="179"/>
        <v>185.93</v>
      </c>
      <c r="BF258" s="448">
        <f t="shared" si="180"/>
        <v>0</v>
      </c>
      <c r="BG258" s="456">
        <f t="shared" si="181"/>
        <v>75.92</v>
      </c>
      <c r="BH258" s="457">
        <f t="shared" si="148"/>
        <v>91.559999999999988</v>
      </c>
      <c r="BI258" s="407" t="s">
        <v>692</v>
      </c>
      <c r="BM258" s="429">
        <f>IF(BR258&gt;BR257,BM257,IF(BM257&lt;MiscData!$F$1,EOMONTH(BM257,1),EOMONTH(BM257,-11)))</f>
        <v>41851</v>
      </c>
      <c r="BN258" s="416" t="str">
        <f t="shared" si="149"/>
        <v>20140101KUCME291</v>
      </c>
      <c r="BO258" s="427" t="str">
        <f t="shared" si="150"/>
        <v>20140101LE</v>
      </c>
      <c r="BP258" s="407">
        <f>IF(BM258&lt;=MiscData!$B$23,MiscData!$C$23,IF(BM258&lt;=MiscData!$B$24,MiscData!$C$24,MiscData!$C$25))</f>
        <v>20140101</v>
      </c>
      <c r="BQ258" s="407" t="str">
        <f>VLOOKUP(BR258,MiscData!$V$4:$W$42,2,FALSE)</f>
        <v>KUCME291</v>
      </c>
      <c r="BR258" s="407">
        <f>IF(BR257=MiscData!$V$42,1,BR257+1)</f>
        <v>21</v>
      </c>
      <c r="BS258" s="407" t="str">
        <f>VLOOKUP(BQ258,MiscData!$W$4:$Y$42,3,FALSE)</f>
        <v>LE</v>
      </c>
    </row>
    <row r="259" spans="1:71" hidden="1">
      <c r="A259" s="416">
        <f t="shared" si="188"/>
        <v>238</v>
      </c>
      <c r="B259" s="416" t="str">
        <f t="shared" si="145"/>
        <v>Jul 2014</v>
      </c>
      <c r="C259" s="416" t="s">
        <v>21</v>
      </c>
      <c r="D259" s="417" t="str">
        <f t="shared" si="146"/>
        <v>TE</v>
      </c>
      <c r="E259" s="417" t="str">
        <f t="shared" si="147"/>
        <v>KUCME295</v>
      </c>
      <c r="F259" s="418">
        <f t="shared" si="151"/>
        <v>477</v>
      </c>
      <c r="G259" s="467">
        <v>3</v>
      </c>
      <c r="H259" s="418">
        <v>0</v>
      </c>
      <c r="I259" s="418">
        <v>0</v>
      </c>
      <c r="J259" s="418">
        <v>0</v>
      </c>
      <c r="K259" s="418">
        <f t="shared" si="152"/>
        <v>90764</v>
      </c>
      <c r="L259" s="481">
        <v>0</v>
      </c>
      <c r="M259" s="443">
        <f t="shared" si="153"/>
        <v>53.8</v>
      </c>
      <c r="N259" s="443">
        <f t="shared" si="154"/>
        <v>0</v>
      </c>
      <c r="O259" s="443">
        <f t="shared" si="155"/>
        <v>0</v>
      </c>
      <c r="P259" s="443">
        <f t="shared" si="156"/>
        <v>0</v>
      </c>
      <c r="Q259" s="443">
        <f t="shared" si="157"/>
        <v>0</v>
      </c>
      <c r="R259" s="443">
        <f t="shared" si="158"/>
        <v>0</v>
      </c>
      <c r="S259" s="484">
        <v>0</v>
      </c>
      <c r="T259" s="484">
        <v>0</v>
      </c>
      <c r="U259" s="484">
        <v>0</v>
      </c>
      <c r="V259" s="490">
        <v>0</v>
      </c>
      <c r="W259" s="490">
        <v>0</v>
      </c>
      <c r="X259" s="490">
        <v>0</v>
      </c>
      <c r="Y259" s="419">
        <f t="shared" si="159"/>
        <v>3.25</v>
      </c>
      <c r="Z259" s="420">
        <f t="shared" si="160"/>
        <v>7.9780000000000004E-2</v>
      </c>
      <c r="AA259" s="420">
        <v>0</v>
      </c>
      <c r="AB259" s="420">
        <v>0</v>
      </c>
      <c r="AC259" s="420">
        <f t="shared" si="161"/>
        <v>2.8920000000000001E-2</v>
      </c>
      <c r="AD259" s="419">
        <f t="shared" si="162"/>
        <v>0</v>
      </c>
      <c r="AE259" s="419">
        <f t="shared" si="163"/>
        <v>0</v>
      </c>
      <c r="AF259" s="419">
        <f t="shared" si="164"/>
        <v>0</v>
      </c>
      <c r="AG259" s="454">
        <f t="shared" si="165"/>
        <v>1560</v>
      </c>
      <c r="AH259" s="454">
        <f t="shared" si="187"/>
        <v>7241.15</v>
      </c>
      <c r="AI259" s="421">
        <f t="shared" si="166"/>
        <v>0</v>
      </c>
      <c r="AJ259" s="421">
        <f t="shared" si="167"/>
        <v>0</v>
      </c>
      <c r="AK259" s="421">
        <f t="shared" si="168"/>
        <v>0</v>
      </c>
      <c r="AL259" s="472">
        <v>0</v>
      </c>
      <c r="AM259" s="422">
        <f t="shared" si="185"/>
        <v>0</v>
      </c>
      <c r="AN259" s="423">
        <f t="shared" si="169"/>
        <v>0</v>
      </c>
      <c r="AO259" s="421">
        <f t="shared" si="170"/>
        <v>0</v>
      </c>
      <c r="AP259" s="472">
        <v>-6.5</v>
      </c>
      <c r="AQ259" s="472">
        <v>0.02</v>
      </c>
      <c r="AR259" s="472">
        <v>0</v>
      </c>
      <c r="AS259" s="475">
        <v>0</v>
      </c>
      <c r="AT259" s="475">
        <v>0</v>
      </c>
      <c r="AU259" s="475">
        <v>0</v>
      </c>
      <c r="AV259" s="454">
        <f t="shared" si="171"/>
        <v>8794.67</v>
      </c>
      <c r="AW259" s="421">
        <f t="shared" si="172"/>
        <v>8794.67</v>
      </c>
      <c r="AX259" s="455">
        <f t="shared" si="191"/>
        <v>1</v>
      </c>
      <c r="AY259" s="424">
        <f t="shared" si="173"/>
        <v>356.31</v>
      </c>
      <c r="AZ259" s="424">
        <f t="shared" si="174"/>
        <v>0</v>
      </c>
      <c r="BA259" s="424">
        <f t="shared" si="175"/>
        <v>286.61</v>
      </c>
      <c r="BB259" s="424">
        <f t="shared" si="176"/>
        <v>0</v>
      </c>
      <c r="BC259" s="424">
        <f t="shared" si="177"/>
        <v>0</v>
      </c>
      <c r="BD259" s="424">
        <f t="shared" si="178"/>
        <v>9437.59</v>
      </c>
      <c r="BE259" s="452">
        <f t="shared" si="179"/>
        <v>9437.59</v>
      </c>
      <c r="BF259" s="448">
        <f t="shared" si="180"/>
        <v>0</v>
      </c>
      <c r="BG259" s="456">
        <f t="shared" si="181"/>
        <v>2624.89</v>
      </c>
      <c r="BH259" s="457">
        <f t="shared" si="148"/>
        <v>4616.2800000000007</v>
      </c>
      <c r="BI259" s="407" t="s">
        <v>692</v>
      </c>
      <c r="BM259" s="429">
        <f>IF(BR259&gt;BR258,BM258,IF(BM258&lt;MiscData!$F$1,EOMONTH(BM258,1),EOMONTH(BM258,-11)))</f>
        <v>41851</v>
      </c>
      <c r="BN259" s="416" t="str">
        <f t="shared" si="149"/>
        <v>20140101KUCME295</v>
      </c>
      <c r="BO259" s="427" t="str">
        <f t="shared" si="150"/>
        <v>20140101TE</v>
      </c>
      <c r="BP259" s="407">
        <f>IF(BM259&lt;=MiscData!$B$23,MiscData!$C$23,IF(BM259&lt;=MiscData!$B$24,MiscData!$C$24,MiscData!$C$25))</f>
        <v>20140101</v>
      </c>
      <c r="BQ259" s="407" t="str">
        <f>VLOOKUP(BR259,MiscData!$V$4:$W$42,2,FALSE)</f>
        <v>KUCME295</v>
      </c>
      <c r="BR259" s="407">
        <f>IF(BR258=MiscData!$V$42,1,BR258+1)</f>
        <v>22</v>
      </c>
      <c r="BS259" s="407" t="str">
        <f>VLOOKUP(BQ259,MiscData!$W$4:$Y$42,3,FALSE)</f>
        <v>TE</v>
      </c>
    </row>
    <row r="260" spans="1:71" hidden="1">
      <c r="A260" s="416">
        <f t="shared" si="188"/>
        <v>239</v>
      </c>
      <c r="B260" s="416" t="str">
        <f t="shared" ref="B260:B323" si="192">TEXT(BM260,"mmm yyyy")</f>
        <v>Jul 2014</v>
      </c>
      <c r="C260" s="416" t="s">
        <v>21</v>
      </c>
      <c r="D260" s="417" t="str">
        <f t="shared" ref="D260:D323" si="193">BS260</f>
        <v>TE</v>
      </c>
      <c r="E260" s="417" t="str">
        <f t="shared" ref="E260:E323" si="194">BQ260</f>
        <v>KUCME297</v>
      </c>
      <c r="F260" s="418">
        <f t="shared" si="151"/>
        <v>272</v>
      </c>
      <c r="G260" s="467">
        <v>0</v>
      </c>
      <c r="H260" s="418">
        <v>0</v>
      </c>
      <c r="I260" s="418">
        <v>0</v>
      </c>
      <c r="J260" s="418">
        <v>0</v>
      </c>
      <c r="K260" s="418">
        <f t="shared" si="152"/>
        <v>14416</v>
      </c>
      <c r="L260" s="481">
        <v>0</v>
      </c>
      <c r="M260" s="443">
        <f t="shared" si="153"/>
        <v>0</v>
      </c>
      <c r="N260" s="443">
        <f t="shared" si="154"/>
        <v>0</v>
      </c>
      <c r="O260" s="443">
        <f t="shared" si="155"/>
        <v>0</v>
      </c>
      <c r="P260" s="443">
        <f t="shared" si="156"/>
        <v>0</v>
      </c>
      <c r="Q260" s="443">
        <f t="shared" si="157"/>
        <v>0</v>
      </c>
      <c r="R260" s="443">
        <f t="shared" si="158"/>
        <v>0</v>
      </c>
      <c r="S260" s="484">
        <v>0</v>
      </c>
      <c r="T260" s="484">
        <v>0</v>
      </c>
      <c r="U260" s="484">
        <v>0</v>
      </c>
      <c r="V260" s="490">
        <v>0</v>
      </c>
      <c r="W260" s="490">
        <v>0</v>
      </c>
      <c r="X260" s="490">
        <v>0</v>
      </c>
      <c r="Y260" s="419">
        <f t="shared" si="159"/>
        <v>3.25</v>
      </c>
      <c r="Z260" s="420">
        <f t="shared" si="160"/>
        <v>7.9780000000000004E-2</v>
      </c>
      <c r="AA260" s="420">
        <v>0</v>
      </c>
      <c r="AB260" s="420">
        <v>0</v>
      </c>
      <c r="AC260" s="420">
        <f t="shared" si="161"/>
        <v>2.8920000000000001E-2</v>
      </c>
      <c r="AD260" s="419">
        <f t="shared" si="162"/>
        <v>0</v>
      </c>
      <c r="AE260" s="419">
        <f t="shared" si="163"/>
        <v>0</v>
      </c>
      <c r="AF260" s="419">
        <f t="shared" si="164"/>
        <v>0</v>
      </c>
      <c r="AG260" s="454">
        <f t="shared" si="165"/>
        <v>884</v>
      </c>
      <c r="AH260" s="454">
        <f t="shared" si="187"/>
        <v>1150.1099999999999</v>
      </c>
      <c r="AI260" s="421">
        <f t="shared" si="166"/>
        <v>0</v>
      </c>
      <c r="AJ260" s="421">
        <f t="shared" si="167"/>
        <v>0</v>
      </c>
      <c r="AK260" s="421">
        <f t="shared" si="168"/>
        <v>0</v>
      </c>
      <c r="AL260" s="472">
        <v>0</v>
      </c>
      <c r="AM260" s="422">
        <f t="shared" si="185"/>
        <v>0</v>
      </c>
      <c r="AN260" s="423">
        <f t="shared" si="169"/>
        <v>0</v>
      </c>
      <c r="AO260" s="421">
        <f t="shared" si="170"/>
        <v>0</v>
      </c>
      <c r="AP260" s="472">
        <v>0</v>
      </c>
      <c r="AQ260" s="472">
        <v>0.45</v>
      </c>
      <c r="AR260" s="472">
        <v>0</v>
      </c>
      <c r="AS260" s="475">
        <v>0</v>
      </c>
      <c r="AT260" s="475">
        <v>0</v>
      </c>
      <c r="AU260" s="475">
        <v>0</v>
      </c>
      <c r="AV260" s="454">
        <f t="shared" si="171"/>
        <v>2034.56</v>
      </c>
      <c r="AW260" s="421">
        <f t="shared" si="172"/>
        <v>2034.56</v>
      </c>
      <c r="AX260" s="455">
        <f t="shared" si="191"/>
        <v>1</v>
      </c>
      <c r="AY260" s="424">
        <f t="shared" si="173"/>
        <v>38.08</v>
      </c>
      <c r="AZ260" s="424">
        <f t="shared" si="174"/>
        <v>0</v>
      </c>
      <c r="BA260" s="424">
        <f t="shared" si="175"/>
        <v>68</v>
      </c>
      <c r="BB260" s="424">
        <f t="shared" si="176"/>
        <v>0</v>
      </c>
      <c r="BC260" s="424">
        <f t="shared" si="177"/>
        <v>0</v>
      </c>
      <c r="BD260" s="424">
        <f t="shared" si="178"/>
        <v>2140.64</v>
      </c>
      <c r="BE260" s="452">
        <f t="shared" si="179"/>
        <v>2140.64</v>
      </c>
      <c r="BF260" s="448">
        <f t="shared" si="180"/>
        <v>0</v>
      </c>
      <c r="BG260" s="456">
        <f t="shared" si="181"/>
        <v>416.91</v>
      </c>
      <c r="BH260" s="457">
        <f t="shared" ref="BH260:BH323" si="195">AH260+AQ260-BG260</f>
        <v>733.64999999999986</v>
      </c>
      <c r="BI260" s="407" t="s">
        <v>692</v>
      </c>
      <c r="BM260" s="429">
        <f>IF(BR260&gt;BR259,BM259,IF(BM259&lt;MiscData!$F$1,EOMONTH(BM259,1),EOMONTH(BM259,-11)))</f>
        <v>41851</v>
      </c>
      <c r="BN260" s="416" t="str">
        <f t="shared" ref="BN260:BN323" si="196">CONCATENATE(BP260&amp;BQ260)</f>
        <v>20140101KUCME297</v>
      </c>
      <c r="BO260" s="427" t="str">
        <f t="shared" ref="BO260:BO323" si="197">CONCATENATE(BP260&amp;BS260)</f>
        <v>20140101TE</v>
      </c>
      <c r="BP260" s="407">
        <f>IF(BM260&lt;=MiscData!$B$23,MiscData!$C$23,IF(BM260&lt;=MiscData!$B$24,MiscData!$C$24,MiscData!$C$25))</f>
        <v>20140101</v>
      </c>
      <c r="BQ260" s="407" t="str">
        <f>VLOOKUP(BR260,MiscData!$V$4:$W$42,2,FALSE)</f>
        <v>KUCME297</v>
      </c>
      <c r="BR260" s="407">
        <f>IF(BR259=MiscData!$V$42,1,BR259+1)</f>
        <v>23</v>
      </c>
      <c r="BS260" s="407" t="str">
        <f>VLOOKUP(BQ260,MiscData!$W$4:$Y$42,3,FALSE)</f>
        <v>TE</v>
      </c>
    </row>
    <row r="261" spans="1:71" hidden="1">
      <c r="A261" s="416">
        <f t="shared" si="188"/>
        <v>240</v>
      </c>
      <c r="B261" s="416" t="str">
        <f t="shared" si="192"/>
        <v>Jul 2014</v>
      </c>
      <c r="C261" s="416" t="s">
        <v>727</v>
      </c>
      <c r="D261" s="417" t="str">
        <f t="shared" si="193"/>
        <v>SQF</v>
      </c>
      <c r="E261" s="417" t="str">
        <f t="shared" si="194"/>
        <v>KUCME705</v>
      </c>
      <c r="F261" s="418">
        <f t="shared" ref="F261:F324" si="198">SUMIFS(_1022_Count,_1022_RevenueMonth,$B261,_1022_RateCategory,$E261)</f>
        <v>0</v>
      </c>
      <c r="G261" s="467">
        <v>0</v>
      </c>
      <c r="H261" s="418">
        <v>0</v>
      </c>
      <c r="I261" s="418">
        <v>0</v>
      </c>
      <c r="J261" s="418">
        <v>0</v>
      </c>
      <c r="K261" s="418">
        <f t="shared" ref="K261:K324" si="199">SUMIFS(_1022_KWH,_1022_RevenueMonth,$B261,_1022_RateCategory,$E261)</f>
        <v>0</v>
      </c>
      <c r="L261" s="481">
        <v>0</v>
      </c>
      <c r="M261" s="443">
        <f t="shared" ref="M261:M324" si="200">SUMIFS(_1022_Measured_KVA_Base,_1022_RevenueMonth,$B261,_1022_RateCategory,$E261)</f>
        <v>0</v>
      </c>
      <c r="N261" s="443">
        <f t="shared" ref="N261:N324" si="201">SUMIFS(_1022_Measured_KVA_Inter,_1022_RevenueMonth,$B261,_1022_RateCategory,$E261)</f>
        <v>0</v>
      </c>
      <c r="O261" s="443">
        <f t="shared" ref="O261:O324" si="202">SUMIFS(_1022_Measured_KVA_Peak,_1022_RevenueMonth,$B261,_1022_RateCategory,$E261)</f>
        <v>0</v>
      </c>
      <c r="P261" s="443">
        <f t="shared" ref="P261:P324" si="203">SUMIFS(_1022_Demand_Base,_1022_RevenueMonth,$B261,_1022_RateCategory,$E261)</f>
        <v>0</v>
      </c>
      <c r="Q261" s="443">
        <f t="shared" ref="Q261:Q324" si="204">SUMIFS(_1022_Demand_Intermediate,_1022_RevenueMonth,$B261,_1022_RateCategory,$E261)</f>
        <v>0</v>
      </c>
      <c r="R261" s="443">
        <f t="shared" ref="R261:R324" si="205">SUMIFS(_1022_Demand_Peak,_1022_RevenueMonth,$B261,_1022_RateCategory,$E261)</f>
        <v>0</v>
      </c>
      <c r="S261" s="484">
        <v>0</v>
      </c>
      <c r="T261" s="484">
        <v>0</v>
      </c>
      <c r="U261" s="484">
        <v>0</v>
      </c>
      <c r="V261" s="490">
        <v>0</v>
      </c>
      <c r="W261" s="490">
        <v>0</v>
      </c>
      <c r="X261" s="490">
        <v>0</v>
      </c>
      <c r="Y261" s="419">
        <f t="shared" ref="Y261:Y324" si="206">SUMIF(_Rates_Tariff_Category,$BN261,_Rates_BasicServiceCharge)</f>
        <v>0</v>
      </c>
      <c r="Z261" s="420">
        <f t="shared" ref="Z261:Z324" si="207">SUMIF(_Rates_Tariff_Category,$BN261,_Rates_Energy)</f>
        <v>0</v>
      </c>
      <c r="AA261" s="420">
        <v>0</v>
      </c>
      <c r="AB261" s="420">
        <v>0</v>
      </c>
      <c r="AC261" s="420">
        <f t="shared" ref="AC261:AC324" si="208">SUMIF(_Rates_Tariff_Category,$BN261,_Rates_FAC_Energy)</f>
        <v>0</v>
      </c>
      <c r="AD261" s="419">
        <f t="shared" ref="AD261:AD324" si="209">SUMIF(_Rates_Tariff_Category,$BN261,_Rates_Demand_Base)</f>
        <v>0</v>
      </c>
      <c r="AE261" s="419">
        <f t="shared" ref="AE261:AE324" si="210">SUMIF(_Rates_Tariff_Category,$BN261,_Rates_Demand_Intermediate)</f>
        <v>0</v>
      </c>
      <c r="AF261" s="419">
        <f t="shared" ref="AF261:AF324" si="211">SUMIF(_Rates_Tariff_Category,$BN261,_Rates_Demand_Peak)</f>
        <v>0</v>
      </c>
      <c r="AG261" s="454">
        <f t="shared" ref="AG261:AG324" si="212">ROUND(($F261+$G261)*$Y261,2)</f>
        <v>0</v>
      </c>
      <c r="AH261" s="454">
        <f t="shared" si="187"/>
        <v>0</v>
      </c>
      <c r="AI261" s="421">
        <f t="shared" ref="AI261:AI324" si="213">ROUND(($M261+V261)*$AD261,2)</f>
        <v>0</v>
      </c>
      <c r="AJ261" s="421">
        <f t="shared" ref="AJ261:AJ324" si="214">ROUND(($N261+W261)*$AE261,2)</f>
        <v>0</v>
      </c>
      <c r="AK261" s="421">
        <f t="shared" ref="AK261:AK324" si="215">ROUND(($O261+X261)*$AF261,2)</f>
        <v>0</v>
      </c>
      <c r="AL261" s="472">
        <v>0</v>
      </c>
      <c r="AM261" s="422">
        <f t="shared" si="185"/>
        <v>0</v>
      </c>
      <c r="AN261" s="423">
        <f t="shared" ref="AN261:AN324" si="216">ROUND(U261*AF261+T261*AE261+S261*AD261,2)</f>
        <v>0</v>
      </c>
      <c r="AO261" s="421">
        <f t="shared" ref="AO261:AO324" si="217">SUM(AI261:AN261)</f>
        <v>0</v>
      </c>
      <c r="AP261" s="472"/>
      <c r="AQ261" s="472"/>
      <c r="AR261" s="472"/>
      <c r="AS261" s="475"/>
      <c r="AT261" s="475"/>
      <c r="AU261" s="475"/>
      <c r="AV261" s="454">
        <f t="shared" ref="AV261:AV324" si="218">SUM(AG261:AN261,AP261:AU261)</f>
        <v>0</v>
      </c>
      <c r="AW261" s="421">
        <f t="shared" ref="AW261:AW324" si="219">BD261-SUM(AY261:BC261)</f>
        <v>0</v>
      </c>
      <c r="AX261" s="455">
        <f t="shared" si="191"/>
        <v>1</v>
      </c>
      <c r="AY261" s="424">
        <f t="shared" ref="AY261:AY324" si="220">SUMIFS(_SBR_FAC,_SBR_Revenue_Month,$B261,_SBR_Rate_Category,$E261)</f>
        <v>0</v>
      </c>
      <c r="AZ261" s="424">
        <f t="shared" ref="AZ261:AZ324" si="221">SUMIFS(_SBR_DSM,_SBR_Revenue_Month,$B261,_SBR_Rate_Category,$E261)</f>
        <v>0</v>
      </c>
      <c r="BA261" s="424">
        <f t="shared" ref="BA261:BA324" si="222">SUMIFS(_SBR_ECR,_SBR_Revenue_Month,$B261,_SBR_Rate_Category,$E261)</f>
        <v>0</v>
      </c>
      <c r="BB261" s="424">
        <f t="shared" ref="BB261:BB324" si="223">SUMIFS(_SBR_MSR,_SBR_Revenue_Month,$B261,_SBR_Rate_Category,$E261)</f>
        <v>0</v>
      </c>
      <c r="BC261" s="424">
        <f t="shared" ref="BC261:BC324" si="224">SUMIFS(_SBR_CSR,_SBR_Revenue_Month,$B261,_SBR_Rate_Category,$E261)</f>
        <v>0</v>
      </c>
      <c r="BD261" s="424">
        <f t="shared" ref="BD261:BD324" si="225">SUMIFS(_SBR_Revenue_Actual,_SBR_Revenue_Month,$B261,_SBR_Rate_Category,$E261)</f>
        <v>0</v>
      </c>
      <c r="BE261" s="452">
        <f t="shared" ref="BE261:BE324" si="226">SUM(AV261,AY261:BC261)</f>
        <v>0</v>
      </c>
      <c r="BF261" s="448">
        <f t="shared" ref="BF261:BF324" si="227">BD261-BE261</f>
        <v>0</v>
      </c>
      <c r="BG261" s="456">
        <f t="shared" ref="BG261:BG324" si="228">ROUND($K261*$AC261,2)</f>
        <v>0</v>
      </c>
      <c r="BH261" s="457">
        <f t="shared" si="195"/>
        <v>0</v>
      </c>
      <c r="BI261" s="407" t="s">
        <v>692</v>
      </c>
      <c r="BM261" s="429">
        <f>IF(BR261&gt;BR260,BM260,IF(BM260&lt;MiscData!$F$1,EOMONTH(BM260,1),EOMONTH(BM260,-11)))</f>
        <v>41851</v>
      </c>
      <c r="BN261" s="416" t="str">
        <f t="shared" si="196"/>
        <v>20140101KUCME705</v>
      </c>
      <c r="BO261" s="427" t="str">
        <f t="shared" si="197"/>
        <v>20140101SQF</v>
      </c>
      <c r="BP261" s="407">
        <f>IF(BM261&lt;=MiscData!$B$23,MiscData!$C$23,IF(BM261&lt;=MiscData!$B$24,MiscData!$C$24,MiscData!$C$25))</f>
        <v>20140101</v>
      </c>
      <c r="BQ261" s="407" t="str">
        <f>VLOOKUP(BR261,MiscData!$V$4:$W$42,2,FALSE)</f>
        <v>KUCME705</v>
      </c>
      <c r="BR261" s="407">
        <f>IF(BR260=MiscData!$V$42,1,BR260+1)</f>
        <v>24</v>
      </c>
      <c r="BS261" s="407" t="str">
        <f>VLOOKUP(BQ261,MiscData!$W$4:$Y$42,3,FALSE)</f>
        <v>SQF</v>
      </c>
    </row>
    <row r="262" spans="1:71" hidden="1">
      <c r="A262" s="416">
        <f t="shared" si="188"/>
        <v>241</v>
      </c>
      <c r="B262" s="416" t="str">
        <f t="shared" si="192"/>
        <v>Jul 2014</v>
      </c>
      <c r="C262" s="416" t="s">
        <v>1052</v>
      </c>
      <c r="D262" s="417" t="str">
        <f t="shared" si="193"/>
        <v>LQF</v>
      </c>
      <c r="E262" s="417" t="str">
        <f t="shared" si="194"/>
        <v>KUCME707</v>
      </c>
      <c r="F262" s="418">
        <f t="shared" si="198"/>
        <v>0</v>
      </c>
      <c r="G262" s="467">
        <v>0</v>
      </c>
      <c r="H262" s="418">
        <v>0</v>
      </c>
      <c r="I262" s="418">
        <v>0</v>
      </c>
      <c r="J262" s="418">
        <v>0</v>
      </c>
      <c r="K262" s="418">
        <f t="shared" si="199"/>
        <v>0</v>
      </c>
      <c r="L262" s="481">
        <v>0</v>
      </c>
      <c r="M262" s="443">
        <f t="shared" si="200"/>
        <v>0</v>
      </c>
      <c r="N262" s="443">
        <f t="shared" si="201"/>
        <v>0</v>
      </c>
      <c r="O262" s="443">
        <f t="shared" si="202"/>
        <v>0</v>
      </c>
      <c r="P262" s="443">
        <f t="shared" si="203"/>
        <v>0</v>
      </c>
      <c r="Q262" s="443">
        <f t="shared" si="204"/>
        <v>0</v>
      </c>
      <c r="R262" s="443">
        <f t="shared" si="205"/>
        <v>0</v>
      </c>
      <c r="S262" s="484">
        <v>0</v>
      </c>
      <c r="T262" s="484">
        <v>0</v>
      </c>
      <c r="U262" s="484">
        <v>0</v>
      </c>
      <c r="V262" s="490">
        <v>0</v>
      </c>
      <c r="W262" s="490">
        <v>0</v>
      </c>
      <c r="X262" s="490">
        <v>0</v>
      </c>
      <c r="Y262" s="419">
        <f t="shared" si="206"/>
        <v>0</v>
      </c>
      <c r="Z262" s="420">
        <f t="shared" si="207"/>
        <v>0</v>
      </c>
      <c r="AA262" s="420">
        <v>0</v>
      </c>
      <c r="AB262" s="420">
        <v>0</v>
      </c>
      <c r="AC262" s="420">
        <f t="shared" si="208"/>
        <v>0</v>
      </c>
      <c r="AD262" s="419">
        <f t="shared" si="209"/>
        <v>0</v>
      </c>
      <c r="AE262" s="419">
        <f t="shared" si="210"/>
        <v>0</v>
      </c>
      <c r="AF262" s="419">
        <f t="shared" si="211"/>
        <v>0</v>
      </c>
      <c r="AG262" s="454">
        <f t="shared" si="212"/>
        <v>0</v>
      </c>
      <c r="AH262" s="454">
        <f t="shared" si="187"/>
        <v>0</v>
      </c>
      <c r="AI262" s="421">
        <f t="shared" si="213"/>
        <v>0</v>
      </c>
      <c r="AJ262" s="421">
        <f t="shared" si="214"/>
        <v>0</v>
      </c>
      <c r="AK262" s="421">
        <f t="shared" si="215"/>
        <v>0</v>
      </c>
      <c r="AL262" s="472">
        <v>0</v>
      </c>
      <c r="AM262" s="422">
        <f t="shared" si="185"/>
        <v>0</v>
      </c>
      <c r="AN262" s="423">
        <f t="shared" si="216"/>
        <v>0</v>
      </c>
      <c r="AO262" s="421">
        <f t="shared" si="217"/>
        <v>0</v>
      </c>
      <c r="AP262" s="472"/>
      <c r="AQ262" s="472"/>
      <c r="AR262" s="472"/>
      <c r="AS262" s="475"/>
      <c r="AT262" s="475"/>
      <c r="AU262" s="475"/>
      <c r="AV262" s="454">
        <f t="shared" si="218"/>
        <v>0</v>
      </c>
      <c r="AW262" s="421">
        <f t="shared" si="219"/>
        <v>0</v>
      </c>
      <c r="AX262" s="455">
        <f t="shared" si="191"/>
        <v>1</v>
      </c>
      <c r="AY262" s="424">
        <f t="shared" si="220"/>
        <v>0</v>
      </c>
      <c r="AZ262" s="424">
        <f t="shared" si="221"/>
        <v>0</v>
      </c>
      <c r="BA262" s="424">
        <f t="shared" si="222"/>
        <v>0</v>
      </c>
      <c r="BB262" s="424">
        <f t="shared" si="223"/>
        <v>0</v>
      </c>
      <c r="BC262" s="424">
        <f t="shared" si="224"/>
        <v>0</v>
      </c>
      <c r="BD262" s="424">
        <f t="shared" si="225"/>
        <v>0</v>
      </c>
      <c r="BE262" s="452">
        <f t="shared" si="226"/>
        <v>0</v>
      </c>
      <c r="BF262" s="448">
        <f t="shared" si="227"/>
        <v>0</v>
      </c>
      <c r="BG262" s="456">
        <f t="shared" si="228"/>
        <v>0</v>
      </c>
      <c r="BH262" s="457">
        <f t="shared" si="195"/>
        <v>0</v>
      </c>
      <c r="BI262" s="407" t="s">
        <v>692</v>
      </c>
      <c r="BM262" s="429">
        <f>IF(BR262&gt;BR261,BM261,IF(BM261&lt;MiscData!$F$1,EOMONTH(BM261,1),EOMONTH(BM261,-11)))</f>
        <v>41851</v>
      </c>
      <c r="BN262" s="416" t="str">
        <f t="shared" si="196"/>
        <v>20140101KUCME707</v>
      </c>
      <c r="BO262" s="427" t="str">
        <f t="shared" si="197"/>
        <v>20140101LQF</v>
      </c>
      <c r="BP262" s="407">
        <f>IF(BM262&lt;=MiscData!$B$23,MiscData!$C$23,IF(BM262&lt;=MiscData!$B$24,MiscData!$C$24,MiscData!$C$25))</f>
        <v>20140101</v>
      </c>
      <c r="BQ262" s="407" t="str">
        <f>VLOOKUP(BR262,MiscData!$V$4:$W$42,2,FALSE)</f>
        <v>KUCME707</v>
      </c>
      <c r="BR262" s="407">
        <f>IF(BR261=MiscData!$V$42,1,BR261+1)</f>
        <v>25</v>
      </c>
      <c r="BS262" s="407" t="str">
        <f>VLOOKUP(BQ262,MiscData!$W$4:$Y$42,3,FALSE)</f>
        <v>LQF</v>
      </c>
    </row>
    <row r="263" spans="1:71" hidden="1">
      <c r="A263" s="416">
        <f t="shared" si="188"/>
        <v>242</v>
      </c>
      <c r="B263" s="416" t="str">
        <f t="shared" si="192"/>
        <v>Jul 2014</v>
      </c>
      <c r="C263" s="416" t="s">
        <v>224</v>
      </c>
      <c r="D263" s="417" t="str">
        <f t="shared" si="193"/>
        <v>GS</v>
      </c>
      <c r="E263" s="417" t="str">
        <f t="shared" si="194"/>
        <v>KUCME710</v>
      </c>
      <c r="F263" s="418">
        <f t="shared" si="198"/>
        <v>10</v>
      </c>
      <c r="G263" s="467">
        <v>0</v>
      </c>
      <c r="H263" s="418">
        <v>0</v>
      </c>
      <c r="I263" s="418">
        <v>0</v>
      </c>
      <c r="J263" s="418">
        <v>0</v>
      </c>
      <c r="K263" s="418">
        <f t="shared" si="199"/>
        <v>5823</v>
      </c>
      <c r="L263" s="459">
        <v>0</v>
      </c>
      <c r="M263" s="443">
        <f t="shared" si="200"/>
        <v>0</v>
      </c>
      <c r="N263" s="443">
        <f t="shared" si="201"/>
        <v>0</v>
      </c>
      <c r="O263" s="443">
        <f t="shared" si="202"/>
        <v>0</v>
      </c>
      <c r="P263" s="443">
        <f t="shared" si="203"/>
        <v>0</v>
      </c>
      <c r="Q263" s="443">
        <f t="shared" si="204"/>
        <v>0</v>
      </c>
      <c r="R263" s="443">
        <f t="shared" si="205"/>
        <v>0</v>
      </c>
      <c r="S263" s="484">
        <v>0</v>
      </c>
      <c r="T263" s="484">
        <v>0</v>
      </c>
      <c r="U263" s="484">
        <v>0</v>
      </c>
      <c r="V263" s="490">
        <v>0</v>
      </c>
      <c r="W263" s="490">
        <v>0</v>
      </c>
      <c r="X263" s="490">
        <v>0</v>
      </c>
      <c r="Y263" s="419">
        <f t="shared" si="206"/>
        <v>20</v>
      </c>
      <c r="Z263" s="420">
        <f t="shared" si="207"/>
        <v>9.2249999999999999E-2</v>
      </c>
      <c r="AA263" s="420">
        <v>0</v>
      </c>
      <c r="AB263" s="420">
        <v>0</v>
      </c>
      <c r="AC263" s="420">
        <f t="shared" si="208"/>
        <v>2.8920000000000001E-2</v>
      </c>
      <c r="AD263" s="419">
        <f t="shared" si="209"/>
        <v>0</v>
      </c>
      <c r="AE263" s="419">
        <f t="shared" si="210"/>
        <v>0</v>
      </c>
      <c r="AF263" s="419">
        <f t="shared" si="211"/>
        <v>0</v>
      </c>
      <c r="AG263" s="454">
        <f t="shared" si="212"/>
        <v>200</v>
      </c>
      <c r="AH263" s="454">
        <f t="shared" si="187"/>
        <v>537.16999999999996</v>
      </c>
      <c r="AI263" s="421">
        <f t="shared" si="213"/>
        <v>0</v>
      </c>
      <c r="AJ263" s="421">
        <f t="shared" si="214"/>
        <v>0</v>
      </c>
      <c r="AK263" s="421">
        <f t="shared" si="215"/>
        <v>0</v>
      </c>
      <c r="AL263" s="472">
        <v>0</v>
      </c>
      <c r="AM263" s="422">
        <f t="shared" si="185"/>
        <v>0</v>
      </c>
      <c r="AN263" s="423">
        <f t="shared" si="216"/>
        <v>0</v>
      </c>
      <c r="AO263" s="421">
        <f t="shared" si="217"/>
        <v>0</v>
      </c>
      <c r="AP263" s="472">
        <v>0</v>
      </c>
      <c r="AQ263" s="472">
        <v>0</v>
      </c>
      <c r="AR263" s="472">
        <v>0</v>
      </c>
      <c r="AS263" s="475">
        <v>0</v>
      </c>
      <c r="AT263" s="475">
        <v>0</v>
      </c>
      <c r="AU263" s="475">
        <v>0</v>
      </c>
      <c r="AV263" s="454">
        <f t="shared" si="218"/>
        <v>737.17</v>
      </c>
      <c r="AW263" s="421">
        <f t="shared" si="219"/>
        <v>737.17000000000007</v>
      </c>
      <c r="AX263" s="455">
        <f t="shared" ref="AX263:AX276" si="229">IF(AND(AV263=0,AW263=0),1,IF(AV263=0,0,AW263/AV263))</f>
        <v>1.0000000000000002</v>
      </c>
      <c r="AY263" s="424">
        <f t="shared" si="220"/>
        <v>14.89</v>
      </c>
      <c r="AZ263" s="424">
        <f t="shared" si="221"/>
        <v>17.47</v>
      </c>
      <c r="BA263" s="424">
        <f t="shared" si="222"/>
        <v>33.950000000000003</v>
      </c>
      <c r="BB263" s="424">
        <f t="shared" si="223"/>
        <v>0</v>
      </c>
      <c r="BC263" s="424">
        <f t="shared" si="224"/>
        <v>0</v>
      </c>
      <c r="BD263" s="424">
        <f t="shared" si="225"/>
        <v>803.48</v>
      </c>
      <c r="BE263" s="452">
        <f t="shared" si="226"/>
        <v>803.48</v>
      </c>
      <c r="BF263" s="448">
        <f t="shared" si="227"/>
        <v>0</v>
      </c>
      <c r="BG263" s="456">
        <f t="shared" si="228"/>
        <v>168.4</v>
      </c>
      <c r="BH263" s="457">
        <f t="shared" si="195"/>
        <v>368.77</v>
      </c>
      <c r="BI263" s="407" t="s">
        <v>692</v>
      </c>
      <c r="BM263" s="429">
        <f>IF(BR263&gt;BR262,BM262,IF(BM262&lt;MiscData!$F$1,EOMONTH(BM262,1),EOMONTH(BM262,-11)))</f>
        <v>41851</v>
      </c>
      <c r="BN263" s="416" t="str">
        <f t="shared" si="196"/>
        <v>20140101KUCME710</v>
      </c>
      <c r="BO263" s="427" t="str">
        <f t="shared" si="197"/>
        <v>20140101GS</v>
      </c>
      <c r="BP263" s="407">
        <f>IF(BM263&lt;=MiscData!$B$23,MiscData!$C$23,IF(BM263&lt;=MiscData!$B$24,MiscData!$C$24,MiscData!$C$25))</f>
        <v>20140101</v>
      </c>
      <c r="BQ263" s="407" t="str">
        <f>VLOOKUP(BR263,MiscData!$V$4:$W$42,2,FALSE)</f>
        <v>KUCME710</v>
      </c>
      <c r="BR263" s="407">
        <f>IF(BR262=MiscData!$V$42,1,BR262+1)</f>
        <v>26</v>
      </c>
      <c r="BS263" s="407" t="str">
        <f>VLOOKUP(BQ263,MiscData!$W$4:$Y$42,3,FALSE)</f>
        <v>GS</v>
      </c>
    </row>
    <row r="264" spans="1:71" hidden="1">
      <c r="A264" s="416">
        <f t="shared" si="188"/>
        <v>243</v>
      </c>
      <c r="B264" s="416" t="str">
        <f t="shared" si="192"/>
        <v>Jul 2014</v>
      </c>
      <c r="C264" s="416" t="s">
        <v>18</v>
      </c>
      <c r="D264" s="417" t="str">
        <f t="shared" si="193"/>
        <v>GS3</v>
      </c>
      <c r="E264" s="417" t="str">
        <f t="shared" si="194"/>
        <v>KUCME713</v>
      </c>
      <c r="F264" s="418">
        <f t="shared" si="198"/>
        <v>2</v>
      </c>
      <c r="G264" s="467">
        <v>0</v>
      </c>
      <c r="H264" s="418">
        <v>0</v>
      </c>
      <c r="I264" s="418">
        <v>0</v>
      </c>
      <c r="J264" s="418">
        <v>0</v>
      </c>
      <c r="K264" s="418">
        <f t="shared" si="199"/>
        <v>11880</v>
      </c>
      <c r="L264" s="459">
        <v>0</v>
      </c>
      <c r="M264" s="443">
        <f t="shared" si="200"/>
        <v>62.3</v>
      </c>
      <c r="N264" s="443">
        <f t="shared" si="201"/>
        <v>0</v>
      </c>
      <c r="O264" s="443">
        <f t="shared" si="202"/>
        <v>0</v>
      </c>
      <c r="P264" s="443">
        <f t="shared" si="203"/>
        <v>0</v>
      </c>
      <c r="Q264" s="443">
        <f t="shared" si="204"/>
        <v>0</v>
      </c>
      <c r="R264" s="443">
        <f t="shared" si="205"/>
        <v>0</v>
      </c>
      <c r="S264" s="484">
        <v>0</v>
      </c>
      <c r="T264" s="484">
        <v>0</v>
      </c>
      <c r="U264" s="484">
        <v>0</v>
      </c>
      <c r="V264" s="490">
        <v>0</v>
      </c>
      <c r="W264" s="490">
        <v>0</v>
      </c>
      <c r="X264" s="490">
        <v>0</v>
      </c>
      <c r="Y264" s="419">
        <f t="shared" si="206"/>
        <v>35</v>
      </c>
      <c r="Z264" s="420">
        <f t="shared" si="207"/>
        <v>9.2249999999999999E-2</v>
      </c>
      <c r="AA264" s="420">
        <v>0</v>
      </c>
      <c r="AB264" s="420">
        <v>0</v>
      </c>
      <c r="AC264" s="420">
        <f t="shared" si="208"/>
        <v>2.8920000000000001E-2</v>
      </c>
      <c r="AD264" s="419">
        <f t="shared" si="209"/>
        <v>0</v>
      </c>
      <c r="AE264" s="419">
        <f t="shared" si="210"/>
        <v>0</v>
      </c>
      <c r="AF264" s="419">
        <f t="shared" si="211"/>
        <v>0</v>
      </c>
      <c r="AG264" s="454">
        <f t="shared" si="212"/>
        <v>70</v>
      </c>
      <c r="AH264" s="454">
        <f t="shared" si="187"/>
        <v>1095.93</v>
      </c>
      <c r="AI264" s="421">
        <f t="shared" si="213"/>
        <v>0</v>
      </c>
      <c r="AJ264" s="421">
        <f t="shared" si="214"/>
        <v>0</v>
      </c>
      <c r="AK264" s="421">
        <f t="shared" si="215"/>
        <v>0</v>
      </c>
      <c r="AL264" s="472">
        <v>0</v>
      </c>
      <c r="AM264" s="422">
        <f t="shared" si="185"/>
        <v>0</v>
      </c>
      <c r="AN264" s="423">
        <f t="shared" si="216"/>
        <v>0</v>
      </c>
      <c r="AO264" s="421">
        <f t="shared" si="217"/>
        <v>0</v>
      </c>
      <c r="AP264" s="472">
        <v>0</v>
      </c>
      <c r="AQ264" s="472">
        <v>0</v>
      </c>
      <c r="AR264" s="472">
        <v>0</v>
      </c>
      <c r="AS264" s="475">
        <v>0</v>
      </c>
      <c r="AT264" s="475">
        <v>0</v>
      </c>
      <c r="AU264" s="475">
        <v>0</v>
      </c>
      <c r="AV264" s="454">
        <f t="shared" si="218"/>
        <v>1165.93</v>
      </c>
      <c r="AW264" s="421">
        <f t="shared" si="219"/>
        <v>1165.9299999999998</v>
      </c>
      <c r="AX264" s="455">
        <f t="shared" si="229"/>
        <v>0.99999999999999978</v>
      </c>
      <c r="AY264" s="424">
        <f t="shared" si="220"/>
        <v>30.41</v>
      </c>
      <c r="AZ264" s="424">
        <f t="shared" si="221"/>
        <v>9.1199999999999992</v>
      </c>
      <c r="BA264" s="424">
        <f t="shared" si="222"/>
        <v>48.14</v>
      </c>
      <c r="BB264" s="424">
        <f t="shared" si="223"/>
        <v>0</v>
      </c>
      <c r="BC264" s="424">
        <f t="shared" si="224"/>
        <v>0</v>
      </c>
      <c r="BD264" s="424">
        <f t="shared" si="225"/>
        <v>1253.5999999999999</v>
      </c>
      <c r="BE264" s="452">
        <f t="shared" si="226"/>
        <v>1253.6000000000001</v>
      </c>
      <c r="BF264" s="448">
        <f t="shared" si="227"/>
        <v>0</v>
      </c>
      <c r="BG264" s="456">
        <f t="shared" si="228"/>
        <v>343.57</v>
      </c>
      <c r="BH264" s="457">
        <f t="shared" si="195"/>
        <v>752.36000000000013</v>
      </c>
      <c r="BI264" s="407" t="s">
        <v>692</v>
      </c>
      <c r="BM264" s="429">
        <f>IF(BR264&gt;BR263,BM263,IF(BM263&lt;MiscData!$F$1,EOMONTH(BM263,1),EOMONTH(BM263,-11)))</f>
        <v>41851</v>
      </c>
      <c r="BN264" s="416" t="str">
        <f t="shared" si="196"/>
        <v>20140101KUCME713</v>
      </c>
      <c r="BO264" s="427" t="str">
        <f t="shared" si="197"/>
        <v>20140101GS3</v>
      </c>
      <c r="BP264" s="407">
        <f>IF(BM264&lt;=MiscData!$B$23,MiscData!$C$23,IF(BM264&lt;=MiscData!$B$24,MiscData!$C$24,MiscData!$C$25))</f>
        <v>20140101</v>
      </c>
      <c r="BQ264" s="407" t="str">
        <f>VLOOKUP(BR264,MiscData!$V$4:$W$42,2,FALSE)</f>
        <v>KUCME713</v>
      </c>
      <c r="BR264" s="407">
        <f>IF(BR263=MiscData!$V$42,1,BR263+1)</f>
        <v>27</v>
      </c>
      <c r="BS264" s="407" t="str">
        <f>VLOOKUP(BQ264,MiscData!$W$4:$Y$42,3,FALSE)</f>
        <v>GS3</v>
      </c>
    </row>
    <row r="265" spans="1:71" hidden="1">
      <c r="A265" s="416">
        <f t="shared" si="188"/>
        <v>244</v>
      </c>
      <c r="B265" s="416" t="str">
        <f t="shared" si="192"/>
        <v>Jul 2014</v>
      </c>
      <c r="C265" s="416" t="s">
        <v>1459</v>
      </c>
      <c r="D265" s="417" t="str">
        <f t="shared" si="193"/>
        <v>CSR10</v>
      </c>
      <c r="E265" s="417" t="str">
        <f t="shared" si="194"/>
        <v>KUCSR760</v>
      </c>
      <c r="F265" s="418">
        <f t="shared" si="198"/>
        <v>1</v>
      </c>
      <c r="G265" s="467">
        <v>0</v>
      </c>
      <c r="H265" s="418">
        <v>0</v>
      </c>
      <c r="I265" s="418">
        <v>0</v>
      </c>
      <c r="J265" s="418">
        <v>0</v>
      </c>
      <c r="K265" s="418">
        <f t="shared" si="199"/>
        <v>0</v>
      </c>
      <c r="L265" s="481">
        <v>0</v>
      </c>
      <c r="M265" s="443">
        <f t="shared" si="200"/>
        <v>0</v>
      </c>
      <c r="N265" s="443">
        <f t="shared" si="201"/>
        <v>0</v>
      </c>
      <c r="O265" s="443">
        <f t="shared" si="202"/>
        <v>0</v>
      </c>
      <c r="P265" s="443">
        <f t="shared" si="203"/>
        <v>0</v>
      </c>
      <c r="Q265" s="443">
        <f t="shared" si="204"/>
        <v>0</v>
      </c>
      <c r="R265" s="443">
        <f t="shared" si="205"/>
        <v>0</v>
      </c>
      <c r="S265" s="484">
        <v>0</v>
      </c>
      <c r="T265" s="484">
        <v>0</v>
      </c>
      <c r="U265" s="484">
        <v>0</v>
      </c>
      <c r="V265" s="490">
        <v>0</v>
      </c>
      <c r="W265" s="490">
        <v>0</v>
      </c>
      <c r="X265" s="490">
        <v>0</v>
      </c>
      <c r="Y265" s="419">
        <f t="shared" si="206"/>
        <v>0</v>
      </c>
      <c r="Z265" s="420">
        <f t="shared" si="207"/>
        <v>0</v>
      </c>
      <c r="AA265" s="420">
        <v>0</v>
      </c>
      <c r="AB265" s="420">
        <v>0</v>
      </c>
      <c r="AC265" s="420">
        <f t="shared" si="208"/>
        <v>0</v>
      </c>
      <c r="AD265" s="419">
        <f t="shared" si="209"/>
        <v>-5.4</v>
      </c>
      <c r="AE265" s="419">
        <f t="shared" si="210"/>
        <v>0</v>
      </c>
      <c r="AF265" s="419">
        <f t="shared" si="211"/>
        <v>0</v>
      </c>
      <c r="AG265" s="454">
        <f t="shared" si="212"/>
        <v>0</v>
      </c>
      <c r="AH265" s="454">
        <f t="shared" si="187"/>
        <v>0</v>
      </c>
      <c r="AI265" s="421">
        <f t="shared" si="213"/>
        <v>0</v>
      </c>
      <c r="AJ265" s="421">
        <f t="shared" si="214"/>
        <v>0</v>
      </c>
      <c r="AK265" s="421">
        <f t="shared" si="215"/>
        <v>0</v>
      </c>
      <c r="AL265" s="472">
        <v>0</v>
      </c>
      <c r="AM265" s="422">
        <f t="shared" si="185"/>
        <v>0</v>
      </c>
      <c r="AN265" s="423">
        <f t="shared" si="216"/>
        <v>0</v>
      </c>
      <c r="AO265" s="421">
        <f t="shared" si="217"/>
        <v>0</v>
      </c>
      <c r="AP265" s="472"/>
      <c r="AQ265" s="472"/>
      <c r="AR265" s="472"/>
      <c r="AS265" s="475"/>
      <c r="AT265" s="475"/>
      <c r="AU265" s="475"/>
      <c r="AV265" s="454">
        <f t="shared" si="218"/>
        <v>0</v>
      </c>
      <c r="AW265" s="421">
        <f t="shared" si="219"/>
        <v>0</v>
      </c>
      <c r="AX265" s="455">
        <f t="shared" si="229"/>
        <v>1</v>
      </c>
      <c r="AY265" s="424">
        <f t="shared" si="220"/>
        <v>0</v>
      </c>
      <c r="AZ265" s="424">
        <f t="shared" si="221"/>
        <v>0</v>
      </c>
      <c r="BA265" s="424">
        <f t="shared" si="222"/>
        <v>0</v>
      </c>
      <c r="BB265" s="424">
        <f t="shared" si="223"/>
        <v>0</v>
      </c>
      <c r="BC265" s="424">
        <f t="shared" si="224"/>
        <v>-977006.02</v>
      </c>
      <c r="BD265" s="424">
        <f t="shared" si="225"/>
        <v>-977006.02</v>
      </c>
      <c r="BE265" s="452">
        <f t="shared" si="226"/>
        <v>-977006.02</v>
      </c>
      <c r="BF265" s="448">
        <f t="shared" si="227"/>
        <v>0</v>
      </c>
      <c r="BG265" s="456">
        <f t="shared" si="228"/>
        <v>0</v>
      </c>
      <c r="BH265" s="457">
        <f t="shared" si="195"/>
        <v>0</v>
      </c>
      <c r="BI265" s="407" t="s">
        <v>692</v>
      </c>
      <c r="BM265" s="429">
        <f>IF(BR265&gt;BR264,BM264,IF(BM264&lt;MiscData!$F$1,EOMONTH(BM264,1),EOMONTH(BM264,-11)))</f>
        <v>41851</v>
      </c>
      <c r="BN265" s="416" t="str">
        <f t="shared" si="196"/>
        <v>20140101KUCSR760</v>
      </c>
      <c r="BO265" s="427" t="str">
        <f t="shared" si="197"/>
        <v>20140101CSR10</v>
      </c>
      <c r="BP265" s="407">
        <f>IF(BM265&lt;=MiscData!$B$23,MiscData!$C$23,IF(BM265&lt;=MiscData!$B$24,MiscData!$C$24,MiscData!$C$25))</f>
        <v>20140101</v>
      </c>
      <c r="BQ265" s="407" t="str">
        <f>VLOOKUP(BR265,MiscData!$V$4:$W$42,2,FALSE)</f>
        <v>KUCSR760</v>
      </c>
      <c r="BR265" s="407">
        <f>IF(BR264=MiscData!$V$42,1,BR264+1)</f>
        <v>28</v>
      </c>
      <c r="BS265" s="407" t="str">
        <f>VLOOKUP(BQ265,MiscData!$W$4:$Y$42,3,FALSE)</f>
        <v>CSR10</v>
      </c>
    </row>
    <row r="266" spans="1:71" hidden="1">
      <c r="A266" s="416">
        <f>A262+1</f>
        <v>242</v>
      </c>
      <c r="B266" s="416" t="str">
        <f t="shared" si="192"/>
        <v>Jul 2014</v>
      </c>
      <c r="C266" s="416" t="s">
        <v>1459</v>
      </c>
      <c r="D266" s="417" t="str">
        <f t="shared" si="193"/>
        <v>CSR10</v>
      </c>
      <c r="E266" s="417" t="str">
        <f t="shared" si="194"/>
        <v>KUCSR761</v>
      </c>
      <c r="F266" s="418">
        <f t="shared" si="198"/>
        <v>1</v>
      </c>
      <c r="G266" s="467">
        <v>0</v>
      </c>
      <c r="H266" s="418">
        <v>0</v>
      </c>
      <c r="I266" s="418">
        <v>0</v>
      </c>
      <c r="J266" s="418">
        <v>0</v>
      </c>
      <c r="K266" s="418">
        <f t="shared" si="199"/>
        <v>0</v>
      </c>
      <c r="L266" s="481">
        <v>0</v>
      </c>
      <c r="M266" s="443">
        <f t="shared" si="200"/>
        <v>0</v>
      </c>
      <c r="N266" s="443">
        <f t="shared" si="201"/>
        <v>0</v>
      </c>
      <c r="O266" s="443">
        <f t="shared" si="202"/>
        <v>0</v>
      </c>
      <c r="P266" s="443">
        <f t="shared" si="203"/>
        <v>0</v>
      </c>
      <c r="Q266" s="443">
        <f t="shared" si="204"/>
        <v>0</v>
      </c>
      <c r="R266" s="443">
        <f t="shared" si="205"/>
        <v>0</v>
      </c>
      <c r="S266" s="484">
        <v>0</v>
      </c>
      <c r="T266" s="484">
        <v>0</v>
      </c>
      <c r="U266" s="484">
        <v>0</v>
      </c>
      <c r="V266" s="490">
        <v>0</v>
      </c>
      <c r="W266" s="490">
        <v>0</v>
      </c>
      <c r="X266" s="490">
        <v>0</v>
      </c>
      <c r="Y266" s="419">
        <f t="shared" si="206"/>
        <v>0</v>
      </c>
      <c r="Z266" s="420">
        <f t="shared" si="207"/>
        <v>0</v>
      </c>
      <c r="AA266" s="420">
        <v>0</v>
      </c>
      <c r="AB266" s="420">
        <v>0</v>
      </c>
      <c r="AC266" s="420">
        <f t="shared" si="208"/>
        <v>0</v>
      </c>
      <c r="AD266" s="419">
        <f t="shared" si="209"/>
        <v>-5.5</v>
      </c>
      <c r="AE266" s="419">
        <f t="shared" si="210"/>
        <v>0</v>
      </c>
      <c r="AF266" s="419">
        <f t="shared" si="211"/>
        <v>0</v>
      </c>
      <c r="AG266" s="454">
        <f t="shared" si="212"/>
        <v>0</v>
      </c>
      <c r="AH266" s="454">
        <f t="shared" si="187"/>
        <v>0</v>
      </c>
      <c r="AI266" s="421">
        <f t="shared" si="213"/>
        <v>0</v>
      </c>
      <c r="AJ266" s="421">
        <f t="shared" si="214"/>
        <v>0</v>
      </c>
      <c r="AK266" s="421">
        <f t="shared" si="215"/>
        <v>0</v>
      </c>
      <c r="AL266" s="472">
        <v>0</v>
      </c>
      <c r="AM266" s="422">
        <f t="shared" si="185"/>
        <v>0</v>
      </c>
      <c r="AN266" s="423">
        <f t="shared" si="216"/>
        <v>0</v>
      </c>
      <c r="AO266" s="421">
        <f t="shared" si="217"/>
        <v>0</v>
      </c>
      <c r="AP266" s="472"/>
      <c r="AQ266" s="472"/>
      <c r="AR266" s="472"/>
      <c r="AS266" s="475"/>
      <c r="AT266" s="475"/>
      <c r="AU266" s="475"/>
      <c r="AV266" s="454">
        <f t="shared" si="218"/>
        <v>0</v>
      </c>
      <c r="AW266" s="421">
        <f t="shared" si="219"/>
        <v>0</v>
      </c>
      <c r="AX266" s="455">
        <f t="shared" si="229"/>
        <v>1</v>
      </c>
      <c r="AY266" s="424">
        <f t="shared" si="220"/>
        <v>0</v>
      </c>
      <c r="AZ266" s="424">
        <f t="shared" si="221"/>
        <v>0</v>
      </c>
      <c r="BA266" s="424">
        <f t="shared" si="222"/>
        <v>0</v>
      </c>
      <c r="BB266" s="424">
        <f t="shared" si="223"/>
        <v>0</v>
      </c>
      <c r="BC266" s="424">
        <f t="shared" si="224"/>
        <v>-33499.18</v>
      </c>
      <c r="BD266" s="424">
        <f t="shared" si="225"/>
        <v>-33499.18</v>
      </c>
      <c r="BE266" s="452">
        <f t="shared" si="226"/>
        <v>-33499.18</v>
      </c>
      <c r="BF266" s="448">
        <f t="shared" si="227"/>
        <v>0</v>
      </c>
      <c r="BG266" s="456">
        <f t="shared" si="228"/>
        <v>0</v>
      </c>
      <c r="BH266" s="457">
        <f t="shared" si="195"/>
        <v>0</v>
      </c>
      <c r="BI266" s="407" t="s">
        <v>692</v>
      </c>
      <c r="BM266" s="429">
        <f>IF(BR266&gt;BR262,BM262,IF(BM262&lt;MiscData!$F$1,EOMONTH(BM262,1),EOMONTH(BM262,-11)))</f>
        <v>41851</v>
      </c>
      <c r="BN266" s="416" t="str">
        <f t="shared" si="196"/>
        <v>20140101KUCSR761</v>
      </c>
      <c r="BO266" s="427" t="str">
        <f t="shared" si="197"/>
        <v>20140101CSR10</v>
      </c>
      <c r="BP266" s="407">
        <f>IF(BM266&lt;=MiscData!$B$23,MiscData!$C$23,IF(BM266&lt;=MiscData!$B$24,MiscData!$C$24,MiscData!$C$25))</f>
        <v>20140101</v>
      </c>
      <c r="BQ266" s="407" t="str">
        <f>VLOOKUP(BR266,MiscData!$V$4:$W$42,2,FALSE)</f>
        <v>KUCSR761</v>
      </c>
      <c r="BR266" s="407">
        <f>IF(BR265=MiscData!$V$42,1,BR265+1)</f>
        <v>29</v>
      </c>
      <c r="BS266" s="407" t="str">
        <f>VLOOKUP(BQ266,MiscData!$W$4:$Y$42,3,FALSE)</f>
        <v>CSR10</v>
      </c>
    </row>
    <row r="267" spans="1:71" hidden="1">
      <c r="A267" s="416">
        <f>A263+1</f>
        <v>243</v>
      </c>
      <c r="B267" s="416" t="str">
        <f t="shared" si="192"/>
        <v>Jul 2014</v>
      </c>
      <c r="C267" s="416" t="s">
        <v>1460</v>
      </c>
      <c r="D267" s="417" t="str">
        <f t="shared" si="193"/>
        <v>CSR30</v>
      </c>
      <c r="E267" s="417" t="str">
        <f t="shared" si="194"/>
        <v>KUCSR780</v>
      </c>
      <c r="F267" s="418">
        <f t="shared" si="198"/>
        <v>1</v>
      </c>
      <c r="G267" s="467">
        <v>0</v>
      </c>
      <c r="H267" s="418">
        <v>0</v>
      </c>
      <c r="I267" s="418">
        <v>0</v>
      </c>
      <c r="J267" s="418">
        <v>0</v>
      </c>
      <c r="K267" s="418">
        <f t="shared" si="199"/>
        <v>0</v>
      </c>
      <c r="L267" s="481">
        <v>0</v>
      </c>
      <c r="M267" s="443">
        <f t="shared" si="200"/>
        <v>0</v>
      </c>
      <c r="N267" s="443">
        <f t="shared" si="201"/>
        <v>0</v>
      </c>
      <c r="O267" s="443">
        <f t="shared" si="202"/>
        <v>0</v>
      </c>
      <c r="P267" s="443">
        <f t="shared" si="203"/>
        <v>0</v>
      </c>
      <c r="Q267" s="443">
        <f t="shared" si="204"/>
        <v>0</v>
      </c>
      <c r="R267" s="443">
        <f t="shared" si="205"/>
        <v>0</v>
      </c>
      <c r="S267" s="484">
        <v>0</v>
      </c>
      <c r="T267" s="484">
        <v>0</v>
      </c>
      <c r="U267" s="484">
        <v>0</v>
      </c>
      <c r="V267" s="490">
        <v>0</v>
      </c>
      <c r="W267" s="490">
        <v>0</v>
      </c>
      <c r="X267" s="490">
        <v>0</v>
      </c>
      <c r="Y267" s="419">
        <f t="shared" si="206"/>
        <v>0</v>
      </c>
      <c r="Z267" s="420">
        <f t="shared" si="207"/>
        <v>0</v>
      </c>
      <c r="AA267" s="420">
        <v>0</v>
      </c>
      <c r="AB267" s="420">
        <v>0</v>
      </c>
      <c r="AC267" s="420">
        <f t="shared" si="208"/>
        <v>0</v>
      </c>
      <c r="AD267" s="419">
        <f t="shared" si="209"/>
        <v>-4.3</v>
      </c>
      <c r="AE267" s="419">
        <f t="shared" si="210"/>
        <v>0</v>
      </c>
      <c r="AF267" s="419">
        <f t="shared" si="211"/>
        <v>0</v>
      </c>
      <c r="AG267" s="454">
        <f t="shared" si="212"/>
        <v>0</v>
      </c>
      <c r="AH267" s="454">
        <f t="shared" si="187"/>
        <v>0</v>
      </c>
      <c r="AI267" s="421">
        <f t="shared" si="213"/>
        <v>0</v>
      </c>
      <c r="AJ267" s="421">
        <f t="shared" si="214"/>
        <v>0</v>
      </c>
      <c r="AK267" s="421">
        <f t="shared" si="215"/>
        <v>0</v>
      </c>
      <c r="AL267" s="472">
        <v>0</v>
      </c>
      <c r="AM267" s="422">
        <f t="shared" si="185"/>
        <v>0</v>
      </c>
      <c r="AN267" s="423">
        <f t="shared" si="216"/>
        <v>0</v>
      </c>
      <c r="AO267" s="421">
        <f t="shared" si="217"/>
        <v>0</v>
      </c>
      <c r="AP267" s="472"/>
      <c r="AQ267" s="472"/>
      <c r="AR267" s="472"/>
      <c r="AS267" s="475"/>
      <c r="AT267" s="475"/>
      <c r="AU267" s="475"/>
      <c r="AV267" s="454">
        <f t="shared" si="218"/>
        <v>0</v>
      </c>
      <c r="AW267" s="421">
        <f t="shared" si="219"/>
        <v>0</v>
      </c>
      <c r="AX267" s="455">
        <f t="shared" si="229"/>
        <v>1</v>
      </c>
      <c r="AY267" s="424">
        <f t="shared" si="220"/>
        <v>0</v>
      </c>
      <c r="AZ267" s="424">
        <f t="shared" si="221"/>
        <v>0</v>
      </c>
      <c r="BA267" s="424">
        <f t="shared" si="222"/>
        <v>0</v>
      </c>
      <c r="BB267" s="424">
        <f t="shared" si="223"/>
        <v>0</v>
      </c>
      <c r="BC267" s="424">
        <f t="shared" si="224"/>
        <v>-26359.99</v>
      </c>
      <c r="BD267" s="424">
        <f t="shared" si="225"/>
        <v>-26359.99</v>
      </c>
      <c r="BE267" s="452">
        <f t="shared" si="226"/>
        <v>-26359.99</v>
      </c>
      <c r="BF267" s="448">
        <f t="shared" si="227"/>
        <v>0</v>
      </c>
      <c r="BG267" s="456">
        <f t="shared" si="228"/>
        <v>0</v>
      </c>
      <c r="BH267" s="457">
        <f t="shared" si="195"/>
        <v>0</v>
      </c>
      <c r="BI267" s="407" t="s">
        <v>692</v>
      </c>
      <c r="BM267" s="429">
        <f>IF(BR267&gt;BR263,BM263,IF(BM263&lt;MiscData!$F$1,EOMONTH(BM263,1),EOMONTH(BM263,-11)))</f>
        <v>41851</v>
      </c>
      <c r="BN267" s="416" t="str">
        <f t="shared" si="196"/>
        <v>20140101KUCSR780</v>
      </c>
      <c r="BO267" s="427" t="str">
        <f t="shared" si="197"/>
        <v>20140101CSR30</v>
      </c>
      <c r="BP267" s="407">
        <f>IF(BM267&lt;=MiscData!$B$23,MiscData!$C$23,IF(BM267&lt;=MiscData!$B$24,MiscData!$C$24,MiscData!$C$25))</f>
        <v>20140101</v>
      </c>
      <c r="BQ267" s="407" t="str">
        <f>VLOOKUP(BR267,MiscData!$V$4:$W$42,2,FALSE)</f>
        <v>KUCSR780</v>
      </c>
      <c r="BR267" s="407">
        <f>IF(BR266=MiscData!$V$42,1,BR266+1)</f>
        <v>30</v>
      </c>
      <c r="BS267" s="407" t="str">
        <f>VLOOKUP(BQ267,MiscData!$W$4:$Y$42,3,FALSE)</f>
        <v>CSR30</v>
      </c>
    </row>
    <row r="268" spans="1:71" hidden="1">
      <c r="A268" s="416">
        <f>A264+1</f>
        <v>244</v>
      </c>
      <c r="B268" s="416" t="str">
        <f t="shared" si="192"/>
        <v>Jul 2014</v>
      </c>
      <c r="C268" s="416" t="s">
        <v>1460</v>
      </c>
      <c r="D268" s="417" t="str">
        <f t="shared" si="193"/>
        <v>CSR30</v>
      </c>
      <c r="E268" s="417" t="str">
        <f t="shared" si="194"/>
        <v>KUCSR781</v>
      </c>
      <c r="F268" s="418">
        <f t="shared" si="198"/>
        <v>1</v>
      </c>
      <c r="G268" s="467">
        <v>0</v>
      </c>
      <c r="H268" s="418">
        <v>0</v>
      </c>
      <c r="I268" s="418">
        <v>0</v>
      </c>
      <c r="J268" s="418">
        <v>0</v>
      </c>
      <c r="K268" s="418">
        <f t="shared" si="199"/>
        <v>0</v>
      </c>
      <c r="L268" s="481">
        <v>0</v>
      </c>
      <c r="M268" s="443">
        <f t="shared" si="200"/>
        <v>0</v>
      </c>
      <c r="N268" s="443">
        <f t="shared" si="201"/>
        <v>0</v>
      </c>
      <c r="O268" s="443">
        <f t="shared" si="202"/>
        <v>0</v>
      </c>
      <c r="P268" s="443">
        <f t="shared" si="203"/>
        <v>0</v>
      </c>
      <c r="Q268" s="443">
        <f t="shared" si="204"/>
        <v>0</v>
      </c>
      <c r="R268" s="443">
        <f t="shared" si="205"/>
        <v>0</v>
      </c>
      <c r="S268" s="484">
        <v>0</v>
      </c>
      <c r="T268" s="484">
        <v>0</v>
      </c>
      <c r="U268" s="484">
        <v>0</v>
      </c>
      <c r="V268" s="490">
        <v>0</v>
      </c>
      <c r="W268" s="490">
        <v>0</v>
      </c>
      <c r="X268" s="490">
        <v>0</v>
      </c>
      <c r="Y268" s="419">
        <f t="shared" si="206"/>
        <v>0</v>
      </c>
      <c r="Z268" s="420">
        <f t="shared" si="207"/>
        <v>0</v>
      </c>
      <c r="AA268" s="420">
        <v>0</v>
      </c>
      <c r="AB268" s="420">
        <v>0</v>
      </c>
      <c r="AC268" s="420">
        <f t="shared" si="208"/>
        <v>0</v>
      </c>
      <c r="AD268" s="419">
        <f t="shared" si="209"/>
        <v>-4.4000000000000004</v>
      </c>
      <c r="AE268" s="419">
        <f t="shared" si="210"/>
        <v>0</v>
      </c>
      <c r="AF268" s="419">
        <f t="shared" si="211"/>
        <v>0</v>
      </c>
      <c r="AG268" s="454">
        <f t="shared" si="212"/>
        <v>0</v>
      </c>
      <c r="AH268" s="454">
        <f t="shared" si="187"/>
        <v>0</v>
      </c>
      <c r="AI268" s="421">
        <f t="shared" si="213"/>
        <v>0</v>
      </c>
      <c r="AJ268" s="421">
        <f t="shared" si="214"/>
        <v>0</v>
      </c>
      <c r="AK268" s="421">
        <f t="shared" si="215"/>
        <v>0</v>
      </c>
      <c r="AL268" s="472">
        <v>0</v>
      </c>
      <c r="AM268" s="422">
        <f t="shared" si="185"/>
        <v>0</v>
      </c>
      <c r="AN268" s="423">
        <f t="shared" si="216"/>
        <v>0</v>
      </c>
      <c r="AO268" s="421">
        <f t="shared" si="217"/>
        <v>0</v>
      </c>
      <c r="AP268" s="472"/>
      <c r="AQ268" s="472"/>
      <c r="AR268" s="472"/>
      <c r="AS268" s="475"/>
      <c r="AT268" s="475"/>
      <c r="AU268" s="475"/>
      <c r="AV268" s="454">
        <f t="shared" si="218"/>
        <v>0</v>
      </c>
      <c r="AW268" s="421">
        <f t="shared" si="219"/>
        <v>0</v>
      </c>
      <c r="AX268" s="455">
        <f t="shared" si="229"/>
        <v>1</v>
      </c>
      <c r="AY268" s="424">
        <f t="shared" si="220"/>
        <v>0</v>
      </c>
      <c r="AZ268" s="424">
        <f t="shared" si="221"/>
        <v>0</v>
      </c>
      <c r="BA268" s="424">
        <f t="shared" si="222"/>
        <v>0</v>
      </c>
      <c r="BB268" s="424">
        <f t="shared" si="223"/>
        <v>0</v>
      </c>
      <c r="BC268" s="424">
        <f t="shared" si="224"/>
        <v>-28805.3</v>
      </c>
      <c r="BD268" s="424">
        <f t="shared" si="225"/>
        <v>-28805.3</v>
      </c>
      <c r="BE268" s="452">
        <f t="shared" si="226"/>
        <v>-28805.3</v>
      </c>
      <c r="BF268" s="448">
        <f t="shared" si="227"/>
        <v>0</v>
      </c>
      <c r="BG268" s="456">
        <f t="shared" si="228"/>
        <v>0</v>
      </c>
      <c r="BH268" s="457">
        <f t="shared" si="195"/>
        <v>0</v>
      </c>
      <c r="BI268" s="407" t="s">
        <v>692</v>
      </c>
      <c r="BM268" s="429">
        <f>IF(BR268&gt;BR264,BM264,IF(BM264&lt;MiscData!$F$1,EOMONTH(BM264,1),EOMONTH(BM264,-11)))</f>
        <v>41851</v>
      </c>
      <c r="BN268" s="416" t="str">
        <f t="shared" si="196"/>
        <v>20140101KUCSR781</v>
      </c>
      <c r="BO268" s="427" t="str">
        <f t="shared" si="197"/>
        <v>20140101CSR30</v>
      </c>
      <c r="BP268" s="407">
        <f>IF(BM268&lt;=MiscData!$B$23,MiscData!$C$23,IF(BM268&lt;=MiscData!$B$24,MiscData!$C$24,MiscData!$C$25))</f>
        <v>20140101</v>
      </c>
      <c r="BQ268" s="407" t="str">
        <f>VLOOKUP(BR268,MiscData!$V$4:$W$42,2,FALSE)</f>
        <v>KUCSR781</v>
      </c>
      <c r="BR268" s="407">
        <f>IF(BR267=MiscData!$V$42,1,BR267+1)</f>
        <v>31</v>
      </c>
      <c r="BS268" s="407" t="str">
        <f>VLOOKUP(BQ268,MiscData!$W$4:$Y$42,3,FALSE)</f>
        <v>CSR30</v>
      </c>
    </row>
    <row r="269" spans="1:71" hidden="1">
      <c r="A269" s="416">
        <f>A265+1</f>
        <v>245</v>
      </c>
      <c r="B269" s="416" t="str">
        <f t="shared" si="192"/>
        <v>Jul 2014</v>
      </c>
      <c r="C269" s="416" t="s">
        <v>1460</v>
      </c>
      <c r="D269" s="417" t="str">
        <f t="shared" si="193"/>
        <v>CSR30</v>
      </c>
      <c r="E269" s="417" t="str">
        <f t="shared" si="194"/>
        <v>KUCSR783</v>
      </c>
      <c r="F269" s="418">
        <f t="shared" si="198"/>
        <v>1</v>
      </c>
      <c r="G269" s="467">
        <v>0</v>
      </c>
      <c r="H269" s="418">
        <v>0</v>
      </c>
      <c r="I269" s="418">
        <v>0</v>
      </c>
      <c r="J269" s="418">
        <v>0</v>
      </c>
      <c r="K269" s="418">
        <f t="shared" si="199"/>
        <v>0</v>
      </c>
      <c r="L269" s="481">
        <v>0</v>
      </c>
      <c r="M269" s="443">
        <f t="shared" si="200"/>
        <v>0</v>
      </c>
      <c r="N269" s="443">
        <f t="shared" si="201"/>
        <v>0</v>
      </c>
      <c r="O269" s="443">
        <f t="shared" si="202"/>
        <v>0</v>
      </c>
      <c r="P269" s="443">
        <f t="shared" si="203"/>
        <v>0</v>
      </c>
      <c r="Q269" s="443">
        <f t="shared" si="204"/>
        <v>0</v>
      </c>
      <c r="R269" s="443">
        <f t="shared" si="205"/>
        <v>0</v>
      </c>
      <c r="S269" s="484">
        <v>0</v>
      </c>
      <c r="T269" s="484">
        <v>0</v>
      </c>
      <c r="U269" s="484">
        <v>0</v>
      </c>
      <c r="V269" s="490">
        <v>0</v>
      </c>
      <c r="W269" s="490">
        <v>0</v>
      </c>
      <c r="X269" s="490">
        <v>0</v>
      </c>
      <c r="Y269" s="419">
        <f t="shared" si="206"/>
        <v>0</v>
      </c>
      <c r="Z269" s="420">
        <f t="shared" si="207"/>
        <v>0</v>
      </c>
      <c r="AA269" s="420">
        <v>0</v>
      </c>
      <c r="AB269" s="420">
        <v>0</v>
      </c>
      <c r="AC269" s="420">
        <f t="shared" si="208"/>
        <v>0</v>
      </c>
      <c r="AD269" s="419">
        <f t="shared" si="209"/>
        <v>-4.4000000000000004</v>
      </c>
      <c r="AE269" s="419">
        <f t="shared" si="210"/>
        <v>0</v>
      </c>
      <c r="AF269" s="419">
        <f t="shared" si="211"/>
        <v>0</v>
      </c>
      <c r="AG269" s="454">
        <f t="shared" si="212"/>
        <v>0</v>
      </c>
      <c r="AH269" s="454">
        <f t="shared" si="187"/>
        <v>0</v>
      </c>
      <c r="AI269" s="421">
        <f t="shared" si="213"/>
        <v>0</v>
      </c>
      <c r="AJ269" s="421">
        <f t="shared" si="214"/>
        <v>0</v>
      </c>
      <c r="AK269" s="421">
        <f t="shared" si="215"/>
        <v>0</v>
      </c>
      <c r="AL269" s="472">
        <v>0</v>
      </c>
      <c r="AM269" s="422">
        <f t="shared" si="185"/>
        <v>0</v>
      </c>
      <c r="AN269" s="423">
        <f t="shared" si="216"/>
        <v>0</v>
      </c>
      <c r="AO269" s="421">
        <f t="shared" si="217"/>
        <v>0</v>
      </c>
      <c r="AP269" s="472"/>
      <c r="AQ269" s="472"/>
      <c r="AR269" s="472"/>
      <c r="AS269" s="475"/>
      <c r="AT269" s="475"/>
      <c r="AU269" s="475"/>
      <c r="AV269" s="454">
        <f t="shared" si="218"/>
        <v>0</v>
      </c>
      <c r="AW269" s="421">
        <f t="shared" si="219"/>
        <v>0</v>
      </c>
      <c r="AX269" s="455">
        <f t="shared" si="229"/>
        <v>1</v>
      </c>
      <c r="AY269" s="424">
        <f t="shared" si="220"/>
        <v>0</v>
      </c>
      <c r="AZ269" s="424">
        <f t="shared" si="221"/>
        <v>0</v>
      </c>
      <c r="BA269" s="424">
        <f t="shared" si="222"/>
        <v>0</v>
      </c>
      <c r="BB269" s="424">
        <f t="shared" si="223"/>
        <v>0</v>
      </c>
      <c r="BC269" s="424">
        <f t="shared" si="224"/>
        <v>-8800</v>
      </c>
      <c r="BD269" s="424">
        <f t="shared" si="225"/>
        <v>-8800</v>
      </c>
      <c r="BE269" s="452">
        <f t="shared" si="226"/>
        <v>-8800</v>
      </c>
      <c r="BF269" s="448">
        <f t="shared" si="227"/>
        <v>0</v>
      </c>
      <c r="BG269" s="456">
        <f t="shared" si="228"/>
        <v>0</v>
      </c>
      <c r="BH269" s="457">
        <f t="shared" si="195"/>
        <v>0</v>
      </c>
      <c r="BI269" s="407" t="s">
        <v>692</v>
      </c>
      <c r="BM269" s="429">
        <f>IF(BR269&gt;BR265,BM265,IF(BM265&lt;MiscData!$F$1,EOMONTH(BM265,1),EOMONTH(BM265,-11)))</f>
        <v>41851</v>
      </c>
      <c r="BN269" s="416" t="str">
        <f t="shared" si="196"/>
        <v>20140101KUCSR783</v>
      </c>
      <c r="BO269" s="427" t="str">
        <f t="shared" si="197"/>
        <v>20140101CSR30</v>
      </c>
      <c r="BP269" s="407">
        <f>IF(BM269&lt;=MiscData!$B$23,MiscData!$C$23,IF(BM269&lt;=MiscData!$B$24,MiscData!$C$24,MiscData!$C$25))</f>
        <v>20140101</v>
      </c>
      <c r="BQ269" s="407" t="str">
        <f>VLOOKUP(BR269,MiscData!$V$4:$W$42,2,FALSE)</f>
        <v>KUCSR783</v>
      </c>
      <c r="BR269" s="407">
        <f>IF(BR268=MiscData!$V$42,1,BR268+1)</f>
        <v>32</v>
      </c>
      <c r="BS269" s="407" t="str">
        <f>VLOOKUP(BQ269,MiscData!$W$4:$Y$42,3,FALSE)</f>
        <v>CSR30</v>
      </c>
    </row>
    <row r="270" spans="1:71" hidden="1">
      <c r="A270" s="416">
        <f t="shared" ref="A270:A304" si="230">A269+1</f>
        <v>246</v>
      </c>
      <c r="B270" s="416" t="str">
        <f t="shared" si="192"/>
        <v>Jul 2014</v>
      </c>
      <c r="C270" s="837" t="s">
        <v>675</v>
      </c>
      <c r="D270" s="417" t="str">
        <f t="shared" si="193"/>
        <v>FLST</v>
      </c>
      <c r="E270" s="417" t="str">
        <f t="shared" si="194"/>
        <v>KUINE730</v>
      </c>
      <c r="F270" s="418">
        <f t="shared" si="198"/>
        <v>1</v>
      </c>
      <c r="G270" s="467">
        <v>0</v>
      </c>
      <c r="H270" s="418">
        <v>0</v>
      </c>
      <c r="I270" s="418">
        <v>0</v>
      </c>
      <c r="J270" s="418">
        <v>0</v>
      </c>
      <c r="K270" s="418">
        <f t="shared" si="199"/>
        <v>42552000</v>
      </c>
      <c r="L270" s="481">
        <v>0</v>
      </c>
      <c r="M270" s="443">
        <f t="shared" si="200"/>
        <v>184927.1</v>
      </c>
      <c r="N270" s="443">
        <f t="shared" si="201"/>
        <v>184927.1</v>
      </c>
      <c r="O270" s="443">
        <f t="shared" si="202"/>
        <v>137695</v>
      </c>
      <c r="P270" s="443">
        <f t="shared" si="203"/>
        <v>184927.1</v>
      </c>
      <c r="Q270" s="443">
        <f t="shared" si="204"/>
        <v>184927.1</v>
      </c>
      <c r="R270" s="443">
        <f t="shared" si="205"/>
        <v>137695</v>
      </c>
      <c r="S270" s="484">
        <v>0</v>
      </c>
      <c r="T270" s="484">
        <v>0</v>
      </c>
      <c r="U270" s="484">
        <v>0</v>
      </c>
      <c r="V270" s="490">
        <v>0</v>
      </c>
      <c r="W270" s="490">
        <v>0</v>
      </c>
      <c r="X270" s="490">
        <v>0</v>
      </c>
      <c r="Y270" s="419">
        <f t="shared" si="206"/>
        <v>750</v>
      </c>
      <c r="Z270" s="420">
        <f t="shared" si="207"/>
        <v>3.261E-2</v>
      </c>
      <c r="AA270" s="420">
        <v>0</v>
      </c>
      <c r="AB270" s="420">
        <v>0</v>
      </c>
      <c r="AC270" s="420">
        <f t="shared" si="208"/>
        <v>2.8920000000000001E-2</v>
      </c>
      <c r="AD270" s="419">
        <f t="shared" si="209"/>
        <v>1.05</v>
      </c>
      <c r="AE270" s="419">
        <f t="shared" si="210"/>
        <v>1.52</v>
      </c>
      <c r="AF270" s="419">
        <f t="shared" si="211"/>
        <v>2.41</v>
      </c>
      <c r="AG270" s="454">
        <f t="shared" si="212"/>
        <v>750</v>
      </c>
      <c r="AH270" s="454">
        <f t="shared" si="187"/>
        <v>1387620.72</v>
      </c>
      <c r="AI270" s="421">
        <f t="shared" si="213"/>
        <v>194173.46</v>
      </c>
      <c r="AJ270" s="421">
        <f t="shared" si="214"/>
        <v>281089.19</v>
      </c>
      <c r="AK270" s="421">
        <f t="shared" si="215"/>
        <v>331844.95</v>
      </c>
      <c r="AL270" s="472">
        <v>0</v>
      </c>
      <c r="AM270" s="422">
        <f t="shared" si="185"/>
        <v>0</v>
      </c>
      <c r="AN270" s="423">
        <f t="shared" si="216"/>
        <v>0</v>
      </c>
      <c r="AO270" s="421">
        <f t="shared" si="217"/>
        <v>807107.60000000009</v>
      </c>
      <c r="AP270" s="472">
        <v>0</v>
      </c>
      <c r="AQ270" s="472">
        <v>0</v>
      </c>
      <c r="AR270" s="472">
        <v>0</v>
      </c>
      <c r="AS270" s="475">
        <v>0</v>
      </c>
      <c r="AT270" s="475">
        <v>0</v>
      </c>
      <c r="AU270" s="475">
        <v>0</v>
      </c>
      <c r="AV270" s="454">
        <f t="shared" si="218"/>
        <v>2195478.3199999998</v>
      </c>
      <c r="AW270" s="421">
        <f t="shared" si="219"/>
        <v>2195478.3199999998</v>
      </c>
      <c r="AX270" s="455">
        <f t="shared" si="229"/>
        <v>1</v>
      </c>
      <c r="AY270" s="424">
        <f t="shared" si="220"/>
        <v>108933.12</v>
      </c>
      <c r="AZ270" s="424">
        <f t="shared" si="221"/>
        <v>0</v>
      </c>
      <c r="BA270" s="424">
        <f t="shared" si="222"/>
        <v>55866.23</v>
      </c>
      <c r="BB270" s="424">
        <f t="shared" si="223"/>
        <v>0</v>
      </c>
      <c r="BC270" s="424">
        <f t="shared" si="224"/>
        <v>0</v>
      </c>
      <c r="BD270" s="424">
        <f t="shared" si="225"/>
        <v>2360277.67</v>
      </c>
      <c r="BE270" s="452">
        <f t="shared" si="226"/>
        <v>2360277.67</v>
      </c>
      <c r="BF270" s="448">
        <f t="shared" si="227"/>
        <v>0</v>
      </c>
      <c r="BG270" s="456">
        <f t="shared" si="228"/>
        <v>1230603.8400000001</v>
      </c>
      <c r="BH270" s="457">
        <f t="shared" si="195"/>
        <v>157016.87999999989</v>
      </c>
      <c r="BI270" s="407" t="s">
        <v>692</v>
      </c>
      <c r="BM270" s="429">
        <f>IF(BR270&gt;BR269,BM269,IF(BM269&lt;MiscData!$F$1,EOMONTH(BM269,1),EOMONTH(BM269,-11)))</f>
        <v>41851</v>
      </c>
      <c r="BN270" s="416" t="str">
        <f t="shared" si="196"/>
        <v>20140101KUINE730</v>
      </c>
      <c r="BO270" s="427" t="str">
        <f t="shared" si="197"/>
        <v>20140101FLST</v>
      </c>
      <c r="BP270" s="407">
        <f>IF(BM270&lt;=MiscData!$B$23,MiscData!$C$23,IF(BM270&lt;=MiscData!$B$24,MiscData!$C$24,MiscData!$C$25))</f>
        <v>20140101</v>
      </c>
      <c r="BQ270" s="407" t="str">
        <f>VLOOKUP(BR270,MiscData!$V$4:$W$42,2,FALSE)</f>
        <v>KUINE730</v>
      </c>
      <c r="BR270" s="407">
        <f>IF(BR269=MiscData!$V$42,1,BR269+1)</f>
        <v>33</v>
      </c>
      <c r="BS270" s="407" t="str">
        <f>VLOOKUP(BQ270,MiscData!$W$4:$Y$42,3,FALSE)</f>
        <v>FLST</v>
      </c>
    </row>
    <row r="271" spans="1:71" hidden="1">
      <c r="A271" s="416">
        <f t="shared" si="230"/>
        <v>247</v>
      </c>
      <c r="B271" s="416" t="str">
        <f t="shared" si="192"/>
        <v>Jul 2014</v>
      </c>
      <c r="C271" s="416" t="s">
        <v>15</v>
      </c>
      <c r="D271" s="417" t="str">
        <f t="shared" si="193"/>
        <v>RS</v>
      </c>
      <c r="E271" s="417" t="str">
        <f t="shared" si="194"/>
        <v>KURSE010</v>
      </c>
      <c r="F271" s="418">
        <f t="shared" si="198"/>
        <v>229471</v>
      </c>
      <c r="G271" s="467">
        <v>553</v>
      </c>
      <c r="H271" s="418">
        <v>0</v>
      </c>
      <c r="I271" s="418">
        <v>0</v>
      </c>
      <c r="J271" s="418">
        <v>0</v>
      </c>
      <c r="K271" s="418">
        <f t="shared" si="199"/>
        <v>284511549</v>
      </c>
      <c r="L271" s="481">
        <v>0</v>
      </c>
      <c r="M271" s="443">
        <f t="shared" si="200"/>
        <v>0</v>
      </c>
      <c r="N271" s="443">
        <f t="shared" si="201"/>
        <v>0</v>
      </c>
      <c r="O271" s="443">
        <f t="shared" si="202"/>
        <v>0</v>
      </c>
      <c r="P271" s="443">
        <f t="shared" si="203"/>
        <v>0</v>
      </c>
      <c r="Q271" s="443">
        <f t="shared" si="204"/>
        <v>0</v>
      </c>
      <c r="R271" s="443">
        <f t="shared" si="205"/>
        <v>0</v>
      </c>
      <c r="S271" s="484">
        <v>0</v>
      </c>
      <c r="T271" s="484">
        <v>0</v>
      </c>
      <c r="U271" s="484">
        <v>0</v>
      </c>
      <c r="V271" s="490">
        <v>0</v>
      </c>
      <c r="W271" s="490">
        <v>0</v>
      </c>
      <c r="X271" s="490">
        <v>0</v>
      </c>
      <c r="Y271" s="419">
        <f t="shared" si="206"/>
        <v>10.75</v>
      </c>
      <c r="Z271" s="420">
        <f t="shared" si="207"/>
        <v>7.7439999999999995E-2</v>
      </c>
      <c r="AA271" s="420">
        <v>0</v>
      </c>
      <c r="AB271" s="420">
        <v>0</v>
      </c>
      <c r="AC271" s="420">
        <f t="shared" si="208"/>
        <v>2.8920000000000001E-2</v>
      </c>
      <c r="AD271" s="419">
        <f t="shared" si="209"/>
        <v>0</v>
      </c>
      <c r="AE271" s="419">
        <f t="shared" si="210"/>
        <v>0</v>
      </c>
      <c r="AF271" s="419">
        <f t="shared" si="211"/>
        <v>0</v>
      </c>
      <c r="AG271" s="454">
        <f t="shared" si="212"/>
        <v>2472758</v>
      </c>
      <c r="AH271" s="454">
        <f t="shared" si="187"/>
        <v>22032574.350000001</v>
      </c>
      <c r="AI271" s="421">
        <f t="shared" si="213"/>
        <v>0</v>
      </c>
      <c r="AJ271" s="421">
        <f t="shared" si="214"/>
        <v>0</v>
      </c>
      <c r="AK271" s="421">
        <f t="shared" si="215"/>
        <v>0</v>
      </c>
      <c r="AL271" s="472">
        <v>0</v>
      </c>
      <c r="AM271" s="422">
        <f t="shared" si="185"/>
        <v>0</v>
      </c>
      <c r="AN271" s="423">
        <f t="shared" si="216"/>
        <v>0</v>
      </c>
      <c r="AO271" s="421">
        <f t="shared" si="217"/>
        <v>0</v>
      </c>
      <c r="AP271" s="472">
        <v>-12532.99</v>
      </c>
      <c r="AQ271" s="472">
        <v>-12.07</v>
      </c>
      <c r="AR271" s="472">
        <v>0</v>
      </c>
      <c r="AS271" s="475">
        <v>0</v>
      </c>
      <c r="AT271" s="475">
        <v>0</v>
      </c>
      <c r="AU271" s="475">
        <v>0</v>
      </c>
      <c r="AV271" s="454">
        <f t="shared" si="218"/>
        <v>24492787.290000003</v>
      </c>
      <c r="AW271" s="421">
        <f t="shared" si="219"/>
        <v>24492787.289999999</v>
      </c>
      <c r="AX271" s="455">
        <f t="shared" si="229"/>
        <v>0.99999999999999989</v>
      </c>
      <c r="AY271" s="424">
        <f t="shared" si="220"/>
        <v>729020.05</v>
      </c>
      <c r="AZ271" s="424">
        <f t="shared" si="221"/>
        <v>1120972.8799999999</v>
      </c>
      <c r="BA271" s="424">
        <f t="shared" si="222"/>
        <v>877116.23</v>
      </c>
      <c r="BB271" s="424">
        <f t="shared" si="223"/>
        <v>0</v>
      </c>
      <c r="BC271" s="424">
        <f t="shared" si="224"/>
        <v>0</v>
      </c>
      <c r="BD271" s="424">
        <f t="shared" si="225"/>
        <v>27219896.449999999</v>
      </c>
      <c r="BE271" s="452">
        <f t="shared" si="226"/>
        <v>27219896.450000003</v>
      </c>
      <c r="BF271" s="448">
        <f t="shared" si="227"/>
        <v>0</v>
      </c>
      <c r="BG271" s="456">
        <f t="shared" si="228"/>
        <v>8228074</v>
      </c>
      <c r="BH271" s="457">
        <f t="shared" si="195"/>
        <v>13804488.280000001</v>
      </c>
      <c r="BI271" s="407" t="s">
        <v>692</v>
      </c>
      <c r="BM271" s="429">
        <f>IF(BR271&gt;BR270,BM270,IF(BM270&lt;MiscData!$F$1,EOMONTH(BM270,1),EOMONTH(BM270,-11)))</f>
        <v>41851</v>
      </c>
      <c r="BN271" s="416" t="str">
        <f t="shared" si="196"/>
        <v>20140101KURSE010</v>
      </c>
      <c r="BO271" s="427" t="str">
        <f t="shared" si="197"/>
        <v>20140101RS</v>
      </c>
      <c r="BP271" s="407">
        <f>IF(BM271&lt;=MiscData!$B$23,MiscData!$C$23,IF(BM271&lt;=MiscData!$B$24,MiscData!$C$24,MiscData!$C$25))</f>
        <v>20140101</v>
      </c>
      <c r="BQ271" s="407" t="str">
        <f>VLOOKUP(BR271,MiscData!$V$4:$W$42,2,FALSE)</f>
        <v>KURSE010</v>
      </c>
      <c r="BR271" s="407">
        <f>IF(BR270=MiscData!$V$42,1,BR270+1)</f>
        <v>34</v>
      </c>
      <c r="BS271" s="407" t="str">
        <f>VLOOKUP(BQ271,MiscData!$W$4:$Y$42,3,FALSE)</f>
        <v>RS</v>
      </c>
    </row>
    <row r="272" spans="1:71" hidden="1">
      <c r="A272" s="416">
        <f t="shared" si="230"/>
        <v>248</v>
      </c>
      <c r="B272" s="416" t="str">
        <f t="shared" si="192"/>
        <v>Jul 2014</v>
      </c>
      <c r="C272" s="416" t="s">
        <v>15</v>
      </c>
      <c r="D272" s="417" t="str">
        <f t="shared" si="193"/>
        <v>RS</v>
      </c>
      <c r="E272" s="417" t="str">
        <f t="shared" si="194"/>
        <v>KURSE020</v>
      </c>
      <c r="F272" s="418">
        <f t="shared" si="198"/>
        <v>194960</v>
      </c>
      <c r="G272" s="467">
        <v>439</v>
      </c>
      <c r="H272" s="418">
        <v>0</v>
      </c>
      <c r="I272" s="418">
        <v>0</v>
      </c>
      <c r="J272" s="418">
        <v>0</v>
      </c>
      <c r="K272" s="418">
        <f t="shared" si="199"/>
        <v>233586553</v>
      </c>
      <c r="L272" s="481">
        <v>0</v>
      </c>
      <c r="M272" s="443">
        <f t="shared" si="200"/>
        <v>0</v>
      </c>
      <c r="N272" s="443">
        <f t="shared" si="201"/>
        <v>0</v>
      </c>
      <c r="O272" s="443">
        <f t="shared" si="202"/>
        <v>0</v>
      </c>
      <c r="P272" s="443">
        <f t="shared" si="203"/>
        <v>0</v>
      </c>
      <c r="Q272" s="443">
        <f t="shared" si="204"/>
        <v>0</v>
      </c>
      <c r="R272" s="443">
        <f t="shared" si="205"/>
        <v>0</v>
      </c>
      <c r="S272" s="484">
        <v>0</v>
      </c>
      <c r="T272" s="484">
        <v>0</v>
      </c>
      <c r="U272" s="484">
        <v>0</v>
      </c>
      <c r="V272" s="490">
        <v>0</v>
      </c>
      <c r="W272" s="490">
        <v>0</v>
      </c>
      <c r="X272" s="490">
        <v>0</v>
      </c>
      <c r="Y272" s="419">
        <f t="shared" si="206"/>
        <v>10.75</v>
      </c>
      <c r="Z272" s="420">
        <f t="shared" si="207"/>
        <v>7.7439999999999995E-2</v>
      </c>
      <c r="AA272" s="420">
        <v>0</v>
      </c>
      <c r="AB272" s="420">
        <v>0</v>
      </c>
      <c r="AC272" s="420">
        <f t="shared" si="208"/>
        <v>2.8920000000000001E-2</v>
      </c>
      <c r="AD272" s="419">
        <f t="shared" si="209"/>
        <v>0</v>
      </c>
      <c r="AE272" s="419">
        <f t="shared" si="210"/>
        <v>0</v>
      </c>
      <c r="AF272" s="419">
        <f t="shared" si="211"/>
        <v>0</v>
      </c>
      <c r="AG272" s="454">
        <f t="shared" si="212"/>
        <v>2100539.25</v>
      </c>
      <c r="AH272" s="454">
        <f t="shared" si="187"/>
        <v>18088942.66</v>
      </c>
      <c r="AI272" s="421">
        <f t="shared" si="213"/>
        <v>0</v>
      </c>
      <c r="AJ272" s="421">
        <f t="shared" si="214"/>
        <v>0</v>
      </c>
      <c r="AK272" s="421">
        <f t="shared" si="215"/>
        <v>0</v>
      </c>
      <c r="AL272" s="472">
        <v>0</v>
      </c>
      <c r="AM272" s="422">
        <f t="shared" si="185"/>
        <v>0</v>
      </c>
      <c r="AN272" s="423">
        <f t="shared" si="216"/>
        <v>0</v>
      </c>
      <c r="AO272" s="421">
        <f t="shared" si="217"/>
        <v>0</v>
      </c>
      <c r="AP272" s="472">
        <v>-16506.09</v>
      </c>
      <c r="AQ272" s="472">
        <v>-0.96</v>
      </c>
      <c r="AR272" s="472">
        <v>0</v>
      </c>
      <c r="AS272" s="475">
        <v>0</v>
      </c>
      <c r="AT272" s="475">
        <v>0</v>
      </c>
      <c r="AU272" s="475">
        <v>0</v>
      </c>
      <c r="AV272" s="454">
        <f t="shared" si="218"/>
        <v>20172974.859999999</v>
      </c>
      <c r="AW272" s="421">
        <f t="shared" si="219"/>
        <v>20172974.859999999</v>
      </c>
      <c r="AX272" s="455">
        <f t="shared" si="229"/>
        <v>1</v>
      </c>
      <c r="AY272" s="424">
        <f t="shared" si="220"/>
        <v>599035.05000000005</v>
      </c>
      <c r="AZ272" s="424">
        <f t="shared" si="221"/>
        <v>920335.74</v>
      </c>
      <c r="BA272" s="424">
        <f t="shared" si="222"/>
        <v>722199.72</v>
      </c>
      <c r="BB272" s="424">
        <f t="shared" si="223"/>
        <v>0</v>
      </c>
      <c r="BC272" s="424">
        <f t="shared" si="224"/>
        <v>0</v>
      </c>
      <c r="BD272" s="424">
        <f t="shared" si="225"/>
        <v>22414545.370000001</v>
      </c>
      <c r="BE272" s="452">
        <f t="shared" si="226"/>
        <v>22414545.369999997</v>
      </c>
      <c r="BF272" s="448">
        <f t="shared" si="227"/>
        <v>0</v>
      </c>
      <c r="BG272" s="456">
        <f t="shared" si="228"/>
        <v>6755323.1100000003</v>
      </c>
      <c r="BH272" s="457">
        <f t="shared" si="195"/>
        <v>11333618.59</v>
      </c>
      <c r="BI272" s="407" t="s">
        <v>692</v>
      </c>
      <c r="BM272" s="429">
        <f>IF(BR272&gt;BR271,BM271,IF(BM271&lt;MiscData!$F$1,EOMONTH(BM271,1),EOMONTH(BM271,-11)))</f>
        <v>41851</v>
      </c>
      <c r="BN272" s="416" t="str">
        <f t="shared" si="196"/>
        <v>20140101KURSE020</v>
      </c>
      <c r="BO272" s="427" t="str">
        <f t="shared" si="197"/>
        <v>20140101RS</v>
      </c>
      <c r="BP272" s="407">
        <f>IF(BM272&lt;=MiscData!$B$23,MiscData!$C$23,IF(BM272&lt;=MiscData!$B$24,MiscData!$C$24,MiscData!$C$25))</f>
        <v>20140101</v>
      </c>
      <c r="BQ272" s="407" t="str">
        <f>VLOOKUP(BR272,MiscData!$V$4:$W$42,2,FALSE)</f>
        <v>KURSE020</v>
      </c>
      <c r="BR272" s="407">
        <f>IF(BR271=MiscData!$V$42,1,BR271+1)</f>
        <v>35</v>
      </c>
      <c r="BS272" s="407" t="str">
        <f>VLOOKUP(BQ272,MiscData!$W$4:$Y$42,3,FALSE)</f>
        <v>RS</v>
      </c>
    </row>
    <row r="273" spans="1:72" hidden="1">
      <c r="A273" s="416">
        <f t="shared" si="230"/>
        <v>249</v>
      </c>
      <c r="B273" s="416" t="str">
        <f t="shared" si="192"/>
        <v>Jul 2014</v>
      </c>
      <c r="C273" s="416" t="s">
        <v>15</v>
      </c>
      <c r="D273" s="417" t="str">
        <f t="shared" si="193"/>
        <v>RS</v>
      </c>
      <c r="E273" s="417" t="str">
        <f t="shared" si="194"/>
        <v>KURSE025</v>
      </c>
      <c r="F273" s="418">
        <f t="shared" si="198"/>
        <v>244</v>
      </c>
      <c r="G273" s="467">
        <v>2</v>
      </c>
      <c r="H273" s="418">
        <v>0</v>
      </c>
      <c r="I273" s="418">
        <v>0</v>
      </c>
      <c r="J273" s="418">
        <v>0</v>
      </c>
      <c r="K273" s="418">
        <f t="shared" si="199"/>
        <v>660157</v>
      </c>
      <c r="L273" s="481">
        <v>0</v>
      </c>
      <c r="M273" s="443">
        <f t="shared" si="200"/>
        <v>0</v>
      </c>
      <c r="N273" s="443">
        <f t="shared" si="201"/>
        <v>0</v>
      </c>
      <c r="O273" s="443">
        <f t="shared" si="202"/>
        <v>0</v>
      </c>
      <c r="P273" s="443">
        <f t="shared" si="203"/>
        <v>0</v>
      </c>
      <c r="Q273" s="443">
        <f t="shared" si="204"/>
        <v>0</v>
      </c>
      <c r="R273" s="443">
        <f t="shared" si="205"/>
        <v>0</v>
      </c>
      <c r="S273" s="484">
        <v>0</v>
      </c>
      <c r="T273" s="484">
        <v>0</v>
      </c>
      <c r="U273" s="484">
        <v>0</v>
      </c>
      <c r="V273" s="490">
        <v>0</v>
      </c>
      <c r="W273" s="490">
        <v>0</v>
      </c>
      <c r="X273" s="490">
        <v>0</v>
      </c>
      <c r="Y273" s="419">
        <f t="shared" si="206"/>
        <v>10.75</v>
      </c>
      <c r="Z273" s="420">
        <f t="shared" si="207"/>
        <v>7.7439999999999995E-2</v>
      </c>
      <c r="AA273" s="420">
        <v>0</v>
      </c>
      <c r="AB273" s="420">
        <v>0</v>
      </c>
      <c r="AC273" s="420">
        <f t="shared" si="208"/>
        <v>2.8920000000000001E-2</v>
      </c>
      <c r="AD273" s="419">
        <f t="shared" si="209"/>
        <v>0</v>
      </c>
      <c r="AE273" s="419">
        <f t="shared" si="210"/>
        <v>0</v>
      </c>
      <c r="AF273" s="419">
        <f t="shared" si="211"/>
        <v>0</v>
      </c>
      <c r="AG273" s="454">
        <f t="shared" si="212"/>
        <v>2644.5</v>
      </c>
      <c r="AH273" s="454">
        <f t="shared" si="187"/>
        <v>51122.559999999998</v>
      </c>
      <c r="AI273" s="421">
        <f t="shared" si="213"/>
        <v>0</v>
      </c>
      <c r="AJ273" s="421">
        <f t="shared" si="214"/>
        <v>0</v>
      </c>
      <c r="AK273" s="421">
        <f t="shared" si="215"/>
        <v>0</v>
      </c>
      <c r="AL273" s="472">
        <v>0</v>
      </c>
      <c r="AM273" s="422">
        <f t="shared" si="185"/>
        <v>0</v>
      </c>
      <c r="AN273" s="423">
        <f t="shared" si="216"/>
        <v>0</v>
      </c>
      <c r="AO273" s="421">
        <f t="shared" si="217"/>
        <v>0</v>
      </c>
      <c r="AP273" s="472">
        <v>7.52</v>
      </c>
      <c r="AQ273" s="472">
        <v>0.04</v>
      </c>
      <c r="AR273" s="472">
        <v>0</v>
      </c>
      <c r="AS273" s="475">
        <v>0</v>
      </c>
      <c r="AT273" s="475">
        <v>0</v>
      </c>
      <c r="AU273" s="475">
        <v>0</v>
      </c>
      <c r="AV273" s="454">
        <f t="shared" si="218"/>
        <v>53774.619999999995</v>
      </c>
      <c r="AW273" s="421">
        <f t="shared" si="219"/>
        <v>53774.62</v>
      </c>
      <c r="AX273" s="455">
        <f t="shared" si="229"/>
        <v>1.0000000000000002</v>
      </c>
      <c r="AY273" s="424">
        <f t="shared" si="220"/>
        <v>1809.86</v>
      </c>
      <c r="AZ273" s="424">
        <f t="shared" si="221"/>
        <v>2601.0100000000002</v>
      </c>
      <c r="BA273" s="424">
        <f t="shared" si="222"/>
        <v>1922.91</v>
      </c>
      <c r="BB273" s="424">
        <f t="shared" si="223"/>
        <v>0</v>
      </c>
      <c r="BC273" s="424">
        <f t="shared" si="224"/>
        <v>0</v>
      </c>
      <c r="BD273" s="424">
        <f t="shared" si="225"/>
        <v>60108.4</v>
      </c>
      <c r="BE273" s="452">
        <f t="shared" si="226"/>
        <v>60108.4</v>
      </c>
      <c r="BF273" s="448">
        <f t="shared" si="227"/>
        <v>0</v>
      </c>
      <c r="BG273" s="456">
        <f t="shared" si="228"/>
        <v>19091.740000000002</v>
      </c>
      <c r="BH273" s="457">
        <f t="shared" si="195"/>
        <v>32030.859999999997</v>
      </c>
      <c r="BI273" s="407" t="s">
        <v>692</v>
      </c>
      <c r="BM273" s="429">
        <f>IF(BR273&gt;BR272,BM272,IF(BM272&lt;MiscData!$F$1,EOMONTH(BM272,1),EOMONTH(BM272,-11)))</f>
        <v>41851</v>
      </c>
      <c r="BN273" s="416" t="str">
        <f t="shared" si="196"/>
        <v>20140101KURSE025</v>
      </c>
      <c r="BO273" s="427" t="str">
        <f t="shared" si="197"/>
        <v>20140101RS</v>
      </c>
      <c r="BP273" s="407">
        <f>IF(BM273&lt;=MiscData!$B$23,MiscData!$C$23,IF(BM273&lt;=MiscData!$B$24,MiscData!$C$24,MiscData!$C$25))</f>
        <v>20140101</v>
      </c>
      <c r="BQ273" s="407" t="str">
        <f>VLOOKUP(BR273,MiscData!$V$4:$W$42,2,FALSE)</f>
        <v>KURSE025</v>
      </c>
      <c r="BR273" s="407">
        <f>IF(BR272=MiscData!$V$42,1,BR272+1)</f>
        <v>36</v>
      </c>
      <c r="BS273" s="407" t="str">
        <f>VLOOKUP(BQ273,MiscData!$W$4:$Y$42,3,FALSE)</f>
        <v>RS</v>
      </c>
    </row>
    <row r="274" spans="1:72" hidden="1">
      <c r="A274" s="416">
        <f t="shared" si="230"/>
        <v>250</v>
      </c>
      <c r="B274" s="416" t="str">
        <f t="shared" si="192"/>
        <v>Jul 2014</v>
      </c>
      <c r="C274" s="416" t="s">
        <v>807</v>
      </c>
      <c r="D274" s="417" t="str">
        <f t="shared" si="193"/>
        <v>RSLEV</v>
      </c>
      <c r="E274" s="417" t="str">
        <f t="shared" si="194"/>
        <v>KURSE040</v>
      </c>
      <c r="F274" s="418">
        <f t="shared" si="198"/>
        <v>6</v>
      </c>
      <c r="G274" s="467">
        <v>0</v>
      </c>
      <c r="H274" s="418">
        <f>SUMIFS(_1022_KWH_P1,_1022_RevenueMonth,$B274,_1022_RateCategory,$E274)</f>
        <v>4082</v>
      </c>
      <c r="I274" s="418">
        <f>SUMIFS(_1022_KWH_P2,_1022_RevenueMonth,$B274,_1022_RateCategory,$E274)</f>
        <v>1223</v>
      </c>
      <c r="J274" s="418">
        <f>SUMIFS(_1022_KWH_P3,_1022_RevenueMonth,$B274,_1022_RateCategory,$E274)</f>
        <v>872</v>
      </c>
      <c r="K274" s="418">
        <f t="shared" si="199"/>
        <v>6177</v>
      </c>
      <c r="L274" s="481">
        <v>0</v>
      </c>
      <c r="M274" s="443">
        <f t="shared" si="200"/>
        <v>0</v>
      </c>
      <c r="N274" s="443">
        <f t="shared" si="201"/>
        <v>0</v>
      </c>
      <c r="O274" s="443">
        <f t="shared" si="202"/>
        <v>0</v>
      </c>
      <c r="P274" s="443">
        <f t="shared" si="203"/>
        <v>0</v>
      </c>
      <c r="Q274" s="443">
        <f t="shared" si="204"/>
        <v>0</v>
      </c>
      <c r="R274" s="443">
        <f t="shared" si="205"/>
        <v>0</v>
      </c>
      <c r="S274" s="484">
        <v>0</v>
      </c>
      <c r="T274" s="484">
        <v>0</v>
      </c>
      <c r="U274" s="484">
        <v>0</v>
      </c>
      <c r="V274" s="490">
        <v>0</v>
      </c>
      <c r="W274" s="490">
        <v>0</v>
      </c>
      <c r="X274" s="490">
        <v>0</v>
      </c>
      <c r="Y274" s="419">
        <f t="shared" si="206"/>
        <v>10.75</v>
      </c>
      <c r="Z274" s="420">
        <f t="shared" si="207"/>
        <v>5.5870000000000003E-2</v>
      </c>
      <c r="AA274" s="420">
        <f>SUMIF(_Rates_Tariff_Category,$BN274,_Rates_Energy_P2)</f>
        <v>7.7630000000000005E-2</v>
      </c>
      <c r="AB274" s="420">
        <f>SUMIF(_Rates_Tariff_Category,$BN274,_Rates_Energy_P3)</f>
        <v>0.14297000000000001</v>
      </c>
      <c r="AC274" s="420">
        <f t="shared" si="208"/>
        <v>2.8920000000000001E-2</v>
      </c>
      <c r="AD274" s="419">
        <f t="shared" si="209"/>
        <v>0</v>
      </c>
      <c r="AE274" s="419">
        <f t="shared" si="210"/>
        <v>0</v>
      </c>
      <c r="AF274" s="419">
        <f t="shared" si="211"/>
        <v>0</v>
      </c>
      <c r="AG274" s="454">
        <f t="shared" si="212"/>
        <v>64.5</v>
      </c>
      <c r="AH274" s="454">
        <f t="shared" si="187"/>
        <v>447.67</v>
      </c>
      <c r="AI274" s="421">
        <f t="shared" si="213"/>
        <v>0</v>
      </c>
      <c r="AJ274" s="421">
        <f t="shared" si="214"/>
        <v>0</v>
      </c>
      <c r="AK274" s="421">
        <f t="shared" si="215"/>
        <v>0</v>
      </c>
      <c r="AL274" s="472">
        <v>0</v>
      </c>
      <c r="AM274" s="422">
        <f t="shared" si="185"/>
        <v>0</v>
      </c>
      <c r="AN274" s="423">
        <f t="shared" si="216"/>
        <v>0</v>
      </c>
      <c r="AO274" s="421">
        <f t="shared" si="217"/>
        <v>0</v>
      </c>
      <c r="AP274" s="472">
        <v>-2.5099999999999998</v>
      </c>
      <c r="AQ274" s="472">
        <v>0.01</v>
      </c>
      <c r="AR274" s="472"/>
      <c r="AS274" s="475"/>
      <c r="AT274" s="475"/>
      <c r="AU274" s="475"/>
      <c r="AV274" s="454">
        <f t="shared" si="218"/>
        <v>509.67000000000007</v>
      </c>
      <c r="AW274" s="421">
        <f t="shared" si="219"/>
        <v>509.67</v>
      </c>
      <c r="AX274" s="455">
        <f t="shared" si="229"/>
        <v>0.99999999999999989</v>
      </c>
      <c r="AY274" s="424">
        <f t="shared" si="220"/>
        <v>15.8</v>
      </c>
      <c r="AZ274" s="424">
        <f t="shared" si="221"/>
        <v>24.33</v>
      </c>
      <c r="BA274" s="424">
        <f t="shared" si="222"/>
        <v>18.309999999999999</v>
      </c>
      <c r="BB274" s="424">
        <f t="shared" si="223"/>
        <v>0</v>
      </c>
      <c r="BC274" s="424">
        <f t="shared" si="224"/>
        <v>0</v>
      </c>
      <c r="BD274" s="424">
        <f t="shared" si="225"/>
        <v>568.11</v>
      </c>
      <c r="BE274" s="452">
        <f t="shared" si="226"/>
        <v>568.11</v>
      </c>
      <c r="BF274" s="448">
        <f t="shared" si="227"/>
        <v>0</v>
      </c>
      <c r="BG274" s="456">
        <f t="shared" si="228"/>
        <v>178.64</v>
      </c>
      <c r="BH274" s="457">
        <f t="shared" si="195"/>
        <v>269.04000000000002</v>
      </c>
      <c r="BI274" s="407" t="s">
        <v>692</v>
      </c>
      <c r="BM274" s="429">
        <f>IF(BR274&gt;BR273,BM273,IF(BM273&lt;MiscData!$F$1,EOMONTH(BM273,1),EOMONTH(BM273,-11)))</f>
        <v>41851</v>
      </c>
      <c r="BN274" s="416" t="str">
        <f t="shared" si="196"/>
        <v>20140101KURSE040</v>
      </c>
      <c r="BO274" s="427" t="str">
        <f t="shared" si="197"/>
        <v>20140101RSLEV</v>
      </c>
      <c r="BP274" s="407">
        <f>IF(BM274&lt;=MiscData!$B$23,MiscData!$C$23,IF(BM274&lt;=MiscData!$B$24,MiscData!$C$24,MiscData!$C$25))</f>
        <v>20140101</v>
      </c>
      <c r="BQ274" s="407" t="str">
        <f>VLOOKUP(BR274,MiscData!$V$4:$W$42,2,FALSE)</f>
        <v>KURSE040</v>
      </c>
      <c r="BR274" s="407">
        <f>IF(BR273=MiscData!$V$42,1,BR273+1)</f>
        <v>37</v>
      </c>
      <c r="BS274" s="407" t="str">
        <f>VLOOKUP(BQ274,MiscData!$W$4:$Y$42,3,FALSE)</f>
        <v>RSLEV</v>
      </c>
    </row>
    <row r="275" spans="1:72" hidden="1">
      <c r="A275" s="416">
        <f t="shared" si="230"/>
        <v>251</v>
      </c>
      <c r="B275" s="416" t="str">
        <f t="shared" si="192"/>
        <v>Jul 2014</v>
      </c>
      <c r="C275" s="416" t="s">
        <v>15</v>
      </c>
      <c r="D275" s="417" t="str">
        <f t="shared" si="193"/>
        <v>RSVFD</v>
      </c>
      <c r="E275" s="417" t="str">
        <f t="shared" si="194"/>
        <v>KURSE080</v>
      </c>
      <c r="F275" s="418">
        <f t="shared" si="198"/>
        <v>50</v>
      </c>
      <c r="G275" s="467">
        <v>0</v>
      </c>
      <c r="H275" s="418">
        <v>0</v>
      </c>
      <c r="I275" s="418">
        <v>0</v>
      </c>
      <c r="J275" s="418">
        <v>0</v>
      </c>
      <c r="K275" s="418">
        <f t="shared" si="199"/>
        <v>78022</v>
      </c>
      <c r="L275" s="481">
        <v>0</v>
      </c>
      <c r="M275" s="443">
        <f t="shared" si="200"/>
        <v>0</v>
      </c>
      <c r="N275" s="443">
        <f t="shared" si="201"/>
        <v>0</v>
      </c>
      <c r="O275" s="443">
        <f t="shared" si="202"/>
        <v>0</v>
      </c>
      <c r="P275" s="443">
        <f t="shared" si="203"/>
        <v>0</v>
      </c>
      <c r="Q275" s="443">
        <f t="shared" si="204"/>
        <v>0</v>
      </c>
      <c r="R275" s="443">
        <f t="shared" si="205"/>
        <v>0</v>
      </c>
      <c r="S275" s="484">
        <v>0</v>
      </c>
      <c r="T275" s="484">
        <v>0</v>
      </c>
      <c r="U275" s="484">
        <v>0</v>
      </c>
      <c r="V275" s="490">
        <v>0</v>
      </c>
      <c r="W275" s="490">
        <v>0</v>
      </c>
      <c r="X275" s="490">
        <v>0</v>
      </c>
      <c r="Y275" s="419">
        <f t="shared" si="206"/>
        <v>10.75</v>
      </c>
      <c r="Z275" s="420">
        <f t="shared" si="207"/>
        <v>7.7439999999999995E-2</v>
      </c>
      <c r="AA275" s="420">
        <v>0</v>
      </c>
      <c r="AB275" s="420">
        <v>0</v>
      </c>
      <c r="AC275" s="420">
        <f t="shared" si="208"/>
        <v>2.8920000000000001E-2</v>
      </c>
      <c r="AD275" s="419">
        <f t="shared" si="209"/>
        <v>0</v>
      </c>
      <c r="AE275" s="419">
        <f t="shared" si="210"/>
        <v>0</v>
      </c>
      <c r="AF275" s="419">
        <f t="shared" si="211"/>
        <v>0</v>
      </c>
      <c r="AG275" s="454">
        <f t="shared" si="212"/>
        <v>537.5</v>
      </c>
      <c r="AH275" s="454">
        <f t="shared" si="187"/>
        <v>6042.02</v>
      </c>
      <c r="AI275" s="421">
        <f t="shared" si="213"/>
        <v>0</v>
      </c>
      <c r="AJ275" s="421">
        <f t="shared" si="214"/>
        <v>0</v>
      </c>
      <c r="AK275" s="421">
        <f t="shared" si="215"/>
        <v>0</v>
      </c>
      <c r="AL275" s="472">
        <v>0</v>
      </c>
      <c r="AM275" s="422">
        <f t="shared" si="185"/>
        <v>0</v>
      </c>
      <c r="AN275" s="423">
        <f t="shared" si="216"/>
        <v>0</v>
      </c>
      <c r="AO275" s="421">
        <f t="shared" si="217"/>
        <v>0</v>
      </c>
      <c r="AP275" s="472">
        <v>0</v>
      </c>
      <c r="AQ275" s="472">
        <v>0.02</v>
      </c>
      <c r="AR275" s="472">
        <v>0</v>
      </c>
      <c r="AS275" s="475">
        <v>0</v>
      </c>
      <c r="AT275" s="475">
        <v>0</v>
      </c>
      <c r="AU275" s="475">
        <v>0</v>
      </c>
      <c r="AV275" s="454">
        <f t="shared" si="218"/>
        <v>6579.5400000000009</v>
      </c>
      <c r="AW275" s="421">
        <f t="shared" si="219"/>
        <v>6579.54</v>
      </c>
      <c r="AX275" s="455">
        <f t="shared" si="229"/>
        <v>0.99999999999999989</v>
      </c>
      <c r="AY275" s="424">
        <f t="shared" si="220"/>
        <v>207.92</v>
      </c>
      <c r="AZ275" s="424">
        <f t="shared" si="221"/>
        <v>307.39999999999998</v>
      </c>
      <c r="BA275" s="424">
        <f t="shared" si="222"/>
        <v>235.21</v>
      </c>
      <c r="BB275" s="424">
        <f t="shared" si="223"/>
        <v>0</v>
      </c>
      <c r="BC275" s="424">
        <f t="shared" si="224"/>
        <v>0</v>
      </c>
      <c r="BD275" s="424">
        <f t="shared" si="225"/>
        <v>7330.07</v>
      </c>
      <c r="BE275" s="452">
        <f t="shared" si="226"/>
        <v>7330.0700000000006</v>
      </c>
      <c r="BF275" s="448">
        <f t="shared" si="227"/>
        <v>0</v>
      </c>
      <c r="BG275" s="456">
        <f t="shared" si="228"/>
        <v>2256.4</v>
      </c>
      <c r="BH275" s="457">
        <f t="shared" si="195"/>
        <v>3785.6400000000008</v>
      </c>
      <c r="BI275" s="407" t="s">
        <v>692</v>
      </c>
      <c r="BM275" s="429">
        <f>IF(BR275&gt;BR274,BM274,IF(BM274&lt;MiscData!$F$1,EOMONTH(BM274,1),EOMONTH(BM274,-11)))</f>
        <v>41851</v>
      </c>
      <c r="BN275" s="416" t="str">
        <f t="shared" si="196"/>
        <v>20140101KURSE080</v>
      </c>
      <c r="BO275" s="427" t="str">
        <f t="shared" si="197"/>
        <v>20140101RSVFD</v>
      </c>
      <c r="BP275" s="407">
        <f>IF(BM275&lt;=MiscData!$B$23,MiscData!$C$23,IF(BM275&lt;=MiscData!$B$24,MiscData!$C$24,MiscData!$C$25))</f>
        <v>20140101</v>
      </c>
      <c r="BQ275" s="407" t="str">
        <f>VLOOKUP(BR275,MiscData!$V$4:$W$42,2,FALSE)</f>
        <v>KURSE080</v>
      </c>
      <c r="BR275" s="407">
        <f>IF(BR274=MiscData!$V$42,1,BR274+1)</f>
        <v>38</v>
      </c>
      <c r="BS275" s="407" t="str">
        <f>VLOOKUP(BQ275,MiscData!$W$4:$Y$42,3,FALSE)</f>
        <v>RSVFD</v>
      </c>
    </row>
    <row r="276" spans="1:72" s="486" customFormat="1" hidden="1">
      <c r="A276" s="464">
        <f t="shared" si="230"/>
        <v>252</v>
      </c>
      <c r="B276" s="464" t="str">
        <f t="shared" si="192"/>
        <v>Jul 2014</v>
      </c>
      <c r="C276" s="464" t="s">
        <v>15</v>
      </c>
      <c r="D276" s="465" t="str">
        <f t="shared" si="193"/>
        <v>RS</v>
      </c>
      <c r="E276" s="465" t="str">
        <f t="shared" si="194"/>
        <v>KURSE715</v>
      </c>
      <c r="F276" s="466">
        <f t="shared" si="198"/>
        <v>55</v>
      </c>
      <c r="G276" s="467">
        <v>1</v>
      </c>
      <c r="H276" s="466">
        <v>0</v>
      </c>
      <c r="I276" s="466">
        <v>0</v>
      </c>
      <c r="J276" s="466">
        <v>0</v>
      </c>
      <c r="K276" s="466">
        <f t="shared" si="199"/>
        <v>49459</v>
      </c>
      <c r="L276" s="481">
        <v>0</v>
      </c>
      <c r="M276" s="469">
        <f t="shared" si="200"/>
        <v>0</v>
      </c>
      <c r="N276" s="469">
        <f t="shared" si="201"/>
        <v>0</v>
      </c>
      <c r="O276" s="469">
        <f t="shared" si="202"/>
        <v>0</v>
      </c>
      <c r="P276" s="469">
        <f t="shared" si="203"/>
        <v>0</v>
      </c>
      <c r="Q276" s="469">
        <f t="shared" si="204"/>
        <v>0</v>
      </c>
      <c r="R276" s="469">
        <f t="shared" si="205"/>
        <v>0</v>
      </c>
      <c r="S276" s="484">
        <v>0</v>
      </c>
      <c r="T276" s="484">
        <v>0</v>
      </c>
      <c r="U276" s="484">
        <v>0</v>
      </c>
      <c r="V276" s="490">
        <v>0</v>
      </c>
      <c r="W276" s="490">
        <v>0</v>
      </c>
      <c r="X276" s="490">
        <v>0</v>
      </c>
      <c r="Y276" s="470">
        <f t="shared" si="206"/>
        <v>10.75</v>
      </c>
      <c r="Z276" s="471">
        <f t="shared" si="207"/>
        <v>7.7439999999999995E-2</v>
      </c>
      <c r="AA276" s="471">
        <v>0</v>
      </c>
      <c r="AB276" s="471">
        <v>0</v>
      </c>
      <c r="AC276" s="471">
        <f t="shared" si="208"/>
        <v>2.8920000000000001E-2</v>
      </c>
      <c r="AD276" s="470">
        <f t="shared" si="209"/>
        <v>0</v>
      </c>
      <c r="AE276" s="470">
        <f t="shared" si="210"/>
        <v>0</v>
      </c>
      <c r="AF276" s="470">
        <f t="shared" si="211"/>
        <v>0</v>
      </c>
      <c r="AG276" s="454">
        <f t="shared" si="212"/>
        <v>602</v>
      </c>
      <c r="AH276" s="454">
        <f t="shared" si="187"/>
        <v>3830.1</v>
      </c>
      <c r="AI276" s="454">
        <f t="shared" si="213"/>
        <v>0</v>
      </c>
      <c r="AJ276" s="454">
        <f t="shared" si="214"/>
        <v>0</v>
      </c>
      <c r="AK276" s="454">
        <f t="shared" si="215"/>
        <v>0</v>
      </c>
      <c r="AL276" s="472">
        <v>0</v>
      </c>
      <c r="AM276" s="473">
        <f t="shared" si="185"/>
        <v>0</v>
      </c>
      <c r="AN276" s="474">
        <f t="shared" si="216"/>
        <v>0</v>
      </c>
      <c r="AO276" s="454">
        <f t="shared" si="217"/>
        <v>0</v>
      </c>
      <c r="AP276" s="472">
        <v>-16.57</v>
      </c>
      <c r="AQ276" s="472">
        <v>0.01</v>
      </c>
      <c r="AR276" s="472">
        <v>0</v>
      </c>
      <c r="AS276" s="475">
        <v>0</v>
      </c>
      <c r="AT276" s="475">
        <v>0</v>
      </c>
      <c r="AU276" s="475">
        <v>0</v>
      </c>
      <c r="AV276" s="454">
        <f t="shared" si="218"/>
        <v>4415.5400000000009</v>
      </c>
      <c r="AW276" s="454">
        <f t="shared" si="219"/>
        <v>4415.54</v>
      </c>
      <c r="AX276" s="455">
        <f t="shared" si="229"/>
        <v>0.99999999999999978</v>
      </c>
      <c r="AY276" s="476">
        <f t="shared" si="220"/>
        <v>126.85</v>
      </c>
      <c r="AZ276" s="476">
        <f t="shared" si="221"/>
        <v>194.91</v>
      </c>
      <c r="BA276" s="476">
        <f t="shared" si="222"/>
        <v>157.74</v>
      </c>
      <c r="BB276" s="476">
        <f t="shared" si="223"/>
        <v>0</v>
      </c>
      <c r="BC276" s="476">
        <f t="shared" si="224"/>
        <v>0</v>
      </c>
      <c r="BD276" s="476">
        <f t="shared" si="225"/>
        <v>4895.04</v>
      </c>
      <c r="BE276" s="477">
        <f t="shared" si="226"/>
        <v>4895.0400000000009</v>
      </c>
      <c r="BF276" s="478">
        <f t="shared" si="227"/>
        <v>0</v>
      </c>
      <c r="BG276" s="479">
        <f t="shared" si="228"/>
        <v>1430.35</v>
      </c>
      <c r="BH276" s="485">
        <f t="shared" si="195"/>
        <v>2399.7600000000002</v>
      </c>
      <c r="BI276" s="407" t="s">
        <v>692</v>
      </c>
      <c r="BM276" s="487">
        <f>IF(BR276&gt;BR275,BM275,IF(BM275&lt;MiscData!$F$1,EOMONTH(BM275,1),EOMONTH(BM275,-11)))</f>
        <v>41851</v>
      </c>
      <c r="BN276" s="464" t="str">
        <f t="shared" si="196"/>
        <v>20140101KURSE715</v>
      </c>
      <c r="BO276" s="488" t="str">
        <f t="shared" si="197"/>
        <v>20140101RS</v>
      </c>
      <c r="BP276" s="486">
        <f>IF(BM276&lt;=MiscData!$B$23,MiscData!$C$23,IF(BM276&lt;=MiscData!$B$24,MiscData!$C$24,MiscData!$C$25))</f>
        <v>20140101</v>
      </c>
      <c r="BQ276" s="486" t="str">
        <f>VLOOKUP(BR276,MiscData!$V$4:$W$42,2,FALSE)</f>
        <v>KURSE715</v>
      </c>
      <c r="BR276" s="407">
        <f>IF(BR275=MiscData!$V$42,1,BR275+1)</f>
        <v>39</v>
      </c>
      <c r="BS276" s="486" t="str">
        <f>VLOOKUP(BQ276,MiscData!$W$4:$Y$42,3,FALSE)</f>
        <v>RS</v>
      </c>
      <c r="BT276" s="771"/>
    </row>
    <row r="277" spans="1:72" hidden="1">
      <c r="A277" s="416">
        <f t="shared" si="230"/>
        <v>253</v>
      </c>
      <c r="B277" s="416" t="str">
        <f t="shared" si="192"/>
        <v>Aug 2014</v>
      </c>
      <c r="C277" s="416" t="s">
        <v>19</v>
      </c>
      <c r="D277" s="417" t="str">
        <f t="shared" si="193"/>
        <v>RTS</v>
      </c>
      <c r="E277" s="417" t="str">
        <f t="shared" si="194"/>
        <v>KUCIE550</v>
      </c>
      <c r="F277" s="418">
        <f t="shared" si="198"/>
        <v>32</v>
      </c>
      <c r="G277" s="467">
        <v>1</v>
      </c>
      <c r="H277" s="418">
        <v>0</v>
      </c>
      <c r="I277" s="418">
        <v>0</v>
      </c>
      <c r="J277" s="418">
        <v>0</v>
      </c>
      <c r="K277" s="418">
        <f t="shared" si="199"/>
        <v>139895327</v>
      </c>
      <c r="L277" s="481">
        <v>0</v>
      </c>
      <c r="M277" s="443">
        <f t="shared" si="200"/>
        <v>307153.40000000002</v>
      </c>
      <c r="N277" s="443">
        <f t="shared" si="201"/>
        <v>300825.7</v>
      </c>
      <c r="O277" s="443">
        <f t="shared" si="202"/>
        <v>298228.3</v>
      </c>
      <c r="P277" s="443">
        <f t="shared" si="203"/>
        <v>310977</v>
      </c>
      <c r="Q277" s="443">
        <f t="shared" si="204"/>
        <v>302645.40000000002</v>
      </c>
      <c r="R277" s="443">
        <f t="shared" si="205"/>
        <v>299369.5</v>
      </c>
      <c r="S277" s="484">
        <v>3823.6</v>
      </c>
      <c r="T277" s="484">
        <v>1819.7</v>
      </c>
      <c r="U277" s="484">
        <v>1141.2</v>
      </c>
      <c r="V277" s="490">
        <v>0</v>
      </c>
      <c r="W277" s="490">
        <v>0</v>
      </c>
      <c r="X277" s="490">
        <v>0</v>
      </c>
      <c r="Y277" s="419">
        <f t="shared" si="206"/>
        <v>750</v>
      </c>
      <c r="Z277" s="420">
        <f t="shared" si="207"/>
        <v>3.6339999999999997E-2</v>
      </c>
      <c r="AA277" s="420">
        <f>SUMIF(_Rates_Tariff_Category,$BN277,_Rates_Energy_P2)</f>
        <v>0</v>
      </c>
      <c r="AB277" s="420">
        <f>SUMIF(_Rates_Tariff_Category,$BN277,_Rates_Energy_P3)</f>
        <v>0</v>
      </c>
      <c r="AC277" s="420">
        <f t="shared" si="208"/>
        <v>2.8920000000000001E-2</v>
      </c>
      <c r="AD277" s="419">
        <f t="shared" si="209"/>
        <v>1.34</v>
      </c>
      <c r="AE277" s="419">
        <f t="shared" si="210"/>
        <v>2.87</v>
      </c>
      <c r="AF277" s="419">
        <f t="shared" si="211"/>
        <v>3.97</v>
      </c>
      <c r="AG277" s="454">
        <f t="shared" si="212"/>
        <v>24750</v>
      </c>
      <c r="AH277" s="454">
        <f t="shared" si="187"/>
        <v>5083796.18</v>
      </c>
      <c r="AI277" s="421">
        <f t="shared" si="213"/>
        <v>411585.56</v>
      </c>
      <c r="AJ277" s="421">
        <f t="shared" si="214"/>
        <v>863369.76</v>
      </c>
      <c r="AK277" s="421">
        <f t="shared" si="215"/>
        <v>1183966.3500000001</v>
      </c>
      <c r="AL277" s="472">
        <v>0</v>
      </c>
      <c r="AM277" s="422">
        <f t="shared" si="185"/>
        <v>0</v>
      </c>
      <c r="AN277" s="423">
        <f t="shared" si="216"/>
        <v>14876.73</v>
      </c>
      <c r="AO277" s="421">
        <f t="shared" si="217"/>
        <v>2473798.4</v>
      </c>
      <c r="AP277" s="472">
        <v>0</v>
      </c>
      <c r="AQ277" s="472">
        <v>0</v>
      </c>
      <c r="AR277" s="472">
        <v>0.05</v>
      </c>
      <c r="AS277" s="475">
        <v>0</v>
      </c>
      <c r="AT277" s="475">
        <v>0</v>
      </c>
      <c r="AU277" s="475">
        <v>0</v>
      </c>
      <c r="AV277" s="454">
        <f t="shared" si="218"/>
        <v>7582344.6299999999</v>
      </c>
      <c r="AW277" s="421">
        <f t="shared" si="219"/>
        <v>7582344.6299999999</v>
      </c>
      <c r="AX277" s="455">
        <f t="shared" ref="AX277:AX285" si="231">IF(AND(AV277=0,AW277=0),1,IF(AV277=0,0,AW277/AV277))</f>
        <v>1</v>
      </c>
      <c r="AY277" s="424">
        <f t="shared" si="220"/>
        <v>-107719.4</v>
      </c>
      <c r="AZ277" s="424">
        <f t="shared" si="221"/>
        <v>0</v>
      </c>
      <c r="BA277" s="424">
        <f t="shared" si="222"/>
        <v>197696.52</v>
      </c>
      <c r="BB277" s="424">
        <f t="shared" si="223"/>
        <v>0</v>
      </c>
      <c r="BC277" s="424">
        <f t="shared" si="224"/>
        <v>0</v>
      </c>
      <c r="BD277" s="424">
        <f t="shared" si="225"/>
        <v>7672321.75</v>
      </c>
      <c r="BE277" s="452">
        <f t="shared" si="226"/>
        <v>7672321.7499999991</v>
      </c>
      <c r="BF277" s="448">
        <f t="shared" si="227"/>
        <v>0</v>
      </c>
      <c r="BG277" s="456">
        <f t="shared" si="228"/>
        <v>4045772.86</v>
      </c>
      <c r="BH277" s="457">
        <f t="shared" si="195"/>
        <v>1038023.3199999998</v>
      </c>
      <c r="BI277" s="407" t="s">
        <v>692</v>
      </c>
      <c r="BM277" s="429">
        <f>IF(BR277&gt;BR276,BM276,IF(BM276&lt;MiscData!$F$1,EOMONTH(BM276,1),EOMONTH(BM276,-11)))</f>
        <v>41882</v>
      </c>
      <c r="BN277" s="416" t="str">
        <f t="shared" si="196"/>
        <v>20140101KUCIE550</v>
      </c>
      <c r="BO277" s="427" t="str">
        <f t="shared" si="197"/>
        <v>20140101RTS</v>
      </c>
      <c r="BP277" s="407">
        <f>IF(BM277&lt;=MiscData!$B$23,MiscData!$C$23,IF(BM277&lt;=MiscData!$B$24,MiscData!$C$24,MiscData!$C$25))</f>
        <v>20140101</v>
      </c>
      <c r="BQ277" s="407" t="str">
        <f>VLOOKUP(BR277,MiscData!$V$4:$W$42,2,FALSE)</f>
        <v>KUCIE550</v>
      </c>
      <c r="BR277" s="407">
        <f>IF(BR276=MiscData!$V$42,1,BR276+1)</f>
        <v>1</v>
      </c>
      <c r="BS277" s="407" t="str">
        <f>VLOOKUP(BQ277,MiscData!$W$4:$Y$42,3,FALSE)</f>
        <v>RTS</v>
      </c>
    </row>
    <row r="278" spans="1:72">
      <c r="A278" s="416">
        <f t="shared" si="230"/>
        <v>254</v>
      </c>
      <c r="B278" s="416" t="str">
        <f t="shared" si="192"/>
        <v>Aug 2014</v>
      </c>
      <c r="C278" s="416" t="s">
        <v>26</v>
      </c>
      <c r="D278" s="417" t="str">
        <f t="shared" si="193"/>
        <v>PSP</v>
      </c>
      <c r="E278" s="417" t="str">
        <f t="shared" si="194"/>
        <v>KUCIE561</v>
      </c>
      <c r="F278" s="418">
        <f t="shared" si="198"/>
        <v>165</v>
      </c>
      <c r="G278" s="467">
        <v>1</v>
      </c>
      <c r="H278" s="418">
        <v>0</v>
      </c>
      <c r="I278" s="418">
        <v>0</v>
      </c>
      <c r="J278" s="418">
        <v>0</v>
      </c>
      <c r="K278" s="418">
        <f t="shared" si="199"/>
        <v>4805788</v>
      </c>
      <c r="L278" s="459">
        <v>0</v>
      </c>
      <c r="M278" s="443">
        <f t="shared" si="200"/>
        <v>0</v>
      </c>
      <c r="N278" s="443">
        <f t="shared" si="201"/>
        <v>0</v>
      </c>
      <c r="O278" s="443">
        <f t="shared" si="202"/>
        <v>14572.1</v>
      </c>
      <c r="P278" s="443">
        <f t="shared" si="203"/>
        <v>0</v>
      </c>
      <c r="Q278" s="443">
        <f t="shared" si="204"/>
        <v>0</v>
      </c>
      <c r="R278" s="443">
        <f t="shared" si="205"/>
        <v>16532.05</v>
      </c>
      <c r="S278" s="484">
        <v>0</v>
      </c>
      <c r="T278" s="484">
        <v>0</v>
      </c>
      <c r="U278" s="484">
        <v>1959.95</v>
      </c>
      <c r="V278" s="490">
        <v>0</v>
      </c>
      <c r="W278" s="490">
        <v>0</v>
      </c>
      <c r="X278" s="490">
        <v>0</v>
      </c>
      <c r="Y278" s="419">
        <f t="shared" si="206"/>
        <v>170</v>
      </c>
      <c r="Z278" s="420">
        <f t="shared" si="207"/>
        <v>3.5619999999999999E-2</v>
      </c>
      <c r="AA278" s="420">
        <v>0</v>
      </c>
      <c r="AB278" s="420">
        <v>0</v>
      </c>
      <c r="AC278" s="420">
        <f t="shared" si="208"/>
        <v>2.8920000000000001E-2</v>
      </c>
      <c r="AD278" s="419">
        <f t="shared" si="209"/>
        <v>0</v>
      </c>
      <c r="AE278" s="419">
        <f t="shared" si="210"/>
        <v>13.18</v>
      </c>
      <c r="AF278" s="419">
        <f t="shared" si="211"/>
        <v>15.28</v>
      </c>
      <c r="AG278" s="454">
        <f t="shared" si="212"/>
        <v>28220</v>
      </c>
      <c r="AH278" s="454">
        <f t="shared" si="187"/>
        <v>171182.17</v>
      </c>
      <c r="AI278" s="421">
        <f t="shared" si="213"/>
        <v>0</v>
      </c>
      <c r="AJ278" s="421">
        <f t="shared" si="214"/>
        <v>0</v>
      </c>
      <c r="AK278" s="421">
        <f t="shared" si="215"/>
        <v>222661.69</v>
      </c>
      <c r="AL278" s="472">
        <v>0</v>
      </c>
      <c r="AM278" s="422">
        <f t="shared" si="185"/>
        <v>0</v>
      </c>
      <c r="AN278" s="423">
        <f t="shared" si="216"/>
        <v>29948.04</v>
      </c>
      <c r="AO278" s="421">
        <f t="shared" si="217"/>
        <v>252609.73</v>
      </c>
      <c r="AP278" s="472">
        <v>-102</v>
      </c>
      <c r="AQ278" s="472">
        <v>-0.03</v>
      </c>
      <c r="AR278" s="472">
        <v>-399.75</v>
      </c>
      <c r="AS278" s="475">
        <v>0</v>
      </c>
      <c r="AT278" s="475">
        <v>0</v>
      </c>
      <c r="AU278" s="475">
        <v>0</v>
      </c>
      <c r="AV278" s="454">
        <f t="shared" si="218"/>
        <v>451510.11999999994</v>
      </c>
      <c r="AW278" s="421">
        <f t="shared" si="219"/>
        <v>451510.12</v>
      </c>
      <c r="AX278" s="455">
        <f t="shared" si="231"/>
        <v>1.0000000000000002</v>
      </c>
      <c r="AY278" s="424">
        <f t="shared" si="220"/>
        <v>-3703.54</v>
      </c>
      <c r="AZ278" s="424">
        <f t="shared" si="221"/>
        <v>5766.17</v>
      </c>
      <c r="BA278" s="424">
        <f t="shared" si="222"/>
        <v>17799.88</v>
      </c>
      <c r="BB278" s="424">
        <f t="shared" si="223"/>
        <v>0</v>
      </c>
      <c r="BC278" s="424">
        <f t="shared" si="224"/>
        <v>0</v>
      </c>
      <c r="BD278" s="424">
        <f t="shared" si="225"/>
        <v>471372.63</v>
      </c>
      <c r="BE278" s="452">
        <f t="shared" si="226"/>
        <v>471372.62999999995</v>
      </c>
      <c r="BF278" s="448">
        <f t="shared" si="227"/>
        <v>0</v>
      </c>
      <c r="BG278" s="456">
        <f t="shared" si="228"/>
        <v>138983.39000000001</v>
      </c>
      <c r="BH278" s="457">
        <f t="shared" si="195"/>
        <v>32198.75</v>
      </c>
      <c r="BI278" s="407" t="s">
        <v>692</v>
      </c>
      <c r="BM278" s="429">
        <f>IF(BR278&gt;BR277,BM277,IF(BM277&lt;MiscData!$F$1,EOMONTH(BM277,1),EOMONTH(BM277,-11)))</f>
        <v>41882</v>
      </c>
      <c r="BN278" s="416" t="str">
        <f t="shared" si="196"/>
        <v>20140101KUCIE561</v>
      </c>
      <c r="BO278" s="427" t="str">
        <f t="shared" si="197"/>
        <v>20140101PSP</v>
      </c>
      <c r="BP278" s="407">
        <f>IF(BM278&lt;=MiscData!$B$23,MiscData!$C$23,IF(BM278&lt;=MiscData!$B$24,MiscData!$C$24,MiscData!$C$25))</f>
        <v>20140101</v>
      </c>
      <c r="BQ278" s="407" t="str">
        <f>VLOOKUP(BR278,MiscData!$V$4:$W$42,2,FALSE)</f>
        <v>KUCIE561</v>
      </c>
      <c r="BR278" s="407">
        <f>IF(BR277=MiscData!$V$42,1,BR277+1)</f>
        <v>2</v>
      </c>
      <c r="BS278" s="407" t="str">
        <f>VLOOKUP(BQ278,MiscData!$W$4:$Y$42,3,FALSE)</f>
        <v>PSP</v>
      </c>
    </row>
    <row r="279" spans="1:72" hidden="1">
      <c r="A279" s="416">
        <f t="shared" si="230"/>
        <v>255</v>
      </c>
      <c r="B279" s="416" t="str">
        <f t="shared" si="192"/>
        <v>Aug 2014</v>
      </c>
      <c r="C279" s="416" t="s">
        <v>25</v>
      </c>
      <c r="D279" s="417" t="str">
        <f t="shared" si="193"/>
        <v>PSS</v>
      </c>
      <c r="E279" s="417" t="str">
        <f t="shared" si="194"/>
        <v>KUCIE562</v>
      </c>
      <c r="F279" s="418">
        <f t="shared" si="198"/>
        <v>4740</v>
      </c>
      <c r="G279" s="467">
        <v>0</v>
      </c>
      <c r="H279" s="418">
        <v>0</v>
      </c>
      <c r="I279" s="418">
        <v>0</v>
      </c>
      <c r="J279" s="418">
        <v>0</v>
      </c>
      <c r="K279" s="418">
        <f t="shared" si="199"/>
        <v>147959641</v>
      </c>
      <c r="L279" s="459">
        <v>0</v>
      </c>
      <c r="M279" s="443">
        <f t="shared" si="200"/>
        <v>0</v>
      </c>
      <c r="N279" s="443">
        <f t="shared" si="201"/>
        <v>0</v>
      </c>
      <c r="O279" s="443">
        <f t="shared" si="202"/>
        <v>395154.4</v>
      </c>
      <c r="P279" s="443">
        <f t="shared" si="203"/>
        <v>0</v>
      </c>
      <c r="Q279" s="443">
        <f t="shared" si="204"/>
        <v>0</v>
      </c>
      <c r="R279" s="443">
        <f t="shared" si="205"/>
        <v>442527.22</v>
      </c>
      <c r="S279" s="484">
        <v>0</v>
      </c>
      <c r="T279" s="484">
        <v>0</v>
      </c>
      <c r="U279" s="484">
        <v>47372.82</v>
      </c>
      <c r="V279" s="490">
        <v>0</v>
      </c>
      <c r="W279" s="490">
        <v>0</v>
      </c>
      <c r="X279" s="490">
        <v>0</v>
      </c>
      <c r="Y279" s="419">
        <f t="shared" si="206"/>
        <v>90</v>
      </c>
      <c r="Z279" s="420">
        <f t="shared" si="207"/>
        <v>3.5640000000000005E-2</v>
      </c>
      <c r="AA279" s="420">
        <v>0</v>
      </c>
      <c r="AB279" s="420">
        <v>0</v>
      </c>
      <c r="AC279" s="420">
        <f t="shared" si="208"/>
        <v>2.8920000000000001E-2</v>
      </c>
      <c r="AD279" s="419">
        <f t="shared" si="209"/>
        <v>0</v>
      </c>
      <c r="AE279" s="419">
        <f t="shared" si="210"/>
        <v>13.2</v>
      </c>
      <c r="AF279" s="419">
        <f t="shared" si="211"/>
        <v>15.3</v>
      </c>
      <c r="AG279" s="454">
        <f t="shared" si="212"/>
        <v>426600</v>
      </c>
      <c r="AH279" s="454">
        <f t="shared" si="187"/>
        <v>5273281.6100000003</v>
      </c>
      <c r="AI279" s="421">
        <f t="shared" si="213"/>
        <v>0</v>
      </c>
      <c r="AJ279" s="421">
        <f t="shared" si="214"/>
        <v>0</v>
      </c>
      <c r="AK279" s="421">
        <f t="shared" si="215"/>
        <v>6045862.3200000003</v>
      </c>
      <c r="AL279" s="472">
        <v>0</v>
      </c>
      <c r="AM279" s="422">
        <f t="shared" si="185"/>
        <v>0</v>
      </c>
      <c r="AN279" s="423">
        <f t="shared" si="216"/>
        <v>724804.15</v>
      </c>
      <c r="AO279" s="421">
        <f t="shared" si="217"/>
        <v>6770666.4700000007</v>
      </c>
      <c r="AP279" s="472">
        <v>-238.96</v>
      </c>
      <c r="AQ279" s="472">
        <v>0.18</v>
      </c>
      <c r="AR279" s="472">
        <v>-28719.98</v>
      </c>
      <c r="AS279" s="475">
        <v>0</v>
      </c>
      <c r="AT279" s="475">
        <v>0</v>
      </c>
      <c r="AU279" s="475">
        <v>0</v>
      </c>
      <c r="AV279" s="454">
        <f t="shared" si="218"/>
        <v>12441589.319999998</v>
      </c>
      <c r="AW279" s="421">
        <f t="shared" si="219"/>
        <v>12441589.319999998</v>
      </c>
      <c r="AX279" s="455">
        <f t="shared" si="231"/>
        <v>1</v>
      </c>
      <c r="AY279" s="424">
        <f t="shared" si="220"/>
        <v>-90235.13</v>
      </c>
      <c r="AZ279" s="424">
        <f t="shared" si="221"/>
        <v>193275.25</v>
      </c>
      <c r="BA279" s="424">
        <f t="shared" si="222"/>
        <v>467908.76</v>
      </c>
      <c r="BB279" s="424">
        <f t="shared" si="223"/>
        <v>0</v>
      </c>
      <c r="BC279" s="424">
        <f t="shared" si="224"/>
        <v>0</v>
      </c>
      <c r="BD279" s="424">
        <f t="shared" si="225"/>
        <v>13012538.199999999</v>
      </c>
      <c r="BE279" s="452">
        <f t="shared" si="226"/>
        <v>13012538.199999997</v>
      </c>
      <c r="BF279" s="448">
        <f t="shared" si="227"/>
        <v>0</v>
      </c>
      <c r="BG279" s="456">
        <f t="shared" si="228"/>
        <v>4278992.82</v>
      </c>
      <c r="BH279" s="457">
        <f t="shared" si="195"/>
        <v>994288.96999999974</v>
      </c>
      <c r="BI279" s="407" t="s">
        <v>692</v>
      </c>
      <c r="BM279" s="429">
        <f>IF(BR279&gt;BR278,BM278,IF(BM278&lt;MiscData!$F$1,EOMONTH(BM278,1),EOMONTH(BM278,-11)))</f>
        <v>41882</v>
      </c>
      <c r="BN279" s="416" t="str">
        <f t="shared" si="196"/>
        <v>20140101KUCIE562</v>
      </c>
      <c r="BO279" s="427" t="str">
        <f t="shared" si="197"/>
        <v>20140101PSS</v>
      </c>
      <c r="BP279" s="407">
        <f>IF(BM279&lt;=MiscData!$B$23,MiscData!$C$23,IF(BM279&lt;=MiscData!$B$24,MiscData!$C$24,MiscData!$C$25))</f>
        <v>20140101</v>
      </c>
      <c r="BQ279" s="407" t="str">
        <f>VLOOKUP(BR279,MiscData!$V$4:$W$42,2,FALSE)</f>
        <v>KUCIE562</v>
      </c>
      <c r="BR279" s="407">
        <f>IF(BR278=MiscData!$V$42,1,BR278+1)</f>
        <v>3</v>
      </c>
      <c r="BS279" s="407" t="str">
        <f>VLOOKUP(BQ279,MiscData!$W$4:$Y$42,3,FALSE)</f>
        <v>PSS</v>
      </c>
    </row>
    <row r="280" spans="1:72" hidden="1">
      <c r="A280" s="416">
        <f t="shared" si="230"/>
        <v>256</v>
      </c>
      <c r="B280" s="416" t="str">
        <f t="shared" si="192"/>
        <v>Aug 2014</v>
      </c>
      <c r="C280" s="416" t="s">
        <v>221</v>
      </c>
      <c r="D280" s="417" t="str">
        <f t="shared" si="193"/>
        <v>TODP</v>
      </c>
      <c r="E280" s="417" t="str">
        <f t="shared" si="194"/>
        <v>KUCIE563</v>
      </c>
      <c r="F280" s="418">
        <f t="shared" si="198"/>
        <v>52</v>
      </c>
      <c r="G280" s="467">
        <v>1</v>
      </c>
      <c r="H280" s="418">
        <v>0</v>
      </c>
      <c r="I280" s="418">
        <v>0</v>
      </c>
      <c r="J280" s="418">
        <v>0</v>
      </c>
      <c r="K280" s="418">
        <f t="shared" si="199"/>
        <v>215552537</v>
      </c>
      <c r="L280" s="459"/>
      <c r="M280" s="443">
        <f t="shared" si="200"/>
        <v>441194.9</v>
      </c>
      <c r="N280" s="443">
        <f t="shared" si="201"/>
        <v>437518.1</v>
      </c>
      <c r="O280" s="443">
        <f t="shared" si="202"/>
        <v>430847.5</v>
      </c>
      <c r="P280" s="443">
        <f t="shared" si="203"/>
        <v>451659.1</v>
      </c>
      <c r="Q280" s="443">
        <f t="shared" si="204"/>
        <v>438293.1</v>
      </c>
      <c r="R280" s="443">
        <f t="shared" si="205"/>
        <v>431935.5</v>
      </c>
      <c r="S280" s="484">
        <v>10464.200000000001</v>
      </c>
      <c r="T280" s="484">
        <v>775</v>
      </c>
      <c r="U280" s="484">
        <v>1088</v>
      </c>
      <c r="V280" s="490">
        <v>0</v>
      </c>
      <c r="W280" s="490">
        <v>0</v>
      </c>
      <c r="X280" s="490">
        <v>0</v>
      </c>
      <c r="Y280" s="419">
        <f t="shared" si="206"/>
        <v>300</v>
      </c>
      <c r="Z280" s="420">
        <f t="shared" si="207"/>
        <v>3.7650000000000003E-2</v>
      </c>
      <c r="AA280" s="420">
        <v>0</v>
      </c>
      <c r="AB280" s="420">
        <v>0</v>
      </c>
      <c r="AC280" s="420">
        <f t="shared" si="208"/>
        <v>2.8920000000000001E-2</v>
      </c>
      <c r="AD280" s="419">
        <f t="shared" si="209"/>
        <v>1.71</v>
      </c>
      <c r="AE280" s="419">
        <f t="shared" si="210"/>
        <v>2.76</v>
      </c>
      <c r="AF280" s="419">
        <f t="shared" si="211"/>
        <v>4.26</v>
      </c>
      <c r="AG280" s="454">
        <f t="shared" si="212"/>
        <v>15900</v>
      </c>
      <c r="AH280" s="454">
        <f t="shared" si="187"/>
        <v>8115553.0199999996</v>
      </c>
      <c r="AI280" s="421">
        <f t="shared" si="213"/>
        <v>754443.28</v>
      </c>
      <c r="AJ280" s="421">
        <f t="shared" si="214"/>
        <v>1207549.96</v>
      </c>
      <c r="AK280" s="421">
        <f t="shared" si="215"/>
        <v>1835410.35</v>
      </c>
      <c r="AL280" s="472">
        <v>0</v>
      </c>
      <c r="AM280" s="422">
        <f t="shared" si="185"/>
        <v>0</v>
      </c>
      <c r="AN280" s="423">
        <f t="shared" si="216"/>
        <v>24667.66</v>
      </c>
      <c r="AO280" s="421">
        <f t="shared" si="217"/>
        <v>3822071.25</v>
      </c>
      <c r="AP280" s="472">
        <v>0</v>
      </c>
      <c r="AQ280" s="472">
        <v>0.01</v>
      </c>
      <c r="AR280" s="472">
        <v>0.02</v>
      </c>
      <c r="AS280" s="475">
        <v>0</v>
      </c>
      <c r="AT280" s="475">
        <v>0</v>
      </c>
      <c r="AU280" s="475">
        <v>0</v>
      </c>
      <c r="AV280" s="454">
        <f t="shared" si="218"/>
        <v>11953524.299999997</v>
      </c>
      <c r="AW280" s="421">
        <f t="shared" si="219"/>
        <v>11953524.300000001</v>
      </c>
      <c r="AX280" s="455">
        <f t="shared" si="231"/>
        <v>1.0000000000000002</v>
      </c>
      <c r="AY280" s="424">
        <f t="shared" si="220"/>
        <v>-31091.71</v>
      </c>
      <c r="AZ280" s="424">
        <f t="shared" si="221"/>
        <v>66601.72</v>
      </c>
      <c r="BA280" s="424">
        <f t="shared" si="222"/>
        <v>325695.09999999998</v>
      </c>
      <c r="BB280" s="424">
        <f t="shared" si="223"/>
        <v>0</v>
      </c>
      <c r="BC280" s="424">
        <f t="shared" si="224"/>
        <v>0</v>
      </c>
      <c r="BD280" s="424">
        <f t="shared" si="225"/>
        <v>12314729.41</v>
      </c>
      <c r="BE280" s="452">
        <f t="shared" si="226"/>
        <v>12314729.409999996</v>
      </c>
      <c r="BF280" s="448">
        <f t="shared" si="227"/>
        <v>0</v>
      </c>
      <c r="BG280" s="456">
        <f t="shared" si="228"/>
        <v>6233779.3700000001</v>
      </c>
      <c r="BH280" s="457">
        <f t="shared" si="195"/>
        <v>1881773.6599999992</v>
      </c>
      <c r="BI280" s="407" t="s">
        <v>692</v>
      </c>
      <c r="BM280" s="429">
        <f>IF(BR280&gt;BR279,BM279,IF(BM279&lt;MiscData!$F$1,EOMONTH(BM279,1),EOMONTH(BM279,-11)))</f>
        <v>41882</v>
      </c>
      <c r="BN280" s="416" t="str">
        <f t="shared" si="196"/>
        <v>20140101KUCIE563</v>
      </c>
      <c r="BO280" s="427" t="str">
        <f t="shared" si="197"/>
        <v>20140101TODP</v>
      </c>
      <c r="BP280" s="407">
        <f>IF(BM280&lt;=MiscData!$B$23,MiscData!$C$23,IF(BM280&lt;=MiscData!$B$24,MiscData!$C$24,MiscData!$C$25))</f>
        <v>20140101</v>
      </c>
      <c r="BQ280" s="407" t="str">
        <f>VLOOKUP(BR280,MiscData!$V$4:$W$42,2,FALSE)</f>
        <v>KUCIE563</v>
      </c>
      <c r="BR280" s="407">
        <f>IF(BR279=MiscData!$V$42,1,BR279+1)</f>
        <v>4</v>
      </c>
      <c r="BS280" s="407" t="str">
        <f>VLOOKUP(BQ280,MiscData!$W$4:$Y$42,3,FALSE)</f>
        <v>TODP</v>
      </c>
    </row>
    <row r="281" spans="1:72">
      <c r="A281" s="416">
        <f t="shared" si="230"/>
        <v>257</v>
      </c>
      <c r="B281" s="416" t="str">
        <f t="shared" si="192"/>
        <v>Aug 2014</v>
      </c>
      <c r="C281" s="416" t="s">
        <v>26</v>
      </c>
      <c r="D281" s="417" t="str">
        <f t="shared" si="193"/>
        <v>PSP</v>
      </c>
      <c r="E281" s="417" t="str">
        <f t="shared" si="194"/>
        <v>KUCIE566</v>
      </c>
      <c r="F281" s="418">
        <f t="shared" si="198"/>
        <v>63</v>
      </c>
      <c r="G281" s="467">
        <v>1</v>
      </c>
      <c r="H281" s="418">
        <v>0</v>
      </c>
      <c r="I281" s="418">
        <v>0</v>
      </c>
      <c r="J281" s="418">
        <v>0</v>
      </c>
      <c r="K281" s="418">
        <f t="shared" si="199"/>
        <v>16436798</v>
      </c>
      <c r="L281" s="459">
        <v>0</v>
      </c>
      <c r="M281" s="443">
        <f t="shared" si="200"/>
        <v>0</v>
      </c>
      <c r="N281" s="443">
        <f t="shared" si="201"/>
        <v>0</v>
      </c>
      <c r="O281" s="443">
        <f t="shared" si="202"/>
        <v>37546.5</v>
      </c>
      <c r="P281" s="443">
        <f t="shared" si="203"/>
        <v>0</v>
      </c>
      <c r="Q281" s="443">
        <f t="shared" si="204"/>
        <v>0</v>
      </c>
      <c r="R281" s="443">
        <f t="shared" si="205"/>
        <v>39875.9</v>
      </c>
      <c r="S281" s="484">
        <v>0</v>
      </c>
      <c r="T281" s="484">
        <v>0</v>
      </c>
      <c r="U281" s="484">
        <v>2329.4</v>
      </c>
      <c r="V281" s="490">
        <v>0</v>
      </c>
      <c r="W281" s="490">
        <v>0</v>
      </c>
      <c r="X281" s="490">
        <v>0</v>
      </c>
      <c r="Y281" s="419">
        <f t="shared" si="206"/>
        <v>170</v>
      </c>
      <c r="Z281" s="420">
        <f t="shared" si="207"/>
        <v>3.5619999999999999E-2</v>
      </c>
      <c r="AA281" s="420">
        <v>0</v>
      </c>
      <c r="AB281" s="420">
        <v>0</v>
      </c>
      <c r="AC281" s="420">
        <f t="shared" si="208"/>
        <v>2.8920000000000001E-2</v>
      </c>
      <c r="AD281" s="419">
        <f t="shared" si="209"/>
        <v>0</v>
      </c>
      <c r="AE281" s="419">
        <f t="shared" si="210"/>
        <v>13.18</v>
      </c>
      <c r="AF281" s="419">
        <f t="shared" si="211"/>
        <v>15.28</v>
      </c>
      <c r="AG281" s="454">
        <f t="shared" si="212"/>
        <v>10880</v>
      </c>
      <c r="AH281" s="454">
        <f t="shared" si="187"/>
        <v>585478.74</v>
      </c>
      <c r="AI281" s="421">
        <f t="shared" si="213"/>
        <v>0</v>
      </c>
      <c r="AJ281" s="421">
        <f t="shared" si="214"/>
        <v>0</v>
      </c>
      <c r="AK281" s="421">
        <f t="shared" si="215"/>
        <v>573710.52</v>
      </c>
      <c r="AL281" s="472">
        <v>812.5</v>
      </c>
      <c r="AM281" s="422">
        <f t="shared" si="185"/>
        <v>13051.85</v>
      </c>
      <c r="AN281" s="423">
        <f t="shared" si="216"/>
        <v>35593.230000000003</v>
      </c>
      <c r="AO281" s="421">
        <f t="shared" si="217"/>
        <v>623168.1</v>
      </c>
      <c r="AP281" s="472">
        <v>107.67</v>
      </c>
      <c r="AQ281" s="472">
        <v>0</v>
      </c>
      <c r="AR281" s="472">
        <v>-318.39999999999998</v>
      </c>
      <c r="AS281" s="475">
        <v>0</v>
      </c>
      <c r="AT281" s="475">
        <v>0</v>
      </c>
      <c r="AU281" s="475">
        <v>0</v>
      </c>
      <c r="AV281" s="454">
        <f t="shared" si="218"/>
        <v>1219316.1100000001</v>
      </c>
      <c r="AW281" s="421">
        <f t="shared" si="219"/>
        <v>1219316.1099999999</v>
      </c>
      <c r="AX281" s="455">
        <f t="shared" si="231"/>
        <v>0.99999999999999978</v>
      </c>
      <c r="AY281" s="424">
        <f t="shared" si="220"/>
        <v>-8088.71</v>
      </c>
      <c r="AZ281" s="424">
        <f t="shared" si="221"/>
        <v>14968.85</v>
      </c>
      <c r="BA281" s="424">
        <f t="shared" si="222"/>
        <v>42486.67</v>
      </c>
      <c r="BB281" s="424">
        <f t="shared" si="223"/>
        <v>0</v>
      </c>
      <c r="BC281" s="424">
        <f t="shared" si="224"/>
        <v>0</v>
      </c>
      <c r="BD281" s="424">
        <f t="shared" si="225"/>
        <v>1268682.92</v>
      </c>
      <c r="BE281" s="452">
        <f t="shared" si="226"/>
        <v>1268682.9200000002</v>
      </c>
      <c r="BF281" s="448">
        <f t="shared" si="227"/>
        <v>0</v>
      </c>
      <c r="BG281" s="456">
        <f t="shared" si="228"/>
        <v>475352.2</v>
      </c>
      <c r="BH281" s="457">
        <f t="shared" si="195"/>
        <v>110126.53999999998</v>
      </c>
      <c r="BI281" s="407" t="s">
        <v>692</v>
      </c>
      <c r="BM281" s="429">
        <f>IF(BR281&gt;BR280,BM280,IF(BM280&lt;MiscData!$F$1,EOMONTH(BM280,1),EOMONTH(BM280,-11)))</f>
        <v>41882</v>
      </c>
      <c r="BN281" s="416" t="str">
        <f t="shared" si="196"/>
        <v>20140101KUCIE566</v>
      </c>
      <c r="BO281" s="427" t="str">
        <f t="shared" si="197"/>
        <v>20140101PSP</v>
      </c>
      <c r="BP281" s="407">
        <f>IF(BM281&lt;=MiscData!$B$23,MiscData!$C$23,IF(BM281&lt;=MiscData!$B$24,MiscData!$C$24,MiscData!$C$25))</f>
        <v>20140101</v>
      </c>
      <c r="BQ281" s="407" t="str">
        <f>VLOOKUP(BR281,MiscData!$V$4:$W$42,2,FALSE)</f>
        <v>KUCIE566</v>
      </c>
      <c r="BR281" s="407">
        <f>IF(BR280=MiscData!$V$42,1,BR280+1)</f>
        <v>5</v>
      </c>
      <c r="BS281" s="407" t="str">
        <f>VLOOKUP(BQ281,MiscData!$W$4:$Y$42,3,FALSE)</f>
        <v>PSP</v>
      </c>
    </row>
    <row r="282" spans="1:72" hidden="1">
      <c r="A282" s="416">
        <f t="shared" si="230"/>
        <v>258</v>
      </c>
      <c r="B282" s="416" t="str">
        <f t="shared" si="192"/>
        <v>Aug 2014</v>
      </c>
      <c r="C282" s="416" t="s">
        <v>25</v>
      </c>
      <c r="D282" s="417" t="str">
        <f t="shared" si="193"/>
        <v>PSS</v>
      </c>
      <c r="E282" s="417" t="str">
        <f t="shared" si="194"/>
        <v>KUCIE568</v>
      </c>
      <c r="F282" s="418">
        <f t="shared" si="198"/>
        <v>361</v>
      </c>
      <c r="G282" s="467"/>
      <c r="H282" s="418">
        <v>0</v>
      </c>
      <c r="I282" s="418">
        <v>0</v>
      </c>
      <c r="J282" s="418">
        <v>0</v>
      </c>
      <c r="K282" s="418">
        <f t="shared" si="199"/>
        <v>50342019</v>
      </c>
      <c r="L282" s="459">
        <v>0</v>
      </c>
      <c r="M282" s="443">
        <f t="shared" si="200"/>
        <v>0</v>
      </c>
      <c r="N282" s="443">
        <f t="shared" si="201"/>
        <v>0</v>
      </c>
      <c r="O282" s="443">
        <f t="shared" si="202"/>
        <v>129148.4</v>
      </c>
      <c r="P282" s="443">
        <f t="shared" si="203"/>
        <v>0</v>
      </c>
      <c r="Q282" s="443">
        <f t="shared" si="204"/>
        <v>0</v>
      </c>
      <c r="R282" s="443">
        <f t="shared" si="205"/>
        <v>134692.95000000001</v>
      </c>
      <c r="S282" s="484">
        <v>0</v>
      </c>
      <c r="T282" s="484">
        <v>0</v>
      </c>
      <c r="U282" s="484">
        <v>5544.55</v>
      </c>
      <c r="V282" s="490">
        <v>0</v>
      </c>
      <c r="W282" s="490">
        <v>0</v>
      </c>
      <c r="X282" s="490">
        <v>0</v>
      </c>
      <c r="Y282" s="419">
        <f t="shared" si="206"/>
        <v>90</v>
      </c>
      <c r="Z282" s="420">
        <f t="shared" si="207"/>
        <v>3.5640000000000005E-2</v>
      </c>
      <c r="AA282" s="420">
        <v>0</v>
      </c>
      <c r="AB282" s="420">
        <v>0</v>
      </c>
      <c r="AC282" s="420">
        <f t="shared" si="208"/>
        <v>2.8920000000000001E-2</v>
      </c>
      <c r="AD282" s="419">
        <f t="shared" si="209"/>
        <v>0</v>
      </c>
      <c r="AE282" s="419">
        <f t="shared" si="210"/>
        <v>13.2</v>
      </c>
      <c r="AF282" s="419">
        <f t="shared" si="211"/>
        <v>15.3</v>
      </c>
      <c r="AG282" s="454">
        <f t="shared" si="212"/>
        <v>32490</v>
      </c>
      <c r="AH282" s="454">
        <f t="shared" si="187"/>
        <v>1794189.56</v>
      </c>
      <c r="AI282" s="421">
        <f t="shared" si="213"/>
        <v>0</v>
      </c>
      <c r="AJ282" s="421">
        <f t="shared" si="214"/>
        <v>0</v>
      </c>
      <c r="AK282" s="421">
        <f t="shared" si="215"/>
        <v>1975970.52</v>
      </c>
      <c r="AL282" s="472">
        <v>335.25</v>
      </c>
      <c r="AM282" s="422">
        <f t="shared" si="185"/>
        <v>75109.84</v>
      </c>
      <c r="AN282" s="423">
        <f t="shared" si="216"/>
        <v>84831.62</v>
      </c>
      <c r="AO282" s="421">
        <f t="shared" si="217"/>
        <v>2136247.23</v>
      </c>
      <c r="AP282" s="472">
        <v>-292.64999999999998</v>
      </c>
      <c r="AQ282" s="472">
        <v>7.0000000000000007E-2</v>
      </c>
      <c r="AR282" s="472">
        <v>-31298.59</v>
      </c>
      <c r="AS282" s="475">
        <v>0</v>
      </c>
      <c r="AT282" s="475">
        <v>0</v>
      </c>
      <c r="AU282" s="475">
        <v>0</v>
      </c>
      <c r="AV282" s="454">
        <f t="shared" si="218"/>
        <v>3931335.62</v>
      </c>
      <c r="AW282" s="421">
        <f t="shared" si="219"/>
        <v>3931335.62</v>
      </c>
      <c r="AX282" s="455">
        <f t="shared" si="231"/>
        <v>1</v>
      </c>
      <c r="AY282" s="424">
        <f t="shared" si="220"/>
        <v>-31864.98</v>
      </c>
      <c r="AZ282" s="424">
        <f t="shared" si="221"/>
        <v>45483.8</v>
      </c>
      <c r="BA282" s="424">
        <f t="shared" si="222"/>
        <v>141129.24</v>
      </c>
      <c r="BB282" s="424">
        <f t="shared" si="223"/>
        <v>0</v>
      </c>
      <c r="BC282" s="424">
        <f t="shared" si="224"/>
        <v>0</v>
      </c>
      <c r="BD282" s="424">
        <f t="shared" si="225"/>
        <v>4086083.68</v>
      </c>
      <c r="BE282" s="452">
        <f t="shared" si="226"/>
        <v>4086083.6799999997</v>
      </c>
      <c r="BF282" s="448">
        <f t="shared" si="227"/>
        <v>0</v>
      </c>
      <c r="BG282" s="456">
        <f t="shared" si="228"/>
        <v>1455891.19</v>
      </c>
      <c r="BH282" s="457">
        <f t="shared" si="195"/>
        <v>338298.44000000018</v>
      </c>
      <c r="BI282" s="407" t="s">
        <v>692</v>
      </c>
      <c r="BM282" s="429">
        <f>IF(BR282&gt;BR281,BM281,IF(BM281&lt;MiscData!$F$1,EOMONTH(BM281,1),EOMONTH(BM281,-11)))</f>
        <v>41882</v>
      </c>
      <c r="BN282" s="416" t="str">
        <f t="shared" si="196"/>
        <v>20140101KUCIE568</v>
      </c>
      <c r="BO282" s="427" t="str">
        <f t="shared" si="197"/>
        <v>20140101PSS</v>
      </c>
      <c r="BP282" s="407">
        <f>IF(BM282&lt;=MiscData!$B$23,MiscData!$C$23,IF(BM282&lt;=MiscData!$B$24,MiscData!$C$24,MiscData!$C$25))</f>
        <v>20140101</v>
      </c>
      <c r="BQ282" s="407" t="str">
        <f>VLOOKUP(BR282,MiscData!$V$4:$W$42,2,FALSE)</f>
        <v>KUCIE568</v>
      </c>
      <c r="BR282" s="407">
        <f>IF(BR281=MiscData!$V$42,1,BR281+1)</f>
        <v>6</v>
      </c>
      <c r="BS282" s="407" t="str">
        <f>VLOOKUP(BQ282,MiscData!$W$4:$Y$42,3,FALSE)</f>
        <v>PSS</v>
      </c>
    </row>
    <row r="283" spans="1:72" hidden="1">
      <c r="A283" s="416">
        <f t="shared" si="230"/>
        <v>259</v>
      </c>
      <c r="B283" s="416" t="str">
        <f t="shared" si="192"/>
        <v>Aug 2014</v>
      </c>
      <c r="C283" s="416" t="s">
        <v>221</v>
      </c>
      <c r="D283" s="417" t="str">
        <f t="shared" si="193"/>
        <v>TODP</v>
      </c>
      <c r="E283" s="417" t="str">
        <f t="shared" si="194"/>
        <v>KUCIE571</v>
      </c>
      <c r="F283" s="418">
        <f t="shared" si="198"/>
        <v>165</v>
      </c>
      <c r="G283" s="467">
        <v>4</v>
      </c>
      <c r="H283" s="418">
        <v>0</v>
      </c>
      <c r="I283" s="418">
        <v>0</v>
      </c>
      <c r="J283" s="418">
        <v>0</v>
      </c>
      <c r="K283" s="418">
        <f t="shared" si="199"/>
        <v>105815191</v>
      </c>
      <c r="L283" s="481">
        <v>0</v>
      </c>
      <c r="M283" s="443">
        <f t="shared" si="200"/>
        <v>274905.09999999998</v>
      </c>
      <c r="N283" s="443">
        <f t="shared" si="201"/>
        <v>271374.59999999998</v>
      </c>
      <c r="O283" s="443">
        <f t="shared" si="202"/>
        <v>263105.90000000002</v>
      </c>
      <c r="P283" s="443">
        <f t="shared" si="203"/>
        <v>281382</v>
      </c>
      <c r="Q283" s="443">
        <f t="shared" si="204"/>
        <v>272598.09999999998</v>
      </c>
      <c r="R283" s="443">
        <f t="shared" si="205"/>
        <v>265433.2</v>
      </c>
      <c r="S283" s="484">
        <v>6476.9</v>
      </c>
      <c r="T283" s="484">
        <v>1223.5</v>
      </c>
      <c r="U283" s="484">
        <v>2327.3000000000002</v>
      </c>
      <c r="V283" s="490">
        <v>0</v>
      </c>
      <c r="W283" s="490">
        <v>0</v>
      </c>
      <c r="X283" s="490">
        <v>0</v>
      </c>
      <c r="Y283" s="419">
        <f t="shared" si="206"/>
        <v>300</v>
      </c>
      <c r="Z283" s="420">
        <f t="shared" si="207"/>
        <v>3.7650000000000003E-2</v>
      </c>
      <c r="AA283" s="420">
        <v>0</v>
      </c>
      <c r="AB283" s="420">
        <v>0</v>
      </c>
      <c r="AC283" s="420">
        <f t="shared" si="208"/>
        <v>2.8920000000000001E-2</v>
      </c>
      <c r="AD283" s="419">
        <f t="shared" si="209"/>
        <v>1.71</v>
      </c>
      <c r="AE283" s="419">
        <f t="shared" si="210"/>
        <v>2.76</v>
      </c>
      <c r="AF283" s="419">
        <f t="shared" si="211"/>
        <v>4.26</v>
      </c>
      <c r="AG283" s="454">
        <f t="shared" si="212"/>
        <v>50700</v>
      </c>
      <c r="AH283" s="454">
        <f t="shared" si="187"/>
        <v>3983941.94</v>
      </c>
      <c r="AI283" s="421">
        <f t="shared" si="213"/>
        <v>470087.72</v>
      </c>
      <c r="AJ283" s="421">
        <f t="shared" si="214"/>
        <v>748993.9</v>
      </c>
      <c r="AK283" s="421">
        <f t="shared" si="215"/>
        <v>1120831.1299999999</v>
      </c>
      <c r="AL283" s="472">
        <v>8756.51</v>
      </c>
      <c r="AM283" s="422">
        <f t="shared" si="185"/>
        <v>0</v>
      </c>
      <c r="AN283" s="423">
        <f t="shared" si="216"/>
        <v>24366.66</v>
      </c>
      <c r="AO283" s="421">
        <f t="shared" si="217"/>
        <v>2373035.92</v>
      </c>
      <c r="AP283" s="472">
        <v>-1220</v>
      </c>
      <c r="AQ283" s="472">
        <v>0.04</v>
      </c>
      <c r="AR283" s="472">
        <v>-25641.86</v>
      </c>
      <c r="AS283" s="475">
        <v>0</v>
      </c>
      <c r="AT283" s="475">
        <v>0</v>
      </c>
      <c r="AU283" s="475">
        <v>0</v>
      </c>
      <c r="AV283" s="454">
        <f t="shared" si="218"/>
        <v>6380816.04</v>
      </c>
      <c r="AW283" s="421">
        <f t="shared" si="219"/>
        <v>6380816.04</v>
      </c>
      <c r="AX283" s="455">
        <f t="shared" si="231"/>
        <v>1</v>
      </c>
      <c r="AY283" s="424">
        <f t="shared" si="220"/>
        <v>-72549.38</v>
      </c>
      <c r="AZ283" s="424">
        <f t="shared" si="221"/>
        <v>37418.129999999997</v>
      </c>
      <c r="BA283" s="424">
        <f t="shared" si="222"/>
        <v>187387.91</v>
      </c>
      <c r="BB283" s="424">
        <f t="shared" si="223"/>
        <v>0</v>
      </c>
      <c r="BC283" s="424">
        <f t="shared" si="224"/>
        <v>0</v>
      </c>
      <c r="BD283" s="424">
        <f t="shared" si="225"/>
        <v>6533072.7000000002</v>
      </c>
      <c r="BE283" s="452">
        <f t="shared" si="226"/>
        <v>6533072.7000000002</v>
      </c>
      <c r="BF283" s="448">
        <f t="shared" si="227"/>
        <v>0</v>
      </c>
      <c r="BG283" s="456">
        <f t="shared" si="228"/>
        <v>3060175.32</v>
      </c>
      <c r="BH283" s="457">
        <f t="shared" si="195"/>
        <v>923766.66000000015</v>
      </c>
      <c r="BI283" s="407" t="s">
        <v>692</v>
      </c>
      <c r="BM283" s="429">
        <f>IF(BR283&gt;BR282,BM282,IF(BM282&lt;MiscData!$F$1,EOMONTH(BM282,1),EOMONTH(BM282,-11)))</f>
        <v>41882</v>
      </c>
      <c r="BN283" s="416" t="str">
        <f t="shared" si="196"/>
        <v>20140101KUCIE571</v>
      </c>
      <c r="BO283" s="427" t="str">
        <f t="shared" si="197"/>
        <v>20140101TODP</v>
      </c>
      <c r="BP283" s="407">
        <f>IF(BM283&lt;=MiscData!$B$23,MiscData!$C$23,IF(BM283&lt;=MiscData!$B$24,MiscData!$C$24,MiscData!$C$25))</f>
        <v>20140101</v>
      </c>
      <c r="BQ283" s="407" t="str">
        <f>VLOOKUP(BR283,MiscData!$V$4:$W$42,2,FALSE)</f>
        <v>KUCIE571</v>
      </c>
      <c r="BR283" s="407">
        <f>IF(BR282=MiscData!$V$42,1,BR282+1)</f>
        <v>7</v>
      </c>
      <c r="BS283" s="407" t="str">
        <f>VLOOKUP(BQ283,MiscData!$W$4:$Y$42,3,FALSE)</f>
        <v>TODP</v>
      </c>
    </row>
    <row r="284" spans="1:72" hidden="1">
      <c r="A284" s="416">
        <f t="shared" si="230"/>
        <v>260</v>
      </c>
      <c r="B284" s="416" t="str">
        <f t="shared" si="192"/>
        <v>Aug 2014</v>
      </c>
      <c r="C284" s="416" t="s">
        <v>220</v>
      </c>
      <c r="D284" s="417" t="str">
        <f t="shared" si="193"/>
        <v>TODS</v>
      </c>
      <c r="E284" s="417" t="str">
        <f t="shared" si="194"/>
        <v>KUCIE572</v>
      </c>
      <c r="F284" s="418">
        <f t="shared" si="198"/>
        <v>488</v>
      </c>
      <c r="G284" s="467">
        <v>5</v>
      </c>
      <c r="H284" s="418">
        <v>0</v>
      </c>
      <c r="I284" s="418">
        <v>0</v>
      </c>
      <c r="J284" s="418">
        <v>0</v>
      </c>
      <c r="K284" s="418">
        <f t="shared" si="199"/>
        <v>117890588</v>
      </c>
      <c r="L284" s="481">
        <v>0</v>
      </c>
      <c r="M284" s="443">
        <f t="shared" si="200"/>
        <v>267627</v>
      </c>
      <c r="N284" s="443">
        <f t="shared" si="201"/>
        <v>263976.90000000002</v>
      </c>
      <c r="O284" s="443">
        <f t="shared" si="202"/>
        <v>258901.8</v>
      </c>
      <c r="P284" s="443">
        <f t="shared" si="203"/>
        <v>288620.09999999998</v>
      </c>
      <c r="Q284" s="443">
        <f t="shared" si="204"/>
        <v>267038.65000000002</v>
      </c>
      <c r="R284" s="443">
        <f t="shared" si="205"/>
        <v>262225.05</v>
      </c>
      <c r="S284" s="484">
        <v>20993.1</v>
      </c>
      <c r="T284" s="484">
        <v>3061.75</v>
      </c>
      <c r="U284" s="484">
        <v>3323.25</v>
      </c>
      <c r="V284" s="490">
        <v>0</v>
      </c>
      <c r="W284" s="490">
        <v>0</v>
      </c>
      <c r="X284" s="490">
        <v>0</v>
      </c>
      <c r="Y284" s="419">
        <f t="shared" si="206"/>
        <v>200</v>
      </c>
      <c r="Z284" s="420">
        <f t="shared" si="207"/>
        <v>3.773E-2</v>
      </c>
      <c r="AA284" s="420">
        <v>0</v>
      </c>
      <c r="AB284" s="420">
        <v>0</v>
      </c>
      <c r="AC284" s="420">
        <f t="shared" si="208"/>
        <v>2.8920000000000001E-2</v>
      </c>
      <c r="AD284" s="419">
        <f t="shared" si="209"/>
        <v>3.62</v>
      </c>
      <c r="AE284" s="419">
        <f t="shared" si="210"/>
        <v>2.95</v>
      </c>
      <c r="AF284" s="419">
        <f t="shared" si="211"/>
        <v>4.55</v>
      </c>
      <c r="AG284" s="454">
        <f t="shared" si="212"/>
        <v>98600</v>
      </c>
      <c r="AH284" s="454">
        <f t="shared" si="187"/>
        <v>4448011.8899999997</v>
      </c>
      <c r="AI284" s="421">
        <f t="shared" si="213"/>
        <v>968809.74</v>
      </c>
      <c r="AJ284" s="421">
        <f t="shared" si="214"/>
        <v>778731.86</v>
      </c>
      <c r="AK284" s="421">
        <f t="shared" si="215"/>
        <v>1178003.19</v>
      </c>
      <c r="AL284" s="472">
        <v>8065.22</v>
      </c>
      <c r="AM284" s="422">
        <f t="shared" si="185"/>
        <v>119006.83</v>
      </c>
      <c r="AN284" s="423">
        <f t="shared" si="216"/>
        <v>100147.97</v>
      </c>
      <c r="AO284" s="421">
        <f t="shared" si="217"/>
        <v>3152764.8100000005</v>
      </c>
      <c r="AP284" s="472">
        <v>-526.30999999999995</v>
      </c>
      <c r="AQ284" s="472">
        <v>0.21</v>
      </c>
      <c r="AR284" s="472">
        <v>24633.67</v>
      </c>
      <c r="AS284" s="475">
        <v>0</v>
      </c>
      <c r="AT284" s="475">
        <v>0</v>
      </c>
      <c r="AU284" s="475">
        <v>0</v>
      </c>
      <c r="AV284" s="454">
        <f t="shared" si="218"/>
        <v>7723484.2699999996</v>
      </c>
      <c r="AW284" s="421">
        <f t="shared" si="219"/>
        <v>7723484.2699999996</v>
      </c>
      <c r="AX284" s="455">
        <f t="shared" si="231"/>
        <v>1</v>
      </c>
      <c r="AY284" s="424">
        <f t="shared" si="220"/>
        <v>-71551.86</v>
      </c>
      <c r="AZ284" s="424">
        <f t="shared" si="221"/>
        <v>89636.18</v>
      </c>
      <c r="BA284" s="424">
        <f t="shared" si="222"/>
        <v>246203.59</v>
      </c>
      <c r="BB284" s="424">
        <f t="shared" si="223"/>
        <v>0</v>
      </c>
      <c r="BC284" s="424">
        <f t="shared" si="224"/>
        <v>0</v>
      </c>
      <c r="BD284" s="424">
        <f t="shared" si="225"/>
        <v>7987772.1799999997</v>
      </c>
      <c r="BE284" s="452">
        <f t="shared" si="226"/>
        <v>7987772.1799999988</v>
      </c>
      <c r="BF284" s="448">
        <f t="shared" si="227"/>
        <v>0</v>
      </c>
      <c r="BG284" s="456">
        <f t="shared" si="228"/>
        <v>3409395.8</v>
      </c>
      <c r="BH284" s="457">
        <f t="shared" si="195"/>
        <v>1038616.2999999998</v>
      </c>
      <c r="BI284" s="407" t="s">
        <v>692</v>
      </c>
      <c r="BM284" s="429">
        <f>IF(BR284&gt;BR283,BM283,IF(BM283&lt;MiscData!$F$1,EOMONTH(BM283,1),EOMONTH(BM283,-11)))</f>
        <v>41882</v>
      </c>
      <c r="BN284" s="416" t="str">
        <f t="shared" si="196"/>
        <v>20140101KUCIE572</v>
      </c>
      <c r="BO284" s="427" t="str">
        <f t="shared" si="197"/>
        <v>20140101TODS</v>
      </c>
      <c r="BP284" s="407">
        <f>IF(BM284&lt;=MiscData!$B$23,MiscData!$C$23,IF(BM284&lt;=MiscData!$B$24,MiscData!$C$24,MiscData!$C$25))</f>
        <v>20140101</v>
      </c>
      <c r="BQ284" s="407" t="str">
        <f>VLOOKUP(BR284,MiscData!$V$4:$W$42,2,FALSE)</f>
        <v>KUCIE572</v>
      </c>
      <c r="BR284" s="407">
        <f>IF(BR283=MiscData!$V$42,1,BR283+1)</f>
        <v>8</v>
      </c>
      <c r="BS284" s="407" t="str">
        <f>VLOOKUP(BQ284,MiscData!$W$4:$Y$42,3,FALSE)</f>
        <v>TODS</v>
      </c>
    </row>
    <row r="285" spans="1:72" hidden="1">
      <c r="A285" s="416">
        <f t="shared" si="230"/>
        <v>261</v>
      </c>
      <c r="B285" s="416" t="str">
        <f t="shared" si="192"/>
        <v>Aug 2014</v>
      </c>
      <c r="C285" s="416" t="s">
        <v>25</v>
      </c>
      <c r="D285" s="417" t="str">
        <f t="shared" si="193"/>
        <v>PSS</v>
      </c>
      <c r="E285" s="417" t="str">
        <f t="shared" si="194"/>
        <v>KUCIE717</v>
      </c>
      <c r="F285" s="418">
        <f t="shared" si="198"/>
        <v>1</v>
      </c>
      <c r="G285" s="467">
        <v>0</v>
      </c>
      <c r="H285" s="418">
        <v>0</v>
      </c>
      <c r="I285" s="418">
        <v>0</v>
      </c>
      <c r="J285" s="418">
        <v>0</v>
      </c>
      <c r="K285" s="418">
        <f t="shared" si="199"/>
        <v>32640</v>
      </c>
      <c r="L285" s="459">
        <v>0</v>
      </c>
      <c r="M285" s="443">
        <f t="shared" si="200"/>
        <v>0</v>
      </c>
      <c r="N285" s="443">
        <f t="shared" si="201"/>
        <v>0</v>
      </c>
      <c r="O285" s="443">
        <f t="shared" si="202"/>
        <v>102.9</v>
      </c>
      <c r="P285" s="443">
        <f t="shared" si="203"/>
        <v>0</v>
      </c>
      <c r="Q285" s="443">
        <f t="shared" si="204"/>
        <v>0</v>
      </c>
      <c r="R285" s="443">
        <f t="shared" si="205"/>
        <v>0</v>
      </c>
      <c r="S285" s="484">
        <v>0</v>
      </c>
      <c r="T285" s="484">
        <v>0</v>
      </c>
      <c r="U285" s="484">
        <v>0</v>
      </c>
      <c r="V285" s="490">
        <v>0</v>
      </c>
      <c r="W285" s="490">
        <v>0</v>
      </c>
      <c r="X285" s="490">
        <v>0</v>
      </c>
      <c r="Y285" s="419">
        <f t="shared" si="206"/>
        <v>90</v>
      </c>
      <c r="Z285" s="420">
        <f t="shared" si="207"/>
        <v>3.5640000000000005E-2</v>
      </c>
      <c r="AA285" s="420">
        <v>0</v>
      </c>
      <c r="AB285" s="420">
        <v>0</v>
      </c>
      <c r="AC285" s="420">
        <f t="shared" si="208"/>
        <v>2.8920000000000001E-2</v>
      </c>
      <c r="AD285" s="419">
        <f t="shared" si="209"/>
        <v>0</v>
      </c>
      <c r="AE285" s="419">
        <f t="shared" si="210"/>
        <v>13.2</v>
      </c>
      <c r="AF285" s="419">
        <f t="shared" si="211"/>
        <v>15.3</v>
      </c>
      <c r="AG285" s="454">
        <f t="shared" si="212"/>
        <v>90</v>
      </c>
      <c r="AH285" s="454">
        <f t="shared" si="187"/>
        <v>1163.29</v>
      </c>
      <c r="AI285" s="421">
        <f t="shared" si="213"/>
        <v>0</v>
      </c>
      <c r="AJ285" s="421">
        <f t="shared" si="214"/>
        <v>0</v>
      </c>
      <c r="AK285" s="421">
        <f t="shared" si="215"/>
        <v>1574.37</v>
      </c>
      <c r="AL285" s="472">
        <v>0</v>
      </c>
      <c r="AM285" s="422">
        <f t="shared" si="185"/>
        <v>0</v>
      </c>
      <c r="AN285" s="423">
        <f t="shared" si="216"/>
        <v>0</v>
      </c>
      <c r="AO285" s="421">
        <f t="shared" si="217"/>
        <v>1574.37</v>
      </c>
      <c r="AP285" s="472">
        <v>0</v>
      </c>
      <c r="AQ285" s="472">
        <v>0</v>
      </c>
      <c r="AR285" s="472">
        <v>0</v>
      </c>
      <c r="AS285" s="475">
        <v>0</v>
      </c>
      <c r="AT285" s="475">
        <v>0</v>
      </c>
      <c r="AU285" s="475">
        <v>0</v>
      </c>
      <c r="AV285" s="454">
        <f t="shared" si="218"/>
        <v>2827.66</v>
      </c>
      <c r="AW285" s="421">
        <f t="shared" si="219"/>
        <v>2827.6600000000003</v>
      </c>
      <c r="AX285" s="455">
        <f t="shared" si="231"/>
        <v>1.0000000000000002</v>
      </c>
      <c r="AY285" s="424">
        <f t="shared" si="220"/>
        <v>-25.13</v>
      </c>
      <c r="AZ285" s="424">
        <f t="shared" si="221"/>
        <v>44.72</v>
      </c>
      <c r="BA285" s="424">
        <f t="shared" si="222"/>
        <v>107.8</v>
      </c>
      <c r="BB285" s="424">
        <f t="shared" si="223"/>
        <v>0</v>
      </c>
      <c r="BC285" s="424">
        <f t="shared" si="224"/>
        <v>0</v>
      </c>
      <c r="BD285" s="424">
        <f t="shared" si="225"/>
        <v>2955.05</v>
      </c>
      <c r="BE285" s="452">
        <f t="shared" si="226"/>
        <v>2955.0499999999997</v>
      </c>
      <c r="BF285" s="448">
        <f t="shared" si="227"/>
        <v>0</v>
      </c>
      <c r="BG285" s="456">
        <f t="shared" si="228"/>
        <v>943.95</v>
      </c>
      <c r="BH285" s="457">
        <f t="shared" si="195"/>
        <v>219.33999999999992</v>
      </c>
      <c r="BI285" s="407" t="s">
        <v>692</v>
      </c>
      <c r="BM285" s="429">
        <f>IF(BR285&gt;BR284,BM284,IF(BM284&lt;MiscData!$F$1,EOMONTH(BM284,1),EOMONTH(BM284,-11)))</f>
        <v>41882</v>
      </c>
      <c r="BN285" s="416" t="str">
        <f t="shared" si="196"/>
        <v>20140101KUCIE717</v>
      </c>
      <c r="BO285" s="427" t="str">
        <f t="shared" si="197"/>
        <v>20140101PSS</v>
      </c>
      <c r="BP285" s="407">
        <f>IF(BM285&lt;=MiscData!$B$23,MiscData!$C$23,IF(BM285&lt;=MiscData!$B$24,MiscData!$C$24,MiscData!$C$25))</f>
        <v>20140101</v>
      </c>
      <c r="BQ285" s="407" t="str">
        <f>VLOOKUP(BR285,MiscData!$V$4:$W$42,2,FALSE)</f>
        <v>KUCIE717</v>
      </c>
      <c r="BR285" s="407">
        <f>IF(BR284=MiscData!$V$42,1,BR284+1)</f>
        <v>9</v>
      </c>
      <c r="BS285" s="407" t="str">
        <f>VLOOKUP(BQ285,MiscData!$W$4:$Y$42,3,FALSE)</f>
        <v>PSS</v>
      </c>
    </row>
    <row r="286" spans="1:72" hidden="1">
      <c r="A286" s="416">
        <f t="shared" si="230"/>
        <v>262</v>
      </c>
      <c r="B286" s="416" t="str">
        <f t="shared" si="192"/>
        <v>Aug 2014</v>
      </c>
      <c r="C286" s="416" t="s">
        <v>224</v>
      </c>
      <c r="D286" s="417" t="str">
        <f t="shared" si="193"/>
        <v>GS</v>
      </c>
      <c r="E286" s="417" t="str">
        <f t="shared" si="194"/>
        <v>KUCME110</v>
      </c>
      <c r="F286" s="418">
        <f t="shared" si="198"/>
        <v>63575</v>
      </c>
      <c r="G286" s="467">
        <v>0</v>
      </c>
      <c r="H286" s="418">
        <v>0</v>
      </c>
      <c r="I286" s="418">
        <v>0</v>
      </c>
      <c r="J286" s="418">
        <v>0</v>
      </c>
      <c r="K286" s="418">
        <f t="shared" si="199"/>
        <v>61131589</v>
      </c>
      <c r="L286" s="459">
        <v>0</v>
      </c>
      <c r="M286" s="443">
        <f t="shared" si="200"/>
        <v>96000.7</v>
      </c>
      <c r="N286" s="443">
        <f t="shared" si="201"/>
        <v>0</v>
      </c>
      <c r="O286" s="443">
        <f t="shared" si="202"/>
        <v>0</v>
      </c>
      <c r="P286" s="443">
        <f t="shared" si="203"/>
        <v>0</v>
      </c>
      <c r="Q286" s="443">
        <f t="shared" si="204"/>
        <v>0</v>
      </c>
      <c r="R286" s="443">
        <f t="shared" si="205"/>
        <v>0</v>
      </c>
      <c r="S286" s="484">
        <v>0</v>
      </c>
      <c r="T286" s="484">
        <v>0</v>
      </c>
      <c r="U286" s="484">
        <v>0</v>
      </c>
      <c r="V286" s="490">
        <v>0</v>
      </c>
      <c r="W286" s="490">
        <v>0</v>
      </c>
      <c r="X286" s="490">
        <v>0</v>
      </c>
      <c r="Y286" s="419">
        <f t="shared" si="206"/>
        <v>20</v>
      </c>
      <c r="Z286" s="420">
        <f t="shared" si="207"/>
        <v>9.2249999999999999E-2</v>
      </c>
      <c r="AA286" s="420">
        <v>0</v>
      </c>
      <c r="AB286" s="420">
        <v>0</v>
      </c>
      <c r="AC286" s="420">
        <f t="shared" si="208"/>
        <v>2.8920000000000001E-2</v>
      </c>
      <c r="AD286" s="419">
        <f t="shared" si="209"/>
        <v>0</v>
      </c>
      <c r="AE286" s="419">
        <f t="shared" si="210"/>
        <v>0</v>
      </c>
      <c r="AF286" s="419">
        <f t="shared" si="211"/>
        <v>0</v>
      </c>
      <c r="AG286" s="454">
        <f t="shared" si="212"/>
        <v>1271500</v>
      </c>
      <c r="AH286" s="454">
        <f t="shared" si="187"/>
        <v>5639389.0899999999</v>
      </c>
      <c r="AI286" s="421">
        <f t="shared" si="213"/>
        <v>0</v>
      </c>
      <c r="AJ286" s="421">
        <f t="shared" si="214"/>
        <v>0</v>
      </c>
      <c r="AK286" s="421">
        <f t="shared" si="215"/>
        <v>0</v>
      </c>
      <c r="AL286" s="472">
        <v>0</v>
      </c>
      <c r="AM286" s="422">
        <f t="shared" si="185"/>
        <v>0</v>
      </c>
      <c r="AN286" s="423">
        <f t="shared" si="216"/>
        <v>0</v>
      </c>
      <c r="AO286" s="421">
        <f t="shared" si="217"/>
        <v>0</v>
      </c>
      <c r="AP286" s="472">
        <v>12000.77</v>
      </c>
      <c r="AQ286" s="472">
        <v>437.54</v>
      </c>
      <c r="AR286" s="472">
        <v>0</v>
      </c>
      <c r="AS286" s="475">
        <v>0</v>
      </c>
      <c r="AT286" s="475">
        <v>0</v>
      </c>
      <c r="AU286" s="475">
        <v>0</v>
      </c>
      <c r="AV286" s="454">
        <f t="shared" si="218"/>
        <v>6923327.3999999994</v>
      </c>
      <c r="AW286" s="421">
        <f t="shared" si="219"/>
        <v>6923327.3999999994</v>
      </c>
      <c r="AX286" s="455">
        <f t="shared" ref="AX286:AX295" si="232">IF(AND(AV286=0,AW286=0),1,IF(AV286=0,0,AW286/AV286))</f>
        <v>1</v>
      </c>
      <c r="AY286" s="424">
        <f t="shared" si="220"/>
        <v>-38085.67</v>
      </c>
      <c r="AZ286" s="424">
        <f t="shared" si="221"/>
        <v>180885.51</v>
      </c>
      <c r="BA286" s="424">
        <f t="shared" si="222"/>
        <v>298635.98</v>
      </c>
      <c r="BB286" s="424">
        <f t="shared" si="223"/>
        <v>0</v>
      </c>
      <c r="BC286" s="424">
        <f t="shared" si="224"/>
        <v>0</v>
      </c>
      <c r="BD286" s="424">
        <f t="shared" si="225"/>
        <v>7364763.2199999997</v>
      </c>
      <c r="BE286" s="452">
        <f t="shared" si="226"/>
        <v>7364763.2199999988</v>
      </c>
      <c r="BF286" s="448">
        <f t="shared" si="227"/>
        <v>0</v>
      </c>
      <c r="BG286" s="456">
        <f t="shared" si="228"/>
        <v>1767925.55</v>
      </c>
      <c r="BH286" s="457">
        <f t="shared" si="195"/>
        <v>3871901.08</v>
      </c>
      <c r="BI286" s="407" t="s">
        <v>692</v>
      </c>
      <c r="BM286" s="429">
        <f>IF(BR286&gt;BR285,BM285,IF(BM285&lt;MiscData!$F$1,EOMONTH(BM285,1),EOMONTH(BM285,-11)))</f>
        <v>41882</v>
      </c>
      <c r="BN286" s="416" t="str">
        <f t="shared" si="196"/>
        <v>20140101KUCME110</v>
      </c>
      <c r="BO286" s="427" t="str">
        <f t="shared" si="197"/>
        <v>20140101GS</v>
      </c>
      <c r="BP286" s="407">
        <f>IF(BM286&lt;=MiscData!$B$23,MiscData!$C$23,IF(BM286&lt;=MiscData!$B$24,MiscData!$C$24,MiscData!$C$25))</f>
        <v>20140101</v>
      </c>
      <c r="BQ286" s="407" t="str">
        <f>VLOOKUP(BR286,MiscData!$V$4:$W$42,2,FALSE)</f>
        <v>KUCME110</v>
      </c>
      <c r="BR286" s="407">
        <f>IF(BR285=MiscData!$V$42,1,BR285+1)</f>
        <v>10</v>
      </c>
      <c r="BS286" s="407" t="str">
        <f>VLOOKUP(BQ286,MiscData!$W$4:$Y$42,3,FALSE)</f>
        <v>GS</v>
      </c>
    </row>
    <row r="287" spans="1:72" hidden="1">
      <c r="A287" s="416">
        <f t="shared" si="230"/>
        <v>263</v>
      </c>
      <c r="B287" s="416" t="str">
        <f t="shared" si="192"/>
        <v>Aug 2014</v>
      </c>
      <c r="C287" s="416" t="s">
        <v>224</v>
      </c>
      <c r="D287" s="417" t="str">
        <f t="shared" si="193"/>
        <v>GS</v>
      </c>
      <c r="E287" s="417" t="str">
        <f t="shared" si="194"/>
        <v>KUCME112</v>
      </c>
      <c r="F287" s="418">
        <f t="shared" si="198"/>
        <v>61</v>
      </c>
      <c r="G287" s="467">
        <v>0</v>
      </c>
      <c r="H287" s="418">
        <v>0</v>
      </c>
      <c r="I287" s="418">
        <v>0</v>
      </c>
      <c r="J287" s="418">
        <v>0</v>
      </c>
      <c r="K287" s="418">
        <f t="shared" si="199"/>
        <v>10785</v>
      </c>
      <c r="L287" s="459">
        <v>0</v>
      </c>
      <c r="M287" s="443">
        <f t="shared" si="200"/>
        <v>0</v>
      </c>
      <c r="N287" s="443">
        <f t="shared" si="201"/>
        <v>0</v>
      </c>
      <c r="O287" s="443">
        <f t="shared" si="202"/>
        <v>0</v>
      </c>
      <c r="P287" s="443">
        <f t="shared" si="203"/>
        <v>0</v>
      </c>
      <c r="Q287" s="443">
        <f t="shared" si="204"/>
        <v>0</v>
      </c>
      <c r="R287" s="443">
        <f t="shared" si="205"/>
        <v>0</v>
      </c>
      <c r="S287" s="484">
        <v>0</v>
      </c>
      <c r="T287" s="484">
        <v>0</v>
      </c>
      <c r="U287" s="484">
        <v>0</v>
      </c>
      <c r="V287" s="490">
        <v>0</v>
      </c>
      <c r="W287" s="490">
        <v>0</v>
      </c>
      <c r="X287" s="490">
        <v>0</v>
      </c>
      <c r="Y287" s="419">
        <f t="shared" si="206"/>
        <v>20</v>
      </c>
      <c r="Z287" s="420">
        <f t="shared" si="207"/>
        <v>9.2249999999999999E-2</v>
      </c>
      <c r="AA287" s="420">
        <v>0</v>
      </c>
      <c r="AB287" s="420">
        <v>0</v>
      </c>
      <c r="AC287" s="420">
        <f t="shared" si="208"/>
        <v>2.8920000000000001E-2</v>
      </c>
      <c r="AD287" s="419">
        <f t="shared" si="209"/>
        <v>0</v>
      </c>
      <c r="AE287" s="419">
        <f t="shared" si="210"/>
        <v>0</v>
      </c>
      <c r="AF287" s="419">
        <f t="shared" si="211"/>
        <v>0</v>
      </c>
      <c r="AG287" s="454">
        <f t="shared" si="212"/>
        <v>1220</v>
      </c>
      <c r="AH287" s="454">
        <f t="shared" si="187"/>
        <v>994.92</v>
      </c>
      <c r="AI287" s="421">
        <f t="shared" si="213"/>
        <v>0</v>
      </c>
      <c r="AJ287" s="421">
        <f t="shared" si="214"/>
        <v>0</v>
      </c>
      <c r="AK287" s="421">
        <f t="shared" si="215"/>
        <v>0</v>
      </c>
      <c r="AL287" s="472">
        <v>0</v>
      </c>
      <c r="AM287" s="422">
        <f t="shared" ref="AM287:AM350" si="233">SUMIFS(_1022_Power_Factor_Revenue,_1022_RevenueMonth,$B287,_1022_RateCategory,$E287)</f>
        <v>0</v>
      </c>
      <c r="AN287" s="423">
        <f t="shared" si="216"/>
        <v>0</v>
      </c>
      <c r="AO287" s="421">
        <f t="shared" si="217"/>
        <v>0</v>
      </c>
      <c r="AP287" s="472">
        <v>0</v>
      </c>
      <c r="AQ287" s="472">
        <v>0.02</v>
      </c>
      <c r="AR287" s="472">
        <v>0</v>
      </c>
      <c r="AS287" s="475">
        <v>0</v>
      </c>
      <c r="AT287" s="475">
        <v>0</v>
      </c>
      <c r="AU287" s="475">
        <v>0</v>
      </c>
      <c r="AV287" s="454">
        <f t="shared" si="218"/>
        <v>2214.94</v>
      </c>
      <c r="AW287" s="421">
        <f t="shared" si="219"/>
        <v>2214.94</v>
      </c>
      <c r="AX287" s="455">
        <f t="shared" si="232"/>
        <v>1</v>
      </c>
      <c r="AY287" s="424">
        <f t="shared" si="220"/>
        <v>-2.95</v>
      </c>
      <c r="AZ287" s="424">
        <f t="shared" si="221"/>
        <v>32.39</v>
      </c>
      <c r="BA287" s="424">
        <f t="shared" si="222"/>
        <v>108.65</v>
      </c>
      <c r="BB287" s="424">
        <f t="shared" si="223"/>
        <v>0</v>
      </c>
      <c r="BC287" s="424">
        <f t="shared" si="224"/>
        <v>0</v>
      </c>
      <c r="BD287" s="424">
        <f t="shared" si="225"/>
        <v>2353.0300000000002</v>
      </c>
      <c r="BE287" s="452">
        <f t="shared" si="226"/>
        <v>2353.0300000000002</v>
      </c>
      <c r="BF287" s="448">
        <f t="shared" si="227"/>
        <v>0</v>
      </c>
      <c r="BG287" s="456">
        <f t="shared" si="228"/>
        <v>311.89999999999998</v>
      </c>
      <c r="BH287" s="457">
        <f t="shared" si="195"/>
        <v>683.04</v>
      </c>
      <c r="BI287" s="407" t="s">
        <v>692</v>
      </c>
      <c r="BM287" s="429">
        <f>IF(BR287&gt;BR286,BM286,IF(BM286&lt;MiscData!$F$1,EOMONTH(BM286,1),EOMONTH(BM286,-11)))</f>
        <v>41882</v>
      </c>
      <c r="BN287" s="416" t="str">
        <f t="shared" si="196"/>
        <v>20140101KUCME112</v>
      </c>
      <c r="BO287" s="427" t="str">
        <f t="shared" si="197"/>
        <v>20140101GS</v>
      </c>
      <c r="BP287" s="407">
        <f>IF(BM287&lt;=MiscData!$B$23,MiscData!$C$23,IF(BM287&lt;=MiscData!$B$24,MiscData!$C$24,MiscData!$C$25))</f>
        <v>20140101</v>
      </c>
      <c r="BQ287" s="407" t="str">
        <f>VLOOKUP(BR287,MiscData!$V$4:$W$42,2,FALSE)</f>
        <v>KUCME112</v>
      </c>
      <c r="BR287" s="407">
        <f>IF(BR286=MiscData!$V$42,1,BR286+1)</f>
        <v>11</v>
      </c>
      <c r="BS287" s="407" t="str">
        <f>VLOOKUP(BQ287,MiscData!$W$4:$Y$42,3,FALSE)</f>
        <v>GS</v>
      </c>
    </row>
    <row r="288" spans="1:72" hidden="1">
      <c r="A288" s="416">
        <f t="shared" si="230"/>
        <v>264</v>
      </c>
      <c r="B288" s="416" t="str">
        <f t="shared" si="192"/>
        <v>Aug 2014</v>
      </c>
      <c r="C288" s="416" t="s">
        <v>18</v>
      </c>
      <c r="D288" s="417" t="str">
        <f t="shared" si="193"/>
        <v>GS3</v>
      </c>
      <c r="E288" s="417" t="str">
        <f t="shared" si="194"/>
        <v>KUCME113</v>
      </c>
      <c r="F288" s="418">
        <f t="shared" si="198"/>
        <v>18493</v>
      </c>
      <c r="G288" s="467">
        <v>0</v>
      </c>
      <c r="H288" s="418">
        <v>0</v>
      </c>
      <c r="I288" s="418">
        <v>0</v>
      </c>
      <c r="J288" s="418">
        <v>0</v>
      </c>
      <c r="K288" s="418">
        <f t="shared" si="199"/>
        <v>90576183</v>
      </c>
      <c r="L288" s="459">
        <v>0</v>
      </c>
      <c r="M288" s="443">
        <f t="shared" si="200"/>
        <v>370106.2</v>
      </c>
      <c r="N288" s="443">
        <f t="shared" si="201"/>
        <v>0</v>
      </c>
      <c r="O288" s="443">
        <f t="shared" si="202"/>
        <v>0</v>
      </c>
      <c r="P288" s="443">
        <f t="shared" si="203"/>
        <v>0</v>
      </c>
      <c r="Q288" s="443">
        <f t="shared" si="204"/>
        <v>0</v>
      </c>
      <c r="R288" s="443">
        <f t="shared" si="205"/>
        <v>0</v>
      </c>
      <c r="S288" s="484">
        <v>0</v>
      </c>
      <c r="T288" s="484">
        <v>0</v>
      </c>
      <c r="U288" s="484">
        <v>0</v>
      </c>
      <c r="V288" s="490">
        <v>0</v>
      </c>
      <c r="W288" s="490">
        <v>0</v>
      </c>
      <c r="X288" s="490">
        <v>0</v>
      </c>
      <c r="Y288" s="419">
        <f t="shared" si="206"/>
        <v>35</v>
      </c>
      <c r="Z288" s="420">
        <f t="shared" si="207"/>
        <v>9.2249999999999999E-2</v>
      </c>
      <c r="AA288" s="420">
        <v>0</v>
      </c>
      <c r="AB288" s="420">
        <v>0</v>
      </c>
      <c r="AC288" s="420">
        <f t="shared" si="208"/>
        <v>2.8920000000000001E-2</v>
      </c>
      <c r="AD288" s="419">
        <f t="shared" si="209"/>
        <v>0</v>
      </c>
      <c r="AE288" s="419">
        <f t="shared" si="210"/>
        <v>0</v>
      </c>
      <c r="AF288" s="419">
        <f t="shared" si="211"/>
        <v>0</v>
      </c>
      <c r="AG288" s="454">
        <f t="shared" si="212"/>
        <v>647255</v>
      </c>
      <c r="AH288" s="454">
        <f t="shared" si="187"/>
        <v>8355652.8799999999</v>
      </c>
      <c r="AI288" s="421">
        <f t="shared" si="213"/>
        <v>0</v>
      </c>
      <c r="AJ288" s="421">
        <f t="shared" si="214"/>
        <v>0</v>
      </c>
      <c r="AK288" s="421">
        <f t="shared" si="215"/>
        <v>0</v>
      </c>
      <c r="AL288" s="472">
        <v>0</v>
      </c>
      <c r="AM288" s="422">
        <f t="shared" si="233"/>
        <v>0</v>
      </c>
      <c r="AN288" s="423">
        <f t="shared" si="216"/>
        <v>0</v>
      </c>
      <c r="AO288" s="421">
        <f t="shared" si="217"/>
        <v>0</v>
      </c>
      <c r="AP288" s="472">
        <v>-5912.4</v>
      </c>
      <c r="AQ288" s="472">
        <v>9.8800000000000008</v>
      </c>
      <c r="AR288" s="472">
        <v>0</v>
      </c>
      <c r="AS288" s="475">
        <v>0</v>
      </c>
      <c r="AT288" s="475">
        <v>0</v>
      </c>
      <c r="AU288" s="475">
        <v>0</v>
      </c>
      <c r="AV288" s="454">
        <f t="shared" si="218"/>
        <v>8997005.3599999994</v>
      </c>
      <c r="AW288" s="421">
        <f t="shared" si="219"/>
        <v>8997005.3600000013</v>
      </c>
      <c r="AX288" s="455">
        <f t="shared" si="232"/>
        <v>1.0000000000000002</v>
      </c>
      <c r="AY288" s="424">
        <f t="shared" si="220"/>
        <v>-61393.760000000002</v>
      </c>
      <c r="AZ288" s="424">
        <f t="shared" si="221"/>
        <v>252737.54</v>
      </c>
      <c r="BA288" s="424">
        <f t="shared" si="222"/>
        <v>371196.09</v>
      </c>
      <c r="BB288" s="424">
        <f t="shared" si="223"/>
        <v>0</v>
      </c>
      <c r="BC288" s="424">
        <f t="shared" si="224"/>
        <v>0</v>
      </c>
      <c r="BD288" s="424">
        <f t="shared" si="225"/>
        <v>9559545.2300000004</v>
      </c>
      <c r="BE288" s="452">
        <f t="shared" si="226"/>
        <v>9559545.2299999986</v>
      </c>
      <c r="BF288" s="448">
        <f t="shared" si="227"/>
        <v>0</v>
      </c>
      <c r="BG288" s="456">
        <f t="shared" si="228"/>
        <v>2619463.21</v>
      </c>
      <c r="BH288" s="457">
        <f t="shared" si="195"/>
        <v>5736199.5499999998</v>
      </c>
      <c r="BI288" s="407" t="s">
        <v>692</v>
      </c>
      <c r="BM288" s="429">
        <f>IF(BR288&gt;BR287,BM287,IF(BM287&lt;MiscData!$F$1,EOMONTH(BM287,1),EOMONTH(BM287,-11)))</f>
        <v>41882</v>
      </c>
      <c r="BN288" s="416" t="str">
        <f t="shared" si="196"/>
        <v>20140101KUCME113</v>
      </c>
      <c r="BO288" s="427" t="str">
        <f t="shared" si="197"/>
        <v>20140101GS3</v>
      </c>
      <c r="BP288" s="407">
        <f>IF(BM288&lt;=MiscData!$B$23,MiscData!$C$23,IF(BM288&lt;=MiscData!$B$24,MiscData!$C$24,MiscData!$C$25))</f>
        <v>20140101</v>
      </c>
      <c r="BQ288" s="407" t="str">
        <f>VLOOKUP(BR288,MiscData!$V$4:$W$42,2,FALSE)</f>
        <v>KUCME113</v>
      </c>
      <c r="BR288" s="407">
        <f>IF(BR287=MiscData!$V$42,1,BR287+1)</f>
        <v>12</v>
      </c>
      <c r="BS288" s="407" t="str">
        <f>VLOOKUP(BQ288,MiscData!$W$4:$Y$42,3,FALSE)</f>
        <v>GS3</v>
      </c>
    </row>
    <row r="289" spans="1:71" hidden="1">
      <c r="A289" s="416">
        <f t="shared" si="230"/>
        <v>265</v>
      </c>
      <c r="B289" s="416" t="str">
        <f t="shared" si="192"/>
        <v>Aug 2014</v>
      </c>
      <c r="C289" s="416" t="s">
        <v>219</v>
      </c>
      <c r="D289" s="417" t="str">
        <f t="shared" si="193"/>
        <v>AES</v>
      </c>
      <c r="E289" s="417" t="str">
        <f t="shared" si="194"/>
        <v>KUCME220</v>
      </c>
      <c r="F289" s="418">
        <f t="shared" si="198"/>
        <v>326</v>
      </c>
      <c r="G289" s="467">
        <v>2</v>
      </c>
      <c r="H289" s="418">
        <v>0</v>
      </c>
      <c r="I289" s="418">
        <v>0</v>
      </c>
      <c r="J289" s="418">
        <v>0</v>
      </c>
      <c r="K289" s="418">
        <f t="shared" si="199"/>
        <v>361884</v>
      </c>
      <c r="L289" s="481">
        <v>0</v>
      </c>
      <c r="M289" s="443">
        <f t="shared" si="200"/>
        <v>1617.4</v>
      </c>
      <c r="N289" s="443">
        <f t="shared" si="201"/>
        <v>0</v>
      </c>
      <c r="O289" s="443">
        <f t="shared" si="202"/>
        <v>0</v>
      </c>
      <c r="P289" s="443">
        <f t="shared" si="203"/>
        <v>0</v>
      </c>
      <c r="Q289" s="443">
        <f t="shared" si="204"/>
        <v>0</v>
      </c>
      <c r="R289" s="443">
        <f t="shared" si="205"/>
        <v>0</v>
      </c>
      <c r="S289" s="484">
        <v>0</v>
      </c>
      <c r="T289" s="484">
        <v>0</v>
      </c>
      <c r="U289" s="484">
        <v>0</v>
      </c>
      <c r="V289" s="490">
        <v>0</v>
      </c>
      <c r="W289" s="490">
        <v>0</v>
      </c>
      <c r="X289" s="490">
        <v>0</v>
      </c>
      <c r="Y289" s="419">
        <f t="shared" si="206"/>
        <v>20</v>
      </c>
      <c r="Z289" s="420">
        <f t="shared" si="207"/>
        <v>7.4399999999999994E-2</v>
      </c>
      <c r="AA289" s="420">
        <v>0</v>
      </c>
      <c r="AB289" s="420">
        <v>0</v>
      </c>
      <c r="AC289" s="420">
        <f t="shared" si="208"/>
        <v>2.8920000000000001E-2</v>
      </c>
      <c r="AD289" s="419">
        <f t="shared" si="209"/>
        <v>0</v>
      </c>
      <c r="AE289" s="419">
        <f t="shared" si="210"/>
        <v>0</v>
      </c>
      <c r="AF289" s="419">
        <f t="shared" si="211"/>
        <v>0</v>
      </c>
      <c r="AG289" s="454">
        <f t="shared" si="212"/>
        <v>6560</v>
      </c>
      <c r="AH289" s="454">
        <f t="shared" si="187"/>
        <v>26924.17</v>
      </c>
      <c r="AI289" s="421">
        <f t="shared" si="213"/>
        <v>0</v>
      </c>
      <c r="AJ289" s="421">
        <f t="shared" si="214"/>
        <v>0</v>
      </c>
      <c r="AK289" s="421">
        <f t="shared" si="215"/>
        <v>0</v>
      </c>
      <c r="AL289" s="472">
        <v>0</v>
      </c>
      <c r="AM289" s="422">
        <f t="shared" si="233"/>
        <v>0</v>
      </c>
      <c r="AN289" s="423">
        <f t="shared" si="216"/>
        <v>0</v>
      </c>
      <c r="AO289" s="421">
        <f t="shared" si="217"/>
        <v>0</v>
      </c>
      <c r="AP289" s="472">
        <v>-40</v>
      </c>
      <c r="AQ289" s="472">
        <v>-0.11</v>
      </c>
      <c r="AR289" s="472">
        <v>0</v>
      </c>
      <c r="AS289" s="475">
        <v>0</v>
      </c>
      <c r="AT289" s="475">
        <v>0</v>
      </c>
      <c r="AU289" s="475">
        <v>0</v>
      </c>
      <c r="AV289" s="454">
        <f t="shared" si="218"/>
        <v>33444.06</v>
      </c>
      <c r="AW289" s="421">
        <f t="shared" si="219"/>
        <v>33444.060000000005</v>
      </c>
      <c r="AX289" s="455">
        <f t="shared" si="232"/>
        <v>1.0000000000000002</v>
      </c>
      <c r="AY289" s="424">
        <f t="shared" si="220"/>
        <v>-37.54</v>
      </c>
      <c r="AZ289" s="424">
        <f t="shared" si="221"/>
        <v>445.1</v>
      </c>
      <c r="BA289" s="424">
        <f t="shared" si="222"/>
        <v>1094.43</v>
      </c>
      <c r="BB289" s="424">
        <f t="shared" si="223"/>
        <v>0</v>
      </c>
      <c r="BC289" s="424">
        <f t="shared" si="224"/>
        <v>0</v>
      </c>
      <c r="BD289" s="424">
        <f t="shared" si="225"/>
        <v>34946.050000000003</v>
      </c>
      <c r="BE289" s="452">
        <f t="shared" si="226"/>
        <v>34946.049999999996</v>
      </c>
      <c r="BF289" s="448">
        <f t="shared" si="227"/>
        <v>0</v>
      </c>
      <c r="BG289" s="456">
        <f t="shared" si="228"/>
        <v>10465.69</v>
      </c>
      <c r="BH289" s="457">
        <f t="shared" si="195"/>
        <v>16458.369999999995</v>
      </c>
      <c r="BI289" s="407" t="s">
        <v>692</v>
      </c>
      <c r="BM289" s="429">
        <f>IF(BR289&gt;BR288,BM288,IF(BM288&lt;MiscData!$F$1,EOMONTH(BM288,1),EOMONTH(BM288,-11)))</f>
        <v>41882</v>
      </c>
      <c r="BN289" s="416" t="str">
        <f t="shared" si="196"/>
        <v>20140101KUCME220</v>
      </c>
      <c r="BO289" s="427" t="str">
        <f t="shared" si="197"/>
        <v>20140101AES</v>
      </c>
      <c r="BP289" s="407">
        <f>IF(BM289&lt;=MiscData!$B$23,MiscData!$C$23,IF(BM289&lt;=MiscData!$B$24,MiscData!$C$24,MiscData!$C$25))</f>
        <v>20140101</v>
      </c>
      <c r="BQ289" s="407" t="str">
        <f>VLOOKUP(BR289,MiscData!$V$4:$W$42,2,FALSE)</f>
        <v>KUCME220</v>
      </c>
      <c r="BR289" s="407">
        <f>IF(BR288=MiscData!$V$42,1,BR288+1)</f>
        <v>13</v>
      </c>
      <c r="BS289" s="407" t="str">
        <f>VLOOKUP(BQ289,MiscData!$W$4:$Y$42,3,FALSE)</f>
        <v>AES</v>
      </c>
    </row>
    <row r="290" spans="1:71" hidden="1">
      <c r="A290" s="416">
        <f t="shared" si="230"/>
        <v>266</v>
      </c>
      <c r="B290" s="416" t="str">
        <f t="shared" si="192"/>
        <v>Aug 2014</v>
      </c>
      <c r="C290" s="416" t="s">
        <v>219</v>
      </c>
      <c r="D290" s="417" t="str">
        <f t="shared" si="193"/>
        <v>AES</v>
      </c>
      <c r="E290" s="417" t="str">
        <f t="shared" si="194"/>
        <v>KUCME221</v>
      </c>
      <c r="F290" s="418">
        <f t="shared" si="198"/>
        <v>6</v>
      </c>
      <c r="G290" s="467">
        <v>0</v>
      </c>
      <c r="H290" s="418">
        <v>0</v>
      </c>
      <c r="I290" s="418">
        <v>0</v>
      </c>
      <c r="J290" s="418">
        <v>0</v>
      </c>
      <c r="K290" s="418">
        <f t="shared" si="199"/>
        <v>2100</v>
      </c>
      <c r="L290" s="481">
        <v>0</v>
      </c>
      <c r="M290" s="443">
        <f t="shared" si="200"/>
        <v>225.3</v>
      </c>
      <c r="N290" s="443">
        <f t="shared" si="201"/>
        <v>0</v>
      </c>
      <c r="O290" s="443">
        <f t="shared" si="202"/>
        <v>0</v>
      </c>
      <c r="P290" s="443">
        <f t="shared" si="203"/>
        <v>0</v>
      </c>
      <c r="Q290" s="443">
        <f t="shared" si="204"/>
        <v>0</v>
      </c>
      <c r="R290" s="443">
        <f t="shared" si="205"/>
        <v>0</v>
      </c>
      <c r="S290" s="484">
        <v>0</v>
      </c>
      <c r="T290" s="484">
        <v>0</v>
      </c>
      <c r="U290" s="484">
        <v>0</v>
      </c>
      <c r="V290" s="490">
        <v>0</v>
      </c>
      <c r="W290" s="490">
        <v>0</v>
      </c>
      <c r="X290" s="490">
        <v>0</v>
      </c>
      <c r="Y290" s="419">
        <f t="shared" si="206"/>
        <v>20</v>
      </c>
      <c r="Z290" s="420">
        <f t="shared" si="207"/>
        <v>7.4399999999999994E-2</v>
      </c>
      <c r="AA290" s="420">
        <v>0</v>
      </c>
      <c r="AB290" s="420">
        <v>0</v>
      </c>
      <c r="AC290" s="420">
        <f t="shared" si="208"/>
        <v>2.8920000000000001E-2</v>
      </c>
      <c r="AD290" s="419">
        <f t="shared" si="209"/>
        <v>0</v>
      </c>
      <c r="AE290" s="419">
        <f t="shared" si="210"/>
        <v>0</v>
      </c>
      <c r="AF290" s="419">
        <f t="shared" si="211"/>
        <v>0</v>
      </c>
      <c r="AG290" s="454">
        <f t="shared" si="212"/>
        <v>120</v>
      </c>
      <c r="AH290" s="454">
        <f t="shared" si="187"/>
        <v>156.24</v>
      </c>
      <c r="AI290" s="421">
        <f t="shared" si="213"/>
        <v>0</v>
      </c>
      <c r="AJ290" s="421">
        <f t="shared" si="214"/>
        <v>0</v>
      </c>
      <c r="AK290" s="421">
        <f t="shared" si="215"/>
        <v>0</v>
      </c>
      <c r="AL290" s="472">
        <v>0</v>
      </c>
      <c r="AM290" s="422">
        <f t="shared" si="233"/>
        <v>0</v>
      </c>
      <c r="AN290" s="423">
        <f t="shared" si="216"/>
        <v>0</v>
      </c>
      <c r="AO290" s="421">
        <f t="shared" si="217"/>
        <v>0</v>
      </c>
      <c r="AP290" s="472">
        <v>0</v>
      </c>
      <c r="AQ290" s="472">
        <v>0</v>
      </c>
      <c r="AR290" s="472">
        <v>0</v>
      </c>
      <c r="AS290" s="475">
        <v>0</v>
      </c>
      <c r="AT290" s="475">
        <v>0</v>
      </c>
      <c r="AU290" s="475">
        <v>0</v>
      </c>
      <c r="AV290" s="454">
        <f t="shared" si="218"/>
        <v>276.24</v>
      </c>
      <c r="AW290" s="421">
        <f t="shared" si="219"/>
        <v>276.24</v>
      </c>
      <c r="AX290" s="455">
        <f t="shared" si="232"/>
        <v>1</v>
      </c>
      <c r="AY290" s="424">
        <f t="shared" si="220"/>
        <v>-1.62</v>
      </c>
      <c r="AZ290" s="424">
        <f t="shared" si="221"/>
        <v>2.58</v>
      </c>
      <c r="BA290" s="424">
        <f t="shared" si="222"/>
        <v>8.9</v>
      </c>
      <c r="BB290" s="424">
        <f t="shared" si="223"/>
        <v>0</v>
      </c>
      <c r="BC290" s="424">
        <f t="shared" si="224"/>
        <v>0</v>
      </c>
      <c r="BD290" s="424">
        <f t="shared" si="225"/>
        <v>286.10000000000002</v>
      </c>
      <c r="BE290" s="452">
        <f t="shared" si="226"/>
        <v>286.09999999999997</v>
      </c>
      <c r="BF290" s="448">
        <f t="shared" si="227"/>
        <v>0</v>
      </c>
      <c r="BG290" s="456">
        <f t="shared" si="228"/>
        <v>60.73</v>
      </c>
      <c r="BH290" s="457">
        <f t="shared" si="195"/>
        <v>95.510000000000019</v>
      </c>
      <c r="BI290" s="407" t="s">
        <v>692</v>
      </c>
      <c r="BM290" s="429">
        <f>IF(BR290&gt;BR289,BM289,IF(BM289&lt;MiscData!$F$1,EOMONTH(BM289,1),EOMONTH(BM289,-11)))</f>
        <v>41882</v>
      </c>
      <c r="BN290" s="416" t="str">
        <f t="shared" si="196"/>
        <v>20140101KUCME221</v>
      </c>
      <c r="BO290" s="427" t="str">
        <f t="shared" si="197"/>
        <v>20140101AES</v>
      </c>
      <c r="BP290" s="407">
        <f>IF(BM290&lt;=MiscData!$B$23,MiscData!$C$23,IF(BM290&lt;=MiscData!$B$24,MiscData!$C$24,MiscData!$C$25))</f>
        <v>20140101</v>
      </c>
      <c r="BQ290" s="407" t="str">
        <f>VLOOKUP(BR290,MiscData!$V$4:$W$42,2,FALSE)</f>
        <v>KUCME221</v>
      </c>
      <c r="BR290" s="407">
        <f>IF(BR289=MiscData!$V$42,1,BR289+1)</f>
        <v>14</v>
      </c>
      <c r="BS290" s="407" t="str">
        <f>VLOOKUP(BQ290,MiscData!$W$4:$Y$42,3,FALSE)</f>
        <v>AES</v>
      </c>
    </row>
    <row r="291" spans="1:71" hidden="1">
      <c r="A291" s="416">
        <f t="shared" si="230"/>
        <v>267</v>
      </c>
      <c r="B291" s="416" t="str">
        <f t="shared" si="192"/>
        <v>Aug 2014</v>
      </c>
      <c r="C291" s="837" t="s">
        <v>228</v>
      </c>
      <c r="D291" s="417" t="str">
        <f t="shared" si="193"/>
        <v>AES3</v>
      </c>
      <c r="E291" s="417" t="str">
        <f t="shared" si="194"/>
        <v>KUCME223</v>
      </c>
      <c r="F291" s="418">
        <f t="shared" si="198"/>
        <v>67</v>
      </c>
      <c r="G291" s="467">
        <v>0</v>
      </c>
      <c r="H291" s="418">
        <v>0</v>
      </c>
      <c r="I291" s="418">
        <v>0</v>
      </c>
      <c r="J291" s="418">
        <v>0</v>
      </c>
      <c r="K291" s="418">
        <f t="shared" si="199"/>
        <v>298495</v>
      </c>
      <c r="L291" s="481">
        <v>0</v>
      </c>
      <c r="M291" s="443">
        <f t="shared" si="200"/>
        <v>1970.8</v>
      </c>
      <c r="N291" s="443">
        <f t="shared" si="201"/>
        <v>0</v>
      </c>
      <c r="O291" s="443">
        <f t="shared" si="202"/>
        <v>0</v>
      </c>
      <c r="P291" s="443">
        <f t="shared" si="203"/>
        <v>0</v>
      </c>
      <c r="Q291" s="443">
        <f t="shared" si="204"/>
        <v>0</v>
      </c>
      <c r="R291" s="443">
        <f t="shared" si="205"/>
        <v>0</v>
      </c>
      <c r="S291" s="484">
        <v>0</v>
      </c>
      <c r="T291" s="484">
        <v>0</v>
      </c>
      <c r="U291" s="484">
        <v>0</v>
      </c>
      <c r="V291" s="490">
        <v>0</v>
      </c>
      <c r="W291" s="490">
        <v>0</v>
      </c>
      <c r="X291" s="490">
        <v>0</v>
      </c>
      <c r="Y291" s="419">
        <f t="shared" si="206"/>
        <v>35</v>
      </c>
      <c r="Z291" s="420">
        <f t="shared" si="207"/>
        <v>7.4399999999999994E-2</v>
      </c>
      <c r="AA291" s="420">
        <v>0</v>
      </c>
      <c r="AB291" s="420">
        <v>0</v>
      </c>
      <c r="AC291" s="420">
        <f t="shared" si="208"/>
        <v>2.8920000000000001E-2</v>
      </c>
      <c r="AD291" s="419">
        <f t="shared" si="209"/>
        <v>0</v>
      </c>
      <c r="AE291" s="419">
        <f t="shared" si="210"/>
        <v>0</v>
      </c>
      <c r="AF291" s="419">
        <f t="shared" si="211"/>
        <v>0</v>
      </c>
      <c r="AG291" s="454">
        <f t="shared" si="212"/>
        <v>2345</v>
      </c>
      <c r="AH291" s="454">
        <f t="shared" si="187"/>
        <v>22208.03</v>
      </c>
      <c r="AI291" s="421">
        <f t="shared" si="213"/>
        <v>0</v>
      </c>
      <c r="AJ291" s="421">
        <f t="shared" si="214"/>
        <v>0</v>
      </c>
      <c r="AK291" s="421">
        <f t="shared" si="215"/>
        <v>0</v>
      </c>
      <c r="AL291" s="472">
        <v>0</v>
      </c>
      <c r="AM291" s="422">
        <f t="shared" si="233"/>
        <v>0</v>
      </c>
      <c r="AN291" s="423">
        <f t="shared" si="216"/>
        <v>0</v>
      </c>
      <c r="AO291" s="421">
        <f t="shared" si="217"/>
        <v>0</v>
      </c>
      <c r="AP291" s="472">
        <v>0.01</v>
      </c>
      <c r="AQ291" s="472">
        <v>0.03</v>
      </c>
      <c r="AR291" s="472">
        <v>0</v>
      </c>
      <c r="AS291" s="475">
        <v>0</v>
      </c>
      <c r="AT291" s="475">
        <v>0</v>
      </c>
      <c r="AU291" s="475">
        <v>0</v>
      </c>
      <c r="AV291" s="454">
        <f t="shared" si="218"/>
        <v>24553.069999999996</v>
      </c>
      <c r="AW291" s="421">
        <f t="shared" si="219"/>
        <v>24553.07</v>
      </c>
      <c r="AX291" s="455">
        <f t="shared" si="232"/>
        <v>1.0000000000000002</v>
      </c>
      <c r="AY291" s="424">
        <f t="shared" si="220"/>
        <v>-183.59</v>
      </c>
      <c r="AZ291" s="424">
        <f t="shared" si="221"/>
        <v>367.2</v>
      </c>
      <c r="BA291" s="424">
        <f t="shared" si="222"/>
        <v>795.64</v>
      </c>
      <c r="BB291" s="424">
        <f t="shared" si="223"/>
        <v>0</v>
      </c>
      <c r="BC291" s="424">
        <f t="shared" si="224"/>
        <v>0</v>
      </c>
      <c r="BD291" s="424">
        <f t="shared" si="225"/>
        <v>25532.32</v>
      </c>
      <c r="BE291" s="452">
        <f t="shared" si="226"/>
        <v>25532.319999999996</v>
      </c>
      <c r="BF291" s="448">
        <f t="shared" si="227"/>
        <v>0</v>
      </c>
      <c r="BG291" s="456">
        <f t="shared" si="228"/>
        <v>8632.48</v>
      </c>
      <c r="BH291" s="457">
        <f t="shared" si="195"/>
        <v>13575.579999999998</v>
      </c>
      <c r="BI291" s="407" t="s">
        <v>692</v>
      </c>
      <c r="BM291" s="429">
        <f>IF(BR291&gt;BR290,BM290,IF(BM290&lt;MiscData!$F$1,EOMONTH(BM290,1),EOMONTH(BM290,-11)))</f>
        <v>41882</v>
      </c>
      <c r="BN291" s="416" t="str">
        <f t="shared" si="196"/>
        <v>20140101KUCME223</v>
      </c>
      <c r="BO291" s="427" t="str">
        <f t="shared" si="197"/>
        <v>20140101AES3</v>
      </c>
      <c r="BP291" s="407">
        <f>IF(BM291&lt;=MiscData!$B$23,MiscData!$C$23,IF(BM291&lt;=MiscData!$B$24,MiscData!$C$24,MiscData!$C$25))</f>
        <v>20140101</v>
      </c>
      <c r="BQ291" s="407" t="str">
        <f>VLOOKUP(BR291,MiscData!$V$4:$W$42,2,FALSE)</f>
        <v>KUCME223</v>
      </c>
      <c r="BR291" s="407">
        <f>IF(BR290=MiscData!$V$42,1,BR290+1)</f>
        <v>15</v>
      </c>
      <c r="BS291" s="407" t="str">
        <f>VLOOKUP(BQ291,MiscData!$W$4:$Y$42,3,FALSE)</f>
        <v>AES3</v>
      </c>
    </row>
    <row r="292" spans="1:71" hidden="1">
      <c r="A292" s="416">
        <f t="shared" si="230"/>
        <v>268</v>
      </c>
      <c r="B292" s="416" t="str">
        <f t="shared" si="192"/>
        <v>Aug 2014</v>
      </c>
      <c r="C292" s="837" t="s">
        <v>228</v>
      </c>
      <c r="D292" s="417" t="str">
        <f t="shared" si="193"/>
        <v>AES3</v>
      </c>
      <c r="E292" s="417" t="str">
        <f t="shared" si="194"/>
        <v>KUCME224</v>
      </c>
      <c r="F292" s="418">
        <f t="shared" si="198"/>
        <v>4</v>
      </c>
      <c r="G292" s="467">
        <v>0</v>
      </c>
      <c r="H292" s="418">
        <v>0</v>
      </c>
      <c r="I292" s="418">
        <v>0</v>
      </c>
      <c r="J292" s="418">
        <v>0</v>
      </c>
      <c r="K292" s="418">
        <f t="shared" si="199"/>
        <v>201220</v>
      </c>
      <c r="L292" s="481">
        <v>0</v>
      </c>
      <c r="M292" s="443">
        <f t="shared" si="200"/>
        <v>696.1</v>
      </c>
      <c r="N292" s="443">
        <f t="shared" si="201"/>
        <v>0</v>
      </c>
      <c r="O292" s="443">
        <f t="shared" si="202"/>
        <v>0</v>
      </c>
      <c r="P292" s="443">
        <f t="shared" si="203"/>
        <v>0</v>
      </c>
      <c r="Q292" s="443">
        <f t="shared" si="204"/>
        <v>0</v>
      </c>
      <c r="R292" s="443">
        <f t="shared" si="205"/>
        <v>0</v>
      </c>
      <c r="S292" s="484">
        <v>0</v>
      </c>
      <c r="T292" s="484">
        <v>0</v>
      </c>
      <c r="U292" s="484">
        <v>0</v>
      </c>
      <c r="V292" s="490">
        <v>0</v>
      </c>
      <c r="W292" s="490">
        <v>0</v>
      </c>
      <c r="X292" s="490">
        <v>0</v>
      </c>
      <c r="Y292" s="419">
        <f t="shared" si="206"/>
        <v>35</v>
      </c>
      <c r="Z292" s="420">
        <f t="shared" si="207"/>
        <v>7.4399999999999994E-2</v>
      </c>
      <c r="AA292" s="420">
        <v>0</v>
      </c>
      <c r="AB292" s="420">
        <v>0</v>
      </c>
      <c r="AC292" s="420">
        <f t="shared" si="208"/>
        <v>2.8920000000000001E-2</v>
      </c>
      <c r="AD292" s="419">
        <f t="shared" si="209"/>
        <v>0</v>
      </c>
      <c r="AE292" s="419">
        <f t="shared" si="210"/>
        <v>0</v>
      </c>
      <c r="AF292" s="419">
        <f t="shared" si="211"/>
        <v>0</v>
      </c>
      <c r="AG292" s="454">
        <f t="shared" si="212"/>
        <v>140</v>
      </c>
      <c r="AH292" s="454">
        <f t="shared" ref="AH292:AH355" si="234">ROUND(IF(H292=0,(K292+L292)*Z292,SUMPRODUCT(H292:J292,Z292:AB292)),2)</f>
        <v>14970.77</v>
      </c>
      <c r="AI292" s="421">
        <f t="shared" si="213"/>
        <v>0</v>
      </c>
      <c r="AJ292" s="421">
        <f t="shared" si="214"/>
        <v>0</v>
      </c>
      <c r="AK292" s="421">
        <f t="shared" si="215"/>
        <v>0</v>
      </c>
      <c r="AL292" s="472">
        <v>0</v>
      </c>
      <c r="AM292" s="422">
        <f t="shared" si="233"/>
        <v>0</v>
      </c>
      <c r="AN292" s="423">
        <f t="shared" si="216"/>
        <v>0</v>
      </c>
      <c r="AO292" s="421">
        <f t="shared" si="217"/>
        <v>0</v>
      </c>
      <c r="AP292" s="472">
        <v>0</v>
      </c>
      <c r="AQ292" s="472">
        <v>0</v>
      </c>
      <c r="AR292" s="472">
        <v>0</v>
      </c>
      <c r="AS292" s="475">
        <v>0</v>
      </c>
      <c r="AT292" s="475">
        <v>0</v>
      </c>
      <c r="AU292" s="475">
        <v>0</v>
      </c>
      <c r="AV292" s="454">
        <f t="shared" si="218"/>
        <v>15110.77</v>
      </c>
      <c r="AW292" s="421">
        <f t="shared" si="219"/>
        <v>15110.769999999999</v>
      </c>
      <c r="AX292" s="455">
        <f t="shared" si="232"/>
        <v>0.99999999999999989</v>
      </c>
      <c r="AY292" s="424">
        <f t="shared" si="220"/>
        <v>83.82</v>
      </c>
      <c r="AZ292" s="424">
        <f t="shared" si="221"/>
        <v>247.5</v>
      </c>
      <c r="BA292" s="424">
        <f t="shared" si="222"/>
        <v>502.46</v>
      </c>
      <c r="BB292" s="424">
        <f t="shared" si="223"/>
        <v>0</v>
      </c>
      <c r="BC292" s="424">
        <f t="shared" si="224"/>
        <v>0</v>
      </c>
      <c r="BD292" s="424">
        <f t="shared" si="225"/>
        <v>15944.55</v>
      </c>
      <c r="BE292" s="452">
        <f t="shared" si="226"/>
        <v>15944.55</v>
      </c>
      <c r="BF292" s="448">
        <f t="shared" si="227"/>
        <v>0</v>
      </c>
      <c r="BG292" s="456">
        <f t="shared" si="228"/>
        <v>5819.28</v>
      </c>
      <c r="BH292" s="457">
        <f t="shared" si="195"/>
        <v>9151.4900000000016</v>
      </c>
      <c r="BI292" s="407" t="s">
        <v>692</v>
      </c>
      <c r="BM292" s="429">
        <f>IF(BR292&gt;BR291,BM291,IF(BM291&lt;MiscData!$F$1,EOMONTH(BM291,1),EOMONTH(BM291,-11)))</f>
        <v>41882</v>
      </c>
      <c r="BN292" s="416" t="str">
        <f t="shared" si="196"/>
        <v>20140101KUCME224</v>
      </c>
      <c r="BO292" s="427" t="str">
        <f t="shared" si="197"/>
        <v>20140101AES3</v>
      </c>
      <c r="BP292" s="407">
        <f>IF(BM292&lt;=MiscData!$B$23,MiscData!$C$23,IF(BM292&lt;=MiscData!$B$24,MiscData!$C$24,MiscData!$C$25))</f>
        <v>20140101</v>
      </c>
      <c r="BQ292" s="407" t="str">
        <f>VLOOKUP(BR292,MiscData!$V$4:$W$42,2,FALSE)</f>
        <v>KUCME224</v>
      </c>
      <c r="BR292" s="407">
        <f>IF(BR291=MiscData!$V$42,1,BR291+1)</f>
        <v>16</v>
      </c>
      <c r="BS292" s="407" t="str">
        <f>VLOOKUP(BQ292,MiscData!$W$4:$Y$42,3,FALSE)</f>
        <v>AES3</v>
      </c>
    </row>
    <row r="293" spans="1:71" hidden="1">
      <c r="A293" s="416">
        <f t="shared" si="230"/>
        <v>269</v>
      </c>
      <c r="B293" s="416" t="str">
        <f t="shared" si="192"/>
        <v>Aug 2014</v>
      </c>
      <c r="C293" s="837" t="s">
        <v>228</v>
      </c>
      <c r="D293" s="417" t="str">
        <f t="shared" si="193"/>
        <v>AES3</v>
      </c>
      <c r="E293" s="417" t="str">
        <f t="shared" si="194"/>
        <v>KUCME225</v>
      </c>
      <c r="F293" s="418">
        <f t="shared" si="198"/>
        <v>96</v>
      </c>
      <c r="G293" s="467">
        <v>2</v>
      </c>
      <c r="H293" s="418">
        <v>0</v>
      </c>
      <c r="I293" s="418">
        <v>0</v>
      </c>
      <c r="J293" s="418">
        <v>0</v>
      </c>
      <c r="K293" s="418">
        <f t="shared" si="199"/>
        <v>1887520</v>
      </c>
      <c r="L293" s="481">
        <v>0</v>
      </c>
      <c r="M293" s="443">
        <f t="shared" si="200"/>
        <v>8545.7000000000007</v>
      </c>
      <c r="N293" s="443">
        <f t="shared" si="201"/>
        <v>0</v>
      </c>
      <c r="O293" s="443">
        <f t="shared" si="202"/>
        <v>0</v>
      </c>
      <c r="P293" s="443">
        <f t="shared" si="203"/>
        <v>0</v>
      </c>
      <c r="Q293" s="443">
        <f t="shared" si="204"/>
        <v>0</v>
      </c>
      <c r="R293" s="443">
        <f t="shared" si="205"/>
        <v>0</v>
      </c>
      <c r="S293" s="484">
        <v>0</v>
      </c>
      <c r="T293" s="484">
        <v>0</v>
      </c>
      <c r="U293" s="484">
        <v>0</v>
      </c>
      <c r="V293" s="490">
        <v>0</v>
      </c>
      <c r="W293" s="490">
        <v>0</v>
      </c>
      <c r="X293" s="490">
        <v>0</v>
      </c>
      <c r="Y293" s="419">
        <f t="shared" si="206"/>
        <v>35</v>
      </c>
      <c r="Z293" s="420">
        <f t="shared" si="207"/>
        <v>7.4399999999999994E-2</v>
      </c>
      <c r="AA293" s="420">
        <v>0</v>
      </c>
      <c r="AB293" s="420">
        <v>0</v>
      </c>
      <c r="AC293" s="420">
        <f t="shared" si="208"/>
        <v>2.8920000000000001E-2</v>
      </c>
      <c r="AD293" s="419">
        <f t="shared" si="209"/>
        <v>0</v>
      </c>
      <c r="AE293" s="419">
        <f t="shared" si="210"/>
        <v>0</v>
      </c>
      <c r="AF293" s="419">
        <f t="shared" si="211"/>
        <v>0</v>
      </c>
      <c r="AG293" s="454">
        <f t="shared" si="212"/>
        <v>3430</v>
      </c>
      <c r="AH293" s="454">
        <f t="shared" si="234"/>
        <v>140431.49</v>
      </c>
      <c r="AI293" s="421">
        <f t="shared" si="213"/>
        <v>0</v>
      </c>
      <c r="AJ293" s="421">
        <f t="shared" si="214"/>
        <v>0</v>
      </c>
      <c r="AK293" s="421">
        <f t="shared" si="215"/>
        <v>0</v>
      </c>
      <c r="AL293" s="472">
        <v>0</v>
      </c>
      <c r="AM293" s="422">
        <f t="shared" si="233"/>
        <v>0</v>
      </c>
      <c r="AN293" s="423">
        <f t="shared" si="216"/>
        <v>0</v>
      </c>
      <c r="AO293" s="421">
        <f t="shared" si="217"/>
        <v>0</v>
      </c>
      <c r="AP293" s="472">
        <v>-69.98</v>
      </c>
      <c r="AQ293" s="472">
        <v>-0.01</v>
      </c>
      <c r="AR293" s="472">
        <v>0</v>
      </c>
      <c r="AS293" s="475">
        <v>0</v>
      </c>
      <c r="AT293" s="475">
        <v>0</v>
      </c>
      <c r="AU293" s="475">
        <v>0</v>
      </c>
      <c r="AV293" s="454">
        <f t="shared" si="218"/>
        <v>143791.49999999997</v>
      </c>
      <c r="AW293" s="421">
        <f t="shared" si="219"/>
        <v>143791.5</v>
      </c>
      <c r="AX293" s="455">
        <f t="shared" si="232"/>
        <v>1.0000000000000002</v>
      </c>
      <c r="AY293" s="424">
        <f t="shared" si="220"/>
        <v>-475.05</v>
      </c>
      <c r="AZ293" s="424">
        <f t="shared" si="221"/>
        <v>2321.66</v>
      </c>
      <c r="BA293" s="424">
        <f t="shared" si="222"/>
        <v>4703.84</v>
      </c>
      <c r="BB293" s="424">
        <f t="shared" si="223"/>
        <v>0</v>
      </c>
      <c r="BC293" s="424">
        <f t="shared" si="224"/>
        <v>0</v>
      </c>
      <c r="BD293" s="424">
        <f t="shared" si="225"/>
        <v>150341.95000000001</v>
      </c>
      <c r="BE293" s="452">
        <f t="shared" si="226"/>
        <v>150341.94999999998</v>
      </c>
      <c r="BF293" s="448">
        <f t="shared" si="227"/>
        <v>0</v>
      </c>
      <c r="BG293" s="456">
        <f t="shared" si="228"/>
        <v>54587.08</v>
      </c>
      <c r="BH293" s="457">
        <f t="shared" si="195"/>
        <v>85844.39999999998</v>
      </c>
      <c r="BI293" s="407" t="s">
        <v>692</v>
      </c>
      <c r="BM293" s="429">
        <f>IF(BR293&gt;BR292,BM292,IF(BM292&lt;MiscData!$F$1,EOMONTH(BM292,1),EOMONTH(BM292,-11)))</f>
        <v>41882</v>
      </c>
      <c r="BN293" s="416" t="str">
        <f t="shared" si="196"/>
        <v>20140101KUCME225</v>
      </c>
      <c r="BO293" s="427" t="str">
        <f t="shared" si="197"/>
        <v>20140101AES3</v>
      </c>
      <c r="BP293" s="407">
        <f>IF(BM293&lt;=MiscData!$B$23,MiscData!$C$23,IF(BM293&lt;=MiscData!$B$24,MiscData!$C$24,MiscData!$C$25))</f>
        <v>20140101</v>
      </c>
      <c r="BQ293" s="407" t="str">
        <f>VLOOKUP(BR293,MiscData!$V$4:$W$42,2,FALSE)</f>
        <v>KUCME225</v>
      </c>
      <c r="BR293" s="407">
        <f>IF(BR292=MiscData!$V$42,1,BR292+1)</f>
        <v>17</v>
      </c>
      <c r="BS293" s="407" t="str">
        <f>VLOOKUP(BQ293,MiscData!$W$4:$Y$42,3,FALSE)</f>
        <v>AES3</v>
      </c>
    </row>
    <row r="294" spans="1:71" hidden="1">
      <c r="A294" s="416">
        <f t="shared" si="230"/>
        <v>270</v>
      </c>
      <c r="B294" s="416" t="str">
        <f t="shared" si="192"/>
        <v>Aug 2014</v>
      </c>
      <c r="C294" s="416" t="s">
        <v>219</v>
      </c>
      <c r="D294" s="417" t="str">
        <f t="shared" si="193"/>
        <v>AES</v>
      </c>
      <c r="E294" s="417" t="str">
        <f t="shared" si="194"/>
        <v>KUCME226</v>
      </c>
      <c r="F294" s="418">
        <f t="shared" si="198"/>
        <v>19</v>
      </c>
      <c r="G294" s="467">
        <v>0</v>
      </c>
      <c r="H294" s="418">
        <v>0</v>
      </c>
      <c r="I294" s="418">
        <v>0</v>
      </c>
      <c r="J294" s="418">
        <v>0</v>
      </c>
      <c r="K294" s="418">
        <f t="shared" si="199"/>
        <v>33989</v>
      </c>
      <c r="L294" s="481">
        <v>0</v>
      </c>
      <c r="M294" s="443">
        <f t="shared" si="200"/>
        <v>896.2</v>
      </c>
      <c r="N294" s="443">
        <f t="shared" si="201"/>
        <v>0</v>
      </c>
      <c r="O294" s="443">
        <f t="shared" si="202"/>
        <v>0</v>
      </c>
      <c r="P294" s="443">
        <f t="shared" si="203"/>
        <v>0</v>
      </c>
      <c r="Q294" s="443">
        <f t="shared" si="204"/>
        <v>0</v>
      </c>
      <c r="R294" s="443">
        <f t="shared" si="205"/>
        <v>0</v>
      </c>
      <c r="S294" s="484">
        <v>0</v>
      </c>
      <c r="T294" s="484">
        <v>0</v>
      </c>
      <c r="U294" s="484">
        <v>0</v>
      </c>
      <c r="V294" s="490">
        <v>0</v>
      </c>
      <c r="W294" s="490">
        <v>0</v>
      </c>
      <c r="X294" s="490">
        <v>0</v>
      </c>
      <c r="Y294" s="419">
        <f t="shared" si="206"/>
        <v>20</v>
      </c>
      <c r="Z294" s="420">
        <f t="shared" si="207"/>
        <v>7.4399999999999994E-2</v>
      </c>
      <c r="AA294" s="420">
        <v>0</v>
      </c>
      <c r="AB294" s="420">
        <v>0</v>
      </c>
      <c r="AC294" s="420">
        <f t="shared" si="208"/>
        <v>2.8920000000000001E-2</v>
      </c>
      <c r="AD294" s="419">
        <f t="shared" si="209"/>
        <v>0</v>
      </c>
      <c r="AE294" s="419">
        <f t="shared" si="210"/>
        <v>0</v>
      </c>
      <c r="AF294" s="419">
        <f t="shared" si="211"/>
        <v>0</v>
      </c>
      <c r="AG294" s="454">
        <f t="shared" si="212"/>
        <v>380</v>
      </c>
      <c r="AH294" s="454">
        <f t="shared" si="234"/>
        <v>2528.7800000000002</v>
      </c>
      <c r="AI294" s="421">
        <f t="shared" si="213"/>
        <v>0</v>
      </c>
      <c r="AJ294" s="421">
        <f t="shared" si="214"/>
        <v>0</v>
      </c>
      <c r="AK294" s="421">
        <f t="shared" si="215"/>
        <v>0</v>
      </c>
      <c r="AL294" s="472">
        <v>0</v>
      </c>
      <c r="AM294" s="422">
        <f t="shared" si="233"/>
        <v>0</v>
      </c>
      <c r="AN294" s="423">
        <f t="shared" si="216"/>
        <v>0</v>
      </c>
      <c r="AO294" s="421">
        <f t="shared" si="217"/>
        <v>0</v>
      </c>
      <c r="AP294" s="472">
        <v>0</v>
      </c>
      <c r="AQ294" s="472">
        <v>-0.01</v>
      </c>
      <c r="AR294" s="472">
        <v>0</v>
      </c>
      <c r="AS294" s="475">
        <v>0</v>
      </c>
      <c r="AT294" s="475">
        <v>0</v>
      </c>
      <c r="AU294" s="475">
        <v>0</v>
      </c>
      <c r="AV294" s="454">
        <f t="shared" si="218"/>
        <v>2908.77</v>
      </c>
      <c r="AW294" s="421">
        <f t="shared" si="219"/>
        <v>2908.77</v>
      </c>
      <c r="AX294" s="455">
        <f t="shared" si="232"/>
        <v>1</v>
      </c>
      <c r="AY294" s="424">
        <f t="shared" si="220"/>
        <v>16.04</v>
      </c>
      <c r="AZ294" s="424">
        <f t="shared" si="221"/>
        <v>41.81</v>
      </c>
      <c r="BA294" s="424">
        <f t="shared" si="222"/>
        <v>96.57</v>
      </c>
      <c r="BB294" s="424">
        <f t="shared" si="223"/>
        <v>0</v>
      </c>
      <c r="BC294" s="424">
        <f t="shared" si="224"/>
        <v>0</v>
      </c>
      <c r="BD294" s="424">
        <f t="shared" si="225"/>
        <v>3063.19</v>
      </c>
      <c r="BE294" s="452">
        <f t="shared" si="226"/>
        <v>3063.19</v>
      </c>
      <c r="BF294" s="448">
        <f t="shared" si="227"/>
        <v>0</v>
      </c>
      <c r="BG294" s="456">
        <f t="shared" si="228"/>
        <v>982.96</v>
      </c>
      <c r="BH294" s="457">
        <f t="shared" si="195"/>
        <v>1545.81</v>
      </c>
      <c r="BI294" s="407" t="s">
        <v>692</v>
      </c>
      <c r="BM294" s="429">
        <f>IF(BR294&gt;BR293,BM293,IF(BM293&lt;MiscData!$F$1,EOMONTH(BM293,1),EOMONTH(BM293,-11)))</f>
        <v>41882</v>
      </c>
      <c r="BN294" s="416" t="str">
        <f t="shared" si="196"/>
        <v>20140101KUCME226</v>
      </c>
      <c r="BO294" s="427" t="str">
        <f t="shared" si="197"/>
        <v>20140101AES</v>
      </c>
      <c r="BP294" s="407">
        <f>IF(BM294&lt;=MiscData!$B$23,MiscData!$C$23,IF(BM294&lt;=MiscData!$B$24,MiscData!$C$24,MiscData!$C$25))</f>
        <v>20140101</v>
      </c>
      <c r="BQ294" s="407" t="str">
        <f>VLOOKUP(BR294,MiscData!$V$4:$W$42,2,FALSE)</f>
        <v>KUCME226</v>
      </c>
      <c r="BR294" s="407">
        <f>IF(BR293=MiscData!$V$42,1,BR293+1)</f>
        <v>18</v>
      </c>
      <c r="BS294" s="407" t="str">
        <f>VLOOKUP(BQ294,MiscData!$W$4:$Y$42,3,FALSE)</f>
        <v>AES</v>
      </c>
    </row>
    <row r="295" spans="1:71" hidden="1">
      <c r="A295" s="416">
        <f t="shared" si="230"/>
        <v>271</v>
      </c>
      <c r="B295" s="416" t="str">
        <f t="shared" si="192"/>
        <v>Aug 2014</v>
      </c>
      <c r="C295" s="837" t="s">
        <v>228</v>
      </c>
      <c r="D295" s="417" t="str">
        <f t="shared" si="193"/>
        <v>AES3</v>
      </c>
      <c r="E295" s="417" t="str">
        <f t="shared" si="194"/>
        <v>KUCME227</v>
      </c>
      <c r="F295" s="418">
        <f t="shared" si="198"/>
        <v>99</v>
      </c>
      <c r="G295" s="467">
        <v>0</v>
      </c>
      <c r="H295" s="418">
        <v>0</v>
      </c>
      <c r="I295" s="418">
        <v>0</v>
      </c>
      <c r="J295" s="418">
        <v>0</v>
      </c>
      <c r="K295" s="418">
        <f t="shared" si="199"/>
        <v>6945036</v>
      </c>
      <c r="L295" s="481">
        <v>0</v>
      </c>
      <c r="M295" s="443">
        <f t="shared" si="200"/>
        <v>26171.599999999999</v>
      </c>
      <c r="N295" s="443">
        <f t="shared" si="201"/>
        <v>0</v>
      </c>
      <c r="O295" s="443">
        <f t="shared" si="202"/>
        <v>0</v>
      </c>
      <c r="P295" s="443">
        <f t="shared" si="203"/>
        <v>0</v>
      </c>
      <c r="Q295" s="443">
        <f t="shared" si="204"/>
        <v>0</v>
      </c>
      <c r="R295" s="443">
        <f t="shared" si="205"/>
        <v>0</v>
      </c>
      <c r="S295" s="484">
        <v>0</v>
      </c>
      <c r="T295" s="484">
        <v>0</v>
      </c>
      <c r="U295" s="484">
        <v>0</v>
      </c>
      <c r="V295" s="490">
        <v>0</v>
      </c>
      <c r="W295" s="490">
        <v>0</v>
      </c>
      <c r="X295" s="490">
        <v>0</v>
      </c>
      <c r="Y295" s="419">
        <f t="shared" si="206"/>
        <v>35</v>
      </c>
      <c r="Z295" s="420">
        <f t="shared" si="207"/>
        <v>7.4399999999999994E-2</v>
      </c>
      <c r="AA295" s="420">
        <v>0</v>
      </c>
      <c r="AB295" s="420">
        <v>0</v>
      </c>
      <c r="AC295" s="420">
        <f t="shared" si="208"/>
        <v>2.8920000000000001E-2</v>
      </c>
      <c r="AD295" s="419">
        <f t="shared" si="209"/>
        <v>0</v>
      </c>
      <c r="AE295" s="419">
        <f t="shared" si="210"/>
        <v>0</v>
      </c>
      <c r="AF295" s="419">
        <f t="shared" si="211"/>
        <v>0</v>
      </c>
      <c r="AG295" s="454">
        <f t="shared" si="212"/>
        <v>3465</v>
      </c>
      <c r="AH295" s="454">
        <f t="shared" si="234"/>
        <v>516710.68</v>
      </c>
      <c r="AI295" s="421">
        <f t="shared" si="213"/>
        <v>0</v>
      </c>
      <c r="AJ295" s="421">
        <f t="shared" si="214"/>
        <v>0</v>
      </c>
      <c r="AK295" s="421">
        <f t="shared" si="215"/>
        <v>0</v>
      </c>
      <c r="AL295" s="472">
        <v>0</v>
      </c>
      <c r="AM295" s="422">
        <f t="shared" si="233"/>
        <v>0</v>
      </c>
      <c r="AN295" s="423">
        <f t="shared" si="216"/>
        <v>0</v>
      </c>
      <c r="AO295" s="421">
        <f t="shared" si="217"/>
        <v>0</v>
      </c>
      <c r="AP295" s="472">
        <v>0.02</v>
      </c>
      <c r="AQ295" s="472">
        <v>0</v>
      </c>
      <c r="AR295" s="472">
        <v>0</v>
      </c>
      <c r="AS295" s="475">
        <v>0</v>
      </c>
      <c r="AT295" s="475">
        <v>0</v>
      </c>
      <c r="AU295" s="475">
        <v>0</v>
      </c>
      <c r="AV295" s="454">
        <f t="shared" si="218"/>
        <v>520175.7</v>
      </c>
      <c r="AW295" s="421">
        <f t="shared" si="219"/>
        <v>520175.7</v>
      </c>
      <c r="AX295" s="455">
        <f t="shared" si="232"/>
        <v>1</v>
      </c>
      <c r="AY295" s="424">
        <f t="shared" si="220"/>
        <v>-316.44</v>
      </c>
      <c r="AZ295" s="424">
        <f t="shared" si="221"/>
        <v>8542.42</v>
      </c>
      <c r="BA295" s="424">
        <f t="shared" si="222"/>
        <v>17104.36</v>
      </c>
      <c r="BB295" s="424">
        <f t="shared" si="223"/>
        <v>0</v>
      </c>
      <c r="BC295" s="424">
        <f t="shared" si="224"/>
        <v>0</v>
      </c>
      <c r="BD295" s="424">
        <f t="shared" si="225"/>
        <v>545506.04</v>
      </c>
      <c r="BE295" s="452">
        <f t="shared" si="226"/>
        <v>545506.04</v>
      </c>
      <c r="BF295" s="448">
        <f t="shared" si="227"/>
        <v>0</v>
      </c>
      <c r="BG295" s="456">
        <f t="shared" si="228"/>
        <v>200850.44</v>
      </c>
      <c r="BH295" s="457">
        <f t="shared" si="195"/>
        <v>315860.24</v>
      </c>
      <c r="BI295" s="407" t="s">
        <v>692</v>
      </c>
      <c r="BM295" s="429">
        <f>IF(BR295&gt;BR294,BM294,IF(BM294&lt;MiscData!$F$1,EOMONTH(BM294,1),EOMONTH(BM294,-11)))</f>
        <v>41882</v>
      </c>
      <c r="BN295" s="416" t="str">
        <f t="shared" si="196"/>
        <v>20140101KUCME227</v>
      </c>
      <c r="BO295" s="427" t="str">
        <f t="shared" si="197"/>
        <v>20140101AES3</v>
      </c>
      <c r="BP295" s="407">
        <f>IF(BM295&lt;=MiscData!$B$23,MiscData!$C$23,IF(BM295&lt;=MiscData!$B$24,MiscData!$C$24,MiscData!$C$25))</f>
        <v>20140101</v>
      </c>
      <c r="BQ295" s="407" t="str">
        <f>VLOOKUP(BR295,MiscData!$V$4:$W$42,2,FALSE)</f>
        <v>KUCME227</v>
      </c>
      <c r="BR295" s="407">
        <f>IF(BR294=MiscData!$V$42,1,BR294+1)</f>
        <v>19</v>
      </c>
      <c r="BS295" s="407" t="str">
        <f>VLOOKUP(BQ295,MiscData!$W$4:$Y$42,3,FALSE)</f>
        <v>AES3</v>
      </c>
    </row>
    <row r="296" spans="1:71" hidden="1">
      <c r="A296" s="416">
        <f t="shared" si="230"/>
        <v>272</v>
      </c>
      <c r="B296" s="416" t="str">
        <f t="shared" si="192"/>
        <v>Aug 2014</v>
      </c>
      <c r="C296" s="416" t="s">
        <v>20</v>
      </c>
      <c r="D296" s="417" t="str">
        <f t="shared" si="193"/>
        <v>LE</v>
      </c>
      <c r="E296" s="417" t="str">
        <f t="shared" si="194"/>
        <v>KUCME290</v>
      </c>
      <c r="F296" s="418">
        <f t="shared" si="198"/>
        <v>1</v>
      </c>
      <c r="G296" s="467">
        <v>0</v>
      </c>
      <c r="H296" s="418">
        <v>0</v>
      </c>
      <c r="I296" s="418">
        <v>0</v>
      </c>
      <c r="J296" s="418">
        <v>0</v>
      </c>
      <c r="K296" s="418">
        <f t="shared" si="199"/>
        <v>10593</v>
      </c>
      <c r="L296" s="481">
        <v>0</v>
      </c>
      <c r="M296" s="443">
        <f t="shared" si="200"/>
        <v>40.9</v>
      </c>
      <c r="N296" s="443">
        <f t="shared" si="201"/>
        <v>0</v>
      </c>
      <c r="O296" s="443">
        <f t="shared" si="202"/>
        <v>0</v>
      </c>
      <c r="P296" s="443">
        <f t="shared" si="203"/>
        <v>0</v>
      </c>
      <c r="Q296" s="443">
        <f t="shared" si="204"/>
        <v>0</v>
      </c>
      <c r="R296" s="443">
        <f t="shared" si="205"/>
        <v>0</v>
      </c>
      <c r="S296" s="484">
        <v>0</v>
      </c>
      <c r="T296" s="484">
        <v>0</v>
      </c>
      <c r="U296" s="484">
        <v>0</v>
      </c>
      <c r="V296" s="490">
        <v>0</v>
      </c>
      <c r="W296" s="490">
        <v>0</v>
      </c>
      <c r="X296" s="490">
        <v>0</v>
      </c>
      <c r="Y296" s="419">
        <f t="shared" si="206"/>
        <v>0</v>
      </c>
      <c r="Z296" s="420">
        <f t="shared" si="207"/>
        <v>6.3799999999999996E-2</v>
      </c>
      <c r="AA296" s="420">
        <v>0</v>
      </c>
      <c r="AB296" s="420">
        <v>0</v>
      </c>
      <c r="AC296" s="420">
        <f t="shared" si="208"/>
        <v>2.8920000000000001E-2</v>
      </c>
      <c r="AD296" s="419">
        <f t="shared" si="209"/>
        <v>0</v>
      </c>
      <c r="AE296" s="419">
        <f t="shared" si="210"/>
        <v>0</v>
      </c>
      <c r="AF296" s="419">
        <f t="shared" si="211"/>
        <v>0</v>
      </c>
      <c r="AG296" s="454">
        <f t="shared" si="212"/>
        <v>0</v>
      </c>
      <c r="AH296" s="454">
        <f t="shared" si="234"/>
        <v>675.83</v>
      </c>
      <c r="AI296" s="421">
        <f t="shared" si="213"/>
        <v>0</v>
      </c>
      <c r="AJ296" s="421">
        <f t="shared" si="214"/>
        <v>0</v>
      </c>
      <c r="AK296" s="421">
        <f t="shared" si="215"/>
        <v>0</v>
      </c>
      <c r="AL296" s="472">
        <v>0</v>
      </c>
      <c r="AM296" s="422">
        <f t="shared" si="233"/>
        <v>0</v>
      </c>
      <c r="AN296" s="423">
        <f t="shared" si="216"/>
        <v>0</v>
      </c>
      <c r="AO296" s="421">
        <f t="shared" si="217"/>
        <v>0</v>
      </c>
      <c r="AP296" s="472">
        <v>0</v>
      </c>
      <c r="AQ296" s="472">
        <v>0</v>
      </c>
      <c r="AR296" s="472">
        <v>0</v>
      </c>
      <c r="AS296" s="475">
        <v>0</v>
      </c>
      <c r="AT296" s="475">
        <v>0</v>
      </c>
      <c r="AU296" s="475">
        <v>0</v>
      </c>
      <c r="AV296" s="454">
        <f t="shared" si="218"/>
        <v>675.83</v>
      </c>
      <c r="AW296" s="421">
        <f t="shared" si="219"/>
        <v>675.83</v>
      </c>
      <c r="AX296" s="455">
        <f t="shared" ref="AX296:AX301" si="235">IF(AND(AV296=0,AW296=0),1,IF(AV296=0,0,AW296/AV296))</f>
        <v>1</v>
      </c>
      <c r="AY296" s="424">
        <f t="shared" si="220"/>
        <v>-8.16</v>
      </c>
      <c r="AZ296" s="424">
        <f t="shared" si="221"/>
        <v>0</v>
      </c>
      <c r="BA296" s="424">
        <f t="shared" si="222"/>
        <v>21.43</v>
      </c>
      <c r="BB296" s="424">
        <f t="shared" si="223"/>
        <v>0</v>
      </c>
      <c r="BC296" s="424">
        <f t="shared" si="224"/>
        <v>0</v>
      </c>
      <c r="BD296" s="424">
        <f t="shared" si="225"/>
        <v>689.1</v>
      </c>
      <c r="BE296" s="452">
        <f t="shared" si="226"/>
        <v>689.1</v>
      </c>
      <c r="BF296" s="448">
        <f t="shared" si="227"/>
        <v>0</v>
      </c>
      <c r="BG296" s="456">
        <f t="shared" si="228"/>
        <v>306.35000000000002</v>
      </c>
      <c r="BH296" s="457">
        <f t="shared" si="195"/>
        <v>369.48</v>
      </c>
      <c r="BI296" s="407" t="s">
        <v>692</v>
      </c>
      <c r="BM296" s="429">
        <f>IF(BR296&gt;BR295,BM295,IF(BM295&lt;MiscData!$F$1,EOMONTH(BM295,1),EOMONTH(BM295,-11)))</f>
        <v>41882</v>
      </c>
      <c r="BN296" s="416" t="str">
        <f t="shared" si="196"/>
        <v>20140101KUCME290</v>
      </c>
      <c r="BO296" s="427" t="str">
        <f t="shared" si="197"/>
        <v>20140101LE</v>
      </c>
      <c r="BP296" s="407">
        <f>IF(BM296&lt;=MiscData!$B$23,MiscData!$C$23,IF(BM296&lt;=MiscData!$B$24,MiscData!$C$24,MiscData!$C$25))</f>
        <v>20140101</v>
      </c>
      <c r="BQ296" s="407" t="str">
        <f>VLOOKUP(BR296,MiscData!$V$4:$W$42,2,FALSE)</f>
        <v>KUCME290</v>
      </c>
      <c r="BR296" s="407">
        <f>IF(BR295=MiscData!$V$42,1,BR295+1)</f>
        <v>20</v>
      </c>
      <c r="BS296" s="407" t="str">
        <f>VLOOKUP(BQ296,MiscData!$W$4:$Y$42,3,FALSE)</f>
        <v>LE</v>
      </c>
    </row>
    <row r="297" spans="1:71" hidden="1">
      <c r="A297" s="416">
        <f t="shared" si="230"/>
        <v>273</v>
      </c>
      <c r="B297" s="416" t="str">
        <f t="shared" si="192"/>
        <v>Aug 2014</v>
      </c>
      <c r="C297" s="416" t="s">
        <v>20</v>
      </c>
      <c r="D297" s="417" t="str">
        <f t="shared" si="193"/>
        <v>LE</v>
      </c>
      <c r="E297" s="417" t="str">
        <f t="shared" si="194"/>
        <v>KUCME291</v>
      </c>
      <c r="F297" s="418">
        <f t="shared" si="198"/>
        <v>1</v>
      </c>
      <c r="G297" s="467">
        <v>0</v>
      </c>
      <c r="H297" s="418">
        <v>0</v>
      </c>
      <c r="I297" s="418">
        <v>0</v>
      </c>
      <c r="J297" s="418">
        <v>0</v>
      </c>
      <c r="K297" s="418">
        <f t="shared" si="199"/>
        <v>2792</v>
      </c>
      <c r="L297" s="481">
        <v>0</v>
      </c>
      <c r="M297" s="443">
        <f t="shared" si="200"/>
        <v>0</v>
      </c>
      <c r="N297" s="443">
        <f t="shared" si="201"/>
        <v>0</v>
      </c>
      <c r="O297" s="443">
        <f t="shared" si="202"/>
        <v>0</v>
      </c>
      <c r="P297" s="443">
        <f t="shared" si="203"/>
        <v>0</v>
      </c>
      <c r="Q297" s="443">
        <f t="shared" si="204"/>
        <v>0</v>
      </c>
      <c r="R297" s="443">
        <f t="shared" si="205"/>
        <v>0</v>
      </c>
      <c r="S297" s="484">
        <v>0</v>
      </c>
      <c r="T297" s="484">
        <v>0</v>
      </c>
      <c r="U297" s="484">
        <v>0</v>
      </c>
      <c r="V297" s="490">
        <v>0</v>
      </c>
      <c r="W297" s="490">
        <v>0</v>
      </c>
      <c r="X297" s="490">
        <v>0</v>
      </c>
      <c r="Y297" s="419">
        <f t="shared" si="206"/>
        <v>0</v>
      </c>
      <c r="Z297" s="420">
        <f t="shared" si="207"/>
        <v>6.3799999999999996E-2</v>
      </c>
      <c r="AA297" s="420">
        <v>0</v>
      </c>
      <c r="AB297" s="420">
        <v>0</v>
      </c>
      <c r="AC297" s="420">
        <f t="shared" si="208"/>
        <v>2.8920000000000001E-2</v>
      </c>
      <c r="AD297" s="419">
        <f t="shared" si="209"/>
        <v>0</v>
      </c>
      <c r="AE297" s="419">
        <f t="shared" si="210"/>
        <v>0</v>
      </c>
      <c r="AF297" s="419">
        <f t="shared" si="211"/>
        <v>0</v>
      </c>
      <c r="AG297" s="454">
        <f t="shared" si="212"/>
        <v>0</v>
      </c>
      <c r="AH297" s="454">
        <f t="shared" si="234"/>
        <v>178.13</v>
      </c>
      <c r="AI297" s="421">
        <f t="shared" si="213"/>
        <v>0</v>
      </c>
      <c r="AJ297" s="421">
        <f t="shared" si="214"/>
        <v>0</v>
      </c>
      <c r="AK297" s="421">
        <f t="shared" si="215"/>
        <v>0</v>
      </c>
      <c r="AL297" s="472">
        <v>0</v>
      </c>
      <c r="AM297" s="422">
        <f t="shared" si="233"/>
        <v>0</v>
      </c>
      <c r="AN297" s="423">
        <f t="shared" si="216"/>
        <v>0</v>
      </c>
      <c r="AO297" s="421">
        <f t="shared" si="217"/>
        <v>0</v>
      </c>
      <c r="AP297" s="472">
        <v>0</v>
      </c>
      <c r="AQ297" s="472">
        <v>0</v>
      </c>
      <c r="AR297" s="472">
        <v>0</v>
      </c>
      <c r="AS297" s="475">
        <v>0</v>
      </c>
      <c r="AT297" s="475">
        <v>0</v>
      </c>
      <c r="AU297" s="475">
        <v>0</v>
      </c>
      <c r="AV297" s="454">
        <f t="shared" si="218"/>
        <v>178.13</v>
      </c>
      <c r="AW297" s="421">
        <f t="shared" si="219"/>
        <v>178.13</v>
      </c>
      <c r="AX297" s="455">
        <f t="shared" si="235"/>
        <v>1</v>
      </c>
      <c r="AY297" s="424">
        <f t="shared" si="220"/>
        <v>7.15</v>
      </c>
      <c r="AZ297" s="424">
        <f t="shared" si="221"/>
        <v>0</v>
      </c>
      <c r="BA297" s="424">
        <f t="shared" si="222"/>
        <v>6.17</v>
      </c>
      <c r="BB297" s="424">
        <f t="shared" si="223"/>
        <v>0</v>
      </c>
      <c r="BC297" s="424">
        <f t="shared" si="224"/>
        <v>0</v>
      </c>
      <c r="BD297" s="424">
        <f t="shared" si="225"/>
        <v>191.45</v>
      </c>
      <c r="BE297" s="452">
        <f t="shared" si="226"/>
        <v>191.45</v>
      </c>
      <c r="BF297" s="448">
        <f t="shared" si="227"/>
        <v>0</v>
      </c>
      <c r="BG297" s="456">
        <f t="shared" si="228"/>
        <v>80.739999999999995</v>
      </c>
      <c r="BH297" s="457">
        <f t="shared" si="195"/>
        <v>97.39</v>
      </c>
      <c r="BI297" s="407" t="s">
        <v>692</v>
      </c>
      <c r="BM297" s="429">
        <f>IF(BR297&gt;BR296,BM296,IF(BM296&lt;MiscData!$F$1,EOMONTH(BM296,1),EOMONTH(BM296,-11)))</f>
        <v>41882</v>
      </c>
      <c r="BN297" s="416" t="str">
        <f t="shared" si="196"/>
        <v>20140101KUCME291</v>
      </c>
      <c r="BO297" s="427" t="str">
        <f t="shared" si="197"/>
        <v>20140101LE</v>
      </c>
      <c r="BP297" s="407">
        <f>IF(BM297&lt;=MiscData!$B$23,MiscData!$C$23,IF(BM297&lt;=MiscData!$B$24,MiscData!$C$24,MiscData!$C$25))</f>
        <v>20140101</v>
      </c>
      <c r="BQ297" s="407" t="str">
        <f>VLOOKUP(BR297,MiscData!$V$4:$W$42,2,FALSE)</f>
        <v>KUCME291</v>
      </c>
      <c r="BR297" s="407">
        <f>IF(BR296=MiscData!$V$42,1,BR296+1)</f>
        <v>21</v>
      </c>
      <c r="BS297" s="407" t="str">
        <f>VLOOKUP(BQ297,MiscData!$W$4:$Y$42,3,FALSE)</f>
        <v>LE</v>
      </c>
    </row>
    <row r="298" spans="1:71" hidden="1">
      <c r="A298" s="416">
        <f t="shared" si="230"/>
        <v>274</v>
      </c>
      <c r="B298" s="416" t="str">
        <f t="shared" si="192"/>
        <v>Aug 2014</v>
      </c>
      <c r="C298" s="416" t="s">
        <v>21</v>
      </c>
      <c r="D298" s="417" t="str">
        <f t="shared" si="193"/>
        <v>TE</v>
      </c>
      <c r="E298" s="417" t="str">
        <f t="shared" si="194"/>
        <v>KUCME295</v>
      </c>
      <c r="F298" s="418">
        <f t="shared" si="198"/>
        <v>479</v>
      </c>
      <c r="G298" s="467">
        <v>2</v>
      </c>
      <c r="H298" s="418">
        <v>0</v>
      </c>
      <c r="I298" s="418">
        <v>0</v>
      </c>
      <c r="J298" s="418">
        <v>0</v>
      </c>
      <c r="K298" s="418">
        <f t="shared" si="199"/>
        <v>100946</v>
      </c>
      <c r="L298" s="481">
        <v>0</v>
      </c>
      <c r="M298" s="443">
        <f t="shared" si="200"/>
        <v>51.8</v>
      </c>
      <c r="N298" s="443">
        <f t="shared" si="201"/>
        <v>0</v>
      </c>
      <c r="O298" s="443">
        <f t="shared" si="202"/>
        <v>0</v>
      </c>
      <c r="P298" s="443">
        <f t="shared" si="203"/>
        <v>0</v>
      </c>
      <c r="Q298" s="443">
        <f t="shared" si="204"/>
        <v>0</v>
      </c>
      <c r="R298" s="443">
        <f t="shared" si="205"/>
        <v>0</v>
      </c>
      <c r="S298" s="484">
        <v>0</v>
      </c>
      <c r="T298" s="484">
        <v>0</v>
      </c>
      <c r="U298" s="484">
        <v>0</v>
      </c>
      <c r="V298" s="490">
        <v>0</v>
      </c>
      <c r="W298" s="490">
        <v>0</v>
      </c>
      <c r="X298" s="490">
        <v>0</v>
      </c>
      <c r="Y298" s="419">
        <f t="shared" si="206"/>
        <v>3.25</v>
      </c>
      <c r="Z298" s="420">
        <f t="shared" si="207"/>
        <v>7.9780000000000004E-2</v>
      </c>
      <c r="AA298" s="420">
        <v>0</v>
      </c>
      <c r="AB298" s="420">
        <v>0</v>
      </c>
      <c r="AC298" s="420">
        <f t="shared" si="208"/>
        <v>2.8920000000000001E-2</v>
      </c>
      <c r="AD298" s="419">
        <f t="shared" si="209"/>
        <v>0</v>
      </c>
      <c r="AE298" s="419">
        <f t="shared" si="210"/>
        <v>0</v>
      </c>
      <c r="AF298" s="419">
        <f t="shared" si="211"/>
        <v>0</v>
      </c>
      <c r="AG298" s="454">
        <f t="shared" si="212"/>
        <v>1563.25</v>
      </c>
      <c r="AH298" s="454">
        <f t="shared" si="234"/>
        <v>8053.47</v>
      </c>
      <c r="AI298" s="421">
        <f t="shared" si="213"/>
        <v>0</v>
      </c>
      <c r="AJ298" s="421">
        <f t="shared" si="214"/>
        <v>0</v>
      </c>
      <c r="AK298" s="421">
        <f t="shared" si="215"/>
        <v>0</v>
      </c>
      <c r="AL298" s="472">
        <v>0</v>
      </c>
      <c r="AM298" s="422">
        <f t="shared" si="233"/>
        <v>0</v>
      </c>
      <c r="AN298" s="423">
        <f t="shared" si="216"/>
        <v>0</v>
      </c>
      <c r="AO298" s="421">
        <f t="shared" si="217"/>
        <v>0</v>
      </c>
      <c r="AP298" s="472">
        <v>-6.71</v>
      </c>
      <c r="AQ298" s="472">
        <v>0.04</v>
      </c>
      <c r="AR298" s="472">
        <v>0</v>
      </c>
      <c r="AS298" s="475">
        <v>0</v>
      </c>
      <c r="AT298" s="475">
        <v>0</v>
      </c>
      <c r="AU298" s="475">
        <v>0</v>
      </c>
      <c r="AV298" s="454">
        <f t="shared" si="218"/>
        <v>9610.0500000000029</v>
      </c>
      <c r="AW298" s="421">
        <f t="shared" si="219"/>
        <v>9610.0499999999993</v>
      </c>
      <c r="AX298" s="455">
        <f t="shared" si="235"/>
        <v>0.99999999999999967</v>
      </c>
      <c r="AY298" s="424">
        <f t="shared" si="220"/>
        <v>102.92</v>
      </c>
      <c r="AZ298" s="424">
        <f t="shared" si="221"/>
        <v>0</v>
      </c>
      <c r="BA298" s="424">
        <f t="shared" si="222"/>
        <v>318.29000000000002</v>
      </c>
      <c r="BB298" s="424">
        <f t="shared" si="223"/>
        <v>0</v>
      </c>
      <c r="BC298" s="424">
        <f t="shared" si="224"/>
        <v>0</v>
      </c>
      <c r="BD298" s="424">
        <f t="shared" si="225"/>
        <v>10031.26</v>
      </c>
      <c r="BE298" s="452">
        <f t="shared" si="226"/>
        <v>10031.260000000004</v>
      </c>
      <c r="BF298" s="448">
        <f t="shared" si="227"/>
        <v>0</v>
      </c>
      <c r="BG298" s="456">
        <f t="shared" si="228"/>
        <v>2919.36</v>
      </c>
      <c r="BH298" s="457">
        <f t="shared" si="195"/>
        <v>5134.1499999999996</v>
      </c>
      <c r="BI298" s="407" t="s">
        <v>692</v>
      </c>
      <c r="BM298" s="429">
        <f>IF(BR298&gt;BR297,BM297,IF(BM297&lt;MiscData!$F$1,EOMONTH(BM297,1),EOMONTH(BM297,-11)))</f>
        <v>41882</v>
      </c>
      <c r="BN298" s="416" t="str">
        <f t="shared" si="196"/>
        <v>20140101KUCME295</v>
      </c>
      <c r="BO298" s="427" t="str">
        <f t="shared" si="197"/>
        <v>20140101TE</v>
      </c>
      <c r="BP298" s="407">
        <f>IF(BM298&lt;=MiscData!$B$23,MiscData!$C$23,IF(BM298&lt;=MiscData!$B$24,MiscData!$C$24,MiscData!$C$25))</f>
        <v>20140101</v>
      </c>
      <c r="BQ298" s="407" t="str">
        <f>VLOOKUP(BR298,MiscData!$V$4:$W$42,2,FALSE)</f>
        <v>KUCME295</v>
      </c>
      <c r="BR298" s="407">
        <f>IF(BR297=MiscData!$V$42,1,BR297+1)</f>
        <v>22</v>
      </c>
      <c r="BS298" s="407" t="str">
        <f>VLOOKUP(BQ298,MiscData!$W$4:$Y$42,3,FALSE)</f>
        <v>TE</v>
      </c>
    </row>
    <row r="299" spans="1:71" hidden="1">
      <c r="A299" s="416">
        <f t="shared" si="230"/>
        <v>275</v>
      </c>
      <c r="B299" s="416" t="str">
        <f t="shared" si="192"/>
        <v>Aug 2014</v>
      </c>
      <c r="C299" s="416" t="s">
        <v>21</v>
      </c>
      <c r="D299" s="417" t="str">
        <f t="shared" si="193"/>
        <v>TE</v>
      </c>
      <c r="E299" s="417" t="str">
        <f t="shared" si="194"/>
        <v>KUCME297</v>
      </c>
      <c r="F299" s="418">
        <f t="shared" si="198"/>
        <v>272</v>
      </c>
      <c r="G299" s="467">
        <v>0</v>
      </c>
      <c r="H299" s="418">
        <v>0</v>
      </c>
      <c r="I299" s="418">
        <v>0</v>
      </c>
      <c r="J299" s="418">
        <v>0</v>
      </c>
      <c r="K299" s="418">
        <f t="shared" si="199"/>
        <v>14416</v>
      </c>
      <c r="L299" s="481">
        <v>0</v>
      </c>
      <c r="M299" s="443">
        <f t="shared" si="200"/>
        <v>0</v>
      </c>
      <c r="N299" s="443">
        <f t="shared" si="201"/>
        <v>0</v>
      </c>
      <c r="O299" s="443">
        <f t="shared" si="202"/>
        <v>0</v>
      </c>
      <c r="P299" s="443">
        <f t="shared" si="203"/>
        <v>0</v>
      </c>
      <c r="Q299" s="443">
        <f t="shared" si="204"/>
        <v>0</v>
      </c>
      <c r="R299" s="443">
        <f t="shared" si="205"/>
        <v>0</v>
      </c>
      <c r="S299" s="484">
        <v>0</v>
      </c>
      <c r="T299" s="484">
        <v>0</v>
      </c>
      <c r="U299" s="484">
        <v>0</v>
      </c>
      <c r="V299" s="490">
        <v>0</v>
      </c>
      <c r="W299" s="490">
        <v>0</v>
      </c>
      <c r="X299" s="490">
        <v>0</v>
      </c>
      <c r="Y299" s="419">
        <f t="shared" si="206"/>
        <v>3.25</v>
      </c>
      <c r="Z299" s="420">
        <f t="shared" si="207"/>
        <v>7.9780000000000004E-2</v>
      </c>
      <c r="AA299" s="420">
        <v>0</v>
      </c>
      <c r="AB299" s="420">
        <v>0</v>
      </c>
      <c r="AC299" s="420">
        <f t="shared" si="208"/>
        <v>2.8920000000000001E-2</v>
      </c>
      <c r="AD299" s="419">
        <f t="shared" si="209"/>
        <v>0</v>
      </c>
      <c r="AE299" s="419">
        <f t="shared" si="210"/>
        <v>0</v>
      </c>
      <c r="AF299" s="419">
        <f t="shared" si="211"/>
        <v>0</v>
      </c>
      <c r="AG299" s="454">
        <f t="shared" si="212"/>
        <v>884</v>
      </c>
      <c r="AH299" s="454">
        <f t="shared" si="234"/>
        <v>1150.1099999999999</v>
      </c>
      <c r="AI299" s="421">
        <f t="shared" si="213"/>
        <v>0</v>
      </c>
      <c r="AJ299" s="421">
        <f t="shared" si="214"/>
        <v>0</v>
      </c>
      <c r="AK299" s="421">
        <f t="shared" si="215"/>
        <v>0</v>
      </c>
      <c r="AL299" s="472">
        <v>0</v>
      </c>
      <c r="AM299" s="422">
        <f t="shared" si="233"/>
        <v>0</v>
      </c>
      <c r="AN299" s="423">
        <f t="shared" si="216"/>
        <v>0</v>
      </c>
      <c r="AO299" s="421">
        <f t="shared" si="217"/>
        <v>0</v>
      </c>
      <c r="AP299" s="472">
        <v>0</v>
      </c>
      <c r="AQ299" s="472">
        <v>0.45</v>
      </c>
      <c r="AR299" s="472">
        <v>0</v>
      </c>
      <c r="AS299" s="475">
        <v>0</v>
      </c>
      <c r="AT299" s="475">
        <v>0</v>
      </c>
      <c r="AU299" s="475">
        <v>0</v>
      </c>
      <c r="AV299" s="454">
        <f t="shared" si="218"/>
        <v>2034.56</v>
      </c>
      <c r="AW299" s="421">
        <f t="shared" si="219"/>
        <v>2034.56</v>
      </c>
      <c r="AX299" s="455">
        <f t="shared" si="235"/>
        <v>1</v>
      </c>
      <c r="AY299" s="424">
        <f t="shared" si="220"/>
        <v>-10.88</v>
      </c>
      <c r="AZ299" s="424">
        <f t="shared" si="221"/>
        <v>0</v>
      </c>
      <c r="BA299" s="424">
        <f t="shared" si="222"/>
        <v>65.28</v>
      </c>
      <c r="BB299" s="424">
        <f t="shared" si="223"/>
        <v>0</v>
      </c>
      <c r="BC299" s="424">
        <f t="shared" si="224"/>
        <v>0</v>
      </c>
      <c r="BD299" s="424">
        <f t="shared" si="225"/>
        <v>2088.96</v>
      </c>
      <c r="BE299" s="452">
        <f t="shared" si="226"/>
        <v>2088.96</v>
      </c>
      <c r="BF299" s="448">
        <f t="shared" si="227"/>
        <v>0</v>
      </c>
      <c r="BG299" s="456">
        <f t="shared" si="228"/>
        <v>416.91</v>
      </c>
      <c r="BH299" s="457">
        <f t="shared" si="195"/>
        <v>733.64999999999986</v>
      </c>
      <c r="BI299" s="407" t="s">
        <v>692</v>
      </c>
      <c r="BM299" s="429">
        <f>IF(BR299&gt;BR298,BM298,IF(BM298&lt;MiscData!$F$1,EOMONTH(BM298,1),EOMONTH(BM298,-11)))</f>
        <v>41882</v>
      </c>
      <c r="BN299" s="416" t="str">
        <f t="shared" si="196"/>
        <v>20140101KUCME297</v>
      </c>
      <c r="BO299" s="427" t="str">
        <f t="shared" si="197"/>
        <v>20140101TE</v>
      </c>
      <c r="BP299" s="407">
        <f>IF(BM299&lt;=MiscData!$B$23,MiscData!$C$23,IF(BM299&lt;=MiscData!$B$24,MiscData!$C$24,MiscData!$C$25))</f>
        <v>20140101</v>
      </c>
      <c r="BQ299" s="407" t="str">
        <f>VLOOKUP(BR299,MiscData!$V$4:$W$42,2,FALSE)</f>
        <v>KUCME297</v>
      </c>
      <c r="BR299" s="407">
        <f>IF(BR298=MiscData!$V$42,1,BR298+1)</f>
        <v>23</v>
      </c>
      <c r="BS299" s="407" t="str">
        <f>VLOOKUP(BQ299,MiscData!$W$4:$Y$42,3,FALSE)</f>
        <v>TE</v>
      </c>
    </row>
    <row r="300" spans="1:71" hidden="1">
      <c r="A300" s="416">
        <f t="shared" si="230"/>
        <v>276</v>
      </c>
      <c r="B300" s="416" t="str">
        <f t="shared" si="192"/>
        <v>Aug 2014</v>
      </c>
      <c r="C300" s="416" t="s">
        <v>727</v>
      </c>
      <c r="D300" s="417" t="str">
        <f t="shared" si="193"/>
        <v>SQF</v>
      </c>
      <c r="E300" s="417" t="str">
        <f t="shared" si="194"/>
        <v>KUCME705</v>
      </c>
      <c r="F300" s="418">
        <f t="shared" si="198"/>
        <v>0</v>
      </c>
      <c r="G300" s="467">
        <v>0</v>
      </c>
      <c r="H300" s="418">
        <v>0</v>
      </c>
      <c r="I300" s="418">
        <v>0</v>
      </c>
      <c r="J300" s="418">
        <v>0</v>
      </c>
      <c r="K300" s="418">
        <f t="shared" si="199"/>
        <v>0</v>
      </c>
      <c r="L300" s="481">
        <v>0</v>
      </c>
      <c r="M300" s="443">
        <f t="shared" si="200"/>
        <v>0</v>
      </c>
      <c r="N300" s="443">
        <f t="shared" si="201"/>
        <v>0</v>
      </c>
      <c r="O300" s="443">
        <f t="shared" si="202"/>
        <v>0</v>
      </c>
      <c r="P300" s="443">
        <f t="shared" si="203"/>
        <v>0</v>
      </c>
      <c r="Q300" s="443">
        <f t="shared" si="204"/>
        <v>0</v>
      </c>
      <c r="R300" s="443">
        <f t="shared" si="205"/>
        <v>0</v>
      </c>
      <c r="S300" s="484">
        <v>0</v>
      </c>
      <c r="T300" s="484">
        <v>0</v>
      </c>
      <c r="U300" s="484">
        <v>0</v>
      </c>
      <c r="V300" s="490">
        <v>0</v>
      </c>
      <c r="W300" s="490">
        <v>0</v>
      </c>
      <c r="X300" s="490">
        <v>0</v>
      </c>
      <c r="Y300" s="419">
        <f t="shared" si="206"/>
        <v>0</v>
      </c>
      <c r="Z300" s="420">
        <f t="shared" si="207"/>
        <v>0</v>
      </c>
      <c r="AA300" s="420">
        <v>0</v>
      </c>
      <c r="AB300" s="420">
        <v>0</v>
      </c>
      <c r="AC300" s="420">
        <f t="shared" si="208"/>
        <v>0</v>
      </c>
      <c r="AD300" s="419">
        <f t="shared" si="209"/>
        <v>0</v>
      </c>
      <c r="AE300" s="419">
        <f t="shared" si="210"/>
        <v>0</v>
      </c>
      <c r="AF300" s="419">
        <f t="shared" si="211"/>
        <v>0</v>
      </c>
      <c r="AG300" s="454">
        <f t="shared" si="212"/>
        <v>0</v>
      </c>
      <c r="AH300" s="454">
        <f t="shared" si="234"/>
        <v>0</v>
      </c>
      <c r="AI300" s="421">
        <f t="shared" si="213"/>
        <v>0</v>
      </c>
      <c r="AJ300" s="421">
        <f t="shared" si="214"/>
        <v>0</v>
      </c>
      <c r="AK300" s="421">
        <f t="shared" si="215"/>
        <v>0</v>
      </c>
      <c r="AL300" s="472">
        <v>0</v>
      </c>
      <c r="AM300" s="422">
        <f t="shared" si="233"/>
        <v>0</v>
      </c>
      <c r="AN300" s="423">
        <f t="shared" si="216"/>
        <v>0</v>
      </c>
      <c r="AO300" s="421">
        <f t="shared" si="217"/>
        <v>0</v>
      </c>
      <c r="AP300" s="472">
        <v>0</v>
      </c>
      <c r="AQ300" s="472">
        <v>0</v>
      </c>
      <c r="AR300" s="472">
        <v>0</v>
      </c>
      <c r="AS300" s="475">
        <v>0</v>
      </c>
      <c r="AT300" s="475">
        <v>0</v>
      </c>
      <c r="AU300" s="475">
        <v>0</v>
      </c>
      <c r="AV300" s="454">
        <f t="shared" si="218"/>
        <v>0</v>
      </c>
      <c r="AW300" s="421">
        <f t="shared" si="219"/>
        <v>0</v>
      </c>
      <c r="AX300" s="455">
        <f t="shared" si="235"/>
        <v>1</v>
      </c>
      <c r="AY300" s="424">
        <f t="shared" si="220"/>
        <v>0</v>
      </c>
      <c r="AZ300" s="424">
        <f t="shared" si="221"/>
        <v>0</v>
      </c>
      <c r="BA300" s="424">
        <f t="shared" si="222"/>
        <v>0</v>
      </c>
      <c r="BB300" s="424">
        <f t="shared" si="223"/>
        <v>0</v>
      </c>
      <c r="BC300" s="424">
        <f t="shared" si="224"/>
        <v>0</v>
      </c>
      <c r="BD300" s="424">
        <f t="shared" si="225"/>
        <v>0</v>
      </c>
      <c r="BE300" s="452">
        <f t="shared" si="226"/>
        <v>0</v>
      </c>
      <c r="BF300" s="448">
        <f t="shared" si="227"/>
        <v>0</v>
      </c>
      <c r="BG300" s="456">
        <f t="shared" si="228"/>
        <v>0</v>
      </c>
      <c r="BH300" s="457">
        <f t="shared" si="195"/>
        <v>0</v>
      </c>
      <c r="BI300" s="407" t="s">
        <v>692</v>
      </c>
      <c r="BM300" s="429">
        <f>IF(BR300&gt;BR299,BM299,IF(BM299&lt;MiscData!$F$1,EOMONTH(BM299,1),EOMONTH(BM299,-11)))</f>
        <v>41882</v>
      </c>
      <c r="BN300" s="416" t="str">
        <f t="shared" si="196"/>
        <v>20140101KUCME705</v>
      </c>
      <c r="BO300" s="427" t="str">
        <f t="shared" si="197"/>
        <v>20140101SQF</v>
      </c>
      <c r="BP300" s="407">
        <f>IF(BM300&lt;=MiscData!$B$23,MiscData!$C$23,IF(BM300&lt;=MiscData!$B$24,MiscData!$C$24,MiscData!$C$25))</f>
        <v>20140101</v>
      </c>
      <c r="BQ300" s="407" t="str">
        <f>VLOOKUP(BR300,MiscData!$V$4:$W$42,2,FALSE)</f>
        <v>KUCME705</v>
      </c>
      <c r="BR300" s="407">
        <f>IF(BR299=MiscData!$V$42,1,BR299+1)</f>
        <v>24</v>
      </c>
      <c r="BS300" s="407" t="str">
        <f>VLOOKUP(BQ300,MiscData!$W$4:$Y$42,3,FALSE)</f>
        <v>SQF</v>
      </c>
    </row>
    <row r="301" spans="1:71" hidden="1">
      <c r="A301" s="416">
        <f t="shared" si="230"/>
        <v>277</v>
      </c>
      <c r="B301" s="416" t="str">
        <f t="shared" si="192"/>
        <v>Aug 2014</v>
      </c>
      <c r="C301" s="416" t="s">
        <v>1052</v>
      </c>
      <c r="D301" s="417" t="str">
        <f t="shared" si="193"/>
        <v>LQF</v>
      </c>
      <c r="E301" s="417" t="str">
        <f t="shared" si="194"/>
        <v>KUCME707</v>
      </c>
      <c r="F301" s="418">
        <f t="shared" si="198"/>
        <v>0</v>
      </c>
      <c r="G301" s="467">
        <v>0</v>
      </c>
      <c r="H301" s="418">
        <v>0</v>
      </c>
      <c r="I301" s="418">
        <v>0</v>
      </c>
      <c r="J301" s="418">
        <v>0</v>
      </c>
      <c r="K301" s="418">
        <f t="shared" si="199"/>
        <v>0</v>
      </c>
      <c r="L301" s="481">
        <v>0</v>
      </c>
      <c r="M301" s="443">
        <f t="shared" si="200"/>
        <v>0</v>
      </c>
      <c r="N301" s="443">
        <f t="shared" si="201"/>
        <v>0</v>
      </c>
      <c r="O301" s="443">
        <f t="shared" si="202"/>
        <v>0</v>
      </c>
      <c r="P301" s="443">
        <f t="shared" si="203"/>
        <v>0</v>
      </c>
      <c r="Q301" s="443">
        <f t="shared" si="204"/>
        <v>0</v>
      </c>
      <c r="R301" s="443">
        <f t="shared" si="205"/>
        <v>0</v>
      </c>
      <c r="S301" s="484">
        <v>0</v>
      </c>
      <c r="T301" s="484">
        <v>0</v>
      </c>
      <c r="U301" s="484">
        <v>0</v>
      </c>
      <c r="V301" s="490">
        <v>0</v>
      </c>
      <c r="W301" s="490">
        <v>0</v>
      </c>
      <c r="X301" s="490">
        <v>0</v>
      </c>
      <c r="Y301" s="419">
        <f t="shared" si="206"/>
        <v>0</v>
      </c>
      <c r="Z301" s="420">
        <f t="shared" si="207"/>
        <v>0</v>
      </c>
      <c r="AA301" s="420">
        <v>0</v>
      </c>
      <c r="AB301" s="420">
        <v>0</v>
      </c>
      <c r="AC301" s="420">
        <f t="shared" si="208"/>
        <v>0</v>
      </c>
      <c r="AD301" s="419">
        <f t="shared" si="209"/>
        <v>0</v>
      </c>
      <c r="AE301" s="419">
        <f t="shared" si="210"/>
        <v>0</v>
      </c>
      <c r="AF301" s="419">
        <f t="shared" si="211"/>
        <v>0</v>
      </c>
      <c r="AG301" s="454">
        <f t="shared" si="212"/>
        <v>0</v>
      </c>
      <c r="AH301" s="454">
        <f t="shared" si="234"/>
        <v>0</v>
      </c>
      <c r="AI301" s="421">
        <f t="shared" si="213"/>
        <v>0</v>
      </c>
      <c r="AJ301" s="421">
        <f t="shared" si="214"/>
        <v>0</v>
      </c>
      <c r="AK301" s="421">
        <f t="shared" si="215"/>
        <v>0</v>
      </c>
      <c r="AL301" s="472">
        <v>0</v>
      </c>
      <c r="AM301" s="422">
        <f t="shared" si="233"/>
        <v>0</v>
      </c>
      <c r="AN301" s="423">
        <f t="shared" si="216"/>
        <v>0</v>
      </c>
      <c r="AO301" s="421">
        <f t="shared" si="217"/>
        <v>0</v>
      </c>
      <c r="AP301" s="472">
        <v>0</v>
      </c>
      <c r="AQ301" s="472">
        <v>0</v>
      </c>
      <c r="AR301" s="472">
        <v>0</v>
      </c>
      <c r="AS301" s="475">
        <v>0</v>
      </c>
      <c r="AT301" s="475">
        <v>0</v>
      </c>
      <c r="AU301" s="475">
        <v>0</v>
      </c>
      <c r="AV301" s="454">
        <f t="shared" si="218"/>
        <v>0</v>
      </c>
      <c r="AW301" s="421">
        <f t="shared" si="219"/>
        <v>0</v>
      </c>
      <c r="AX301" s="455">
        <f t="shared" si="235"/>
        <v>1</v>
      </c>
      <c r="AY301" s="424">
        <f t="shared" si="220"/>
        <v>0</v>
      </c>
      <c r="AZ301" s="424">
        <f t="shared" si="221"/>
        <v>0</v>
      </c>
      <c r="BA301" s="424">
        <f t="shared" si="222"/>
        <v>0</v>
      </c>
      <c r="BB301" s="424">
        <f t="shared" si="223"/>
        <v>0</v>
      </c>
      <c r="BC301" s="424">
        <f t="shared" si="224"/>
        <v>0</v>
      </c>
      <c r="BD301" s="424">
        <f t="shared" si="225"/>
        <v>0</v>
      </c>
      <c r="BE301" s="452">
        <f t="shared" si="226"/>
        <v>0</v>
      </c>
      <c r="BF301" s="448">
        <f t="shared" si="227"/>
        <v>0</v>
      </c>
      <c r="BG301" s="456">
        <f t="shared" si="228"/>
        <v>0</v>
      </c>
      <c r="BH301" s="457">
        <f t="shared" si="195"/>
        <v>0</v>
      </c>
      <c r="BI301" s="407" t="s">
        <v>692</v>
      </c>
      <c r="BM301" s="429">
        <f>IF(BR301&gt;BR300,BM300,IF(BM300&lt;MiscData!$F$1,EOMONTH(BM300,1),EOMONTH(BM300,-11)))</f>
        <v>41882</v>
      </c>
      <c r="BN301" s="416" t="str">
        <f t="shared" si="196"/>
        <v>20140101KUCME707</v>
      </c>
      <c r="BO301" s="427" t="str">
        <f t="shared" si="197"/>
        <v>20140101LQF</v>
      </c>
      <c r="BP301" s="407">
        <f>IF(BM301&lt;=MiscData!$B$23,MiscData!$C$23,IF(BM301&lt;=MiscData!$B$24,MiscData!$C$24,MiscData!$C$25))</f>
        <v>20140101</v>
      </c>
      <c r="BQ301" s="407" t="str">
        <f>VLOOKUP(BR301,MiscData!$V$4:$W$42,2,FALSE)</f>
        <v>KUCME707</v>
      </c>
      <c r="BR301" s="407">
        <f>IF(BR300=MiscData!$V$42,1,BR300+1)</f>
        <v>25</v>
      </c>
      <c r="BS301" s="407" t="str">
        <f>VLOOKUP(BQ301,MiscData!$W$4:$Y$42,3,FALSE)</f>
        <v>LQF</v>
      </c>
    </row>
    <row r="302" spans="1:71" hidden="1">
      <c r="A302" s="416">
        <f t="shared" si="230"/>
        <v>278</v>
      </c>
      <c r="B302" s="416" t="str">
        <f t="shared" si="192"/>
        <v>Aug 2014</v>
      </c>
      <c r="C302" s="416" t="s">
        <v>224</v>
      </c>
      <c r="D302" s="417" t="str">
        <f t="shared" si="193"/>
        <v>GS</v>
      </c>
      <c r="E302" s="417" t="str">
        <f t="shared" si="194"/>
        <v>KUCME710</v>
      </c>
      <c r="F302" s="418">
        <f t="shared" si="198"/>
        <v>11</v>
      </c>
      <c r="G302" s="467">
        <v>0</v>
      </c>
      <c r="H302" s="418">
        <v>0</v>
      </c>
      <c r="I302" s="418">
        <v>0</v>
      </c>
      <c r="J302" s="418">
        <v>0</v>
      </c>
      <c r="K302" s="418">
        <f t="shared" si="199"/>
        <v>5785</v>
      </c>
      <c r="L302" s="459">
        <v>0</v>
      </c>
      <c r="M302" s="443">
        <f t="shared" si="200"/>
        <v>0</v>
      </c>
      <c r="N302" s="443">
        <f t="shared" si="201"/>
        <v>0</v>
      </c>
      <c r="O302" s="443">
        <f t="shared" si="202"/>
        <v>0</v>
      </c>
      <c r="P302" s="443">
        <f t="shared" si="203"/>
        <v>0</v>
      </c>
      <c r="Q302" s="443">
        <f t="shared" si="204"/>
        <v>0</v>
      </c>
      <c r="R302" s="443">
        <f t="shared" si="205"/>
        <v>0</v>
      </c>
      <c r="S302" s="484">
        <v>0</v>
      </c>
      <c r="T302" s="484">
        <v>0</v>
      </c>
      <c r="U302" s="484">
        <v>0</v>
      </c>
      <c r="V302" s="490">
        <v>0</v>
      </c>
      <c r="W302" s="490">
        <v>0</v>
      </c>
      <c r="X302" s="490">
        <v>0</v>
      </c>
      <c r="Y302" s="419">
        <f t="shared" si="206"/>
        <v>20</v>
      </c>
      <c r="Z302" s="420">
        <f t="shared" si="207"/>
        <v>9.2249999999999999E-2</v>
      </c>
      <c r="AA302" s="420">
        <v>0</v>
      </c>
      <c r="AB302" s="420">
        <v>0</v>
      </c>
      <c r="AC302" s="420">
        <f t="shared" si="208"/>
        <v>2.8920000000000001E-2</v>
      </c>
      <c r="AD302" s="419">
        <f t="shared" si="209"/>
        <v>0</v>
      </c>
      <c r="AE302" s="419">
        <f t="shared" si="210"/>
        <v>0</v>
      </c>
      <c r="AF302" s="419">
        <f t="shared" si="211"/>
        <v>0</v>
      </c>
      <c r="AG302" s="454">
        <f t="shared" si="212"/>
        <v>220</v>
      </c>
      <c r="AH302" s="454">
        <f t="shared" si="234"/>
        <v>533.66999999999996</v>
      </c>
      <c r="AI302" s="421">
        <f t="shared" si="213"/>
        <v>0</v>
      </c>
      <c r="AJ302" s="421">
        <f t="shared" si="214"/>
        <v>0</v>
      </c>
      <c r="AK302" s="421">
        <f t="shared" si="215"/>
        <v>0</v>
      </c>
      <c r="AL302" s="472">
        <v>0</v>
      </c>
      <c r="AM302" s="422">
        <f t="shared" si="233"/>
        <v>0</v>
      </c>
      <c r="AN302" s="423">
        <f t="shared" si="216"/>
        <v>0</v>
      </c>
      <c r="AO302" s="421">
        <f t="shared" si="217"/>
        <v>0</v>
      </c>
      <c r="AP302" s="472">
        <v>-18.57</v>
      </c>
      <c r="AQ302" s="472">
        <v>-0.01</v>
      </c>
      <c r="AR302" s="472">
        <v>0</v>
      </c>
      <c r="AS302" s="475">
        <v>0</v>
      </c>
      <c r="AT302" s="475">
        <v>0</v>
      </c>
      <c r="AU302" s="475">
        <v>0</v>
      </c>
      <c r="AV302" s="454">
        <f t="shared" si="218"/>
        <v>735.08999999999992</v>
      </c>
      <c r="AW302" s="421">
        <f t="shared" si="219"/>
        <v>735.09</v>
      </c>
      <c r="AX302" s="455">
        <f t="shared" ref="AX302:AX315" si="236">IF(AND(AV302=0,AW302=0),1,IF(AV302=0,0,AW302/AV302))</f>
        <v>1.0000000000000002</v>
      </c>
      <c r="AY302" s="424">
        <f t="shared" si="220"/>
        <v>-4.4400000000000004</v>
      </c>
      <c r="AZ302" s="424">
        <f t="shared" si="221"/>
        <v>17.36</v>
      </c>
      <c r="BA302" s="424">
        <f t="shared" si="222"/>
        <v>32.700000000000003</v>
      </c>
      <c r="BB302" s="424">
        <f t="shared" si="223"/>
        <v>0</v>
      </c>
      <c r="BC302" s="424">
        <f t="shared" si="224"/>
        <v>0</v>
      </c>
      <c r="BD302" s="424">
        <f t="shared" si="225"/>
        <v>780.71</v>
      </c>
      <c r="BE302" s="452">
        <f t="shared" si="226"/>
        <v>780.70999999999992</v>
      </c>
      <c r="BF302" s="448">
        <f t="shared" si="227"/>
        <v>0</v>
      </c>
      <c r="BG302" s="456">
        <f t="shared" si="228"/>
        <v>167.3</v>
      </c>
      <c r="BH302" s="457">
        <f t="shared" si="195"/>
        <v>366.35999999999996</v>
      </c>
      <c r="BI302" s="407" t="s">
        <v>692</v>
      </c>
      <c r="BM302" s="429">
        <f>IF(BR302&gt;BR301,BM301,IF(BM301&lt;MiscData!$F$1,EOMONTH(BM301,1),EOMONTH(BM301,-11)))</f>
        <v>41882</v>
      </c>
      <c r="BN302" s="416" t="str">
        <f t="shared" si="196"/>
        <v>20140101KUCME710</v>
      </c>
      <c r="BO302" s="427" t="str">
        <f t="shared" si="197"/>
        <v>20140101GS</v>
      </c>
      <c r="BP302" s="407">
        <f>IF(BM302&lt;=MiscData!$B$23,MiscData!$C$23,IF(BM302&lt;=MiscData!$B$24,MiscData!$C$24,MiscData!$C$25))</f>
        <v>20140101</v>
      </c>
      <c r="BQ302" s="407" t="str">
        <f>VLOOKUP(BR302,MiscData!$V$4:$W$42,2,FALSE)</f>
        <v>KUCME710</v>
      </c>
      <c r="BR302" s="407">
        <f>IF(BR301=MiscData!$V$42,1,BR301+1)</f>
        <v>26</v>
      </c>
      <c r="BS302" s="407" t="str">
        <f>VLOOKUP(BQ302,MiscData!$W$4:$Y$42,3,FALSE)</f>
        <v>GS</v>
      </c>
    </row>
    <row r="303" spans="1:71" hidden="1">
      <c r="A303" s="416">
        <f t="shared" si="230"/>
        <v>279</v>
      </c>
      <c r="B303" s="416" t="str">
        <f t="shared" si="192"/>
        <v>Aug 2014</v>
      </c>
      <c r="C303" s="416" t="s">
        <v>18</v>
      </c>
      <c r="D303" s="417" t="str">
        <f t="shared" si="193"/>
        <v>GS3</v>
      </c>
      <c r="E303" s="417" t="str">
        <f t="shared" si="194"/>
        <v>KUCME713</v>
      </c>
      <c r="F303" s="418">
        <f t="shared" si="198"/>
        <v>2</v>
      </c>
      <c r="G303" s="467">
        <v>0</v>
      </c>
      <c r="H303" s="418">
        <v>0</v>
      </c>
      <c r="I303" s="418">
        <v>0</v>
      </c>
      <c r="J303" s="418">
        <v>0</v>
      </c>
      <c r="K303" s="418">
        <f t="shared" si="199"/>
        <v>10120</v>
      </c>
      <c r="L303" s="459">
        <v>0</v>
      </c>
      <c r="M303" s="443">
        <f t="shared" si="200"/>
        <v>65.3</v>
      </c>
      <c r="N303" s="443">
        <f t="shared" si="201"/>
        <v>0</v>
      </c>
      <c r="O303" s="443">
        <f t="shared" si="202"/>
        <v>0</v>
      </c>
      <c r="P303" s="443">
        <f t="shared" si="203"/>
        <v>0</v>
      </c>
      <c r="Q303" s="443">
        <f t="shared" si="204"/>
        <v>0</v>
      </c>
      <c r="R303" s="443">
        <f t="shared" si="205"/>
        <v>0</v>
      </c>
      <c r="S303" s="484">
        <v>0</v>
      </c>
      <c r="T303" s="484">
        <v>0</v>
      </c>
      <c r="U303" s="484">
        <v>0</v>
      </c>
      <c r="V303" s="490">
        <v>0</v>
      </c>
      <c r="W303" s="490">
        <v>0</v>
      </c>
      <c r="X303" s="490">
        <v>0</v>
      </c>
      <c r="Y303" s="419">
        <f t="shared" si="206"/>
        <v>35</v>
      </c>
      <c r="Z303" s="420">
        <f t="shared" si="207"/>
        <v>9.2249999999999999E-2</v>
      </c>
      <c r="AA303" s="420">
        <v>0</v>
      </c>
      <c r="AB303" s="420">
        <v>0</v>
      </c>
      <c r="AC303" s="420">
        <f t="shared" si="208"/>
        <v>2.8920000000000001E-2</v>
      </c>
      <c r="AD303" s="419">
        <f t="shared" si="209"/>
        <v>0</v>
      </c>
      <c r="AE303" s="419">
        <f t="shared" si="210"/>
        <v>0</v>
      </c>
      <c r="AF303" s="419">
        <f t="shared" si="211"/>
        <v>0</v>
      </c>
      <c r="AG303" s="454">
        <f t="shared" si="212"/>
        <v>70</v>
      </c>
      <c r="AH303" s="454">
        <f t="shared" si="234"/>
        <v>933.57</v>
      </c>
      <c r="AI303" s="421">
        <f t="shared" si="213"/>
        <v>0</v>
      </c>
      <c r="AJ303" s="421">
        <f t="shared" si="214"/>
        <v>0</v>
      </c>
      <c r="AK303" s="421">
        <f t="shared" si="215"/>
        <v>0</v>
      </c>
      <c r="AL303" s="472">
        <v>0</v>
      </c>
      <c r="AM303" s="422">
        <f t="shared" si="233"/>
        <v>0</v>
      </c>
      <c r="AN303" s="423">
        <f t="shared" si="216"/>
        <v>0</v>
      </c>
      <c r="AO303" s="421">
        <f t="shared" si="217"/>
        <v>0</v>
      </c>
      <c r="AP303" s="472">
        <v>0</v>
      </c>
      <c r="AQ303" s="472">
        <v>0</v>
      </c>
      <c r="AR303" s="472">
        <v>0</v>
      </c>
      <c r="AS303" s="475">
        <v>0</v>
      </c>
      <c r="AT303" s="475">
        <v>0</v>
      </c>
      <c r="AU303" s="475">
        <v>0</v>
      </c>
      <c r="AV303" s="454">
        <f t="shared" si="218"/>
        <v>1003.57</v>
      </c>
      <c r="AW303" s="421">
        <f t="shared" si="219"/>
        <v>1003.5699999999999</v>
      </c>
      <c r="AX303" s="455">
        <f t="shared" si="236"/>
        <v>0.99999999999999989</v>
      </c>
      <c r="AY303" s="424">
        <f t="shared" si="220"/>
        <v>-7.79</v>
      </c>
      <c r="AZ303" s="424">
        <f t="shared" si="221"/>
        <v>7.44</v>
      </c>
      <c r="BA303" s="424">
        <f t="shared" si="222"/>
        <v>40.15</v>
      </c>
      <c r="BB303" s="424">
        <f t="shared" si="223"/>
        <v>0</v>
      </c>
      <c r="BC303" s="424">
        <f t="shared" si="224"/>
        <v>0</v>
      </c>
      <c r="BD303" s="424">
        <f t="shared" si="225"/>
        <v>1043.3699999999999</v>
      </c>
      <c r="BE303" s="452">
        <f t="shared" si="226"/>
        <v>1043.3700000000001</v>
      </c>
      <c r="BF303" s="448">
        <f t="shared" si="227"/>
        <v>0</v>
      </c>
      <c r="BG303" s="456">
        <f t="shared" si="228"/>
        <v>292.67</v>
      </c>
      <c r="BH303" s="457">
        <f t="shared" si="195"/>
        <v>640.90000000000009</v>
      </c>
      <c r="BI303" s="407" t="s">
        <v>692</v>
      </c>
      <c r="BM303" s="429">
        <f>IF(BR303&gt;BR302,BM302,IF(BM302&lt;MiscData!$F$1,EOMONTH(BM302,1),EOMONTH(BM302,-11)))</f>
        <v>41882</v>
      </c>
      <c r="BN303" s="416" t="str">
        <f t="shared" si="196"/>
        <v>20140101KUCME713</v>
      </c>
      <c r="BO303" s="427" t="str">
        <f t="shared" si="197"/>
        <v>20140101GS3</v>
      </c>
      <c r="BP303" s="407">
        <f>IF(BM303&lt;=MiscData!$B$23,MiscData!$C$23,IF(BM303&lt;=MiscData!$B$24,MiscData!$C$24,MiscData!$C$25))</f>
        <v>20140101</v>
      </c>
      <c r="BQ303" s="407" t="str">
        <f>VLOOKUP(BR303,MiscData!$V$4:$W$42,2,FALSE)</f>
        <v>KUCME713</v>
      </c>
      <c r="BR303" s="407">
        <f>IF(BR302=MiscData!$V$42,1,BR302+1)</f>
        <v>27</v>
      </c>
      <c r="BS303" s="407" t="str">
        <f>VLOOKUP(BQ303,MiscData!$W$4:$Y$42,3,FALSE)</f>
        <v>GS3</v>
      </c>
    </row>
    <row r="304" spans="1:71" hidden="1">
      <c r="A304" s="416">
        <f t="shared" si="230"/>
        <v>280</v>
      </c>
      <c r="B304" s="416" t="str">
        <f t="shared" si="192"/>
        <v>Aug 2014</v>
      </c>
      <c r="C304" s="416" t="s">
        <v>1459</v>
      </c>
      <c r="D304" s="417" t="str">
        <f t="shared" si="193"/>
        <v>CSR10</v>
      </c>
      <c r="E304" s="417" t="str">
        <f t="shared" si="194"/>
        <v>KUCSR760</v>
      </c>
      <c r="F304" s="418">
        <f t="shared" si="198"/>
        <v>1</v>
      </c>
      <c r="G304" s="467">
        <v>0</v>
      </c>
      <c r="H304" s="418">
        <v>0</v>
      </c>
      <c r="I304" s="418">
        <v>0</v>
      </c>
      <c r="J304" s="418">
        <v>0</v>
      </c>
      <c r="K304" s="418">
        <f t="shared" si="199"/>
        <v>0</v>
      </c>
      <c r="L304" s="481">
        <v>0</v>
      </c>
      <c r="M304" s="443">
        <f t="shared" si="200"/>
        <v>0</v>
      </c>
      <c r="N304" s="443">
        <f t="shared" si="201"/>
        <v>0</v>
      </c>
      <c r="O304" s="443">
        <f t="shared" si="202"/>
        <v>0</v>
      </c>
      <c r="P304" s="443">
        <f t="shared" si="203"/>
        <v>0</v>
      </c>
      <c r="Q304" s="443">
        <f t="shared" si="204"/>
        <v>0</v>
      </c>
      <c r="R304" s="443">
        <f t="shared" si="205"/>
        <v>0</v>
      </c>
      <c r="S304" s="484">
        <v>0</v>
      </c>
      <c r="T304" s="484">
        <v>0</v>
      </c>
      <c r="U304" s="484">
        <v>0</v>
      </c>
      <c r="V304" s="490">
        <v>0</v>
      </c>
      <c r="W304" s="490">
        <v>0</v>
      </c>
      <c r="X304" s="490">
        <v>0</v>
      </c>
      <c r="Y304" s="419">
        <f t="shared" si="206"/>
        <v>0</v>
      </c>
      <c r="Z304" s="420">
        <f t="shared" si="207"/>
        <v>0</v>
      </c>
      <c r="AA304" s="420">
        <v>0</v>
      </c>
      <c r="AB304" s="420">
        <v>0</v>
      </c>
      <c r="AC304" s="420">
        <f t="shared" si="208"/>
        <v>0</v>
      </c>
      <c r="AD304" s="419">
        <f t="shared" si="209"/>
        <v>-5.4</v>
      </c>
      <c r="AE304" s="419">
        <f t="shared" si="210"/>
        <v>0</v>
      </c>
      <c r="AF304" s="419">
        <f t="shared" si="211"/>
        <v>0</v>
      </c>
      <c r="AG304" s="454">
        <f t="shared" si="212"/>
        <v>0</v>
      </c>
      <c r="AH304" s="454">
        <f t="shared" si="234"/>
        <v>0</v>
      </c>
      <c r="AI304" s="421">
        <f t="shared" si="213"/>
        <v>0</v>
      </c>
      <c r="AJ304" s="421">
        <f t="shared" si="214"/>
        <v>0</v>
      </c>
      <c r="AK304" s="421">
        <f t="shared" si="215"/>
        <v>0</v>
      </c>
      <c r="AL304" s="472">
        <v>0</v>
      </c>
      <c r="AM304" s="422">
        <f t="shared" si="233"/>
        <v>0</v>
      </c>
      <c r="AN304" s="423">
        <f t="shared" si="216"/>
        <v>0</v>
      </c>
      <c r="AO304" s="421">
        <f t="shared" si="217"/>
        <v>0</v>
      </c>
      <c r="AP304" s="472">
        <v>0</v>
      </c>
      <c r="AQ304" s="472">
        <v>0</v>
      </c>
      <c r="AR304" s="472">
        <v>0</v>
      </c>
      <c r="AS304" s="475">
        <v>0</v>
      </c>
      <c r="AT304" s="475">
        <v>0</v>
      </c>
      <c r="AU304" s="475">
        <v>0</v>
      </c>
      <c r="AV304" s="454">
        <f t="shared" si="218"/>
        <v>0</v>
      </c>
      <c r="AW304" s="421">
        <f t="shared" si="219"/>
        <v>0</v>
      </c>
      <c r="AX304" s="455">
        <f t="shared" si="236"/>
        <v>1</v>
      </c>
      <c r="AY304" s="424">
        <f t="shared" si="220"/>
        <v>0</v>
      </c>
      <c r="AZ304" s="424">
        <f t="shared" si="221"/>
        <v>0</v>
      </c>
      <c r="BA304" s="424">
        <f t="shared" si="222"/>
        <v>0</v>
      </c>
      <c r="BB304" s="424">
        <f t="shared" si="223"/>
        <v>0</v>
      </c>
      <c r="BC304" s="424">
        <f t="shared" si="224"/>
        <v>-1013676.34</v>
      </c>
      <c r="BD304" s="424">
        <f t="shared" si="225"/>
        <v>-1013676.34</v>
      </c>
      <c r="BE304" s="452">
        <f t="shared" si="226"/>
        <v>-1013676.34</v>
      </c>
      <c r="BF304" s="448">
        <f t="shared" si="227"/>
        <v>0</v>
      </c>
      <c r="BG304" s="456">
        <f t="shared" si="228"/>
        <v>0</v>
      </c>
      <c r="BH304" s="457">
        <f t="shared" si="195"/>
        <v>0</v>
      </c>
      <c r="BI304" s="407" t="s">
        <v>692</v>
      </c>
      <c r="BM304" s="429">
        <f>IF(BR304&gt;BR303,BM303,IF(BM303&lt;MiscData!$F$1,EOMONTH(BM303,1),EOMONTH(BM303,-11)))</f>
        <v>41882</v>
      </c>
      <c r="BN304" s="416" t="str">
        <f t="shared" si="196"/>
        <v>20140101KUCSR760</v>
      </c>
      <c r="BO304" s="427" t="str">
        <f t="shared" si="197"/>
        <v>20140101CSR10</v>
      </c>
      <c r="BP304" s="407">
        <f>IF(BM304&lt;=MiscData!$B$23,MiscData!$C$23,IF(BM304&lt;=MiscData!$B$24,MiscData!$C$24,MiscData!$C$25))</f>
        <v>20140101</v>
      </c>
      <c r="BQ304" s="407" t="str">
        <f>VLOOKUP(BR304,MiscData!$V$4:$W$42,2,FALSE)</f>
        <v>KUCSR760</v>
      </c>
      <c r="BR304" s="407">
        <f>IF(BR303=MiscData!$V$42,1,BR303+1)</f>
        <v>28</v>
      </c>
      <c r="BS304" s="407" t="str">
        <f>VLOOKUP(BQ304,MiscData!$W$4:$Y$42,3,FALSE)</f>
        <v>CSR10</v>
      </c>
    </row>
    <row r="305" spans="1:72" hidden="1">
      <c r="A305" s="416">
        <f>A301+1</f>
        <v>278</v>
      </c>
      <c r="B305" s="416" t="str">
        <f t="shared" si="192"/>
        <v>Aug 2014</v>
      </c>
      <c r="C305" s="416" t="s">
        <v>1459</v>
      </c>
      <c r="D305" s="417" t="str">
        <f t="shared" si="193"/>
        <v>CSR10</v>
      </c>
      <c r="E305" s="417" t="str">
        <f t="shared" si="194"/>
        <v>KUCSR761</v>
      </c>
      <c r="F305" s="418">
        <f t="shared" si="198"/>
        <v>0</v>
      </c>
      <c r="G305" s="467">
        <v>0</v>
      </c>
      <c r="H305" s="418">
        <v>0</v>
      </c>
      <c r="I305" s="418">
        <v>0</v>
      </c>
      <c r="J305" s="418">
        <v>0</v>
      </c>
      <c r="K305" s="418">
        <f t="shared" si="199"/>
        <v>0</v>
      </c>
      <c r="L305" s="481">
        <v>0</v>
      </c>
      <c r="M305" s="443">
        <f t="shared" si="200"/>
        <v>0</v>
      </c>
      <c r="N305" s="443">
        <f t="shared" si="201"/>
        <v>0</v>
      </c>
      <c r="O305" s="443">
        <f t="shared" si="202"/>
        <v>0</v>
      </c>
      <c r="P305" s="443">
        <f t="shared" si="203"/>
        <v>0</v>
      </c>
      <c r="Q305" s="443">
        <f t="shared" si="204"/>
        <v>0</v>
      </c>
      <c r="R305" s="443">
        <f t="shared" si="205"/>
        <v>0</v>
      </c>
      <c r="S305" s="484">
        <v>0</v>
      </c>
      <c r="T305" s="484">
        <v>0</v>
      </c>
      <c r="U305" s="484">
        <v>0</v>
      </c>
      <c r="V305" s="490">
        <v>0</v>
      </c>
      <c r="W305" s="490">
        <v>0</v>
      </c>
      <c r="X305" s="490">
        <v>0</v>
      </c>
      <c r="Y305" s="419">
        <f t="shared" si="206"/>
        <v>0</v>
      </c>
      <c r="Z305" s="420">
        <f t="shared" si="207"/>
        <v>0</v>
      </c>
      <c r="AA305" s="420">
        <v>0</v>
      </c>
      <c r="AB305" s="420">
        <v>0</v>
      </c>
      <c r="AC305" s="420">
        <f t="shared" si="208"/>
        <v>0</v>
      </c>
      <c r="AD305" s="419">
        <f t="shared" si="209"/>
        <v>-5.5</v>
      </c>
      <c r="AE305" s="419">
        <f t="shared" si="210"/>
        <v>0</v>
      </c>
      <c r="AF305" s="419">
        <f t="shared" si="211"/>
        <v>0</v>
      </c>
      <c r="AG305" s="454">
        <f t="shared" si="212"/>
        <v>0</v>
      </c>
      <c r="AH305" s="454">
        <f t="shared" si="234"/>
        <v>0</v>
      </c>
      <c r="AI305" s="421">
        <f t="shared" si="213"/>
        <v>0</v>
      </c>
      <c r="AJ305" s="421">
        <f t="shared" si="214"/>
        <v>0</v>
      </c>
      <c r="AK305" s="421">
        <f t="shared" si="215"/>
        <v>0</v>
      </c>
      <c r="AL305" s="472">
        <v>0</v>
      </c>
      <c r="AM305" s="422">
        <f t="shared" si="233"/>
        <v>0</v>
      </c>
      <c r="AN305" s="423">
        <f t="shared" si="216"/>
        <v>0</v>
      </c>
      <c r="AO305" s="421">
        <f t="shared" si="217"/>
        <v>0</v>
      </c>
      <c r="AP305" s="472">
        <v>0</v>
      </c>
      <c r="AQ305" s="472">
        <v>0</v>
      </c>
      <c r="AR305" s="472">
        <v>0</v>
      </c>
      <c r="AS305" s="475">
        <v>0</v>
      </c>
      <c r="AT305" s="475">
        <v>0</v>
      </c>
      <c r="AU305" s="475">
        <v>0</v>
      </c>
      <c r="AV305" s="454">
        <f t="shared" si="218"/>
        <v>0</v>
      </c>
      <c r="AW305" s="421">
        <f t="shared" si="219"/>
        <v>0</v>
      </c>
      <c r="AX305" s="455">
        <f t="shared" si="236"/>
        <v>1</v>
      </c>
      <c r="AY305" s="424">
        <f t="shared" si="220"/>
        <v>0</v>
      </c>
      <c r="AZ305" s="424">
        <f t="shared" si="221"/>
        <v>0</v>
      </c>
      <c r="BA305" s="424">
        <f t="shared" si="222"/>
        <v>0</v>
      </c>
      <c r="BB305" s="424">
        <f t="shared" si="223"/>
        <v>0</v>
      </c>
      <c r="BC305" s="424">
        <f t="shared" si="224"/>
        <v>0</v>
      </c>
      <c r="BD305" s="424">
        <f t="shared" si="225"/>
        <v>0</v>
      </c>
      <c r="BE305" s="452">
        <f t="shared" si="226"/>
        <v>0</v>
      </c>
      <c r="BF305" s="448">
        <f t="shared" si="227"/>
        <v>0</v>
      </c>
      <c r="BG305" s="456">
        <f t="shared" si="228"/>
        <v>0</v>
      </c>
      <c r="BH305" s="457">
        <f t="shared" si="195"/>
        <v>0</v>
      </c>
      <c r="BI305" s="407" t="s">
        <v>692</v>
      </c>
      <c r="BM305" s="429">
        <f>IF(BR305&gt;BR301,BM301,IF(BM301&lt;MiscData!$F$1,EOMONTH(BM301,1),EOMONTH(BM301,-11)))</f>
        <v>41882</v>
      </c>
      <c r="BN305" s="416" t="str">
        <f t="shared" si="196"/>
        <v>20140101KUCSR761</v>
      </c>
      <c r="BO305" s="427" t="str">
        <f t="shared" si="197"/>
        <v>20140101CSR10</v>
      </c>
      <c r="BP305" s="407">
        <f>IF(BM305&lt;=MiscData!$B$23,MiscData!$C$23,IF(BM305&lt;=MiscData!$B$24,MiscData!$C$24,MiscData!$C$25))</f>
        <v>20140101</v>
      </c>
      <c r="BQ305" s="407" t="str">
        <f>VLOOKUP(BR305,MiscData!$V$4:$W$42,2,FALSE)</f>
        <v>KUCSR761</v>
      </c>
      <c r="BR305" s="407">
        <f>IF(BR304=MiscData!$V$42,1,BR304+1)</f>
        <v>29</v>
      </c>
      <c r="BS305" s="407" t="str">
        <f>VLOOKUP(BQ305,MiscData!$W$4:$Y$42,3,FALSE)</f>
        <v>CSR10</v>
      </c>
    </row>
    <row r="306" spans="1:72" hidden="1">
      <c r="A306" s="416">
        <f>A302+1</f>
        <v>279</v>
      </c>
      <c r="B306" s="416" t="str">
        <f t="shared" si="192"/>
        <v>Aug 2014</v>
      </c>
      <c r="C306" s="416" t="s">
        <v>1460</v>
      </c>
      <c r="D306" s="417" t="str">
        <f t="shared" si="193"/>
        <v>CSR30</v>
      </c>
      <c r="E306" s="417" t="str">
        <f t="shared" si="194"/>
        <v>KUCSR780</v>
      </c>
      <c r="F306" s="418">
        <f t="shared" si="198"/>
        <v>1</v>
      </c>
      <c r="G306" s="467">
        <v>0</v>
      </c>
      <c r="H306" s="418">
        <v>0</v>
      </c>
      <c r="I306" s="418">
        <v>0</v>
      </c>
      <c r="J306" s="418">
        <v>0</v>
      </c>
      <c r="K306" s="418">
        <f t="shared" si="199"/>
        <v>0</v>
      </c>
      <c r="L306" s="481">
        <v>0</v>
      </c>
      <c r="M306" s="443">
        <f t="shared" si="200"/>
        <v>0</v>
      </c>
      <c r="N306" s="443">
        <f t="shared" si="201"/>
        <v>0</v>
      </c>
      <c r="O306" s="443">
        <f t="shared" si="202"/>
        <v>0</v>
      </c>
      <c r="P306" s="443">
        <f t="shared" si="203"/>
        <v>0</v>
      </c>
      <c r="Q306" s="443">
        <f t="shared" si="204"/>
        <v>0</v>
      </c>
      <c r="R306" s="443">
        <f t="shared" si="205"/>
        <v>0</v>
      </c>
      <c r="S306" s="484">
        <v>0</v>
      </c>
      <c r="T306" s="484">
        <v>0</v>
      </c>
      <c r="U306" s="484">
        <v>0</v>
      </c>
      <c r="V306" s="490">
        <v>0</v>
      </c>
      <c r="W306" s="490">
        <v>0</v>
      </c>
      <c r="X306" s="490">
        <v>0</v>
      </c>
      <c r="Y306" s="419">
        <f t="shared" si="206"/>
        <v>0</v>
      </c>
      <c r="Z306" s="420">
        <f t="shared" si="207"/>
        <v>0</v>
      </c>
      <c r="AA306" s="420">
        <v>0</v>
      </c>
      <c r="AB306" s="420">
        <v>0</v>
      </c>
      <c r="AC306" s="420">
        <f t="shared" si="208"/>
        <v>0</v>
      </c>
      <c r="AD306" s="419">
        <f t="shared" si="209"/>
        <v>-4.3</v>
      </c>
      <c r="AE306" s="419">
        <f t="shared" si="210"/>
        <v>0</v>
      </c>
      <c r="AF306" s="419">
        <f t="shared" si="211"/>
        <v>0</v>
      </c>
      <c r="AG306" s="454">
        <f t="shared" si="212"/>
        <v>0</v>
      </c>
      <c r="AH306" s="454">
        <f t="shared" si="234"/>
        <v>0</v>
      </c>
      <c r="AI306" s="421">
        <f t="shared" si="213"/>
        <v>0</v>
      </c>
      <c r="AJ306" s="421">
        <f t="shared" si="214"/>
        <v>0</v>
      </c>
      <c r="AK306" s="421">
        <f t="shared" si="215"/>
        <v>0</v>
      </c>
      <c r="AL306" s="472">
        <v>0</v>
      </c>
      <c r="AM306" s="422">
        <f t="shared" si="233"/>
        <v>0</v>
      </c>
      <c r="AN306" s="423">
        <f t="shared" si="216"/>
        <v>0</v>
      </c>
      <c r="AO306" s="421">
        <f t="shared" si="217"/>
        <v>0</v>
      </c>
      <c r="AP306" s="472">
        <v>0</v>
      </c>
      <c r="AQ306" s="472">
        <v>0</v>
      </c>
      <c r="AR306" s="472">
        <v>0</v>
      </c>
      <c r="AS306" s="475">
        <v>0</v>
      </c>
      <c r="AT306" s="475">
        <v>0</v>
      </c>
      <c r="AU306" s="475">
        <v>0</v>
      </c>
      <c r="AV306" s="454">
        <f t="shared" si="218"/>
        <v>0</v>
      </c>
      <c r="AW306" s="421">
        <f t="shared" si="219"/>
        <v>0</v>
      </c>
      <c r="AX306" s="455">
        <f t="shared" si="236"/>
        <v>1</v>
      </c>
      <c r="AY306" s="424">
        <f t="shared" si="220"/>
        <v>0</v>
      </c>
      <c r="AZ306" s="424">
        <f t="shared" si="221"/>
        <v>0</v>
      </c>
      <c r="BA306" s="424">
        <f t="shared" si="222"/>
        <v>0</v>
      </c>
      <c r="BB306" s="424">
        <f t="shared" si="223"/>
        <v>0</v>
      </c>
      <c r="BC306" s="424">
        <f t="shared" si="224"/>
        <v>-23449.66</v>
      </c>
      <c r="BD306" s="424">
        <f t="shared" si="225"/>
        <v>-23449.66</v>
      </c>
      <c r="BE306" s="452">
        <f t="shared" si="226"/>
        <v>-23449.66</v>
      </c>
      <c r="BF306" s="448">
        <f t="shared" si="227"/>
        <v>0</v>
      </c>
      <c r="BG306" s="456">
        <f t="shared" si="228"/>
        <v>0</v>
      </c>
      <c r="BH306" s="457">
        <f t="shared" si="195"/>
        <v>0</v>
      </c>
      <c r="BI306" s="407" t="s">
        <v>692</v>
      </c>
      <c r="BM306" s="429">
        <f>IF(BR306&gt;BR302,BM302,IF(BM302&lt;MiscData!$F$1,EOMONTH(BM302,1),EOMONTH(BM302,-11)))</f>
        <v>41882</v>
      </c>
      <c r="BN306" s="416" t="str">
        <f t="shared" si="196"/>
        <v>20140101KUCSR780</v>
      </c>
      <c r="BO306" s="427" t="str">
        <f t="shared" si="197"/>
        <v>20140101CSR30</v>
      </c>
      <c r="BP306" s="407">
        <f>IF(BM306&lt;=MiscData!$B$23,MiscData!$C$23,IF(BM306&lt;=MiscData!$B$24,MiscData!$C$24,MiscData!$C$25))</f>
        <v>20140101</v>
      </c>
      <c r="BQ306" s="407" t="str">
        <f>VLOOKUP(BR306,MiscData!$V$4:$W$42,2,FALSE)</f>
        <v>KUCSR780</v>
      </c>
      <c r="BR306" s="407">
        <f>IF(BR305=MiscData!$V$42,1,BR305+1)</f>
        <v>30</v>
      </c>
      <c r="BS306" s="407" t="str">
        <f>VLOOKUP(BQ306,MiscData!$W$4:$Y$42,3,FALSE)</f>
        <v>CSR30</v>
      </c>
    </row>
    <row r="307" spans="1:72" hidden="1">
      <c r="A307" s="416">
        <f>A303+1</f>
        <v>280</v>
      </c>
      <c r="B307" s="416" t="str">
        <f t="shared" si="192"/>
        <v>Aug 2014</v>
      </c>
      <c r="C307" s="416" t="s">
        <v>1460</v>
      </c>
      <c r="D307" s="417" t="str">
        <f t="shared" si="193"/>
        <v>CSR30</v>
      </c>
      <c r="E307" s="417" t="str">
        <f t="shared" si="194"/>
        <v>KUCSR781</v>
      </c>
      <c r="F307" s="418">
        <f t="shared" si="198"/>
        <v>2</v>
      </c>
      <c r="G307" s="467">
        <v>0</v>
      </c>
      <c r="H307" s="418">
        <v>0</v>
      </c>
      <c r="I307" s="418">
        <v>0</v>
      </c>
      <c r="J307" s="418">
        <v>0</v>
      </c>
      <c r="K307" s="418">
        <f t="shared" si="199"/>
        <v>0</v>
      </c>
      <c r="L307" s="481">
        <v>0</v>
      </c>
      <c r="M307" s="443">
        <f t="shared" si="200"/>
        <v>0</v>
      </c>
      <c r="N307" s="443">
        <f t="shared" si="201"/>
        <v>0</v>
      </c>
      <c r="O307" s="443">
        <f t="shared" si="202"/>
        <v>0</v>
      </c>
      <c r="P307" s="443">
        <f t="shared" si="203"/>
        <v>0</v>
      </c>
      <c r="Q307" s="443">
        <f t="shared" si="204"/>
        <v>0</v>
      </c>
      <c r="R307" s="443">
        <f t="shared" si="205"/>
        <v>0</v>
      </c>
      <c r="S307" s="484">
        <v>0</v>
      </c>
      <c r="T307" s="484">
        <v>0</v>
      </c>
      <c r="U307" s="484">
        <v>0</v>
      </c>
      <c r="V307" s="490">
        <v>0</v>
      </c>
      <c r="W307" s="490">
        <v>0</v>
      </c>
      <c r="X307" s="490">
        <v>0</v>
      </c>
      <c r="Y307" s="419">
        <f t="shared" si="206"/>
        <v>0</v>
      </c>
      <c r="Z307" s="420">
        <f t="shared" si="207"/>
        <v>0</v>
      </c>
      <c r="AA307" s="420">
        <v>0</v>
      </c>
      <c r="AB307" s="420">
        <v>0</v>
      </c>
      <c r="AC307" s="420">
        <f t="shared" si="208"/>
        <v>0</v>
      </c>
      <c r="AD307" s="419">
        <f t="shared" si="209"/>
        <v>-4.4000000000000004</v>
      </c>
      <c r="AE307" s="419">
        <f t="shared" si="210"/>
        <v>0</v>
      </c>
      <c r="AF307" s="419">
        <f t="shared" si="211"/>
        <v>0</v>
      </c>
      <c r="AG307" s="454">
        <f t="shared" si="212"/>
        <v>0</v>
      </c>
      <c r="AH307" s="454">
        <f t="shared" si="234"/>
        <v>0</v>
      </c>
      <c r="AI307" s="421">
        <f t="shared" si="213"/>
        <v>0</v>
      </c>
      <c r="AJ307" s="421">
        <f t="shared" si="214"/>
        <v>0</v>
      </c>
      <c r="AK307" s="421">
        <f t="shared" si="215"/>
        <v>0</v>
      </c>
      <c r="AL307" s="472">
        <v>0</v>
      </c>
      <c r="AM307" s="422">
        <f t="shared" si="233"/>
        <v>0</v>
      </c>
      <c r="AN307" s="423">
        <f t="shared" si="216"/>
        <v>0</v>
      </c>
      <c r="AO307" s="421">
        <f t="shared" si="217"/>
        <v>0</v>
      </c>
      <c r="AP307" s="472">
        <v>0</v>
      </c>
      <c r="AQ307" s="472">
        <v>0</v>
      </c>
      <c r="AR307" s="472">
        <v>0</v>
      </c>
      <c r="AS307" s="475">
        <v>0</v>
      </c>
      <c r="AT307" s="475">
        <v>0</v>
      </c>
      <c r="AU307" s="475">
        <v>0</v>
      </c>
      <c r="AV307" s="454">
        <f t="shared" si="218"/>
        <v>0</v>
      </c>
      <c r="AW307" s="421">
        <f t="shared" si="219"/>
        <v>0</v>
      </c>
      <c r="AX307" s="455">
        <f t="shared" si="236"/>
        <v>1</v>
      </c>
      <c r="AY307" s="424">
        <f t="shared" si="220"/>
        <v>0</v>
      </c>
      <c r="AZ307" s="424">
        <f t="shared" si="221"/>
        <v>0</v>
      </c>
      <c r="BA307" s="424">
        <f t="shared" si="222"/>
        <v>0</v>
      </c>
      <c r="BB307" s="424">
        <f t="shared" si="223"/>
        <v>0</v>
      </c>
      <c r="BC307" s="424">
        <f t="shared" si="224"/>
        <v>-51492.4</v>
      </c>
      <c r="BD307" s="424">
        <f t="shared" si="225"/>
        <v>-51492.4</v>
      </c>
      <c r="BE307" s="452">
        <f t="shared" si="226"/>
        <v>-51492.4</v>
      </c>
      <c r="BF307" s="448">
        <f t="shared" si="227"/>
        <v>0</v>
      </c>
      <c r="BG307" s="456">
        <f t="shared" si="228"/>
        <v>0</v>
      </c>
      <c r="BH307" s="457">
        <f t="shared" si="195"/>
        <v>0</v>
      </c>
      <c r="BI307" s="407" t="s">
        <v>692</v>
      </c>
      <c r="BM307" s="429">
        <f>IF(BR307&gt;BR303,BM303,IF(BM303&lt;MiscData!$F$1,EOMONTH(BM303,1),EOMONTH(BM303,-11)))</f>
        <v>41882</v>
      </c>
      <c r="BN307" s="416" t="str">
        <f t="shared" si="196"/>
        <v>20140101KUCSR781</v>
      </c>
      <c r="BO307" s="427" t="str">
        <f t="shared" si="197"/>
        <v>20140101CSR30</v>
      </c>
      <c r="BP307" s="407">
        <f>IF(BM307&lt;=MiscData!$B$23,MiscData!$C$23,IF(BM307&lt;=MiscData!$B$24,MiscData!$C$24,MiscData!$C$25))</f>
        <v>20140101</v>
      </c>
      <c r="BQ307" s="407" t="str">
        <f>VLOOKUP(BR307,MiscData!$V$4:$W$42,2,FALSE)</f>
        <v>KUCSR781</v>
      </c>
      <c r="BR307" s="407">
        <f>IF(BR306=MiscData!$V$42,1,BR306+1)</f>
        <v>31</v>
      </c>
      <c r="BS307" s="407" t="str">
        <f>VLOOKUP(BQ307,MiscData!$W$4:$Y$42,3,FALSE)</f>
        <v>CSR30</v>
      </c>
    </row>
    <row r="308" spans="1:72" hidden="1">
      <c r="A308" s="416">
        <f>A304+1</f>
        <v>281</v>
      </c>
      <c r="B308" s="416" t="str">
        <f t="shared" si="192"/>
        <v>Aug 2014</v>
      </c>
      <c r="C308" s="416" t="s">
        <v>1460</v>
      </c>
      <c r="D308" s="417" t="str">
        <f t="shared" si="193"/>
        <v>CSR30</v>
      </c>
      <c r="E308" s="417" t="str">
        <f t="shared" si="194"/>
        <v>KUCSR783</v>
      </c>
      <c r="F308" s="418">
        <f t="shared" si="198"/>
        <v>1</v>
      </c>
      <c r="G308" s="467">
        <v>0</v>
      </c>
      <c r="H308" s="418">
        <v>0</v>
      </c>
      <c r="I308" s="418">
        <v>0</v>
      </c>
      <c r="J308" s="418">
        <v>0</v>
      </c>
      <c r="K308" s="418">
        <f t="shared" si="199"/>
        <v>0</v>
      </c>
      <c r="L308" s="481">
        <v>0</v>
      </c>
      <c r="M308" s="443">
        <f t="shared" si="200"/>
        <v>0</v>
      </c>
      <c r="N308" s="443">
        <f t="shared" si="201"/>
        <v>0</v>
      </c>
      <c r="O308" s="443">
        <f t="shared" si="202"/>
        <v>0</v>
      </c>
      <c r="P308" s="443">
        <f t="shared" si="203"/>
        <v>0</v>
      </c>
      <c r="Q308" s="443">
        <f t="shared" si="204"/>
        <v>0</v>
      </c>
      <c r="R308" s="443">
        <f t="shared" si="205"/>
        <v>0</v>
      </c>
      <c r="S308" s="484">
        <v>0</v>
      </c>
      <c r="T308" s="484">
        <v>0</v>
      </c>
      <c r="U308" s="484">
        <v>0</v>
      </c>
      <c r="V308" s="490">
        <v>0</v>
      </c>
      <c r="W308" s="490">
        <v>0</v>
      </c>
      <c r="X308" s="490">
        <v>0</v>
      </c>
      <c r="Y308" s="419">
        <f t="shared" si="206"/>
        <v>0</v>
      </c>
      <c r="Z308" s="420">
        <f t="shared" si="207"/>
        <v>0</v>
      </c>
      <c r="AA308" s="420">
        <v>0</v>
      </c>
      <c r="AB308" s="420">
        <v>0</v>
      </c>
      <c r="AC308" s="420">
        <f t="shared" si="208"/>
        <v>0</v>
      </c>
      <c r="AD308" s="419">
        <f t="shared" si="209"/>
        <v>-4.4000000000000004</v>
      </c>
      <c r="AE308" s="419">
        <f t="shared" si="210"/>
        <v>0</v>
      </c>
      <c r="AF308" s="419">
        <f t="shared" si="211"/>
        <v>0</v>
      </c>
      <c r="AG308" s="454">
        <f t="shared" si="212"/>
        <v>0</v>
      </c>
      <c r="AH308" s="454">
        <f t="shared" si="234"/>
        <v>0</v>
      </c>
      <c r="AI308" s="421">
        <f t="shared" si="213"/>
        <v>0</v>
      </c>
      <c r="AJ308" s="421">
        <f t="shared" si="214"/>
        <v>0</v>
      </c>
      <c r="AK308" s="421">
        <f t="shared" si="215"/>
        <v>0</v>
      </c>
      <c r="AL308" s="472">
        <v>0</v>
      </c>
      <c r="AM308" s="422">
        <f t="shared" si="233"/>
        <v>0</v>
      </c>
      <c r="AN308" s="423">
        <f t="shared" si="216"/>
        <v>0</v>
      </c>
      <c r="AO308" s="421">
        <f t="shared" si="217"/>
        <v>0</v>
      </c>
      <c r="AP308" s="472">
        <v>0</v>
      </c>
      <c r="AQ308" s="472">
        <v>0</v>
      </c>
      <c r="AR308" s="472">
        <v>0</v>
      </c>
      <c r="AS308" s="475">
        <v>0</v>
      </c>
      <c r="AT308" s="475">
        <v>0</v>
      </c>
      <c r="AU308" s="475">
        <v>0</v>
      </c>
      <c r="AV308" s="454">
        <f t="shared" si="218"/>
        <v>0</v>
      </c>
      <c r="AW308" s="421">
        <f t="shared" si="219"/>
        <v>0</v>
      </c>
      <c r="AX308" s="455">
        <f t="shared" si="236"/>
        <v>1</v>
      </c>
      <c r="AY308" s="424">
        <f t="shared" si="220"/>
        <v>0</v>
      </c>
      <c r="AZ308" s="424">
        <f t="shared" si="221"/>
        <v>0</v>
      </c>
      <c r="BA308" s="424">
        <f t="shared" si="222"/>
        <v>0</v>
      </c>
      <c r="BB308" s="424">
        <f t="shared" si="223"/>
        <v>0</v>
      </c>
      <c r="BC308" s="424">
        <f t="shared" si="224"/>
        <v>-8800</v>
      </c>
      <c r="BD308" s="424">
        <f t="shared" si="225"/>
        <v>-8800</v>
      </c>
      <c r="BE308" s="452">
        <f t="shared" si="226"/>
        <v>-8800</v>
      </c>
      <c r="BF308" s="448">
        <f t="shared" si="227"/>
        <v>0</v>
      </c>
      <c r="BG308" s="456">
        <f t="shared" si="228"/>
        <v>0</v>
      </c>
      <c r="BH308" s="457">
        <f t="shared" si="195"/>
        <v>0</v>
      </c>
      <c r="BI308" s="407" t="s">
        <v>692</v>
      </c>
      <c r="BM308" s="429">
        <f>IF(BR308&gt;BR304,BM304,IF(BM304&lt;MiscData!$F$1,EOMONTH(BM304,1),EOMONTH(BM304,-11)))</f>
        <v>41882</v>
      </c>
      <c r="BN308" s="416" t="str">
        <f t="shared" si="196"/>
        <v>20140101KUCSR783</v>
      </c>
      <c r="BO308" s="427" t="str">
        <f t="shared" si="197"/>
        <v>20140101CSR30</v>
      </c>
      <c r="BP308" s="407">
        <f>IF(BM308&lt;=MiscData!$B$23,MiscData!$C$23,IF(BM308&lt;=MiscData!$B$24,MiscData!$C$24,MiscData!$C$25))</f>
        <v>20140101</v>
      </c>
      <c r="BQ308" s="407" t="str">
        <f>VLOOKUP(BR308,MiscData!$V$4:$W$42,2,FALSE)</f>
        <v>KUCSR783</v>
      </c>
      <c r="BR308" s="407">
        <f>IF(BR307=MiscData!$V$42,1,BR307+1)</f>
        <v>32</v>
      </c>
      <c r="BS308" s="407" t="str">
        <f>VLOOKUP(BQ308,MiscData!$W$4:$Y$42,3,FALSE)</f>
        <v>CSR30</v>
      </c>
    </row>
    <row r="309" spans="1:72" hidden="1">
      <c r="A309" s="416">
        <f t="shared" ref="A309:A343" si="237">A308+1</f>
        <v>282</v>
      </c>
      <c r="B309" s="416" t="str">
        <f t="shared" si="192"/>
        <v>Aug 2014</v>
      </c>
      <c r="C309" s="837" t="s">
        <v>675</v>
      </c>
      <c r="D309" s="417" t="str">
        <f t="shared" si="193"/>
        <v>FLST</v>
      </c>
      <c r="E309" s="417" t="str">
        <f t="shared" si="194"/>
        <v>KUINE730</v>
      </c>
      <c r="F309" s="418">
        <f t="shared" si="198"/>
        <v>1</v>
      </c>
      <c r="G309" s="467">
        <v>0</v>
      </c>
      <c r="H309" s="418">
        <v>0</v>
      </c>
      <c r="I309" s="418">
        <v>0</v>
      </c>
      <c r="J309" s="418">
        <v>0</v>
      </c>
      <c r="K309" s="418">
        <f t="shared" si="199"/>
        <v>46872000</v>
      </c>
      <c r="L309" s="481">
        <v>0</v>
      </c>
      <c r="M309" s="443">
        <f t="shared" si="200"/>
        <v>191717.9</v>
      </c>
      <c r="N309" s="443">
        <f t="shared" si="201"/>
        <v>191717.9</v>
      </c>
      <c r="O309" s="443">
        <f t="shared" si="202"/>
        <v>138467.9</v>
      </c>
      <c r="P309" s="443">
        <f t="shared" si="203"/>
        <v>191717.9</v>
      </c>
      <c r="Q309" s="443">
        <f t="shared" si="204"/>
        <v>191717.9</v>
      </c>
      <c r="R309" s="443">
        <f t="shared" si="205"/>
        <v>138467.9</v>
      </c>
      <c r="S309" s="484">
        <v>0</v>
      </c>
      <c r="T309" s="484">
        <v>0</v>
      </c>
      <c r="U309" s="484">
        <v>0</v>
      </c>
      <c r="V309" s="490">
        <v>0</v>
      </c>
      <c r="W309" s="490">
        <v>0</v>
      </c>
      <c r="X309" s="490">
        <v>0</v>
      </c>
      <c r="Y309" s="419">
        <f t="shared" si="206"/>
        <v>750</v>
      </c>
      <c r="Z309" s="420">
        <f t="shared" si="207"/>
        <v>3.261E-2</v>
      </c>
      <c r="AA309" s="420">
        <v>0</v>
      </c>
      <c r="AB309" s="420">
        <v>0</v>
      </c>
      <c r="AC309" s="420">
        <f t="shared" si="208"/>
        <v>2.8920000000000001E-2</v>
      </c>
      <c r="AD309" s="419">
        <f t="shared" si="209"/>
        <v>1.05</v>
      </c>
      <c r="AE309" s="419">
        <f t="shared" si="210"/>
        <v>1.52</v>
      </c>
      <c r="AF309" s="419">
        <f t="shared" si="211"/>
        <v>2.41</v>
      </c>
      <c r="AG309" s="454">
        <f t="shared" si="212"/>
        <v>750</v>
      </c>
      <c r="AH309" s="454">
        <f t="shared" si="234"/>
        <v>1528495.92</v>
      </c>
      <c r="AI309" s="421">
        <f t="shared" si="213"/>
        <v>201303.8</v>
      </c>
      <c r="AJ309" s="421">
        <f t="shared" si="214"/>
        <v>291411.21000000002</v>
      </c>
      <c r="AK309" s="421">
        <f t="shared" si="215"/>
        <v>333707.64</v>
      </c>
      <c r="AL309" s="472">
        <v>0</v>
      </c>
      <c r="AM309" s="422">
        <f t="shared" si="233"/>
        <v>0</v>
      </c>
      <c r="AN309" s="423">
        <f t="shared" si="216"/>
        <v>0</v>
      </c>
      <c r="AO309" s="421">
        <f t="shared" si="217"/>
        <v>826422.65</v>
      </c>
      <c r="AP309" s="472">
        <v>0</v>
      </c>
      <c r="AQ309" s="472">
        <v>0</v>
      </c>
      <c r="AR309" s="472">
        <v>0</v>
      </c>
      <c r="AS309" s="475">
        <v>0</v>
      </c>
      <c r="AT309" s="475">
        <v>0</v>
      </c>
      <c r="AU309" s="475">
        <v>0</v>
      </c>
      <c r="AV309" s="454">
        <f t="shared" si="218"/>
        <v>2355668.5699999998</v>
      </c>
      <c r="AW309" s="421">
        <f t="shared" si="219"/>
        <v>2355668.5699999998</v>
      </c>
      <c r="AX309" s="455">
        <f t="shared" si="236"/>
        <v>1</v>
      </c>
      <c r="AY309" s="424">
        <f t="shared" si="220"/>
        <v>-36091.440000000002</v>
      </c>
      <c r="AZ309" s="424">
        <f t="shared" si="221"/>
        <v>0</v>
      </c>
      <c r="BA309" s="424">
        <f t="shared" si="222"/>
        <v>55907.29</v>
      </c>
      <c r="BB309" s="424">
        <f t="shared" si="223"/>
        <v>0</v>
      </c>
      <c r="BC309" s="424">
        <f t="shared" si="224"/>
        <v>0</v>
      </c>
      <c r="BD309" s="424">
        <f t="shared" si="225"/>
        <v>2375484.42</v>
      </c>
      <c r="BE309" s="452">
        <f t="shared" si="226"/>
        <v>2375484.42</v>
      </c>
      <c r="BF309" s="448">
        <f t="shared" si="227"/>
        <v>0</v>
      </c>
      <c r="BG309" s="456">
        <f t="shared" si="228"/>
        <v>1355538.24</v>
      </c>
      <c r="BH309" s="457">
        <f t="shared" si="195"/>
        <v>172957.67999999993</v>
      </c>
      <c r="BI309" s="407" t="s">
        <v>692</v>
      </c>
      <c r="BM309" s="429">
        <f>IF(BR309&gt;BR308,BM308,IF(BM308&lt;MiscData!$F$1,EOMONTH(BM308,1),EOMONTH(BM308,-11)))</f>
        <v>41882</v>
      </c>
      <c r="BN309" s="416" t="str">
        <f t="shared" si="196"/>
        <v>20140101KUINE730</v>
      </c>
      <c r="BO309" s="427" t="str">
        <f t="shared" si="197"/>
        <v>20140101FLST</v>
      </c>
      <c r="BP309" s="407">
        <f>IF(BM309&lt;=MiscData!$B$23,MiscData!$C$23,IF(BM309&lt;=MiscData!$B$24,MiscData!$C$24,MiscData!$C$25))</f>
        <v>20140101</v>
      </c>
      <c r="BQ309" s="407" t="str">
        <f>VLOOKUP(BR309,MiscData!$V$4:$W$42,2,FALSE)</f>
        <v>KUINE730</v>
      </c>
      <c r="BR309" s="407">
        <f>IF(BR308=MiscData!$V$42,1,BR308+1)</f>
        <v>33</v>
      </c>
      <c r="BS309" s="407" t="str">
        <f>VLOOKUP(BQ309,MiscData!$W$4:$Y$42,3,FALSE)</f>
        <v>FLST</v>
      </c>
    </row>
    <row r="310" spans="1:72" hidden="1">
      <c r="A310" s="416">
        <f t="shared" si="237"/>
        <v>283</v>
      </c>
      <c r="B310" s="416" t="str">
        <f t="shared" si="192"/>
        <v>Aug 2014</v>
      </c>
      <c r="C310" s="416" t="s">
        <v>15</v>
      </c>
      <c r="D310" s="417" t="str">
        <f t="shared" si="193"/>
        <v>RS</v>
      </c>
      <c r="E310" s="417" t="str">
        <f t="shared" si="194"/>
        <v>KURSE010</v>
      </c>
      <c r="F310" s="418">
        <f t="shared" si="198"/>
        <v>229620</v>
      </c>
      <c r="G310" s="467">
        <v>392</v>
      </c>
      <c r="H310" s="418">
        <v>0</v>
      </c>
      <c r="I310" s="418">
        <v>0</v>
      </c>
      <c r="J310" s="418">
        <v>0</v>
      </c>
      <c r="K310" s="418">
        <f t="shared" si="199"/>
        <v>248055650</v>
      </c>
      <c r="L310" s="481">
        <v>0</v>
      </c>
      <c r="M310" s="443">
        <f t="shared" si="200"/>
        <v>0</v>
      </c>
      <c r="N310" s="443">
        <f t="shared" si="201"/>
        <v>0</v>
      </c>
      <c r="O310" s="443">
        <f t="shared" si="202"/>
        <v>0</v>
      </c>
      <c r="P310" s="443">
        <f t="shared" si="203"/>
        <v>0</v>
      </c>
      <c r="Q310" s="443">
        <f t="shared" si="204"/>
        <v>0</v>
      </c>
      <c r="R310" s="443">
        <f t="shared" si="205"/>
        <v>0</v>
      </c>
      <c r="S310" s="484">
        <v>0</v>
      </c>
      <c r="T310" s="484">
        <v>0</v>
      </c>
      <c r="U310" s="484">
        <v>0</v>
      </c>
      <c r="V310" s="490">
        <v>0</v>
      </c>
      <c r="W310" s="490">
        <v>0</v>
      </c>
      <c r="X310" s="490">
        <v>0</v>
      </c>
      <c r="Y310" s="419">
        <f t="shared" si="206"/>
        <v>10.75</v>
      </c>
      <c r="Z310" s="420">
        <f t="shared" si="207"/>
        <v>7.7439999999999995E-2</v>
      </c>
      <c r="AA310" s="420">
        <v>0</v>
      </c>
      <c r="AB310" s="420">
        <v>0</v>
      </c>
      <c r="AC310" s="420">
        <f t="shared" si="208"/>
        <v>2.8920000000000001E-2</v>
      </c>
      <c r="AD310" s="419">
        <f t="shared" si="209"/>
        <v>0</v>
      </c>
      <c r="AE310" s="419">
        <f t="shared" si="210"/>
        <v>0</v>
      </c>
      <c r="AF310" s="419">
        <f t="shared" si="211"/>
        <v>0</v>
      </c>
      <c r="AG310" s="454">
        <f t="shared" si="212"/>
        <v>2472629</v>
      </c>
      <c r="AH310" s="454">
        <f t="shared" si="234"/>
        <v>19209429.539999999</v>
      </c>
      <c r="AI310" s="421">
        <f t="shared" si="213"/>
        <v>0</v>
      </c>
      <c r="AJ310" s="421">
        <f t="shared" si="214"/>
        <v>0</v>
      </c>
      <c r="AK310" s="421">
        <f t="shared" si="215"/>
        <v>0</v>
      </c>
      <c r="AL310" s="472">
        <v>0</v>
      </c>
      <c r="AM310" s="422">
        <f t="shared" si="233"/>
        <v>0</v>
      </c>
      <c r="AN310" s="423">
        <f t="shared" si="216"/>
        <v>0</v>
      </c>
      <c r="AO310" s="421">
        <f t="shared" si="217"/>
        <v>0</v>
      </c>
      <c r="AP310" s="472">
        <v>-23030.1</v>
      </c>
      <c r="AQ310" s="472">
        <v>-365.33</v>
      </c>
      <c r="AR310" s="472">
        <v>0</v>
      </c>
      <c r="AS310" s="475">
        <v>0</v>
      </c>
      <c r="AT310" s="475">
        <v>0</v>
      </c>
      <c r="AU310" s="475">
        <v>0</v>
      </c>
      <c r="AV310" s="454">
        <f t="shared" si="218"/>
        <v>21658663.109999999</v>
      </c>
      <c r="AW310" s="421">
        <f t="shared" si="219"/>
        <v>21658663.109999999</v>
      </c>
      <c r="AX310" s="455">
        <f t="shared" si="236"/>
        <v>1</v>
      </c>
      <c r="AY310" s="424">
        <f t="shared" si="220"/>
        <v>-190254.93</v>
      </c>
      <c r="AZ310" s="424">
        <f t="shared" si="221"/>
        <v>977265.5</v>
      </c>
      <c r="BA310" s="424">
        <f t="shared" si="222"/>
        <v>720564.25</v>
      </c>
      <c r="BB310" s="424">
        <f t="shared" si="223"/>
        <v>0</v>
      </c>
      <c r="BC310" s="424">
        <f t="shared" si="224"/>
        <v>0</v>
      </c>
      <c r="BD310" s="424">
        <f t="shared" si="225"/>
        <v>23166237.93</v>
      </c>
      <c r="BE310" s="452">
        <f t="shared" si="226"/>
        <v>23166237.93</v>
      </c>
      <c r="BF310" s="448">
        <f t="shared" si="227"/>
        <v>0</v>
      </c>
      <c r="BG310" s="456">
        <f t="shared" si="228"/>
        <v>7173769.4000000004</v>
      </c>
      <c r="BH310" s="457">
        <f t="shared" si="195"/>
        <v>12035294.810000001</v>
      </c>
      <c r="BI310" s="407" t="s">
        <v>692</v>
      </c>
      <c r="BM310" s="429">
        <f>IF(BR310&gt;BR309,BM309,IF(BM309&lt;MiscData!$F$1,EOMONTH(BM309,1),EOMONTH(BM309,-11)))</f>
        <v>41882</v>
      </c>
      <c r="BN310" s="416" t="str">
        <f t="shared" si="196"/>
        <v>20140101KURSE010</v>
      </c>
      <c r="BO310" s="427" t="str">
        <f t="shared" si="197"/>
        <v>20140101RS</v>
      </c>
      <c r="BP310" s="407">
        <f>IF(BM310&lt;=MiscData!$B$23,MiscData!$C$23,IF(BM310&lt;=MiscData!$B$24,MiscData!$C$24,MiscData!$C$25))</f>
        <v>20140101</v>
      </c>
      <c r="BQ310" s="407" t="str">
        <f>VLOOKUP(BR310,MiscData!$V$4:$W$42,2,FALSE)</f>
        <v>KURSE010</v>
      </c>
      <c r="BR310" s="407">
        <f>IF(BR309=MiscData!$V$42,1,BR309+1)</f>
        <v>34</v>
      </c>
      <c r="BS310" s="407" t="str">
        <f>VLOOKUP(BQ310,MiscData!$W$4:$Y$42,3,FALSE)</f>
        <v>RS</v>
      </c>
    </row>
    <row r="311" spans="1:72" hidden="1">
      <c r="A311" s="416">
        <f t="shared" si="237"/>
        <v>284</v>
      </c>
      <c r="B311" s="416" t="str">
        <f t="shared" si="192"/>
        <v>Aug 2014</v>
      </c>
      <c r="C311" s="416" t="s">
        <v>15</v>
      </c>
      <c r="D311" s="417" t="str">
        <f t="shared" si="193"/>
        <v>RS</v>
      </c>
      <c r="E311" s="417" t="str">
        <f t="shared" si="194"/>
        <v>KURSE020</v>
      </c>
      <c r="F311" s="418">
        <f t="shared" si="198"/>
        <v>194680</v>
      </c>
      <c r="G311" s="467">
        <v>391</v>
      </c>
      <c r="H311" s="418">
        <v>0</v>
      </c>
      <c r="I311" s="418">
        <v>0</v>
      </c>
      <c r="J311" s="418">
        <v>0</v>
      </c>
      <c r="K311" s="418">
        <f t="shared" si="199"/>
        <v>207118409</v>
      </c>
      <c r="L311" s="481">
        <v>0</v>
      </c>
      <c r="M311" s="443">
        <f t="shared" si="200"/>
        <v>0</v>
      </c>
      <c r="N311" s="443">
        <f t="shared" si="201"/>
        <v>0</v>
      </c>
      <c r="O311" s="443">
        <f t="shared" si="202"/>
        <v>0</v>
      </c>
      <c r="P311" s="443">
        <f t="shared" si="203"/>
        <v>0</v>
      </c>
      <c r="Q311" s="443">
        <f t="shared" si="204"/>
        <v>0</v>
      </c>
      <c r="R311" s="443">
        <f t="shared" si="205"/>
        <v>0</v>
      </c>
      <c r="S311" s="484">
        <v>0</v>
      </c>
      <c r="T311" s="484">
        <v>0</v>
      </c>
      <c r="U311" s="484">
        <v>0</v>
      </c>
      <c r="V311" s="490">
        <v>0</v>
      </c>
      <c r="W311" s="490">
        <v>0</v>
      </c>
      <c r="X311" s="490">
        <v>0</v>
      </c>
      <c r="Y311" s="419">
        <f t="shared" si="206"/>
        <v>10.75</v>
      </c>
      <c r="Z311" s="420">
        <f t="shared" si="207"/>
        <v>7.7439999999999995E-2</v>
      </c>
      <c r="AA311" s="420">
        <v>0</v>
      </c>
      <c r="AB311" s="420">
        <v>0</v>
      </c>
      <c r="AC311" s="420">
        <f t="shared" si="208"/>
        <v>2.8920000000000001E-2</v>
      </c>
      <c r="AD311" s="419">
        <f t="shared" si="209"/>
        <v>0</v>
      </c>
      <c r="AE311" s="419">
        <f t="shared" si="210"/>
        <v>0</v>
      </c>
      <c r="AF311" s="419">
        <f t="shared" si="211"/>
        <v>0</v>
      </c>
      <c r="AG311" s="454">
        <f t="shared" si="212"/>
        <v>2097013.25</v>
      </c>
      <c r="AH311" s="454">
        <f t="shared" si="234"/>
        <v>16039249.59</v>
      </c>
      <c r="AI311" s="421">
        <f t="shared" si="213"/>
        <v>0</v>
      </c>
      <c r="AJ311" s="421">
        <f t="shared" si="214"/>
        <v>0</v>
      </c>
      <c r="AK311" s="421">
        <f t="shared" si="215"/>
        <v>0</v>
      </c>
      <c r="AL311" s="472">
        <v>0</v>
      </c>
      <c r="AM311" s="422">
        <f t="shared" si="233"/>
        <v>0</v>
      </c>
      <c r="AN311" s="423">
        <f t="shared" si="216"/>
        <v>0</v>
      </c>
      <c r="AO311" s="421">
        <f t="shared" si="217"/>
        <v>0</v>
      </c>
      <c r="AP311" s="472">
        <v>-27638.95</v>
      </c>
      <c r="AQ311" s="472">
        <v>-0.56999999999999995</v>
      </c>
      <c r="AR311" s="472">
        <v>0</v>
      </c>
      <c r="AS311" s="475">
        <v>0</v>
      </c>
      <c r="AT311" s="475">
        <v>0</v>
      </c>
      <c r="AU311" s="475">
        <v>0</v>
      </c>
      <c r="AV311" s="454">
        <f t="shared" si="218"/>
        <v>18108623.32</v>
      </c>
      <c r="AW311" s="421">
        <f t="shared" si="219"/>
        <v>18108623.32</v>
      </c>
      <c r="AX311" s="455">
        <f t="shared" si="236"/>
        <v>1</v>
      </c>
      <c r="AY311" s="424">
        <f t="shared" si="220"/>
        <v>-158458.09</v>
      </c>
      <c r="AZ311" s="424">
        <f t="shared" si="221"/>
        <v>816041.95</v>
      </c>
      <c r="BA311" s="424">
        <f t="shared" si="222"/>
        <v>602437.56999999995</v>
      </c>
      <c r="BB311" s="424">
        <f t="shared" si="223"/>
        <v>0</v>
      </c>
      <c r="BC311" s="424">
        <f t="shared" si="224"/>
        <v>0</v>
      </c>
      <c r="BD311" s="424">
        <f t="shared" si="225"/>
        <v>19368644.75</v>
      </c>
      <c r="BE311" s="452">
        <f t="shared" si="226"/>
        <v>19368644.75</v>
      </c>
      <c r="BF311" s="448">
        <f t="shared" si="227"/>
        <v>0</v>
      </c>
      <c r="BG311" s="456">
        <f t="shared" si="228"/>
        <v>5989864.3899999997</v>
      </c>
      <c r="BH311" s="457">
        <f t="shared" si="195"/>
        <v>10049384.629999999</v>
      </c>
      <c r="BI311" s="407" t="s">
        <v>692</v>
      </c>
      <c r="BM311" s="429">
        <f>IF(BR311&gt;BR310,BM310,IF(BM310&lt;MiscData!$F$1,EOMONTH(BM310,1),EOMONTH(BM310,-11)))</f>
        <v>41882</v>
      </c>
      <c r="BN311" s="416" t="str">
        <f t="shared" si="196"/>
        <v>20140101KURSE020</v>
      </c>
      <c r="BO311" s="427" t="str">
        <f t="shared" si="197"/>
        <v>20140101RS</v>
      </c>
      <c r="BP311" s="407">
        <f>IF(BM311&lt;=MiscData!$B$23,MiscData!$C$23,IF(BM311&lt;=MiscData!$B$24,MiscData!$C$24,MiscData!$C$25))</f>
        <v>20140101</v>
      </c>
      <c r="BQ311" s="407" t="str">
        <f>VLOOKUP(BR311,MiscData!$V$4:$W$42,2,FALSE)</f>
        <v>KURSE020</v>
      </c>
      <c r="BR311" s="407">
        <f>IF(BR310=MiscData!$V$42,1,BR310+1)</f>
        <v>35</v>
      </c>
      <c r="BS311" s="407" t="str">
        <f>VLOOKUP(BQ311,MiscData!$W$4:$Y$42,3,FALSE)</f>
        <v>RS</v>
      </c>
    </row>
    <row r="312" spans="1:72" hidden="1">
      <c r="A312" s="416">
        <f t="shared" si="237"/>
        <v>285</v>
      </c>
      <c r="B312" s="416" t="str">
        <f t="shared" si="192"/>
        <v>Aug 2014</v>
      </c>
      <c r="C312" s="416" t="s">
        <v>15</v>
      </c>
      <c r="D312" s="417" t="str">
        <f t="shared" si="193"/>
        <v>RS</v>
      </c>
      <c r="E312" s="417" t="str">
        <f t="shared" si="194"/>
        <v>KURSE025</v>
      </c>
      <c r="F312" s="418">
        <f t="shared" si="198"/>
        <v>244</v>
      </c>
      <c r="G312" s="467">
        <v>0</v>
      </c>
      <c r="H312" s="418">
        <v>0</v>
      </c>
      <c r="I312" s="418">
        <v>0</v>
      </c>
      <c r="J312" s="418">
        <v>0</v>
      </c>
      <c r="K312" s="418">
        <f t="shared" si="199"/>
        <v>511256</v>
      </c>
      <c r="L312" s="481">
        <v>0</v>
      </c>
      <c r="M312" s="443">
        <f t="shared" si="200"/>
        <v>0</v>
      </c>
      <c r="N312" s="443">
        <f t="shared" si="201"/>
        <v>0</v>
      </c>
      <c r="O312" s="443">
        <f t="shared" si="202"/>
        <v>0</v>
      </c>
      <c r="P312" s="443">
        <f t="shared" si="203"/>
        <v>0</v>
      </c>
      <c r="Q312" s="443">
        <f t="shared" si="204"/>
        <v>0</v>
      </c>
      <c r="R312" s="443">
        <f t="shared" si="205"/>
        <v>0</v>
      </c>
      <c r="S312" s="484">
        <v>0</v>
      </c>
      <c r="T312" s="484">
        <v>0</v>
      </c>
      <c r="U312" s="484">
        <v>0</v>
      </c>
      <c r="V312" s="490">
        <v>0</v>
      </c>
      <c r="W312" s="490">
        <v>0</v>
      </c>
      <c r="X312" s="490">
        <v>0</v>
      </c>
      <c r="Y312" s="419">
        <f t="shared" si="206"/>
        <v>10.75</v>
      </c>
      <c r="Z312" s="420">
        <f t="shared" si="207"/>
        <v>7.7439999999999995E-2</v>
      </c>
      <c r="AA312" s="420">
        <v>0</v>
      </c>
      <c r="AB312" s="420">
        <v>0</v>
      </c>
      <c r="AC312" s="420">
        <f t="shared" si="208"/>
        <v>2.8920000000000001E-2</v>
      </c>
      <c r="AD312" s="419">
        <f t="shared" si="209"/>
        <v>0</v>
      </c>
      <c r="AE312" s="419">
        <f t="shared" si="210"/>
        <v>0</v>
      </c>
      <c r="AF312" s="419">
        <f t="shared" si="211"/>
        <v>0</v>
      </c>
      <c r="AG312" s="454">
        <f t="shared" si="212"/>
        <v>2623</v>
      </c>
      <c r="AH312" s="454">
        <f t="shared" si="234"/>
        <v>39591.660000000003</v>
      </c>
      <c r="AI312" s="421">
        <f t="shared" si="213"/>
        <v>0</v>
      </c>
      <c r="AJ312" s="421">
        <f t="shared" si="214"/>
        <v>0</v>
      </c>
      <c r="AK312" s="421">
        <f t="shared" si="215"/>
        <v>0</v>
      </c>
      <c r="AL312" s="472">
        <v>0</v>
      </c>
      <c r="AM312" s="422">
        <f t="shared" si="233"/>
        <v>0</v>
      </c>
      <c r="AN312" s="423">
        <f t="shared" si="216"/>
        <v>0</v>
      </c>
      <c r="AO312" s="421">
        <f t="shared" si="217"/>
        <v>0</v>
      </c>
      <c r="AP312" s="472">
        <v>14.7</v>
      </c>
      <c r="AQ312" s="472">
        <v>7.0000000000000007E-2</v>
      </c>
      <c r="AR312" s="472">
        <v>0</v>
      </c>
      <c r="AS312" s="475">
        <v>0</v>
      </c>
      <c r="AT312" s="475">
        <v>0</v>
      </c>
      <c r="AU312" s="475">
        <v>0</v>
      </c>
      <c r="AV312" s="454">
        <f t="shared" si="218"/>
        <v>42229.43</v>
      </c>
      <c r="AW312" s="421">
        <f t="shared" si="219"/>
        <v>42229.429999999993</v>
      </c>
      <c r="AX312" s="455">
        <f t="shared" si="236"/>
        <v>0.99999999999999978</v>
      </c>
      <c r="AY312" s="424">
        <f t="shared" si="220"/>
        <v>-355.03</v>
      </c>
      <c r="AZ312" s="424">
        <f t="shared" si="221"/>
        <v>2014.37</v>
      </c>
      <c r="BA312" s="424">
        <f t="shared" si="222"/>
        <v>1410.07</v>
      </c>
      <c r="BB312" s="424">
        <f t="shared" si="223"/>
        <v>0</v>
      </c>
      <c r="BC312" s="424">
        <f t="shared" si="224"/>
        <v>0</v>
      </c>
      <c r="BD312" s="424">
        <f t="shared" si="225"/>
        <v>45298.84</v>
      </c>
      <c r="BE312" s="452">
        <f t="shared" si="226"/>
        <v>45298.840000000004</v>
      </c>
      <c r="BF312" s="448">
        <f t="shared" si="227"/>
        <v>0</v>
      </c>
      <c r="BG312" s="456">
        <f t="shared" si="228"/>
        <v>14785.52</v>
      </c>
      <c r="BH312" s="457">
        <f t="shared" si="195"/>
        <v>24806.210000000003</v>
      </c>
      <c r="BI312" s="407" t="s">
        <v>692</v>
      </c>
      <c r="BM312" s="429">
        <f>IF(BR312&gt;BR311,BM311,IF(BM311&lt;MiscData!$F$1,EOMONTH(BM311,1),EOMONTH(BM311,-11)))</f>
        <v>41882</v>
      </c>
      <c r="BN312" s="416" t="str">
        <f t="shared" si="196"/>
        <v>20140101KURSE025</v>
      </c>
      <c r="BO312" s="427" t="str">
        <f t="shared" si="197"/>
        <v>20140101RS</v>
      </c>
      <c r="BP312" s="407">
        <f>IF(BM312&lt;=MiscData!$B$23,MiscData!$C$23,IF(BM312&lt;=MiscData!$B$24,MiscData!$C$24,MiscData!$C$25))</f>
        <v>20140101</v>
      </c>
      <c r="BQ312" s="407" t="str">
        <f>VLOOKUP(BR312,MiscData!$V$4:$W$42,2,FALSE)</f>
        <v>KURSE025</v>
      </c>
      <c r="BR312" s="407">
        <f>IF(BR311=MiscData!$V$42,1,BR311+1)</f>
        <v>36</v>
      </c>
      <c r="BS312" s="407" t="str">
        <f>VLOOKUP(BQ312,MiscData!$W$4:$Y$42,3,FALSE)</f>
        <v>RS</v>
      </c>
    </row>
    <row r="313" spans="1:72" hidden="1">
      <c r="A313" s="416">
        <f t="shared" si="237"/>
        <v>286</v>
      </c>
      <c r="B313" s="416" t="str">
        <f t="shared" si="192"/>
        <v>Aug 2014</v>
      </c>
      <c r="C313" s="416" t="s">
        <v>807</v>
      </c>
      <c r="D313" s="417" t="str">
        <f t="shared" si="193"/>
        <v>RSLEV</v>
      </c>
      <c r="E313" s="417" t="str">
        <f t="shared" si="194"/>
        <v>KURSE040</v>
      </c>
      <c r="F313" s="418">
        <f t="shared" si="198"/>
        <v>7</v>
      </c>
      <c r="G313" s="467">
        <v>0</v>
      </c>
      <c r="H313" s="418">
        <f>SUMIFS(_1022_KWH_P1,_1022_RevenueMonth,$B313,_1022_RateCategory,$E313)</f>
        <v>4686</v>
      </c>
      <c r="I313" s="418">
        <f>SUMIFS(_1022_KWH_P2,_1022_RevenueMonth,$B313,_1022_RateCategory,$E313)</f>
        <v>1412</v>
      </c>
      <c r="J313" s="418">
        <f>SUMIFS(_1022_KWH_P3,_1022_RevenueMonth,$B313,_1022_RateCategory,$E313)</f>
        <v>1143</v>
      </c>
      <c r="K313" s="418">
        <f t="shared" si="199"/>
        <v>7241</v>
      </c>
      <c r="L313" s="481">
        <v>0</v>
      </c>
      <c r="M313" s="443">
        <f t="shared" si="200"/>
        <v>0</v>
      </c>
      <c r="N313" s="443">
        <f t="shared" si="201"/>
        <v>0</v>
      </c>
      <c r="O313" s="443">
        <f t="shared" si="202"/>
        <v>0</v>
      </c>
      <c r="P313" s="443">
        <f t="shared" si="203"/>
        <v>0</v>
      </c>
      <c r="Q313" s="443">
        <f t="shared" si="204"/>
        <v>0</v>
      </c>
      <c r="R313" s="443">
        <f t="shared" si="205"/>
        <v>0</v>
      </c>
      <c r="S313" s="484">
        <v>0</v>
      </c>
      <c r="T313" s="484">
        <v>0</v>
      </c>
      <c r="U313" s="484">
        <v>0</v>
      </c>
      <c r="V313" s="490">
        <v>0</v>
      </c>
      <c r="W313" s="490">
        <v>0</v>
      </c>
      <c r="X313" s="490">
        <v>0</v>
      </c>
      <c r="Y313" s="419">
        <f t="shared" si="206"/>
        <v>10.75</v>
      </c>
      <c r="Z313" s="420">
        <f t="shared" si="207"/>
        <v>5.5870000000000003E-2</v>
      </c>
      <c r="AA313" s="420">
        <f>SUMIF(_Rates_Tariff_Category,$BN313,_Rates_Energy_P2)</f>
        <v>7.7630000000000005E-2</v>
      </c>
      <c r="AB313" s="420">
        <f>SUMIF(_Rates_Tariff_Category,$BN313,_Rates_Energy_P3)</f>
        <v>0.14297000000000001</v>
      </c>
      <c r="AC313" s="420">
        <f t="shared" si="208"/>
        <v>2.8920000000000001E-2</v>
      </c>
      <c r="AD313" s="419">
        <f t="shared" si="209"/>
        <v>0</v>
      </c>
      <c r="AE313" s="419">
        <f t="shared" si="210"/>
        <v>0</v>
      </c>
      <c r="AF313" s="419">
        <f t="shared" si="211"/>
        <v>0</v>
      </c>
      <c r="AG313" s="454">
        <f t="shared" si="212"/>
        <v>75.25</v>
      </c>
      <c r="AH313" s="454">
        <f t="shared" si="234"/>
        <v>534.84</v>
      </c>
      <c r="AI313" s="421">
        <f t="shared" si="213"/>
        <v>0</v>
      </c>
      <c r="AJ313" s="421">
        <f t="shared" si="214"/>
        <v>0</v>
      </c>
      <c r="AK313" s="421">
        <f t="shared" si="215"/>
        <v>0</v>
      </c>
      <c r="AL313" s="472">
        <v>0</v>
      </c>
      <c r="AM313" s="422">
        <f t="shared" si="233"/>
        <v>0</v>
      </c>
      <c r="AN313" s="423">
        <f t="shared" si="216"/>
        <v>0</v>
      </c>
      <c r="AO313" s="421">
        <f t="shared" si="217"/>
        <v>0</v>
      </c>
      <c r="AP313" s="472">
        <v>0</v>
      </c>
      <c r="AQ313" s="472">
        <v>-0.01</v>
      </c>
      <c r="AR313" s="472">
        <v>0</v>
      </c>
      <c r="AS313" s="475">
        <v>0</v>
      </c>
      <c r="AT313" s="475">
        <v>0</v>
      </c>
      <c r="AU313" s="475">
        <v>0</v>
      </c>
      <c r="AV313" s="454">
        <f t="shared" si="218"/>
        <v>610.08000000000004</v>
      </c>
      <c r="AW313" s="421">
        <f t="shared" si="219"/>
        <v>610.08000000000004</v>
      </c>
      <c r="AX313" s="455">
        <f t="shared" si="236"/>
        <v>1</v>
      </c>
      <c r="AY313" s="424">
        <f t="shared" si="220"/>
        <v>-5.58</v>
      </c>
      <c r="AZ313" s="424">
        <f t="shared" si="221"/>
        <v>28.53</v>
      </c>
      <c r="BA313" s="424">
        <f t="shared" si="222"/>
        <v>20.32</v>
      </c>
      <c r="BB313" s="424">
        <f t="shared" si="223"/>
        <v>0</v>
      </c>
      <c r="BC313" s="424">
        <f t="shared" si="224"/>
        <v>0</v>
      </c>
      <c r="BD313" s="424">
        <f t="shared" si="225"/>
        <v>653.35</v>
      </c>
      <c r="BE313" s="452">
        <f t="shared" si="226"/>
        <v>653.35</v>
      </c>
      <c r="BF313" s="448">
        <f t="shared" si="227"/>
        <v>0</v>
      </c>
      <c r="BG313" s="456">
        <f t="shared" si="228"/>
        <v>209.41</v>
      </c>
      <c r="BH313" s="457">
        <f t="shared" si="195"/>
        <v>325.42000000000007</v>
      </c>
      <c r="BI313" s="407" t="s">
        <v>692</v>
      </c>
      <c r="BM313" s="429">
        <f>IF(BR313&gt;BR312,BM312,IF(BM312&lt;MiscData!$F$1,EOMONTH(BM312,1),EOMONTH(BM312,-11)))</f>
        <v>41882</v>
      </c>
      <c r="BN313" s="416" t="str">
        <f t="shared" si="196"/>
        <v>20140101KURSE040</v>
      </c>
      <c r="BO313" s="427" t="str">
        <f t="shared" si="197"/>
        <v>20140101RSLEV</v>
      </c>
      <c r="BP313" s="407">
        <f>IF(BM313&lt;=MiscData!$B$23,MiscData!$C$23,IF(BM313&lt;=MiscData!$B$24,MiscData!$C$24,MiscData!$C$25))</f>
        <v>20140101</v>
      </c>
      <c r="BQ313" s="407" t="str">
        <f>VLOOKUP(BR313,MiscData!$V$4:$W$42,2,FALSE)</f>
        <v>KURSE040</v>
      </c>
      <c r="BR313" s="407">
        <f>IF(BR312=MiscData!$V$42,1,BR312+1)</f>
        <v>37</v>
      </c>
      <c r="BS313" s="407" t="str">
        <f>VLOOKUP(BQ313,MiscData!$W$4:$Y$42,3,FALSE)</f>
        <v>RSLEV</v>
      </c>
    </row>
    <row r="314" spans="1:72" hidden="1">
      <c r="A314" s="416">
        <f t="shared" si="237"/>
        <v>287</v>
      </c>
      <c r="B314" s="416" t="str">
        <f t="shared" si="192"/>
        <v>Aug 2014</v>
      </c>
      <c r="C314" s="416" t="s">
        <v>15</v>
      </c>
      <c r="D314" s="417" t="str">
        <f t="shared" si="193"/>
        <v>RSVFD</v>
      </c>
      <c r="E314" s="417" t="str">
        <f t="shared" si="194"/>
        <v>KURSE080</v>
      </c>
      <c r="F314" s="418">
        <f t="shared" si="198"/>
        <v>50</v>
      </c>
      <c r="G314" s="467">
        <v>0</v>
      </c>
      <c r="H314" s="418">
        <v>0</v>
      </c>
      <c r="I314" s="418">
        <v>0</v>
      </c>
      <c r="J314" s="418">
        <v>0</v>
      </c>
      <c r="K314" s="418">
        <f t="shared" si="199"/>
        <v>70043</v>
      </c>
      <c r="L314" s="481">
        <v>0</v>
      </c>
      <c r="M314" s="443">
        <f t="shared" si="200"/>
        <v>0</v>
      </c>
      <c r="N314" s="443">
        <f t="shared" si="201"/>
        <v>0</v>
      </c>
      <c r="O314" s="443">
        <f t="shared" si="202"/>
        <v>0</v>
      </c>
      <c r="P314" s="443">
        <f t="shared" si="203"/>
        <v>0</v>
      </c>
      <c r="Q314" s="443">
        <f t="shared" si="204"/>
        <v>0</v>
      </c>
      <c r="R314" s="443">
        <f t="shared" si="205"/>
        <v>0</v>
      </c>
      <c r="S314" s="484">
        <v>0</v>
      </c>
      <c r="T314" s="484">
        <v>0</v>
      </c>
      <c r="U314" s="484">
        <v>0</v>
      </c>
      <c r="V314" s="490">
        <v>0</v>
      </c>
      <c r="W314" s="490">
        <v>0</v>
      </c>
      <c r="X314" s="490">
        <v>0</v>
      </c>
      <c r="Y314" s="419">
        <f t="shared" si="206"/>
        <v>10.75</v>
      </c>
      <c r="Z314" s="420">
        <f t="shared" si="207"/>
        <v>7.7439999999999995E-2</v>
      </c>
      <c r="AA314" s="420">
        <v>0</v>
      </c>
      <c r="AB314" s="420">
        <v>0</v>
      </c>
      <c r="AC314" s="420">
        <f t="shared" si="208"/>
        <v>2.8920000000000001E-2</v>
      </c>
      <c r="AD314" s="419">
        <f t="shared" si="209"/>
        <v>0</v>
      </c>
      <c r="AE314" s="419">
        <f t="shared" si="210"/>
        <v>0</v>
      </c>
      <c r="AF314" s="419">
        <f t="shared" si="211"/>
        <v>0</v>
      </c>
      <c r="AG314" s="454">
        <f t="shared" si="212"/>
        <v>537.5</v>
      </c>
      <c r="AH314" s="454">
        <f t="shared" si="234"/>
        <v>5424.13</v>
      </c>
      <c r="AI314" s="421">
        <f t="shared" si="213"/>
        <v>0</v>
      </c>
      <c r="AJ314" s="421">
        <f t="shared" si="214"/>
        <v>0</v>
      </c>
      <c r="AK314" s="421">
        <f t="shared" si="215"/>
        <v>0</v>
      </c>
      <c r="AL314" s="472">
        <v>0</v>
      </c>
      <c r="AM314" s="422">
        <f t="shared" si="233"/>
        <v>0</v>
      </c>
      <c r="AN314" s="423">
        <f t="shared" si="216"/>
        <v>0</v>
      </c>
      <c r="AO314" s="421">
        <f t="shared" si="217"/>
        <v>0</v>
      </c>
      <c r="AP314" s="472">
        <v>5.74</v>
      </c>
      <c r="AQ314" s="472">
        <v>0</v>
      </c>
      <c r="AR314" s="472">
        <v>0</v>
      </c>
      <c r="AS314" s="475">
        <v>0</v>
      </c>
      <c r="AT314" s="475">
        <v>0</v>
      </c>
      <c r="AU314" s="475">
        <v>0</v>
      </c>
      <c r="AV314" s="454">
        <f t="shared" si="218"/>
        <v>5967.37</v>
      </c>
      <c r="AW314" s="421">
        <f t="shared" si="219"/>
        <v>5967.3700000000008</v>
      </c>
      <c r="AX314" s="455">
        <f t="shared" si="236"/>
        <v>1.0000000000000002</v>
      </c>
      <c r="AY314" s="424">
        <f t="shared" si="220"/>
        <v>-45.27</v>
      </c>
      <c r="AZ314" s="424">
        <f t="shared" si="221"/>
        <v>275.93</v>
      </c>
      <c r="BA314" s="424">
        <f t="shared" si="222"/>
        <v>199.24</v>
      </c>
      <c r="BB314" s="424">
        <f t="shared" si="223"/>
        <v>0</v>
      </c>
      <c r="BC314" s="424">
        <f t="shared" si="224"/>
        <v>0</v>
      </c>
      <c r="BD314" s="424">
        <f t="shared" si="225"/>
        <v>6397.27</v>
      </c>
      <c r="BE314" s="452">
        <f t="shared" si="226"/>
        <v>6397.2699999999995</v>
      </c>
      <c r="BF314" s="448">
        <f t="shared" si="227"/>
        <v>0</v>
      </c>
      <c r="BG314" s="456">
        <f t="shared" si="228"/>
        <v>2025.64</v>
      </c>
      <c r="BH314" s="457">
        <f t="shared" si="195"/>
        <v>3398.49</v>
      </c>
      <c r="BI314" s="407" t="s">
        <v>692</v>
      </c>
      <c r="BM314" s="429">
        <f>IF(BR314&gt;BR313,BM313,IF(BM313&lt;MiscData!$F$1,EOMONTH(BM313,1),EOMONTH(BM313,-11)))</f>
        <v>41882</v>
      </c>
      <c r="BN314" s="416" t="str">
        <f t="shared" si="196"/>
        <v>20140101KURSE080</v>
      </c>
      <c r="BO314" s="427" t="str">
        <f t="shared" si="197"/>
        <v>20140101RSVFD</v>
      </c>
      <c r="BP314" s="407">
        <f>IF(BM314&lt;=MiscData!$B$23,MiscData!$C$23,IF(BM314&lt;=MiscData!$B$24,MiscData!$C$24,MiscData!$C$25))</f>
        <v>20140101</v>
      </c>
      <c r="BQ314" s="407" t="str">
        <f>VLOOKUP(BR314,MiscData!$V$4:$W$42,2,FALSE)</f>
        <v>KURSE080</v>
      </c>
      <c r="BR314" s="407">
        <f>IF(BR313=MiscData!$V$42,1,BR313+1)</f>
        <v>38</v>
      </c>
      <c r="BS314" s="407" t="str">
        <f>VLOOKUP(BQ314,MiscData!$W$4:$Y$42,3,FALSE)</f>
        <v>RSVFD</v>
      </c>
    </row>
    <row r="315" spans="1:72" s="486" customFormat="1" hidden="1">
      <c r="A315" s="464">
        <f t="shared" si="237"/>
        <v>288</v>
      </c>
      <c r="B315" s="464" t="str">
        <f t="shared" si="192"/>
        <v>Aug 2014</v>
      </c>
      <c r="C315" s="464" t="s">
        <v>15</v>
      </c>
      <c r="D315" s="465" t="str">
        <f t="shared" si="193"/>
        <v>RS</v>
      </c>
      <c r="E315" s="465" t="str">
        <f t="shared" si="194"/>
        <v>KURSE715</v>
      </c>
      <c r="F315" s="466">
        <f t="shared" si="198"/>
        <v>57</v>
      </c>
      <c r="G315" s="467">
        <v>0</v>
      </c>
      <c r="H315" s="466">
        <v>0</v>
      </c>
      <c r="I315" s="466">
        <v>0</v>
      </c>
      <c r="J315" s="466">
        <v>0</v>
      </c>
      <c r="K315" s="466">
        <f t="shared" si="199"/>
        <v>47697</v>
      </c>
      <c r="L315" s="481">
        <v>0</v>
      </c>
      <c r="M315" s="469">
        <f t="shared" si="200"/>
        <v>0</v>
      </c>
      <c r="N315" s="469">
        <f t="shared" si="201"/>
        <v>0</v>
      </c>
      <c r="O315" s="469">
        <f t="shared" si="202"/>
        <v>0</v>
      </c>
      <c r="P315" s="469">
        <f t="shared" si="203"/>
        <v>0</v>
      </c>
      <c r="Q315" s="469">
        <f t="shared" si="204"/>
        <v>0</v>
      </c>
      <c r="R315" s="469">
        <f t="shared" si="205"/>
        <v>0</v>
      </c>
      <c r="S315" s="484">
        <v>0</v>
      </c>
      <c r="T315" s="484">
        <v>0</v>
      </c>
      <c r="U315" s="484">
        <v>0</v>
      </c>
      <c r="V315" s="490">
        <v>0</v>
      </c>
      <c r="W315" s="490">
        <v>0</v>
      </c>
      <c r="X315" s="490">
        <v>0</v>
      </c>
      <c r="Y315" s="470">
        <f t="shared" si="206"/>
        <v>10.75</v>
      </c>
      <c r="Z315" s="471">
        <f t="shared" si="207"/>
        <v>7.7439999999999995E-2</v>
      </c>
      <c r="AA315" s="471">
        <v>0</v>
      </c>
      <c r="AB315" s="471">
        <v>0</v>
      </c>
      <c r="AC315" s="471">
        <f t="shared" si="208"/>
        <v>2.8920000000000001E-2</v>
      </c>
      <c r="AD315" s="470">
        <f t="shared" si="209"/>
        <v>0</v>
      </c>
      <c r="AE315" s="470">
        <f t="shared" si="210"/>
        <v>0</v>
      </c>
      <c r="AF315" s="470">
        <f t="shared" si="211"/>
        <v>0</v>
      </c>
      <c r="AG315" s="454">
        <f t="shared" si="212"/>
        <v>612.75</v>
      </c>
      <c r="AH315" s="454">
        <f t="shared" si="234"/>
        <v>3693.66</v>
      </c>
      <c r="AI315" s="454">
        <f t="shared" si="213"/>
        <v>0</v>
      </c>
      <c r="AJ315" s="454">
        <f t="shared" si="214"/>
        <v>0</v>
      </c>
      <c r="AK315" s="454">
        <f t="shared" si="215"/>
        <v>0</v>
      </c>
      <c r="AL315" s="472">
        <v>0</v>
      </c>
      <c r="AM315" s="473">
        <f t="shared" si="233"/>
        <v>0</v>
      </c>
      <c r="AN315" s="474">
        <f t="shared" si="216"/>
        <v>0</v>
      </c>
      <c r="AO315" s="454">
        <f t="shared" si="217"/>
        <v>0</v>
      </c>
      <c r="AP315" s="472">
        <v>-2.0499999999999998</v>
      </c>
      <c r="AQ315" s="472">
        <v>-0.01</v>
      </c>
      <c r="AR315" s="472">
        <v>0</v>
      </c>
      <c r="AS315" s="475">
        <v>0</v>
      </c>
      <c r="AT315" s="475">
        <v>0</v>
      </c>
      <c r="AU315" s="475">
        <v>0</v>
      </c>
      <c r="AV315" s="454">
        <f t="shared" si="218"/>
        <v>4304.3499999999995</v>
      </c>
      <c r="AW315" s="454">
        <f t="shared" si="219"/>
        <v>4304.3500000000004</v>
      </c>
      <c r="AX315" s="455">
        <f t="shared" si="236"/>
        <v>1.0000000000000002</v>
      </c>
      <c r="AY315" s="476">
        <f t="shared" si="220"/>
        <v>-36.700000000000003</v>
      </c>
      <c r="AZ315" s="476">
        <f t="shared" si="221"/>
        <v>187.93</v>
      </c>
      <c r="BA315" s="476">
        <f t="shared" si="222"/>
        <v>143.1</v>
      </c>
      <c r="BB315" s="476">
        <f t="shared" si="223"/>
        <v>0</v>
      </c>
      <c r="BC315" s="476">
        <f t="shared" si="224"/>
        <v>0</v>
      </c>
      <c r="BD315" s="476">
        <f t="shared" si="225"/>
        <v>4598.68</v>
      </c>
      <c r="BE315" s="477">
        <f t="shared" si="226"/>
        <v>4598.68</v>
      </c>
      <c r="BF315" s="478">
        <f t="shared" si="227"/>
        <v>0</v>
      </c>
      <c r="BG315" s="479">
        <f t="shared" si="228"/>
        <v>1379.4</v>
      </c>
      <c r="BH315" s="485">
        <f t="shared" si="195"/>
        <v>2314.2499999999995</v>
      </c>
      <c r="BI315" s="407" t="s">
        <v>692</v>
      </c>
      <c r="BM315" s="487">
        <f>IF(BR315&gt;BR314,BM314,IF(BM314&lt;MiscData!$F$1,EOMONTH(BM314,1),EOMONTH(BM314,-11)))</f>
        <v>41882</v>
      </c>
      <c r="BN315" s="464" t="str">
        <f t="shared" si="196"/>
        <v>20140101KURSE715</v>
      </c>
      <c r="BO315" s="488" t="str">
        <f t="shared" si="197"/>
        <v>20140101RS</v>
      </c>
      <c r="BP315" s="486">
        <f>IF(BM315&lt;=MiscData!$B$23,MiscData!$C$23,IF(BM315&lt;=MiscData!$B$24,MiscData!$C$24,MiscData!$C$25))</f>
        <v>20140101</v>
      </c>
      <c r="BQ315" s="486" t="str">
        <f>VLOOKUP(BR315,MiscData!$V$4:$W$42,2,FALSE)</f>
        <v>KURSE715</v>
      </c>
      <c r="BR315" s="407">
        <f>IF(BR314=MiscData!$V$42,1,BR314+1)</f>
        <v>39</v>
      </c>
      <c r="BS315" s="486" t="str">
        <f>VLOOKUP(BQ315,MiscData!$W$4:$Y$42,3,FALSE)</f>
        <v>RS</v>
      </c>
      <c r="BT315" s="771"/>
    </row>
    <row r="316" spans="1:72" hidden="1">
      <c r="A316" s="416">
        <f t="shared" si="237"/>
        <v>289</v>
      </c>
      <c r="B316" s="416" t="str">
        <f t="shared" si="192"/>
        <v>Sep 2014</v>
      </c>
      <c r="C316" s="416" t="s">
        <v>19</v>
      </c>
      <c r="D316" s="417" t="str">
        <f t="shared" si="193"/>
        <v>RTS</v>
      </c>
      <c r="E316" s="417" t="str">
        <f t="shared" si="194"/>
        <v>KUCIE550</v>
      </c>
      <c r="F316" s="418">
        <f t="shared" si="198"/>
        <v>32</v>
      </c>
      <c r="G316" s="467">
        <v>0</v>
      </c>
      <c r="H316" s="418">
        <v>0</v>
      </c>
      <c r="I316" s="418">
        <v>0</v>
      </c>
      <c r="J316" s="418">
        <v>0</v>
      </c>
      <c r="K316" s="418">
        <f t="shared" si="199"/>
        <v>131381603</v>
      </c>
      <c r="L316" s="481">
        <v>0</v>
      </c>
      <c r="M316" s="443">
        <f t="shared" si="200"/>
        <v>297220.78000000003</v>
      </c>
      <c r="N316" s="443">
        <f t="shared" si="201"/>
        <v>280988.93</v>
      </c>
      <c r="O316" s="443">
        <f t="shared" si="202"/>
        <v>277346.96000000002</v>
      </c>
      <c r="P316" s="443">
        <f t="shared" si="203"/>
        <v>297220.78000000003</v>
      </c>
      <c r="Q316" s="443">
        <f t="shared" si="204"/>
        <v>280988.93</v>
      </c>
      <c r="R316" s="443">
        <f t="shared" si="205"/>
        <v>277346.96000000002</v>
      </c>
      <c r="S316" s="484"/>
      <c r="T316" s="484"/>
      <c r="U316" s="484"/>
      <c r="V316" s="490">
        <v>0</v>
      </c>
      <c r="W316" s="490">
        <v>0</v>
      </c>
      <c r="X316" s="490">
        <v>0</v>
      </c>
      <c r="Y316" s="419">
        <f t="shared" si="206"/>
        <v>750</v>
      </c>
      <c r="Z316" s="420">
        <f t="shared" si="207"/>
        <v>3.6339999999999997E-2</v>
      </c>
      <c r="AA316" s="420">
        <v>0</v>
      </c>
      <c r="AB316" s="420">
        <v>0</v>
      </c>
      <c r="AC316" s="420">
        <f t="shared" si="208"/>
        <v>2.8920000000000001E-2</v>
      </c>
      <c r="AD316" s="419">
        <f t="shared" si="209"/>
        <v>1.34</v>
      </c>
      <c r="AE316" s="419">
        <f t="shared" si="210"/>
        <v>2.87</v>
      </c>
      <c r="AF316" s="419">
        <f t="shared" si="211"/>
        <v>3.97</v>
      </c>
      <c r="AG316" s="454">
        <f t="shared" si="212"/>
        <v>24000</v>
      </c>
      <c r="AH316" s="454">
        <f t="shared" si="234"/>
        <v>4774407.45</v>
      </c>
      <c r="AI316" s="421">
        <f t="shared" si="213"/>
        <v>398275.85</v>
      </c>
      <c r="AJ316" s="421">
        <f t="shared" si="214"/>
        <v>806438.23</v>
      </c>
      <c r="AK316" s="421">
        <f t="shared" si="215"/>
        <v>1101067.43</v>
      </c>
      <c r="AL316" s="472">
        <v>0</v>
      </c>
      <c r="AM316" s="422">
        <f t="shared" si="233"/>
        <v>0</v>
      </c>
      <c r="AN316" s="423">
        <f t="shared" si="216"/>
        <v>0</v>
      </c>
      <c r="AO316" s="421">
        <f t="shared" si="217"/>
        <v>2305781.5099999998</v>
      </c>
      <c r="AP316" s="472">
        <v>0</v>
      </c>
      <c r="AQ316" s="472">
        <v>0</v>
      </c>
      <c r="AR316" s="472"/>
      <c r="AS316" s="475">
        <v>0</v>
      </c>
      <c r="AT316" s="475">
        <v>0</v>
      </c>
      <c r="AU316" s="475">
        <v>0</v>
      </c>
      <c r="AV316" s="454">
        <f t="shared" si="218"/>
        <v>7104188.959999999</v>
      </c>
      <c r="AW316" s="421">
        <f t="shared" si="219"/>
        <v>7104189</v>
      </c>
      <c r="AX316" s="455">
        <f t="shared" ref="AX316:AX324" si="238">IF(AND(AV316=0,AW316=0),1,IF(AV316=0,0,AW316/AV316))</f>
        <v>1.000000005630481</v>
      </c>
      <c r="AY316" s="424">
        <f t="shared" si="220"/>
        <v>-321151</v>
      </c>
      <c r="AZ316" s="424">
        <f t="shared" si="221"/>
        <v>0</v>
      </c>
      <c r="BA316" s="424">
        <f t="shared" si="222"/>
        <v>361581</v>
      </c>
      <c r="BB316" s="424">
        <f t="shared" si="223"/>
        <v>0</v>
      </c>
      <c r="BC316" s="424">
        <f t="shared" si="224"/>
        <v>0</v>
      </c>
      <c r="BD316" s="424">
        <f t="shared" si="225"/>
        <v>7144619</v>
      </c>
      <c r="BE316" s="452">
        <f t="shared" si="226"/>
        <v>7144618.959999999</v>
      </c>
      <c r="BF316" s="448">
        <f t="shared" si="227"/>
        <v>4.0000000968575478E-2</v>
      </c>
      <c r="BG316" s="456">
        <f t="shared" si="228"/>
        <v>3799555.96</v>
      </c>
      <c r="BH316" s="457">
        <f t="shared" si="195"/>
        <v>974851.49000000022</v>
      </c>
      <c r="BI316" s="407" t="s">
        <v>1490</v>
      </c>
      <c r="BM316" s="429">
        <f>IF(BR316&gt;BR315,BM315,IF(BM315&lt;MiscData!$F$1,EOMONTH(BM315,1),EOMONTH(BM315,-11)))</f>
        <v>41912</v>
      </c>
      <c r="BN316" s="416" t="str">
        <f t="shared" si="196"/>
        <v>20140101KUCIE550</v>
      </c>
      <c r="BO316" s="427" t="str">
        <f t="shared" si="197"/>
        <v>20140101RTS</v>
      </c>
      <c r="BP316" s="407">
        <f>IF(BM316&lt;=MiscData!$B$23,MiscData!$C$23,IF(BM316&lt;=MiscData!$B$24,MiscData!$C$24,MiscData!$C$25))</f>
        <v>20140101</v>
      </c>
      <c r="BQ316" s="407" t="str">
        <f>VLOOKUP(BR316,MiscData!$V$4:$W$42,2,FALSE)</f>
        <v>KUCIE550</v>
      </c>
      <c r="BR316" s="407">
        <f>IF(BR315=MiscData!$V$42,1,BR315+1)</f>
        <v>1</v>
      </c>
      <c r="BS316" s="407" t="str">
        <f>VLOOKUP(BQ316,MiscData!$W$4:$Y$42,3,FALSE)</f>
        <v>RTS</v>
      </c>
    </row>
    <row r="317" spans="1:72">
      <c r="A317" s="416">
        <f t="shared" si="237"/>
        <v>290</v>
      </c>
      <c r="B317" s="416" t="str">
        <f t="shared" si="192"/>
        <v>Sep 2014</v>
      </c>
      <c r="C317" s="416" t="s">
        <v>26</v>
      </c>
      <c r="D317" s="417" t="str">
        <f t="shared" si="193"/>
        <v>PSP</v>
      </c>
      <c r="E317" s="417" t="str">
        <f t="shared" si="194"/>
        <v>KUCIE561</v>
      </c>
      <c r="F317" s="418">
        <f t="shared" si="198"/>
        <v>219</v>
      </c>
      <c r="G317" s="467"/>
      <c r="H317" s="418">
        <v>0</v>
      </c>
      <c r="I317" s="418">
        <v>0</v>
      </c>
      <c r="J317" s="418">
        <v>0</v>
      </c>
      <c r="K317" s="418">
        <f t="shared" si="199"/>
        <v>20027433</v>
      </c>
      <c r="L317" s="459">
        <v>0</v>
      </c>
      <c r="M317" s="443">
        <f t="shared" si="200"/>
        <v>0</v>
      </c>
      <c r="N317" s="443">
        <f t="shared" si="201"/>
        <v>0</v>
      </c>
      <c r="O317" s="443">
        <f t="shared" si="202"/>
        <v>59273.46</v>
      </c>
      <c r="P317" s="443">
        <f t="shared" si="203"/>
        <v>0</v>
      </c>
      <c r="Q317" s="443">
        <f t="shared" si="204"/>
        <v>0</v>
      </c>
      <c r="R317" s="443">
        <f t="shared" si="205"/>
        <v>59273.46</v>
      </c>
      <c r="S317" s="484"/>
      <c r="T317" s="484"/>
      <c r="U317" s="484"/>
      <c r="V317" s="490">
        <v>0</v>
      </c>
      <c r="W317" s="490">
        <v>0</v>
      </c>
      <c r="X317" s="490">
        <v>0</v>
      </c>
      <c r="Y317" s="419">
        <f t="shared" si="206"/>
        <v>170</v>
      </c>
      <c r="Z317" s="420">
        <f t="shared" si="207"/>
        <v>3.5619999999999999E-2</v>
      </c>
      <c r="AA317" s="420">
        <v>0</v>
      </c>
      <c r="AB317" s="420">
        <v>0</v>
      </c>
      <c r="AC317" s="420">
        <f t="shared" si="208"/>
        <v>2.8920000000000001E-2</v>
      </c>
      <c r="AD317" s="419">
        <f t="shared" si="209"/>
        <v>0</v>
      </c>
      <c r="AE317" s="419">
        <f t="shared" si="210"/>
        <v>13.18</v>
      </c>
      <c r="AF317" s="419">
        <f t="shared" si="211"/>
        <v>15.28</v>
      </c>
      <c r="AG317" s="454">
        <f t="shared" si="212"/>
        <v>37230</v>
      </c>
      <c r="AH317" s="454">
        <f t="shared" si="234"/>
        <v>713377.16</v>
      </c>
      <c r="AI317" s="421">
        <f t="shared" si="213"/>
        <v>0</v>
      </c>
      <c r="AJ317" s="421">
        <f t="shared" si="214"/>
        <v>0</v>
      </c>
      <c r="AK317" s="421">
        <f t="shared" si="215"/>
        <v>905698.47</v>
      </c>
      <c r="AL317" s="472">
        <v>0</v>
      </c>
      <c r="AM317" s="422">
        <f t="shared" si="233"/>
        <v>0</v>
      </c>
      <c r="AN317" s="423">
        <f t="shared" si="216"/>
        <v>0</v>
      </c>
      <c r="AO317" s="421">
        <f t="shared" si="217"/>
        <v>905698.47</v>
      </c>
      <c r="AP317" s="472"/>
      <c r="AQ317" s="472"/>
      <c r="AR317" s="472"/>
      <c r="AS317" s="475">
        <v>0</v>
      </c>
      <c r="AT317" s="475">
        <v>0</v>
      </c>
      <c r="AU317" s="475">
        <v>0</v>
      </c>
      <c r="AV317" s="454">
        <f t="shared" si="218"/>
        <v>1656305.63</v>
      </c>
      <c r="AW317" s="421">
        <f t="shared" si="219"/>
        <v>1656306</v>
      </c>
      <c r="AX317" s="455">
        <f t="shared" si="238"/>
        <v>1.0000002233887233</v>
      </c>
      <c r="AY317" s="424">
        <f t="shared" si="220"/>
        <v>-48955</v>
      </c>
      <c r="AZ317" s="424">
        <f t="shared" si="221"/>
        <v>43682</v>
      </c>
      <c r="BA317" s="424">
        <f t="shared" si="222"/>
        <v>55118</v>
      </c>
      <c r="BB317" s="424">
        <f t="shared" si="223"/>
        <v>0</v>
      </c>
      <c r="BC317" s="424">
        <f t="shared" si="224"/>
        <v>0</v>
      </c>
      <c r="BD317" s="424">
        <f t="shared" si="225"/>
        <v>1706151</v>
      </c>
      <c r="BE317" s="452">
        <f t="shared" si="226"/>
        <v>1706150.63</v>
      </c>
      <c r="BF317" s="448">
        <f t="shared" si="227"/>
        <v>0.37000000011175871</v>
      </c>
      <c r="BG317" s="456">
        <f t="shared" si="228"/>
        <v>579193.36</v>
      </c>
      <c r="BH317" s="457">
        <f t="shared" si="195"/>
        <v>134183.80000000005</v>
      </c>
      <c r="BI317" s="407" t="s">
        <v>1490</v>
      </c>
      <c r="BM317" s="429">
        <f>IF(BR317&gt;BR316,BM316,IF(BM316&lt;MiscData!$F$1,EOMONTH(BM316,1),EOMONTH(BM316,-11)))</f>
        <v>41912</v>
      </c>
      <c r="BN317" s="416" t="str">
        <f t="shared" si="196"/>
        <v>20140101KUCIE561</v>
      </c>
      <c r="BO317" s="427" t="str">
        <f t="shared" si="197"/>
        <v>20140101PSP</v>
      </c>
      <c r="BP317" s="407">
        <f>IF(BM317&lt;=MiscData!$B$23,MiscData!$C$23,IF(BM317&lt;=MiscData!$B$24,MiscData!$C$24,MiscData!$C$25))</f>
        <v>20140101</v>
      </c>
      <c r="BQ317" s="407" t="str">
        <f>VLOOKUP(BR317,MiscData!$V$4:$W$42,2,FALSE)</f>
        <v>KUCIE561</v>
      </c>
      <c r="BR317" s="407">
        <f>IF(BR316=MiscData!$V$42,1,BR316+1)</f>
        <v>2</v>
      </c>
      <c r="BS317" s="407" t="str">
        <f>VLOOKUP(BQ317,MiscData!$W$4:$Y$42,3,FALSE)</f>
        <v>PSP</v>
      </c>
    </row>
    <row r="318" spans="1:72" hidden="1">
      <c r="A318" s="416">
        <f t="shared" si="237"/>
        <v>291</v>
      </c>
      <c r="B318" s="416" t="str">
        <f t="shared" si="192"/>
        <v>Sep 2014</v>
      </c>
      <c r="C318" s="416" t="s">
        <v>25</v>
      </c>
      <c r="D318" s="417" t="str">
        <f t="shared" si="193"/>
        <v>PSS</v>
      </c>
      <c r="E318" s="417" t="str">
        <f t="shared" si="194"/>
        <v>KUCIE562</v>
      </c>
      <c r="F318" s="418">
        <f t="shared" si="198"/>
        <v>4845</v>
      </c>
      <c r="G318" s="467"/>
      <c r="H318" s="418">
        <v>0</v>
      </c>
      <c r="I318" s="418">
        <v>0</v>
      </c>
      <c r="J318" s="418">
        <v>0</v>
      </c>
      <c r="K318" s="418">
        <f t="shared" si="199"/>
        <v>213372347</v>
      </c>
      <c r="L318" s="459">
        <v>0</v>
      </c>
      <c r="M318" s="443">
        <f t="shared" si="200"/>
        <v>0</v>
      </c>
      <c r="N318" s="443">
        <f t="shared" si="201"/>
        <v>0</v>
      </c>
      <c r="O318" s="443">
        <f t="shared" si="202"/>
        <v>723592.85</v>
      </c>
      <c r="P318" s="443">
        <f t="shared" si="203"/>
        <v>0</v>
      </c>
      <c r="Q318" s="443">
        <f t="shared" si="204"/>
        <v>0</v>
      </c>
      <c r="R318" s="443">
        <f t="shared" si="205"/>
        <v>723592.85</v>
      </c>
      <c r="S318" s="484"/>
      <c r="T318" s="484"/>
      <c r="U318" s="484"/>
      <c r="V318" s="490">
        <v>0</v>
      </c>
      <c r="W318" s="490">
        <v>0</v>
      </c>
      <c r="X318" s="490">
        <v>0</v>
      </c>
      <c r="Y318" s="419">
        <f t="shared" si="206"/>
        <v>90</v>
      </c>
      <c r="Z318" s="420">
        <f t="shared" si="207"/>
        <v>3.5640000000000005E-2</v>
      </c>
      <c r="AA318" s="420">
        <v>0</v>
      </c>
      <c r="AB318" s="420">
        <v>0</v>
      </c>
      <c r="AC318" s="420">
        <f t="shared" si="208"/>
        <v>2.8920000000000001E-2</v>
      </c>
      <c r="AD318" s="419">
        <f t="shared" si="209"/>
        <v>0</v>
      </c>
      <c r="AE318" s="419">
        <f t="shared" si="210"/>
        <v>13.2</v>
      </c>
      <c r="AF318" s="419">
        <f t="shared" si="211"/>
        <v>15.3</v>
      </c>
      <c r="AG318" s="454">
        <f t="shared" si="212"/>
        <v>436050</v>
      </c>
      <c r="AH318" s="454">
        <f t="shared" si="234"/>
        <v>7604590.4500000002</v>
      </c>
      <c r="AI318" s="421">
        <f t="shared" si="213"/>
        <v>0</v>
      </c>
      <c r="AJ318" s="421">
        <f t="shared" si="214"/>
        <v>0</v>
      </c>
      <c r="AK318" s="421">
        <f t="shared" si="215"/>
        <v>11070970.609999999</v>
      </c>
      <c r="AL318" s="472">
        <v>0</v>
      </c>
      <c r="AM318" s="422">
        <f t="shared" si="233"/>
        <v>0</v>
      </c>
      <c r="AN318" s="423">
        <f t="shared" si="216"/>
        <v>0</v>
      </c>
      <c r="AO318" s="421">
        <f t="shared" si="217"/>
        <v>11070970.609999999</v>
      </c>
      <c r="AP318" s="472"/>
      <c r="AQ318" s="472"/>
      <c r="AR318" s="472"/>
      <c r="AS318" s="475">
        <v>0</v>
      </c>
      <c r="AT318" s="475">
        <v>0</v>
      </c>
      <c r="AU318" s="475">
        <v>0</v>
      </c>
      <c r="AV318" s="454">
        <f t="shared" si="218"/>
        <v>19111611.059999999</v>
      </c>
      <c r="AW318" s="421">
        <f t="shared" si="219"/>
        <v>19111611</v>
      </c>
      <c r="AX318" s="455">
        <f t="shared" si="238"/>
        <v>0.9999999968605473</v>
      </c>
      <c r="AY318" s="424">
        <f t="shared" si="220"/>
        <v>-521570</v>
      </c>
      <c r="AZ318" s="424">
        <f t="shared" si="221"/>
        <v>465389</v>
      </c>
      <c r="BA318" s="424">
        <f t="shared" si="222"/>
        <v>587231</v>
      </c>
      <c r="BB318" s="424">
        <f t="shared" si="223"/>
        <v>0</v>
      </c>
      <c r="BC318" s="424">
        <f t="shared" si="224"/>
        <v>0</v>
      </c>
      <c r="BD318" s="424">
        <f t="shared" si="225"/>
        <v>19642661</v>
      </c>
      <c r="BE318" s="452">
        <f t="shared" si="226"/>
        <v>19642661.059999999</v>
      </c>
      <c r="BF318" s="448">
        <f t="shared" si="227"/>
        <v>-5.9999998658895493E-2</v>
      </c>
      <c r="BG318" s="456">
        <f t="shared" si="228"/>
        <v>6170728.2800000003</v>
      </c>
      <c r="BH318" s="457">
        <f t="shared" si="195"/>
        <v>1433862.17</v>
      </c>
      <c r="BI318" s="407" t="s">
        <v>1490</v>
      </c>
      <c r="BM318" s="429">
        <f>IF(BR318&gt;BR317,BM317,IF(BM317&lt;MiscData!$F$1,EOMONTH(BM317,1),EOMONTH(BM317,-11)))</f>
        <v>41912</v>
      </c>
      <c r="BN318" s="416" t="str">
        <f t="shared" si="196"/>
        <v>20140101KUCIE562</v>
      </c>
      <c r="BO318" s="427" t="str">
        <f t="shared" si="197"/>
        <v>20140101PSS</v>
      </c>
      <c r="BP318" s="407">
        <f>IF(BM318&lt;=MiscData!$B$23,MiscData!$C$23,IF(BM318&lt;=MiscData!$B$24,MiscData!$C$24,MiscData!$C$25))</f>
        <v>20140101</v>
      </c>
      <c r="BQ318" s="407" t="str">
        <f>VLOOKUP(BR318,MiscData!$V$4:$W$42,2,FALSE)</f>
        <v>KUCIE562</v>
      </c>
      <c r="BR318" s="407">
        <f>IF(BR317=MiscData!$V$42,1,BR317+1)</f>
        <v>3</v>
      </c>
      <c r="BS318" s="407" t="str">
        <f>VLOOKUP(BQ318,MiscData!$W$4:$Y$42,3,FALSE)</f>
        <v>PSS</v>
      </c>
    </row>
    <row r="319" spans="1:72" hidden="1">
      <c r="A319" s="416">
        <f t="shared" si="237"/>
        <v>292</v>
      </c>
      <c r="B319" s="416" t="str">
        <f t="shared" si="192"/>
        <v>Sep 2014</v>
      </c>
      <c r="C319" s="416" t="s">
        <v>221</v>
      </c>
      <c r="D319" s="417" t="str">
        <f t="shared" si="193"/>
        <v>TODP</v>
      </c>
      <c r="E319" s="417" t="str">
        <f t="shared" si="194"/>
        <v>KUCIE563</v>
      </c>
      <c r="F319" s="418">
        <f t="shared" si="198"/>
        <v>52</v>
      </c>
      <c r="G319" s="467"/>
      <c r="H319" s="418">
        <v>0</v>
      </c>
      <c r="I319" s="418">
        <v>0</v>
      </c>
      <c r="J319" s="418">
        <v>0</v>
      </c>
      <c r="K319" s="418">
        <f t="shared" si="199"/>
        <v>261037114</v>
      </c>
      <c r="L319" s="459">
        <v>0</v>
      </c>
      <c r="M319" s="443">
        <f t="shared" si="200"/>
        <v>525147.27</v>
      </c>
      <c r="N319" s="443">
        <f t="shared" si="201"/>
        <v>518484.99</v>
      </c>
      <c r="O319" s="443">
        <f t="shared" si="202"/>
        <v>511615.98</v>
      </c>
      <c r="P319" s="443">
        <f t="shared" si="203"/>
        <v>525147.27</v>
      </c>
      <c r="Q319" s="443">
        <f t="shared" si="204"/>
        <v>518484.99</v>
      </c>
      <c r="R319" s="443">
        <f t="shared" si="205"/>
        <v>511615.98</v>
      </c>
      <c r="S319" s="484"/>
      <c r="T319" s="484"/>
      <c r="U319" s="484"/>
      <c r="V319" s="490">
        <v>0</v>
      </c>
      <c r="W319" s="490">
        <v>0</v>
      </c>
      <c r="X319" s="490">
        <v>0</v>
      </c>
      <c r="Y319" s="419">
        <f t="shared" si="206"/>
        <v>300</v>
      </c>
      <c r="Z319" s="420">
        <f t="shared" si="207"/>
        <v>3.7650000000000003E-2</v>
      </c>
      <c r="AA319" s="420">
        <v>0</v>
      </c>
      <c r="AB319" s="420">
        <v>0</v>
      </c>
      <c r="AC319" s="420">
        <f t="shared" si="208"/>
        <v>2.8920000000000001E-2</v>
      </c>
      <c r="AD319" s="419">
        <f t="shared" si="209"/>
        <v>1.71</v>
      </c>
      <c r="AE319" s="419">
        <f t="shared" si="210"/>
        <v>2.76</v>
      </c>
      <c r="AF319" s="419">
        <f t="shared" si="211"/>
        <v>4.26</v>
      </c>
      <c r="AG319" s="454">
        <f t="shared" si="212"/>
        <v>15600</v>
      </c>
      <c r="AH319" s="454">
        <f t="shared" si="234"/>
        <v>9828047.3399999999</v>
      </c>
      <c r="AI319" s="421">
        <f t="shared" si="213"/>
        <v>898001.83</v>
      </c>
      <c r="AJ319" s="421">
        <f t="shared" si="214"/>
        <v>1431018.57</v>
      </c>
      <c r="AK319" s="421">
        <f t="shared" si="215"/>
        <v>2179484.0699999998</v>
      </c>
      <c r="AL319" s="472">
        <v>0</v>
      </c>
      <c r="AM319" s="422">
        <f t="shared" si="233"/>
        <v>0</v>
      </c>
      <c r="AN319" s="423">
        <f t="shared" si="216"/>
        <v>0</v>
      </c>
      <c r="AO319" s="421">
        <f t="shared" si="217"/>
        <v>4508504.47</v>
      </c>
      <c r="AP319" s="472"/>
      <c r="AQ319" s="472"/>
      <c r="AR319" s="472"/>
      <c r="AS319" s="475"/>
      <c r="AT319" s="475"/>
      <c r="AU319" s="475"/>
      <c r="AV319" s="454">
        <f t="shared" si="218"/>
        <v>14352151.810000001</v>
      </c>
      <c r="AW319" s="421">
        <f t="shared" si="219"/>
        <v>14352153</v>
      </c>
      <c r="AX319" s="455">
        <f t="shared" si="238"/>
        <v>1.000000082914396</v>
      </c>
      <c r="AY319" s="424">
        <f t="shared" si="220"/>
        <v>-638083</v>
      </c>
      <c r="AZ319" s="424">
        <f t="shared" si="221"/>
        <v>569351</v>
      </c>
      <c r="BA319" s="424">
        <f t="shared" si="222"/>
        <v>718411</v>
      </c>
      <c r="BB319" s="424">
        <f t="shared" si="223"/>
        <v>0</v>
      </c>
      <c r="BC319" s="424">
        <f t="shared" si="224"/>
        <v>0</v>
      </c>
      <c r="BD319" s="424">
        <f t="shared" si="225"/>
        <v>15001832</v>
      </c>
      <c r="BE319" s="452">
        <f t="shared" si="226"/>
        <v>15001830.810000001</v>
      </c>
      <c r="BF319" s="448">
        <f t="shared" si="227"/>
        <v>1.1899999994784594</v>
      </c>
      <c r="BG319" s="456">
        <f t="shared" si="228"/>
        <v>7549193.3399999999</v>
      </c>
      <c r="BH319" s="457">
        <f t="shared" si="195"/>
        <v>2278854</v>
      </c>
      <c r="BI319" s="407" t="s">
        <v>1490</v>
      </c>
      <c r="BM319" s="429">
        <f>IF(BR319&gt;BR318,BM318,IF(BM318&lt;MiscData!$F$1,EOMONTH(BM318,1),EOMONTH(BM318,-11)))</f>
        <v>41912</v>
      </c>
      <c r="BN319" s="416" t="str">
        <f t="shared" si="196"/>
        <v>20140101KUCIE563</v>
      </c>
      <c r="BO319" s="427" t="str">
        <f t="shared" si="197"/>
        <v>20140101TODP</v>
      </c>
      <c r="BP319" s="407">
        <f>IF(BM319&lt;=MiscData!$B$23,MiscData!$C$23,IF(BM319&lt;=MiscData!$B$24,MiscData!$C$24,MiscData!$C$25))</f>
        <v>20140101</v>
      </c>
      <c r="BQ319" s="407" t="str">
        <f>VLOOKUP(BR319,MiscData!$V$4:$W$42,2,FALSE)</f>
        <v>KUCIE563</v>
      </c>
      <c r="BR319" s="407">
        <f>IF(BR318=MiscData!$V$42,1,BR318+1)</f>
        <v>4</v>
      </c>
      <c r="BS319" s="407" t="str">
        <f>VLOOKUP(BQ319,MiscData!$W$4:$Y$42,3,FALSE)</f>
        <v>TODP</v>
      </c>
    </row>
    <row r="320" spans="1:72">
      <c r="A320" s="416">
        <f t="shared" si="237"/>
        <v>293</v>
      </c>
      <c r="B320" s="416" t="str">
        <f t="shared" si="192"/>
        <v>Sep 2014</v>
      </c>
      <c r="C320" s="416" t="s">
        <v>26</v>
      </c>
      <c r="D320" s="417" t="str">
        <f t="shared" si="193"/>
        <v>PSP</v>
      </c>
      <c r="E320" s="417" t="str">
        <f t="shared" si="194"/>
        <v>KUCIE566</v>
      </c>
      <c r="F320" s="418">
        <f t="shared" si="198"/>
        <v>0</v>
      </c>
      <c r="G320" s="467"/>
      <c r="H320" s="418">
        <v>0</v>
      </c>
      <c r="I320" s="418">
        <v>0</v>
      </c>
      <c r="J320" s="418">
        <v>0</v>
      </c>
      <c r="K320" s="418">
        <f t="shared" si="199"/>
        <v>0</v>
      </c>
      <c r="L320" s="459">
        <v>0</v>
      </c>
      <c r="M320" s="443">
        <f t="shared" si="200"/>
        <v>0</v>
      </c>
      <c r="N320" s="443">
        <f t="shared" si="201"/>
        <v>0</v>
      </c>
      <c r="O320" s="443">
        <f t="shared" si="202"/>
        <v>0</v>
      </c>
      <c r="P320" s="443">
        <f t="shared" si="203"/>
        <v>0</v>
      </c>
      <c r="Q320" s="443">
        <f t="shared" si="204"/>
        <v>0</v>
      </c>
      <c r="R320" s="443">
        <f t="shared" si="205"/>
        <v>0</v>
      </c>
      <c r="S320" s="484">
        <v>0</v>
      </c>
      <c r="T320" s="484"/>
      <c r="U320" s="484"/>
      <c r="V320" s="490">
        <v>0</v>
      </c>
      <c r="W320" s="490">
        <v>0</v>
      </c>
      <c r="X320" s="490">
        <v>0</v>
      </c>
      <c r="Y320" s="419">
        <f t="shared" si="206"/>
        <v>170</v>
      </c>
      <c r="Z320" s="420">
        <f t="shared" si="207"/>
        <v>3.5619999999999999E-2</v>
      </c>
      <c r="AA320" s="420">
        <v>0</v>
      </c>
      <c r="AB320" s="420">
        <v>0</v>
      </c>
      <c r="AC320" s="420">
        <f t="shared" si="208"/>
        <v>2.8920000000000001E-2</v>
      </c>
      <c r="AD320" s="419">
        <f t="shared" si="209"/>
        <v>0</v>
      </c>
      <c r="AE320" s="419">
        <f t="shared" si="210"/>
        <v>13.18</v>
      </c>
      <c r="AF320" s="419">
        <f t="shared" si="211"/>
        <v>15.28</v>
      </c>
      <c r="AG320" s="454">
        <f t="shared" si="212"/>
        <v>0</v>
      </c>
      <c r="AH320" s="454">
        <f t="shared" si="234"/>
        <v>0</v>
      </c>
      <c r="AI320" s="421">
        <f t="shared" si="213"/>
        <v>0</v>
      </c>
      <c r="AJ320" s="421">
        <f t="shared" si="214"/>
        <v>0</v>
      </c>
      <c r="AK320" s="421">
        <f t="shared" si="215"/>
        <v>0</v>
      </c>
      <c r="AL320" s="472">
        <v>0</v>
      </c>
      <c r="AM320" s="422">
        <f t="shared" si="233"/>
        <v>0</v>
      </c>
      <c r="AN320" s="423">
        <f t="shared" si="216"/>
        <v>0</v>
      </c>
      <c r="AO320" s="421">
        <f t="shared" si="217"/>
        <v>0</v>
      </c>
      <c r="AP320" s="472"/>
      <c r="AQ320" s="472"/>
      <c r="AR320" s="472"/>
      <c r="AS320" s="475">
        <v>0</v>
      </c>
      <c r="AT320" s="475">
        <v>0</v>
      </c>
      <c r="AU320" s="475">
        <v>0</v>
      </c>
      <c r="AV320" s="454">
        <f t="shared" si="218"/>
        <v>0</v>
      </c>
      <c r="AW320" s="421">
        <f t="shared" si="219"/>
        <v>0</v>
      </c>
      <c r="AX320" s="455">
        <f t="shared" si="238"/>
        <v>1</v>
      </c>
      <c r="AY320" s="424">
        <f t="shared" si="220"/>
        <v>0</v>
      </c>
      <c r="AZ320" s="424">
        <f t="shared" si="221"/>
        <v>0</v>
      </c>
      <c r="BA320" s="424">
        <f t="shared" si="222"/>
        <v>0</v>
      </c>
      <c r="BB320" s="424">
        <f t="shared" si="223"/>
        <v>0</v>
      </c>
      <c r="BC320" s="424">
        <f t="shared" si="224"/>
        <v>0</v>
      </c>
      <c r="BD320" s="424">
        <f t="shared" si="225"/>
        <v>0</v>
      </c>
      <c r="BE320" s="452">
        <f t="shared" si="226"/>
        <v>0</v>
      </c>
      <c r="BF320" s="448">
        <f t="shared" si="227"/>
        <v>0</v>
      </c>
      <c r="BG320" s="456">
        <f t="shared" si="228"/>
        <v>0</v>
      </c>
      <c r="BH320" s="457">
        <f t="shared" si="195"/>
        <v>0</v>
      </c>
      <c r="BI320" s="407" t="s">
        <v>1490</v>
      </c>
      <c r="BM320" s="429">
        <f>IF(BR320&gt;BR319,BM319,IF(BM319&lt;MiscData!$F$1,EOMONTH(BM319,1),EOMONTH(BM319,-11)))</f>
        <v>41912</v>
      </c>
      <c r="BN320" s="416" t="str">
        <f t="shared" si="196"/>
        <v>20140101KUCIE566</v>
      </c>
      <c r="BO320" s="427" t="str">
        <f t="shared" si="197"/>
        <v>20140101PSP</v>
      </c>
      <c r="BP320" s="407">
        <f>IF(BM320&lt;=MiscData!$B$23,MiscData!$C$23,IF(BM320&lt;=MiscData!$B$24,MiscData!$C$24,MiscData!$C$25))</f>
        <v>20140101</v>
      </c>
      <c r="BQ320" s="407" t="str">
        <f>VLOOKUP(BR320,MiscData!$V$4:$W$42,2,FALSE)</f>
        <v>KUCIE566</v>
      </c>
      <c r="BR320" s="407">
        <f>IF(BR319=MiscData!$V$42,1,BR319+1)</f>
        <v>5</v>
      </c>
      <c r="BS320" s="407" t="str">
        <f>VLOOKUP(BQ320,MiscData!$W$4:$Y$42,3,FALSE)</f>
        <v>PSP</v>
      </c>
    </row>
    <row r="321" spans="1:71" hidden="1">
      <c r="A321" s="416">
        <f t="shared" si="237"/>
        <v>294</v>
      </c>
      <c r="B321" s="416" t="str">
        <f t="shared" si="192"/>
        <v>Sep 2014</v>
      </c>
      <c r="C321" s="416" t="s">
        <v>25</v>
      </c>
      <c r="D321" s="417" t="str">
        <f t="shared" si="193"/>
        <v>PSS</v>
      </c>
      <c r="E321" s="417" t="str">
        <f t="shared" si="194"/>
        <v>KUCIE568</v>
      </c>
      <c r="F321" s="418">
        <f t="shared" si="198"/>
        <v>0</v>
      </c>
      <c r="G321" s="467"/>
      <c r="H321" s="418">
        <v>0</v>
      </c>
      <c r="I321" s="418">
        <v>0</v>
      </c>
      <c r="J321" s="418">
        <v>0</v>
      </c>
      <c r="K321" s="418">
        <f t="shared" si="199"/>
        <v>0</v>
      </c>
      <c r="L321" s="459">
        <v>0</v>
      </c>
      <c r="M321" s="443">
        <f t="shared" si="200"/>
        <v>0</v>
      </c>
      <c r="N321" s="443">
        <f t="shared" si="201"/>
        <v>0</v>
      </c>
      <c r="O321" s="443">
        <f t="shared" si="202"/>
        <v>0</v>
      </c>
      <c r="P321" s="443">
        <f t="shared" si="203"/>
        <v>0</v>
      </c>
      <c r="Q321" s="443">
        <f t="shared" si="204"/>
        <v>0</v>
      </c>
      <c r="R321" s="443">
        <f t="shared" si="205"/>
        <v>0</v>
      </c>
      <c r="S321" s="484">
        <v>0</v>
      </c>
      <c r="T321" s="484">
        <v>0</v>
      </c>
      <c r="U321" s="484"/>
      <c r="V321" s="490">
        <v>0</v>
      </c>
      <c r="W321" s="490">
        <v>0</v>
      </c>
      <c r="X321" s="490">
        <v>0</v>
      </c>
      <c r="Y321" s="419">
        <f t="shared" si="206"/>
        <v>90</v>
      </c>
      <c r="Z321" s="420">
        <f t="shared" si="207"/>
        <v>3.5640000000000005E-2</v>
      </c>
      <c r="AA321" s="420">
        <v>0</v>
      </c>
      <c r="AB321" s="420">
        <v>0</v>
      </c>
      <c r="AC321" s="420">
        <f t="shared" si="208"/>
        <v>2.8920000000000001E-2</v>
      </c>
      <c r="AD321" s="419">
        <f t="shared" si="209"/>
        <v>0</v>
      </c>
      <c r="AE321" s="419">
        <f t="shared" si="210"/>
        <v>13.2</v>
      </c>
      <c r="AF321" s="419">
        <f t="shared" si="211"/>
        <v>15.3</v>
      </c>
      <c r="AG321" s="454">
        <f t="shared" si="212"/>
        <v>0</v>
      </c>
      <c r="AH321" s="454">
        <f t="shared" si="234"/>
        <v>0</v>
      </c>
      <c r="AI321" s="421">
        <f t="shared" si="213"/>
        <v>0</v>
      </c>
      <c r="AJ321" s="421">
        <f t="shared" si="214"/>
        <v>0</v>
      </c>
      <c r="AK321" s="421">
        <f t="shared" si="215"/>
        <v>0</v>
      </c>
      <c r="AL321" s="472"/>
      <c r="AM321" s="422">
        <f t="shared" si="233"/>
        <v>0</v>
      </c>
      <c r="AN321" s="423">
        <f t="shared" si="216"/>
        <v>0</v>
      </c>
      <c r="AO321" s="421">
        <f t="shared" si="217"/>
        <v>0</v>
      </c>
      <c r="AP321" s="472"/>
      <c r="AQ321" s="472"/>
      <c r="AR321" s="472"/>
      <c r="AS321" s="475">
        <v>0</v>
      </c>
      <c r="AT321" s="475">
        <v>0</v>
      </c>
      <c r="AU321" s="475">
        <v>0</v>
      </c>
      <c r="AV321" s="454">
        <f t="shared" si="218"/>
        <v>0</v>
      </c>
      <c r="AW321" s="421">
        <f t="shared" si="219"/>
        <v>0</v>
      </c>
      <c r="AX321" s="455">
        <f t="shared" si="238"/>
        <v>1</v>
      </c>
      <c r="AY321" s="424">
        <f t="shared" si="220"/>
        <v>0</v>
      </c>
      <c r="AZ321" s="424">
        <f t="shared" si="221"/>
        <v>0</v>
      </c>
      <c r="BA321" s="424">
        <f t="shared" si="222"/>
        <v>0</v>
      </c>
      <c r="BB321" s="424">
        <f t="shared" si="223"/>
        <v>0</v>
      </c>
      <c r="BC321" s="424">
        <f t="shared" si="224"/>
        <v>0</v>
      </c>
      <c r="BD321" s="424">
        <f t="shared" si="225"/>
        <v>0</v>
      </c>
      <c r="BE321" s="452">
        <f t="shared" si="226"/>
        <v>0</v>
      </c>
      <c r="BF321" s="448">
        <f t="shared" si="227"/>
        <v>0</v>
      </c>
      <c r="BG321" s="456">
        <f t="shared" si="228"/>
        <v>0</v>
      </c>
      <c r="BH321" s="457">
        <f t="shared" si="195"/>
        <v>0</v>
      </c>
      <c r="BI321" s="407" t="s">
        <v>1490</v>
      </c>
      <c r="BM321" s="429">
        <f>IF(BR321&gt;BR320,BM320,IF(BM320&lt;MiscData!$F$1,EOMONTH(BM320,1),EOMONTH(BM320,-11)))</f>
        <v>41912</v>
      </c>
      <c r="BN321" s="416" t="str">
        <f t="shared" si="196"/>
        <v>20140101KUCIE568</v>
      </c>
      <c r="BO321" s="427" t="str">
        <f t="shared" si="197"/>
        <v>20140101PSS</v>
      </c>
      <c r="BP321" s="407">
        <f>IF(BM321&lt;=MiscData!$B$23,MiscData!$C$23,IF(BM321&lt;=MiscData!$B$24,MiscData!$C$24,MiscData!$C$25))</f>
        <v>20140101</v>
      </c>
      <c r="BQ321" s="407" t="str">
        <f>VLOOKUP(BR321,MiscData!$V$4:$W$42,2,FALSE)</f>
        <v>KUCIE568</v>
      </c>
      <c r="BR321" s="407">
        <f>IF(BR320=MiscData!$V$42,1,BR320+1)</f>
        <v>6</v>
      </c>
      <c r="BS321" s="407" t="str">
        <f>VLOOKUP(BQ321,MiscData!$W$4:$Y$42,3,FALSE)</f>
        <v>PSS</v>
      </c>
    </row>
    <row r="322" spans="1:71" hidden="1">
      <c r="A322" s="416">
        <f t="shared" si="237"/>
        <v>295</v>
      </c>
      <c r="B322" s="416" t="str">
        <f t="shared" si="192"/>
        <v>Sep 2014</v>
      </c>
      <c r="C322" s="416" t="s">
        <v>221</v>
      </c>
      <c r="D322" s="417" t="str">
        <f t="shared" si="193"/>
        <v>TODP</v>
      </c>
      <c r="E322" s="417" t="str">
        <f t="shared" si="194"/>
        <v>KUCIE571</v>
      </c>
      <c r="F322" s="418">
        <f t="shared" si="198"/>
        <v>179</v>
      </c>
      <c r="G322" s="467"/>
      <c r="H322" s="418">
        <v>0</v>
      </c>
      <c r="I322" s="418">
        <v>0</v>
      </c>
      <c r="J322" s="418">
        <v>0</v>
      </c>
      <c r="K322" s="418">
        <f t="shared" si="199"/>
        <v>109759335</v>
      </c>
      <c r="L322" s="481">
        <v>0</v>
      </c>
      <c r="M322" s="443">
        <f t="shared" si="200"/>
        <v>269418.2</v>
      </c>
      <c r="N322" s="443">
        <f t="shared" si="201"/>
        <v>258888.53</v>
      </c>
      <c r="O322" s="443">
        <f t="shared" si="202"/>
        <v>249324.74</v>
      </c>
      <c r="P322" s="443">
        <f t="shared" si="203"/>
        <v>269418.2</v>
      </c>
      <c r="Q322" s="443">
        <f t="shared" si="204"/>
        <v>258888.53</v>
      </c>
      <c r="R322" s="443">
        <f t="shared" si="205"/>
        <v>249324.74</v>
      </c>
      <c r="S322" s="484"/>
      <c r="T322" s="484"/>
      <c r="U322" s="484"/>
      <c r="V322" s="490">
        <v>0</v>
      </c>
      <c r="W322" s="490">
        <v>0</v>
      </c>
      <c r="X322" s="490">
        <v>0</v>
      </c>
      <c r="Y322" s="419">
        <f t="shared" si="206"/>
        <v>300</v>
      </c>
      <c r="Z322" s="420">
        <f t="shared" si="207"/>
        <v>3.7650000000000003E-2</v>
      </c>
      <c r="AA322" s="420">
        <v>0</v>
      </c>
      <c r="AB322" s="420">
        <v>0</v>
      </c>
      <c r="AC322" s="420">
        <f t="shared" si="208"/>
        <v>2.8920000000000001E-2</v>
      </c>
      <c r="AD322" s="419">
        <f t="shared" si="209"/>
        <v>1.71</v>
      </c>
      <c r="AE322" s="419">
        <f t="shared" si="210"/>
        <v>2.76</v>
      </c>
      <c r="AF322" s="419">
        <f t="shared" si="211"/>
        <v>4.26</v>
      </c>
      <c r="AG322" s="454">
        <f t="shared" si="212"/>
        <v>53700</v>
      </c>
      <c r="AH322" s="454">
        <f t="shared" si="234"/>
        <v>4132438.96</v>
      </c>
      <c r="AI322" s="421">
        <f t="shared" si="213"/>
        <v>460705.12</v>
      </c>
      <c r="AJ322" s="421">
        <f t="shared" si="214"/>
        <v>714532.34</v>
      </c>
      <c r="AK322" s="421">
        <f t="shared" si="215"/>
        <v>1062123.3899999999</v>
      </c>
      <c r="AL322" s="472">
        <v>0</v>
      </c>
      <c r="AM322" s="422">
        <f t="shared" si="233"/>
        <v>0</v>
      </c>
      <c r="AN322" s="423">
        <f t="shared" si="216"/>
        <v>0</v>
      </c>
      <c r="AO322" s="421">
        <f t="shared" si="217"/>
        <v>2237360.8499999996</v>
      </c>
      <c r="AP322" s="472"/>
      <c r="AQ322" s="472"/>
      <c r="AR322" s="472"/>
      <c r="AS322" s="475"/>
      <c r="AT322" s="475"/>
      <c r="AU322" s="475"/>
      <c r="AV322" s="454">
        <f t="shared" si="218"/>
        <v>6423499.8099999996</v>
      </c>
      <c r="AW322" s="421">
        <f t="shared" si="219"/>
        <v>6423500</v>
      </c>
      <c r="AX322" s="455">
        <f t="shared" si="238"/>
        <v>1.0000000295788909</v>
      </c>
      <c r="AY322" s="424">
        <f t="shared" si="220"/>
        <v>-268297</v>
      </c>
      <c r="AZ322" s="424">
        <f t="shared" si="221"/>
        <v>239397</v>
      </c>
      <c r="BA322" s="424">
        <f t="shared" si="222"/>
        <v>302073</v>
      </c>
      <c r="BB322" s="424">
        <f t="shared" si="223"/>
        <v>0</v>
      </c>
      <c r="BC322" s="424">
        <f t="shared" si="224"/>
        <v>0</v>
      </c>
      <c r="BD322" s="424">
        <f t="shared" si="225"/>
        <v>6696673</v>
      </c>
      <c r="BE322" s="452">
        <f t="shared" si="226"/>
        <v>6696672.8099999996</v>
      </c>
      <c r="BF322" s="448">
        <f t="shared" si="227"/>
        <v>0.19000000040978193</v>
      </c>
      <c r="BG322" s="456">
        <f t="shared" si="228"/>
        <v>3174239.97</v>
      </c>
      <c r="BH322" s="457">
        <f t="shared" si="195"/>
        <v>958198.98999999976</v>
      </c>
      <c r="BI322" s="407" t="s">
        <v>1490</v>
      </c>
      <c r="BM322" s="429">
        <f>IF(BR322&gt;BR321,BM321,IF(BM321&lt;MiscData!$F$1,EOMONTH(BM321,1),EOMONTH(BM321,-11)))</f>
        <v>41912</v>
      </c>
      <c r="BN322" s="416" t="str">
        <f t="shared" si="196"/>
        <v>20140101KUCIE571</v>
      </c>
      <c r="BO322" s="427" t="str">
        <f t="shared" si="197"/>
        <v>20140101TODP</v>
      </c>
      <c r="BP322" s="407">
        <f>IF(BM322&lt;=MiscData!$B$23,MiscData!$C$23,IF(BM322&lt;=MiscData!$B$24,MiscData!$C$24,MiscData!$C$25))</f>
        <v>20140101</v>
      </c>
      <c r="BQ322" s="407" t="str">
        <f>VLOOKUP(BR322,MiscData!$V$4:$W$42,2,FALSE)</f>
        <v>KUCIE571</v>
      </c>
      <c r="BR322" s="407">
        <f>IF(BR321=MiscData!$V$42,1,BR321+1)</f>
        <v>7</v>
      </c>
      <c r="BS322" s="407" t="str">
        <f>VLOOKUP(BQ322,MiscData!$W$4:$Y$42,3,FALSE)</f>
        <v>TODP</v>
      </c>
    </row>
    <row r="323" spans="1:71" hidden="1">
      <c r="A323" s="416">
        <f t="shared" si="237"/>
        <v>296</v>
      </c>
      <c r="B323" s="416" t="str">
        <f t="shared" si="192"/>
        <v>Sep 2014</v>
      </c>
      <c r="C323" s="416" t="s">
        <v>220</v>
      </c>
      <c r="D323" s="417" t="str">
        <f t="shared" si="193"/>
        <v>TODS</v>
      </c>
      <c r="E323" s="417" t="str">
        <f t="shared" si="194"/>
        <v>KUCIE572</v>
      </c>
      <c r="F323" s="418">
        <f t="shared" si="198"/>
        <v>451</v>
      </c>
      <c r="G323" s="467"/>
      <c r="H323" s="418">
        <v>0</v>
      </c>
      <c r="I323" s="418">
        <v>0</v>
      </c>
      <c r="J323" s="418">
        <v>0</v>
      </c>
      <c r="K323" s="418">
        <f t="shared" si="199"/>
        <v>134322230</v>
      </c>
      <c r="L323" s="481"/>
      <c r="M323" s="443">
        <f t="shared" si="200"/>
        <v>331428.90999999997</v>
      </c>
      <c r="N323" s="443">
        <f t="shared" si="201"/>
        <v>309430.81</v>
      </c>
      <c r="O323" s="443">
        <f t="shared" si="202"/>
        <v>303407.62</v>
      </c>
      <c r="P323" s="443">
        <f t="shared" si="203"/>
        <v>331428.90999999997</v>
      </c>
      <c r="Q323" s="443">
        <f t="shared" si="204"/>
        <v>309430.81</v>
      </c>
      <c r="R323" s="443">
        <f t="shared" si="205"/>
        <v>303407.62</v>
      </c>
      <c r="S323" s="484"/>
      <c r="T323" s="484"/>
      <c r="U323" s="484"/>
      <c r="V323" s="490">
        <v>0</v>
      </c>
      <c r="W323" s="490">
        <v>0</v>
      </c>
      <c r="X323" s="490">
        <v>0</v>
      </c>
      <c r="Y323" s="419">
        <f t="shared" si="206"/>
        <v>200</v>
      </c>
      <c r="Z323" s="420">
        <f t="shared" si="207"/>
        <v>3.773E-2</v>
      </c>
      <c r="AA323" s="420">
        <v>0</v>
      </c>
      <c r="AB323" s="420">
        <v>0</v>
      </c>
      <c r="AC323" s="420">
        <f t="shared" si="208"/>
        <v>2.8920000000000001E-2</v>
      </c>
      <c r="AD323" s="419">
        <f t="shared" si="209"/>
        <v>3.62</v>
      </c>
      <c r="AE323" s="419">
        <f t="shared" si="210"/>
        <v>2.95</v>
      </c>
      <c r="AF323" s="419">
        <f t="shared" si="211"/>
        <v>4.55</v>
      </c>
      <c r="AG323" s="454">
        <f t="shared" si="212"/>
        <v>90200</v>
      </c>
      <c r="AH323" s="454">
        <f t="shared" si="234"/>
        <v>5067977.74</v>
      </c>
      <c r="AI323" s="421">
        <f t="shared" si="213"/>
        <v>1199772.6499999999</v>
      </c>
      <c r="AJ323" s="421">
        <f t="shared" si="214"/>
        <v>912820.89</v>
      </c>
      <c r="AK323" s="421">
        <f t="shared" si="215"/>
        <v>1380504.67</v>
      </c>
      <c r="AL323" s="472"/>
      <c r="AM323" s="422">
        <f t="shared" si="233"/>
        <v>0</v>
      </c>
      <c r="AN323" s="423">
        <f t="shared" si="216"/>
        <v>0</v>
      </c>
      <c r="AO323" s="421">
        <f t="shared" si="217"/>
        <v>3493098.21</v>
      </c>
      <c r="AP323" s="472"/>
      <c r="AQ323" s="472"/>
      <c r="AR323" s="472"/>
      <c r="AS323" s="475">
        <v>0</v>
      </c>
      <c r="AT323" s="475">
        <v>0</v>
      </c>
      <c r="AU323" s="475">
        <v>0</v>
      </c>
      <c r="AV323" s="454">
        <f t="shared" si="218"/>
        <v>8651275.9499999993</v>
      </c>
      <c r="AW323" s="421">
        <f t="shared" si="219"/>
        <v>8651276</v>
      </c>
      <c r="AX323" s="455">
        <f t="shared" si="238"/>
        <v>1.0000000057794944</v>
      </c>
      <c r="AY323" s="424">
        <f t="shared" si="220"/>
        <v>-328339</v>
      </c>
      <c r="AZ323" s="424">
        <f t="shared" si="221"/>
        <v>292972</v>
      </c>
      <c r="BA323" s="424">
        <f t="shared" si="222"/>
        <v>369674</v>
      </c>
      <c r="BB323" s="424">
        <f t="shared" si="223"/>
        <v>0</v>
      </c>
      <c r="BC323" s="424">
        <f t="shared" si="224"/>
        <v>0</v>
      </c>
      <c r="BD323" s="424">
        <f t="shared" si="225"/>
        <v>8985583</v>
      </c>
      <c r="BE323" s="452">
        <f t="shared" si="226"/>
        <v>8985582.9499999993</v>
      </c>
      <c r="BF323" s="448">
        <f t="shared" si="227"/>
        <v>5.000000074505806E-2</v>
      </c>
      <c r="BG323" s="456">
        <f t="shared" si="228"/>
        <v>3884598.89</v>
      </c>
      <c r="BH323" s="457">
        <f t="shared" si="195"/>
        <v>1183378.8500000001</v>
      </c>
      <c r="BI323" s="407" t="s">
        <v>1490</v>
      </c>
      <c r="BM323" s="429">
        <f>IF(BR323&gt;BR322,BM322,IF(BM322&lt;MiscData!$F$1,EOMONTH(BM322,1),EOMONTH(BM322,-11)))</f>
        <v>41912</v>
      </c>
      <c r="BN323" s="416" t="str">
        <f t="shared" si="196"/>
        <v>20140101KUCIE572</v>
      </c>
      <c r="BO323" s="427" t="str">
        <f t="shared" si="197"/>
        <v>20140101TODS</v>
      </c>
      <c r="BP323" s="407">
        <f>IF(BM323&lt;=MiscData!$B$23,MiscData!$C$23,IF(BM323&lt;=MiscData!$B$24,MiscData!$C$24,MiscData!$C$25))</f>
        <v>20140101</v>
      </c>
      <c r="BQ323" s="407" t="str">
        <f>VLOOKUP(BR323,MiscData!$V$4:$W$42,2,FALSE)</f>
        <v>KUCIE572</v>
      </c>
      <c r="BR323" s="407">
        <f>IF(BR322=MiscData!$V$42,1,BR322+1)</f>
        <v>8</v>
      </c>
      <c r="BS323" s="407" t="str">
        <f>VLOOKUP(BQ323,MiscData!$W$4:$Y$42,3,FALSE)</f>
        <v>TODS</v>
      </c>
    </row>
    <row r="324" spans="1:71" hidden="1">
      <c r="A324" s="416">
        <f t="shared" si="237"/>
        <v>297</v>
      </c>
      <c r="B324" s="416" t="str">
        <f t="shared" ref="B324:B387" si="239">TEXT(BM324,"mmm yyyy")</f>
        <v>Sep 2014</v>
      </c>
      <c r="C324" s="416" t="s">
        <v>25</v>
      </c>
      <c r="D324" s="417" t="str">
        <f t="shared" ref="D324:D387" si="240">BS324</f>
        <v>PSS</v>
      </c>
      <c r="E324" s="417" t="str">
        <f t="shared" ref="E324:E387" si="241">BQ324</f>
        <v>KUCIE717</v>
      </c>
      <c r="F324" s="418">
        <f t="shared" si="198"/>
        <v>0</v>
      </c>
      <c r="G324" s="467">
        <v>0</v>
      </c>
      <c r="H324" s="418">
        <v>0</v>
      </c>
      <c r="I324" s="418">
        <v>0</v>
      </c>
      <c r="J324" s="418">
        <v>0</v>
      </c>
      <c r="K324" s="418">
        <f t="shared" si="199"/>
        <v>0</v>
      </c>
      <c r="L324" s="459">
        <v>0</v>
      </c>
      <c r="M324" s="443">
        <f t="shared" si="200"/>
        <v>0</v>
      </c>
      <c r="N324" s="443">
        <f t="shared" si="201"/>
        <v>0</v>
      </c>
      <c r="O324" s="443">
        <f t="shared" si="202"/>
        <v>0</v>
      </c>
      <c r="P324" s="443">
        <f t="shared" si="203"/>
        <v>0</v>
      </c>
      <c r="Q324" s="443">
        <f t="shared" si="204"/>
        <v>0</v>
      </c>
      <c r="R324" s="443">
        <f t="shared" si="205"/>
        <v>0</v>
      </c>
      <c r="S324" s="484">
        <v>0</v>
      </c>
      <c r="T324" s="484">
        <v>0</v>
      </c>
      <c r="U324" s="484">
        <v>0</v>
      </c>
      <c r="V324" s="490">
        <v>0</v>
      </c>
      <c r="W324" s="490">
        <v>0</v>
      </c>
      <c r="X324" s="490">
        <v>0</v>
      </c>
      <c r="Y324" s="419">
        <f t="shared" si="206"/>
        <v>90</v>
      </c>
      <c r="Z324" s="420">
        <f t="shared" si="207"/>
        <v>3.5640000000000005E-2</v>
      </c>
      <c r="AA324" s="420">
        <v>0</v>
      </c>
      <c r="AB324" s="420">
        <v>0</v>
      </c>
      <c r="AC324" s="420">
        <f t="shared" si="208"/>
        <v>2.8920000000000001E-2</v>
      </c>
      <c r="AD324" s="419">
        <f t="shared" si="209"/>
        <v>0</v>
      </c>
      <c r="AE324" s="419">
        <f t="shared" si="210"/>
        <v>13.2</v>
      </c>
      <c r="AF324" s="419">
        <f t="shared" si="211"/>
        <v>15.3</v>
      </c>
      <c r="AG324" s="454">
        <f t="shared" si="212"/>
        <v>0</v>
      </c>
      <c r="AH324" s="454">
        <f t="shared" si="234"/>
        <v>0</v>
      </c>
      <c r="AI324" s="421">
        <f t="shared" si="213"/>
        <v>0</v>
      </c>
      <c r="AJ324" s="421">
        <f t="shared" si="214"/>
        <v>0</v>
      </c>
      <c r="AK324" s="421">
        <f t="shared" si="215"/>
        <v>0</v>
      </c>
      <c r="AL324" s="472">
        <v>0</v>
      </c>
      <c r="AM324" s="422">
        <f t="shared" si="233"/>
        <v>0</v>
      </c>
      <c r="AN324" s="423">
        <f t="shared" si="216"/>
        <v>0</v>
      </c>
      <c r="AO324" s="421">
        <f t="shared" si="217"/>
        <v>0</v>
      </c>
      <c r="AP324" s="472">
        <v>0</v>
      </c>
      <c r="AQ324" s="472">
        <v>0</v>
      </c>
      <c r="AR324" s="472">
        <v>0</v>
      </c>
      <c r="AS324" s="475">
        <v>0</v>
      </c>
      <c r="AT324" s="475">
        <v>0</v>
      </c>
      <c r="AU324" s="475">
        <v>0</v>
      </c>
      <c r="AV324" s="454">
        <f t="shared" si="218"/>
        <v>0</v>
      </c>
      <c r="AW324" s="421">
        <f t="shared" si="219"/>
        <v>0</v>
      </c>
      <c r="AX324" s="455">
        <f t="shared" si="238"/>
        <v>1</v>
      </c>
      <c r="AY324" s="424">
        <f t="shared" si="220"/>
        <v>0</v>
      </c>
      <c r="AZ324" s="424">
        <f t="shared" si="221"/>
        <v>0</v>
      </c>
      <c r="BA324" s="424">
        <f t="shared" si="222"/>
        <v>0</v>
      </c>
      <c r="BB324" s="424">
        <f t="shared" si="223"/>
        <v>0</v>
      </c>
      <c r="BC324" s="424">
        <f t="shared" si="224"/>
        <v>0</v>
      </c>
      <c r="BD324" s="424">
        <f t="shared" si="225"/>
        <v>0</v>
      </c>
      <c r="BE324" s="452">
        <f t="shared" si="226"/>
        <v>0</v>
      </c>
      <c r="BF324" s="448">
        <f t="shared" si="227"/>
        <v>0</v>
      </c>
      <c r="BG324" s="456">
        <f t="shared" si="228"/>
        <v>0</v>
      </c>
      <c r="BH324" s="457">
        <f t="shared" ref="BH324:BH387" si="242">AH324+AQ324-BG324</f>
        <v>0</v>
      </c>
      <c r="BI324" s="407" t="s">
        <v>1490</v>
      </c>
      <c r="BM324" s="429">
        <f>IF(BR324&gt;BR323,BM323,IF(BM323&lt;MiscData!$F$1,EOMONTH(BM323,1),EOMONTH(BM323,-11)))</f>
        <v>41912</v>
      </c>
      <c r="BN324" s="416" t="str">
        <f t="shared" ref="BN324:BN387" si="243">CONCATENATE(BP324&amp;BQ324)</f>
        <v>20140101KUCIE717</v>
      </c>
      <c r="BO324" s="427" t="str">
        <f t="shared" ref="BO324:BO387" si="244">CONCATENATE(BP324&amp;BS324)</f>
        <v>20140101PSS</v>
      </c>
      <c r="BP324" s="407">
        <f>IF(BM324&lt;=MiscData!$B$23,MiscData!$C$23,IF(BM324&lt;=MiscData!$B$24,MiscData!$C$24,MiscData!$C$25))</f>
        <v>20140101</v>
      </c>
      <c r="BQ324" s="407" t="str">
        <f>VLOOKUP(BR324,MiscData!$V$4:$W$42,2,FALSE)</f>
        <v>KUCIE717</v>
      </c>
      <c r="BR324" s="407">
        <f>IF(BR323=MiscData!$V$42,1,BR323+1)</f>
        <v>9</v>
      </c>
      <c r="BS324" s="407" t="str">
        <f>VLOOKUP(BQ324,MiscData!$W$4:$Y$42,3,FALSE)</f>
        <v>PSS</v>
      </c>
    </row>
    <row r="325" spans="1:71" hidden="1">
      <c r="A325" s="416">
        <f t="shared" si="237"/>
        <v>298</v>
      </c>
      <c r="B325" s="416" t="str">
        <f t="shared" si="239"/>
        <v>Sep 2014</v>
      </c>
      <c r="C325" s="416" t="s">
        <v>224</v>
      </c>
      <c r="D325" s="417" t="str">
        <f t="shared" si="240"/>
        <v>GS</v>
      </c>
      <c r="E325" s="417" t="str">
        <f t="shared" si="241"/>
        <v>KUCME110</v>
      </c>
      <c r="F325" s="418">
        <f t="shared" ref="F325:F388" si="245">SUMIFS(_1022_Count,_1022_RevenueMonth,$B325,_1022_RateCategory,$E325)</f>
        <v>63413</v>
      </c>
      <c r="G325" s="467">
        <v>0</v>
      </c>
      <c r="H325" s="418">
        <v>0</v>
      </c>
      <c r="I325" s="418">
        <v>0</v>
      </c>
      <c r="J325" s="418">
        <v>0</v>
      </c>
      <c r="K325" s="418">
        <f t="shared" ref="K325:K388" si="246">SUMIFS(_1022_KWH,_1022_RevenueMonth,$B325,_1022_RateCategory,$E325)</f>
        <v>67737296</v>
      </c>
      <c r="L325" s="459">
        <v>0</v>
      </c>
      <c r="M325" s="443">
        <f t="shared" ref="M325:M388" si="247">SUMIFS(_1022_Measured_KVA_Base,_1022_RevenueMonth,$B325,_1022_RateCategory,$E325)</f>
        <v>0</v>
      </c>
      <c r="N325" s="443">
        <f t="shared" ref="N325:N388" si="248">SUMIFS(_1022_Measured_KVA_Inter,_1022_RevenueMonth,$B325,_1022_RateCategory,$E325)</f>
        <v>0</v>
      </c>
      <c r="O325" s="443">
        <f t="shared" ref="O325:O388" si="249">SUMIFS(_1022_Measured_KVA_Peak,_1022_RevenueMonth,$B325,_1022_RateCategory,$E325)</f>
        <v>0</v>
      </c>
      <c r="P325" s="443">
        <f t="shared" ref="P325:P388" si="250">SUMIFS(_1022_Demand_Base,_1022_RevenueMonth,$B325,_1022_RateCategory,$E325)</f>
        <v>0</v>
      </c>
      <c r="Q325" s="443">
        <f t="shared" ref="Q325:Q388" si="251">SUMIFS(_1022_Demand_Intermediate,_1022_RevenueMonth,$B325,_1022_RateCategory,$E325)</f>
        <v>0</v>
      </c>
      <c r="R325" s="443">
        <f t="shared" ref="R325:R388" si="252">SUMIFS(_1022_Demand_Peak,_1022_RevenueMonth,$B325,_1022_RateCategory,$E325)</f>
        <v>0</v>
      </c>
      <c r="S325" s="484">
        <v>0</v>
      </c>
      <c r="T325" s="484">
        <v>0</v>
      </c>
      <c r="U325" s="484">
        <v>0</v>
      </c>
      <c r="V325" s="490">
        <v>0</v>
      </c>
      <c r="W325" s="490">
        <v>0</v>
      </c>
      <c r="X325" s="490">
        <v>0</v>
      </c>
      <c r="Y325" s="419">
        <f t="shared" ref="Y325:Y388" si="253">SUMIF(_Rates_Tariff_Category,$BN325,_Rates_BasicServiceCharge)</f>
        <v>20</v>
      </c>
      <c r="Z325" s="420">
        <f t="shared" ref="Z325:Z388" si="254">SUMIF(_Rates_Tariff_Category,$BN325,_Rates_Energy)</f>
        <v>9.2249999999999999E-2</v>
      </c>
      <c r="AA325" s="420">
        <v>0</v>
      </c>
      <c r="AB325" s="420">
        <v>0</v>
      </c>
      <c r="AC325" s="420">
        <f t="shared" ref="AC325:AC388" si="255">SUMIF(_Rates_Tariff_Category,$BN325,_Rates_FAC_Energy)</f>
        <v>2.8920000000000001E-2</v>
      </c>
      <c r="AD325" s="419">
        <f t="shared" ref="AD325:AD388" si="256">SUMIF(_Rates_Tariff_Category,$BN325,_Rates_Demand_Base)</f>
        <v>0</v>
      </c>
      <c r="AE325" s="419">
        <f t="shared" ref="AE325:AE388" si="257">SUMIF(_Rates_Tariff_Category,$BN325,_Rates_Demand_Intermediate)</f>
        <v>0</v>
      </c>
      <c r="AF325" s="419">
        <f t="shared" ref="AF325:AF388" si="258">SUMIF(_Rates_Tariff_Category,$BN325,_Rates_Demand_Peak)</f>
        <v>0</v>
      </c>
      <c r="AG325" s="454">
        <f t="shared" ref="AG325:AG388" si="259">ROUND(($F325+$G325)*$Y325,2)</f>
        <v>1268260</v>
      </c>
      <c r="AH325" s="454">
        <f t="shared" si="234"/>
        <v>6248765.5599999996</v>
      </c>
      <c r="AI325" s="421">
        <f t="shared" ref="AI325:AI388" si="260">ROUND(($M325+V325)*$AD325,2)</f>
        <v>0</v>
      </c>
      <c r="AJ325" s="421">
        <f t="shared" ref="AJ325:AJ388" si="261">ROUND(($N325+W325)*$AE325,2)</f>
        <v>0</v>
      </c>
      <c r="AK325" s="421">
        <f t="shared" ref="AK325:AK388" si="262">ROUND(($O325+X325)*$AF325,2)</f>
        <v>0</v>
      </c>
      <c r="AL325" s="472">
        <v>0</v>
      </c>
      <c r="AM325" s="422">
        <f t="shared" si="233"/>
        <v>0</v>
      </c>
      <c r="AN325" s="423">
        <f t="shared" ref="AN325:AN388" si="263">ROUND(U325*AF325+T325*AE325+S325*AD325,2)</f>
        <v>0</v>
      </c>
      <c r="AO325" s="421">
        <f t="shared" ref="AO325:AO388" si="264">SUM(AI325:AN325)</f>
        <v>0</v>
      </c>
      <c r="AP325" s="472">
        <v>0</v>
      </c>
      <c r="AQ325" s="472">
        <v>0</v>
      </c>
      <c r="AR325" s="472">
        <v>0</v>
      </c>
      <c r="AS325" s="475">
        <v>0</v>
      </c>
      <c r="AT325" s="475">
        <v>0</v>
      </c>
      <c r="AU325" s="475">
        <v>0</v>
      </c>
      <c r="AV325" s="454">
        <f t="shared" ref="AV325:AV388" si="265">SUM(AG325:AN325,AP325:AU325)</f>
        <v>7517025.5599999996</v>
      </c>
      <c r="AW325" s="421">
        <f t="shared" ref="AW325:AW388" si="266">BD325-SUM(AY325:BC325)</f>
        <v>7517027</v>
      </c>
      <c r="AX325" s="455">
        <f t="shared" ref="AX325:AX334" si="267">IF(AND(AV325=0,AW325=0),1,IF(AV325=0,0,AW325/AV325))</f>
        <v>1.0000001915651329</v>
      </c>
      <c r="AY325" s="424">
        <f t="shared" ref="AY325:AY388" si="268">SUMIFS(_SBR_FAC,_SBR_Revenue_Month,$B325,_SBR_Rate_Category,$E325)</f>
        <v>-165578</v>
      </c>
      <c r="AZ325" s="424">
        <f t="shared" ref="AZ325:AZ388" si="269">SUMIFS(_SBR_DSM,_SBR_Revenue_Month,$B325,_SBR_Rate_Category,$E325)</f>
        <v>147743</v>
      </c>
      <c r="BA325" s="424">
        <f t="shared" ref="BA325:BA388" si="270">SUMIFS(_SBR_ECR,_SBR_Revenue_Month,$B325,_SBR_Rate_Category,$E325)</f>
        <v>186423</v>
      </c>
      <c r="BB325" s="424">
        <f t="shared" ref="BB325:BB388" si="271">SUMIFS(_SBR_MSR,_SBR_Revenue_Month,$B325,_SBR_Rate_Category,$E325)</f>
        <v>0</v>
      </c>
      <c r="BC325" s="424">
        <f t="shared" ref="BC325:BC388" si="272">SUMIFS(_SBR_CSR,_SBR_Revenue_Month,$B325,_SBR_Rate_Category,$E325)</f>
        <v>0</v>
      </c>
      <c r="BD325" s="424">
        <f t="shared" ref="BD325:BD388" si="273">SUMIFS(_SBR_Revenue_Actual,_SBR_Revenue_Month,$B325,_SBR_Rate_Category,$E325)</f>
        <v>7685615</v>
      </c>
      <c r="BE325" s="452">
        <f t="shared" ref="BE325:BE388" si="274">SUM(AV325,AY325:BC325)</f>
        <v>7685613.5599999996</v>
      </c>
      <c r="BF325" s="448">
        <f t="shared" ref="BF325:BF388" si="275">BD325-BE325</f>
        <v>1.4400000004097819</v>
      </c>
      <c r="BG325" s="456">
        <f t="shared" ref="BG325:BG388" si="276">ROUND($K325*$AC325,2)</f>
        <v>1958962.6</v>
      </c>
      <c r="BH325" s="457">
        <f t="shared" si="242"/>
        <v>4289802.959999999</v>
      </c>
      <c r="BI325" s="407" t="s">
        <v>1490</v>
      </c>
      <c r="BM325" s="429">
        <f>IF(BR325&gt;BR324,BM324,IF(BM324&lt;MiscData!$F$1,EOMONTH(BM324,1),EOMONTH(BM324,-11)))</f>
        <v>41912</v>
      </c>
      <c r="BN325" s="416" t="str">
        <f t="shared" si="243"/>
        <v>20140101KUCME110</v>
      </c>
      <c r="BO325" s="427" t="str">
        <f t="shared" si="244"/>
        <v>20140101GS</v>
      </c>
      <c r="BP325" s="407">
        <f>IF(BM325&lt;=MiscData!$B$23,MiscData!$C$23,IF(BM325&lt;=MiscData!$B$24,MiscData!$C$24,MiscData!$C$25))</f>
        <v>20140101</v>
      </c>
      <c r="BQ325" s="407" t="str">
        <f>VLOOKUP(BR325,MiscData!$V$4:$W$42,2,FALSE)</f>
        <v>KUCME110</v>
      </c>
      <c r="BR325" s="407">
        <f>IF(BR324=MiscData!$V$42,1,BR324+1)</f>
        <v>10</v>
      </c>
      <c r="BS325" s="407" t="str">
        <f>VLOOKUP(BQ325,MiscData!$W$4:$Y$42,3,FALSE)</f>
        <v>GS</v>
      </c>
    </row>
    <row r="326" spans="1:71" hidden="1">
      <c r="A326" s="416">
        <f t="shared" si="237"/>
        <v>299</v>
      </c>
      <c r="B326" s="416" t="str">
        <f t="shared" si="239"/>
        <v>Sep 2014</v>
      </c>
      <c r="C326" s="416" t="s">
        <v>224</v>
      </c>
      <c r="D326" s="417" t="str">
        <f t="shared" si="240"/>
        <v>GS</v>
      </c>
      <c r="E326" s="417" t="str">
        <f t="shared" si="241"/>
        <v>KUCME112</v>
      </c>
      <c r="F326" s="418">
        <f t="shared" si="245"/>
        <v>0</v>
      </c>
      <c r="G326" s="467">
        <v>0</v>
      </c>
      <c r="H326" s="418">
        <v>0</v>
      </c>
      <c r="I326" s="418">
        <v>0</v>
      </c>
      <c r="J326" s="418">
        <v>0</v>
      </c>
      <c r="K326" s="418">
        <f t="shared" si="246"/>
        <v>0</v>
      </c>
      <c r="L326" s="481">
        <v>0</v>
      </c>
      <c r="M326" s="443">
        <f t="shared" si="247"/>
        <v>0</v>
      </c>
      <c r="N326" s="443">
        <f t="shared" si="248"/>
        <v>0</v>
      </c>
      <c r="O326" s="443">
        <f t="shared" si="249"/>
        <v>0</v>
      </c>
      <c r="P326" s="443">
        <f t="shared" si="250"/>
        <v>0</v>
      </c>
      <c r="Q326" s="443">
        <f t="shared" si="251"/>
        <v>0</v>
      </c>
      <c r="R326" s="443">
        <f t="shared" si="252"/>
        <v>0</v>
      </c>
      <c r="S326" s="484">
        <v>0</v>
      </c>
      <c r="T326" s="484">
        <v>0</v>
      </c>
      <c r="U326" s="484">
        <v>0</v>
      </c>
      <c r="V326" s="490">
        <v>0</v>
      </c>
      <c r="W326" s="490">
        <v>0</v>
      </c>
      <c r="X326" s="490">
        <v>0</v>
      </c>
      <c r="Y326" s="419">
        <f t="shared" si="253"/>
        <v>20</v>
      </c>
      <c r="Z326" s="420">
        <f t="shared" si="254"/>
        <v>9.2249999999999999E-2</v>
      </c>
      <c r="AA326" s="420">
        <v>0</v>
      </c>
      <c r="AB326" s="420">
        <v>0</v>
      </c>
      <c r="AC326" s="420">
        <f t="shared" si="255"/>
        <v>2.8920000000000001E-2</v>
      </c>
      <c r="AD326" s="419">
        <f t="shared" si="256"/>
        <v>0</v>
      </c>
      <c r="AE326" s="419">
        <f t="shared" si="257"/>
        <v>0</v>
      </c>
      <c r="AF326" s="419">
        <f t="shared" si="258"/>
        <v>0</v>
      </c>
      <c r="AG326" s="454">
        <f t="shared" si="259"/>
        <v>0</v>
      </c>
      <c r="AH326" s="454">
        <f t="shared" si="234"/>
        <v>0</v>
      </c>
      <c r="AI326" s="421">
        <f t="shared" si="260"/>
        <v>0</v>
      </c>
      <c r="AJ326" s="421">
        <f t="shared" si="261"/>
        <v>0</v>
      </c>
      <c r="AK326" s="421">
        <f t="shared" si="262"/>
        <v>0</v>
      </c>
      <c r="AL326" s="472">
        <v>0</v>
      </c>
      <c r="AM326" s="422">
        <f t="shared" si="233"/>
        <v>0</v>
      </c>
      <c r="AN326" s="423">
        <f t="shared" si="263"/>
        <v>0</v>
      </c>
      <c r="AO326" s="421">
        <f t="shared" si="264"/>
        <v>0</v>
      </c>
      <c r="AP326" s="472">
        <v>0</v>
      </c>
      <c r="AQ326" s="472">
        <v>0</v>
      </c>
      <c r="AR326" s="472">
        <v>0</v>
      </c>
      <c r="AS326" s="475">
        <v>0</v>
      </c>
      <c r="AT326" s="475">
        <v>0</v>
      </c>
      <c r="AU326" s="475">
        <v>0</v>
      </c>
      <c r="AV326" s="454">
        <f t="shared" si="265"/>
        <v>0</v>
      </c>
      <c r="AW326" s="421">
        <f t="shared" si="266"/>
        <v>0</v>
      </c>
      <c r="AX326" s="455">
        <f t="shared" si="267"/>
        <v>1</v>
      </c>
      <c r="AY326" s="424">
        <f t="shared" si="268"/>
        <v>0</v>
      </c>
      <c r="AZ326" s="424">
        <f t="shared" si="269"/>
        <v>0</v>
      </c>
      <c r="BA326" s="424">
        <f t="shared" si="270"/>
        <v>0</v>
      </c>
      <c r="BB326" s="424">
        <f t="shared" si="271"/>
        <v>0</v>
      </c>
      <c r="BC326" s="424">
        <f t="shared" si="272"/>
        <v>0</v>
      </c>
      <c r="BD326" s="424">
        <f t="shared" si="273"/>
        <v>0</v>
      </c>
      <c r="BE326" s="452">
        <f t="shared" si="274"/>
        <v>0</v>
      </c>
      <c r="BF326" s="448">
        <f t="shared" si="275"/>
        <v>0</v>
      </c>
      <c r="BG326" s="456">
        <f t="shared" si="276"/>
        <v>0</v>
      </c>
      <c r="BH326" s="457">
        <f t="shared" si="242"/>
        <v>0</v>
      </c>
      <c r="BI326" s="407" t="s">
        <v>1490</v>
      </c>
      <c r="BM326" s="429">
        <f>IF(BR326&gt;BR325,BM325,IF(BM325&lt;MiscData!$F$1,EOMONTH(BM325,1),EOMONTH(BM325,-11)))</f>
        <v>41912</v>
      </c>
      <c r="BN326" s="416" t="str">
        <f t="shared" si="243"/>
        <v>20140101KUCME112</v>
      </c>
      <c r="BO326" s="427" t="str">
        <f t="shared" si="244"/>
        <v>20140101GS</v>
      </c>
      <c r="BP326" s="407">
        <f>IF(BM326&lt;=MiscData!$B$23,MiscData!$C$23,IF(BM326&lt;=MiscData!$B$24,MiscData!$C$24,MiscData!$C$25))</f>
        <v>20140101</v>
      </c>
      <c r="BQ326" s="407" t="str">
        <f>VLOOKUP(BR326,MiscData!$V$4:$W$42,2,FALSE)</f>
        <v>KUCME112</v>
      </c>
      <c r="BR326" s="407">
        <f>IF(BR325=MiscData!$V$42,1,BR325+1)</f>
        <v>11</v>
      </c>
      <c r="BS326" s="407" t="str">
        <f>VLOOKUP(BQ326,MiscData!$W$4:$Y$42,3,FALSE)</f>
        <v>GS</v>
      </c>
    </row>
    <row r="327" spans="1:71" hidden="1">
      <c r="A327" s="416">
        <f t="shared" si="237"/>
        <v>300</v>
      </c>
      <c r="B327" s="416" t="str">
        <f t="shared" si="239"/>
        <v>Sep 2014</v>
      </c>
      <c r="C327" s="416" t="s">
        <v>18</v>
      </c>
      <c r="D327" s="417" t="str">
        <f t="shared" si="240"/>
        <v>GS3</v>
      </c>
      <c r="E327" s="417" t="str">
        <f t="shared" si="241"/>
        <v>KUCME113</v>
      </c>
      <c r="F327" s="418">
        <f t="shared" si="245"/>
        <v>18537</v>
      </c>
      <c r="G327" s="467">
        <v>0</v>
      </c>
      <c r="H327" s="418">
        <v>0</v>
      </c>
      <c r="I327" s="418">
        <v>0</v>
      </c>
      <c r="J327" s="418">
        <v>0</v>
      </c>
      <c r="K327" s="418">
        <f t="shared" si="246"/>
        <v>98971337</v>
      </c>
      <c r="L327" s="481">
        <v>0</v>
      </c>
      <c r="M327" s="443">
        <f t="shared" si="247"/>
        <v>361876.83</v>
      </c>
      <c r="N327" s="443">
        <f t="shared" si="248"/>
        <v>0</v>
      </c>
      <c r="O327" s="443">
        <f t="shared" si="249"/>
        <v>0</v>
      </c>
      <c r="P327" s="443">
        <f t="shared" si="250"/>
        <v>0</v>
      </c>
      <c r="Q327" s="443">
        <f t="shared" si="251"/>
        <v>0</v>
      </c>
      <c r="R327" s="443">
        <f t="shared" si="252"/>
        <v>0</v>
      </c>
      <c r="S327" s="484">
        <v>0</v>
      </c>
      <c r="T327" s="484">
        <v>0</v>
      </c>
      <c r="U327" s="484">
        <v>0</v>
      </c>
      <c r="V327" s="490">
        <v>0</v>
      </c>
      <c r="W327" s="490">
        <v>0</v>
      </c>
      <c r="X327" s="490">
        <v>0</v>
      </c>
      <c r="Y327" s="419">
        <f t="shared" si="253"/>
        <v>35</v>
      </c>
      <c r="Z327" s="420">
        <f t="shared" si="254"/>
        <v>9.2249999999999999E-2</v>
      </c>
      <c r="AA327" s="420">
        <v>0</v>
      </c>
      <c r="AB327" s="420">
        <v>0</v>
      </c>
      <c r="AC327" s="420">
        <f t="shared" si="255"/>
        <v>2.8920000000000001E-2</v>
      </c>
      <c r="AD327" s="419">
        <f t="shared" si="256"/>
        <v>0</v>
      </c>
      <c r="AE327" s="419">
        <f t="shared" si="257"/>
        <v>0</v>
      </c>
      <c r="AF327" s="419">
        <f t="shared" si="258"/>
        <v>0</v>
      </c>
      <c r="AG327" s="454">
        <f t="shared" si="259"/>
        <v>648795</v>
      </c>
      <c r="AH327" s="454">
        <f t="shared" si="234"/>
        <v>9130105.8399999999</v>
      </c>
      <c r="AI327" s="421">
        <f t="shared" si="260"/>
        <v>0</v>
      </c>
      <c r="AJ327" s="421">
        <f t="shared" si="261"/>
        <v>0</v>
      </c>
      <c r="AK327" s="421">
        <f t="shared" si="262"/>
        <v>0</v>
      </c>
      <c r="AL327" s="472">
        <v>0</v>
      </c>
      <c r="AM327" s="422">
        <f t="shared" si="233"/>
        <v>0</v>
      </c>
      <c r="AN327" s="423">
        <f t="shared" si="263"/>
        <v>0</v>
      </c>
      <c r="AO327" s="421">
        <f t="shared" si="264"/>
        <v>0</v>
      </c>
      <c r="AP327" s="472">
        <v>0</v>
      </c>
      <c r="AQ327" s="472">
        <v>0</v>
      </c>
      <c r="AR327" s="472">
        <v>0</v>
      </c>
      <c r="AS327" s="475">
        <v>0</v>
      </c>
      <c r="AT327" s="475">
        <v>0</v>
      </c>
      <c r="AU327" s="475">
        <v>0</v>
      </c>
      <c r="AV327" s="454">
        <f t="shared" si="265"/>
        <v>9778900.8399999999</v>
      </c>
      <c r="AW327" s="421">
        <f t="shared" si="266"/>
        <v>9778897</v>
      </c>
      <c r="AX327" s="455">
        <f t="shared" si="267"/>
        <v>0.99999960731783022</v>
      </c>
      <c r="AY327" s="424">
        <f t="shared" si="268"/>
        <v>-241927</v>
      </c>
      <c r="AZ327" s="424">
        <f t="shared" si="269"/>
        <v>215868</v>
      </c>
      <c r="BA327" s="424">
        <f t="shared" si="270"/>
        <v>272383</v>
      </c>
      <c r="BB327" s="424">
        <f t="shared" si="271"/>
        <v>0</v>
      </c>
      <c r="BC327" s="424">
        <f t="shared" si="272"/>
        <v>0</v>
      </c>
      <c r="BD327" s="424">
        <f t="shared" si="273"/>
        <v>10025221</v>
      </c>
      <c r="BE327" s="452">
        <f t="shared" si="274"/>
        <v>10025224.84</v>
      </c>
      <c r="BF327" s="448">
        <f t="shared" si="275"/>
        <v>-3.8399999998509884</v>
      </c>
      <c r="BG327" s="456">
        <f t="shared" si="276"/>
        <v>2862251.07</v>
      </c>
      <c r="BH327" s="457">
        <f t="shared" si="242"/>
        <v>6267854.7699999996</v>
      </c>
      <c r="BI327" s="407" t="s">
        <v>1490</v>
      </c>
      <c r="BM327" s="429">
        <f>IF(BR327&gt;BR326,BM326,IF(BM326&lt;MiscData!$F$1,EOMONTH(BM326,1),EOMONTH(BM326,-11)))</f>
        <v>41912</v>
      </c>
      <c r="BN327" s="416" t="str">
        <f t="shared" si="243"/>
        <v>20140101KUCME113</v>
      </c>
      <c r="BO327" s="427" t="str">
        <f t="shared" si="244"/>
        <v>20140101GS3</v>
      </c>
      <c r="BP327" s="407">
        <f>IF(BM327&lt;=MiscData!$B$23,MiscData!$C$23,IF(BM327&lt;=MiscData!$B$24,MiscData!$C$24,MiscData!$C$25))</f>
        <v>20140101</v>
      </c>
      <c r="BQ327" s="407" t="str">
        <f>VLOOKUP(BR327,MiscData!$V$4:$W$42,2,FALSE)</f>
        <v>KUCME113</v>
      </c>
      <c r="BR327" s="407">
        <f>IF(BR326=MiscData!$V$42,1,BR326+1)</f>
        <v>12</v>
      </c>
      <c r="BS327" s="407" t="str">
        <f>VLOOKUP(BQ327,MiscData!$W$4:$Y$42,3,FALSE)</f>
        <v>GS3</v>
      </c>
    </row>
    <row r="328" spans="1:71" hidden="1">
      <c r="A328" s="416">
        <f t="shared" si="237"/>
        <v>301</v>
      </c>
      <c r="B328" s="416" t="str">
        <f t="shared" si="239"/>
        <v>Sep 2014</v>
      </c>
      <c r="C328" s="416" t="s">
        <v>219</v>
      </c>
      <c r="D328" s="417" t="str">
        <f t="shared" si="240"/>
        <v>AES</v>
      </c>
      <c r="E328" s="417" t="str">
        <f t="shared" si="241"/>
        <v>KUCME220</v>
      </c>
      <c r="F328" s="418">
        <f t="shared" si="245"/>
        <v>372</v>
      </c>
      <c r="G328" s="467">
        <v>0</v>
      </c>
      <c r="H328" s="418">
        <v>0</v>
      </c>
      <c r="I328" s="418">
        <v>0</v>
      </c>
      <c r="J328" s="418">
        <v>0</v>
      </c>
      <c r="K328" s="418">
        <f t="shared" si="246"/>
        <v>584367</v>
      </c>
      <c r="L328" s="481">
        <v>0</v>
      </c>
      <c r="M328" s="443">
        <f t="shared" si="247"/>
        <v>0</v>
      </c>
      <c r="N328" s="443">
        <f t="shared" si="248"/>
        <v>0</v>
      </c>
      <c r="O328" s="443">
        <f t="shared" si="249"/>
        <v>0</v>
      </c>
      <c r="P328" s="443">
        <f t="shared" si="250"/>
        <v>0</v>
      </c>
      <c r="Q328" s="443">
        <f t="shared" si="251"/>
        <v>0</v>
      </c>
      <c r="R328" s="443">
        <f t="shared" si="252"/>
        <v>0</v>
      </c>
      <c r="S328" s="484">
        <v>0</v>
      </c>
      <c r="T328" s="484">
        <v>0</v>
      </c>
      <c r="U328" s="484">
        <v>0</v>
      </c>
      <c r="V328" s="490">
        <v>0</v>
      </c>
      <c r="W328" s="490">
        <v>0</v>
      </c>
      <c r="X328" s="490">
        <v>0</v>
      </c>
      <c r="Y328" s="419">
        <f t="shared" si="253"/>
        <v>20</v>
      </c>
      <c r="Z328" s="420">
        <f t="shared" si="254"/>
        <v>7.4399999999999994E-2</v>
      </c>
      <c r="AA328" s="420">
        <v>0</v>
      </c>
      <c r="AB328" s="420">
        <v>0</v>
      </c>
      <c r="AC328" s="420">
        <f t="shared" si="255"/>
        <v>2.8920000000000001E-2</v>
      </c>
      <c r="AD328" s="419">
        <f t="shared" si="256"/>
        <v>0</v>
      </c>
      <c r="AE328" s="419">
        <f t="shared" si="257"/>
        <v>0</v>
      </c>
      <c r="AF328" s="419">
        <f t="shared" si="258"/>
        <v>0</v>
      </c>
      <c r="AG328" s="454">
        <f t="shared" si="259"/>
        <v>7440</v>
      </c>
      <c r="AH328" s="454">
        <f t="shared" si="234"/>
        <v>43476.9</v>
      </c>
      <c r="AI328" s="421">
        <f t="shared" si="260"/>
        <v>0</v>
      </c>
      <c r="AJ328" s="421">
        <f t="shared" si="261"/>
        <v>0</v>
      </c>
      <c r="AK328" s="421">
        <f t="shared" si="262"/>
        <v>0</v>
      </c>
      <c r="AL328" s="472">
        <v>0</v>
      </c>
      <c r="AM328" s="422">
        <f t="shared" si="233"/>
        <v>0</v>
      </c>
      <c r="AN328" s="423">
        <f t="shared" si="263"/>
        <v>0</v>
      </c>
      <c r="AO328" s="421">
        <f t="shared" si="264"/>
        <v>0</v>
      </c>
      <c r="AP328" s="472">
        <v>0</v>
      </c>
      <c r="AQ328" s="472">
        <v>0</v>
      </c>
      <c r="AR328" s="472">
        <v>0</v>
      </c>
      <c r="AS328" s="475">
        <v>0</v>
      </c>
      <c r="AT328" s="475">
        <v>0</v>
      </c>
      <c r="AU328" s="475">
        <v>0</v>
      </c>
      <c r="AV328" s="454">
        <f t="shared" si="265"/>
        <v>50916.9</v>
      </c>
      <c r="AW328" s="421">
        <f t="shared" si="266"/>
        <v>50916</v>
      </c>
      <c r="AX328" s="455">
        <f t="shared" si="267"/>
        <v>0.99998232413992205</v>
      </c>
      <c r="AY328" s="424">
        <f t="shared" si="268"/>
        <v>-1428</v>
      </c>
      <c r="AZ328" s="424">
        <f t="shared" si="269"/>
        <v>1275</v>
      </c>
      <c r="BA328" s="424">
        <f t="shared" si="270"/>
        <v>1608</v>
      </c>
      <c r="BB328" s="424">
        <f t="shared" si="271"/>
        <v>0</v>
      </c>
      <c r="BC328" s="424">
        <f t="shared" si="272"/>
        <v>0</v>
      </c>
      <c r="BD328" s="424">
        <f t="shared" si="273"/>
        <v>52371</v>
      </c>
      <c r="BE328" s="452">
        <f t="shared" si="274"/>
        <v>52371.9</v>
      </c>
      <c r="BF328" s="448">
        <f t="shared" si="275"/>
        <v>-0.90000000000145519</v>
      </c>
      <c r="BG328" s="456">
        <f t="shared" si="276"/>
        <v>16899.89</v>
      </c>
      <c r="BH328" s="457">
        <f t="shared" si="242"/>
        <v>26577.010000000002</v>
      </c>
      <c r="BI328" s="407" t="s">
        <v>1490</v>
      </c>
      <c r="BM328" s="429">
        <f>IF(BR328&gt;BR327,BM327,IF(BM327&lt;MiscData!$F$1,EOMONTH(BM327,1),EOMONTH(BM327,-11)))</f>
        <v>41912</v>
      </c>
      <c r="BN328" s="416" t="str">
        <f t="shared" si="243"/>
        <v>20140101KUCME220</v>
      </c>
      <c r="BO328" s="427" t="str">
        <f t="shared" si="244"/>
        <v>20140101AES</v>
      </c>
      <c r="BP328" s="407">
        <f>IF(BM328&lt;=MiscData!$B$23,MiscData!$C$23,IF(BM328&lt;=MiscData!$B$24,MiscData!$C$24,MiscData!$C$25))</f>
        <v>20140101</v>
      </c>
      <c r="BQ328" s="407" t="str">
        <f>VLOOKUP(BR328,MiscData!$V$4:$W$42,2,FALSE)</f>
        <v>KUCME220</v>
      </c>
      <c r="BR328" s="407">
        <f>IF(BR327=MiscData!$V$42,1,BR327+1)</f>
        <v>13</v>
      </c>
      <c r="BS328" s="407" t="str">
        <f>VLOOKUP(BQ328,MiscData!$W$4:$Y$42,3,FALSE)</f>
        <v>AES</v>
      </c>
    </row>
    <row r="329" spans="1:71" hidden="1">
      <c r="A329" s="416">
        <f t="shared" si="237"/>
        <v>302</v>
      </c>
      <c r="B329" s="416" t="str">
        <f t="shared" si="239"/>
        <v>Sep 2014</v>
      </c>
      <c r="C329" s="416" t="s">
        <v>219</v>
      </c>
      <c r="D329" s="417" t="str">
        <f t="shared" si="240"/>
        <v>AES</v>
      </c>
      <c r="E329" s="417" t="str">
        <f t="shared" si="241"/>
        <v>KUCME221</v>
      </c>
      <c r="F329" s="418">
        <f t="shared" si="245"/>
        <v>0</v>
      </c>
      <c r="G329" s="467">
        <v>0</v>
      </c>
      <c r="H329" s="418">
        <v>0</v>
      </c>
      <c r="I329" s="418">
        <v>0</v>
      </c>
      <c r="J329" s="418">
        <v>0</v>
      </c>
      <c r="K329" s="418">
        <f t="shared" si="246"/>
        <v>0</v>
      </c>
      <c r="L329" s="481">
        <v>0</v>
      </c>
      <c r="M329" s="443">
        <f t="shared" si="247"/>
        <v>0</v>
      </c>
      <c r="N329" s="443">
        <f t="shared" si="248"/>
        <v>0</v>
      </c>
      <c r="O329" s="443">
        <f t="shared" si="249"/>
        <v>0</v>
      </c>
      <c r="P329" s="443">
        <f t="shared" si="250"/>
        <v>0</v>
      </c>
      <c r="Q329" s="443">
        <f t="shared" si="251"/>
        <v>0</v>
      </c>
      <c r="R329" s="443">
        <f t="shared" si="252"/>
        <v>0</v>
      </c>
      <c r="S329" s="484">
        <v>0</v>
      </c>
      <c r="T329" s="484">
        <v>0</v>
      </c>
      <c r="U329" s="484">
        <v>0</v>
      </c>
      <c r="V329" s="490">
        <v>0</v>
      </c>
      <c r="W329" s="490">
        <v>0</v>
      </c>
      <c r="X329" s="490">
        <v>0</v>
      </c>
      <c r="Y329" s="419">
        <f t="shared" si="253"/>
        <v>20</v>
      </c>
      <c r="Z329" s="420">
        <f t="shared" si="254"/>
        <v>7.4399999999999994E-2</v>
      </c>
      <c r="AA329" s="420">
        <v>0</v>
      </c>
      <c r="AB329" s="420">
        <v>0</v>
      </c>
      <c r="AC329" s="420">
        <f t="shared" si="255"/>
        <v>2.8920000000000001E-2</v>
      </c>
      <c r="AD329" s="419">
        <f t="shared" si="256"/>
        <v>0</v>
      </c>
      <c r="AE329" s="419">
        <f t="shared" si="257"/>
        <v>0</v>
      </c>
      <c r="AF329" s="419">
        <f t="shared" si="258"/>
        <v>0</v>
      </c>
      <c r="AG329" s="454">
        <f t="shared" si="259"/>
        <v>0</v>
      </c>
      <c r="AH329" s="454">
        <f t="shared" si="234"/>
        <v>0</v>
      </c>
      <c r="AI329" s="421">
        <f t="shared" si="260"/>
        <v>0</v>
      </c>
      <c r="AJ329" s="421">
        <f t="shared" si="261"/>
        <v>0</v>
      </c>
      <c r="AK329" s="421">
        <f t="shared" si="262"/>
        <v>0</v>
      </c>
      <c r="AL329" s="472">
        <v>0</v>
      </c>
      <c r="AM329" s="422">
        <f t="shared" si="233"/>
        <v>0</v>
      </c>
      <c r="AN329" s="423">
        <f t="shared" si="263"/>
        <v>0</v>
      </c>
      <c r="AO329" s="421">
        <f t="shared" si="264"/>
        <v>0</v>
      </c>
      <c r="AP329" s="472">
        <v>0</v>
      </c>
      <c r="AQ329" s="472">
        <v>0</v>
      </c>
      <c r="AR329" s="472">
        <v>0</v>
      </c>
      <c r="AS329" s="475">
        <v>0</v>
      </c>
      <c r="AT329" s="475">
        <v>0</v>
      </c>
      <c r="AU329" s="475">
        <v>0</v>
      </c>
      <c r="AV329" s="454">
        <f t="shared" si="265"/>
        <v>0</v>
      </c>
      <c r="AW329" s="421">
        <f t="shared" si="266"/>
        <v>0</v>
      </c>
      <c r="AX329" s="455">
        <f t="shared" si="267"/>
        <v>1</v>
      </c>
      <c r="AY329" s="424">
        <f t="shared" si="268"/>
        <v>0</v>
      </c>
      <c r="AZ329" s="424">
        <f t="shared" si="269"/>
        <v>0</v>
      </c>
      <c r="BA329" s="424">
        <f t="shared" si="270"/>
        <v>0</v>
      </c>
      <c r="BB329" s="424">
        <f t="shared" si="271"/>
        <v>0</v>
      </c>
      <c r="BC329" s="424">
        <f t="shared" si="272"/>
        <v>0</v>
      </c>
      <c r="BD329" s="424">
        <f t="shared" si="273"/>
        <v>0</v>
      </c>
      <c r="BE329" s="452">
        <f t="shared" si="274"/>
        <v>0</v>
      </c>
      <c r="BF329" s="448">
        <f t="shared" si="275"/>
        <v>0</v>
      </c>
      <c r="BG329" s="456">
        <f t="shared" si="276"/>
        <v>0</v>
      </c>
      <c r="BH329" s="457">
        <f t="shared" si="242"/>
        <v>0</v>
      </c>
      <c r="BI329" s="407" t="s">
        <v>1490</v>
      </c>
      <c r="BM329" s="429">
        <f>IF(BR329&gt;BR328,BM328,IF(BM328&lt;MiscData!$F$1,EOMONTH(BM328,1),EOMONTH(BM328,-11)))</f>
        <v>41912</v>
      </c>
      <c r="BN329" s="416" t="str">
        <f t="shared" si="243"/>
        <v>20140101KUCME221</v>
      </c>
      <c r="BO329" s="427" t="str">
        <f t="shared" si="244"/>
        <v>20140101AES</v>
      </c>
      <c r="BP329" s="407">
        <f>IF(BM329&lt;=MiscData!$B$23,MiscData!$C$23,IF(BM329&lt;=MiscData!$B$24,MiscData!$C$24,MiscData!$C$25))</f>
        <v>20140101</v>
      </c>
      <c r="BQ329" s="407" t="str">
        <f>VLOOKUP(BR329,MiscData!$V$4:$W$42,2,FALSE)</f>
        <v>KUCME221</v>
      </c>
      <c r="BR329" s="407">
        <f>IF(BR328=MiscData!$V$42,1,BR328+1)</f>
        <v>14</v>
      </c>
      <c r="BS329" s="407" t="str">
        <f>VLOOKUP(BQ329,MiscData!$W$4:$Y$42,3,FALSE)</f>
        <v>AES</v>
      </c>
    </row>
    <row r="330" spans="1:71" hidden="1">
      <c r="A330" s="416">
        <f t="shared" si="237"/>
        <v>303</v>
      </c>
      <c r="B330" s="416" t="str">
        <f t="shared" si="239"/>
        <v>Sep 2014</v>
      </c>
      <c r="C330" s="837" t="s">
        <v>228</v>
      </c>
      <c r="D330" s="417" t="str">
        <f t="shared" si="240"/>
        <v>AES3</v>
      </c>
      <c r="E330" s="417" t="str">
        <f t="shared" si="241"/>
        <v>KUCME223</v>
      </c>
      <c r="F330" s="418">
        <f t="shared" si="245"/>
        <v>0</v>
      </c>
      <c r="G330" s="467">
        <v>0</v>
      </c>
      <c r="H330" s="418">
        <v>0</v>
      </c>
      <c r="I330" s="418">
        <v>0</v>
      </c>
      <c r="J330" s="418">
        <v>0</v>
      </c>
      <c r="K330" s="418">
        <f t="shared" si="246"/>
        <v>0</v>
      </c>
      <c r="L330" s="481">
        <v>0</v>
      </c>
      <c r="M330" s="443">
        <f t="shared" si="247"/>
        <v>0</v>
      </c>
      <c r="N330" s="443">
        <f t="shared" si="248"/>
        <v>0</v>
      </c>
      <c r="O330" s="443">
        <f t="shared" si="249"/>
        <v>0</v>
      </c>
      <c r="P330" s="443">
        <f t="shared" si="250"/>
        <v>0</v>
      </c>
      <c r="Q330" s="443">
        <f t="shared" si="251"/>
        <v>0</v>
      </c>
      <c r="R330" s="443">
        <f t="shared" si="252"/>
        <v>0</v>
      </c>
      <c r="S330" s="484">
        <v>0</v>
      </c>
      <c r="T330" s="484">
        <v>0</v>
      </c>
      <c r="U330" s="484">
        <v>0</v>
      </c>
      <c r="V330" s="490">
        <v>0</v>
      </c>
      <c r="W330" s="490">
        <v>0</v>
      </c>
      <c r="X330" s="490">
        <v>0</v>
      </c>
      <c r="Y330" s="419">
        <f t="shared" si="253"/>
        <v>35</v>
      </c>
      <c r="Z330" s="420">
        <f t="shared" si="254"/>
        <v>7.4399999999999994E-2</v>
      </c>
      <c r="AA330" s="420">
        <v>0</v>
      </c>
      <c r="AB330" s="420">
        <v>0</v>
      </c>
      <c r="AC330" s="420">
        <f t="shared" si="255"/>
        <v>2.8920000000000001E-2</v>
      </c>
      <c r="AD330" s="419">
        <f t="shared" si="256"/>
        <v>0</v>
      </c>
      <c r="AE330" s="419">
        <f t="shared" si="257"/>
        <v>0</v>
      </c>
      <c r="AF330" s="419">
        <f t="shared" si="258"/>
        <v>0</v>
      </c>
      <c r="AG330" s="454">
        <f t="shared" si="259"/>
        <v>0</v>
      </c>
      <c r="AH330" s="454">
        <f t="shared" si="234"/>
        <v>0</v>
      </c>
      <c r="AI330" s="421">
        <f t="shared" si="260"/>
        <v>0</v>
      </c>
      <c r="AJ330" s="421">
        <f t="shared" si="261"/>
        <v>0</v>
      </c>
      <c r="AK330" s="421">
        <f t="shared" si="262"/>
        <v>0</v>
      </c>
      <c r="AL330" s="472">
        <v>0</v>
      </c>
      <c r="AM330" s="422">
        <f t="shared" si="233"/>
        <v>0</v>
      </c>
      <c r="AN330" s="423">
        <f t="shared" si="263"/>
        <v>0</v>
      </c>
      <c r="AO330" s="421">
        <f t="shared" si="264"/>
        <v>0</v>
      </c>
      <c r="AP330" s="472">
        <v>0</v>
      </c>
      <c r="AQ330" s="472">
        <v>0</v>
      </c>
      <c r="AR330" s="472">
        <v>0</v>
      </c>
      <c r="AS330" s="475">
        <v>0</v>
      </c>
      <c r="AT330" s="475">
        <v>0</v>
      </c>
      <c r="AU330" s="475">
        <v>0</v>
      </c>
      <c r="AV330" s="454">
        <f t="shared" si="265"/>
        <v>0</v>
      </c>
      <c r="AW330" s="421">
        <f t="shared" si="266"/>
        <v>0</v>
      </c>
      <c r="AX330" s="455">
        <f t="shared" si="267"/>
        <v>1</v>
      </c>
      <c r="AY330" s="424">
        <f t="shared" si="268"/>
        <v>0</v>
      </c>
      <c r="AZ330" s="424">
        <f t="shared" si="269"/>
        <v>0</v>
      </c>
      <c r="BA330" s="424">
        <f t="shared" si="270"/>
        <v>0</v>
      </c>
      <c r="BB330" s="424">
        <f t="shared" si="271"/>
        <v>0</v>
      </c>
      <c r="BC330" s="424">
        <f t="shared" si="272"/>
        <v>0</v>
      </c>
      <c r="BD330" s="424">
        <f t="shared" si="273"/>
        <v>0</v>
      </c>
      <c r="BE330" s="452">
        <f t="shared" si="274"/>
        <v>0</v>
      </c>
      <c r="BF330" s="448">
        <f t="shared" si="275"/>
        <v>0</v>
      </c>
      <c r="BG330" s="456">
        <f t="shared" si="276"/>
        <v>0</v>
      </c>
      <c r="BH330" s="457">
        <f t="shared" si="242"/>
        <v>0</v>
      </c>
      <c r="BI330" s="407" t="s">
        <v>1490</v>
      </c>
      <c r="BM330" s="429">
        <f>IF(BR330&gt;BR329,BM329,IF(BM329&lt;MiscData!$F$1,EOMONTH(BM329,1),EOMONTH(BM329,-11)))</f>
        <v>41912</v>
      </c>
      <c r="BN330" s="416" t="str">
        <f t="shared" si="243"/>
        <v>20140101KUCME223</v>
      </c>
      <c r="BO330" s="427" t="str">
        <f t="shared" si="244"/>
        <v>20140101AES3</v>
      </c>
      <c r="BP330" s="407">
        <f>IF(BM330&lt;=MiscData!$B$23,MiscData!$C$23,IF(BM330&lt;=MiscData!$B$24,MiscData!$C$24,MiscData!$C$25))</f>
        <v>20140101</v>
      </c>
      <c r="BQ330" s="407" t="str">
        <f>VLOOKUP(BR330,MiscData!$V$4:$W$42,2,FALSE)</f>
        <v>KUCME223</v>
      </c>
      <c r="BR330" s="407">
        <f>IF(BR329=MiscData!$V$42,1,BR329+1)</f>
        <v>15</v>
      </c>
      <c r="BS330" s="407" t="str">
        <f>VLOOKUP(BQ330,MiscData!$W$4:$Y$42,3,FALSE)</f>
        <v>AES3</v>
      </c>
    </row>
    <row r="331" spans="1:71" hidden="1">
      <c r="A331" s="416">
        <f t="shared" si="237"/>
        <v>304</v>
      </c>
      <c r="B331" s="416" t="str">
        <f t="shared" si="239"/>
        <v>Sep 2014</v>
      </c>
      <c r="C331" s="837" t="s">
        <v>228</v>
      </c>
      <c r="D331" s="417" t="str">
        <f t="shared" si="240"/>
        <v>AES3</v>
      </c>
      <c r="E331" s="417" t="str">
        <f t="shared" si="241"/>
        <v>KUCME224</v>
      </c>
      <c r="F331" s="418">
        <f t="shared" si="245"/>
        <v>259</v>
      </c>
      <c r="G331" s="467">
        <v>0</v>
      </c>
      <c r="H331" s="418">
        <v>0</v>
      </c>
      <c r="I331" s="418">
        <v>0</v>
      </c>
      <c r="J331" s="418">
        <v>0</v>
      </c>
      <c r="K331" s="418">
        <f t="shared" si="246"/>
        <v>10830968</v>
      </c>
      <c r="L331" s="481">
        <v>0</v>
      </c>
      <c r="M331" s="443">
        <f t="shared" si="247"/>
        <v>39481.29</v>
      </c>
      <c r="N331" s="443">
        <f t="shared" si="248"/>
        <v>0</v>
      </c>
      <c r="O331" s="443">
        <f t="shared" si="249"/>
        <v>0</v>
      </c>
      <c r="P331" s="443">
        <f t="shared" si="250"/>
        <v>0</v>
      </c>
      <c r="Q331" s="443">
        <f t="shared" si="251"/>
        <v>0</v>
      </c>
      <c r="R331" s="443">
        <f t="shared" si="252"/>
        <v>0</v>
      </c>
      <c r="S331" s="484">
        <v>0</v>
      </c>
      <c r="T331" s="484">
        <v>0</v>
      </c>
      <c r="U331" s="484">
        <v>0</v>
      </c>
      <c r="V331" s="490">
        <v>0</v>
      </c>
      <c r="W331" s="490">
        <v>0</v>
      </c>
      <c r="X331" s="490">
        <v>0</v>
      </c>
      <c r="Y331" s="419">
        <f t="shared" si="253"/>
        <v>35</v>
      </c>
      <c r="Z331" s="420">
        <f t="shared" si="254"/>
        <v>7.4399999999999994E-2</v>
      </c>
      <c r="AA331" s="420">
        <v>0</v>
      </c>
      <c r="AB331" s="420">
        <v>0</v>
      </c>
      <c r="AC331" s="420">
        <f t="shared" si="255"/>
        <v>2.8920000000000001E-2</v>
      </c>
      <c r="AD331" s="419">
        <f t="shared" si="256"/>
        <v>0</v>
      </c>
      <c r="AE331" s="419">
        <f t="shared" si="257"/>
        <v>0</v>
      </c>
      <c r="AF331" s="419">
        <f t="shared" si="258"/>
        <v>0</v>
      </c>
      <c r="AG331" s="454">
        <f t="shared" si="259"/>
        <v>9065</v>
      </c>
      <c r="AH331" s="454">
        <f t="shared" si="234"/>
        <v>805824.02</v>
      </c>
      <c r="AI331" s="421">
        <f t="shared" si="260"/>
        <v>0</v>
      </c>
      <c r="AJ331" s="421">
        <f t="shared" si="261"/>
        <v>0</v>
      </c>
      <c r="AK331" s="421">
        <f t="shared" si="262"/>
        <v>0</v>
      </c>
      <c r="AL331" s="472">
        <v>0</v>
      </c>
      <c r="AM331" s="422">
        <f t="shared" si="233"/>
        <v>0</v>
      </c>
      <c r="AN331" s="423">
        <f t="shared" si="263"/>
        <v>0</v>
      </c>
      <c r="AO331" s="421">
        <f t="shared" si="264"/>
        <v>0</v>
      </c>
      <c r="AP331" s="472">
        <v>0</v>
      </c>
      <c r="AQ331" s="472">
        <v>0</v>
      </c>
      <c r="AR331" s="472">
        <v>0</v>
      </c>
      <c r="AS331" s="475">
        <v>0</v>
      </c>
      <c r="AT331" s="475">
        <v>0</v>
      </c>
      <c r="AU331" s="475">
        <v>0</v>
      </c>
      <c r="AV331" s="454">
        <f t="shared" si="265"/>
        <v>814889.02</v>
      </c>
      <c r="AW331" s="421">
        <f t="shared" si="266"/>
        <v>814889</v>
      </c>
      <c r="AX331" s="455">
        <f t="shared" si="267"/>
        <v>0.99999997545678054</v>
      </c>
      <c r="AY331" s="424">
        <f t="shared" si="268"/>
        <v>-26475</v>
      </c>
      <c r="AZ331" s="424">
        <f t="shared" si="269"/>
        <v>23624</v>
      </c>
      <c r="BA331" s="424">
        <f t="shared" si="270"/>
        <v>29808</v>
      </c>
      <c r="BB331" s="424">
        <f t="shared" si="271"/>
        <v>0</v>
      </c>
      <c r="BC331" s="424">
        <f t="shared" si="272"/>
        <v>0</v>
      </c>
      <c r="BD331" s="424">
        <f t="shared" si="273"/>
        <v>841846</v>
      </c>
      <c r="BE331" s="452">
        <f t="shared" si="274"/>
        <v>841846.02</v>
      </c>
      <c r="BF331" s="448">
        <f t="shared" si="275"/>
        <v>-2.0000000018626451E-2</v>
      </c>
      <c r="BG331" s="456">
        <f t="shared" si="276"/>
        <v>313231.59000000003</v>
      </c>
      <c r="BH331" s="457">
        <f t="shared" si="242"/>
        <v>492592.43</v>
      </c>
      <c r="BI331" s="407" t="s">
        <v>1490</v>
      </c>
      <c r="BM331" s="429">
        <f>IF(BR331&gt;BR330,BM330,IF(BM330&lt;MiscData!$F$1,EOMONTH(BM330,1),EOMONTH(BM330,-11)))</f>
        <v>41912</v>
      </c>
      <c r="BN331" s="416" t="str">
        <f t="shared" si="243"/>
        <v>20140101KUCME224</v>
      </c>
      <c r="BO331" s="427" t="str">
        <f t="shared" si="244"/>
        <v>20140101AES3</v>
      </c>
      <c r="BP331" s="407">
        <f>IF(BM331&lt;=MiscData!$B$23,MiscData!$C$23,IF(BM331&lt;=MiscData!$B$24,MiscData!$C$24,MiscData!$C$25))</f>
        <v>20140101</v>
      </c>
      <c r="BQ331" s="407" t="str">
        <f>VLOOKUP(BR331,MiscData!$V$4:$W$42,2,FALSE)</f>
        <v>KUCME224</v>
      </c>
      <c r="BR331" s="407">
        <f>IF(BR330=MiscData!$V$42,1,BR330+1)</f>
        <v>16</v>
      </c>
      <c r="BS331" s="407" t="str">
        <f>VLOOKUP(BQ331,MiscData!$W$4:$Y$42,3,FALSE)</f>
        <v>AES3</v>
      </c>
    </row>
    <row r="332" spans="1:71" hidden="1">
      <c r="A332" s="416">
        <f t="shared" si="237"/>
        <v>305</v>
      </c>
      <c r="B332" s="416" t="str">
        <f t="shared" si="239"/>
        <v>Sep 2014</v>
      </c>
      <c r="C332" s="837" t="s">
        <v>228</v>
      </c>
      <c r="D332" s="417" t="str">
        <f t="shared" si="240"/>
        <v>AES3</v>
      </c>
      <c r="E332" s="417" t="str">
        <f t="shared" si="241"/>
        <v>KUCME225</v>
      </c>
      <c r="F332" s="418">
        <f t="shared" si="245"/>
        <v>0</v>
      </c>
      <c r="G332" s="467">
        <v>0</v>
      </c>
      <c r="H332" s="418">
        <v>0</v>
      </c>
      <c r="I332" s="418">
        <v>0</v>
      </c>
      <c r="J332" s="418">
        <v>0</v>
      </c>
      <c r="K332" s="418">
        <f t="shared" si="246"/>
        <v>0</v>
      </c>
      <c r="L332" s="481">
        <v>0</v>
      </c>
      <c r="M332" s="443">
        <f t="shared" si="247"/>
        <v>0</v>
      </c>
      <c r="N332" s="443">
        <f t="shared" si="248"/>
        <v>0</v>
      </c>
      <c r="O332" s="443">
        <f t="shared" si="249"/>
        <v>0</v>
      </c>
      <c r="P332" s="443">
        <f t="shared" si="250"/>
        <v>0</v>
      </c>
      <c r="Q332" s="443">
        <f t="shared" si="251"/>
        <v>0</v>
      </c>
      <c r="R332" s="443">
        <f t="shared" si="252"/>
        <v>0</v>
      </c>
      <c r="S332" s="484">
        <v>0</v>
      </c>
      <c r="T332" s="484">
        <v>0</v>
      </c>
      <c r="U332" s="484">
        <v>0</v>
      </c>
      <c r="V332" s="490">
        <v>0</v>
      </c>
      <c r="W332" s="490">
        <v>0</v>
      </c>
      <c r="X332" s="490">
        <v>0</v>
      </c>
      <c r="Y332" s="419">
        <f t="shared" si="253"/>
        <v>35</v>
      </c>
      <c r="Z332" s="420">
        <f t="shared" si="254"/>
        <v>7.4399999999999994E-2</v>
      </c>
      <c r="AA332" s="420">
        <v>0</v>
      </c>
      <c r="AB332" s="420">
        <v>0</v>
      </c>
      <c r="AC332" s="420">
        <f t="shared" si="255"/>
        <v>2.8920000000000001E-2</v>
      </c>
      <c r="AD332" s="419">
        <f t="shared" si="256"/>
        <v>0</v>
      </c>
      <c r="AE332" s="419">
        <f t="shared" si="257"/>
        <v>0</v>
      </c>
      <c r="AF332" s="419">
        <f t="shared" si="258"/>
        <v>0</v>
      </c>
      <c r="AG332" s="454">
        <f t="shared" si="259"/>
        <v>0</v>
      </c>
      <c r="AH332" s="454">
        <f t="shared" si="234"/>
        <v>0</v>
      </c>
      <c r="AI332" s="421">
        <f t="shared" si="260"/>
        <v>0</v>
      </c>
      <c r="AJ332" s="421">
        <f t="shared" si="261"/>
        <v>0</v>
      </c>
      <c r="AK332" s="421">
        <f t="shared" si="262"/>
        <v>0</v>
      </c>
      <c r="AL332" s="472">
        <v>0</v>
      </c>
      <c r="AM332" s="422">
        <f t="shared" si="233"/>
        <v>0</v>
      </c>
      <c r="AN332" s="423">
        <f t="shared" si="263"/>
        <v>0</v>
      </c>
      <c r="AO332" s="421">
        <f t="shared" si="264"/>
        <v>0</v>
      </c>
      <c r="AP332" s="472">
        <v>0</v>
      </c>
      <c r="AQ332" s="472">
        <v>0</v>
      </c>
      <c r="AR332" s="472">
        <v>0</v>
      </c>
      <c r="AS332" s="475">
        <v>0</v>
      </c>
      <c r="AT332" s="475">
        <v>0</v>
      </c>
      <c r="AU332" s="475">
        <v>0</v>
      </c>
      <c r="AV332" s="454">
        <f t="shared" si="265"/>
        <v>0</v>
      </c>
      <c r="AW332" s="421">
        <f t="shared" si="266"/>
        <v>0</v>
      </c>
      <c r="AX332" s="455">
        <f t="shared" si="267"/>
        <v>1</v>
      </c>
      <c r="AY332" s="424">
        <f t="shared" si="268"/>
        <v>0</v>
      </c>
      <c r="AZ332" s="424">
        <f t="shared" si="269"/>
        <v>0</v>
      </c>
      <c r="BA332" s="424">
        <f t="shared" si="270"/>
        <v>0</v>
      </c>
      <c r="BB332" s="424">
        <f t="shared" si="271"/>
        <v>0</v>
      </c>
      <c r="BC332" s="424">
        <f t="shared" si="272"/>
        <v>0</v>
      </c>
      <c r="BD332" s="424">
        <f t="shared" si="273"/>
        <v>0</v>
      </c>
      <c r="BE332" s="452">
        <f t="shared" si="274"/>
        <v>0</v>
      </c>
      <c r="BF332" s="448">
        <f t="shared" si="275"/>
        <v>0</v>
      </c>
      <c r="BG332" s="456">
        <f t="shared" si="276"/>
        <v>0</v>
      </c>
      <c r="BH332" s="457">
        <f t="shared" si="242"/>
        <v>0</v>
      </c>
      <c r="BI332" s="407" t="s">
        <v>1490</v>
      </c>
      <c r="BM332" s="429">
        <f>IF(BR332&gt;BR331,BM331,IF(BM331&lt;MiscData!$F$1,EOMONTH(BM331,1),EOMONTH(BM331,-11)))</f>
        <v>41912</v>
      </c>
      <c r="BN332" s="416" t="str">
        <f t="shared" si="243"/>
        <v>20140101KUCME225</v>
      </c>
      <c r="BO332" s="427" t="str">
        <f t="shared" si="244"/>
        <v>20140101AES3</v>
      </c>
      <c r="BP332" s="407">
        <f>IF(BM332&lt;=MiscData!$B$23,MiscData!$C$23,IF(BM332&lt;=MiscData!$B$24,MiscData!$C$24,MiscData!$C$25))</f>
        <v>20140101</v>
      </c>
      <c r="BQ332" s="407" t="str">
        <f>VLOOKUP(BR332,MiscData!$V$4:$W$42,2,FALSE)</f>
        <v>KUCME225</v>
      </c>
      <c r="BR332" s="407">
        <f>IF(BR331=MiscData!$V$42,1,BR331+1)</f>
        <v>17</v>
      </c>
      <c r="BS332" s="407" t="str">
        <f>VLOOKUP(BQ332,MiscData!$W$4:$Y$42,3,FALSE)</f>
        <v>AES3</v>
      </c>
    </row>
    <row r="333" spans="1:71" hidden="1">
      <c r="A333" s="416">
        <f t="shared" si="237"/>
        <v>306</v>
      </c>
      <c r="B333" s="416" t="str">
        <f t="shared" si="239"/>
        <v>Sep 2014</v>
      </c>
      <c r="C333" s="416" t="s">
        <v>219</v>
      </c>
      <c r="D333" s="417" t="str">
        <f t="shared" si="240"/>
        <v>AES</v>
      </c>
      <c r="E333" s="417" t="str">
        <f t="shared" si="241"/>
        <v>KUCME226</v>
      </c>
      <c r="F333" s="418">
        <f t="shared" si="245"/>
        <v>0</v>
      </c>
      <c r="G333" s="467">
        <v>0</v>
      </c>
      <c r="H333" s="418">
        <v>0</v>
      </c>
      <c r="I333" s="418">
        <v>0</v>
      </c>
      <c r="J333" s="418">
        <v>0</v>
      </c>
      <c r="K333" s="418">
        <f t="shared" si="246"/>
        <v>0</v>
      </c>
      <c r="L333" s="481">
        <v>0</v>
      </c>
      <c r="M333" s="443">
        <f t="shared" si="247"/>
        <v>0</v>
      </c>
      <c r="N333" s="443">
        <f t="shared" si="248"/>
        <v>0</v>
      </c>
      <c r="O333" s="443">
        <f t="shared" si="249"/>
        <v>0</v>
      </c>
      <c r="P333" s="443">
        <f t="shared" si="250"/>
        <v>0</v>
      </c>
      <c r="Q333" s="443">
        <f t="shared" si="251"/>
        <v>0</v>
      </c>
      <c r="R333" s="443">
        <f t="shared" si="252"/>
        <v>0</v>
      </c>
      <c r="S333" s="484">
        <v>0</v>
      </c>
      <c r="T333" s="484">
        <v>0</v>
      </c>
      <c r="U333" s="484">
        <v>0</v>
      </c>
      <c r="V333" s="490">
        <v>0</v>
      </c>
      <c r="W333" s="490">
        <v>0</v>
      </c>
      <c r="X333" s="490">
        <v>0</v>
      </c>
      <c r="Y333" s="419">
        <f t="shared" si="253"/>
        <v>20</v>
      </c>
      <c r="Z333" s="420">
        <f t="shared" si="254"/>
        <v>7.4399999999999994E-2</v>
      </c>
      <c r="AA333" s="420">
        <v>0</v>
      </c>
      <c r="AB333" s="420">
        <v>0</v>
      </c>
      <c r="AC333" s="420">
        <f t="shared" si="255"/>
        <v>2.8920000000000001E-2</v>
      </c>
      <c r="AD333" s="419">
        <f t="shared" si="256"/>
        <v>0</v>
      </c>
      <c r="AE333" s="419">
        <f t="shared" si="257"/>
        <v>0</v>
      </c>
      <c r="AF333" s="419">
        <f t="shared" si="258"/>
        <v>0</v>
      </c>
      <c r="AG333" s="454">
        <f t="shared" si="259"/>
        <v>0</v>
      </c>
      <c r="AH333" s="454">
        <f t="shared" si="234"/>
        <v>0</v>
      </c>
      <c r="AI333" s="421">
        <f t="shared" si="260"/>
        <v>0</v>
      </c>
      <c r="AJ333" s="421">
        <f t="shared" si="261"/>
        <v>0</v>
      </c>
      <c r="AK333" s="421">
        <f t="shared" si="262"/>
        <v>0</v>
      </c>
      <c r="AL333" s="472">
        <v>0</v>
      </c>
      <c r="AM333" s="422">
        <f t="shared" si="233"/>
        <v>0</v>
      </c>
      <c r="AN333" s="423">
        <f t="shared" si="263"/>
        <v>0</v>
      </c>
      <c r="AO333" s="421">
        <f t="shared" si="264"/>
        <v>0</v>
      </c>
      <c r="AP333" s="472">
        <v>0</v>
      </c>
      <c r="AQ333" s="472">
        <v>0</v>
      </c>
      <c r="AR333" s="472">
        <v>0</v>
      </c>
      <c r="AS333" s="475">
        <v>0</v>
      </c>
      <c r="AT333" s="475">
        <v>0</v>
      </c>
      <c r="AU333" s="475">
        <v>0</v>
      </c>
      <c r="AV333" s="454">
        <f t="shared" si="265"/>
        <v>0</v>
      </c>
      <c r="AW333" s="421">
        <f t="shared" si="266"/>
        <v>0</v>
      </c>
      <c r="AX333" s="455">
        <f t="shared" si="267"/>
        <v>1</v>
      </c>
      <c r="AY333" s="424">
        <f t="shared" si="268"/>
        <v>0</v>
      </c>
      <c r="AZ333" s="424">
        <f t="shared" si="269"/>
        <v>0</v>
      </c>
      <c r="BA333" s="424">
        <f t="shared" si="270"/>
        <v>0</v>
      </c>
      <c r="BB333" s="424">
        <f t="shared" si="271"/>
        <v>0</v>
      </c>
      <c r="BC333" s="424">
        <f t="shared" si="272"/>
        <v>0</v>
      </c>
      <c r="BD333" s="424">
        <f t="shared" si="273"/>
        <v>0</v>
      </c>
      <c r="BE333" s="452">
        <f t="shared" si="274"/>
        <v>0</v>
      </c>
      <c r="BF333" s="448">
        <f t="shared" si="275"/>
        <v>0</v>
      </c>
      <c r="BG333" s="456">
        <f t="shared" si="276"/>
        <v>0</v>
      </c>
      <c r="BH333" s="457">
        <f t="shared" si="242"/>
        <v>0</v>
      </c>
      <c r="BI333" s="407" t="s">
        <v>1490</v>
      </c>
      <c r="BM333" s="429">
        <f>IF(BR333&gt;BR332,BM332,IF(BM332&lt;MiscData!$F$1,EOMONTH(BM332,1),EOMONTH(BM332,-11)))</f>
        <v>41912</v>
      </c>
      <c r="BN333" s="416" t="str">
        <f t="shared" si="243"/>
        <v>20140101KUCME226</v>
      </c>
      <c r="BO333" s="427" t="str">
        <f t="shared" si="244"/>
        <v>20140101AES</v>
      </c>
      <c r="BP333" s="407">
        <f>IF(BM333&lt;=MiscData!$B$23,MiscData!$C$23,IF(BM333&lt;=MiscData!$B$24,MiscData!$C$24,MiscData!$C$25))</f>
        <v>20140101</v>
      </c>
      <c r="BQ333" s="407" t="str">
        <f>VLOOKUP(BR333,MiscData!$V$4:$W$42,2,FALSE)</f>
        <v>KUCME226</v>
      </c>
      <c r="BR333" s="407">
        <f>IF(BR332=MiscData!$V$42,1,BR332+1)</f>
        <v>18</v>
      </c>
      <c r="BS333" s="407" t="str">
        <f>VLOOKUP(BQ333,MiscData!$W$4:$Y$42,3,FALSE)</f>
        <v>AES</v>
      </c>
    </row>
    <row r="334" spans="1:71" hidden="1">
      <c r="A334" s="416">
        <f t="shared" si="237"/>
        <v>307</v>
      </c>
      <c r="B334" s="416" t="str">
        <f t="shared" si="239"/>
        <v>Sep 2014</v>
      </c>
      <c r="C334" s="837" t="s">
        <v>228</v>
      </c>
      <c r="D334" s="417" t="str">
        <f t="shared" si="240"/>
        <v>AES3</v>
      </c>
      <c r="E334" s="417" t="str">
        <f t="shared" si="241"/>
        <v>KUCME227</v>
      </c>
      <c r="F334" s="418">
        <f t="shared" si="245"/>
        <v>0</v>
      </c>
      <c r="G334" s="467">
        <v>0</v>
      </c>
      <c r="H334" s="418">
        <v>0</v>
      </c>
      <c r="I334" s="418">
        <v>0</v>
      </c>
      <c r="J334" s="418">
        <v>0</v>
      </c>
      <c r="K334" s="418">
        <f t="shared" si="246"/>
        <v>0</v>
      </c>
      <c r="L334" s="481">
        <v>0</v>
      </c>
      <c r="M334" s="443">
        <f t="shared" si="247"/>
        <v>0</v>
      </c>
      <c r="N334" s="443">
        <f t="shared" si="248"/>
        <v>0</v>
      </c>
      <c r="O334" s="443">
        <f t="shared" si="249"/>
        <v>0</v>
      </c>
      <c r="P334" s="443">
        <f t="shared" si="250"/>
        <v>0</v>
      </c>
      <c r="Q334" s="443">
        <f t="shared" si="251"/>
        <v>0</v>
      </c>
      <c r="R334" s="443">
        <f t="shared" si="252"/>
        <v>0</v>
      </c>
      <c r="S334" s="484">
        <v>0</v>
      </c>
      <c r="T334" s="484">
        <v>0</v>
      </c>
      <c r="U334" s="484">
        <v>0</v>
      </c>
      <c r="V334" s="490">
        <v>0</v>
      </c>
      <c r="W334" s="490">
        <v>0</v>
      </c>
      <c r="X334" s="490">
        <v>0</v>
      </c>
      <c r="Y334" s="419">
        <f t="shared" si="253"/>
        <v>35</v>
      </c>
      <c r="Z334" s="420">
        <f t="shared" si="254"/>
        <v>7.4399999999999994E-2</v>
      </c>
      <c r="AA334" s="420">
        <v>0</v>
      </c>
      <c r="AB334" s="420">
        <v>0</v>
      </c>
      <c r="AC334" s="420">
        <f t="shared" si="255"/>
        <v>2.8920000000000001E-2</v>
      </c>
      <c r="AD334" s="419">
        <f t="shared" si="256"/>
        <v>0</v>
      </c>
      <c r="AE334" s="419">
        <f t="shared" si="257"/>
        <v>0</v>
      </c>
      <c r="AF334" s="419">
        <f t="shared" si="258"/>
        <v>0</v>
      </c>
      <c r="AG334" s="454">
        <f t="shared" si="259"/>
        <v>0</v>
      </c>
      <c r="AH334" s="454">
        <f t="shared" si="234"/>
        <v>0</v>
      </c>
      <c r="AI334" s="421">
        <f t="shared" si="260"/>
        <v>0</v>
      </c>
      <c r="AJ334" s="421">
        <f t="shared" si="261"/>
        <v>0</v>
      </c>
      <c r="AK334" s="421">
        <f t="shared" si="262"/>
        <v>0</v>
      </c>
      <c r="AL334" s="472">
        <v>0</v>
      </c>
      <c r="AM334" s="422">
        <f t="shared" si="233"/>
        <v>0</v>
      </c>
      <c r="AN334" s="423">
        <f t="shared" si="263"/>
        <v>0</v>
      </c>
      <c r="AO334" s="421">
        <f t="shared" si="264"/>
        <v>0</v>
      </c>
      <c r="AP334" s="472">
        <v>0</v>
      </c>
      <c r="AQ334" s="472">
        <v>0</v>
      </c>
      <c r="AR334" s="472">
        <v>0</v>
      </c>
      <c r="AS334" s="475">
        <v>0</v>
      </c>
      <c r="AT334" s="475">
        <v>0</v>
      </c>
      <c r="AU334" s="475">
        <v>0</v>
      </c>
      <c r="AV334" s="454">
        <f t="shared" si="265"/>
        <v>0</v>
      </c>
      <c r="AW334" s="421">
        <f t="shared" si="266"/>
        <v>0</v>
      </c>
      <c r="AX334" s="455">
        <f t="shared" si="267"/>
        <v>1</v>
      </c>
      <c r="AY334" s="424">
        <f t="shared" si="268"/>
        <v>0</v>
      </c>
      <c r="AZ334" s="424">
        <f t="shared" si="269"/>
        <v>0</v>
      </c>
      <c r="BA334" s="424">
        <f t="shared" si="270"/>
        <v>0</v>
      </c>
      <c r="BB334" s="424">
        <f t="shared" si="271"/>
        <v>0</v>
      </c>
      <c r="BC334" s="424">
        <f t="shared" si="272"/>
        <v>0</v>
      </c>
      <c r="BD334" s="424">
        <f t="shared" si="273"/>
        <v>0</v>
      </c>
      <c r="BE334" s="452">
        <f t="shared" si="274"/>
        <v>0</v>
      </c>
      <c r="BF334" s="448">
        <f t="shared" si="275"/>
        <v>0</v>
      </c>
      <c r="BG334" s="456">
        <f t="shared" si="276"/>
        <v>0</v>
      </c>
      <c r="BH334" s="457">
        <f t="shared" si="242"/>
        <v>0</v>
      </c>
      <c r="BI334" s="407" t="s">
        <v>1490</v>
      </c>
      <c r="BM334" s="429">
        <f>IF(BR334&gt;BR333,BM333,IF(BM333&lt;MiscData!$F$1,EOMONTH(BM333,1),EOMONTH(BM333,-11)))</f>
        <v>41912</v>
      </c>
      <c r="BN334" s="416" t="str">
        <f t="shared" si="243"/>
        <v>20140101KUCME227</v>
      </c>
      <c r="BO334" s="427" t="str">
        <f t="shared" si="244"/>
        <v>20140101AES3</v>
      </c>
      <c r="BP334" s="407">
        <f>IF(BM334&lt;=MiscData!$B$23,MiscData!$C$23,IF(BM334&lt;=MiscData!$B$24,MiscData!$C$24,MiscData!$C$25))</f>
        <v>20140101</v>
      </c>
      <c r="BQ334" s="407" t="str">
        <f>VLOOKUP(BR334,MiscData!$V$4:$W$42,2,FALSE)</f>
        <v>KUCME227</v>
      </c>
      <c r="BR334" s="407">
        <f>IF(BR333=MiscData!$V$42,1,BR333+1)</f>
        <v>19</v>
      </c>
      <c r="BS334" s="407" t="str">
        <f>VLOOKUP(BQ334,MiscData!$W$4:$Y$42,3,FALSE)</f>
        <v>AES3</v>
      </c>
    </row>
    <row r="335" spans="1:71" hidden="1">
      <c r="A335" s="416">
        <f t="shared" si="237"/>
        <v>308</v>
      </c>
      <c r="B335" s="416" t="str">
        <f t="shared" si="239"/>
        <v>Sep 2014</v>
      </c>
      <c r="C335" s="416" t="s">
        <v>20</v>
      </c>
      <c r="D335" s="417" t="str">
        <f t="shared" si="240"/>
        <v>LE</v>
      </c>
      <c r="E335" s="417" t="str">
        <f t="shared" si="241"/>
        <v>KUCME290</v>
      </c>
      <c r="F335" s="418">
        <f t="shared" si="245"/>
        <v>2</v>
      </c>
      <c r="G335" s="467">
        <v>0</v>
      </c>
      <c r="H335" s="418">
        <v>0</v>
      </c>
      <c r="I335" s="418">
        <v>0</v>
      </c>
      <c r="J335" s="418">
        <v>0</v>
      </c>
      <c r="K335" s="418">
        <f t="shared" si="246"/>
        <v>14365</v>
      </c>
      <c r="L335" s="481">
        <v>0</v>
      </c>
      <c r="M335" s="443">
        <f t="shared" si="247"/>
        <v>0</v>
      </c>
      <c r="N335" s="443">
        <f t="shared" si="248"/>
        <v>0</v>
      </c>
      <c r="O335" s="443">
        <f t="shared" si="249"/>
        <v>0</v>
      </c>
      <c r="P335" s="443">
        <f t="shared" si="250"/>
        <v>0</v>
      </c>
      <c r="Q335" s="443">
        <f t="shared" si="251"/>
        <v>0</v>
      </c>
      <c r="R335" s="443">
        <f t="shared" si="252"/>
        <v>0</v>
      </c>
      <c r="S335" s="484">
        <v>0</v>
      </c>
      <c r="T335" s="484">
        <v>0</v>
      </c>
      <c r="U335" s="484">
        <v>0</v>
      </c>
      <c r="V335" s="490">
        <v>0</v>
      </c>
      <c r="W335" s="490">
        <v>0</v>
      </c>
      <c r="X335" s="490">
        <v>0</v>
      </c>
      <c r="Y335" s="419">
        <f t="shared" si="253"/>
        <v>0</v>
      </c>
      <c r="Z335" s="420">
        <f t="shared" si="254"/>
        <v>6.3799999999999996E-2</v>
      </c>
      <c r="AA335" s="420">
        <v>0</v>
      </c>
      <c r="AB335" s="420">
        <v>0</v>
      </c>
      <c r="AC335" s="420">
        <f t="shared" si="255"/>
        <v>2.8920000000000001E-2</v>
      </c>
      <c r="AD335" s="419">
        <f t="shared" si="256"/>
        <v>0</v>
      </c>
      <c r="AE335" s="419">
        <f t="shared" si="257"/>
        <v>0</v>
      </c>
      <c r="AF335" s="419">
        <f t="shared" si="258"/>
        <v>0</v>
      </c>
      <c r="AG335" s="454">
        <f t="shared" si="259"/>
        <v>0</v>
      </c>
      <c r="AH335" s="454">
        <f t="shared" si="234"/>
        <v>916.49</v>
      </c>
      <c r="AI335" s="421">
        <f t="shared" si="260"/>
        <v>0</v>
      </c>
      <c r="AJ335" s="421">
        <f t="shared" si="261"/>
        <v>0</v>
      </c>
      <c r="AK335" s="421">
        <f t="shared" si="262"/>
        <v>0</v>
      </c>
      <c r="AL335" s="472">
        <v>0</v>
      </c>
      <c r="AM335" s="422">
        <f t="shared" si="233"/>
        <v>0</v>
      </c>
      <c r="AN335" s="423">
        <f t="shared" si="263"/>
        <v>0</v>
      </c>
      <c r="AO335" s="421">
        <f t="shared" si="264"/>
        <v>0</v>
      </c>
      <c r="AP335" s="472">
        <v>0</v>
      </c>
      <c r="AQ335" s="472">
        <v>0</v>
      </c>
      <c r="AR335" s="472">
        <v>0</v>
      </c>
      <c r="AS335" s="475">
        <v>0</v>
      </c>
      <c r="AT335" s="475">
        <v>0</v>
      </c>
      <c r="AU335" s="475">
        <v>0</v>
      </c>
      <c r="AV335" s="454">
        <f t="shared" si="265"/>
        <v>916.49</v>
      </c>
      <c r="AW335" s="421">
        <f t="shared" si="266"/>
        <v>916</v>
      </c>
      <c r="AX335" s="455">
        <f t="shared" ref="AX335:AX340" si="277">IF(AND(AV335=0,AW335=0),1,IF(AV335=0,0,AW335/AV335))</f>
        <v>0.99946535150410809</v>
      </c>
      <c r="AY335" s="424">
        <f t="shared" si="268"/>
        <v>-35</v>
      </c>
      <c r="AZ335" s="424">
        <f t="shared" si="269"/>
        <v>0</v>
      </c>
      <c r="BA335" s="424">
        <f t="shared" si="270"/>
        <v>40</v>
      </c>
      <c r="BB335" s="424">
        <f t="shared" si="271"/>
        <v>0</v>
      </c>
      <c r="BC335" s="424">
        <f t="shared" si="272"/>
        <v>0</v>
      </c>
      <c r="BD335" s="424">
        <f t="shared" si="273"/>
        <v>921</v>
      </c>
      <c r="BE335" s="452">
        <f t="shared" si="274"/>
        <v>921.49</v>
      </c>
      <c r="BF335" s="448">
        <f t="shared" si="275"/>
        <v>-0.49000000000000909</v>
      </c>
      <c r="BG335" s="456">
        <f t="shared" si="276"/>
        <v>415.44</v>
      </c>
      <c r="BH335" s="457">
        <f t="shared" si="242"/>
        <v>501.05</v>
      </c>
      <c r="BI335" s="407" t="s">
        <v>1490</v>
      </c>
      <c r="BM335" s="429">
        <f>IF(BR335&gt;BR334,BM334,IF(BM334&lt;MiscData!$F$1,EOMONTH(BM334,1),EOMONTH(BM334,-11)))</f>
        <v>41912</v>
      </c>
      <c r="BN335" s="416" t="str">
        <f t="shared" si="243"/>
        <v>20140101KUCME290</v>
      </c>
      <c r="BO335" s="427" t="str">
        <f t="shared" si="244"/>
        <v>20140101LE</v>
      </c>
      <c r="BP335" s="407">
        <f>IF(BM335&lt;=MiscData!$B$23,MiscData!$C$23,IF(BM335&lt;=MiscData!$B$24,MiscData!$C$24,MiscData!$C$25))</f>
        <v>20140101</v>
      </c>
      <c r="BQ335" s="407" t="str">
        <f>VLOOKUP(BR335,MiscData!$V$4:$W$42,2,FALSE)</f>
        <v>KUCME290</v>
      </c>
      <c r="BR335" s="407">
        <f>IF(BR334=MiscData!$V$42,1,BR334+1)</f>
        <v>20</v>
      </c>
      <c r="BS335" s="407" t="str">
        <f>VLOOKUP(BQ335,MiscData!$W$4:$Y$42,3,FALSE)</f>
        <v>LE</v>
      </c>
    </row>
    <row r="336" spans="1:71" hidden="1">
      <c r="A336" s="416">
        <f t="shared" si="237"/>
        <v>309</v>
      </c>
      <c r="B336" s="416" t="str">
        <f t="shared" si="239"/>
        <v>Sep 2014</v>
      </c>
      <c r="C336" s="416" t="s">
        <v>20</v>
      </c>
      <c r="D336" s="417" t="str">
        <f t="shared" si="240"/>
        <v>LE</v>
      </c>
      <c r="E336" s="417" t="str">
        <f t="shared" si="241"/>
        <v>KUCME291</v>
      </c>
      <c r="F336" s="418">
        <f t="shared" si="245"/>
        <v>0</v>
      </c>
      <c r="G336" s="467">
        <v>0</v>
      </c>
      <c r="H336" s="418">
        <v>0</v>
      </c>
      <c r="I336" s="418">
        <v>0</v>
      </c>
      <c r="J336" s="418">
        <v>0</v>
      </c>
      <c r="K336" s="418">
        <f t="shared" si="246"/>
        <v>0</v>
      </c>
      <c r="L336" s="481">
        <v>0</v>
      </c>
      <c r="M336" s="443">
        <f t="shared" si="247"/>
        <v>0</v>
      </c>
      <c r="N336" s="443">
        <f t="shared" si="248"/>
        <v>0</v>
      </c>
      <c r="O336" s="443">
        <f t="shared" si="249"/>
        <v>0</v>
      </c>
      <c r="P336" s="443">
        <f t="shared" si="250"/>
        <v>0</v>
      </c>
      <c r="Q336" s="443">
        <f t="shared" si="251"/>
        <v>0</v>
      </c>
      <c r="R336" s="443">
        <f t="shared" si="252"/>
        <v>0</v>
      </c>
      <c r="S336" s="484">
        <v>0</v>
      </c>
      <c r="T336" s="484">
        <v>0</v>
      </c>
      <c r="U336" s="484">
        <v>0</v>
      </c>
      <c r="V336" s="490">
        <v>0</v>
      </c>
      <c r="W336" s="490">
        <v>0</v>
      </c>
      <c r="X336" s="490">
        <v>0</v>
      </c>
      <c r="Y336" s="419">
        <f t="shared" si="253"/>
        <v>0</v>
      </c>
      <c r="Z336" s="420">
        <f t="shared" si="254"/>
        <v>6.3799999999999996E-2</v>
      </c>
      <c r="AA336" s="420">
        <v>0</v>
      </c>
      <c r="AB336" s="420">
        <v>0</v>
      </c>
      <c r="AC336" s="420">
        <f t="shared" si="255"/>
        <v>2.8920000000000001E-2</v>
      </c>
      <c r="AD336" s="419">
        <f t="shared" si="256"/>
        <v>0</v>
      </c>
      <c r="AE336" s="419">
        <f t="shared" si="257"/>
        <v>0</v>
      </c>
      <c r="AF336" s="419">
        <f t="shared" si="258"/>
        <v>0</v>
      </c>
      <c r="AG336" s="454">
        <f t="shared" si="259"/>
        <v>0</v>
      </c>
      <c r="AH336" s="454">
        <f t="shared" si="234"/>
        <v>0</v>
      </c>
      <c r="AI336" s="421">
        <f t="shared" si="260"/>
        <v>0</v>
      </c>
      <c r="AJ336" s="421">
        <f t="shared" si="261"/>
        <v>0</v>
      </c>
      <c r="AK336" s="421">
        <f t="shared" si="262"/>
        <v>0</v>
      </c>
      <c r="AL336" s="472">
        <v>0</v>
      </c>
      <c r="AM336" s="422">
        <f t="shared" si="233"/>
        <v>0</v>
      </c>
      <c r="AN336" s="423">
        <f t="shared" si="263"/>
        <v>0</v>
      </c>
      <c r="AO336" s="421">
        <f t="shared" si="264"/>
        <v>0</v>
      </c>
      <c r="AP336" s="472">
        <v>0</v>
      </c>
      <c r="AQ336" s="472">
        <v>0</v>
      </c>
      <c r="AR336" s="472">
        <v>0</v>
      </c>
      <c r="AS336" s="475">
        <v>0</v>
      </c>
      <c r="AT336" s="475">
        <v>0</v>
      </c>
      <c r="AU336" s="475">
        <v>0</v>
      </c>
      <c r="AV336" s="454">
        <f t="shared" si="265"/>
        <v>0</v>
      </c>
      <c r="AW336" s="421">
        <f t="shared" si="266"/>
        <v>0</v>
      </c>
      <c r="AX336" s="455">
        <f t="shared" si="277"/>
        <v>1</v>
      </c>
      <c r="AY336" s="424">
        <f t="shared" si="268"/>
        <v>0</v>
      </c>
      <c r="AZ336" s="424">
        <f t="shared" si="269"/>
        <v>0</v>
      </c>
      <c r="BA336" s="424">
        <f t="shared" si="270"/>
        <v>0</v>
      </c>
      <c r="BB336" s="424">
        <f t="shared" si="271"/>
        <v>0</v>
      </c>
      <c r="BC336" s="424">
        <f t="shared" si="272"/>
        <v>0</v>
      </c>
      <c r="BD336" s="424">
        <f t="shared" si="273"/>
        <v>0</v>
      </c>
      <c r="BE336" s="452">
        <f t="shared" si="274"/>
        <v>0</v>
      </c>
      <c r="BF336" s="448">
        <f t="shared" si="275"/>
        <v>0</v>
      </c>
      <c r="BG336" s="456">
        <f t="shared" si="276"/>
        <v>0</v>
      </c>
      <c r="BH336" s="457">
        <f t="shared" si="242"/>
        <v>0</v>
      </c>
      <c r="BI336" s="407" t="s">
        <v>1490</v>
      </c>
      <c r="BM336" s="429">
        <f>IF(BR336&gt;BR335,BM335,IF(BM335&lt;MiscData!$F$1,EOMONTH(BM335,1),EOMONTH(BM335,-11)))</f>
        <v>41912</v>
      </c>
      <c r="BN336" s="416" t="str">
        <f t="shared" si="243"/>
        <v>20140101KUCME291</v>
      </c>
      <c r="BO336" s="427" t="str">
        <f t="shared" si="244"/>
        <v>20140101LE</v>
      </c>
      <c r="BP336" s="407">
        <f>IF(BM336&lt;=MiscData!$B$23,MiscData!$C$23,IF(BM336&lt;=MiscData!$B$24,MiscData!$C$24,MiscData!$C$25))</f>
        <v>20140101</v>
      </c>
      <c r="BQ336" s="407" t="str">
        <f>VLOOKUP(BR336,MiscData!$V$4:$W$42,2,FALSE)</f>
        <v>KUCME291</v>
      </c>
      <c r="BR336" s="407">
        <f>IF(BR335=MiscData!$V$42,1,BR335+1)</f>
        <v>21</v>
      </c>
      <c r="BS336" s="407" t="str">
        <f>VLOOKUP(BQ336,MiscData!$W$4:$Y$42,3,FALSE)</f>
        <v>LE</v>
      </c>
    </row>
    <row r="337" spans="1:71" hidden="1">
      <c r="A337" s="416">
        <f t="shared" si="237"/>
        <v>310</v>
      </c>
      <c r="B337" s="416" t="str">
        <f t="shared" si="239"/>
        <v>Sep 2014</v>
      </c>
      <c r="C337" s="416" t="s">
        <v>21</v>
      </c>
      <c r="D337" s="417" t="str">
        <f t="shared" si="240"/>
        <v>TE</v>
      </c>
      <c r="E337" s="417" t="str">
        <f t="shared" si="241"/>
        <v>KUCME295</v>
      </c>
      <c r="F337" s="418">
        <f t="shared" si="245"/>
        <v>747</v>
      </c>
      <c r="G337" s="467">
        <v>0</v>
      </c>
      <c r="H337" s="418">
        <v>0</v>
      </c>
      <c r="I337" s="418">
        <v>0</v>
      </c>
      <c r="J337" s="418">
        <v>0</v>
      </c>
      <c r="K337" s="418">
        <f t="shared" si="246"/>
        <v>103686</v>
      </c>
      <c r="L337" s="481">
        <v>0</v>
      </c>
      <c r="M337" s="443">
        <f t="shared" si="247"/>
        <v>0</v>
      </c>
      <c r="N337" s="443">
        <f t="shared" si="248"/>
        <v>0</v>
      </c>
      <c r="O337" s="443">
        <f t="shared" si="249"/>
        <v>0</v>
      </c>
      <c r="P337" s="443">
        <f t="shared" si="250"/>
        <v>0</v>
      </c>
      <c r="Q337" s="443">
        <f t="shared" si="251"/>
        <v>0</v>
      </c>
      <c r="R337" s="443">
        <f t="shared" si="252"/>
        <v>0</v>
      </c>
      <c r="S337" s="484">
        <v>0</v>
      </c>
      <c r="T337" s="484">
        <v>0</v>
      </c>
      <c r="U337" s="484">
        <v>0</v>
      </c>
      <c r="V337" s="490">
        <v>0</v>
      </c>
      <c r="W337" s="490">
        <v>0</v>
      </c>
      <c r="X337" s="490">
        <v>0</v>
      </c>
      <c r="Y337" s="419">
        <f t="shared" si="253"/>
        <v>3.25</v>
      </c>
      <c r="Z337" s="420">
        <f t="shared" si="254"/>
        <v>7.9780000000000004E-2</v>
      </c>
      <c r="AA337" s="420">
        <v>0</v>
      </c>
      <c r="AB337" s="420">
        <v>0</v>
      </c>
      <c r="AC337" s="420">
        <f t="shared" si="255"/>
        <v>2.8920000000000001E-2</v>
      </c>
      <c r="AD337" s="419">
        <f t="shared" si="256"/>
        <v>0</v>
      </c>
      <c r="AE337" s="419">
        <f t="shared" si="257"/>
        <v>0</v>
      </c>
      <c r="AF337" s="419">
        <f t="shared" si="258"/>
        <v>0</v>
      </c>
      <c r="AG337" s="454">
        <f t="shared" si="259"/>
        <v>2427.75</v>
      </c>
      <c r="AH337" s="454">
        <f t="shared" si="234"/>
        <v>8272.07</v>
      </c>
      <c r="AI337" s="421">
        <f t="shared" si="260"/>
        <v>0</v>
      </c>
      <c r="AJ337" s="421">
        <f t="shared" si="261"/>
        <v>0</v>
      </c>
      <c r="AK337" s="421">
        <f t="shared" si="262"/>
        <v>0</v>
      </c>
      <c r="AL337" s="472">
        <v>0</v>
      </c>
      <c r="AM337" s="422">
        <f t="shared" si="233"/>
        <v>0</v>
      </c>
      <c r="AN337" s="423">
        <f t="shared" si="263"/>
        <v>0</v>
      </c>
      <c r="AO337" s="421">
        <f t="shared" si="264"/>
        <v>0</v>
      </c>
      <c r="AP337" s="472">
        <v>0</v>
      </c>
      <c r="AQ337" s="472">
        <v>0</v>
      </c>
      <c r="AR337" s="472">
        <v>0</v>
      </c>
      <c r="AS337" s="475">
        <v>0</v>
      </c>
      <c r="AT337" s="475">
        <v>0</v>
      </c>
      <c r="AU337" s="475">
        <v>0</v>
      </c>
      <c r="AV337" s="454">
        <f t="shared" si="265"/>
        <v>10699.82</v>
      </c>
      <c r="AW337" s="421">
        <f t="shared" si="266"/>
        <v>10699.75</v>
      </c>
      <c r="AX337" s="455">
        <f t="shared" si="277"/>
        <v>0.99999345783387017</v>
      </c>
      <c r="AY337" s="424">
        <f t="shared" si="268"/>
        <v>-253</v>
      </c>
      <c r="AZ337" s="424">
        <f t="shared" si="269"/>
        <v>0</v>
      </c>
      <c r="BA337" s="424">
        <f t="shared" si="270"/>
        <v>285</v>
      </c>
      <c r="BB337" s="424">
        <f t="shared" si="271"/>
        <v>0</v>
      </c>
      <c r="BC337" s="424">
        <f t="shared" si="272"/>
        <v>0</v>
      </c>
      <c r="BD337" s="424">
        <f t="shared" si="273"/>
        <v>10731.75</v>
      </c>
      <c r="BE337" s="452">
        <f t="shared" si="274"/>
        <v>10731.82</v>
      </c>
      <c r="BF337" s="448">
        <f t="shared" si="275"/>
        <v>-6.9999999999708962E-2</v>
      </c>
      <c r="BG337" s="456">
        <f t="shared" si="276"/>
        <v>2998.6</v>
      </c>
      <c r="BH337" s="457">
        <f t="shared" si="242"/>
        <v>5273.4699999999993</v>
      </c>
      <c r="BI337" s="407" t="s">
        <v>1490</v>
      </c>
      <c r="BM337" s="429">
        <f>IF(BR337&gt;BR336,BM336,IF(BM336&lt;MiscData!$F$1,EOMONTH(BM336,1),EOMONTH(BM336,-11)))</f>
        <v>41912</v>
      </c>
      <c r="BN337" s="416" t="str">
        <f t="shared" si="243"/>
        <v>20140101KUCME295</v>
      </c>
      <c r="BO337" s="427" t="str">
        <f t="shared" si="244"/>
        <v>20140101TE</v>
      </c>
      <c r="BP337" s="407">
        <f>IF(BM337&lt;=MiscData!$B$23,MiscData!$C$23,IF(BM337&lt;=MiscData!$B$24,MiscData!$C$24,MiscData!$C$25))</f>
        <v>20140101</v>
      </c>
      <c r="BQ337" s="407" t="str">
        <f>VLOOKUP(BR337,MiscData!$V$4:$W$42,2,FALSE)</f>
        <v>KUCME295</v>
      </c>
      <c r="BR337" s="407">
        <f>IF(BR336=MiscData!$V$42,1,BR336+1)</f>
        <v>22</v>
      </c>
      <c r="BS337" s="407" t="str">
        <f>VLOOKUP(BQ337,MiscData!$W$4:$Y$42,3,FALSE)</f>
        <v>TE</v>
      </c>
    </row>
    <row r="338" spans="1:71" hidden="1">
      <c r="A338" s="416">
        <f t="shared" si="237"/>
        <v>311</v>
      </c>
      <c r="B338" s="416" t="str">
        <f t="shared" si="239"/>
        <v>Sep 2014</v>
      </c>
      <c r="C338" s="416" t="s">
        <v>21</v>
      </c>
      <c r="D338" s="417" t="str">
        <f t="shared" si="240"/>
        <v>TE</v>
      </c>
      <c r="E338" s="417" t="str">
        <f t="shared" si="241"/>
        <v>KUCME297</v>
      </c>
      <c r="F338" s="418">
        <f t="shared" si="245"/>
        <v>0</v>
      </c>
      <c r="G338" s="467">
        <v>0</v>
      </c>
      <c r="H338" s="418">
        <v>0</v>
      </c>
      <c r="I338" s="418">
        <v>0</v>
      </c>
      <c r="J338" s="418">
        <v>0</v>
      </c>
      <c r="K338" s="418">
        <f t="shared" si="246"/>
        <v>0</v>
      </c>
      <c r="L338" s="481">
        <v>0</v>
      </c>
      <c r="M338" s="443">
        <f t="shared" si="247"/>
        <v>0</v>
      </c>
      <c r="N338" s="443">
        <f t="shared" si="248"/>
        <v>0</v>
      </c>
      <c r="O338" s="443">
        <f t="shared" si="249"/>
        <v>0</v>
      </c>
      <c r="P338" s="443">
        <f t="shared" si="250"/>
        <v>0</v>
      </c>
      <c r="Q338" s="443">
        <f t="shared" si="251"/>
        <v>0</v>
      </c>
      <c r="R338" s="443">
        <f t="shared" si="252"/>
        <v>0</v>
      </c>
      <c r="S338" s="484">
        <v>0</v>
      </c>
      <c r="T338" s="484">
        <v>0</v>
      </c>
      <c r="U338" s="484">
        <v>0</v>
      </c>
      <c r="V338" s="490">
        <v>0</v>
      </c>
      <c r="W338" s="490">
        <v>0</v>
      </c>
      <c r="X338" s="490">
        <v>0</v>
      </c>
      <c r="Y338" s="419">
        <f t="shared" si="253"/>
        <v>3.25</v>
      </c>
      <c r="Z338" s="420">
        <f t="shared" si="254"/>
        <v>7.9780000000000004E-2</v>
      </c>
      <c r="AA338" s="420">
        <v>0</v>
      </c>
      <c r="AB338" s="420">
        <v>0</v>
      </c>
      <c r="AC338" s="420">
        <f t="shared" si="255"/>
        <v>2.8920000000000001E-2</v>
      </c>
      <c r="AD338" s="419">
        <f t="shared" si="256"/>
        <v>0</v>
      </c>
      <c r="AE338" s="419">
        <f t="shared" si="257"/>
        <v>0</v>
      </c>
      <c r="AF338" s="419">
        <f t="shared" si="258"/>
        <v>0</v>
      </c>
      <c r="AG338" s="454">
        <f t="shared" si="259"/>
        <v>0</v>
      </c>
      <c r="AH338" s="454">
        <f t="shared" si="234"/>
        <v>0</v>
      </c>
      <c r="AI338" s="421">
        <f t="shared" si="260"/>
        <v>0</v>
      </c>
      <c r="AJ338" s="421">
        <f t="shared" si="261"/>
        <v>0</v>
      </c>
      <c r="AK338" s="421">
        <f t="shared" si="262"/>
        <v>0</v>
      </c>
      <c r="AL338" s="472">
        <v>0</v>
      </c>
      <c r="AM338" s="422">
        <f t="shared" si="233"/>
        <v>0</v>
      </c>
      <c r="AN338" s="423">
        <f t="shared" si="263"/>
        <v>0</v>
      </c>
      <c r="AO338" s="421">
        <f t="shared" si="264"/>
        <v>0</v>
      </c>
      <c r="AP338" s="472">
        <v>0</v>
      </c>
      <c r="AQ338" s="472">
        <v>0</v>
      </c>
      <c r="AR338" s="472">
        <v>0</v>
      </c>
      <c r="AS338" s="475">
        <v>0</v>
      </c>
      <c r="AT338" s="475">
        <v>0</v>
      </c>
      <c r="AU338" s="475">
        <v>0</v>
      </c>
      <c r="AV338" s="454">
        <f t="shared" si="265"/>
        <v>0</v>
      </c>
      <c r="AW338" s="421">
        <f t="shared" si="266"/>
        <v>0</v>
      </c>
      <c r="AX338" s="455">
        <f t="shared" si="277"/>
        <v>1</v>
      </c>
      <c r="AY338" s="424">
        <f t="shared" si="268"/>
        <v>0</v>
      </c>
      <c r="AZ338" s="424">
        <f t="shared" si="269"/>
        <v>0</v>
      </c>
      <c r="BA338" s="424">
        <f t="shared" si="270"/>
        <v>0</v>
      </c>
      <c r="BB338" s="424">
        <f t="shared" si="271"/>
        <v>0</v>
      </c>
      <c r="BC338" s="424">
        <f t="shared" si="272"/>
        <v>0</v>
      </c>
      <c r="BD338" s="424">
        <f t="shared" si="273"/>
        <v>0</v>
      </c>
      <c r="BE338" s="452">
        <f t="shared" si="274"/>
        <v>0</v>
      </c>
      <c r="BF338" s="448">
        <f t="shared" si="275"/>
        <v>0</v>
      </c>
      <c r="BG338" s="456">
        <f t="shared" si="276"/>
        <v>0</v>
      </c>
      <c r="BH338" s="457">
        <f t="shared" si="242"/>
        <v>0</v>
      </c>
      <c r="BI338" s="407" t="s">
        <v>1490</v>
      </c>
      <c r="BM338" s="429">
        <f>IF(BR338&gt;BR337,BM337,IF(BM337&lt;MiscData!$F$1,EOMONTH(BM337,1),EOMONTH(BM337,-11)))</f>
        <v>41912</v>
      </c>
      <c r="BN338" s="416" t="str">
        <f t="shared" si="243"/>
        <v>20140101KUCME297</v>
      </c>
      <c r="BO338" s="427" t="str">
        <f t="shared" si="244"/>
        <v>20140101TE</v>
      </c>
      <c r="BP338" s="407">
        <f>IF(BM338&lt;=MiscData!$B$23,MiscData!$C$23,IF(BM338&lt;=MiscData!$B$24,MiscData!$C$24,MiscData!$C$25))</f>
        <v>20140101</v>
      </c>
      <c r="BQ338" s="407" t="str">
        <f>VLOOKUP(BR338,MiscData!$V$4:$W$42,2,FALSE)</f>
        <v>KUCME297</v>
      </c>
      <c r="BR338" s="407">
        <f>IF(BR337=MiscData!$V$42,1,BR337+1)</f>
        <v>23</v>
      </c>
      <c r="BS338" s="407" t="str">
        <f>VLOOKUP(BQ338,MiscData!$W$4:$Y$42,3,FALSE)</f>
        <v>TE</v>
      </c>
    </row>
    <row r="339" spans="1:71" hidden="1">
      <c r="A339" s="416">
        <f t="shared" si="237"/>
        <v>312</v>
      </c>
      <c r="B339" s="416" t="str">
        <f t="shared" si="239"/>
        <v>Sep 2014</v>
      </c>
      <c r="C339" s="416" t="s">
        <v>727</v>
      </c>
      <c r="D339" s="417" t="str">
        <f t="shared" si="240"/>
        <v>SQF</v>
      </c>
      <c r="E339" s="417" t="str">
        <f t="shared" si="241"/>
        <v>KUCME705</v>
      </c>
      <c r="F339" s="418">
        <f t="shared" si="245"/>
        <v>0</v>
      </c>
      <c r="G339" s="467">
        <v>0</v>
      </c>
      <c r="H339" s="418">
        <v>0</v>
      </c>
      <c r="I339" s="418">
        <v>0</v>
      </c>
      <c r="J339" s="418">
        <v>0</v>
      </c>
      <c r="K339" s="418">
        <f t="shared" si="246"/>
        <v>0</v>
      </c>
      <c r="L339" s="481">
        <v>0</v>
      </c>
      <c r="M339" s="443">
        <f t="shared" si="247"/>
        <v>0</v>
      </c>
      <c r="N339" s="443">
        <f t="shared" si="248"/>
        <v>0</v>
      </c>
      <c r="O339" s="443">
        <f t="shared" si="249"/>
        <v>0</v>
      </c>
      <c r="P339" s="443">
        <f t="shared" si="250"/>
        <v>0</v>
      </c>
      <c r="Q339" s="443">
        <f t="shared" si="251"/>
        <v>0</v>
      </c>
      <c r="R339" s="443">
        <f t="shared" si="252"/>
        <v>0</v>
      </c>
      <c r="S339" s="484">
        <v>0</v>
      </c>
      <c r="T339" s="484">
        <v>0</v>
      </c>
      <c r="U339" s="484">
        <v>0</v>
      </c>
      <c r="V339" s="490">
        <v>0</v>
      </c>
      <c r="W339" s="490">
        <v>0</v>
      </c>
      <c r="X339" s="490">
        <v>0</v>
      </c>
      <c r="Y339" s="419">
        <f t="shared" si="253"/>
        <v>0</v>
      </c>
      <c r="Z339" s="420">
        <f t="shared" si="254"/>
        <v>0</v>
      </c>
      <c r="AA339" s="420">
        <v>0</v>
      </c>
      <c r="AB339" s="420">
        <v>0</v>
      </c>
      <c r="AC339" s="420">
        <f t="shared" si="255"/>
        <v>0</v>
      </c>
      <c r="AD339" s="419">
        <f t="shared" si="256"/>
        <v>0</v>
      </c>
      <c r="AE339" s="419">
        <f t="shared" si="257"/>
        <v>0</v>
      </c>
      <c r="AF339" s="419">
        <f t="shared" si="258"/>
        <v>0</v>
      </c>
      <c r="AG339" s="454">
        <f t="shared" si="259"/>
        <v>0</v>
      </c>
      <c r="AH339" s="454">
        <f t="shared" si="234"/>
        <v>0</v>
      </c>
      <c r="AI339" s="421">
        <f t="shared" si="260"/>
        <v>0</v>
      </c>
      <c r="AJ339" s="421">
        <f t="shared" si="261"/>
        <v>0</v>
      </c>
      <c r="AK339" s="421">
        <f t="shared" si="262"/>
        <v>0</v>
      </c>
      <c r="AL339" s="472">
        <v>0</v>
      </c>
      <c r="AM339" s="422">
        <f t="shared" si="233"/>
        <v>0</v>
      </c>
      <c r="AN339" s="423">
        <f t="shared" si="263"/>
        <v>0</v>
      </c>
      <c r="AO339" s="421">
        <f t="shared" si="264"/>
        <v>0</v>
      </c>
      <c r="AP339" s="472">
        <v>0</v>
      </c>
      <c r="AQ339" s="472">
        <v>0</v>
      </c>
      <c r="AR339" s="472">
        <v>0</v>
      </c>
      <c r="AS339" s="475">
        <v>0</v>
      </c>
      <c r="AT339" s="475">
        <v>0</v>
      </c>
      <c r="AU339" s="475">
        <v>0</v>
      </c>
      <c r="AV339" s="454">
        <f t="shared" si="265"/>
        <v>0</v>
      </c>
      <c r="AW339" s="421">
        <f t="shared" si="266"/>
        <v>0</v>
      </c>
      <c r="AX339" s="455">
        <f t="shared" si="277"/>
        <v>1</v>
      </c>
      <c r="AY339" s="424">
        <f t="shared" si="268"/>
        <v>0</v>
      </c>
      <c r="AZ339" s="424">
        <f t="shared" si="269"/>
        <v>0</v>
      </c>
      <c r="BA339" s="424">
        <f t="shared" si="270"/>
        <v>0</v>
      </c>
      <c r="BB339" s="424">
        <f t="shared" si="271"/>
        <v>0</v>
      </c>
      <c r="BC339" s="424">
        <f t="shared" si="272"/>
        <v>0</v>
      </c>
      <c r="BD339" s="424">
        <f t="shared" si="273"/>
        <v>0</v>
      </c>
      <c r="BE339" s="452">
        <f t="shared" si="274"/>
        <v>0</v>
      </c>
      <c r="BF339" s="448">
        <f t="shared" si="275"/>
        <v>0</v>
      </c>
      <c r="BG339" s="456">
        <f t="shared" si="276"/>
        <v>0</v>
      </c>
      <c r="BH339" s="457">
        <f t="shared" si="242"/>
        <v>0</v>
      </c>
      <c r="BI339" s="407" t="s">
        <v>1490</v>
      </c>
      <c r="BM339" s="429">
        <f>IF(BR339&gt;BR338,BM338,IF(BM338&lt;MiscData!$F$1,EOMONTH(BM338,1),EOMONTH(BM338,-11)))</f>
        <v>41912</v>
      </c>
      <c r="BN339" s="416" t="str">
        <f t="shared" si="243"/>
        <v>20140101KUCME705</v>
      </c>
      <c r="BO339" s="427" t="str">
        <f t="shared" si="244"/>
        <v>20140101SQF</v>
      </c>
      <c r="BP339" s="407">
        <f>IF(BM339&lt;=MiscData!$B$23,MiscData!$C$23,IF(BM339&lt;=MiscData!$B$24,MiscData!$C$24,MiscData!$C$25))</f>
        <v>20140101</v>
      </c>
      <c r="BQ339" s="407" t="str">
        <f>VLOOKUP(BR339,MiscData!$V$4:$W$42,2,FALSE)</f>
        <v>KUCME705</v>
      </c>
      <c r="BR339" s="407">
        <f>IF(BR338=MiscData!$V$42,1,BR338+1)</f>
        <v>24</v>
      </c>
      <c r="BS339" s="407" t="str">
        <f>VLOOKUP(BQ339,MiscData!$W$4:$Y$42,3,FALSE)</f>
        <v>SQF</v>
      </c>
    </row>
    <row r="340" spans="1:71" hidden="1">
      <c r="A340" s="416">
        <f t="shared" si="237"/>
        <v>313</v>
      </c>
      <c r="B340" s="416" t="str">
        <f t="shared" si="239"/>
        <v>Sep 2014</v>
      </c>
      <c r="C340" s="416" t="s">
        <v>1052</v>
      </c>
      <c r="D340" s="417" t="str">
        <f t="shared" si="240"/>
        <v>LQF</v>
      </c>
      <c r="E340" s="417" t="str">
        <f t="shared" si="241"/>
        <v>KUCME707</v>
      </c>
      <c r="F340" s="418">
        <f t="shared" si="245"/>
        <v>0</v>
      </c>
      <c r="G340" s="467">
        <v>0</v>
      </c>
      <c r="H340" s="418">
        <v>0</v>
      </c>
      <c r="I340" s="418">
        <v>0</v>
      </c>
      <c r="J340" s="418">
        <v>0</v>
      </c>
      <c r="K340" s="418">
        <f t="shared" si="246"/>
        <v>0</v>
      </c>
      <c r="L340" s="481">
        <v>0</v>
      </c>
      <c r="M340" s="443">
        <f t="shared" si="247"/>
        <v>0</v>
      </c>
      <c r="N340" s="443">
        <f t="shared" si="248"/>
        <v>0</v>
      </c>
      <c r="O340" s="443">
        <f t="shared" si="249"/>
        <v>0</v>
      </c>
      <c r="P340" s="443">
        <f t="shared" si="250"/>
        <v>0</v>
      </c>
      <c r="Q340" s="443">
        <f t="shared" si="251"/>
        <v>0</v>
      </c>
      <c r="R340" s="443">
        <f t="shared" si="252"/>
        <v>0</v>
      </c>
      <c r="S340" s="484">
        <v>0</v>
      </c>
      <c r="T340" s="484">
        <v>0</v>
      </c>
      <c r="U340" s="484">
        <v>0</v>
      </c>
      <c r="V340" s="490">
        <v>0</v>
      </c>
      <c r="W340" s="490">
        <v>0</v>
      </c>
      <c r="X340" s="490">
        <v>0</v>
      </c>
      <c r="Y340" s="419">
        <f t="shared" si="253"/>
        <v>0</v>
      </c>
      <c r="Z340" s="420">
        <f t="shared" si="254"/>
        <v>0</v>
      </c>
      <c r="AA340" s="420">
        <v>0</v>
      </c>
      <c r="AB340" s="420">
        <v>0</v>
      </c>
      <c r="AC340" s="420">
        <f t="shared" si="255"/>
        <v>0</v>
      </c>
      <c r="AD340" s="419">
        <f t="shared" si="256"/>
        <v>0</v>
      </c>
      <c r="AE340" s="419">
        <f t="shared" si="257"/>
        <v>0</v>
      </c>
      <c r="AF340" s="419">
        <f t="shared" si="258"/>
        <v>0</v>
      </c>
      <c r="AG340" s="454">
        <f t="shared" si="259"/>
        <v>0</v>
      </c>
      <c r="AH340" s="454">
        <f t="shared" si="234"/>
        <v>0</v>
      </c>
      <c r="AI340" s="421">
        <f t="shared" si="260"/>
        <v>0</v>
      </c>
      <c r="AJ340" s="421">
        <f t="shared" si="261"/>
        <v>0</v>
      </c>
      <c r="AK340" s="421">
        <f t="shared" si="262"/>
        <v>0</v>
      </c>
      <c r="AL340" s="472">
        <v>0</v>
      </c>
      <c r="AM340" s="422">
        <f t="shared" si="233"/>
        <v>0</v>
      </c>
      <c r="AN340" s="423">
        <f t="shared" si="263"/>
        <v>0</v>
      </c>
      <c r="AO340" s="421">
        <f t="shared" si="264"/>
        <v>0</v>
      </c>
      <c r="AP340" s="472">
        <v>0</v>
      </c>
      <c r="AQ340" s="472">
        <v>0</v>
      </c>
      <c r="AR340" s="472">
        <v>0</v>
      </c>
      <c r="AS340" s="475">
        <v>0</v>
      </c>
      <c r="AT340" s="475">
        <v>0</v>
      </c>
      <c r="AU340" s="475">
        <v>0</v>
      </c>
      <c r="AV340" s="454">
        <f t="shared" si="265"/>
        <v>0</v>
      </c>
      <c r="AW340" s="421">
        <f t="shared" si="266"/>
        <v>0</v>
      </c>
      <c r="AX340" s="455">
        <f t="shared" si="277"/>
        <v>1</v>
      </c>
      <c r="AY340" s="424">
        <f t="shared" si="268"/>
        <v>0</v>
      </c>
      <c r="AZ340" s="424">
        <f t="shared" si="269"/>
        <v>0</v>
      </c>
      <c r="BA340" s="424">
        <f t="shared" si="270"/>
        <v>0</v>
      </c>
      <c r="BB340" s="424">
        <f t="shared" si="271"/>
        <v>0</v>
      </c>
      <c r="BC340" s="424">
        <f t="shared" si="272"/>
        <v>0</v>
      </c>
      <c r="BD340" s="424">
        <f t="shared" si="273"/>
        <v>0</v>
      </c>
      <c r="BE340" s="452">
        <f t="shared" si="274"/>
        <v>0</v>
      </c>
      <c r="BF340" s="448">
        <f t="shared" si="275"/>
        <v>0</v>
      </c>
      <c r="BG340" s="456">
        <f t="shared" si="276"/>
        <v>0</v>
      </c>
      <c r="BH340" s="457">
        <f t="shared" si="242"/>
        <v>0</v>
      </c>
      <c r="BI340" s="407" t="s">
        <v>1490</v>
      </c>
      <c r="BM340" s="429">
        <f>IF(BR340&gt;BR339,BM339,IF(BM339&lt;MiscData!$F$1,EOMONTH(BM339,1),EOMONTH(BM339,-11)))</f>
        <v>41912</v>
      </c>
      <c r="BN340" s="416" t="str">
        <f t="shared" si="243"/>
        <v>20140101KUCME707</v>
      </c>
      <c r="BO340" s="427" t="str">
        <f t="shared" si="244"/>
        <v>20140101LQF</v>
      </c>
      <c r="BP340" s="407">
        <f>IF(BM340&lt;=MiscData!$B$23,MiscData!$C$23,IF(BM340&lt;=MiscData!$B$24,MiscData!$C$24,MiscData!$C$25))</f>
        <v>20140101</v>
      </c>
      <c r="BQ340" s="407" t="str">
        <f>VLOOKUP(BR340,MiscData!$V$4:$W$42,2,FALSE)</f>
        <v>KUCME707</v>
      </c>
      <c r="BR340" s="407">
        <f>IF(BR339=MiscData!$V$42,1,BR339+1)</f>
        <v>25</v>
      </c>
      <c r="BS340" s="407" t="str">
        <f>VLOOKUP(BQ340,MiscData!$W$4:$Y$42,3,FALSE)</f>
        <v>LQF</v>
      </c>
    </row>
    <row r="341" spans="1:71" hidden="1">
      <c r="A341" s="416">
        <f t="shared" si="237"/>
        <v>314</v>
      </c>
      <c r="B341" s="416" t="str">
        <f t="shared" si="239"/>
        <v>Sep 2014</v>
      </c>
      <c r="C341" s="416" t="s">
        <v>224</v>
      </c>
      <c r="D341" s="417" t="str">
        <f t="shared" si="240"/>
        <v>GS</v>
      </c>
      <c r="E341" s="417" t="str">
        <f t="shared" si="241"/>
        <v>KUCME710</v>
      </c>
      <c r="F341" s="418">
        <f t="shared" si="245"/>
        <v>0</v>
      </c>
      <c r="G341" s="467">
        <v>0</v>
      </c>
      <c r="H341" s="418">
        <v>0</v>
      </c>
      <c r="I341" s="418">
        <v>0</v>
      </c>
      <c r="J341" s="418">
        <v>0</v>
      </c>
      <c r="K341" s="418">
        <f t="shared" si="246"/>
        <v>0</v>
      </c>
      <c r="L341" s="481">
        <v>0</v>
      </c>
      <c r="M341" s="443">
        <f t="shared" si="247"/>
        <v>0</v>
      </c>
      <c r="N341" s="443">
        <f t="shared" si="248"/>
        <v>0</v>
      </c>
      <c r="O341" s="443">
        <f t="shared" si="249"/>
        <v>0</v>
      </c>
      <c r="P341" s="443">
        <f t="shared" si="250"/>
        <v>0</v>
      </c>
      <c r="Q341" s="443">
        <f t="shared" si="251"/>
        <v>0</v>
      </c>
      <c r="R341" s="443">
        <f t="shared" si="252"/>
        <v>0</v>
      </c>
      <c r="S341" s="484">
        <v>0</v>
      </c>
      <c r="T341" s="484">
        <v>0</v>
      </c>
      <c r="U341" s="484">
        <v>0</v>
      </c>
      <c r="V341" s="490">
        <v>0</v>
      </c>
      <c r="W341" s="490">
        <v>0</v>
      </c>
      <c r="X341" s="490">
        <v>0</v>
      </c>
      <c r="Y341" s="419">
        <f t="shared" si="253"/>
        <v>20</v>
      </c>
      <c r="Z341" s="420">
        <f t="shared" si="254"/>
        <v>9.2249999999999999E-2</v>
      </c>
      <c r="AA341" s="420">
        <v>0</v>
      </c>
      <c r="AB341" s="420">
        <v>0</v>
      </c>
      <c r="AC341" s="420">
        <f t="shared" si="255"/>
        <v>2.8920000000000001E-2</v>
      </c>
      <c r="AD341" s="419">
        <f t="shared" si="256"/>
        <v>0</v>
      </c>
      <c r="AE341" s="419">
        <f t="shared" si="257"/>
        <v>0</v>
      </c>
      <c r="AF341" s="419">
        <f t="shared" si="258"/>
        <v>0</v>
      </c>
      <c r="AG341" s="454">
        <f t="shared" si="259"/>
        <v>0</v>
      </c>
      <c r="AH341" s="454">
        <f t="shared" si="234"/>
        <v>0</v>
      </c>
      <c r="AI341" s="421">
        <f t="shared" si="260"/>
        <v>0</v>
      </c>
      <c r="AJ341" s="421">
        <f t="shared" si="261"/>
        <v>0</v>
      </c>
      <c r="AK341" s="421">
        <f t="shared" si="262"/>
        <v>0</v>
      </c>
      <c r="AL341" s="472">
        <v>0</v>
      </c>
      <c r="AM341" s="422">
        <f t="shared" si="233"/>
        <v>0</v>
      </c>
      <c r="AN341" s="423">
        <f t="shared" si="263"/>
        <v>0</v>
      </c>
      <c r="AO341" s="421">
        <f t="shared" si="264"/>
        <v>0</v>
      </c>
      <c r="AP341" s="472">
        <v>0</v>
      </c>
      <c r="AQ341" s="472">
        <v>0</v>
      </c>
      <c r="AR341" s="472">
        <v>0</v>
      </c>
      <c r="AS341" s="475">
        <v>0</v>
      </c>
      <c r="AT341" s="475">
        <v>0</v>
      </c>
      <c r="AU341" s="475">
        <v>0</v>
      </c>
      <c r="AV341" s="454">
        <f t="shared" si="265"/>
        <v>0</v>
      </c>
      <c r="AW341" s="421">
        <f t="shared" si="266"/>
        <v>0</v>
      </c>
      <c r="AX341" s="455">
        <f t="shared" ref="AX341:AX354" si="278">IF(AND(AV341=0,AW341=0),1,IF(AV341=0,0,AW341/AV341))</f>
        <v>1</v>
      </c>
      <c r="AY341" s="424">
        <f t="shared" si="268"/>
        <v>0</v>
      </c>
      <c r="AZ341" s="424">
        <f t="shared" si="269"/>
        <v>0</v>
      </c>
      <c r="BA341" s="424">
        <f t="shared" si="270"/>
        <v>0</v>
      </c>
      <c r="BB341" s="424">
        <f t="shared" si="271"/>
        <v>0</v>
      </c>
      <c r="BC341" s="424">
        <f t="shared" si="272"/>
        <v>0</v>
      </c>
      <c r="BD341" s="424">
        <f t="shared" si="273"/>
        <v>0</v>
      </c>
      <c r="BE341" s="452">
        <f t="shared" si="274"/>
        <v>0</v>
      </c>
      <c r="BF341" s="448">
        <f t="shared" si="275"/>
        <v>0</v>
      </c>
      <c r="BG341" s="456">
        <f t="shared" si="276"/>
        <v>0</v>
      </c>
      <c r="BH341" s="457">
        <f t="shared" si="242"/>
        <v>0</v>
      </c>
      <c r="BI341" s="407" t="s">
        <v>1490</v>
      </c>
      <c r="BM341" s="429">
        <f>IF(BR341&gt;BR340,BM340,IF(BM340&lt;MiscData!$F$1,EOMONTH(BM340,1),EOMONTH(BM340,-11)))</f>
        <v>41912</v>
      </c>
      <c r="BN341" s="416" t="str">
        <f t="shared" si="243"/>
        <v>20140101KUCME710</v>
      </c>
      <c r="BO341" s="427" t="str">
        <f t="shared" si="244"/>
        <v>20140101GS</v>
      </c>
      <c r="BP341" s="407">
        <f>IF(BM341&lt;=MiscData!$B$23,MiscData!$C$23,IF(BM341&lt;=MiscData!$B$24,MiscData!$C$24,MiscData!$C$25))</f>
        <v>20140101</v>
      </c>
      <c r="BQ341" s="407" t="str">
        <f>VLOOKUP(BR341,MiscData!$V$4:$W$42,2,FALSE)</f>
        <v>KUCME710</v>
      </c>
      <c r="BR341" s="407">
        <f>IF(BR340=MiscData!$V$42,1,BR340+1)</f>
        <v>26</v>
      </c>
      <c r="BS341" s="407" t="str">
        <f>VLOOKUP(BQ341,MiscData!$W$4:$Y$42,3,FALSE)</f>
        <v>GS</v>
      </c>
    </row>
    <row r="342" spans="1:71" hidden="1">
      <c r="A342" s="416">
        <f t="shared" si="237"/>
        <v>315</v>
      </c>
      <c r="B342" s="416" t="str">
        <f t="shared" si="239"/>
        <v>Sep 2014</v>
      </c>
      <c r="C342" s="416" t="s">
        <v>18</v>
      </c>
      <c r="D342" s="417" t="str">
        <f t="shared" si="240"/>
        <v>GS3</v>
      </c>
      <c r="E342" s="417" t="str">
        <f t="shared" si="241"/>
        <v>KUCME713</v>
      </c>
      <c r="F342" s="418">
        <f t="shared" si="245"/>
        <v>0</v>
      </c>
      <c r="G342" s="467">
        <v>0</v>
      </c>
      <c r="H342" s="418">
        <v>0</v>
      </c>
      <c r="I342" s="418">
        <v>0</v>
      </c>
      <c r="J342" s="418">
        <v>0</v>
      </c>
      <c r="K342" s="418">
        <f t="shared" si="246"/>
        <v>0</v>
      </c>
      <c r="L342" s="481">
        <v>0</v>
      </c>
      <c r="M342" s="443">
        <f t="shared" si="247"/>
        <v>0</v>
      </c>
      <c r="N342" s="443">
        <f t="shared" si="248"/>
        <v>0</v>
      </c>
      <c r="O342" s="443">
        <f t="shared" si="249"/>
        <v>0</v>
      </c>
      <c r="P342" s="443">
        <f t="shared" si="250"/>
        <v>0</v>
      </c>
      <c r="Q342" s="443">
        <f t="shared" si="251"/>
        <v>0</v>
      </c>
      <c r="R342" s="443">
        <f t="shared" si="252"/>
        <v>0</v>
      </c>
      <c r="S342" s="484">
        <v>0</v>
      </c>
      <c r="T342" s="484">
        <v>0</v>
      </c>
      <c r="U342" s="484">
        <v>0</v>
      </c>
      <c r="V342" s="490">
        <v>0</v>
      </c>
      <c r="W342" s="490">
        <v>0</v>
      </c>
      <c r="X342" s="490">
        <v>0</v>
      </c>
      <c r="Y342" s="419">
        <f t="shared" si="253"/>
        <v>35</v>
      </c>
      <c r="Z342" s="420">
        <f t="shared" si="254"/>
        <v>9.2249999999999999E-2</v>
      </c>
      <c r="AA342" s="420">
        <v>0</v>
      </c>
      <c r="AB342" s="420">
        <v>0</v>
      </c>
      <c r="AC342" s="420">
        <f t="shared" si="255"/>
        <v>2.8920000000000001E-2</v>
      </c>
      <c r="AD342" s="419">
        <f t="shared" si="256"/>
        <v>0</v>
      </c>
      <c r="AE342" s="419">
        <f t="shared" si="257"/>
        <v>0</v>
      </c>
      <c r="AF342" s="419">
        <f t="shared" si="258"/>
        <v>0</v>
      </c>
      <c r="AG342" s="454">
        <f t="shared" si="259"/>
        <v>0</v>
      </c>
      <c r="AH342" s="454">
        <f t="shared" si="234"/>
        <v>0</v>
      </c>
      <c r="AI342" s="421">
        <f t="shared" si="260"/>
        <v>0</v>
      </c>
      <c r="AJ342" s="421">
        <f t="shared" si="261"/>
        <v>0</v>
      </c>
      <c r="AK342" s="421">
        <f t="shared" si="262"/>
        <v>0</v>
      </c>
      <c r="AL342" s="472">
        <v>0</v>
      </c>
      <c r="AM342" s="422">
        <f t="shared" si="233"/>
        <v>0</v>
      </c>
      <c r="AN342" s="423">
        <f t="shared" si="263"/>
        <v>0</v>
      </c>
      <c r="AO342" s="421">
        <f t="shared" si="264"/>
        <v>0</v>
      </c>
      <c r="AP342" s="472">
        <v>0</v>
      </c>
      <c r="AQ342" s="472">
        <v>0</v>
      </c>
      <c r="AR342" s="472">
        <v>0</v>
      </c>
      <c r="AS342" s="475">
        <v>0</v>
      </c>
      <c r="AT342" s="475">
        <v>0</v>
      </c>
      <c r="AU342" s="475">
        <v>0</v>
      </c>
      <c r="AV342" s="454">
        <f t="shared" si="265"/>
        <v>0</v>
      </c>
      <c r="AW342" s="421">
        <f t="shared" si="266"/>
        <v>0</v>
      </c>
      <c r="AX342" s="455">
        <f t="shared" si="278"/>
        <v>1</v>
      </c>
      <c r="AY342" s="424">
        <f t="shared" si="268"/>
        <v>0</v>
      </c>
      <c r="AZ342" s="424">
        <f t="shared" si="269"/>
        <v>0</v>
      </c>
      <c r="BA342" s="424">
        <f t="shared" si="270"/>
        <v>0</v>
      </c>
      <c r="BB342" s="424">
        <f t="shared" si="271"/>
        <v>0</v>
      </c>
      <c r="BC342" s="424">
        <f t="shared" si="272"/>
        <v>0</v>
      </c>
      <c r="BD342" s="424">
        <f t="shared" si="273"/>
        <v>0</v>
      </c>
      <c r="BE342" s="452">
        <f t="shared" si="274"/>
        <v>0</v>
      </c>
      <c r="BF342" s="448">
        <f t="shared" si="275"/>
        <v>0</v>
      </c>
      <c r="BG342" s="456">
        <f t="shared" si="276"/>
        <v>0</v>
      </c>
      <c r="BH342" s="457">
        <f t="shared" si="242"/>
        <v>0</v>
      </c>
      <c r="BI342" s="407" t="s">
        <v>1490</v>
      </c>
      <c r="BM342" s="429">
        <f>IF(BR342&gt;BR341,BM341,IF(BM341&lt;MiscData!$F$1,EOMONTH(BM341,1),EOMONTH(BM341,-11)))</f>
        <v>41912</v>
      </c>
      <c r="BN342" s="416" t="str">
        <f t="shared" si="243"/>
        <v>20140101KUCME713</v>
      </c>
      <c r="BO342" s="427" t="str">
        <f t="shared" si="244"/>
        <v>20140101GS3</v>
      </c>
      <c r="BP342" s="407">
        <f>IF(BM342&lt;=MiscData!$B$23,MiscData!$C$23,IF(BM342&lt;=MiscData!$B$24,MiscData!$C$24,MiscData!$C$25))</f>
        <v>20140101</v>
      </c>
      <c r="BQ342" s="407" t="str">
        <f>VLOOKUP(BR342,MiscData!$V$4:$W$42,2,FALSE)</f>
        <v>KUCME713</v>
      </c>
      <c r="BR342" s="407">
        <f>IF(BR341=MiscData!$V$42,1,BR341+1)</f>
        <v>27</v>
      </c>
      <c r="BS342" s="407" t="str">
        <f>VLOOKUP(BQ342,MiscData!$W$4:$Y$42,3,FALSE)</f>
        <v>GS3</v>
      </c>
    </row>
    <row r="343" spans="1:71" hidden="1">
      <c r="A343" s="416">
        <f t="shared" si="237"/>
        <v>316</v>
      </c>
      <c r="B343" s="416" t="str">
        <f t="shared" si="239"/>
        <v>Sep 2014</v>
      </c>
      <c r="C343" s="416" t="s">
        <v>1459</v>
      </c>
      <c r="D343" s="417" t="str">
        <f t="shared" si="240"/>
        <v>CSR10</v>
      </c>
      <c r="E343" s="417" t="str">
        <f t="shared" si="241"/>
        <v>KUCSR760</v>
      </c>
      <c r="F343" s="418">
        <f t="shared" si="245"/>
        <v>0</v>
      </c>
      <c r="G343" s="467">
        <v>0</v>
      </c>
      <c r="H343" s="418">
        <v>0</v>
      </c>
      <c r="I343" s="418">
        <v>0</v>
      </c>
      <c r="J343" s="418">
        <v>0</v>
      </c>
      <c r="K343" s="418">
        <f t="shared" si="246"/>
        <v>0</v>
      </c>
      <c r="L343" s="481">
        <v>0</v>
      </c>
      <c r="M343" s="443">
        <f t="shared" si="247"/>
        <v>0</v>
      </c>
      <c r="N343" s="443">
        <f t="shared" si="248"/>
        <v>0</v>
      </c>
      <c r="O343" s="443">
        <f t="shared" si="249"/>
        <v>0</v>
      </c>
      <c r="P343" s="443">
        <f t="shared" si="250"/>
        <v>0</v>
      </c>
      <c r="Q343" s="443">
        <f t="shared" si="251"/>
        <v>0</v>
      </c>
      <c r="R343" s="443">
        <f t="shared" si="252"/>
        <v>0</v>
      </c>
      <c r="S343" s="484">
        <v>0</v>
      </c>
      <c r="T343" s="484">
        <v>0</v>
      </c>
      <c r="U343" s="484">
        <v>0</v>
      </c>
      <c r="V343" s="490">
        <v>0</v>
      </c>
      <c r="W343" s="490">
        <v>0</v>
      </c>
      <c r="X343" s="490">
        <v>0</v>
      </c>
      <c r="Y343" s="419">
        <f t="shared" si="253"/>
        <v>0</v>
      </c>
      <c r="Z343" s="420">
        <f t="shared" si="254"/>
        <v>0</v>
      </c>
      <c r="AA343" s="420">
        <v>0</v>
      </c>
      <c r="AB343" s="420">
        <v>0</v>
      </c>
      <c r="AC343" s="420">
        <f t="shared" si="255"/>
        <v>0</v>
      </c>
      <c r="AD343" s="419">
        <f t="shared" si="256"/>
        <v>-5.4</v>
      </c>
      <c r="AE343" s="419">
        <f t="shared" si="257"/>
        <v>0</v>
      </c>
      <c r="AF343" s="419">
        <f t="shared" si="258"/>
        <v>0</v>
      </c>
      <c r="AG343" s="454">
        <f t="shared" si="259"/>
        <v>0</v>
      </c>
      <c r="AH343" s="454">
        <f t="shared" si="234"/>
        <v>0</v>
      </c>
      <c r="AI343" s="421">
        <f t="shared" si="260"/>
        <v>0</v>
      </c>
      <c r="AJ343" s="421">
        <f t="shared" si="261"/>
        <v>0</v>
      </c>
      <c r="AK343" s="421">
        <f t="shared" si="262"/>
        <v>0</v>
      </c>
      <c r="AL343" s="472">
        <v>0</v>
      </c>
      <c r="AM343" s="422">
        <f t="shared" si="233"/>
        <v>0</v>
      </c>
      <c r="AN343" s="423">
        <f t="shared" si="263"/>
        <v>0</v>
      </c>
      <c r="AO343" s="421">
        <f t="shared" si="264"/>
        <v>0</v>
      </c>
      <c r="AP343" s="472">
        <v>0</v>
      </c>
      <c r="AQ343" s="472">
        <v>0</v>
      </c>
      <c r="AR343" s="472">
        <v>0</v>
      </c>
      <c r="AS343" s="475">
        <v>0</v>
      </c>
      <c r="AT343" s="475">
        <v>0</v>
      </c>
      <c r="AU343" s="475">
        <v>0</v>
      </c>
      <c r="AV343" s="454">
        <f t="shared" si="265"/>
        <v>0</v>
      </c>
      <c r="AW343" s="421">
        <f t="shared" si="266"/>
        <v>0</v>
      </c>
      <c r="AX343" s="455">
        <f t="shared" si="278"/>
        <v>1</v>
      </c>
      <c r="AY343" s="424">
        <f t="shared" si="268"/>
        <v>0</v>
      </c>
      <c r="AZ343" s="424">
        <f t="shared" si="269"/>
        <v>0</v>
      </c>
      <c r="BA343" s="424">
        <f t="shared" si="270"/>
        <v>0</v>
      </c>
      <c r="BB343" s="424">
        <f t="shared" si="271"/>
        <v>0</v>
      </c>
      <c r="BC343" s="424">
        <f t="shared" si="272"/>
        <v>-989829</v>
      </c>
      <c r="BD343" s="424">
        <f t="shared" si="273"/>
        <v>-989829</v>
      </c>
      <c r="BE343" s="452">
        <f t="shared" si="274"/>
        <v>-989829</v>
      </c>
      <c r="BF343" s="448">
        <f t="shared" si="275"/>
        <v>0</v>
      </c>
      <c r="BG343" s="456">
        <f t="shared" si="276"/>
        <v>0</v>
      </c>
      <c r="BH343" s="457">
        <f t="shared" si="242"/>
        <v>0</v>
      </c>
      <c r="BI343" s="407" t="s">
        <v>1490</v>
      </c>
      <c r="BM343" s="429">
        <f>IF(BR343&gt;BR342,BM342,IF(BM342&lt;MiscData!$F$1,EOMONTH(BM342,1),EOMONTH(BM342,-11)))</f>
        <v>41912</v>
      </c>
      <c r="BN343" s="416" t="str">
        <f t="shared" si="243"/>
        <v>20140101KUCSR760</v>
      </c>
      <c r="BO343" s="427" t="str">
        <f t="shared" si="244"/>
        <v>20140101CSR10</v>
      </c>
      <c r="BP343" s="407">
        <f>IF(BM343&lt;=MiscData!$B$23,MiscData!$C$23,IF(BM343&lt;=MiscData!$B$24,MiscData!$C$24,MiscData!$C$25))</f>
        <v>20140101</v>
      </c>
      <c r="BQ343" s="407" t="str">
        <f>VLOOKUP(BR343,MiscData!$V$4:$W$42,2,FALSE)</f>
        <v>KUCSR760</v>
      </c>
      <c r="BR343" s="407">
        <f>IF(BR342=MiscData!$V$42,1,BR342+1)</f>
        <v>28</v>
      </c>
      <c r="BS343" s="407" t="str">
        <f>VLOOKUP(BQ343,MiscData!$W$4:$Y$42,3,FALSE)</f>
        <v>CSR10</v>
      </c>
    </row>
    <row r="344" spans="1:71" hidden="1">
      <c r="A344" s="416">
        <f>A340+1</f>
        <v>314</v>
      </c>
      <c r="B344" s="416" t="str">
        <f t="shared" si="239"/>
        <v>Sep 2014</v>
      </c>
      <c r="C344" s="416" t="s">
        <v>1459</v>
      </c>
      <c r="D344" s="417" t="str">
        <f t="shared" si="240"/>
        <v>CSR10</v>
      </c>
      <c r="E344" s="417" t="str">
        <f t="shared" si="241"/>
        <v>KUCSR761</v>
      </c>
      <c r="F344" s="418">
        <f t="shared" si="245"/>
        <v>0</v>
      </c>
      <c r="G344" s="467">
        <v>0</v>
      </c>
      <c r="H344" s="418">
        <v>0</v>
      </c>
      <c r="I344" s="418">
        <v>0</v>
      </c>
      <c r="J344" s="418">
        <v>0</v>
      </c>
      <c r="K344" s="418">
        <f t="shared" si="246"/>
        <v>0</v>
      </c>
      <c r="L344" s="481">
        <v>0</v>
      </c>
      <c r="M344" s="443">
        <f t="shared" si="247"/>
        <v>0</v>
      </c>
      <c r="N344" s="443">
        <f t="shared" si="248"/>
        <v>0</v>
      </c>
      <c r="O344" s="443">
        <f t="shared" si="249"/>
        <v>0</v>
      </c>
      <c r="P344" s="443">
        <f t="shared" si="250"/>
        <v>0</v>
      </c>
      <c r="Q344" s="443">
        <f t="shared" si="251"/>
        <v>0</v>
      </c>
      <c r="R344" s="443">
        <f t="shared" si="252"/>
        <v>0</v>
      </c>
      <c r="S344" s="484">
        <v>0</v>
      </c>
      <c r="T344" s="484">
        <v>0</v>
      </c>
      <c r="U344" s="484">
        <v>0</v>
      </c>
      <c r="V344" s="490">
        <v>0</v>
      </c>
      <c r="W344" s="490">
        <v>0</v>
      </c>
      <c r="X344" s="490">
        <v>0</v>
      </c>
      <c r="Y344" s="419">
        <f t="shared" si="253"/>
        <v>0</v>
      </c>
      <c r="Z344" s="420">
        <f t="shared" si="254"/>
        <v>0</v>
      </c>
      <c r="AA344" s="420">
        <v>0</v>
      </c>
      <c r="AB344" s="420">
        <v>0</v>
      </c>
      <c r="AC344" s="420">
        <f t="shared" si="255"/>
        <v>0</v>
      </c>
      <c r="AD344" s="419">
        <f t="shared" si="256"/>
        <v>-5.5</v>
      </c>
      <c r="AE344" s="419">
        <f t="shared" si="257"/>
        <v>0</v>
      </c>
      <c r="AF344" s="419">
        <f t="shared" si="258"/>
        <v>0</v>
      </c>
      <c r="AG344" s="454">
        <f t="shared" si="259"/>
        <v>0</v>
      </c>
      <c r="AH344" s="454">
        <f t="shared" si="234"/>
        <v>0</v>
      </c>
      <c r="AI344" s="421">
        <f t="shared" si="260"/>
        <v>0</v>
      </c>
      <c r="AJ344" s="421">
        <f t="shared" si="261"/>
        <v>0</v>
      </c>
      <c r="AK344" s="421">
        <f t="shared" si="262"/>
        <v>0</v>
      </c>
      <c r="AL344" s="472">
        <v>0</v>
      </c>
      <c r="AM344" s="422">
        <f t="shared" si="233"/>
        <v>0</v>
      </c>
      <c r="AN344" s="423">
        <f t="shared" si="263"/>
        <v>0</v>
      </c>
      <c r="AO344" s="421">
        <f t="shared" si="264"/>
        <v>0</v>
      </c>
      <c r="AP344" s="472">
        <v>0</v>
      </c>
      <c r="AQ344" s="472">
        <v>0</v>
      </c>
      <c r="AR344" s="472">
        <v>0</v>
      </c>
      <c r="AS344" s="475">
        <v>0</v>
      </c>
      <c r="AT344" s="475">
        <v>0</v>
      </c>
      <c r="AU344" s="475">
        <v>0</v>
      </c>
      <c r="AV344" s="454">
        <f t="shared" si="265"/>
        <v>0</v>
      </c>
      <c r="AW344" s="421">
        <f t="shared" si="266"/>
        <v>0</v>
      </c>
      <c r="AX344" s="455">
        <f t="shared" si="278"/>
        <v>1</v>
      </c>
      <c r="AY344" s="424">
        <f t="shared" si="268"/>
        <v>0</v>
      </c>
      <c r="AZ344" s="424">
        <f t="shared" si="269"/>
        <v>0</v>
      </c>
      <c r="BA344" s="424">
        <f t="shared" si="270"/>
        <v>0</v>
      </c>
      <c r="BB344" s="424">
        <f t="shared" si="271"/>
        <v>0</v>
      </c>
      <c r="BC344" s="424">
        <f t="shared" si="272"/>
        <v>0</v>
      </c>
      <c r="BD344" s="424">
        <f t="shared" si="273"/>
        <v>0</v>
      </c>
      <c r="BE344" s="452">
        <f t="shared" si="274"/>
        <v>0</v>
      </c>
      <c r="BF344" s="448">
        <f t="shared" si="275"/>
        <v>0</v>
      </c>
      <c r="BG344" s="456">
        <f t="shared" si="276"/>
        <v>0</v>
      </c>
      <c r="BH344" s="457">
        <f t="shared" si="242"/>
        <v>0</v>
      </c>
      <c r="BI344" s="407" t="s">
        <v>1490</v>
      </c>
      <c r="BM344" s="429">
        <f>IF(BR344&gt;BR340,BM340,IF(BM340&lt;MiscData!$F$1,EOMONTH(BM340,1),EOMONTH(BM340,-11)))</f>
        <v>41912</v>
      </c>
      <c r="BN344" s="416" t="str">
        <f t="shared" si="243"/>
        <v>20140101KUCSR761</v>
      </c>
      <c r="BO344" s="427" t="str">
        <f t="shared" si="244"/>
        <v>20140101CSR10</v>
      </c>
      <c r="BP344" s="407">
        <f>IF(BM344&lt;=MiscData!$B$23,MiscData!$C$23,IF(BM344&lt;=MiscData!$B$24,MiscData!$C$24,MiscData!$C$25))</f>
        <v>20140101</v>
      </c>
      <c r="BQ344" s="407" t="str">
        <f>VLOOKUP(BR344,MiscData!$V$4:$W$42,2,FALSE)</f>
        <v>KUCSR761</v>
      </c>
      <c r="BR344" s="407">
        <f>IF(BR343=MiscData!$V$42,1,BR343+1)</f>
        <v>29</v>
      </c>
      <c r="BS344" s="407" t="str">
        <f>VLOOKUP(BQ344,MiscData!$W$4:$Y$42,3,FALSE)</f>
        <v>CSR10</v>
      </c>
    </row>
    <row r="345" spans="1:71" hidden="1">
      <c r="A345" s="416">
        <f>A341+1</f>
        <v>315</v>
      </c>
      <c r="B345" s="416" t="str">
        <f t="shared" si="239"/>
        <v>Sep 2014</v>
      </c>
      <c r="C345" s="416" t="s">
        <v>1460</v>
      </c>
      <c r="D345" s="417" t="str">
        <f t="shared" si="240"/>
        <v>CSR30</v>
      </c>
      <c r="E345" s="417" t="str">
        <f t="shared" si="241"/>
        <v>KUCSR780</v>
      </c>
      <c r="F345" s="418">
        <f t="shared" si="245"/>
        <v>0</v>
      </c>
      <c r="G345" s="467">
        <v>0</v>
      </c>
      <c r="H345" s="418">
        <v>0</v>
      </c>
      <c r="I345" s="418">
        <v>0</v>
      </c>
      <c r="J345" s="418">
        <v>0</v>
      </c>
      <c r="K345" s="418">
        <f t="shared" si="246"/>
        <v>0</v>
      </c>
      <c r="L345" s="481">
        <v>0</v>
      </c>
      <c r="M345" s="443">
        <f t="shared" si="247"/>
        <v>0</v>
      </c>
      <c r="N345" s="443">
        <f t="shared" si="248"/>
        <v>0</v>
      </c>
      <c r="O345" s="443">
        <f t="shared" si="249"/>
        <v>0</v>
      </c>
      <c r="P345" s="443">
        <f t="shared" si="250"/>
        <v>0</v>
      </c>
      <c r="Q345" s="443">
        <f t="shared" si="251"/>
        <v>0</v>
      </c>
      <c r="R345" s="443">
        <f t="shared" si="252"/>
        <v>0</v>
      </c>
      <c r="S345" s="484">
        <v>0</v>
      </c>
      <c r="T345" s="484">
        <v>0</v>
      </c>
      <c r="U345" s="484">
        <v>0</v>
      </c>
      <c r="V345" s="490">
        <v>0</v>
      </c>
      <c r="W345" s="490">
        <v>0</v>
      </c>
      <c r="X345" s="490">
        <v>0</v>
      </c>
      <c r="Y345" s="419">
        <f t="shared" si="253"/>
        <v>0</v>
      </c>
      <c r="Z345" s="420">
        <f t="shared" si="254"/>
        <v>0</v>
      </c>
      <c r="AA345" s="420">
        <v>0</v>
      </c>
      <c r="AB345" s="420">
        <v>0</v>
      </c>
      <c r="AC345" s="420">
        <f t="shared" si="255"/>
        <v>0</v>
      </c>
      <c r="AD345" s="419">
        <f t="shared" si="256"/>
        <v>-4.3</v>
      </c>
      <c r="AE345" s="419">
        <f t="shared" si="257"/>
        <v>0</v>
      </c>
      <c r="AF345" s="419">
        <f t="shared" si="258"/>
        <v>0</v>
      </c>
      <c r="AG345" s="454">
        <f t="shared" si="259"/>
        <v>0</v>
      </c>
      <c r="AH345" s="454">
        <f t="shared" si="234"/>
        <v>0</v>
      </c>
      <c r="AI345" s="421">
        <f t="shared" si="260"/>
        <v>0</v>
      </c>
      <c r="AJ345" s="421">
        <f t="shared" si="261"/>
        <v>0</v>
      </c>
      <c r="AK345" s="421">
        <f t="shared" si="262"/>
        <v>0</v>
      </c>
      <c r="AL345" s="472">
        <v>0</v>
      </c>
      <c r="AM345" s="422">
        <f t="shared" si="233"/>
        <v>0</v>
      </c>
      <c r="AN345" s="423">
        <f t="shared" si="263"/>
        <v>0</v>
      </c>
      <c r="AO345" s="421">
        <f t="shared" si="264"/>
        <v>0</v>
      </c>
      <c r="AP345" s="472">
        <v>0</v>
      </c>
      <c r="AQ345" s="472">
        <v>0</v>
      </c>
      <c r="AR345" s="472">
        <v>0</v>
      </c>
      <c r="AS345" s="475">
        <v>0</v>
      </c>
      <c r="AT345" s="475">
        <v>0</v>
      </c>
      <c r="AU345" s="475">
        <v>0</v>
      </c>
      <c r="AV345" s="454">
        <f t="shared" si="265"/>
        <v>0</v>
      </c>
      <c r="AW345" s="421">
        <f t="shared" si="266"/>
        <v>0</v>
      </c>
      <c r="AX345" s="455">
        <f t="shared" si="278"/>
        <v>1</v>
      </c>
      <c r="AY345" s="424">
        <f t="shared" si="268"/>
        <v>0</v>
      </c>
      <c r="AZ345" s="424">
        <f t="shared" si="269"/>
        <v>0</v>
      </c>
      <c r="BA345" s="424">
        <f t="shared" si="270"/>
        <v>0</v>
      </c>
      <c r="BB345" s="424">
        <f t="shared" si="271"/>
        <v>0</v>
      </c>
      <c r="BC345" s="424">
        <f t="shared" si="272"/>
        <v>0</v>
      </c>
      <c r="BD345" s="424">
        <f t="shared" si="273"/>
        <v>0</v>
      </c>
      <c r="BE345" s="452">
        <f t="shared" si="274"/>
        <v>0</v>
      </c>
      <c r="BF345" s="448">
        <f t="shared" si="275"/>
        <v>0</v>
      </c>
      <c r="BG345" s="456">
        <f t="shared" si="276"/>
        <v>0</v>
      </c>
      <c r="BH345" s="457">
        <f t="shared" si="242"/>
        <v>0</v>
      </c>
      <c r="BI345" s="407" t="s">
        <v>1490</v>
      </c>
      <c r="BM345" s="429">
        <f>IF(BR345&gt;BR341,BM341,IF(BM341&lt;MiscData!$F$1,EOMONTH(BM341,1),EOMONTH(BM341,-11)))</f>
        <v>41912</v>
      </c>
      <c r="BN345" s="416" t="str">
        <f t="shared" si="243"/>
        <v>20140101KUCSR780</v>
      </c>
      <c r="BO345" s="427" t="str">
        <f t="shared" si="244"/>
        <v>20140101CSR30</v>
      </c>
      <c r="BP345" s="407">
        <f>IF(BM345&lt;=MiscData!$B$23,MiscData!$C$23,IF(BM345&lt;=MiscData!$B$24,MiscData!$C$24,MiscData!$C$25))</f>
        <v>20140101</v>
      </c>
      <c r="BQ345" s="407" t="str">
        <f>VLOOKUP(BR345,MiscData!$V$4:$W$42,2,FALSE)</f>
        <v>KUCSR780</v>
      </c>
      <c r="BR345" s="407">
        <f>IF(BR344=MiscData!$V$42,1,BR344+1)</f>
        <v>30</v>
      </c>
      <c r="BS345" s="407" t="str">
        <f>VLOOKUP(BQ345,MiscData!$W$4:$Y$42,3,FALSE)</f>
        <v>CSR30</v>
      </c>
    </row>
    <row r="346" spans="1:71" hidden="1">
      <c r="A346" s="416">
        <f>A342+1</f>
        <v>316</v>
      </c>
      <c r="B346" s="416" t="str">
        <f t="shared" si="239"/>
        <v>Sep 2014</v>
      </c>
      <c r="C346" s="416" t="s">
        <v>1460</v>
      </c>
      <c r="D346" s="417" t="str">
        <f t="shared" si="240"/>
        <v>CSR30</v>
      </c>
      <c r="E346" s="417" t="str">
        <f t="shared" si="241"/>
        <v>KUCSR781</v>
      </c>
      <c r="F346" s="418">
        <f t="shared" si="245"/>
        <v>0</v>
      </c>
      <c r="G346" s="467">
        <v>0</v>
      </c>
      <c r="H346" s="418">
        <v>0</v>
      </c>
      <c r="I346" s="418">
        <v>0</v>
      </c>
      <c r="J346" s="418">
        <v>0</v>
      </c>
      <c r="K346" s="418">
        <f t="shared" si="246"/>
        <v>0</v>
      </c>
      <c r="L346" s="481">
        <v>0</v>
      </c>
      <c r="M346" s="443">
        <f t="shared" si="247"/>
        <v>0</v>
      </c>
      <c r="N346" s="443">
        <f t="shared" si="248"/>
        <v>0</v>
      </c>
      <c r="O346" s="443">
        <f t="shared" si="249"/>
        <v>0</v>
      </c>
      <c r="P346" s="443">
        <f t="shared" si="250"/>
        <v>0</v>
      </c>
      <c r="Q346" s="443">
        <f t="shared" si="251"/>
        <v>0</v>
      </c>
      <c r="R346" s="443">
        <f t="shared" si="252"/>
        <v>0</v>
      </c>
      <c r="S346" s="484">
        <v>0</v>
      </c>
      <c r="T346" s="484">
        <v>0</v>
      </c>
      <c r="U346" s="484">
        <v>0</v>
      </c>
      <c r="V346" s="490">
        <v>0</v>
      </c>
      <c r="W346" s="490">
        <v>0</v>
      </c>
      <c r="X346" s="490">
        <v>0</v>
      </c>
      <c r="Y346" s="419">
        <f t="shared" si="253"/>
        <v>0</v>
      </c>
      <c r="Z346" s="420">
        <f t="shared" si="254"/>
        <v>0</v>
      </c>
      <c r="AA346" s="420">
        <v>0</v>
      </c>
      <c r="AB346" s="420">
        <v>0</v>
      </c>
      <c r="AC346" s="420">
        <f t="shared" si="255"/>
        <v>0</v>
      </c>
      <c r="AD346" s="419">
        <f t="shared" si="256"/>
        <v>-4.4000000000000004</v>
      </c>
      <c r="AE346" s="419">
        <f t="shared" si="257"/>
        <v>0</v>
      </c>
      <c r="AF346" s="419">
        <f t="shared" si="258"/>
        <v>0</v>
      </c>
      <c r="AG346" s="454">
        <f t="shared" si="259"/>
        <v>0</v>
      </c>
      <c r="AH346" s="454">
        <f t="shared" si="234"/>
        <v>0</v>
      </c>
      <c r="AI346" s="421">
        <f t="shared" si="260"/>
        <v>0</v>
      </c>
      <c r="AJ346" s="421">
        <f t="shared" si="261"/>
        <v>0</v>
      </c>
      <c r="AK346" s="421">
        <f t="shared" si="262"/>
        <v>0</v>
      </c>
      <c r="AL346" s="472">
        <v>0</v>
      </c>
      <c r="AM346" s="422">
        <f t="shared" si="233"/>
        <v>0</v>
      </c>
      <c r="AN346" s="423">
        <f t="shared" si="263"/>
        <v>0</v>
      </c>
      <c r="AO346" s="421">
        <f t="shared" si="264"/>
        <v>0</v>
      </c>
      <c r="AP346" s="472">
        <v>0</v>
      </c>
      <c r="AQ346" s="472">
        <v>0</v>
      </c>
      <c r="AR346" s="472">
        <v>0</v>
      </c>
      <c r="AS346" s="475">
        <v>0</v>
      </c>
      <c r="AT346" s="475">
        <v>0</v>
      </c>
      <c r="AU346" s="475">
        <v>0</v>
      </c>
      <c r="AV346" s="454">
        <f t="shared" si="265"/>
        <v>0</v>
      </c>
      <c r="AW346" s="421">
        <f t="shared" si="266"/>
        <v>0</v>
      </c>
      <c r="AX346" s="455">
        <f t="shared" si="278"/>
        <v>1</v>
      </c>
      <c r="AY346" s="424">
        <f t="shared" si="268"/>
        <v>0</v>
      </c>
      <c r="AZ346" s="424">
        <f t="shared" si="269"/>
        <v>0</v>
      </c>
      <c r="BA346" s="424">
        <f t="shared" si="270"/>
        <v>0</v>
      </c>
      <c r="BB346" s="424">
        <f t="shared" si="271"/>
        <v>0</v>
      </c>
      <c r="BC346" s="424">
        <f t="shared" si="272"/>
        <v>0</v>
      </c>
      <c r="BD346" s="424">
        <f t="shared" si="273"/>
        <v>0</v>
      </c>
      <c r="BE346" s="452">
        <f t="shared" si="274"/>
        <v>0</v>
      </c>
      <c r="BF346" s="448">
        <f t="shared" si="275"/>
        <v>0</v>
      </c>
      <c r="BG346" s="456">
        <f t="shared" si="276"/>
        <v>0</v>
      </c>
      <c r="BH346" s="457">
        <f t="shared" si="242"/>
        <v>0</v>
      </c>
      <c r="BI346" s="407" t="s">
        <v>1490</v>
      </c>
      <c r="BM346" s="429">
        <f>IF(BR346&gt;BR342,BM342,IF(BM342&lt;MiscData!$F$1,EOMONTH(BM342,1),EOMONTH(BM342,-11)))</f>
        <v>41912</v>
      </c>
      <c r="BN346" s="416" t="str">
        <f t="shared" si="243"/>
        <v>20140101KUCSR781</v>
      </c>
      <c r="BO346" s="427" t="str">
        <f t="shared" si="244"/>
        <v>20140101CSR30</v>
      </c>
      <c r="BP346" s="407">
        <f>IF(BM346&lt;=MiscData!$B$23,MiscData!$C$23,IF(BM346&lt;=MiscData!$B$24,MiscData!$C$24,MiscData!$C$25))</f>
        <v>20140101</v>
      </c>
      <c r="BQ346" s="407" t="str">
        <f>VLOOKUP(BR346,MiscData!$V$4:$W$42,2,FALSE)</f>
        <v>KUCSR781</v>
      </c>
      <c r="BR346" s="407">
        <f>IF(BR345=MiscData!$V$42,1,BR345+1)</f>
        <v>31</v>
      </c>
      <c r="BS346" s="407" t="str">
        <f>VLOOKUP(BQ346,MiscData!$W$4:$Y$42,3,FALSE)</f>
        <v>CSR30</v>
      </c>
    </row>
    <row r="347" spans="1:71" hidden="1">
      <c r="A347" s="416">
        <f>A343+1</f>
        <v>317</v>
      </c>
      <c r="B347" s="416" t="str">
        <f t="shared" si="239"/>
        <v>Sep 2014</v>
      </c>
      <c r="C347" s="416" t="s">
        <v>1460</v>
      </c>
      <c r="D347" s="417" t="str">
        <f t="shared" si="240"/>
        <v>CSR30</v>
      </c>
      <c r="E347" s="417" t="str">
        <f t="shared" si="241"/>
        <v>KUCSR783</v>
      </c>
      <c r="F347" s="418">
        <f t="shared" si="245"/>
        <v>0</v>
      </c>
      <c r="G347" s="467">
        <v>0</v>
      </c>
      <c r="H347" s="418">
        <v>0</v>
      </c>
      <c r="I347" s="418">
        <v>0</v>
      </c>
      <c r="J347" s="418">
        <v>0</v>
      </c>
      <c r="K347" s="418">
        <f t="shared" si="246"/>
        <v>0</v>
      </c>
      <c r="L347" s="481">
        <v>0</v>
      </c>
      <c r="M347" s="443">
        <f t="shared" si="247"/>
        <v>0</v>
      </c>
      <c r="N347" s="443">
        <f t="shared" si="248"/>
        <v>0</v>
      </c>
      <c r="O347" s="443">
        <f t="shared" si="249"/>
        <v>0</v>
      </c>
      <c r="P347" s="443">
        <f t="shared" si="250"/>
        <v>0</v>
      </c>
      <c r="Q347" s="443">
        <f t="shared" si="251"/>
        <v>0</v>
      </c>
      <c r="R347" s="443">
        <f t="shared" si="252"/>
        <v>0</v>
      </c>
      <c r="S347" s="484">
        <v>0</v>
      </c>
      <c r="T347" s="484">
        <v>0</v>
      </c>
      <c r="U347" s="484">
        <v>0</v>
      </c>
      <c r="V347" s="490">
        <v>0</v>
      </c>
      <c r="W347" s="490">
        <v>0</v>
      </c>
      <c r="X347" s="490">
        <v>0</v>
      </c>
      <c r="Y347" s="419">
        <f t="shared" si="253"/>
        <v>0</v>
      </c>
      <c r="Z347" s="420">
        <f t="shared" si="254"/>
        <v>0</v>
      </c>
      <c r="AA347" s="420">
        <v>0</v>
      </c>
      <c r="AB347" s="420">
        <v>0</v>
      </c>
      <c r="AC347" s="420">
        <f t="shared" si="255"/>
        <v>0</v>
      </c>
      <c r="AD347" s="419">
        <f t="shared" si="256"/>
        <v>-4.4000000000000004</v>
      </c>
      <c r="AE347" s="419">
        <f t="shared" si="257"/>
        <v>0</v>
      </c>
      <c r="AF347" s="419">
        <f t="shared" si="258"/>
        <v>0</v>
      </c>
      <c r="AG347" s="454">
        <f t="shared" si="259"/>
        <v>0</v>
      </c>
      <c r="AH347" s="454">
        <f t="shared" si="234"/>
        <v>0</v>
      </c>
      <c r="AI347" s="421">
        <f t="shared" si="260"/>
        <v>0</v>
      </c>
      <c r="AJ347" s="421">
        <f t="shared" si="261"/>
        <v>0</v>
      </c>
      <c r="AK347" s="421">
        <f t="shared" si="262"/>
        <v>0</v>
      </c>
      <c r="AL347" s="472">
        <v>0</v>
      </c>
      <c r="AM347" s="422">
        <f t="shared" si="233"/>
        <v>0</v>
      </c>
      <c r="AN347" s="423">
        <f t="shared" si="263"/>
        <v>0</v>
      </c>
      <c r="AO347" s="421">
        <f t="shared" si="264"/>
        <v>0</v>
      </c>
      <c r="AP347" s="472">
        <v>0</v>
      </c>
      <c r="AQ347" s="472">
        <v>0</v>
      </c>
      <c r="AR347" s="472">
        <v>0</v>
      </c>
      <c r="AS347" s="475">
        <v>0</v>
      </c>
      <c r="AT347" s="475">
        <v>0</v>
      </c>
      <c r="AU347" s="475">
        <v>0</v>
      </c>
      <c r="AV347" s="454">
        <f t="shared" si="265"/>
        <v>0</v>
      </c>
      <c r="AW347" s="421">
        <f t="shared" si="266"/>
        <v>0</v>
      </c>
      <c r="AX347" s="455">
        <f t="shared" si="278"/>
        <v>1</v>
      </c>
      <c r="AY347" s="424">
        <f t="shared" si="268"/>
        <v>0</v>
      </c>
      <c r="AZ347" s="424">
        <f t="shared" si="269"/>
        <v>0</v>
      </c>
      <c r="BA347" s="424">
        <f t="shared" si="270"/>
        <v>0</v>
      </c>
      <c r="BB347" s="424">
        <f t="shared" si="271"/>
        <v>0</v>
      </c>
      <c r="BC347" s="424">
        <f t="shared" si="272"/>
        <v>0</v>
      </c>
      <c r="BD347" s="424">
        <f t="shared" si="273"/>
        <v>0</v>
      </c>
      <c r="BE347" s="452">
        <f t="shared" si="274"/>
        <v>0</v>
      </c>
      <c r="BF347" s="448">
        <f t="shared" si="275"/>
        <v>0</v>
      </c>
      <c r="BG347" s="456">
        <f t="shared" si="276"/>
        <v>0</v>
      </c>
      <c r="BH347" s="457">
        <f t="shared" si="242"/>
        <v>0</v>
      </c>
      <c r="BI347" s="407" t="s">
        <v>1490</v>
      </c>
      <c r="BM347" s="429">
        <f>IF(BR347&gt;BR343,BM343,IF(BM343&lt;MiscData!$F$1,EOMONTH(BM343,1),EOMONTH(BM343,-11)))</f>
        <v>41912</v>
      </c>
      <c r="BN347" s="416" t="str">
        <f t="shared" si="243"/>
        <v>20140101KUCSR783</v>
      </c>
      <c r="BO347" s="427" t="str">
        <f t="shared" si="244"/>
        <v>20140101CSR30</v>
      </c>
      <c r="BP347" s="407">
        <f>IF(BM347&lt;=MiscData!$B$23,MiscData!$C$23,IF(BM347&lt;=MiscData!$B$24,MiscData!$C$24,MiscData!$C$25))</f>
        <v>20140101</v>
      </c>
      <c r="BQ347" s="407" t="str">
        <f>VLOOKUP(BR347,MiscData!$V$4:$W$42,2,FALSE)</f>
        <v>KUCSR783</v>
      </c>
      <c r="BR347" s="407">
        <f>IF(BR346=MiscData!$V$42,1,BR346+1)</f>
        <v>32</v>
      </c>
      <c r="BS347" s="407" t="str">
        <f>VLOOKUP(BQ347,MiscData!$W$4:$Y$42,3,FALSE)</f>
        <v>CSR30</v>
      </c>
    </row>
    <row r="348" spans="1:71" hidden="1">
      <c r="A348" s="416">
        <f t="shared" ref="A348:A381" si="279">A347+1</f>
        <v>318</v>
      </c>
      <c r="B348" s="416" t="str">
        <f t="shared" si="239"/>
        <v>Sep 2014</v>
      </c>
      <c r="C348" s="837" t="s">
        <v>675</v>
      </c>
      <c r="D348" s="417" t="str">
        <f t="shared" si="240"/>
        <v>FLST</v>
      </c>
      <c r="E348" s="417" t="str">
        <f t="shared" si="241"/>
        <v>KUINE730</v>
      </c>
      <c r="F348" s="418">
        <f t="shared" si="245"/>
        <v>1</v>
      </c>
      <c r="G348" s="467">
        <v>0</v>
      </c>
      <c r="H348" s="418">
        <v>0</v>
      </c>
      <c r="I348" s="418">
        <v>0</v>
      </c>
      <c r="J348" s="418">
        <v>0</v>
      </c>
      <c r="K348" s="418">
        <f t="shared" si="246"/>
        <v>45641536</v>
      </c>
      <c r="L348" s="481">
        <v>0</v>
      </c>
      <c r="M348" s="443">
        <f t="shared" si="247"/>
        <v>185157.6</v>
      </c>
      <c r="N348" s="443">
        <f t="shared" si="248"/>
        <v>185157.6</v>
      </c>
      <c r="O348" s="443">
        <f t="shared" si="249"/>
        <v>101387.6</v>
      </c>
      <c r="P348" s="443">
        <f t="shared" si="250"/>
        <v>185157.6</v>
      </c>
      <c r="Q348" s="443">
        <f t="shared" si="251"/>
        <v>185157.6</v>
      </c>
      <c r="R348" s="443">
        <f t="shared" si="252"/>
        <v>101387.6</v>
      </c>
      <c r="S348" s="484">
        <v>0</v>
      </c>
      <c r="T348" s="484">
        <v>0</v>
      </c>
      <c r="U348" s="484">
        <v>0</v>
      </c>
      <c r="V348" s="490">
        <v>0</v>
      </c>
      <c r="W348" s="490">
        <v>0</v>
      </c>
      <c r="X348" s="490">
        <v>0</v>
      </c>
      <c r="Y348" s="419">
        <f t="shared" si="253"/>
        <v>750</v>
      </c>
      <c r="Z348" s="420">
        <f t="shared" si="254"/>
        <v>3.261E-2</v>
      </c>
      <c r="AA348" s="420">
        <v>0</v>
      </c>
      <c r="AB348" s="420">
        <v>0</v>
      </c>
      <c r="AC348" s="420">
        <f t="shared" si="255"/>
        <v>2.8920000000000001E-2</v>
      </c>
      <c r="AD348" s="419">
        <f t="shared" si="256"/>
        <v>1.05</v>
      </c>
      <c r="AE348" s="419">
        <f t="shared" si="257"/>
        <v>1.52</v>
      </c>
      <c r="AF348" s="419">
        <f t="shared" si="258"/>
        <v>2.41</v>
      </c>
      <c r="AG348" s="454">
        <f t="shared" si="259"/>
        <v>750</v>
      </c>
      <c r="AH348" s="454">
        <f t="shared" si="234"/>
        <v>1488370.49</v>
      </c>
      <c r="AI348" s="421">
        <f t="shared" si="260"/>
        <v>194415.48</v>
      </c>
      <c r="AJ348" s="421">
        <f t="shared" si="261"/>
        <v>281439.55</v>
      </c>
      <c r="AK348" s="421">
        <f t="shared" si="262"/>
        <v>244344.12</v>
      </c>
      <c r="AL348" s="472">
        <v>0</v>
      </c>
      <c r="AM348" s="422">
        <f t="shared" si="233"/>
        <v>0</v>
      </c>
      <c r="AN348" s="423">
        <f t="shared" si="263"/>
        <v>0</v>
      </c>
      <c r="AO348" s="421">
        <f t="shared" si="264"/>
        <v>720199.15</v>
      </c>
      <c r="AP348" s="472">
        <v>0</v>
      </c>
      <c r="AQ348" s="472">
        <v>0</v>
      </c>
      <c r="AR348" s="472">
        <v>0</v>
      </c>
      <c r="AS348" s="475">
        <v>0</v>
      </c>
      <c r="AT348" s="475">
        <v>0</v>
      </c>
      <c r="AU348" s="475">
        <v>0</v>
      </c>
      <c r="AV348" s="454">
        <f t="shared" si="265"/>
        <v>2209319.64</v>
      </c>
      <c r="AW348" s="421">
        <f t="shared" si="266"/>
        <v>2209320</v>
      </c>
      <c r="AX348" s="455">
        <f t="shared" si="278"/>
        <v>1.0000001629460913</v>
      </c>
      <c r="AY348" s="424">
        <f t="shared" si="268"/>
        <v>-111567</v>
      </c>
      <c r="AZ348" s="424">
        <f t="shared" si="269"/>
        <v>0</v>
      </c>
      <c r="BA348" s="424">
        <f t="shared" si="270"/>
        <v>125612</v>
      </c>
      <c r="BB348" s="424">
        <f t="shared" si="271"/>
        <v>0</v>
      </c>
      <c r="BC348" s="424">
        <f t="shared" si="272"/>
        <v>0</v>
      </c>
      <c r="BD348" s="424">
        <f t="shared" si="273"/>
        <v>2223365</v>
      </c>
      <c r="BE348" s="452">
        <f t="shared" si="274"/>
        <v>2223364.64</v>
      </c>
      <c r="BF348" s="448">
        <f t="shared" si="275"/>
        <v>0.35999999986961484</v>
      </c>
      <c r="BG348" s="456">
        <f t="shared" si="276"/>
        <v>1319953.22</v>
      </c>
      <c r="BH348" s="457">
        <f t="shared" si="242"/>
        <v>168417.27000000002</v>
      </c>
      <c r="BI348" s="407" t="s">
        <v>1490</v>
      </c>
      <c r="BM348" s="429">
        <f>IF(BR348&gt;BR347,BM347,IF(BM347&lt;MiscData!$F$1,EOMONTH(BM347,1),EOMONTH(BM347,-11)))</f>
        <v>41912</v>
      </c>
      <c r="BN348" s="416" t="str">
        <f t="shared" si="243"/>
        <v>20140101KUINE730</v>
      </c>
      <c r="BO348" s="427" t="str">
        <f t="shared" si="244"/>
        <v>20140101FLST</v>
      </c>
      <c r="BP348" s="407">
        <f>IF(BM348&lt;=MiscData!$B$23,MiscData!$C$23,IF(BM348&lt;=MiscData!$B$24,MiscData!$C$24,MiscData!$C$25))</f>
        <v>20140101</v>
      </c>
      <c r="BQ348" s="407" t="str">
        <f>VLOOKUP(BR348,MiscData!$V$4:$W$42,2,FALSE)</f>
        <v>KUINE730</v>
      </c>
      <c r="BR348" s="407">
        <f>IF(BR347=MiscData!$V$42,1,BR347+1)</f>
        <v>33</v>
      </c>
      <c r="BS348" s="407" t="str">
        <f>VLOOKUP(BQ348,MiscData!$W$4:$Y$42,3,FALSE)</f>
        <v>FLST</v>
      </c>
    </row>
    <row r="349" spans="1:71" hidden="1">
      <c r="A349" s="416">
        <f t="shared" si="279"/>
        <v>319</v>
      </c>
      <c r="B349" s="416" t="str">
        <f t="shared" si="239"/>
        <v>Sep 2014</v>
      </c>
      <c r="C349" s="416" t="s">
        <v>15</v>
      </c>
      <c r="D349" s="417" t="str">
        <f t="shared" si="240"/>
        <v>RS</v>
      </c>
      <c r="E349" s="417" t="str">
        <f t="shared" si="241"/>
        <v>KURSE010</v>
      </c>
      <c r="F349" s="418">
        <f t="shared" si="245"/>
        <v>427399</v>
      </c>
      <c r="G349" s="467">
        <v>0</v>
      </c>
      <c r="H349" s="418">
        <v>0</v>
      </c>
      <c r="I349" s="418">
        <v>0</v>
      </c>
      <c r="J349" s="418">
        <v>0</v>
      </c>
      <c r="K349" s="418">
        <f t="shared" si="246"/>
        <v>515550083</v>
      </c>
      <c r="L349" s="481">
        <v>0</v>
      </c>
      <c r="M349" s="443">
        <f t="shared" si="247"/>
        <v>0</v>
      </c>
      <c r="N349" s="443">
        <f t="shared" si="248"/>
        <v>0</v>
      </c>
      <c r="O349" s="443">
        <f t="shared" si="249"/>
        <v>0</v>
      </c>
      <c r="P349" s="443">
        <f t="shared" si="250"/>
        <v>0</v>
      </c>
      <c r="Q349" s="443">
        <f t="shared" si="251"/>
        <v>0</v>
      </c>
      <c r="R349" s="443">
        <f t="shared" si="252"/>
        <v>0</v>
      </c>
      <c r="S349" s="484">
        <v>0</v>
      </c>
      <c r="T349" s="484">
        <v>0</v>
      </c>
      <c r="U349" s="484">
        <v>0</v>
      </c>
      <c r="V349" s="490">
        <v>0</v>
      </c>
      <c r="W349" s="490">
        <v>0</v>
      </c>
      <c r="X349" s="490">
        <v>0</v>
      </c>
      <c r="Y349" s="419">
        <f t="shared" si="253"/>
        <v>10.75</v>
      </c>
      <c r="Z349" s="420">
        <f t="shared" si="254"/>
        <v>7.7439999999999995E-2</v>
      </c>
      <c r="AA349" s="420">
        <v>0</v>
      </c>
      <c r="AB349" s="420">
        <v>0</v>
      </c>
      <c r="AC349" s="420">
        <f t="shared" si="255"/>
        <v>2.8920000000000001E-2</v>
      </c>
      <c r="AD349" s="419">
        <f t="shared" si="256"/>
        <v>0</v>
      </c>
      <c r="AE349" s="419">
        <f t="shared" si="257"/>
        <v>0</v>
      </c>
      <c r="AF349" s="419">
        <f t="shared" si="258"/>
        <v>0</v>
      </c>
      <c r="AG349" s="454">
        <f t="shared" si="259"/>
        <v>4594539.25</v>
      </c>
      <c r="AH349" s="454">
        <f t="shared" si="234"/>
        <v>39924198.43</v>
      </c>
      <c r="AI349" s="421">
        <f t="shared" si="260"/>
        <v>0</v>
      </c>
      <c r="AJ349" s="421">
        <f t="shared" si="261"/>
        <v>0</v>
      </c>
      <c r="AK349" s="421">
        <f t="shared" si="262"/>
        <v>0</v>
      </c>
      <c r="AL349" s="472">
        <v>0</v>
      </c>
      <c r="AM349" s="422">
        <f t="shared" si="233"/>
        <v>0</v>
      </c>
      <c r="AN349" s="423">
        <f t="shared" si="263"/>
        <v>0</v>
      </c>
      <c r="AO349" s="421">
        <f t="shared" si="264"/>
        <v>0</v>
      </c>
      <c r="AP349" s="472"/>
      <c r="AQ349" s="472"/>
      <c r="AR349" s="472">
        <v>0</v>
      </c>
      <c r="AS349" s="475">
        <v>0</v>
      </c>
      <c r="AT349" s="475">
        <v>0</v>
      </c>
      <c r="AU349" s="475">
        <v>0</v>
      </c>
      <c r="AV349" s="454">
        <f t="shared" si="265"/>
        <v>44518737.68</v>
      </c>
      <c r="AW349" s="421">
        <f t="shared" si="266"/>
        <v>44518734</v>
      </c>
      <c r="AX349" s="455">
        <f t="shared" si="278"/>
        <v>0.99999991733817728</v>
      </c>
      <c r="AY349" s="424">
        <f t="shared" si="268"/>
        <v>-1260217</v>
      </c>
      <c r="AZ349" s="424">
        <f t="shared" si="269"/>
        <v>1124472</v>
      </c>
      <c r="BA349" s="424">
        <f t="shared" si="270"/>
        <v>1418868</v>
      </c>
      <c r="BB349" s="424">
        <f t="shared" si="271"/>
        <v>0</v>
      </c>
      <c r="BC349" s="424">
        <f t="shared" si="272"/>
        <v>0</v>
      </c>
      <c r="BD349" s="424">
        <f t="shared" si="273"/>
        <v>45801857</v>
      </c>
      <c r="BE349" s="452">
        <f t="shared" si="274"/>
        <v>45801860.68</v>
      </c>
      <c r="BF349" s="448">
        <f t="shared" si="275"/>
        <v>-3.6799999997019768</v>
      </c>
      <c r="BG349" s="456">
        <f t="shared" si="276"/>
        <v>14909708.4</v>
      </c>
      <c r="BH349" s="457">
        <f t="shared" si="242"/>
        <v>25014490.030000001</v>
      </c>
      <c r="BI349" s="407" t="s">
        <v>1490</v>
      </c>
      <c r="BM349" s="429">
        <f>IF(BR349&gt;BR348,BM348,IF(BM348&lt;MiscData!$F$1,EOMONTH(BM348,1),EOMONTH(BM348,-11)))</f>
        <v>41912</v>
      </c>
      <c r="BN349" s="416" t="str">
        <f t="shared" si="243"/>
        <v>20140101KURSE010</v>
      </c>
      <c r="BO349" s="427" t="str">
        <f t="shared" si="244"/>
        <v>20140101RS</v>
      </c>
      <c r="BP349" s="407">
        <f>IF(BM349&lt;=MiscData!$B$23,MiscData!$C$23,IF(BM349&lt;=MiscData!$B$24,MiscData!$C$24,MiscData!$C$25))</f>
        <v>20140101</v>
      </c>
      <c r="BQ349" s="407" t="str">
        <f>VLOOKUP(BR349,MiscData!$V$4:$W$42,2,FALSE)</f>
        <v>KURSE010</v>
      </c>
      <c r="BR349" s="407">
        <f>IF(BR348=MiscData!$V$42,1,BR348+1)</f>
        <v>34</v>
      </c>
      <c r="BS349" s="407" t="str">
        <f>VLOOKUP(BQ349,MiscData!$W$4:$Y$42,3,FALSE)</f>
        <v>RS</v>
      </c>
    </row>
    <row r="350" spans="1:71" hidden="1">
      <c r="A350" s="416">
        <f t="shared" si="279"/>
        <v>320</v>
      </c>
      <c r="B350" s="416" t="str">
        <f t="shared" si="239"/>
        <v>Sep 2014</v>
      </c>
      <c r="C350" s="416" t="s">
        <v>15</v>
      </c>
      <c r="D350" s="417" t="str">
        <f t="shared" si="240"/>
        <v>RS</v>
      </c>
      <c r="E350" s="417" t="str">
        <f t="shared" si="241"/>
        <v>KURSE020</v>
      </c>
      <c r="F350" s="418">
        <f t="shared" si="245"/>
        <v>0</v>
      </c>
      <c r="G350" s="467">
        <v>0</v>
      </c>
      <c r="H350" s="418">
        <v>0</v>
      </c>
      <c r="I350" s="418">
        <v>0</v>
      </c>
      <c r="J350" s="418">
        <v>0</v>
      </c>
      <c r="K350" s="418">
        <f t="shared" si="246"/>
        <v>0</v>
      </c>
      <c r="L350" s="481">
        <v>0</v>
      </c>
      <c r="M350" s="443">
        <f t="shared" si="247"/>
        <v>0</v>
      </c>
      <c r="N350" s="443">
        <f t="shared" si="248"/>
        <v>0</v>
      </c>
      <c r="O350" s="443">
        <f t="shared" si="249"/>
        <v>0</v>
      </c>
      <c r="P350" s="443">
        <f t="shared" si="250"/>
        <v>0</v>
      </c>
      <c r="Q350" s="443">
        <f t="shared" si="251"/>
        <v>0</v>
      </c>
      <c r="R350" s="443">
        <f t="shared" si="252"/>
        <v>0</v>
      </c>
      <c r="S350" s="484">
        <v>0</v>
      </c>
      <c r="T350" s="484">
        <v>0</v>
      </c>
      <c r="U350" s="484">
        <v>0</v>
      </c>
      <c r="V350" s="490">
        <v>0</v>
      </c>
      <c r="W350" s="490">
        <v>0</v>
      </c>
      <c r="X350" s="490">
        <v>0</v>
      </c>
      <c r="Y350" s="419">
        <f t="shared" si="253"/>
        <v>10.75</v>
      </c>
      <c r="Z350" s="420">
        <f t="shared" si="254"/>
        <v>7.7439999999999995E-2</v>
      </c>
      <c r="AA350" s="420">
        <v>0</v>
      </c>
      <c r="AB350" s="420">
        <v>0</v>
      </c>
      <c r="AC350" s="420">
        <f t="shared" si="255"/>
        <v>2.8920000000000001E-2</v>
      </c>
      <c r="AD350" s="419">
        <f t="shared" si="256"/>
        <v>0</v>
      </c>
      <c r="AE350" s="419">
        <f t="shared" si="257"/>
        <v>0</v>
      </c>
      <c r="AF350" s="419">
        <f t="shared" si="258"/>
        <v>0</v>
      </c>
      <c r="AG350" s="454">
        <f t="shared" si="259"/>
        <v>0</v>
      </c>
      <c r="AH350" s="454">
        <f t="shared" si="234"/>
        <v>0</v>
      </c>
      <c r="AI350" s="421">
        <f t="shared" si="260"/>
        <v>0</v>
      </c>
      <c r="AJ350" s="421">
        <f t="shared" si="261"/>
        <v>0</v>
      </c>
      <c r="AK350" s="421">
        <f t="shared" si="262"/>
        <v>0</v>
      </c>
      <c r="AL350" s="472">
        <v>0</v>
      </c>
      <c r="AM350" s="422">
        <f t="shared" si="233"/>
        <v>0</v>
      </c>
      <c r="AN350" s="423">
        <f t="shared" si="263"/>
        <v>0</v>
      </c>
      <c r="AO350" s="421">
        <f t="shared" si="264"/>
        <v>0</v>
      </c>
      <c r="AP350" s="472"/>
      <c r="AQ350" s="472"/>
      <c r="AR350" s="472">
        <v>0</v>
      </c>
      <c r="AS350" s="475">
        <v>0</v>
      </c>
      <c r="AT350" s="475">
        <v>0</v>
      </c>
      <c r="AU350" s="475">
        <v>0</v>
      </c>
      <c r="AV350" s="454">
        <f t="shared" si="265"/>
        <v>0</v>
      </c>
      <c r="AW350" s="421">
        <f t="shared" si="266"/>
        <v>0</v>
      </c>
      <c r="AX350" s="455">
        <f t="shared" si="278"/>
        <v>1</v>
      </c>
      <c r="AY350" s="424">
        <f t="shared" si="268"/>
        <v>0</v>
      </c>
      <c r="AZ350" s="424">
        <f t="shared" si="269"/>
        <v>0</v>
      </c>
      <c r="BA350" s="424">
        <f t="shared" si="270"/>
        <v>0</v>
      </c>
      <c r="BB350" s="424">
        <f t="shared" si="271"/>
        <v>0</v>
      </c>
      <c r="BC350" s="424">
        <f t="shared" si="272"/>
        <v>0</v>
      </c>
      <c r="BD350" s="424">
        <f t="shared" si="273"/>
        <v>0</v>
      </c>
      <c r="BE350" s="452">
        <f t="shared" si="274"/>
        <v>0</v>
      </c>
      <c r="BF350" s="448">
        <f t="shared" si="275"/>
        <v>0</v>
      </c>
      <c r="BG350" s="456">
        <f t="shared" si="276"/>
        <v>0</v>
      </c>
      <c r="BH350" s="457">
        <f t="shared" si="242"/>
        <v>0</v>
      </c>
      <c r="BI350" s="407" t="s">
        <v>1490</v>
      </c>
      <c r="BM350" s="429">
        <f>IF(BR350&gt;BR349,BM349,IF(BM349&lt;MiscData!$F$1,EOMONTH(BM349,1),EOMONTH(BM349,-11)))</f>
        <v>41912</v>
      </c>
      <c r="BN350" s="416" t="str">
        <f t="shared" si="243"/>
        <v>20140101KURSE020</v>
      </c>
      <c r="BO350" s="427" t="str">
        <f t="shared" si="244"/>
        <v>20140101RS</v>
      </c>
      <c r="BP350" s="407">
        <f>IF(BM350&lt;=MiscData!$B$23,MiscData!$C$23,IF(BM350&lt;=MiscData!$B$24,MiscData!$C$24,MiscData!$C$25))</f>
        <v>20140101</v>
      </c>
      <c r="BQ350" s="407" t="str">
        <f>VLOOKUP(BR350,MiscData!$V$4:$W$42,2,FALSE)</f>
        <v>KURSE020</v>
      </c>
      <c r="BR350" s="407">
        <f>IF(BR349=MiscData!$V$42,1,BR349+1)</f>
        <v>35</v>
      </c>
      <c r="BS350" s="407" t="str">
        <f>VLOOKUP(BQ350,MiscData!$W$4:$Y$42,3,FALSE)</f>
        <v>RS</v>
      </c>
    </row>
    <row r="351" spans="1:71" hidden="1">
      <c r="A351" s="416">
        <f t="shared" si="279"/>
        <v>321</v>
      </c>
      <c r="B351" s="416" t="str">
        <f t="shared" si="239"/>
        <v>Sep 2014</v>
      </c>
      <c r="C351" s="416" t="s">
        <v>15</v>
      </c>
      <c r="D351" s="417" t="str">
        <f t="shared" si="240"/>
        <v>RS</v>
      </c>
      <c r="E351" s="417" t="str">
        <f t="shared" si="241"/>
        <v>KURSE025</v>
      </c>
      <c r="F351" s="418">
        <f t="shared" si="245"/>
        <v>0</v>
      </c>
      <c r="G351" s="467">
        <v>0</v>
      </c>
      <c r="H351" s="418">
        <v>0</v>
      </c>
      <c r="I351" s="418">
        <v>0</v>
      </c>
      <c r="J351" s="418">
        <v>0</v>
      </c>
      <c r="K351" s="418">
        <f t="shared" si="246"/>
        <v>0</v>
      </c>
      <c r="L351" s="481">
        <v>0</v>
      </c>
      <c r="M351" s="443">
        <f t="shared" si="247"/>
        <v>0</v>
      </c>
      <c r="N351" s="443">
        <f t="shared" si="248"/>
        <v>0</v>
      </c>
      <c r="O351" s="443">
        <f t="shared" si="249"/>
        <v>0</v>
      </c>
      <c r="P351" s="443">
        <f t="shared" si="250"/>
        <v>0</v>
      </c>
      <c r="Q351" s="443">
        <f t="shared" si="251"/>
        <v>0</v>
      </c>
      <c r="R351" s="443">
        <f t="shared" si="252"/>
        <v>0</v>
      </c>
      <c r="S351" s="484">
        <v>0</v>
      </c>
      <c r="T351" s="484">
        <v>0</v>
      </c>
      <c r="U351" s="484">
        <v>0</v>
      </c>
      <c r="V351" s="490">
        <v>0</v>
      </c>
      <c r="W351" s="490">
        <v>0</v>
      </c>
      <c r="X351" s="490">
        <v>0</v>
      </c>
      <c r="Y351" s="419">
        <f t="shared" si="253"/>
        <v>10.75</v>
      </c>
      <c r="Z351" s="420">
        <f t="shared" si="254"/>
        <v>7.7439999999999995E-2</v>
      </c>
      <c r="AA351" s="420">
        <v>0</v>
      </c>
      <c r="AB351" s="420">
        <v>0</v>
      </c>
      <c r="AC351" s="420">
        <f t="shared" si="255"/>
        <v>2.8920000000000001E-2</v>
      </c>
      <c r="AD351" s="419">
        <f t="shared" si="256"/>
        <v>0</v>
      </c>
      <c r="AE351" s="419">
        <f t="shared" si="257"/>
        <v>0</v>
      </c>
      <c r="AF351" s="419">
        <f t="shared" si="258"/>
        <v>0</v>
      </c>
      <c r="AG351" s="454">
        <f t="shared" si="259"/>
        <v>0</v>
      </c>
      <c r="AH351" s="454">
        <f t="shared" si="234"/>
        <v>0</v>
      </c>
      <c r="AI351" s="421">
        <f t="shared" si="260"/>
        <v>0</v>
      </c>
      <c r="AJ351" s="421">
        <f t="shared" si="261"/>
        <v>0</v>
      </c>
      <c r="AK351" s="421">
        <f t="shared" si="262"/>
        <v>0</v>
      </c>
      <c r="AL351" s="472">
        <v>0</v>
      </c>
      <c r="AM351" s="422">
        <f t="shared" ref="AM351:AM414" si="280">SUMIFS(_1022_Power_Factor_Revenue,_1022_RevenueMonth,$B351,_1022_RateCategory,$E351)</f>
        <v>0</v>
      </c>
      <c r="AN351" s="423">
        <f t="shared" si="263"/>
        <v>0</v>
      </c>
      <c r="AO351" s="421">
        <f t="shared" si="264"/>
        <v>0</v>
      </c>
      <c r="AP351" s="472"/>
      <c r="AQ351" s="472"/>
      <c r="AR351" s="472">
        <v>0</v>
      </c>
      <c r="AS351" s="475">
        <v>0</v>
      </c>
      <c r="AT351" s="475">
        <v>0</v>
      </c>
      <c r="AU351" s="475">
        <v>0</v>
      </c>
      <c r="AV351" s="454">
        <f t="shared" si="265"/>
        <v>0</v>
      </c>
      <c r="AW351" s="421">
        <f t="shared" si="266"/>
        <v>0</v>
      </c>
      <c r="AX351" s="455">
        <f t="shared" si="278"/>
        <v>1</v>
      </c>
      <c r="AY351" s="424">
        <f t="shared" si="268"/>
        <v>0</v>
      </c>
      <c r="AZ351" s="424">
        <f t="shared" si="269"/>
        <v>0</v>
      </c>
      <c r="BA351" s="424">
        <f t="shared" si="270"/>
        <v>0</v>
      </c>
      <c r="BB351" s="424">
        <f t="shared" si="271"/>
        <v>0</v>
      </c>
      <c r="BC351" s="424">
        <f t="shared" si="272"/>
        <v>0</v>
      </c>
      <c r="BD351" s="424">
        <f t="shared" si="273"/>
        <v>0</v>
      </c>
      <c r="BE351" s="452">
        <f t="shared" si="274"/>
        <v>0</v>
      </c>
      <c r="BF351" s="448">
        <f t="shared" si="275"/>
        <v>0</v>
      </c>
      <c r="BG351" s="456">
        <f t="shared" si="276"/>
        <v>0</v>
      </c>
      <c r="BH351" s="457">
        <f t="shared" si="242"/>
        <v>0</v>
      </c>
      <c r="BI351" s="407" t="s">
        <v>1490</v>
      </c>
      <c r="BM351" s="429">
        <f>IF(BR351&gt;BR350,BM350,IF(BM350&lt;MiscData!$F$1,EOMONTH(BM350,1),EOMONTH(BM350,-11)))</f>
        <v>41912</v>
      </c>
      <c r="BN351" s="416" t="str">
        <f t="shared" si="243"/>
        <v>20140101KURSE025</v>
      </c>
      <c r="BO351" s="427" t="str">
        <f t="shared" si="244"/>
        <v>20140101RS</v>
      </c>
      <c r="BP351" s="407">
        <f>IF(BM351&lt;=MiscData!$B$23,MiscData!$C$23,IF(BM351&lt;=MiscData!$B$24,MiscData!$C$24,MiscData!$C$25))</f>
        <v>20140101</v>
      </c>
      <c r="BQ351" s="407" t="str">
        <f>VLOOKUP(BR351,MiscData!$V$4:$W$42,2,FALSE)</f>
        <v>KURSE025</v>
      </c>
      <c r="BR351" s="407">
        <f>IF(BR350=MiscData!$V$42,1,BR350+1)</f>
        <v>36</v>
      </c>
      <c r="BS351" s="407" t="str">
        <f>VLOOKUP(BQ351,MiscData!$W$4:$Y$42,3,FALSE)</f>
        <v>RS</v>
      </c>
    </row>
    <row r="352" spans="1:71" hidden="1">
      <c r="A352" s="416">
        <f t="shared" si="279"/>
        <v>322</v>
      </c>
      <c r="B352" s="416" t="str">
        <f t="shared" si="239"/>
        <v>Sep 2014</v>
      </c>
      <c r="C352" s="416" t="s">
        <v>807</v>
      </c>
      <c r="D352" s="417" t="str">
        <f t="shared" si="240"/>
        <v>RSLEV</v>
      </c>
      <c r="E352" s="417" t="str">
        <f t="shared" si="241"/>
        <v>KURSE040</v>
      </c>
      <c r="F352" s="418">
        <f t="shared" si="245"/>
        <v>0</v>
      </c>
      <c r="G352" s="467">
        <v>0</v>
      </c>
      <c r="H352" s="418">
        <f>SUMIFS(_1022_KWH_P1,_1022_RevenueMonth,$B352,_1022_RateCategory,$E352)</f>
        <v>0</v>
      </c>
      <c r="I352" s="418">
        <f>SUMIFS(_1022_KWH_P2,_1022_RevenueMonth,$B352,_1022_RateCategory,$E352)</f>
        <v>0</v>
      </c>
      <c r="J352" s="418">
        <f>SUMIFS(_1022_KWH_P3,_1022_RevenueMonth,$B352,_1022_RateCategory,$E352)</f>
        <v>0</v>
      </c>
      <c r="K352" s="418">
        <f t="shared" si="246"/>
        <v>0</v>
      </c>
      <c r="L352" s="481">
        <v>0</v>
      </c>
      <c r="M352" s="443">
        <f t="shared" si="247"/>
        <v>0</v>
      </c>
      <c r="N352" s="443">
        <f t="shared" si="248"/>
        <v>0</v>
      </c>
      <c r="O352" s="443">
        <f t="shared" si="249"/>
        <v>0</v>
      </c>
      <c r="P352" s="443">
        <f t="shared" si="250"/>
        <v>0</v>
      </c>
      <c r="Q352" s="443">
        <f t="shared" si="251"/>
        <v>0</v>
      </c>
      <c r="R352" s="443">
        <f t="shared" si="252"/>
        <v>0</v>
      </c>
      <c r="S352" s="484">
        <v>0</v>
      </c>
      <c r="T352" s="484">
        <v>0</v>
      </c>
      <c r="U352" s="484">
        <v>0</v>
      </c>
      <c r="V352" s="490">
        <v>0</v>
      </c>
      <c r="W352" s="490">
        <v>0</v>
      </c>
      <c r="X352" s="490">
        <v>0</v>
      </c>
      <c r="Y352" s="419">
        <f t="shared" si="253"/>
        <v>10.75</v>
      </c>
      <c r="Z352" s="420">
        <f t="shared" si="254"/>
        <v>5.5870000000000003E-2</v>
      </c>
      <c r="AA352" s="420">
        <f>SUMIF(_Rates_Tariff_Category,$BN352,_Rates_Energy_P2)</f>
        <v>7.7630000000000005E-2</v>
      </c>
      <c r="AB352" s="420">
        <f>SUMIF(_Rates_Tariff_Category,$BN352,_Rates_Energy_P3)</f>
        <v>0.14297000000000001</v>
      </c>
      <c r="AC352" s="420">
        <f t="shared" si="255"/>
        <v>2.8920000000000001E-2</v>
      </c>
      <c r="AD352" s="419">
        <f t="shared" si="256"/>
        <v>0</v>
      </c>
      <c r="AE352" s="419">
        <f t="shared" si="257"/>
        <v>0</v>
      </c>
      <c r="AF352" s="419">
        <f t="shared" si="258"/>
        <v>0</v>
      </c>
      <c r="AG352" s="454">
        <f t="shared" si="259"/>
        <v>0</v>
      </c>
      <c r="AH352" s="454">
        <f t="shared" si="234"/>
        <v>0</v>
      </c>
      <c r="AI352" s="421">
        <f t="shared" si="260"/>
        <v>0</v>
      </c>
      <c r="AJ352" s="421">
        <f t="shared" si="261"/>
        <v>0</v>
      </c>
      <c r="AK352" s="421">
        <f t="shared" si="262"/>
        <v>0</v>
      </c>
      <c r="AL352" s="472">
        <v>0</v>
      </c>
      <c r="AM352" s="422">
        <f t="shared" si="280"/>
        <v>0</v>
      </c>
      <c r="AN352" s="423">
        <f t="shared" si="263"/>
        <v>0</v>
      </c>
      <c r="AO352" s="421">
        <f t="shared" si="264"/>
        <v>0</v>
      </c>
      <c r="AP352" s="472">
        <v>0</v>
      </c>
      <c r="AQ352" s="472">
        <v>0</v>
      </c>
      <c r="AR352" s="472">
        <v>0</v>
      </c>
      <c r="AS352" s="475">
        <v>0</v>
      </c>
      <c r="AT352" s="475">
        <v>0</v>
      </c>
      <c r="AU352" s="475">
        <v>0</v>
      </c>
      <c r="AV352" s="454">
        <f t="shared" si="265"/>
        <v>0</v>
      </c>
      <c r="AW352" s="421">
        <f t="shared" si="266"/>
        <v>0</v>
      </c>
      <c r="AX352" s="455">
        <f t="shared" si="278"/>
        <v>1</v>
      </c>
      <c r="AY352" s="424">
        <f t="shared" si="268"/>
        <v>0</v>
      </c>
      <c r="AZ352" s="424">
        <f t="shared" si="269"/>
        <v>0</v>
      </c>
      <c r="BA352" s="424">
        <f t="shared" si="270"/>
        <v>0</v>
      </c>
      <c r="BB352" s="424">
        <f t="shared" si="271"/>
        <v>0</v>
      </c>
      <c r="BC352" s="424">
        <f t="shared" si="272"/>
        <v>0</v>
      </c>
      <c r="BD352" s="424">
        <f t="shared" si="273"/>
        <v>0</v>
      </c>
      <c r="BE352" s="452">
        <f t="shared" si="274"/>
        <v>0</v>
      </c>
      <c r="BF352" s="448">
        <f t="shared" si="275"/>
        <v>0</v>
      </c>
      <c r="BG352" s="456">
        <f t="shared" si="276"/>
        <v>0</v>
      </c>
      <c r="BH352" s="457">
        <f t="shared" si="242"/>
        <v>0</v>
      </c>
      <c r="BI352" s="407" t="s">
        <v>1490</v>
      </c>
      <c r="BM352" s="429">
        <f>IF(BR352&gt;BR351,BM351,IF(BM351&lt;MiscData!$F$1,EOMONTH(BM351,1),EOMONTH(BM351,-11)))</f>
        <v>41912</v>
      </c>
      <c r="BN352" s="416" t="str">
        <f t="shared" si="243"/>
        <v>20140101KURSE040</v>
      </c>
      <c r="BO352" s="427" t="str">
        <f t="shared" si="244"/>
        <v>20140101RSLEV</v>
      </c>
      <c r="BP352" s="407">
        <f>IF(BM352&lt;=MiscData!$B$23,MiscData!$C$23,IF(BM352&lt;=MiscData!$B$24,MiscData!$C$24,MiscData!$C$25))</f>
        <v>20140101</v>
      </c>
      <c r="BQ352" s="407" t="str">
        <f>VLOOKUP(BR352,MiscData!$V$4:$W$42,2,FALSE)</f>
        <v>KURSE040</v>
      </c>
      <c r="BR352" s="407">
        <f>IF(BR351=MiscData!$V$42,1,BR351+1)</f>
        <v>37</v>
      </c>
      <c r="BS352" s="407" t="str">
        <f>VLOOKUP(BQ352,MiscData!$W$4:$Y$42,3,FALSE)</f>
        <v>RSLEV</v>
      </c>
    </row>
    <row r="353" spans="1:72" hidden="1">
      <c r="A353" s="416">
        <f t="shared" si="279"/>
        <v>323</v>
      </c>
      <c r="B353" s="416" t="str">
        <f t="shared" si="239"/>
        <v>Sep 2014</v>
      </c>
      <c r="C353" s="416" t="s">
        <v>15</v>
      </c>
      <c r="D353" s="417" t="str">
        <f t="shared" si="240"/>
        <v>RSVFD</v>
      </c>
      <c r="E353" s="417" t="str">
        <f t="shared" si="241"/>
        <v>KURSE080</v>
      </c>
      <c r="F353" s="418">
        <f t="shared" si="245"/>
        <v>0</v>
      </c>
      <c r="G353" s="467">
        <v>0</v>
      </c>
      <c r="H353" s="418">
        <v>0</v>
      </c>
      <c r="I353" s="418">
        <v>0</v>
      </c>
      <c r="J353" s="418">
        <v>0</v>
      </c>
      <c r="K353" s="418">
        <f t="shared" si="246"/>
        <v>0</v>
      </c>
      <c r="L353" s="481">
        <v>0</v>
      </c>
      <c r="M353" s="443">
        <f t="shared" si="247"/>
        <v>0</v>
      </c>
      <c r="N353" s="443">
        <f t="shared" si="248"/>
        <v>0</v>
      </c>
      <c r="O353" s="443">
        <f t="shared" si="249"/>
        <v>0</v>
      </c>
      <c r="P353" s="443">
        <f t="shared" si="250"/>
        <v>0</v>
      </c>
      <c r="Q353" s="443">
        <f t="shared" si="251"/>
        <v>0</v>
      </c>
      <c r="R353" s="443">
        <f t="shared" si="252"/>
        <v>0</v>
      </c>
      <c r="S353" s="484">
        <v>0</v>
      </c>
      <c r="T353" s="484">
        <v>0</v>
      </c>
      <c r="U353" s="484">
        <v>0</v>
      </c>
      <c r="V353" s="490">
        <v>0</v>
      </c>
      <c r="W353" s="490">
        <v>0</v>
      </c>
      <c r="X353" s="490">
        <v>0</v>
      </c>
      <c r="Y353" s="419">
        <f t="shared" si="253"/>
        <v>10.75</v>
      </c>
      <c r="Z353" s="420">
        <f t="shared" si="254"/>
        <v>7.7439999999999995E-2</v>
      </c>
      <c r="AA353" s="420">
        <v>0</v>
      </c>
      <c r="AB353" s="420">
        <v>0</v>
      </c>
      <c r="AC353" s="420">
        <f t="shared" si="255"/>
        <v>2.8920000000000001E-2</v>
      </c>
      <c r="AD353" s="419">
        <f t="shared" si="256"/>
        <v>0</v>
      </c>
      <c r="AE353" s="419">
        <f t="shared" si="257"/>
        <v>0</v>
      </c>
      <c r="AF353" s="419">
        <f t="shared" si="258"/>
        <v>0</v>
      </c>
      <c r="AG353" s="454">
        <f t="shared" si="259"/>
        <v>0</v>
      </c>
      <c r="AH353" s="454">
        <f t="shared" si="234"/>
        <v>0</v>
      </c>
      <c r="AI353" s="421">
        <f t="shared" si="260"/>
        <v>0</v>
      </c>
      <c r="AJ353" s="421">
        <f t="shared" si="261"/>
        <v>0</v>
      </c>
      <c r="AK353" s="421">
        <f t="shared" si="262"/>
        <v>0</v>
      </c>
      <c r="AL353" s="472">
        <v>0</v>
      </c>
      <c r="AM353" s="422">
        <f t="shared" si="280"/>
        <v>0</v>
      </c>
      <c r="AN353" s="423">
        <f t="shared" si="263"/>
        <v>0</v>
      </c>
      <c r="AO353" s="421">
        <f t="shared" si="264"/>
        <v>0</v>
      </c>
      <c r="AP353" s="472"/>
      <c r="AQ353" s="472"/>
      <c r="AR353" s="472">
        <v>0</v>
      </c>
      <c r="AS353" s="475">
        <v>0</v>
      </c>
      <c r="AT353" s="475">
        <v>0</v>
      </c>
      <c r="AU353" s="475">
        <v>0</v>
      </c>
      <c r="AV353" s="454">
        <f t="shared" si="265"/>
        <v>0</v>
      </c>
      <c r="AW353" s="421">
        <f t="shared" si="266"/>
        <v>0</v>
      </c>
      <c r="AX353" s="455">
        <f t="shared" si="278"/>
        <v>1</v>
      </c>
      <c r="AY353" s="424">
        <f t="shared" si="268"/>
        <v>0</v>
      </c>
      <c r="AZ353" s="424">
        <f t="shared" si="269"/>
        <v>0</v>
      </c>
      <c r="BA353" s="424">
        <f t="shared" si="270"/>
        <v>0</v>
      </c>
      <c r="BB353" s="424">
        <f t="shared" si="271"/>
        <v>0</v>
      </c>
      <c r="BC353" s="424">
        <f t="shared" si="272"/>
        <v>0</v>
      </c>
      <c r="BD353" s="424">
        <f t="shared" si="273"/>
        <v>0</v>
      </c>
      <c r="BE353" s="452">
        <f t="shared" si="274"/>
        <v>0</v>
      </c>
      <c r="BF353" s="448">
        <f t="shared" si="275"/>
        <v>0</v>
      </c>
      <c r="BG353" s="456">
        <f t="shared" si="276"/>
        <v>0</v>
      </c>
      <c r="BH353" s="457">
        <f t="shared" si="242"/>
        <v>0</v>
      </c>
      <c r="BI353" s="407" t="s">
        <v>1490</v>
      </c>
      <c r="BM353" s="429">
        <f>IF(BR353&gt;BR352,BM352,IF(BM352&lt;MiscData!$F$1,EOMONTH(BM352,1),EOMONTH(BM352,-11)))</f>
        <v>41912</v>
      </c>
      <c r="BN353" s="416" t="str">
        <f t="shared" si="243"/>
        <v>20140101KURSE080</v>
      </c>
      <c r="BO353" s="427" t="str">
        <f t="shared" si="244"/>
        <v>20140101RSVFD</v>
      </c>
      <c r="BP353" s="407">
        <f>IF(BM353&lt;=MiscData!$B$23,MiscData!$C$23,IF(BM353&lt;=MiscData!$B$24,MiscData!$C$24,MiscData!$C$25))</f>
        <v>20140101</v>
      </c>
      <c r="BQ353" s="407" t="str">
        <f>VLOOKUP(BR353,MiscData!$V$4:$W$42,2,FALSE)</f>
        <v>KURSE080</v>
      </c>
      <c r="BR353" s="407">
        <f>IF(BR352=MiscData!$V$42,1,BR352+1)</f>
        <v>38</v>
      </c>
      <c r="BS353" s="407" t="str">
        <f>VLOOKUP(BQ353,MiscData!$W$4:$Y$42,3,FALSE)</f>
        <v>RSVFD</v>
      </c>
    </row>
    <row r="354" spans="1:72" s="486" customFormat="1" hidden="1">
      <c r="A354" s="464">
        <f t="shared" si="279"/>
        <v>324</v>
      </c>
      <c r="B354" s="464" t="str">
        <f t="shared" si="239"/>
        <v>Sep 2014</v>
      </c>
      <c r="C354" s="464" t="s">
        <v>15</v>
      </c>
      <c r="D354" s="465" t="str">
        <f t="shared" si="240"/>
        <v>RS</v>
      </c>
      <c r="E354" s="465" t="str">
        <f t="shared" si="241"/>
        <v>KURSE715</v>
      </c>
      <c r="F354" s="466">
        <f t="shared" si="245"/>
        <v>0</v>
      </c>
      <c r="G354" s="467">
        <v>0</v>
      </c>
      <c r="H354" s="466">
        <v>0</v>
      </c>
      <c r="I354" s="466">
        <v>0</v>
      </c>
      <c r="J354" s="466">
        <v>0</v>
      </c>
      <c r="K354" s="466">
        <f t="shared" si="246"/>
        <v>0</v>
      </c>
      <c r="L354" s="481">
        <v>0</v>
      </c>
      <c r="M354" s="469">
        <f t="shared" si="247"/>
        <v>0</v>
      </c>
      <c r="N354" s="469">
        <f t="shared" si="248"/>
        <v>0</v>
      </c>
      <c r="O354" s="469">
        <f t="shared" si="249"/>
        <v>0</v>
      </c>
      <c r="P354" s="469">
        <f t="shared" si="250"/>
        <v>0</v>
      </c>
      <c r="Q354" s="469">
        <f t="shared" si="251"/>
        <v>0</v>
      </c>
      <c r="R354" s="469">
        <f t="shared" si="252"/>
        <v>0</v>
      </c>
      <c r="S354" s="484">
        <v>0</v>
      </c>
      <c r="T354" s="484">
        <v>0</v>
      </c>
      <c r="U354" s="484">
        <v>0</v>
      </c>
      <c r="V354" s="490">
        <v>0</v>
      </c>
      <c r="W354" s="490">
        <v>0</v>
      </c>
      <c r="X354" s="490">
        <v>0</v>
      </c>
      <c r="Y354" s="470">
        <f t="shared" si="253"/>
        <v>10.75</v>
      </c>
      <c r="Z354" s="471">
        <f t="shared" si="254"/>
        <v>7.7439999999999995E-2</v>
      </c>
      <c r="AA354" s="471">
        <v>0</v>
      </c>
      <c r="AB354" s="471">
        <v>0</v>
      </c>
      <c r="AC354" s="471">
        <f t="shared" si="255"/>
        <v>2.8920000000000001E-2</v>
      </c>
      <c r="AD354" s="470">
        <f t="shared" si="256"/>
        <v>0</v>
      </c>
      <c r="AE354" s="470">
        <f t="shared" si="257"/>
        <v>0</v>
      </c>
      <c r="AF354" s="470">
        <f t="shared" si="258"/>
        <v>0</v>
      </c>
      <c r="AG354" s="454">
        <f t="shared" si="259"/>
        <v>0</v>
      </c>
      <c r="AH354" s="454">
        <f t="shared" si="234"/>
        <v>0</v>
      </c>
      <c r="AI354" s="454">
        <f t="shared" si="260"/>
        <v>0</v>
      </c>
      <c r="AJ354" s="454">
        <f t="shared" si="261"/>
        <v>0</v>
      </c>
      <c r="AK354" s="454">
        <f t="shared" si="262"/>
        <v>0</v>
      </c>
      <c r="AL354" s="472">
        <v>0</v>
      </c>
      <c r="AM354" s="473">
        <f t="shared" si="280"/>
        <v>0</v>
      </c>
      <c r="AN354" s="474">
        <f t="shared" si="263"/>
        <v>0</v>
      </c>
      <c r="AO354" s="454">
        <f t="shared" si="264"/>
        <v>0</v>
      </c>
      <c r="AP354" s="472"/>
      <c r="AQ354" s="472"/>
      <c r="AR354" s="472">
        <v>0</v>
      </c>
      <c r="AS354" s="475">
        <v>0</v>
      </c>
      <c r="AT354" s="475">
        <v>0</v>
      </c>
      <c r="AU354" s="475">
        <v>0</v>
      </c>
      <c r="AV354" s="454">
        <f t="shared" si="265"/>
        <v>0</v>
      </c>
      <c r="AW354" s="454">
        <f t="shared" si="266"/>
        <v>0</v>
      </c>
      <c r="AX354" s="455">
        <f t="shared" si="278"/>
        <v>1</v>
      </c>
      <c r="AY354" s="476">
        <f t="shared" si="268"/>
        <v>0</v>
      </c>
      <c r="AZ354" s="476">
        <f t="shared" si="269"/>
        <v>0</v>
      </c>
      <c r="BA354" s="476">
        <f t="shared" si="270"/>
        <v>0</v>
      </c>
      <c r="BB354" s="476">
        <f t="shared" si="271"/>
        <v>0</v>
      </c>
      <c r="BC354" s="476">
        <f t="shared" si="272"/>
        <v>0</v>
      </c>
      <c r="BD354" s="476">
        <f t="shared" si="273"/>
        <v>0</v>
      </c>
      <c r="BE354" s="477">
        <f t="shared" si="274"/>
        <v>0</v>
      </c>
      <c r="BF354" s="478">
        <f t="shared" si="275"/>
        <v>0</v>
      </c>
      <c r="BG354" s="479">
        <f t="shared" si="276"/>
        <v>0</v>
      </c>
      <c r="BH354" s="485">
        <f t="shared" si="242"/>
        <v>0</v>
      </c>
      <c r="BI354" s="407" t="s">
        <v>1490</v>
      </c>
      <c r="BM354" s="487">
        <f>IF(BR354&gt;BR353,BM353,IF(BM353&lt;MiscData!$F$1,EOMONTH(BM353,1),EOMONTH(BM353,-11)))</f>
        <v>41912</v>
      </c>
      <c r="BN354" s="464" t="str">
        <f t="shared" si="243"/>
        <v>20140101KURSE715</v>
      </c>
      <c r="BO354" s="488" t="str">
        <f t="shared" si="244"/>
        <v>20140101RS</v>
      </c>
      <c r="BP354" s="486">
        <f>IF(BM354&lt;=MiscData!$B$23,MiscData!$C$23,IF(BM354&lt;=MiscData!$B$24,MiscData!$C$24,MiscData!$C$25))</f>
        <v>20140101</v>
      </c>
      <c r="BQ354" s="486" t="str">
        <f>VLOOKUP(BR354,MiscData!$V$4:$W$42,2,FALSE)</f>
        <v>KURSE715</v>
      </c>
      <c r="BR354" s="407">
        <f>IF(BR353=MiscData!$V$42,1,BR353+1)</f>
        <v>39</v>
      </c>
      <c r="BS354" s="486" t="str">
        <f>VLOOKUP(BQ354,MiscData!$W$4:$Y$42,3,FALSE)</f>
        <v>RS</v>
      </c>
      <c r="BT354" s="771"/>
    </row>
    <row r="355" spans="1:72" hidden="1">
      <c r="A355" s="416">
        <f t="shared" si="279"/>
        <v>325</v>
      </c>
      <c r="B355" s="416" t="str">
        <f t="shared" si="239"/>
        <v>Oct 2014</v>
      </c>
      <c r="C355" s="416" t="s">
        <v>19</v>
      </c>
      <c r="D355" s="417" t="str">
        <f t="shared" si="240"/>
        <v>RTS</v>
      </c>
      <c r="E355" s="417" t="str">
        <f t="shared" si="241"/>
        <v>KUCIE550</v>
      </c>
      <c r="F355" s="418">
        <f t="shared" si="245"/>
        <v>32</v>
      </c>
      <c r="G355" s="467">
        <v>0</v>
      </c>
      <c r="H355" s="418">
        <v>0</v>
      </c>
      <c r="I355" s="418">
        <v>0</v>
      </c>
      <c r="J355" s="418">
        <v>0</v>
      </c>
      <c r="K355" s="418">
        <f t="shared" si="246"/>
        <v>126631031</v>
      </c>
      <c r="L355" s="481">
        <v>0</v>
      </c>
      <c r="M355" s="443">
        <f t="shared" si="247"/>
        <v>286592.09000000003</v>
      </c>
      <c r="N355" s="443">
        <f t="shared" si="248"/>
        <v>276811.53000000003</v>
      </c>
      <c r="O355" s="443">
        <f t="shared" si="249"/>
        <v>272775.56</v>
      </c>
      <c r="P355" s="443">
        <f t="shared" si="250"/>
        <v>286592.09000000003</v>
      </c>
      <c r="Q355" s="443">
        <f t="shared" si="251"/>
        <v>276811.53000000003</v>
      </c>
      <c r="R355" s="443">
        <f t="shared" si="252"/>
        <v>272775.56</v>
      </c>
      <c r="S355" s="484"/>
      <c r="T355" s="484"/>
      <c r="U355" s="484"/>
      <c r="V355" s="490">
        <v>0</v>
      </c>
      <c r="W355" s="490">
        <v>0</v>
      </c>
      <c r="X355" s="490">
        <v>0</v>
      </c>
      <c r="Y355" s="419">
        <f t="shared" si="253"/>
        <v>750</v>
      </c>
      <c r="Z355" s="420">
        <f t="shared" si="254"/>
        <v>3.6339999999999997E-2</v>
      </c>
      <c r="AA355" s="420">
        <v>0</v>
      </c>
      <c r="AB355" s="420">
        <v>0</v>
      </c>
      <c r="AC355" s="420">
        <f t="shared" si="255"/>
        <v>2.8920000000000001E-2</v>
      </c>
      <c r="AD355" s="419">
        <f t="shared" si="256"/>
        <v>1.34</v>
      </c>
      <c r="AE355" s="419">
        <f t="shared" si="257"/>
        <v>2.87</v>
      </c>
      <c r="AF355" s="419">
        <f t="shared" si="258"/>
        <v>3.97</v>
      </c>
      <c r="AG355" s="454">
        <f t="shared" si="259"/>
        <v>24000</v>
      </c>
      <c r="AH355" s="454">
        <f t="shared" si="234"/>
        <v>4601771.67</v>
      </c>
      <c r="AI355" s="421">
        <f t="shared" si="260"/>
        <v>384033.4</v>
      </c>
      <c r="AJ355" s="421">
        <f t="shared" si="261"/>
        <v>794449.09</v>
      </c>
      <c r="AK355" s="421">
        <f t="shared" si="262"/>
        <v>1082918.97</v>
      </c>
      <c r="AL355" s="472">
        <v>0</v>
      </c>
      <c r="AM355" s="422">
        <f t="shared" si="280"/>
        <v>0</v>
      </c>
      <c r="AN355" s="423">
        <f t="shared" si="263"/>
        <v>0</v>
      </c>
      <c r="AO355" s="421">
        <f t="shared" si="264"/>
        <v>2261401.46</v>
      </c>
      <c r="AP355" s="472">
        <v>0</v>
      </c>
      <c r="AQ355" s="472">
        <v>0</v>
      </c>
      <c r="AR355" s="472"/>
      <c r="AS355" s="475">
        <v>0</v>
      </c>
      <c r="AT355" s="475">
        <v>0</v>
      </c>
      <c r="AU355" s="475">
        <v>0</v>
      </c>
      <c r="AV355" s="454">
        <f t="shared" si="265"/>
        <v>6887173.1299999999</v>
      </c>
      <c r="AW355" s="421">
        <f t="shared" si="266"/>
        <v>6887173</v>
      </c>
      <c r="AX355" s="455">
        <f t="shared" ref="AX355:AX363" si="281">IF(AND(AV355=0,AW355=0),1,IF(AV355=0,0,AW355/AV355))</f>
        <v>0.99999998112433108</v>
      </c>
      <c r="AY355" s="424">
        <f t="shared" si="268"/>
        <v>97442</v>
      </c>
      <c r="AZ355" s="424">
        <f t="shared" si="269"/>
        <v>0</v>
      </c>
      <c r="BA355" s="424">
        <f t="shared" si="270"/>
        <v>474134</v>
      </c>
      <c r="BB355" s="424">
        <f t="shared" si="271"/>
        <v>0</v>
      </c>
      <c r="BC355" s="424">
        <f t="shared" si="272"/>
        <v>0</v>
      </c>
      <c r="BD355" s="424">
        <f t="shared" si="273"/>
        <v>7458749</v>
      </c>
      <c r="BE355" s="452">
        <f t="shared" si="274"/>
        <v>7458749.1299999999</v>
      </c>
      <c r="BF355" s="448">
        <f t="shared" si="275"/>
        <v>-0.12999999988824129</v>
      </c>
      <c r="BG355" s="456">
        <f t="shared" si="276"/>
        <v>3662169.42</v>
      </c>
      <c r="BH355" s="457">
        <f t="shared" si="242"/>
        <v>939602.25</v>
      </c>
      <c r="BI355" s="407" t="s">
        <v>1490</v>
      </c>
      <c r="BM355" s="429">
        <f>IF(BR355&gt;BR354,BM354,IF(BM354&lt;MiscData!$F$1,EOMONTH(BM354,1),EOMONTH(BM354,-11)))</f>
        <v>41943</v>
      </c>
      <c r="BN355" s="416" t="str">
        <f t="shared" si="243"/>
        <v>20140101KUCIE550</v>
      </c>
      <c r="BO355" s="427" t="str">
        <f t="shared" si="244"/>
        <v>20140101RTS</v>
      </c>
      <c r="BP355" s="407">
        <f>IF(BM355&lt;=MiscData!$B$23,MiscData!$C$23,IF(BM355&lt;=MiscData!$B$24,MiscData!$C$24,MiscData!$C$25))</f>
        <v>20140101</v>
      </c>
      <c r="BQ355" s="407" t="str">
        <f>VLOOKUP(BR355,MiscData!$V$4:$W$42,2,FALSE)</f>
        <v>KUCIE550</v>
      </c>
      <c r="BR355" s="407">
        <f>IF(BR354=MiscData!$V$42,1,BR354+1)</f>
        <v>1</v>
      </c>
      <c r="BS355" s="407" t="str">
        <f>VLOOKUP(BQ355,MiscData!$W$4:$Y$42,3,FALSE)</f>
        <v>RTS</v>
      </c>
    </row>
    <row r="356" spans="1:72">
      <c r="A356" s="416">
        <f t="shared" si="279"/>
        <v>326</v>
      </c>
      <c r="B356" s="416" t="str">
        <f t="shared" si="239"/>
        <v>Oct 2014</v>
      </c>
      <c r="C356" s="416" t="s">
        <v>26</v>
      </c>
      <c r="D356" s="417" t="str">
        <f t="shared" si="240"/>
        <v>PSP</v>
      </c>
      <c r="E356" s="417" t="str">
        <f t="shared" si="241"/>
        <v>KUCIE561</v>
      </c>
      <c r="F356" s="418">
        <f t="shared" si="245"/>
        <v>217</v>
      </c>
      <c r="G356" s="467"/>
      <c r="H356" s="418">
        <v>0</v>
      </c>
      <c r="I356" s="418">
        <v>0</v>
      </c>
      <c r="J356" s="418">
        <v>0</v>
      </c>
      <c r="K356" s="418">
        <f t="shared" si="246"/>
        <v>19115050</v>
      </c>
      <c r="L356" s="459">
        <v>0</v>
      </c>
      <c r="M356" s="443">
        <f t="shared" si="247"/>
        <v>0</v>
      </c>
      <c r="N356" s="443">
        <f t="shared" si="248"/>
        <v>54973.94</v>
      </c>
      <c r="O356" s="443">
        <f t="shared" si="249"/>
        <v>0</v>
      </c>
      <c r="P356" s="443">
        <f t="shared" si="250"/>
        <v>0</v>
      </c>
      <c r="Q356" s="443">
        <f t="shared" si="251"/>
        <v>54973.94</v>
      </c>
      <c r="R356" s="443">
        <f t="shared" si="252"/>
        <v>0</v>
      </c>
      <c r="S356" s="484"/>
      <c r="T356" s="484"/>
      <c r="U356" s="484"/>
      <c r="V356" s="490">
        <v>0</v>
      </c>
      <c r="W356" s="490">
        <v>0</v>
      </c>
      <c r="X356" s="490">
        <v>0</v>
      </c>
      <c r="Y356" s="419">
        <f t="shared" si="253"/>
        <v>170</v>
      </c>
      <c r="Z356" s="420">
        <f t="shared" si="254"/>
        <v>3.5619999999999999E-2</v>
      </c>
      <c r="AA356" s="420">
        <v>0</v>
      </c>
      <c r="AB356" s="420">
        <v>0</v>
      </c>
      <c r="AC356" s="420">
        <f t="shared" si="255"/>
        <v>2.8920000000000001E-2</v>
      </c>
      <c r="AD356" s="419">
        <f t="shared" si="256"/>
        <v>0</v>
      </c>
      <c r="AE356" s="419">
        <f t="shared" si="257"/>
        <v>13.18</v>
      </c>
      <c r="AF356" s="419">
        <f t="shared" si="258"/>
        <v>15.28</v>
      </c>
      <c r="AG356" s="454">
        <f t="shared" si="259"/>
        <v>36890</v>
      </c>
      <c r="AH356" s="454">
        <f t="shared" ref="AH356:AH419" si="282">ROUND(IF(H356=0,(K356+L356)*Z356,SUMPRODUCT(H356:J356,Z356:AB356)),2)</f>
        <v>680878.07999999996</v>
      </c>
      <c r="AI356" s="421">
        <f t="shared" si="260"/>
        <v>0</v>
      </c>
      <c r="AJ356" s="421">
        <f t="shared" si="261"/>
        <v>724556.53</v>
      </c>
      <c r="AK356" s="421">
        <f t="shared" si="262"/>
        <v>0</v>
      </c>
      <c r="AL356" s="472">
        <v>0</v>
      </c>
      <c r="AM356" s="422">
        <f t="shared" si="280"/>
        <v>0</v>
      </c>
      <c r="AN356" s="423">
        <f t="shared" si="263"/>
        <v>0</v>
      </c>
      <c r="AO356" s="421">
        <f t="shared" si="264"/>
        <v>724556.53</v>
      </c>
      <c r="AP356" s="472"/>
      <c r="AQ356" s="472"/>
      <c r="AR356" s="472"/>
      <c r="AS356" s="475">
        <v>0</v>
      </c>
      <c r="AT356" s="475">
        <v>0</v>
      </c>
      <c r="AU356" s="475">
        <v>0</v>
      </c>
      <c r="AV356" s="454">
        <f t="shared" si="265"/>
        <v>1442324.6099999999</v>
      </c>
      <c r="AW356" s="421">
        <f t="shared" si="266"/>
        <v>1442325</v>
      </c>
      <c r="AX356" s="455">
        <f t="shared" si="281"/>
        <v>1.0000002703968285</v>
      </c>
      <c r="AY356" s="424">
        <f t="shared" si="268"/>
        <v>14709</v>
      </c>
      <c r="AZ356" s="424">
        <f t="shared" si="269"/>
        <v>32567</v>
      </c>
      <c r="BA356" s="424">
        <f t="shared" si="270"/>
        <v>71571</v>
      </c>
      <c r="BB356" s="424">
        <f t="shared" si="271"/>
        <v>0</v>
      </c>
      <c r="BC356" s="424">
        <f t="shared" si="272"/>
        <v>0</v>
      </c>
      <c r="BD356" s="424">
        <f t="shared" si="273"/>
        <v>1561172</v>
      </c>
      <c r="BE356" s="452">
        <f t="shared" si="274"/>
        <v>1561171.6099999999</v>
      </c>
      <c r="BF356" s="448">
        <f t="shared" si="275"/>
        <v>0.39000000013038516</v>
      </c>
      <c r="BG356" s="456">
        <f t="shared" si="276"/>
        <v>552807.25</v>
      </c>
      <c r="BH356" s="457">
        <f t="shared" si="242"/>
        <v>128070.82999999996</v>
      </c>
      <c r="BI356" s="407" t="s">
        <v>1490</v>
      </c>
      <c r="BM356" s="429">
        <f>IF(BR356&gt;BR355,BM355,IF(BM355&lt;MiscData!$F$1,EOMONTH(BM355,1),EOMONTH(BM355,-11)))</f>
        <v>41943</v>
      </c>
      <c r="BN356" s="416" t="str">
        <f t="shared" si="243"/>
        <v>20140101KUCIE561</v>
      </c>
      <c r="BO356" s="427" t="str">
        <f t="shared" si="244"/>
        <v>20140101PSP</v>
      </c>
      <c r="BP356" s="407">
        <f>IF(BM356&lt;=MiscData!$B$23,MiscData!$C$23,IF(BM356&lt;=MiscData!$B$24,MiscData!$C$24,MiscData!$C$25))</f>
        <v>20140101</v>
      </c>
      <c r="BQ356" s="407" t="str">
        <f>VLOOKUP(BR356,MiscData!$V$4:$W$42,2,FALSE)</f>
        <v>KUCIE561</v>
      </c>
      <c r="BR356" s="407">
        <f>IF(BR355=MiscData!$V$42,1,BR355+1)</f>
        <v>2</v>
      </c>
      <c r="BS356" s="407" t="str">
        <f>VLOOKUP(BQ356,MiscData!$W$4:$Y$42,3,FALSE)</f>
        <v>PSP</v>
      </c>
    </row>
    <row r="357" spans="1:72" hidden="1">
      <c r="A357" s="416">
        <f t="shared" si="279"/>
        <v>327</v>
      </c>
      <c r="B357" s="416" t="str">
        <f t="shared" si="239"/>
        <v>Oct 2014</v>
      </c>
      <c r="C357" s="416" t="s">
        <v>25</v>
      </c>
      <c r="D357" s="417" t="str">
        <f t="shared" si="240"/>
        <v>PSS</v>
      </c>
      <c r="E357" s="417" t="str">
        <f t="shared" si="241"/>
        <v>KUCIE562</v>
      </c>
      <c r="F357" s="418">
        <f t="shared" si="245"/>
        <v>4830</v>
      </c>
      <c r="G357" s="467"/>
      <c r="H357" s="418">
        <v>0</v>
      </c>
      <c r="I357" s="418">
        <v>0</v>
      </c>
      <c r="J357" s="418">
        <v>0</v>
      </c>
      <c r="K357" s="418">
        <f t="shared" si="246"/>
        <v>183801650</v>
      </c>
      <c r="L357" s="459">
        <v>0</v>
      </c>
      <c r="M357" s="443">
        <f t="shared" si="247"/>
        <v>0</v>
      </c>
      <c r="N357" s="443">
        <f t="shared" si="248"/>
        <v>596288.13</v>
      </c>
      <c r="O357" s="443">
        <f t="shared" si="249"/>
        <v>0</v>
      </c>
      <c r="P357" s="443">
        <f t="shared" si="250"/>
        <v>0</v>
      </c>
      <c r="Q357" s="443">
        <f t="shared" si="251"/>
        <v>596288.13</v>
      </c>
      <c r="R357" s="443">
        <f t="shared" si="252"/>
        <v>0</v>
      </c>
      <c r="S357" s="484"/>
      <c r="T357" s="484"/>
      <c r="U357" s="484"/>
      <c r="V357" s="490">
        <v>0</v>
      </c>
      <c r="W357" s="490">
        <v>0</v>
      </c>
      <c r="X357" s="490">
        <v>0</v>
      </c>
      <c r="Y357" s="419">
        <f t="shared" si="253"/>
        <v>90</v>
      </c>
      <c r="Z357" s="420">
        <f t="shared" si="254"/>
        <v>3.5640000000000005E-2</v>
      </c>
      <c r="AA357" s="420">
        <v>0</v>
      </c>
      <c r="AB357" s="420">
        <v>0</v>
      </c>
      <c r="AC357" s="420">
        <f t="shared" si="255"/>
        <v>2.8920000000000001E-2</v>
      </c>
      <c r="AD357" s="419">
        <f t="shared" si="256"/>
        <v>0</v>
      </c>
      <c r="AE357" s="419">
        <f t="shared" si="257"/>
        <v>13.2</v>
      </c>
      <c r="AF357" s="419">
        <f t="shared" si="258"/>
        <v>15.3</v>
      </c>
      <c r="AG357" s="454">
        <f t="shared" si="259"/>
        <v>434700</v>
      </c>
      <c r="AH357" s="454">
        <f t="shared" si="282"/>
        <v>6550690.8099999996</v>
      </c>
      <c r="AI357" s="421">
        <f t="shared" si="260"/>
        <v>0</v>
      </c>
      <c r="AJ357" s="421">
        <f t="shared" si="261"/>
        <v>7871003.3200000003</v>
      </c>
      <c r="AK357" s="421">
        <f t="shared" si="262"/>
        <v>0</v>
      </c>
      <c r="AL357" s="472">
        <v>0</v>
      </c>
      <c r="AM357" s="422">
        <f t="shared" si="280"/>
        <v>0</v>
      </c>
      <c r="AN357" s="423">
        <f t="shared" si="263"/>
        <v>0</v>
      </c>
      <c r="AO357" s="421">
        <f t="shared" si="264"/>
        <v>7871003.3200000003</v>
      </c>
      <c r="AP357" s="472"/>
      <c r="AQ357" s="472"/>
      <c r="AR357" s="472"/>
      <c r="AS357" s="475">
        <v>0</v>
      </c>
      <c r="AT357" s="475">
        <v>0</v>
      </c>
      <c r="AU357" s="475">
        <v>0</v>
      </c>
      <c r="AV357" s="454">
        <f t="shared" si="265"/>
        <v>14856394.129999999</v>
      </c>
      <c r="AW357" s="421">
        <f t="shared" si="266"/>
        <v>14856395</v>
      </c>
      <c r="AX357" s="455">
        <f t="shared" si="281"/>
        <v>1.0000000585606434</v>
      </c>
      <c r="AY357" s="424">
        <f t="shared" si="268"/>
        <v>141434</v>
      </c>
      <c r="AZ357" s="424">
        <f t="shared" si="269"/>
        <v>313150</v>
      </c>
      <c r="BA357" s="424">
        <f t="shared" si="270"/>
        <v>688194</v>
      </c>
      <c r="BB357" s="424">
        <f t="shared" si="271"/>
        <v>0</v>
      </c>
      <c r="BC357" s="424">
        <f t="shared" si="272"/>
        <v>0</v>
      </c>
      <c r="BD357" s="424">
        <f t="shared" si="273"/>
        <v>15999173</v>
      </c>
      <c r="BE357" s="452">
        <f t="shared" si="274"/>
        <v>15999172.129999999</v>
      </c>
      <c r="BF357" s="448">
        <f t="shared" si="275"/>
        <v>0.87000000104308128</v>
      </c>
      <c r="BG357" s="456">
        <f t="shared" si="276"/>
        <v>5315543.72</v>
      </c>
      <c r="BH357" s="457">
        <f t="shared" si="242"/>
        <v>1235147.0899999999</v>
      </c>
      <c r="BI357" s="407" t="s">
        <v>1490</v>
      </c>
      <c r="BM357" s="429">
        <f>IF(BR357&gt;BR356,BM356,IF(BM356&lt;MiscData!$F$1,EOMONTH(BM356,1),EOMONTH(BM356,-11)))</f>
        <v>41943</v>
      </c>
      <c r="BN357" s="416" t="str">
        <f t="shared" si="243"/>
        <v>20140101KUCIE562</v>
      </c>
      <c r="BO357" s="427" t="str">
        <f t="shared" si="244"/>
        <v>20140101PSS</v>
      </c>
      <c r="BP357" s="407">
        <f>IF(BM357&lt;=MiscData!$B$23,MiscData!$C$23,IF(BM357&lt;=MiscData!$B$24,MiscData!$C$24,MiscData!$C$25))</f>
        <v>20140101</v>
      </c>
      <c r="BQ357" s="407" t="str">
        <f>VLOOKUP(BR357,MiscData!$V$4:$W$42,2,FALSE)</f>
        <v>KUCIE562</v>
      </c>
      <c r="BR357" s="407">
        <f>IF(BR356=MiscData!$V$42,1,BR356+1)</f>
        <v>3</v>
      </c>
      <c r="BS357" s="407" t="str">
        <f>VLOOKUP(BQ357,MiscData!$W$4:$Y$42,3,FALSE)</f>
        <v>PSS</v>
      </c>
    </row>
    <row r="358" spans="1:72" hidden="1">
      <c r="A358" s="416">
        <f t="shared" si="279"/>
        <v>328</v>
      </c>
      <c r="B358" s="416" t="str">
        <f t="shared" si="239"/>
        <v>Oct 2014</v>
      </c>
      <c r="C358" s="416" t="s">
        <v>221</v>
      </c>
      <c r="D358" s="417" t="str">
        <f t="shared" si="240"/>
        <v>TODP</v>
      </c>
      <c r="E358" s="417" t="str">
        <f t="shared" si="241"/>
        <v>KUCIE563</v>
      </c>
      <c r="F358" s="418">
        <f t="shared" si="245"/>
        <v>52</v>
      </c>
      <c r="G358" s="467"/>
      <c r="H358" s="418">
        <v>0</v>
      </c>
      <c r="I358" s="418">
        <v>0</v>
      </c>
      <c r="J358" s="418">
        <v>0</v>
      </c>
      <c r="K358" s="418">
        <f t="shared" si="246"/>
        <v>245605634</v>
      </c>
      <c r="L358" s="481">
        <v>0</v>
      </c>
      <c r="M358" s="443">
        <f t="shared" si="247"/>
        <v>529837.80000000005</v>
      </c>
      <c r="N358" s="443">
        <f t="shared" si="248"/>
        <v>515177.96</v>
      </c>
      <c r="O358" s="443">
        <f t="shared" si="249"/>
        <v>498457.73</v>
      </c>
      <c r="P358" s="443">
        <f t="shared" si="250"/>
        <v>529837.80000000005</v>
      </c>
      <c r="Q358" s="443">
        <f t="shared" si="251"/>
        <v>515177.96</v>
      </c>
      <c r="R358" s="443">
        <f t="shared" si="252"/>
        <v>498457.73</v>
      </c>
      <c r="S358" s="484"/>
      <c r="T358" s="484"/>
      <c r="U358" s="484"/>
      <c r="V358" s="490">
        <v>0</v>
      </c>
      <c r="W358" s="490">
        <v>0</v>
      </c>
      <c r="X358" s="490">
        <v>0</v>
      </c>
      <c r="Y358" s="419">
        <f t="shared" si="253"/>
        <v>300</v>
      </c>
      <c r="Z358" s="420">
        <f t="shared" si="254"/>
        <v>3.7650000000000003E-2</v>
      </c>
      <c r="AA358" s="420">
        <v>0</v>
      </c>
      <c r="AB358" s="420">
        <v>0</v>
      </c>
      <c r="AC358" s="420">
        <f t="shared" si="255"/>
        <v>2.8920000000000001E-2</v>
      </c>
      <c r="AD358" s="419">
        <f t="shared" si="256"/>
        <v>1.71</v>
      </c>
      <c r="AE358" s="419">
        <f t="shared" si="257"/>
        <v>2.76</v>
      </c>
      <c r="AF358" s="419">
        <f t="shared" si="258"/>
        <v>4.26</v>
      </c>
      <c r="AG358" s="454">
        <f t="shared" si="259"/>
        <v>15600</v>
      </c>
      <c r="AH358" s="454">
        <f t="shared" si="282"/>
        <v>9247052.1199999992</v>
      </c>
      <c r="AI358" s="421">
        <f t="shared" si="260"/>
        <v>906022.64</v>
      </c>
      <c r="AJ358" s="421">
        <f t="shared" si="261"/>
        <v>1421891.17</v>
      </c>
      <c r="AK358" s="421">
        <f t="shared" si="262"/>
        <v>2123429.9300000002</v>
      </c>
      <c r="AL358" s="472">
        <v>0</v>
      </c>
      <c r="AM358" s="422">
        <f t="shared" si="280"/>
        <v>0</v>
      </c>
      <c r="AN358" s="423">
        <f t="shared" si="263"/>
        <v>0</v>
      </c>
      <c r="AO358" s="421">
        <f t="shared" si="264"/>
        <v>4451343.74</v>
      </c>
      <c r="AP358" s="472"/>
      <c r="AQ358" s="472"/>
      <c r="AR358" s="472"/>
      <c r="AS358" s="475"/>
      <c r="AT358" s="475"/>
      <c r="AU358" s="475"/>
      <c r="AV358" s="454">
        <f t="shared" si="265"/>
        <v>13713995.859999999</v>
      </c>
      <c r="AW358" s="421">
        <f t="shared" si="266"/>
        <v>13713996</v>
      </c>
      <c r="AX358" s="455">
        <f t="shared" si="281"/>
        <v>1.0000000102085491</v>
      </c>
      <c r="AY358" s="424">
        <f t="shared" si="268"/>
        <v>188992</v>
      </c>
      <c r="AZ358" s="424">
        <f t="shared" si="269"/>
        <v>418448</v>
      </c>
      <c r="BA358" s="424">
        <f t="shared" si="270"/>
        <v>919602</v>
      </c>
      <c r="BB358" s="424">
        <f t="shared" si="271"/>
        <v>0</v>
      </c>
      <c r="BC358" s="424">
        <f t="shared" si="272"/>
        <v>0</v>
      </c>
      <c r="BD358" s="424">
        <f t="shared" si="273"/>
        <v>15241038</v>
      </c>
      <c r="BE358" s="452">
        <f t="shared" si="274"/>
        <v>15241037.859999999</v>
      </c>
      <c r="BF358" s="448">
        <f t="shared" si="275"/>
        <v>0.14000000059604645</v>
      </c>
      <c r="BG358" s="456">
        <f t="shared" si="276"/>
        <v>7102914.9400000004</v>
      </c>
      <c r="BH358" s="457">
        <f t="shared" si="242"/>
        <v>2144137.1799999988</v>
      </c>
      <c r="BI358" s="407" t="s">
        <v>1490</v>
      </c>
      <c r="BM358" s="429">
        <f>IF(BR358&gt;BR357,BM357,IF(BM357&lt;MiscData!$F$1,EOMONTH(BM357,1),EOMONTH(BM357,-11)))</f>
        <v>41943</v>
      </c>
      <c r="BN358" s="416" t="str">
        <f t="shared" si="243"/>
        <v>20140101KUCIE563</v>
      </c>
      <c r="BO358" s="427" t="str">
        <f t="shared" si="244"/>
        <v>20140101TODP</v>
      </c>
      <c r="BP358" s="407">
        <f>IF(BM358&lt;=MiscData!$B$23,MiscData!$C$23,IF(BM358&lt;=MiscData!$B$24,MiscData!$C$24,MiscData!$C$25))</f>
        <v>20140101</v>
      </c>
      <c r="BQ358" s="407" t="str">
        <f>VLOOKUP(BR358,MiscData!$V$4:$W$42,2,FALSE)</f>
        <v>KUCIE563</v>
      </c>
      <c r="BR358" s="407">
        <f>IF(BR357=MiscData!$V$42,1,BR357+1)</f>
        <v>4</v>
      </c>
      <c r="BS358" s="407" t="str">
        <f>VLOOKUP(BQ358,MiscData!$W$4:$Y$42,3,FALSE)</f>
        <v>TODP</v>
      </c>
    </row>
    <row r="359" spans="1:72">
      <c r="A359" s="416">
        <f t="shared" si="279"/>
        <v>329</v>
      </c>
      <c r="B359" s="416" t="str">
        <f t="shared" si="239"/>
        <v>Oct 2014</v>
      </c>
      <c r="C359" s="416" t="s">
        <v>26</v>
      </c>
      <c r="D359" s="417" t="str">
        <f t="shared" si="240"/>
        <v>PSP</v>
      </c>
      <c r="E359" s="417" t="str">
        <f t="shared" si="241"/>
        <v>KUCIE566</v>
      </c>
      <c r="F359" s="418">
        <f t="shared" si="245"/>
        <v>0</v>
      </c>
      <c r="G359" s="467"/>
      <c r="H359" s="418">
        <v>0</v>
      </c>
      <c r="I359" s="418">
        <v>0</v>
      </c>
      <c r="J359" s="418">
        <v>0</v>
      </c>
      <c r="K359" s="418">
        <f t="shared" si="246"/>
        <v>0</v>
      </c>
      <c r="L359" s="459">
        <v>0</v>
      </c>
      <c r="M359" s="443">
        <f t="shared" si="247"/>
        <v>0</v>
      </c>
      <c r="N359" s="443">
        <f t="shared" si="248"/>
        <v>0</v>
      </c>
      <c r="O359" s="443">
        <f t="shared" si="249"/>
        <v>0</v>
      </c>
      <c r="P359" s="443">
        <f t="shared" si="250"/>
        <v>0</v>
      </c>
      <c r="Q359" s="443">
        <f t="shared" si="251"/>
        <v>0</v>
      </c>
      <c r="R359" s="443">
        <f t="shared" si="252"/>
        <v>0</v>
      </c>
      <c r="S359" s="484">
        <v>0</v>
      </c>
      <c r="T359" s="484"/>
      <c r="U359" s="484"/>
      <c r="V359" s="490">
        <v>0</v>
      </c>
      <c r="W359" s="490">
        <v>0</v>
      </c>
      <c r="X359" s="490">
        <v>0</v>
      </c>
      <c r="Y359" s="419">
        <f t="shared" si="253"/>
        <v>170</v>
      </c>
      <c r="Z359" s="420">
        <f t="shared" si="254"/>
        <v>3.5619999999999999E-2</v>
      </c>
      <c r="AA359" s="420">
        <v>0</v>
      </c>
      <c r="AB359" s="420">
        <v>0</v>
      </c>
      <c r="AC359" s="420">
        <f t="shared" si="255"/>
        <v>2.8920000000000001E-2</v>
      </c>
      <c r="AD359" s="419">
        <f t="shared" si="256"/>
        <v>0</v>
      </c>
      <c r="AE359" s="419">
        <f t="shared" si="257"/>
        <v>13.18</v>
      </c>
      <c r="AF359" s="419">
        <f t="shared" si="258"/>
        <v>15.28</v>
      </c>
      <c r="AG359" s="454">
        <f t="shared" si="259"/>
        <v>0</v>
      </c>
      <c r="AH359" s="454">
        <f t="shared" si="282"/>
        <v>0</v>
      </c>
      <c r="AI359" s="421">
        <f t="shared" si="260"/>
        <v>0</v>
      </c>
      <c r="AJ359" s="421">
        <f t="shared" si="261"/>
        <v>0</v>
      </c>
      <c r="AK359" s="421">
        <f t="shared" si="262"/>
        <v>0</v>
      </c>
      <c r="AL359" s="472">
        <v>0</v>
      </c>
      <c r="AM359" s="422">
        <f t="shared" si="280"/>
        <v>0</v>
      </c>
      <c r="AN359" s="423">
        <f t="shared" si="263"/>
        <v>0</v>
      </c>
      <c r="AO359" s="421">
        <f t="shared" si="264"/>
        <v>0</v>
      </c>
      <c r="AP359" s="472"/>
      <c r="AQ359" s="472"/>
      <c r="AR359" s="472"/>
      <c r="AS359" s="475">
        <v>0</v>
      </c>
      <c r="AT359" s="475">
        <v>0</v>
      </c>
      <c r="AU359" s="475">
        <v>0</v>
      </c>
      <c r="AV359" s="454">
        <f t="shared" si="265"/>
        <v>0</v>
      </c>
      <c r="AW359" s="421">
        <f t="shared" si="266"/>
        <v>0</v>
      </c>
      <c r="AX359" s="455">
        <f t="shared" si="281"/>
        <v>1</v>
      </c>
      <c r="AY359" s="424">
        <f t="shared" si="268"/>
        <v>0</v>
      </c>
      <c r="AZ359" s="424">
        <f t="shared" si="269"/>
        <v>0</v>
      </c>
      <c r="BA359" s="424">
        <f t="shared" si="270"/>
        <v>0</v>
      </c>
      <c r="BB359" s="424">
        <f t="shared" si="271"/>
        <v>0</v>
      </c>
      <c r="BC359" s="424">
        <f t="shared" si="272"/>
        <v>0</v>
      </c>
      <c r="BD359" s="424">
        <f t="shared" si="273"/>
        <v>0</v>
      </c>
      <c r="BE359" s="452">
        <f t="shared" si="274"/>
        <v>0</v>
      </c>
      <c r="BF359" s="448">
        <f t="shared" si="275"/>
        <v>0</v>
      </c>
      <c r="BG359" s="456">
        <f t="shared" si="276"/>
        <v>0</v>
      </c>
      <c r="BH359" s="457">
        <f t="shared" si="242"/>
        <v>0</v>
      </c>
      <c r="BI359" s="407" t="s">
        <v>1490</v>
      </c>
      <c r="BM359" s="429">
        <f>IF(BR359&gt;BR358,BM358,IF(BM358&lt;MiscData!$F$1,EOMONTH(BM358,1),EOMONTH(BM358,-11)))</f>
        <v>41943</v>
      </c>
      <c r="BN359" s="416" t="str">
        <f t="shared" si="243"/>
        <v>20140101KUCIE566</v>
      </c>
      <c r="BO359" s="427" t="str">
        <f t="shared" si="244"/>
        <v>20140101PSP</v>
      </c>
      <c r="BP359" s="407">
        <f>IF(BM359&lt;=MiscData!$B$23,MiscData!$C$23,IF(BM359&lt;=MiscData!$B$24,MiscData!$C$24,MiscData!$C$25))</f>
        <v>20140101</v>
      </c>
      <c r="BQ359" s="407" t="str">
        <f>VLOOKUP(BR359,MiscData!$V$4:$W$42,2,FALSE)</f>
        <v>KUCIE566</v>
      </c>
      <c r="BR359" s="407">
        <f>IF(BR358=MiscData!$V$42,1,BR358+1)</f>
        <v>5</v>
      </c>
      <c r="BS359" s="407" t="str">
        <f>VLOOKUP(BQ359,MiscData!$W$4:$Y$42,3,FALSE)</f>
        <v>PSP</v>
      </c>
    </row>
    <row r="360" spans="1:72" hidden="1">
      <c r="A360" s="416">
        <f t="shared" si="279"/>
        <v>330</v>
      </c>
      <c r="B360" s="416" t="str">
        <f t="shared" si="239"/>
        <v>Oct 2014</v>
      </c>
      <c r="C360" s="416" t="s">
        <v>25</v>
      </c>
      <c r="D360" s="417" t="str">
        <f t="shared" si="240"/>
        <v>PSS</v>
      </c>
      <c r="E360" s="417" t="str">
        <f t="shared" si="241"/>
        <v>KUCIE568</v>
      </c>
      <c r="F360" s="418">
        <f t="shared" si="245"/>
        <v>0</v>
      </c>
      <c r="G360" s="467"/>
      <c r="H360" s="418">
        <v>0</v>
      </c>
      <c r="I360" s="418">
        <v>0</v>
      </c>
      <c r="J360" s="418">
        <v>0</v>
      </c>
      <c r="K360" s="418">
        <f t="shared" si="246"/>
        <v>0</v>
      </c>
      <c r="L360" s="459">
        <v>0</v>
      </c>
      <c r="M360" s="443">
        <f t="shared" si="247"/>
        <v>0</v>
      </c>
      <c r="N360" s="443">
        <f t="shared" si="248"/>
        <v>0</v>
      </c>
      <c r="O360" s="443">
        <f t="shared" si="249"/>
        <v>0</v>
      </c>
      <c r="P360" s="443">
        <f t="shared" si="250"/>
        <v>0</v>
      </c>
      <c r="Q360" s="443">
        <f t="shared" si="251"/>
        <v>0</v>
      </c>
      <c r="R360" s="443">
        <f t="shared" si="252"/>
        <v>0</v>
      </c>
      <c r="S360" s="484">
        <v>0</v>
      </c>
      <c r="T360" s="484"/>
      <c r="U360" s="484">
        <v>0</v>
      </c>
      <c r="V360" s="490">
        <v>0</v>
      </c>
      <c r="W360" s="490">
        <v>0</v>
      </c>
      <c r="X360" s="490">
        <v>0</v>
      </c>
      <c r="Y360" s="419">
        <f t="shared" si="253"/>
        <v>90</v>
      </c>
      <c r="Z360" s="420">
        <f t="shared" si="254"/>
        <v>3.5640000000000005E-2</v>
      </c>
      <c r="AA360" s="420">
        <v>0</v>
      </c>
      <c r="AB360" s="420">
        <v>0</v>
      </c>
      <c r="AC360" s="420">
        <f t="shared" si="255"/>
        <v>2.8920000000000001E-2</v>
      </c>
      <c r="AD360" s="419">
        <f t="shared" si="256"/>
        <v>0</v>
      </c>
      <c r="AE360" s="419">
        <f t="shared" si="257"/>
        <v>13.2</v>
      </c>
      <c r="AF360" s="419">
        <f t="shared" si="258"/>
        <v>15.3</v>
      </c>
      <c r="AG360" s="454">
        <f t="shared" si="259"/>
        <v>0</v>
      </c>
      <c r="AH360" s="454">
        <f t="shared" si="282"/>
        <v>0</v>
      </c>
      <c r="AI360" s="421">
        <f t="shared" si="260"/>
        <v>0</v>
      </c>
      <c r="AJ360" s="421">
        <f t="shared" si="261"/>
        <v>0</v>
      </c>
      <c r="AK360" s="421">
        <f t="shared" si="262"/>
        <v>0</v>
      </c>
      <c r="AL360" s="472"/>
      <c r="AM360" s="422">
        <f t="shared" si="280"/>
        <v>0</v>
      </c>
      <c r="AN360" s="423">
        <f t="shared" si="263"/>
        <v>0</v>
      </c>
      <c r="AO360" s="421">
        <f t="shared" si="264"/>
        <v>0</v>
      </c>
      <c r="AP360" s="472"/>
      <c r="AQ360" s="472"/>
      <c r="AR360" s="472"/>
      <c r="AS360" s="475">
        <v>0</v>
      </c>
      <c r="AT360" s="475">
        <v>0</v>
      </c>
      <c r="AU360" s="475">
        <v>0</v>
      </c>
      <c r="AV360" s="454">
        <f t="shared" si="265"/>
        <v>0</v>
      </c>
      <c r="AW360" s="421">
        <f t="shared" si="266"/>
        <v>0</v>
      </c>
      <c r="AX360" s="455">
        <f t="shared" si="281"/>
        <v>1</v>
      </c>
      <c r="AY360" s="424">
        <f t="shared" si="268"/>
        <v>0</v>
      </c>
      <c r="AZ360" s="424">
        <f t="shared" si="269"/>
        <v>0</v>
      </c>
      <c r="BA360" s="424">
        <f t="shared" si="270"/>
        <v>0</v>
      </c>
      <c r="BB360" s="424">
        <f t="shared" si="271"/>
        <v>0</v>
      </c>
      <c r="BC360" s="424">
        <f t="shared" si="272"/>
        <v>0</v>
      </c>
      <c r="BD360" s="424">
        <f t="shared" si="273"/>
        <v>0</v>
      </c>
      <c r="BE360" s="452">
        <f t="shared" si="274"/>
        <v>0</v>
      </c>
      <c r="BF360" s="448">
        <f t="shared" si="275"/>
        <v>0</v>
      </c>
      <c r="BG360" s="456">
        <f t="shared" si="276"/>
        <v>0</v>
      </c>
      <c r="BH360" s="457">
        <f t="shared" si="242"/>
        <v>0</v>
      </c>
      <c r="BI360" s="407" t="s">
        <v>1490</v>
      </c>
      <c r="BM360" s="429">
        <f>IF(BR360&gt;BR359,BM359,IF(BM359&lt;MiscData!$F$1,EOMONTH(BM359,1),EOMONTH(BM359,-11)))</f>
        <v>41943</v>
      </c>
      <c r="BN360" s="416" t="str">
        <f t="shared" si="243"/>
        <v>20140101KUCIE568</v>
      </c>
      <c r="BO360" s="427" t="str">
        <f t="shared" si="244"/>
        <v>20140101PSS</v>
      </c>
      <c r="BP360" s="407">
        <f>IF(BM360&lt;=MiscData!$B$23,MiscData!$C$23,IF(BM360&lt;=MiscData!$B$24,MiscData!$C$24,MiscData!$C$25))</f>
        <v>20140101</v>
      </c>
      <c r="BQ360" s="407" t="str">
        <f>VLOOKUP(BR360,MiscData!$V$4:$W$42,2,FALSE)</f>
        <v>KUCIE568</v>
      </c>
      <c r="BR360" s="407">
        <f>IF(BR359=MiscData!$V$42,1,BR359+1)</f>
        <v>6</v>
      </c>
      <c r="BS360" s="407" t="str">
        <f>VLOOKUP(BQ360,MiscData!$W$4:$Y$42,3,FALSE)</f>
        <v>PSS</v>
      </c>
    </row>
    <row r="361" spans="1:72" hidden="1">
      <c r="A361" s="416">
        <f t="shared" si="279"/>
        <v>331</v>
      </c>
      <c r="B361" s="416" t="str">
        <f t="shared" si="239"/>
        <v>Oct 2014</v>
      </c>
      <c r="C361" s="416" t="s">
        <v>221</v>
      </c>
      <c r="D361" s="417" t="str">
        <f t="shared" si="240"/>
        <v>TODP</v>
      </c>
      <c r="E361" s="417" t="str">
        <f t="shared" si="241"/>
        <v>KUCIE571</v>
      </c>
      <c r="F361" s="418">
        <f t="shared" si="245"/>
        <v>181</v>
      </c>
      <c r="G361" s="467"/>
      <c r="H361" s="418">
        <v>0</v>
      </c>
      <c r="I361" s="418">
        <v>0</v>
      </c>
      <c r="J361" s="418">
        <v>0</v>
      </c>
      <c r="K361" s="418">
        <f t="shared" si="246"/>
        <v>102999239</v>
      </c>
      <c r="L361" s="481">
        <v>0</v>
      </c>
      <c r="M361" s="443">
        <f t="shared" si="247"/>
        <v>268584.38</v>
      </c>
      <c r="N361" s="443">
        <f t="shared" si="248"/>
        <v>258805.99</v>
      </c>
      <c r="O361" s="443">
        <f t="shared" si="249"/>
        <v>250643.39</v>
      </c>
      <c r="P361" s="443">
        <f t="shared" si="250"/>
        <v>268584.38</v>
      </c>
      <c r="Q361" s="443">
        <f t="shared" si="251"/>
        <v>258805.99</v>
      </c>
      <c r="R361" s="443">
        <f t="shared" si="252"/>
        <v>250643.39</v>
      </c>
      <c r="S361" s="484"/>
      <c r="T361" s="484"/>
      <c r="U361" s="484"/>
      <c r="V361" s="490">
        <v>0</v>
      </c>
      <c r="W361" s="490">
        <v>0</v>
      </c>
      <c r="X361" s="490">
        <v>0</v>
      </c>
      <c r="Y361" s="419">
        <f t="shared" si="253"/>
        <v>300</v>
      </c>
      <c r="Z361" s="420">
        <f t="shared" si="254"/>
        <v>3.7650000000000003E-2</v>
      </c>
      <c r="AA361" s="420">
        <v>0</v>
      </c>
      <c r="AB361" s="420">
        <v>0</v>
      </c>
      <c r="AC361" s="420">
        <f t="shared" si="255"/>
        <v>2.8920000000000001E-2</v>
      </c>
      <c r="AD361" s="419">
        <f t="shared" si="256"/>
        <v>1.71</v>
      </c>
      <c r="AE361" s="419">
        <f t="shared" si="257"/>
        <v>2.76</v>
      </c>
      <c r="AF361" s="419">
        <f t="shared" si="258"/>
        <v>4.26</v>
      </c>
      <c r="AG361" s="454">
        <f t="shared" si="259"/>
        <v>54300</v>
      </c>
      <c r="AH361" s="454">
        <f t="shared" si="282"/>
        <v>3877921.35</v>
      </c>
      <c r="AI361" s="421">
        <f t="shared" si="260"/>
        <v>459279.29</v>
      </c>
      <c r="AJ361" s="421">
        <f t="shared" si="261"/>
        <v>714304.53</v>
      </c>
      <c r="AK361" s="421">
        <f t="shared" si="262"/>
        <v>1067740.8400000001</v>
      </c>
      <c r="AL361" s="472">
        <v>0</v>
      </c>
      <c r="AM361" s="422">
        <f t="shared" si="280"/>
        <v>0</v>
      </c>
      <c r="AN361" s="423">
        <f t="shared" si="263"/>
        <v>0</v>
      </c>
      <c r="AO361" s="421">
        <f t="shared" si="264"/>
        <v>2241324.66</v>
      </c>
      <c r="AP361" s="472"/>
      <c r="AQ361" s="472"/>
      <c r="AR361" s="472"/>
      <c r="AS361" s="475"/>
      <c r="AT361" s="475"/>
      <c r="AU361" s="475"/>
      <c r="AV361" s="454">
        <f t="shared" si="265"/>
        <v>6173546.0099999998</v>
      </c>
      <c r="AW361" s="421">
        <f t="shared" si="266"/>
        <v>6173546</v>
      </c>
      <c r="AX361" s="455">
        <f t="shared" si="281"/>
        <v>0.99999999838018538</v>
      </c>
      <c r="AY361" s="424">
        <f t="shared" si="268"/>
        <v>79257</v>
      </c>
      <c r="AZ361" s="424">
        <f t="shared" si="269"/>
        <v>175484</v>
      </c>
      <c r="BA361" s="424">
        <f t="shared" si="270"/>
        <v>385652</v>
      </c>
      <c r="BB361" s="424">
        <f t="shared" si="271"/>
        <v>0</v>
      </c>
      <c r="BC361" s="424">
        <f t="shared" si="272"/>
        <v>0</v>
      </c>
      <c r="BD361" s="424">
        <f t="shared" si="273"/>
        <v>6813939</v>
      </c>
      <c r="BE361" s="452">
        <f t="shared" si="274"/>
        <v>6813939.0099999998</v>
      </c>
      <c r="BF361" s="448">
        <f t="shared" si="275"/>
        <v>-9.9999997764825821E-3</v>
      </c>
      <c r="BG361" s="456">
        <f t="shared" si="276"/>
        <v>2978737.99</v>
      </c>
      <c r="BH361" s="457">
        <f t="shared" si="242"/>
        <v>899183.35999999987</v>
      </c>
      <c r="BI361" s="407" t="s">
        <v>1490</v>
      </c>
      <c r="BM361" s="429">
        <f>IF(BR361&gt;BR360,BM360,IF(BM360&lt;MiscData!$F$1,EOMONTH(BM360,1),EOMONTH(BM360,-11)))</f>
        <v>41943</v>
      </c>
      <c r="BN361" s="416" t="str">
        <f t="shared" si="243"/>
        <v>20140101KUCIE571</v>
      </c>
      <c r="BO361" s="427" t="str">
        <f t="shared" si="244"/>
        <v>20140101TODP</v>
      </c>
      <c r="BP361" s="407">
        <f>IF(BM361&lt;=MiscData!$B$23,MiscData!$C$23,IF(BM361&lt;=MiscData!$B$24,MiscData!$C$24,MiscData!$C$25))</f>
        <v>20140101</v>
      </c>
      <c r="BQ361" s="407" t="str">
        <f>VLOOKUP(BR361,MiscData!$V$4:$W$42,2,FALSE)</f>
        <v>KUCIE571</v>
      </c>
      <c r="BR361" s="407">
        <f>IF(BR360=MiscData!$V$42,1,BR360+1)</f>
        <v>7</v>
      </c>
      <c r="BS361" s="407" t="str">
        <f>VLOOKUP(BQ361,MiscData!$W$4:$Y$42,3,FALSE)</f>
        <v>TODP</v>
      </c>
    </row>
    <row r="362" spans="1:72" hidden="1">
      <c r="A362" s="416">
        <f t="shared" si="279"/>
        <v>332</v>
      </c>
      <c r="B362" s="416" t="str">
        <f t="shared" si="239"/>
        <v>Oct 2014</v>
      </c>
      <c r="C362" s="416" t="s">
        <v>220</v>
      </c>
      <c r="D362" s="417" t="str">
        <f t="shared" si="240"/>
        <v>TODS</v>
      </c>
      <c r="E362" s="417" t="str">
        <f t="shared" si="241"/>
        <v>KUCIE572</v>
      </c>
      <c r="F362" s="418">
        <f t="shared" si="245"/>
        <v>452</v>
      </c>
      <c r="G362" s="467"/>
      <c r="H362" s="418">
        <v>0</v>
      </c>
      <c r="I362" s="418">
        <v>0</v>
      </c>
      <c r="J362" s="418">
        <v>0</v>
      </c>
      <c r="K362" s="418">
        <f t="shared" si="246"/>
        <v>118237134</v>
      </c>
      <c r="L362" s="481">
        <v>0</v>
      </c>
      <c r="M362" s="443">
        <f t="shared" si="247"/>
        <v>288421.92</v>
      </c>
      <c r="N362" s="443">
        <f t="shared" si="248"/>
        <v>262694.96000000002</v>
      </c>
      <c r="O362" s="443">
        <f t="shared" si="249"/>
        <v>256810.6</v>
      </c>
      <c r="P362" s="443">
        <f t="shared" si="250"/>
        <v>288421.92</v>
      </c>
      <c r="Q362" s="443">
        <f t="shared" si="251"/>
        <v>262694.96000000002</v>
      </c>
      <c r="R362" s="443">
        <f t="shared" si="252"/>
        <v>256810.6</v>
      </c>
      <c r="S362" s="484"/>
      <c r="T362" s="484"/>
      <c r="U362" s="484"/>
      <c r="V362" s="490">
        <v>0</v>
      </c>
      <c r="W362" s="490">
        <v>0</v>
      </c>
      <c r="X362" s="490">
        <v>0</v>
      </c>
      <c r="Y362" s="419">
        <f t="shared" si="253"/>
        <v>200</v>
      </c>
      <c r="Z362" s="420">
        <f t="shared" si="254"/>
        <v>3.773E-2</v>
      </c>
      <c r="AA362" s="420">
        <v>0</v>
      </c>
      <c r="AB362" s="420">
        <v>0</v>
      </c>
      <c r="AC362" s="420">
        <f t="shared" si="255"/>
        <v>2.8920000000000001E-2</v>
      </c>
      <c r="AD362" s="419">
        <f t="shared" si="256"/>
        <v>3.62</v>
      </c>
      <c r="AE362" s="419">
        <f t="shared" si="257"/>
        <v>2.95</v>
      </c>
      <c r="AF362" s="419">
        <f t="shared" si="258"/>
        <v>4.55</v>
      </c>
      <c r="AG362" s="454">
        <f t="shared" si="259"/>
        <v>90400</v>
      </c>
      <c r="AH362" s="454">
        <f t="shared" si="282"/>
        <v>4461087.07</v>
      </c>
      <c r="AI362" s="421">
        <f t="shared" si="260"/>
        <v>1044087.35</v>
      </c>
      <c r="AJ362" s="421">
        <f t="shared" si="261"/>
        <v>774950.13</v>
      </c>
      <c r="AK362" s="421">
        <f t="shared" si="262"/>
        <v>1168488.23</v>
      </c>
      <c r="AL362" s="472"/>
      <c r="AM362" s="422">
        <f t="shared" si="280"/>
        <v>0</v>
      </c>
      <c r="AN362" s="423">
        <f t="shared" si="263"/>
        <v>0</v>
      </c>
      <c r="AO362" s="421">
        <f t="shared" si="264"/>
        <v>2987525.71</v>
      </c>
      <c r="AP362" s="472"/>
      <c r="AQ362" s="472"/>
      <c r="AR362" s="472"/>
      <c r="AS362" s="475">
        <v>0</v>
      </c>
      <c r="AT362" s="475">
        <v>0</v>
      </c>
      <c r="AU362" s="475">
        <v>0</v>
      </c>
      <c r="AV362" s="454">
        <f t="shared" si="265"/>
        <v>7539012.7799999993</v>
      </c>
      <c r="AW362" s="421">
        <f t="shared" si="266"/>
        <v>7539013</v>
      </c>
      <c r="AX362" s="455">
        <f t="shared" si="281"/>
        <v>1.0000000291815396</v>
      </c>
      <c r="AY362" s="424">
        <f t="shared" si="268"/>
        <v>90983</v>
      </c>
      <c r="AZ362" s="424">
        <f t="shared" si="269"/>
        <v>201445</v>
      </c>
      <c r="BA362" s="424">
        <f t="shared" si="270"/>
        <v>442706</v>
      </c>
      <c r="BB362" s="424">
        <f t="shared" si="271"/>
        <v>0</v>
      </c>
      <c r="BC362" s="424">
        <f t="shared" si="272"/>
        <v>0</v>
      </c>
      <c r="BD362" s="424">
        <f t="shared" si="273"/>
        <v>8274147</v>
      </c>
      <c r="BE362" s="452">
        <f t="shared" si="274"/>
        <v>8274146.7799999993</v>
      </c>
      <c r="BF362" s="448">
        <f t="shared" si="275"/>
        <v>0.22000000067055225</v>
      </c>
      <c r="BG362" s="456">
        <f t="shared" si="276"/>
        <v>3419417.92</v>
      </c>
      <c r="BH362" s="457">
        <f t="shared" si="242"/>
        <v>1041669.1500000004</v>
      </c>
      <c r="BI362" s="407" t="s">
        <v>1490</v>
      </c>
      <c r="BM362" s="429">
        <f>IF(BR362&gt;BR361,BM361,IF(BM361&lt;MiscData!$F$1,EOMONTH(BM361,1),EOMONTH(BM361,-11)))</f>
        <v>41943</v>
      </c>
      <c r="BN362" s="416" t="str">
        <f t="shared" si="243"/>
        <v>20140101KUCIE572</v>
      </c>
      <c r="BO362" s="427" t="str">
        <f t="shared" si="244"/>
        <v>20140101TODS</v>
      </c>
      <c r="BP362" s="407">
        <f>IF(BM362&lt;=MiscData!$B$23,MiscData!$C$23,IF(BM362&lt;=MiscData!$B$24,MiscData!$C$24,MiscData!$C$25))</f>
        <v>20140101</v>
      </c>
      <c r="BQ362" s="407" t="str">
        <f>VLOOKUP(BR362,MiscData!$V$4:$W$42,2,FALSE)</f>
        <v>KUCIE572</v>
      </c>
      <c r="BR362" s="407">
        <f>IF(BR361=MiscData!$V$42,1,BR361+1)</f>
        <v>8</v>
      </c>
      <c r="BS362" s="407" t="str">
        <f>VLOOKUP(BQ362,MiscData!$W$4:$Y$42,3,FALSE)</f>
        <v>TODS</v>
      </c>
    </row>
    <row r="363" spans="1:72" hidden="1">
      <c r="A363" s="416">
        <f t="shared" si="279"/>
        <v>333</v>
      </c>
      <c r="B363" s="416" t="str">
        <f t="shared" si="239"/>
        <v>Oct 2014</v>
      </c>
      <c r="C363" s="416" t="s">
        <v>25</v>
      </c>
      <c r="D363" s="417" t="str">
        <f t="shared" si="240"/>
        <v>PSS</v>
      </c>
      <c r="E363" s="417" t="str">
        <f t="shared" si="241"/>
        <v>KUCIE717</v>
      </c>
      <c r="F363" s="418">
        <f t="shared" si="245"/>
        <v>0</v>
      </c>
      <c r="G363" s="467">
        <v>0</v>
      </c>
      <c r="H363" s="418">
        <v>0</v>
      </c>
      <c r="I363" s="418">
        <v>0</v>
      </c>
      <c r="J363" s="418">
        <v>0</v>
      </c>
      <c r="K363" s="418">
        <f t="shared" si="246"/>
        <v>0</v>
      </c>
      <c r="L363" s="459">
        <v>0</v>
      </c>
      <c r="M363" s="443">
        <f t="shared" si="247"/>
        <v>0</v>
      </c>
      <c r="N363" s="443">
        <f t="shared" si="248"/>
        <v>0</v>
      </c>
      <c r="O363" s="443">
        <f t="shared" si="249"/>
        <v>0</v>
      </c>
      <c r="P363" s="443">
        <f t="shared" si="250"/>
        <v>0</v>
      </c>
      <c r="Q363" s="443">
        <f t="shared" si="251"/>
        <v>0</v>
      </c>
      <c r="R363" s="443">
        <f t="shared" si="252"/>
        <v>0</v>
      </c>
      <c r="S363" s="484">
        <v>0</v>
      </c>
      <c r="T363" s="484">
        <v>0</v>
      </c>
      <c r="U363" s="484">
        <v>0</v>
      </c>
      <c r="V363" s="490">
        <v>0</v>
      </c>
      <c r="W363" s="490">
        <v>0</v>
      </c>
      <c r="X363" s="490">
        <v>0</v>
      </c>
      <c r="Y363" s="419">
        <f t="shared" si="253"/>
        <v>90</v>
      </c>
      <c r="Z363" s="420">
        <f t="shared" si="254"/>
        <v>3.5640000000000005E-2</v>
      </c>
      <c r="AA363" s="420">
        <v>0</v>
      </c>
      <c r="AB363" s="420">
        <v>0</v>
      </c>
      <c r="AC363" s="420">
        <f t="shared" si="255"/>
        <v>2.8920000000000001E-2</v>
      </c>
      <c r="AD363" s="419">
        <f t="shared" si="256"/>
        <v>0</v>
      </c>
      <c r="AE363" s="419">
        <f t="shared" si="257"/>
        <v>13.2</v>
      </c>
      <c r="AF363" s="419">
        <f t="shared" si="258"/>
        <v>15.3</v>
      </c>
      <c r="AG363" s="454">
        <f t="shared" si="259"/>
        <v>0</v>
      </c>
      <c r="AH363" s="454">
        <f t="shared" si="282"/>
        <v>0</v>
      </c>
      <c r="AI363" s="421">
        <f t="shared" si="260"/>
        <v>0</v>
      </c>
      <c r="AJ363" s="421">
        <f t="shared" si="261"/>
        <v>0</v>
      </c>
      <c r="AK363" s="421">
        <f t="shared" si="262"/>
        <v>0</v>
      </c>
      <c r="AL363" s="472">
        <v>0</v>
      </c>
      <c r="AM363" s="422">
        <f t="shared" si="280"/>
        <v>0</v>
      </c>
      <c r="AN363" s="423">
        <f t="shared" si="263"/>
        <v>0</v>
      </c>
      <c r="AO363" s="421">
        <f t="shared" si="264"/>
        <v>0</v>
      </c>
      <c r="AP363" s="472">
        <v>0</v>
      </c>
      <c r="AQ363" s="472">
        <v>0</v>
      </c>
      <c r="AR363" s="472">
        <v>0</v>
      </c>
      <c r="AS363" s="475">
        <v>0</v>
      </c>
      <c r="AT363" s="475">
        <v>0</v>
      </c>
      <c r="AU363" s="475">
        <v>0</v>
      </c>
      <c r="AV363" s="454">
        <f t="shared" si="265"/>
        <v>0</v>
      </c>
      <c r="AW363" s="421">
        <f t="shared" si="266"/>
        <v>0</v>
      </c>
      <c r="AX363" s="455">
        <f t="shared" si="281"/>
        <v>1</v>
      </c>
      <c r="AY363" s="424">
        <f t="shared" si="268"/>
        <v>0</v>
      </c>
      <c r="AZ363" s="424">
        <f t="shared" si="269"/>
        <v>0</v>
      </c>
      <c r="BA363" s="424">
        <f t="shared" si="270"/>
        <v>0</v>
      </c>
      <c r="BB363" s="424">
        <f t="shared" si="271"/>
        <v>0</v>
      </c>
      <c r="BC363" s="424">
        <f t="shared" si="272"/>
        <v>0</v>
      </c>
      <c r="BD363" s="424">
        <f t="shared" si="273"/>
        <v>0</v>
      </c>
      <c r="BE363" s="452">
        <f t="shared" si="274"/>
        <v>0</v>
      </c>
      <c r="BF363" s="448">
        <f t="shared" si="275"/>
        <v>0</v>
      </c>
      <c r="BG363" s="456">
        <f t="shared" si="276"/>
        <v>0</v>
      </c>
      <c r="BH363" s="457">
        <f t="shared" si="242"/>
        <v>0</v>
      </c>
      <c r="BI363" s="407" t="s">
        <v>1490</v>
      </c>
      <c r="BM363" s="429">
        <f>IF(BR363&gt;BR362,BM362,IF(BM362&lt;MiscData!$F$1,EOMONTH(BM362,1),EOMONTH(BM362,-11)))</f>
        <v>41943</v>
      </c>
      <c r="BN363" s="416" t="str">
        <f t="shared" si="243"/>
        <v>20140101KUCIE717</v>
      </c>
      <c r="BO363" s="427" t="str">
        <f t="shared" si="244"/>
        <v>20140101PSS</v>
      </c>
      <c r="BP363" s="407">
        <f>IF(BM363&lt;=MiscData!$B$23,MiscData!$C$23,IF(BM363&lt;=MiscData!$B$24,MiscData!$C$24,MiscData!$C$25))</f>
        <v>20140101</v>
      </c>
      <c r="BQ363" s="407" t="str">
        <f>VLOOKUP(BR363,MiscData!$V$4:$W$42,2,FALSE)</f>
        <v>KUCIE717</v>
      </c>
      <c r="BR363" s="407">
        <f>IF(BR362=MiscData!$V$42,1,BR362+1)</f>
        <v>9</v>
      </c>
      <c r="BS363" s="407" t="str">
        <f>VLOOKUP(BQ363,MiscData!$W$4:$Y$42,3,FALSE)</f>
        <v>PSS</v>
      </c>
    </row>
    <row r="364" spans="1:72" hidden="1">
      <c r="A364" s="416">
        <f t="shared" si="279"/>
        <v>334</v>
      </c>
      <c r="B364" s="416" t="str">
        <f t="shared" si="239"/>
        <v>Oct 2014</v>
      </c>
      <c r="C364" s="416" t="s">
        <v>224</v>
      </c>
      <c r="D364" s="417" t="str">
        <f t="shared" si="240"/>
        <v>GS</v>
      </c>
      <c r="E364" s="417" t="str">
        <f t="shared" si="241"/>
        <v>KUCME110</v>
      </c>
      <c r="F364" s="418">
        <f t="shared" si="245"/>
        <v>63421</v>
      </c>
      <c r="G364" s="467">
        <v>0</v>
      </c>
      <c r="H364" s="418">
        <v>0</v>
      </c>
      <c r="I364" s="418">
        <v>0</v>
      </c>
      <c r="J364" s="418">
        <v>0</v>
      </c>
      <c r="K364" s="418">
        <f t="shared" si="246"/>
        <v>57186337</v>
      </c>
      <c r="L364" s="481">
        <v>0</v>
      </c>
      <c r="M364" s="443">
        <f t="shared" si="247"/>
        <v>0</v>
      </c>
      <c r="N364" s="443">
        <f t="shared" si="248"/>
        <v>0</v>
      </c>
      <c r="O364" s="443">
        <f t="shared" si="249"/>
        <v>0</v>
      </c>
      <c r="P364" s="443">
        <f t="shared" si="250"/>
        <v>0</v>
      </c>
      <c r="Q364" s="443">
        <f t="shared" si="251"/>
        <v>0</v>
      </c>
      <c r="R364" s="443">
        <f t="shared" si="252"/>
        <v>0</v>
      </c>
      <c r="S364" s="484">
        <v>0</v>
      </c>
      <c r="T364" s="484">
        <v>0</v>
      </c>
      <c r="U364" s="484">
        <v>0</v>
      </c>
      <c r="V364" s="490">
        <v>0</v>
      </c>
      <c r="W364" s="490">
        <v>0</v>
      </c>
      <c r="X364" s="490">
        <v>0</v>
      </c>
      <c r="Y364" s="419">
        <f t="shared" si="253"/>
        <v>20</v>
      </c>
      <c r="Z364" s="420">
        <f t="shared" si="254"/>
        <v>9.2249999999999999E-2</v>
      </c>
      <c r="AA364" s="420">
        <v>0</v>
      </c>
      <c r="AB364" s="420">
        <v>0</v>
      </c>
      <c r="AC364" s="420">
        <f t="shared" si="255"/>
        <v>2.8920000000000001E-2</v>
      </c>
      <c r="AD364" s="419">
        <f t="shared" si="256"/>
        <v>0</v>
      </c>
      <c r="AE364" s="419">
        <f t="shared" si="257"/>
        <v>0</v>
      </c>
      <c r="AF364" s="419">
        <f t="shared" si="258"/>
        <v>0</v>
      </c>
      <c r="AG364" s="454">
        <f t="shared" si="259"/>
        <v>1268420</v>
      </c>
      <c r="AH364" s="454">
        <f t="shared" si="282"/>
        <v>5275439.59</v>
      </c>
      <c r="AI364" s="421">
        <f t="shared" si="260"/>
        <v>0</v>
      </c>
      <c r="AJ364" s="421">
        <f t="shared" si="261"/>
        <v>0</v>
      </c>
      <c r="AK364" s="421">
        <f t="shared" si="262"/>
        <v>0</v>
      </c>
      <c r="AL364" s="472">
        <v>0</v>
      </c>
      <c r="AM364" s="422">
        <f t="shared" si="280"/>
        <v>0</v>
      </c>
      <c r="AN364" s="423">
        <f t="shared" si="263"/>
        <v>0</v>
      </c>
      <c r="AO364" s="421">
        <f t="shared" si="264"/>
        <v>0</v>
      </c>
      <c r="AP364" s="472">
        <v>0</v>
      </c>
      <c r="AQ364" s="472">
        <v>0</v>
      </c>
      <c r="AR364" s="472">
        <v>0</v>
      </c>
      <c r="AS364" s="475">
        <v>0</v>
      </c>
      <c r="AT364" s="475">
        <v>0</v>
      </c>
      <c r="AU364" s="475">
        <v>0</v>
      </c>
      <c r="AV364" s="454">
        <f t="shared" si="265"/>
        <v>6543859.5899999999</v>
      </c>
      <c r="AW364" s="421">
        <f t="shared" si="266"/>
        <v>6543857</v>
      </c>
      <c r="AX364" s="455">
        <f t="shared" ref="AX364:AX373" si="283">IF(AND(AV364=0,AW364=0),1,IF(AV364=0,0,AW364/AV364))</f>
        <v>0.99999960420911171</v>
      </c>
      <c r="AY364" s="424">
        <f t="shared" si="268"/>
        <v>44005</v>
      </c>
      <c r="AZ364" s="424">
        <f t="shared" si="269"/>
        <v>97431</v>
      </c>
      <c r="BA364" s="424">
        <f t="shared" si="270"/>
        <v>214118</v>
      </c>
      <c r="BB364" s="424">
        <f t="shared" si="271"/>
        <v>0</v>
      </c>
      <c r="BC364" s="424">
        <f t="shared" si="272"/>
        <v>0</v>
      </c>
      <c r="BD364" s="424">
        <f t="shared" si="273"/>
        <v>6899411</v>
      </c>
      <c r="BE364" s="452">
        <f t="shared" si="274"/>
        <v>6899413.5899999999</v>
      </c>
      <c r="BF364" s="448">
        <f t="shared" si="275"/>
        <v>-2.5899999998509884</v>
      </c>
      <c r="BG364" s="456">
        <f t="shared" si="276"/>
        <v>1653828.87</v>
      </c>
      <c r="BH364" s="457">
        <f t="shared" si="242"/>
        <v>3621610.7199999997</v>
      </c>
      <c r="BI364" s="407" t="s">
        <v>1490</v>
      </c>
      <c r="BM364" s="429">
        <f>IF(BR364&gt;BR363,BM363,IF(BM363&lt;MiscData!$F$1,EOMONTH(BM363,1),EOMONTH(BM363,-11)))</f>
        <v>41943</v>
      </c>
      <c r="BN364" s="416" t="str">
        <f t="shared" si="243"/>
        <v>20140101KUCME110</v>
      </c>
      <c r="BO364" s="427" t="str">
        <f t="shared" si="244"/>
        <v>20140101GS</v>
      </c>
      <c r="BP364" s="407">
        <f>IF(BM364&lt;=MiscData!$B$23,MiscData!$C$23,IF(BM364&lt;=MiscData!$B$24,MiscData!$C$24,MiscData!$C$25))</f>
        <v>20140101</v>
      </c>
      <c r="BQ364" s="407" t="str">
        <f>VLOOKUP(BR364,MiscData!$V$4:$W$42,2,FALSE)</f>
        <v>KUCME110</v>
      </c>
      <c r="BR364" s="407">
        <f>IF(BR363=MiscData!$V$42,1,BR363+1)</f>
        <v>10</v>
      </c>
      <c r="BS364" s="407" t="str">
        <f>VLOOKUP(BQ364,MiscData!$W$4:$Y$42,3,FALSE)</f>
        <v>GS</v>
      </c>
    </row>
    <row r="365" spans="1:72" hidden="1">
      <c r="A365" s="416">
        <f t="shared" si="279"/>
        <v>335</v>
      </c>
      <c r="B365" s="416" t="str">
        <f t="shared" si="239"/>
        <v>Oct 2014</v>
      </c>
      <c r="C365" s="416" t="s">
        <v>224</v>
      </c>
      <c r="D365" s="417" t="str">
        <f t="shared" si="240"/>
        <v>GS</v>
      </c>
      <c r="E365" s="417" t="str">
        <f t="shared" si="241"/>
        <v>KUCME112</v>
      </c>
      <c r="F365" s="418">
        <f t="shared" si="245"/>
        <v>0</v>
      </c>
      <c r="G365" s="467">
        <v>0</v>
      </c>
      <c r="H365" s="418">
        <v>0</v>
      </c>
      <c r="I365" s="418">
        <v>0</v>
      </c>
      <c r="J365" s="418">
        <v>0</v>
      </c>
      <c r="K365" s="418">
        <f t="shared" si="246"/>
        <v>0</v>
      </c>
      <c r="L365" s="481">
        <v>0</v>
      </c>
      <c r="M365" s="443">
        <f t="shared" si="247"/>
        <v>0</v>
      </c>
      <c r="N365" s="443">
        <f t="shared" si="248"/>
        <v>0</v>
      </c>
      <c r="O365" s="443">
        <f t="shared" si="249"/>
        <v>0</v>
      </c>
      <c r="P365" s="443">
        <f t="shared" si="250"/>
        <v>0</v>
      </c>
      <c r="Q365" s="443">
        <f t="shared" si="251"/>
        <v>0</v>
      </c>
      <c r="R365" s="443">
        <f t="shared" si="252"/>
        <v>0</v>
      </c>
      <c r="S365" s="484">
        <v>0</v>
      </c>
      <c r="T365" s="484">
        <v>0</v>
      </c>
      <c r="U365" s="484">
        <v>0</v>
      </c>
      <c r="V365" s="490">
        <v>0</v>
      </c>
      <c r="W365" s="490">
        <v>0</v>
      </c>
      <c r="X365" s="490">
        <v>0</v>
      </c>
      <c r="Y365" s="419">
        <f t="shared" si="253"/>
        <v>20</v>
      </c>
      <c r="Z365" s="420">
        <f t="shared" si="254"/>
        <v>9.2249999999999999E-2</v>
      </c>
      <c r="AA365" s="420">
        <v>0</v>
      </c>
      <c r="AB365" s="420">
        <v>0</v>
      </c>
      <c r="AC365" s="420">
        <f t="shared" si="255"/>
        <v>2.8920000000000001E-2</v>
      </c>
      <c r="AD365" s="419">
        <f t="shared" si="256"/>
        <v>0</v>
      </c>
      <c r="AE365" s="419">
        <f t="shared" si="257"/>
        <v>0</v>
      </c>
      <c r="AF365" s="419">
        <f t="shared" si="258"/>
        <v>0</v>
      </c>
      <c r="AG365" s="454">
        <f t="shared" si="259"/>
        <v>0</v>
      </c>
      <c r="AH365" s="454">
        <f t="shared" si="282"/>
        <v>0</v>
      </c>
      <c r="AI365" s="421">
        <f t="shared" si="260"/>
        <v>0</v>
      </c>
      <c r="AJ365" s="421">
        <f t="shared" si="261"/>
        <v>0</v>
      </c>
      <c r="AK365" s="421">
        <f t="shared" si="262"/>
        <v>0</v>
      </c>
      <c r="AL365" s="472">
        <v>0</v>
      </c>
      <c r="AM365" s="422">
        <f t="shared" si="280"/>
        <v>0</v>
      </c>
      <c r="AN365" s="423">
        <f t="shared" si="263"/>
        <v>0</v>
      </c>
      <c r="AO365" s="421">
        <f t="shared" si="264"/>
        <v>0</v>
      </c>
      <c r="AP365" s="472">
        <v>0</v>
      </c>
      <c r="AQ365" s="472">
        <v>0</v>
      </c>
      <c r="AR365" s="472">
        <v>0</v>
      </c>
      <c r="AS365" s="475">
        <v>0</v>
      </c>
      <c r="AT365" s="475">
        <v>0</v>
      </c>
      <c r="AU365" s="475">
        <v>0</v>
      </c>
      <c r="AV365" s="454">
        <f t="shared" si="265"/>
        <v>0</v>
      </c>
      <c r="AW365" s="421">
        <f t="shared" si="266"/>
        <v>0</v>
      </c>
      <c r="AX365" s="455">
        <f t="shared" si="283"/>
        <v>1</v>
      </c>
      <c r="AY365" s="424">
        <f t="shared" si="268"/>
        <v>0</v>
      </c>
      <c r="AZ365" s="424">
        <f t="shared" si="269"/>
        <v>0</v>
      </c>
      <c r="BA365" s="424">
        <f t="shared" si="270"/>
        <v>0</v>
      </c>
      <c r="BB365" s="424">
        <f t="shared" si="271"/>
        <v>0</v>
      </c>
      <c r="BC365" s="424">
        <f t="shared" si="272"/>
        <v>0</v>
      </c>
      <c r="BD365" s="424">
        <f t="shared" si="273"/>
        <v>0</v>
      </c>
      <c r="BE365" s="452">
        <f t="shared" si="274"/>
        <v>0</v>
      </c>
      <c r="BF365" s="448">
        <f t="shared" si="275"/>
        <v>0</v>
      </c>
      <c r="BG365" s="456">
        <f t="shared" si="276"/>
        <v>0</v>
      </c>
      <c r="BH365" s="457">
        <f t="shared" si="242"/>
        <v>0</v>
      </c>
      <c r="BI365" s="407" t="s">
        <v>1490</v>
      </c>
      <c r="BM365" s="429">
        <f>IF(BR365&gt;BR364,BM364,IF(BM364&lt;MiscData!$F$1,EOMONTH(BM364,1),EOMONTH(BM364,-11)))</f>
        <v>41943</v>
      </c>
      <c r="BN365" s="416" t="str">
        <f t="shared" si="243"/>
        <v>20140101KUCME112</v>
      </c>
      <c r="BO365" s="427" t="str">
        <f t="shared" si="244"/>
        <v>20140101GS</v>
      </c>
      <c r="BP365" s="407">
        <f>IF(BM365&lt;=MiscData!$B$23,MiscData!$C$23,IF(BM365&lt;=MiscData!$B$24,MiscData!$C$24,MiscData!$C$25))</f>
        <v>20140101</v>
      </c>
      <c r="BQ365" s="407" t="str">
        <f>VLOOKUP(BR365,MiscData!$V$4:$W$42,2,FALSE)</f>
        <v>KUCME112</v>
      </c>
      <c r="BR365" s="407">
        <f>IF(BR364=MiscData!$V$42,1,BR364+1)</f>
        <v>11</v>
      </c>
      <c r="BS365" s="407" t="str">
        <f>VLOOKUP(BQ365,MiscData!$W$4:$Y$42,3,FALSE)</f>
        <v>GS</v>
      </c>
    </row>
    <row r="366" spans="1:72" hidden="1">
      <c r="A366" s="416">
        <f t="shared" si="279"/>
        <v>336</v>
      </c>
      <c r="B366" s="416" t="str">
        <f t="shared" si="239"/>
        <v>Oct 2014</v>
      </c>
      <c r="C366" s="416" t="s">
        <v>18</v>
      </c>
      <c r="D366" s="417" t="str">
        <f t="shared" si="240"/>
        <v>GS3</v>
      </c>
      <c r="E366" s="417" t="str">
        <f t="shared" si="241"/>
        <v>KUCME113</v>
      </c>
      <c r="F366" s="418">
        <f t="shared" si="245"/>
        <v>18539</v>
      </c>
      <c r="G366" s="467">
        <v>0</v>
      </c>
      <c r="H366" s="418">
        <v>0</v>
      </c>
      <c r="I366" s="418">
        <v>0</v>
      </c>
      <c r="J366" s="418">
        <v>0</v>
      </c>
      <c r="K366" s="418">
        <f t="shared" si="246"/>
        <v>83400407</v>
      </c>
      <c r="L366" s="481">
        <v>0</v>
      </c>
      <c r="M366" s="443">
        <f t="shared" si="247"/>
        <v>350429.59</v>
      </c>
      <c r="N366" s="443">
        <f t="shared" si="248"/>
        <v>0</v>
      </c>
      <c r="O366" s="443">
        <f t="shared" si="249"/>
        <v>0</v>
      </c>
      <c r="P366" s="443">
        <f t="shared" si="250"/>
        <v>0</v>
      </c>
      <c r="Q366" s="443">
        <f t="shared" si="251"/>
        <v>0</v>
      </c>
      <c r="R366" s="443">
        <f t="shared" si="252"/>
        <v>0</v>
      </c>
      <c r="S366" s="484">
        <v>0</v>
      </c>
      <c r="T366" s="484">
        <v>0</v>
      </c>
      <c r="U366" s="484">
        <v>0</v>
      </c>
      <c r="V366" s="490">
        <v>0</v>
      </c>
      <c r="W366" s="490">
        <v>0</v>
      </c>
      <c r="X366" s="490">
        <v>0</v>
      </c>
      <c r="Y366" s="419">
        <f t="shared" si="253"/>
        <v>35</v>
      </c>
      <c r="Z366" s="420">
        <f t="shared" si="254"/>
        <v>9.2249999999999999E-2</v>
      </c>
      <c r="AA366" s="420">
        <v>0</v>
      </c>
      <c r="AB366" s="420">
        <v>0</v>
      </c>
      <c r="AC366" s="420">
        <f t="shared" si="255"/>
        <v>2.8920000000000001E-2</v>
      </c>
      <c r="AD366" s="419">
        <f t="shared" si="256"/>
        <v>0</v>
      </c>
      <c r="AE366" s="419">
        <f t="shared" si="257"/>
        <v>0</v>
      </c>
      <c r="AF366" s="419">
        <f t="shared" si="258"/>
        <v>0</v>
      </c>
      <c r="AG366" s="454">
        <f t="shared" si="259"/>
        <v>648865</v>
      </c>
      <c r="AH366" s="454">
        <f t="shared" si="282"/>
        <v>7693687.5499999998</v>
      </c>
      <c r="AI366" s="421">
        <f t="shared" si="260"/>
        <v>0</v>
      </c>
      <c r="AJ366" s="421">
        <f t="shared" si="261"/>
        <v>0</v>
      </c>
      <c r="AK366" s="421">
        <f t="shared" si="262"/>
        <v>0</v>
      </c>
      <c r="AL366" s="472">
        <v>0</v>
      </c>
      <c r="AM366" s="422">
        <f t="shared" si="280"/>
        <v>0</v>
      </c>
      <c r="AN366" s="423">
        <f t="shared" si="263"/>
        <v>0</v>
      </c>
      <c r="AO366" s="421">
        <f t="shared" si="264"/>
        <v>0</v>
      </c>
      <c r="AP366" s="472">
        <v>0</v>
      </c>
      <c r="AQ366" s="472">
        <v>0</v>
      </c>
      <c r="AR366" s="472">
        <v>0</v>
      </c>
      <c r="AS366" s="475">
        <v>0</v>
      </c>
      <c r="AT366" s="475">
        <v>0</v>
      </c>
      <c r="AU366" s="475">
        <v>0</v>
      </c>
      <c r="AV366" s="454">
        <f t="shared" si="265"/>
        <v>8342552.5499999998</v>
      </c>
      <c r="AW366" s="421">
        <f t="shared" si="266"/>
        <v>8342556</v>
      </c>
      <c r="AX366" s="455">
        <f t="shared" si="283"/>
        <v>1.0000004135424956</v>
      </c>
      <c r="AY366" s="424">
        <f t="shared" si="268"/>
        <v>64176</v>
      </c>
      <c r="AZ366" s="424">
        <f t="shared" si="269"/>
        <v>142093</v>
      </c>
      <c r="BA366" s="424">
        <f t="shared" si="270"/>
        <v>312270</v>
      </c>
      <c r="BB366" s="424">
        <f t="shared" si="271"/>
        <v>0</v>
      </c>
      <c r="BC366" s="424">
        <f t="shared" si="272"/>
        <v>0</v>
      </c>
      <c r="BD366" s="424">
        <f t="shared" si="273"/>
        <v>8861095</v>
      </c>
      <c r="BE366" s="452">
        <f t="shared" si="274"/>
        <v>8861091.5500000007</v>
      </c>
      <c r="BF366" s="448">
        <f t="shared" si="275"/>
        <v>3.4499999992549419</v>
      </c>
      <c r="BG366" s="456">
        <f t="shared" si="276"/>
        <v>2411939.77</v>
      </c>
      <c r="BH366" s="457">
        <f t="shared" si="242"/>
        <v>5281747.7799999993</v>
      </c>
      <c r="BI366" s="407" t="s">
        <v>1490</v>
      </c>
      <c r="BM366" s="429">
        <f>IF(BR366&gt;BR365,BM365,IF(BM365&lt;MiscData!$F$1,EOMONTH(BM365,1),EOMONTH(BM365,-11)))</f>
        <v>41943</v>
      </c>
      <c r="BN366" s="416" t="str">
        <f t="shared" si="243"/>
        <v>20140101KUCME113</v>
      </c>
      <c r="BO366" s="427" t="str">
        <f t="shared" si="244"/>
        <v>20140101GS3</v>
      </c>
      <c r="BP366" s="407">
        <f>IF(BM366&lt;=MiscData!$B$23,MiscData!$C$23,IF(BM366&lt;=MiscData!$B$24,MiscData!$C$24,MiscData!$C$25))</f>
        <v>20140101</v>
      </c>
      <c r="BQ366" s="407" t="str">
        <f>VLOOKUP(BR366,MiscData!$V$4:$W$42,2,FALSE)</f>
        <v>KUCME113</v>
      </c>
      <c r="BR366" s="407">
        <f>IF(BR365=MiscData!$V$42,1,BR365+1)</f>
        <v>12</v>
      </c>
      <c r="BS366" s="407" t="str">
        <f>VLOOKUP(BQ366,MiscData!$W$4:$Y$42,3,FALSE)</f>
        <v>GS3</v>
      </c>
    </row>
    <row r="367" spans="1:72" hidden="1">
      <c r="A367" s="416">
        <f t="shared" si="279"/>
        <v>337</v>
      </c>
      <c r="B367" s="416" t="str">
        <f t="shared" si="239"/>
        <v>Oct 2014</v>
      </c>
      <c r="C367" s="416" t="s">
        <v>219</v>
      </c>
      <c r="D367" s="417" t="str">
        <f t="shared" si="240"/>
        <v>AES</v>
      </c>
      <c r="E367" s="417" t="str">
        <f t="shared" si="241"/>
        <v>KUCME220</v>
      </c>
      <c r="F367" s="418">
        <f t="shared" si="245"/>
        <v>372</v>
      </c>
      <c r="G367" s="467">
        <v>0</v>
      </c>
      <c r="H367" s="418">
        <v>0</v>
      </c>
      <c r="I367" s="418">
        <v>0</v>
      </c>
      <c r="J367" s="418">
        <v>0</v>
      </c>
      <c r="K367" s="418">
        <f t="shared" si="246"/>
        <v>571422</v>
      </c>
      <c r="L367" s="481">
        <v>0</v>
      </c>
      <c r="M367" s="443">
        <f t="shared" si="247"/>
        <v>0</v>
      </c>
      <c r="N367" s="443">
        <f t="shared" si="248"/>
        <v>0</v>
      </c>
      <c r="O367" s="443">
        <f t="shared" si="249"/>
        <v>0</v>
      </c>
      <c r="P367" s="443">
        <f t="shared" si="250"/>
        <v>0</v>
      </c>
      <c r="Q367" s="443">
        <f t="shared" si="251"/>
        <v>0</v>
      </c>
      <c r="R367" s="443">
        <f t="shared" si="252"/>
        <v>0</v>
      </c>
      <c r="S367" s="484">
        <v>0</v>
      </c>
      <c r="T367" s="484">
        <v>0</v>
      </c>
      <c r="U367" s="484">
        <v>0</v>
      </c>
      <c r="V367" s="490">
        <v>0</v>
      </c>
      <c r="W367" s="490">
        <v>0</v>
      </c>
      <c r="X367" s="490">
        <v>0</v>
      </c>
      <c r="Y367" s="419">
        <f t="shared" si="253"/>
        <v>20</v>
      </c>
      <c r="Z367" s="420">
        <f t="shared" si="254"/>
        <v>7.4399999999999994E-2</v>
      </c>
      <c r="AA367" s="420">
        <v>0</v>
      </c>
      <c r="AB367" s="420">
        <v>0</v>
      </c>
      <c r="AC367" s="420">
        <f t="shared" si="255"/>
        <v>2.8920000000000001E-2</v>
      </c>
      <c r="AD367" s="419">
        <f t="shared" si="256"/>
        <v>0</v>
      </c>
      <c r="AE367" s="419">
        <f t="shared" si="257"/>
        <v>0</v>
      </c>
      <c r="AF367" s="419">
        <f t="shared" si="258"/>
        <v>0</v>
      </c>
      <c r="AG367" s="454">
        <f t="shared" si="259"/>
        <v>7440</v>
      </c>
      <c r="AH367" s="454">
        <f t="shared" si="282"/>
        <v>42513.8</v>
      </c>
      <c r="AI367" s="421">
        <f t="shared" si="260"/>
        <v>0</v>
      </c>
      <c r="AJ367" s="421">
        <f t="shared" si="261"/>
        <v>0</v>
      </c>
      <c r="AK367" s="421">
        <f t="shared" si="262"/>
        <v>0</v>
      </c>
      <c r="AL367" s="472">
        <v>0</v>
      </c>
      <c r="AM367" s="422">
        <f t="shared" si="280"/>
        <v>0</v>
      </c>
      <c r="AN367" s="423">
        <f t="shared" si="263"/>
        <v>0</v>
      </c>
      <c r="AO367" s="421">
        <f t="shared" si="264"/>
        <v>0</v>
      </c>
      <c r="AP367" s="472">
        <v>0</v>
      </c>
      <c r="AQ367" s="472">
        <v>0</v>
      </c>
      <c r="AR367" s="472">
        <v>0</v>
      </c>
      <c r="AS367" s="475">
        <v>0</v>
      </c>
      <c r="AT367" s="475">
        <v>0</v>
      </c>
      <c r="AU367" s="475">
        <v>0</v>
      </c>
      <c r="AV367" s="454">
        <f t="shared" si="265"/>
        <v>49953.8</v>
      </c>
      <c r="AW367" s="421">
        <f t="shared" si="266"/>
        <v>49953</v>
      </c>
      <c r="AX367" s="455">
        <f t="shared" si="283"/>
        <v>0.9999839852023269</v>
      </c>
      <c r="AY367" s="424">
        <f t="shared" si="268"/>
        <v>440</v>
      </c>
      <c r="AZ367" s="424">
        <f t="shared" si="269"/>
        <v>974</v>
      </c>
      <c r="BA367" s="424">
        <f t="shared" si="270"/>
        <v>2140</v>
      </c>
      <c r="BB367" s="424">
        <f t="shared" si="271"/>
        <v>0</v>
      </c>
      <c r="BC367" s="424">
        <f t="shared" si="272"/>
        <v>0</v>
      </c>
      <c r="BD367" s="424">
        <f t="shared" si="273"/>
        <v>53507</v>
      </c>
      <c r="BE367" s="452">
        <f t="shared" si="274"/>
        <v>53507.8</v>
      </c>
      <c r="BF367" s="448">
        <f t="shared" si="275"/>
        <v>-0.80000000000291038</v>
      </c>
      <c r="BG367" s="456">
        <f t="shared" si="276"/>
        <v>16525.52</v>
      </c>
      <c r="BH367" s="457">
        <f t="shared" si="242"/>
        <v>25988.280000000002</v>
      </c>
      <c r="BI367" s="407" t="s">
        <v>1490</v>
      </c>
      <c r="BM367" s="429">
        <f>IF(BR367&gt;BR366,BM366,IF(BM366&lt;MiscData!$F$1,EOMONTH(BM366,1),EOMONTH(BM366,-11)))</f>
        <v>41943</v>
      </c>
      <c r="BN367" s="416" t="str">
        <f t="shared" si="243"/>
        <v>20140101KUCME220</v>
      </c>
      <c r="BO367" s="427" t="str">
        <f t="shared" si="244"/>
        <v>20140101AES</v>
      </c>
      <c r="BP367" s="407">
        <f>IF(BM367&lt;=MiscData!$B$23,MiscData!$C$23,IF(BM367&lt;=MiscData!$B$24,MiscData!$C$24,MiscData!$C$25))</f>
        <v>20140101</v>
      </c>
      <c r="BQ367" s="407" t="str">
        <f>VLOOKUP(BR367,MiscData!$V$4:$W$42,2,FALSE)</f>
        <v>KUCME220</v>
      </c>
      <c r="BR367" s="407">
        <f>IF(BR366=MiscData!$V$42,1,BR366+1)</f>
        <v>13</v>
      </c>
      <c r="BS367" s="407" t="str">
        <f>VLOOKUP(BQ367,MiscData!$W$4:$Y$42,3,FALSE)</f>
        <v>AES</v>
      </c>
    </row>
    <row r="368" spans="1:72" hidden="1">
      <c r="A368" s="416">
        <f t="shared" si="279"/>
        <v>338</v>
      </c>
      <c r="B368" s="416" t="str">
        <f t="shared" si="239"/>
        <v>Oct 2014</v>
      </c>
      <c r="C368" s="416" t="s">
        <v>219</v>
      </c>
      <c r="D368" s="417" t="str">
        <f t="shared" si="240"/>
        <v>AES</v>
      </c>
      <c r="E368" s="417" t="str">
        <f t="shared" si="241"/>
        <v>KUCME221</v>
      </c>
      <c r="F368" s="418">
        <f t="shared" si="245"/>
        <v>0</v>
      </c>
      <c r="G368" s="467">
        <v>0</v>
      </c>
      <c r="H368" s="418">
        <v>0</v>
      </c>
      <c r="I368" s="418">
        <v>0</v>
      </c>
      <c r="J368" s="418">
        <v>0</v>
      </c>
      <c r="K368" s="418">
        <f t="shared" si="246"/>
        <v>0</v>
      </c>
      <c r="L368" s="481">
        <v>0</v>
      </c>
      <c r="M368" s="443">
        <f t="shared" si="247"/>
        <v>0</v>
      </c>
      <c r="N368" s="443">
        <f t="shared" si="248"/>
        <v>0</v>
      </c>
      <c r="O368" s="443">
        <f t="shared" si="249"/>
        <v>0</v>
      </c>
      <c r="P368" s="443">
        <f t="shared" si="250"/>
        <v>0</v>
      </c>
      <c r="Q368" s="443">
        <f t="shared" si="251"/>
        <v>0</v>
      </c>
      <c r="R368" s="443">
        <f t="shared" si="252"/>
        <v>0</v>
      </c>
      <c r="S368" s="484">
        <v>0</v>
      </c>
      <c r="T368" s="484">
        <v>0</v>
      </c>
      <c r="U368" s="484">
        <v>0</v>
      </c>
      <c r="V368" s="490">
        <v>0</v>
      </c>
      <c r="W368" s="490">
        <v>0</v>
      </c>
      <c r="X368" s="490">
        <v>0</v>
      </c>
      <c r="Y368" s="419">
        <f t="shared" si="253"/>
        <v>20</v>
      </c>
      <c r="Z368" s="420">
        <f t="shared" si="254"/>
        <v>7.4399999999999994E-2</v>
      </c>
      <c r="AA368" s="420">
        <v>0</v>
      </c>
      <c r="AB368" s="420">
        <v>0</v>
      </c>
      <c r="AC368" s="420">
        <f t="shared" si="255"/>
        <v>2.8920000000000001E-2</v>
      </c>
      <c r="AD368" s="419">
        <f t="shared" si="256"/>
        <v>0</v>
      </c>
      <c r="AE368" s="419">
        <f t="shared" si="257"/>
        <v>0</v>
      </c>
      <c r="AF368" s="419">
        <f t="shared" si="258"/>
        <v>0</v>
      </c>
      <c r="AG368" s="454">
        <f t="shared" si="259"/>
        <v>0</v>
      </c>
      <c r="AH368" s="454">
        <f t="shared" si="282"/>
        <v>0</v>
      </c>
      <c r="AI368" s="421">
        <f t="shared" si="260"/>
        <v>0</v>
      </c>
      <c r="AJ368" s="421">
        <f t="shared" si="261"/>
        <v>0</v>
      </c>
      <c r="AK368" s="421">
        <f t="shared" si="262"/>
        <v>0</v>
      </c>
      <c r="AL368" s="472">
        <v>0</v>
      </c>
      <c r="AM368" s="422">
        <f t="shared" si="280"/>
        <v>0</v>
      </c>
      <c r="AN368" s="423">
        <f t="shared" si="263"/>
        <v>0</v>
      </c>
      <c r="AO368" s="421">
        <f t="shared" si="264"/>
        <v>0</v>
      </c>
      <c r="AP368" s="472">
        <v>0</v>
      </c>
      <c r="AQ368" s="472">
        <v>0</v>
      </c>
      <c r="AR368" s="472">
        <v>0</v>
      </c>
      <c r="AS368" s="475">
        <v>0</v>
      </c>
      <c r="AT368" s="475">
        <v>0</v>
      </c>
      <c r="AU368" s="475">
        <v>0</v>
      </c>
      <c r="AV368" s="454">
        <f t="shared" si="265"/>
        <v>0</v>
      </c>
      <c r="AW368" s="421">
        <f t="shared" si="266"/>
        <v>0</v>
      </c>
      <c r="AX368" s="455">
        <f t="shared" si="283"/>
        <v>1</v>
      </c>
      <c r="AY368" s="424">
        <f t="shared" si="268"/>
        <v>0</v>
      </c>
      <c r="AZ368" s="424">
        <f t="shared" si="269"/>
        <v>0</v>
      </c>
      <c r="BA368" s="424">
        <f t="shared" si="270"/>
        <v>0</v>
      </c>
      <c r="BB368" s="424">
        <f t="shared" si="271"/>
        <v>0</v>
      </c>
      <c r="BC368" s="424">
        <f t="shared" si="272"/>
        <v>0</v>
      </c>
      <c r="BD368" s="424">
        <f t="shared" si="273"/>
        <v>0</v>
      </c>
      <c r="BE368" s="452">
        <f t="shared" si="274"/>
        <v>0</v>
      </c>
      <c r="BF368" s="448">
        <f t="shared" si="275"/>
        <v>0</v>
      </c>
      <c r="BG368" s="456">
        <f t="shared" si="276"/>
        <v>0</v>
      </c>
      <c r="BH368" s="457">
        <f t="shared" si="242"/>
        <v>0</v>
      </c>
      <c r="BI368" s="407" t="s">
        <v>1490</v>
      </c>
      <c r="BM368" s="429">
        <f>IF(BR368&gt;BR367,BM367,IF(BM367&lt;MiscData!$F$1,EOMONTH(BM367,1),EOMONTH(BM367,-11)))</f>
        <v>41943</v>
      </c>
      <c r="BN368" s="416" t="str">
        <f t="shared" si="243"/>
        <v>20140101KUCME221</v>
      </c>
      <c r="BO368" s="427" t="str">
        <f t="shared" si="244"/>
        <v>20140101AES</v>
      </c>
      <c r="BP368" s="407">
        <f>IF(BM368&lt;=MiscData!$B$23,MiscData!$C$23,IF(BM368&lt;=MiscData!$B$24,MiscData!$C$24,MiscData!$C$25))</f>
        <v>20140101</v>
      </c>
      <c r="BQ368" s="407" t="str">
        <f>VLOOKUP(BR368,MiscData!$V$4:$W$42,2,FALSE)</f>
        <v>KUCME221</v>
      </c>
      <c r="BR368" s="407">
        <f>IF(BR367=MiscData!$V$42,1,BR367+1)</f>
        <v>14</v>
      </c>
      <c r="BS368" s="407" t="str">
        <f>VLOOKUP(BQ368,MiscData!$W$4:$Y$42,3,FALSE)</f>
        <v>AES</v>
      </c>
    </row>
    <row r="369" spans="1:71" hidden="1">
      <c r="A369" s="416">
        <f t="shared" si="279"/>
        <v>339</v>
      </c>
      <c r="B369" s="416" t="str">
        <f t="shared" si="239"/>
        <v>Oct 2014</v>
      </c>
      <c r="C369" s="837" t="s">
        <v>228</v>
      </c>
      <c r="D369" s="417" t="str">
        <f t="shared" si="240"/>
        <v>AES3</v>
      </c>
      <c r="E369" s="417" t="str">
        <f t="shared" si="241"/>
        <v>KUCME223</v>
      </c>
      <c r="F369" s="418">
        <f t="shared" si="245"/>
        <v>0</v>
      </c>
      <c r="G369" s="467">
        <v>0</v>
      </c>
      <c r="H369" s="418">
        <v>0</v>
      </c>
      <c r="I369" s="418">
        <v>0</v>
      </c>
      <c r="J369" s="418">
        <v>0</v>
      </c>
      <c r="K369" s="418">
        <f t="shared" si="246"/>
        <v>0</v>
      </c>
      <c r="L369" s="481">
        <v>0</v>
      </c>
      <c r="M369" s="443">
        <f t="shared" si="247"/>
        <v>0</v>
      </c>
      <c r="N369" s="443">
        <f t="shared" si="248"/>
        <v>0</v>
      </c>
      <c r="O369" s="443">
        <f t="shared" si="249"/>
        <v>0</v>
      </c>
      <c r="P369" s="443">
        <f t="shared" si="250"/>
        <v>0</v>
      </c>
      <c r="Q369" s="443">
        <f t="shared" si="251"/>
        <v>0</v>
      </c>
      <c r="R369" s="443">
        <f t="shared" si="252"/>
        <v>0</v>
      </c>
      <c r="S369" s="484">
        <v>0</v>
      </c>
      <c r="T369" s="484">
        <v>0</v>
      </c>
      <c r="U369" s="484">
        <v>0</v>
      </c>
      <c r="V369" s="490">
        <v>0</v>
      </c>
      <c r="W369" s="490">
        <v>0</v>
      </c>
      <c r="X369" s="490">
        <v>0</v>
      </c>
      <c r="Y369" s="419">
        <f t="shared" si="253"/>
        <v>35</v>
      </c>
      <c r="Z369" s="420">
        <f t="shared" si="254"/>
        <v>7.4399999999999994E-2</v>
      </c>
      <c r="AA369" s="420">
        <v>0</v>
      </c>
      <c r="AB369" s="420">
        <v>0</v>
      </c>
      <c r="AC369" s="420">
        <f t="shared" si="255"/>
        <v>2.8920000000000001E-2</v>
      </c>
      <c r="AD369" s="419">
        <f t="shared" si="256"/>
        <v>0</v>
      </c>
      <c r="AE369" s="419">
        <f t="shared" si="257"/>
        <v>0</v>
      </c>
      <c r="AF369" s="419">
        <f t="shared" si="258"/>
        <v>0</v>
      </c>
      <c r="AG369" s="454">
        <f t="shared" si="259"/>
        <v>0</v>
      </c>
      <c r="AH369" s="454">
        <f t="shared" si="282"/>
        <v>0</v>
      </c>
      <c r="AI369" s="421">
        <f t="shared" si="260"/>
        <v>0</v>
      </c>
      <c r="AJ369" s="421">
        <f t="shared" si="261"/>
        <v>0</v>
      </c>
      <c r="AK369" s="421">
        <f t="shared" si="262"/>
        <v>0</v>
      </c>
      <c r="AL369" s="472">
        <v>0</v>
      </c>
      <c r="AM369" s="422">
        <f t="shared" si="280"/>
        <v>0</v>
      </c>
      <c r="AN369" s="423">
        <f t="shared" si="263"/>
        <v>0</v>
      </c>
      <c r="AO369" s="421">
        <f t="shared" si="264"/>
        <v>0</v>
      </c>
      <c r="AP369" s="472">
        <v>0</v>
      </c>
      <c r="AQ369" s="472">
        <v>0</v>
      </c>
      <c r="AR369" s="472">
        <v>0</v>
      </c>
      <c r="AS369" s="475">
        <v>0</v>
      </c>
      <c r="AT369" s="475">
        <v>0</v>
      </c>
      <c r="AU369" s="475">
        <v>0</v>
      </c>
      <c r="AV369" s="454">
        <f t="shared" si="265"/>
        <v>0</v>
      </c>
      <c r="AW369" s="421">
        <f t="shared" si="266"/>
        <v>0</v>
      </c>
      <c r="AX369" s="455">
        <f t="shared" si="283"/>
        <v>1</v>
      </c>
      <c r="AY369" s="424">
        <f t="shared" si="268"/>
        <v>0</v>
      </c>
      <c r="AZ369" s="424">
        <f t="shared" si="269"/>
        <v>0</v>
      </c>
      <c r="BA369" s="424">
        <f t="shared" si="270"/>
        <v>0</v>
      </c>
      <c r="BB369" s="424">
        <f t="shared" si="271"/>
        <v>0</v>
      </c>
      <c r="BC369" s="424">
        <f t="shared" si="272"/>
        <v>0</v>
      </c>
      <c r="BD369" s="424">
        <f t="shared" si="273"/>
        <v>0</v>
      </c>
      <c r="BE369" s="452">
        <f t="shared" si="274"/>
        <v>0</v>
      </c>
      <c r="BF369" s="448">
        <f t="shared" si="275"/>
        <v>0</v>
      </c>
      <c r="BG369" s="456">
        <f t="shared" si="276"/>
        <v>0</v>
      </c>
      <c r="BH369" s="457">
        <f t="shared" si="242"/>
        <v>0</v>
      </c>
      <c r="BI369" s="407" t="s">
        <v>1490</v>
      </c>
      <c r="BM369" s="429">
        <f>IF(BR369&gt;BR368,BM368,IF(BM368&lt;MiscData!$F$1,EOMONTH(BM368,1),EOMONTH(BM368,-11)))</f>
        <v>41943</v>
      </c>
      <c r="BN369" s="416" t="str">
        <f t="shared" si="243"/>
        <v>20140101KUCME223</v>
      </c>
      <c r="BO369" s="427" t="str">
        <f t="shared" si="244"/>
        <v>20140101AES3</v>
      </c>
      <c r="BP369" s="407">
        <f>IF(BM369&lt;=MiscData!$B$23,MiscData!$C$23,IF(BM369&lt;=MiscData!$B$24,MiscData!$C$24,MiscData!$C$25))</f>
        <v>20140101</v>
      </c>
      <c r="BQ369" s="407" t="str">
        <f>VLOOKUP(BR369,MiscData!$V$4:$W$42,2,FALSE)</f>
        <v>KUCME223</v>
      </c>
      <c r="BR369" s="407">
        <f>IF(BR368=MiscData!$V$42,1,BR368+1)</f>
        <v>15</v>
      </c>
      <c r="BS369" s="407" t="str">
        <f>VLOOKUP(BQ369,MiscData!$W$4:$Y$42,3,FALSE)</f>
        <v>AES3</v>
      </c>
    </row>
    <row r="370" spans="1:71" hidden="1">
      <c r="A370" s="416">
        <f t="shared" si="279"/>
        <v>340</v>
      </c>
      <c r="B370" s="416" t="str">
        <f t="shared" si="239"/>
        <v>Oct 2014</v>
      </c>
      <c r="C370" s="837" t="s">
        <v>228</v>
      </c>
      <c r="D370" s="417" t="str">
        <f t="shared" si="240"/>
        <v>AES3</v>
      </c>
      <c r="E370" s="417" t="str">
        <f t="shared" si="241"/>
        <v>KUCME224</v>
      </c>
      <c r="F370" s="418">
        <f t="shared" si="245"/>
        <v>259</v>
      </c>
      <c r="G370" s="467">
        <v>0</v>
      </c>
      <c r="H370" s="418">
        <v>0</v>
      </c>
      <c r="I370" s="418">
        <v>0</v>
      </c>
      <c r="J370" s="418">
        <v>0</v>
      </c>
      <c r="K370" s="418">
        <f t="shared" si="246"/>
        <v>10591038</v>
      </c>
      <c r="L370" s="481">
        <v>0</v>
      </c>
      <c r="M370" s="443">
        <f t="shared" si="247"/>
        <v>43111.19</v>
      </c>
      <c r="N370" s="443">
        <f t="shared" si="248"/>
        <v>0</v>
      </c>
      <c r="O370" s="443">
        <f t="shared" si="249"/>
        <v>0</v>
      </c>
      <c r="P370" s="443">
        <f t="shared" si="250"/>
        <v>0</v>
      </c>
      <c r="Q370" s="443">
        <f t="shared" si="251"/>
        <v>0</v>
      </c>
      <c r="R370" s="443">
        <f t="shared" si="252"/>
        <v>0</v>
      </c>
      <c r="S370" s="484">
        <v>0</v>
      </c>
      <c r="T370" s="484">
        <v>0</v>
      </c>
      <c r="U370" s="484">
        <v>0</v>
      </c>
      <c r="V370" s="490">
        <v>0</v>
      </c>
      <c r="W370" s="490">
        <v>0</v>
      </c>
      <c r="X370" s="490">
        <v>0</v>
      </c>
      <c r="Y370" s="419">
        <f t="shared" si="253"/>
        <v>35</v>
      </c>
      <c r="Z370" s="420">
        <f t="shared" si="254"/>
        <v>7.4399999999999994E-2</v>
      </c>
      <c r="AA370" s="420">
        <v>0</v>
      </c>
      <c r="AB370" s="420">
        <v>0</v>
      </c>
      <c r="AC370" s="420">
        <f t="shared" si="255"/>
        <v>2.8920000000000001E-2</v>
      </c>
      <c r="AD370" s="419">
        <f t="shared" si="256"/>
        <v>0</v>
      </c>
      <c r="AE370" s="419">
        <f t="shared" si="257"/>
        <v>0</v>
      </c>
      <c r="AF370" s="419">
        <f t="shared" si="258"/>
        <v>0</v>
      </c>
      <c r="AG370" s="454">
        <f t="shared" si="259"/>
        <v>9065</v>
      </c>
      <c r="AH370" s="454">
        <f t="shared" si="282"/>
        <v>787973.23</v>
      </c>
      <c r="AI370" s="421">
        <f t="shared" si="260"/>
        <v>0</v>
      </c>
      <c r="AJ370" s="421">
        <f t="shared" si="261"/>
        <v>0</v>
      </c>
      <c r="AK370" s="421">
        <f t="shared" si="262"/>
        <v>0</v>
      </c>
      <c r="AL370" s="472">
        <v>0</v>
      </c>
      <c r="AM370" s="422">
        <f t="shared" si="280"/>
        <v>0</v>
      </c>
      <c r="AN370" s="423">
        <f t="shared" si="263"/>
        <v>0</v>
      </c>
      <c r="AO370" s="421">
        <f t="shared" si="264"/>
        <v>0</v>
      </c>
      <c r="AP370" s="472">
        <v>0</v>
      </c>
      <c r="AQ370" s="472">
        <v>0</v>
      </c>
      <c r="AR370" s="472">
        <v>0</v>
      </c>
      <c r="AS370" s="475">
        <v>0</v>
      </c>
      <c r="AT370" s="475">
        <v>0</v>
      </c>
      <c r="AU370" s="475">
        <v>0</v>
      </c>
      <c r="AV370" s="454">
        <f t="shared" si="265"/>
        <v>797038.23</v>
      </c>
      <c r="AW370" s="421">
        <f t="shared" si="266"/>
        <v>797039</v>
      </c>
      <c r="AX370" s="455">
        <f t="shared" si="283"/>
        <v>1.0000009660766209</v>
      </c>
      <c r="AY370" s="424">
        <f t="shared" si="268"/>
        <v>8150</v>
      </c>
      <c r="AZ370" s="424">
        <f t="shared" si="269"/>
        <v>18044</v>
      </c>
      <c r="BA370" s="424">
        <f t="shared" si="270"/>
        <v>39655</v>
      </c>
      <c r="BB370" s="424">
        <f t="shared" si="271"/>
        <v>0</v>
      </c>
      <c r="BC370" s="424">
        <f t="shared" si="272"/>
        <v>0</v>
      </c>
      <c r="BD370" s="424">
        <f t="shared" si="273"/>
        <v>862888</v>
      </c>
      <c r="BE370" s="452">
        <f t="shared" si="274"/>
        <v>862887.23</v>
      </c>
      <c r="BF370" s="448">
        <f t="shared" si="275"/>
        <v>0.77000000001862645</v>
      </c>
      <c r="BG370" s="456">
        <f t="shared" si="276"/>
        <v>306292.82</v>
      </c>
      <c r="BH370" s="457">
        <f t="shared" si="242"/>
        <v>481680.41</v>
      </c>
      <c r="BI370" s="407" t="s">
        <v>1490</v>
      </c>
      <c r="BM370" s="429">
        <f>IF(BR370&gt;BR369,BM369,IF(BM369&lt;MiscData!$F$1,EOMONTH(BM369,1),EOMONTH(BM369,-11)))</f>
        <v>41943</v>
      </c>
      <c r="BN370" s="416" t="str">
        <f t="shared" si="243"/>
        <v>20140101KUCME224</v>
      </c>
      <c r="BO370" s="427" t="str">
        <f t="shared" si="244"/>
        <v>20140101AES3</v>
      </c>
      <c r="BP370" s="407">
        <f>IF(BM370&lt;=MiscData!$B$23,MiscData!$C$23,IF(BM370&lt;=MiscData!$B$24,MiscData!$C$24,MiscData!$C$25))</f>
        <v>20140101</v>
      </c>
      <c r="BQ370" s="407" t="str">
        <f>VLOOKUP(BR370,MiscData!$V$4:$W$42,2,FALSE)</f>
        <v>KUCME224</v>
      </c>
      <c r="BR370" s="407">
        <f>IF(BR369=MiscData!$V$42,1,BR369+1)</f>
        <v>16</v>
      </c>
      <c r="BS370" s="407" t="str">
        <f>VLOOKUP(BQ370,MiscData!$W$4:$Y$42,3,FALSE)</f>
        <v>AES3</v>
      </c>
    </row>
    <row r="371" spans="1:71" hidden="1">
      <c r="A371" s="416">
        <f t="shared" si="279"/>
        <v>341</v>
      </c>
      <c r="B371" s="416" t="str">
        <f t="shared" si="239"/>
        <v>Oct 2014</v>
      </c>
      <c r="C371" s="837" t="s">
        <v>228</v>
      </c>
      <c r="D371" s="417" t="str">
        <f t="shared" si="240"/>
        <v>AES3</v>
      </c>
      <c r="E371" s="417" t="str">
        <f t="shared" si="241"/>
        <v>KUCME225</v>
      </c>
      <c r="F371" s="418">
        <f t="shared" si="245"/>
        <v>0</v>
      </c>
      <c r="G371" s="467">
        <v>0</v>
      </c>
      <c r="H371" s="418">
        <v>0</v>
      </c>
      <c r="I371" s="418">
        <v>0</v>
      </c>
      <c r="J371" s="418">
        <v>0</v>
      </c>
      <c r="K371" s="418">
        <f t="shared" si="246"/>
        <v>0</v>
      </c>
      <c r="L371" s="481">
        <v>0</v>
      </c>
      <c r="M371" s="443">
        <f t="shared" si="247"/>
        <v>0</v>
      </c>
      <c r="N371" s="443">
        <f t="shared" si="248"/>
        <v>0</v>
      </c>
      <c r="O371" s="443">
        <f t="shared" si="249"/>
        <v>0</v>
      </c>
      <c r="P371" s="443">
        <f t="shared" si="250"/>
        <v>0</v>
      </c>
      <c r="Q371" s="443">
        <f t="shared" si="251"/>
        <v>0</v>
      </c>
      <c r="R371" s="443">
        <f t="shared" si="252"/>
        <v>0</v>
      </c>
      <c r="S371" s="484">
        <v>0</v>
      </c>
      <c r="T371" s="484">
        <v>0</v>
      </c>
      <c r="U371" s="484">
        <v>0</v>
      </c>
      <c r="V371" s="490">
        <v>0</v>
      </c>
      <c r="W371" s="490">
        <v>0</v>
      </c>
      <c r="X371" s="490">
        <v>0</v>
      </c>
      <c r="Y371" s="419">
        <f t="shared" si="253"/>
        <v>35</v>
      </c>
      <c r="Z371" s="420">
        <f t="shared" si="254"/>
        <v>7.4399999999999994E-2</v>
      </c>
      <c r="AA371" s="420">
        <v>0</v>
      </c>
      <c r="AB371" s="420">
        <v>0</v>
      </c>
      <c r="AC371" s="420">
        <f t="shared" si="255"/>
        <v>2.8920000000000001E-2</v>
      </c>
      <c r="AD371" s="419">
        <f t="shared" si="256"/>
        <v>0</v>
      </c>
      <c r="AE371" s="419">
        <f t="shared" si="257"/>
        <v>0</v>
      </c>
      <c r="AF371" s="419">
        <f t="shared" si="258"/>
        <v>0</v>
      </c>
      <c r="AG371" s="454">
        <f t="shared" si="259"/>
        <v>0</v>
      </c>
      <c r="AH371" s="454">
        <f t="shared" si="282"/>
        <v>0</v>
      </c>
      <c r="AI371" s="421">
        <f t="shared" si="260"/>
        <v>0</v>
      </c>
      <c r="AJ371" s="421">
        <f t="shared" si="261"/>
        <v>0</v>
      </c>
      <c r="AK371" s="421">
        <f t="shared" si="262"/>
        <v>0</v>
      </c>
      <c r="AL371" s="472">
        <v>0</v>
      </c>
      <c r="AM371" s="422">
        <f t="shared" si="280"/>
        <v>0</v>
      </c>
      <c r="AN371" s="423">
        <f t="shared" si="263"/>
        <v>0</v>
      </c>
      <c r="AO371" s="421">
        <f t="shared" si="264"/>
        <v>0</v>
      </c>
      <c r="AP371" s="472">
        <v>0</v>
      </c>
      <c r="AQ371" s="472">
        <v>0</v>
      </c>
      <c r="AR371" s="472">
        <v>0</v>
      </c>
      <c r="AS371" s="475">
        <v>0</v>
      </c>
      <c r="AT371" s="475">
        <v>0</v>
      </c>
      <c r="AU371" s="475">
        <v>0</v>
      </c>
      <c r="AV371" s="454">
        <f t="shared" si="265"/>
        <v>0</v>
      </c>
      <c r="AW371" s="421">
        <f t="shared" si="266"/>
        <v>0</v>
      </c>
      <c r="AX371" s="455">
        <f t="shared" si="283"/>
        <v>1</v>
      </c>
      <c r="AY371" s="424">
        <f t="shared" si="268"/>
        <v>0</v>
      </c>
      <c r="AZ371" s="424">
        <f t="shared" si="269"/>
        <v>0</v>
      </c>
      <c r="BA371" s="424">
        <f t="shared" si="270"/>
        <v>0</v>
      </c>
      <c r="BB371" s="424">
        <f t="shared" si="271"/>
        <v>0</v>
      </c>
      <c r="BC371" s="424">
        <f t="shared" si="272"/>
        <v>0</v>
      </c>
      <c r="BD371" s="424">
        <f t="shared" si="273"/>
        <v>0</v>
      </c>
      <c r="BE371" s="452">
        <f t="shared" si="274"/>
        <v>0</v>
      </c>
      <c r="BF371" s="448">
        <f t="shared" si="275"/>
        <v>0</v>
      </c>
      <c r="BG371" s="456">
        <f t="shared" si="276"/>
        <v>0</v>
      </c>
      <c r="BH371" s="457">
        <f t="shared" si="242"/>
        <v>0</v>
      </c>
      <c r="BI371" s="407" t="s">
        <v>1490</v>
      </c>
      <c r="BM371" s="429">
        <f>IF(BR371&gt;BR370,BM370,IF(BM370&lt;MiscData!$F$1,EOMONTH(BM370,1),EOMONTH(BM370,-11)))</f>
        <v>41943</v>
      </c>
      <c r="BN371" s="416" t="str">
        <f t="shared" si="243"/>
        <v>20140101KUCME225</v>
      </c>
      <c r="BO371" s="427" t="str">
        <f t="shared" si="244"/>
        <v>20140101AES3</v>
      </c>
      <c r="BP371" s="407">
        <f>IF(BM371&lt;=MiscData!$B$23,MiscData!$C$23,IF(BM371&lt;=MiscData!$B$24,MiscData!$C$24,MiscData!$C$25))</f>
        <v>20140101</v>
      </c>
      <c r="BQ371" s="407" t="str">
        <f>VLOOKUP(BR371,MiscData!$V$4:$W$42,2,FALSE)</f>
        <v>KUCME225</v>
      </c>
      <c r="BR371" s="407">
        <f>IF(BR370=MiscData!$V$42,1,BR370+1)</f>
        <v>17</v>
      </c>
      <c r="BS371" s="407" t="str">
        <f>VLOOKUP(BQ371,MiscData!$W$4:$Y$42,3,FALSE)</f>
        <v>AES3</v>
      </c>
    </row>
    <row r="372" spans="1:71" hidden="1">
      <c r="A372" s="416">
        <f t="shared" si="279"/>
        <v>342</v>
      </c>
      <c r="B372" s="416" t="str">
        <f t="shared" si="239"/>
        <v>Oct 2014</v>
      </c>
      <c r="C372" s="416" t="s">
        <v>219</v>
      </c>
      <c r="D372" s="417" t="str">
        <f t="shared" si="240"/>
        <v>AES</v>
      </c>
      <c r="E372" s="417" t="str">
        <f t="shared" si="241"/>
        <v>KUCME226</v>
      </c>
      <c r="F372" s="418">
        <f t="shared" si="245"/>
        <v>0</v>
      </c>
      <c r="G372" s="467">
        <v>0</v>
      </c>
      <c r="H372" s="418">
        <v>0</v>
      </c>
      <c r="I372" s="418">
        <v>0</v>
      </c>
      <c r="J372" s="418">
        <v>0</v>
      </c>
      <c r="K372" s="418">
        <f t="shared" si="246"/>
        <v>0</v>
      </c>
      <c r="L372" s="481">
        <v>0</v>
      </c>
      <c r="M372" s="443">
        <f t="shared" si="247"/>
        <v>0</v>
      </c>
      <c r="N372" s="443">
        <f t="shared" si="248"/>
        <v>0</v>
      </c>
      <c r="O372" s="443">
        <f t="shared" si="249"/>
        <v>0</v>
      </c>
      <c r="P372" s="443">
        <f t="shared" si="250"/>
        <v>0</v>
      </c>
      <c r="Q372" s="443">
        <f t="shared" si="251"/>
        <v>0</v>
      </c>
      <c r="R372" s="443">
        <f t="shared" si="252"/>
        <v>0</v>
      </c>
      <c r="S372" s="484">
        <v>0</v>
      </c>
      <c r="T372" s="484">
        <v>0</v>
      </c>
      <c r="U372" s="484">
        <v>0</v>
      </c>
      <c r="V372" s="490">
        <v>0</v>
      </c>
      <c r="W372" s="490">
        <v>0</v>
      </c>
      <c r="X372" s="490">
        <v>0</v>
      </c>
      <c r="Y372" s="419">
        <f t="shared" si="253"/>
        <v>20</v>
      </c>
      <c r="Z372" s="420">
        <f t="shared" si="254"/>
        <v>7.4399999999999994E-2</v>
      </c>
      <c r="AA372" s="420">
        <v>0</v>
      </c>
      <c r="AB372" s="420">
        <v>0</v>
      </c>
      <c r="AC372" s="420">
        <f t="shared" si="255"/>
        <v>2.8920000000000001E-2</v>
      </c>
      <c r="AD372" s="419">
        <f t="shared" si="256"/>
        <v>0</v>
      </c>
      <c r="AE372" s="419">
        <f t="shared" si="257"/>
        <v>0</v>
      </c>
      <c r="AF372" s="419">
        <f t="shared" si="258"/>
        <v>0</v>
      </c>
      <c r="AG372" s="454">
        <f t="shared" si="259"/>
        <v>0</v>
      </c>
      <c r="AH372" s="454">
        <f t="shared" si="282"/>
        <v>0</v>
      </c>
      <c r="AI372" s="421">
        <f t="shared" si="260"/>
        <v>0</v>
      </c>
      <c r="AJ372" s="421">
        <f t="shared" si="261"/>
        <v>0</v>
      </c>
      <c r="AK372" s="421">
        <f t="shared" si="262"/>
        <v>0</v>
      </c>
      <c r="AL372" s="472">
        <v>0</v>
      </c>
      <c r="AM372" s="422">
        <f t="shared" si="280"/>
        <v>0</v>
      </c>
      <c r="AN372" s="423">
        <f t="shared" si="263"/>
        <v>0</v>
      </c>
      <c r="AO372" s="421">
        <f t="shared" si="264"/>
        <v>0</v>
      </c>
      <c r="AP372" s="472">
        <v>0</v>
      </c>
      <c r="AQ372" s="472">
        <v>0</v>
      </c>
      <c r="AR372" s="472">
        <v>0</v>
      </c>
      <c r="AS372" s="475">
        <v>0</v>
      </c>
      <c r="AT372" s="475">
        <v>0</v>
      </c>
      <c r="AU372" s="475">
        <v>0</v>
      </c>
      <c r="AV372" s="454">
        <f t="shared" si="265"/>
        <v>0</v>
      </c>
      <c r="AW372" s="421">
        <f t="shared" si="266"/>
        <v>0</v>
      </c>
      <c r="AX372" s="455">
        <f t="shared" si="283"/>
        <v>1</v>
      </c>
      <c r="AY372" s="424">
        <f t="shared" si="268"/>
        <v>0</v>
      </c>
      <c r="AZ372" s="424">
        <f t="shared" si="269"/>
        <v>0</v>
      </c>
      <c r="BA372" s="424">
        <f t="shared" si="270"/>
        <v>0</v>
      </c>
      <c r="BB372" s="424">
        <f t="shared" si="271"/>
        <v>0</v>
      </c>
      <c r="BC372" s="424">
        <f t="shared" si="272"/>
        <v>0</v>
      </c>
      <c r="BD372" s="424">
        <f t="shared" si="273"/>
        <v>0</v>
      </c>
      <c r="BE372" s="452">
        <f t="shared" si="274"/>
        <v>0</v>
      </c>
      <c r="BF372" s="448">
        <f t="shared" si="275"/>
        <v>0</v>
      </c>
      <c r="BG372" s="456">
        <f t="shared" si="276"/>
        <v>0</v>
      </c>
      <c r="BH372" s="457">
        <f t="shared" si="242"/>
        <v>0</v>
      </c>
      <c r="BI372" s="407" t="s">
        <v>1490</v>
      </c>
      <c r="BM372" s="429">
        <f>IF(BR372&gt;BR371,BM371,IF(BM371&lt;MiscData!$F$1,EOMONTH(BM371,1),EOMONTH(BM371,-11)))</f>
        <v>41943</v>
      </c>
      <c r="BN372" s="416" t="str">
        <f t="shared" si="243"/>
        <v>20140101KUCME226</v>
      </c>
      <c r="BO372" s="427" t="str">
        <f t="shared" si="244"/>
        <v>20140101AES</v>
      </c>
      <c r="BP372" s="407">
        <f>IF(BM372&lt;=MiscData!$B$23,MiscData!$C$23,IF(BM372&lt;=MiscData!$B$24,MiscData!$C$24,MiscData!$C$25))</f>
        <v>20140101</v>
      </c>
      <c r="BQ372" s="407" t="str">
        <f>VLOOKUP(BR372,MiscData!$V$4:$W$42,2,FALSE)</f>
        <v>KUCME226</v>
      </c>
      <c r="BR372" s="407">
        <f>IF(BR371=MiscData!$V$42,1,BR371+1)</f>
        <v>18</v>
      </c>
      <c r="BS372" s="407" t="str">
        <f>VLOOKUP(BQ372,MiscData!$W$4:$Y$42,3,FALSE)</f>
        <v>AES</v>
      </c>
    </row>
    <row r="373" spans="1:71" hidden="1">
      <c r="A373" s="416">
        <f t="shared" si="279"/>
        <v>343</v>
      </c>
      <c r="B373" s="416" t="str">
        <f t="shared" si="239"/>
        <v>Oct 2014</v>
      </c>
      <c r="C373" s="837" t="s">
        <v>228</v>
      </c>
      <c r="D373" s="417" t="str">
        <f t="shared" si="240"/>
        <v>AES3</v>
      </c>
      <c r="E373" s="417" t="str">
        <f t="shared" si="241"/>
        <v>KUCME227</v>
      </c>
      <c r="F373" s="418">
        <f t="shared" si="245"/>
        <v>0</v>
      </c>
      <c r="G373" s="467">
        <v>0</v>
      </c>
      <c r="H373" s="418">
        <v>0</v>
      </c>
      <c r="I373" s="418">
        <v>0</v>
      </c>
      <c r="J373" s="418">
        <v>0</v>
      </c>
      <c r="K373" s="418">
        <f t="shared" si="246"/>
        <v>0</v>
      </c>
      <c r="L373" s="481">
        <v>0</v>
      </c>
      <c r="M373" s="443">
        <f t="shared" si="247"/>
        <v>0</v>
      </c>
      <c r="N373" s="443">
        <f t="shared" si="248"/>
        <v>0</v>
      </c>
      <c r="O373" s="443">
        <f t="shared" si="249"/>
        <v>0</v>
      </c>
      <c r="P373" s="443">
        <f t="shared" si="250"/>
        <v>0</v>
      </c>
      <c r="Q373" s="443">
        <f t="shared" si="251"/>
        <v>0</v>
      </c>
      <c r="R373" s="443">
        <f t="shared" si="252"/>
        <v>0</v>
      </c>
      <c r="S373" s="484">
        <v>0</v>
      </c>
      <c r="T373" s="484">
        <v>0</v>
      </c>
      <c r="U373" s="484">
        <v>0</v>
      </c>
      <c r="V373" s="490">
        <v>0</v>
      </c>
      <c r="W373" s="490">
        <v>0</v>
      </c>
      <c r="X373" s="490">
        <v>0</v>
      </c>
      <c r="Y373" s="419">
        <f t="shared" si="253"/>
        <v>35</v>
      </c>
      <c r="Z373" s="420">
        <f t="shared" si="254"/>
        <v>7.4399999999999994E-2</v>
      </c>
      <c r="AA373" s="420">
        <v>0</v>
      </c>
      <c r="AB373" s="420">
        <v>0</v>
      </c>
      <c r="AC373" s="420">
        <f t="shared" si="255"/>
        <v>2.8920000000000001E-2</v>
      </c>
      <c r="AD373" s="419">
        <f t="shared" si="256"/>
        <v>0</v>
      </c>
      <c r="AE373" s="419">
        <f t="shared" si="257"/>
        <v>0</v>
      </c>
      <c r="AF373" s="419">
        <f t="shared" si="258"/>
        <v>0</v>
      </c>
      <c r="AG373" s="454">
        <f t="shared" si="259"/>
        <v>0</v>
      </c>
      <c r="AH373" s="454">
        <f t="shared" si="282"/>
        <v>0</v>
      </c>
      <c r="AI373" s="421">
        <f t="shared" si="260"/>
        <v>0</v>
      </c>
      <c r="AJ373" s="421">
        <f t="shared" si="261"/>
        <v>0</v>
      </c>
      <c r="AK373" s="421">
        <f t="shared" si="262"/>
        <v>0</v>
      </c>
      <c r="AL373" s="472">
        <v>0</v>
      </c>
      <c r="AM373" s="422">
        <f t="shared" si="280"/>
        <v>0</v>
      </c>
      <c r="AN373" s="423">
        <f t="shared" si="263"/>
        <v>0</v>
      </c>
      <c r="AO373" s="421">
        <f t="shared" si="264"/>
        <v>0</v>
      </c>
      <c r="AP373" s="472">
        <v>0</v>
      </c>
      <c r="AQ373" s="472">
        <v>0</v>
      </c>
      <c r="AR373" s="472">
        <v>0</v>
      </c>
      <c r="AS373" s="475">
        <v>0</v>
      </c>
      <c r="AT373" s="475">
        <v>0</v>
      </c>
      <c r="AU373" s="475">
        <v>0</v>
      </c>
      <c r="AV373" s="454">
        <f t="shared" si="265"/>
        <v>0</v>
      </c>
      <c r="AW373" s="421">
        <f t="shared" si="266"/>
        <v>0</v>
      </c>
      <c r="AX373" s="455">
        <f t="shared" si="283"/>
        <v>1</v>
      </c>
      <c r="AY373" s="424">
        <f t="shared" si="268"/>
        <v>0</v>
      </c>
      <c r="AZ373" s="424">
        <f t="shared" si="269"/>
        <v>0</v>
      </c>
      <c r="BA373" s="424">
        <f t="shared" si="270"/>
        <v>0</v>
      </c>
      <c r="BB373" s="424">
        <f t="shared" si="271"/>
        <v>0</v>
      </c>
      <c r="BC373" s="424">
        <f t="shared" si="272"/>
        <v>0</v>
      </c>
      <c r="BD373" s="424">
        <f t="shared" si="273"/>
        <v>0</v>
      </c>
      <c r="BE373" s="452">
        <f t="shared" si="274"/>
        <v>0</v>
      </c>
      <c r="BF373" s="448">
        <f t="shared" si="275"/>
        <v>0</v>
      </c>
      <c r="BG373" s="456">
        <f t="shared" si="276"/>
        <v>0</v>
      </c>
      <c r="BH373" s="457">
        <f t="shared" si="242"/>
        <v>0</v>
      </c>
      <c r="BI373" s="407" t="s">
        <v>1490</v>
      </c>
      <c r="BM373" s="429">
        <f>IF(BR373&gt;BR372,BM372,IF(BM372&lt;MiscData!$F$1,EOMONTH(BM372,1),EOMONTH(BM372,-11)))</f>
        <v>41943</v>
      </c>
      <c r="BN373" s="416" t="str">
        <f t="shared" si="243"/>
        <v>20140101KUCME227</v>
      </c>
      <c r="BO373" s="427" t="str">
        <f t="shared" si="244"/>
        <v>20140101AES3</v>
      </c>
      <c r="BP373" s="407">
        <f>IF(BM373&lt;=MiscData!$B$23,MiscData!$C$23,IF(BM373&lt;=MiscData!$B$24,MiscData!$C$24,MiscData!$C$25))</f>
        <v>20140101</v>
      </c>
      <c r="BQ373" s="407" t="str">
        <f>VLOOKUP(BR373,MiscData!$V$4:$W$42,2,FALSE)</f>
        <v>KUCME227</v>
      </c>
      <c r="BR373" s="407">
        <f>IF(BR372=MiscData!$V$42,1,BR372+1)</f>
        <v>19</v>
      </c>
      <c r="BS373" s="407" t="str">
        <f>VLOOKUP(BQ373,MiscData!$W$4:$Y$42,3,FALSE)</f>
        <v>AES3</v>
      </c>
    </row>
    <row r="374" spans="1:71" hidden="1">
      <c r="A374" s="416">
        <f t="shared" si="279"/>
        <v>344</v>
      </c>
      <c r="B374" s="416" t="str">
        <f t="shared" si="239"/>
        <v>Oct 2014</v>
      </c>
      <c r="C374" s="416" t="s">
        <v>20</v>
      </c>
      <c r="D374" s="417" t="str">
        <f t="shared" si="240"/>
        <v>LE</v>
      </c>
      <c r="E374" s="417" t="str">
        <f t="shared" si="241"/>
        <v>KUCME290</v>
      </c>
      <c r="F374" s="418">
        <f t="shared" si="245"/>
        <v>2</v>
      </c>
      <c r="G374" s="467">
        <v>0</v>
      </c>
      <c r="H374" s="418">
        <v>0</v>
      </c>
      <c r="I374" s="418">
        <v>0</v>
      </c>
      <c r="J374" s="418">
        <v>0</v>
      </c>
      <c r="K374" s="418">
        <f t="shared" si="246"/>
        <v>14105</v>
      </c>
      <c r="L374" s="481">
        <v>0</v>
      </c>
      <c r="M374" s="443">
        <f t="shared" si="247"/>
        <v>0</v>
      </c>
      <c r="N374" s="443">
        <f t="shared" si="248"/>
        <v>0</v>
      </c>
      <c r="O374" s="443">
        <f t="shared" si="249"/>
        <v>0</v>
      </c>
      <c r="P374" s="443">
        <f t="shared" si="250"/>
        <v>0</v>
      </c>
      <c r="Q374" s="443">
        <f t="shared" si="251"/>
        <v>0</v>
      </c>
      <c r="R374" s="443">
        <f t="shared" si="252"/>
        <v>0</v>
      </c>
      <c r="S374" s="484">
        <v>0</v>
      </c>
      <c r="T374" s="484">
        <v>0</v>
      </c>
      <c r="U374" s="484">
        <v>0</v>
      </c>
      <c r="V374" s="490">
        <v>0</v>
      </c>
      <c r="W374" s="490">
        <v>0</v>
      </c>
      <c r="X374" s="490">
        <v>0</v>
      </c>
      <c r="Y374" s="419">
        <f t="shared" si="253"/>
        <v>0</v>
      </c>
      <c r="Z374" s="420">
        <f t="shared" si="254"/>
        <v>6.3799999999999996E-2</v>
      </c>
      <c r="AA374" s="420">
        <v>0</v>
      </c>
      <c r="AB374" s="420">
        <v>0</v>
      </c>
      <c r="AC374" s="420">
        <f t="shared" si="255"/>
        <v>2.8920000000000001E-2</v>
      </c>
      <c r="AD374" s="419">
        <f t="shared" si="256"/>
        <v>0</v>
      </c>
      <c r="AE374" s="419">
        <f t="shared" si="257"/>
        <v>0</v>
      </c>
      <c r="AF374" s="419">
        <f t="shared" si="258"/>
        <v>0</v>
      </c>
      <c r="AG374" s="454">
        <f t="shared" si="259"/>
        <v>0</v>
      </c>
      <c r="AH374" s="454">
        <f t="shared" si="282"/>
        <v>899.9</v>
      </c>
      <c r="AI374" s="421">
        <f t="shared" si="260"/>
        <v>0</v>
      </c>
      <c r="AJ374" s="421">
        <f t="shared" si="261"/>
        <v>0</v>
      </c>
      <c r="AK374" s="421">
        <f t="shared" si="262"/>
        <v>0</v>
      </c>
      <c r="AL374" s="472">
        <v>0</v>
      </c>
      <c r="AM374" s="422">
        <f t="shared" si="280"/>
        <v>0</v>
      </c>
      <c r="AN374" s="423">
        <f t="shared" si="263"/>
        <v>0</v>
      </c>
      <c r="AO374" s="421">
        <f t="shared" si="264"/>
        <v>0</v>
      </c>
      <c r="AP374" s="472">
        <v>0</v>
      </c>
      <c r="AQ374" s="472">
        <v>0</v>
      </c>
      <c r="AR374" s="472">
        <v>0</v>
      </c>
      <c r="AS374" s="475">
        <v>0</v>
      </c>
      <c r="AT374" s="475">
        <v>0</v>
      </c>
      <c r="AU374" s="475">
        <v>0</v>
      </c>
      <c r="AV374" s="454">
        <f t="shared" si="265"/>
        <v>899.9</v>
      </c>
      <c r="AW374" s="421">
        <f t="shared" si="266"/>
        <v>900</v>
      </c>
      <c r="AX374" s="455">
        <f t="shared" ref="AX374:AX379" si="284">IF(AND(AV374=0,AW374=0),1,IF(AV374=0,0,AW374/AV374))</f>
        <v>1.0001111234581621</v>
      </c>
      <c r="AY374" s="424">
        <f t="shared" si="268"/>
        <v>11</v>
      </c>
      <c r="AZ374" s="424">
        <f t="shared" si="269"/>
        <v>0</v>
      </c>
      <c r="BA374" s="424">
        <f t="shared" si="270"/>
        <v>53</v>
      </c>
      <c r="BB374" s="424">
        <f t="shared" si="271"/>
        <v>0</v>
      </c>
      <c r="BC374" s="424">
        <f t="shared" si="272"/>
        <v>0</v>
      </c>
      <c r="BD374" s="424">
        <f t="shared" si="273"/>
        <v>964</v>
      </c>
      <c r="BE374" s="452">
        <f t="shared" si="274"/>
        <v>963.9</v>
      </c>
      <c r="BF374" s="448">
        <f t="shared" si="275"/>
        <v>0.10000000000002274</v>
      </c>
      <c r="BG374" s="456">
        <f t="shared" si="276"/>
        <v>407.92</v>
      </c>
      <c r="BH374" s="457">
        <f t="shared" si="242"/>
        <v>491.97999999999996</v>
      </c>
      <c r="BI374" s="407" t="s">
        <v>1490</v>
      </c>
      <c r="BM374" s="429">
        <f>IF(BR374&gt;BR373,BM373,IF(BM373&lt;MiscData!$F$1,EOMONTH(BM373,1),EOMONTH(BM373,-11)))</f>
        <v>41943</v>
      </c>
      <c r="BN374" s="416" t="str">
        <f t="shared" si="243"/>
        <v>20140101KUCME290</v>
      </c>
      <c r="BO374" s="427" t="str">
        <f t="shared" si="244"/>
        <v>20140101LE</v>
      </c>
      <c r="BP374" s="407">
        <f>IF(BM374&lt;=MiscData!$B$23,MiscData!$C$23,IF(BM374&lt;=MiscData!$B$24,MiscData!$C$24,MiscData!$C$25))</f>
        <v>20140101</v>
      </c>
      <c r="BQ374" s="407" t="str">
        <f>VLOOKUP(BR374,MiscData!$V$4:$W$42,2,FALSE)</f>
        <v>KUCME290</v>
      </c>
      <c r="BR374" s="407">
        <f>IF(BR373=MiscData!$V$42,1,BR373+1)</f>
        <v>20</v>
      </c>
      <c r="BS374" s="407" t="str">
        <f>VLOOKUP(BQ374,MiscData!$W$4:$Y$42,3,FALSE)</f>
        <v>LE</v>
      </c>
    </row>
    <row r="375" spans="1:71" hidden="1">
      <c r="A375" s="416">
        <f t="shared" si="279"/>
        <v>345</v>
      </c>
      <c r="B375" s="416" t="str">
        <f t="shared" si="239"/>
        <v>Oct 2014</v>
      </c>
      <c r="C375" s="416" t="s">
        <v>20</v>
      </c>
      <c r="D375" s="417" t="str">
        <f t="shared" si="240"/>
        <v>LE</v>
      </c>
      <c r="E375" s="417" t="str">
        <f t="shared" si="241"/>
        <v>KUCME291</v>
      </c>
      <c r="F375" s="418">
        <f t="shared" si="245"/>
        <v>0</v>
      </c>
      <c r="G375" s="467">
        <v>0</v>
      </c>
      <c r="H375" s="418">
        <v>0</v>
      </c>
      <c r="I375" s="418">
        <v>0</v>
      </c>
      <c r="J375" s="418">
        <v>0</v>
      </c>
      <c r="K375" s="418">
        <f t="shared" si="246"/>
        <v>0</v>
      </c>
      <c r="L375" s="481">
        <v>0</v>
      </c>
      <c r="M375" s="443">
        <f t="shared" si="247"/>
        <v>0</v>
      </c>
      <c r="N375" s="443">
        <f t="shared" si="248"/>
        <v>0</v>
      </c>
      <c r="O375" s="443">
        <f t="shared" si="249"/>
        <v>0</v>
      </c>
      <c r="P375" s="443">
        <f t="shared" si="250"/>
        <v>0</v>
      </c>
      <c r="Q375" s="443">
        <f t="shared" si="251"/>
        <v>0</v>
      </c>
      <c r="R375" s="443">
        <f t="shared" si="252"/>
        <v>0</v>
      </c>
      <c r="S375" s="484">
        <v>0</v>
      </c>
      <c r="T375" s="484">
        <v>0</v>
      </c>
      <c r="U375" s="484">
        <v>0</v>
      </c>
      <c r="V375" s="490">
        <v>0</v>
      </c>
      <c r="W375" s="490">
        <v>0</v>
      </c>
      <c r="X375" s="490">
        <v>0</v>
      </c>
      <c r="Y375" s="419">
        <f t="shared" si="253"/>
        <v>0</v>
      </c>
      <c r="Z375" s="420">
        <f t="shared" si="254"/>
        <v>6.3799999999999996E-2</v>
      </c>
      <c r="AA375" s="420">
        <v>0</v>
      </c>
      <c r="AB375" s="420">
        <v>0</v>
      </c>
      <c r="AC375" s="420">
        <f t="shared" si="255"/>
        <v>2.8920000000000001E-2</v>
      </c>
      <c r="AD375" s="419">
        <f t="shared" si="256"/>
        <v>0</v>
      </c>
      <c r="AE375" s="419">
        <f t="shared" si="257"/>
        <v>0</v>
      </c>
      <c r="AF375" s="419">
        <f t="shared" si="258"/>
        <v>0</v>
      </c>
      <c r="AG375" s="454">
        <f t="shared" si="259"/>
        <v>0</v>
      </c>
      <c r="AH375" s="454">
        <f t="shared" si="282"/>
        <v>0</v>
      </c>
      <c r="AI375" s="421">
        <f t="shared" si="260"/>
        <v>0</v>
      </c>
      <c r="AJ375" s="421">
        <f t="shared" si="261"/>
        <v>0</v>
      </c>
      <c r="AK375" s="421">
        <f t="shared" si="262"/>
        <v>0</v>
      </c>
      <c r="AL375" s="472">
        <v>0</v>
      </c>
      <c r="AM375" s="422">
        <f t="shared" si="280"/>
        <v>0</v>
      </c>
      <c r="AN375" s="423">
        <f t="shared" si="263"/>
        <v>0</v>
      </c>
      <c r="AO375" s="421">
        <f t="shared" si="264"/>
        <v>0</v>
      </c>
      <c r="AP375" s="472">
        <v>0</v>
      </c>
      <c r="AQ375" s="472">
        <v>0</v>
      </c>
      <c r="AR375" s="472">
        <v>0</v>
      </c>
      <c r="AS375" s="475">
        <v>0</v>
      </c>
      <c r="AT375" s="475">
        <v>0</v>
      </c>
      <c r="AU375" s="475">
        <v>0</v>
      </c>
      <c r="AV375" s="454">
        <f t="shared" si="265"/>
        <v>0</v>
      </c>
      <c r="AW375" s="421">
        <f t="shared" si="266"/>
        <v>0</v>
      </c>
      <c r="AX375" s="455">
        <f t="shared" si="284"/>
        <v>1</v>
      </c>
      <c r="AY375" s="424">
        <f t="shared" si="268"/>
        <v>0</v>
      </c>
      <c r="AZ375" s="424">
        <f t="shared" si="269"/>
        <v>0</v>
      </c>
      <c r="BA375" s="424">
        <f t="shared" si="270"/>
        <v>0</v>
      </c>
      <c r="BB375" s="424">
        <f t="shared" si="271"/>
        <v>0</v>
      </c>
      <c r="BC375" s="424">
        <f t="shared" si="272"/>
        <v>0</v>
      </c>
      <c r="BD375" s="424">
        <f t="shared" si="273"/>
        <v>0</v>
      </c>
      <c r="BE375" s="452">
        <f t="shared" si="274"/>
        <v>0</v>
      </c>
      <c r="BF375" s="448">
        <f t="shared" si="275"/>
        <v>0</v>
      </c>
      <c r="BG375" s="456">
        <f t="shared" si="276"/>
        <v>0</v>
      </c>
      <c r="BH375" s="457">
        <f t="shared" si="242"/>
        <v>0</v>
      </c>
      <c r="BI375" s="407" t="s">
        <v>1490</v>
      </c>
      <c r="BM375" s="429">
        <f>IF(BR375&gt;BR374,BM374,IF(BM374&lt;MiscData!$F$1,EOMONTH(BM374,1),EOMONTH(BM374,-11)))</f>
        <v>41943</v>
      </c>
      <c r="BN375" s="416" t="str">
        <f t="shared" si="243"/>
        <v>20140101KUCME291</v>
      </c>
      <c r="BO375" s="427" t="str">
        <f t="shared" si="244"/>
        <v>20140101LE</v>
      </c>
      <c r="BP375" s="407">
        <f>IF(BM375&lt;=MiscData!$B$23,MiscData!$C$23,IF(BM375&lt;=MiscData!$B$24,MiscData!$C$24,MiscData!$C$25))</f>
        <v>20140101</v>
      </c>
      <c r="BQ375" s="407" t="str">
        <f>VLOOKUP(BR375,MiscData!$V$4:$W$42,2,FALSE)</f>
        <v>KUCME291</v>
      </c>
      <c r="BR375" s="407">
        <f>IF(BR374=MiscData!$V$42,1,BR374+1)</f>
        <v>21</v>
      </c>
      <c r="BS375" s="407" t="str">
        <f>VLOOKUP(BQ375,MiscData!$W$4:$Y$42,3,FALSE)</f>
        <v>LE</v>
      </c>
    </row>
    <row r="376" spans="1:71" hidden="1">
      <c r="A376" s="416">
        <f t="shared" si="279"/>
        <v>346</v>
      </c>
      <c r="B376" s="416" t="str">
        <f t="shared" si="239"/>
        <v>Oct 2014</v>
      </c>
      <c r="C376" s="416" t="s">
        <v>21</v>
      </c>
      <c r="D376" s="417" t="str">
        <f t="shared" si="240"/>
        <v>TE</v>
      </c>
      <c r="E376" s="417" t="str">
        <f t="shared" si="241"/>
        <v>KUCME295</v>
      </c>
      <c r="F376" s="418">
        <f t="shared" si="245"/>
        <v>747</v>
      </c>
      <c r="G376" s="467">
        <v>0</v>
      </c>
      <c r="H376" s="418">
        <v>0</v>
      </c>
      <c r="I376" s="418">
        <v>0</v>
      </c>
      <c r="J376" s="418">
        <v>0</v>
      </c>
      <c r="K376" s="418">
        <f t="shared" si="246"/>
        <v>97932</v>
      </c>
      <c r="L376" s="481">
        <v>0</v>
      </c>
      <c r="M376" s="443">
        <f t="shared" si="247"/>
        <v>0</v>
      </c>
      <c r="N376" s="443">
        <f t="shared" si="248"/>
        <v>0</v>
      </c>
      <c r="O376" s="443">
        <f t="shared" si="249"/>
        <v>0</v>
      </c>
      <c r="P376" s="443">
        <f t="shared" si="250"/>
        <v>0</v>
      </c>
      <c r="Q376" s="443">
        <f t="shared" si="251"/>
        <v>0</v>
      </c>
      <c r="R376" s="443">
        <f t="shared" si="252"/>
        <v>0</v>
      </c>
      <c r="S376" s="484">
        <v>0</v>
      </c>
      <c r="T376" s="484">
        <v>0</v>
      </c>
      <c r="U376" s="484">
        <v>0</v>
      </c>
      <c r="V376" s="490">
        <v>0</v>
      </c>
      <c r="W376" s="490">
        <v>0</v>
      </c>
      <c r="X376" s="490">
        <v>0</v>
      </c>
      <c r="Y376" s="419">
        <f t="shared" si="253"/>
        <v>3.25</v>
      </c>
      <c r="Z376" s="420">
        <f t="shared" si="254"/>
        <v>7.9780000000000004E-2</v>
      </c>
      <c r="AA376" s="420">
        <v>0</v>
      </c>
      <c r="AB376" s="420">
        <v>0</v>
      </c>
      <c r="AC376" s="420">
        <f t="shared" si="255"/>
        <v>2.8920000000000001E-2</v>
      </c>
      <c r="AD376" s="419">
        <f t="shared" si="256"/>
        <v>0</v>
      </c>
      <c r="AE376" s="419">
        <f t="shared" si="257"/>
        <v>0</v>
      </c>
      <c r="AF376" s="419">
        <f t="shared" si="258"/>
        <v>0</v>
      </c>
      <c r="AG376" s="454">
        <f t="shared" si="259"/>
        <v>2427.75</v>
      </c>
      <c r="AH376" s="454">
        <f t="shared" si="282"/>
        <v>7813.01</v>
      </c>
      <c r="AI376" s="421">
        <f t="shared" si="260"/>
        <v>0</v>
      </c>
      <c r="AJ376" s="421">
        <f t="shared" si="261"/>
        <v>0</v>
      </c>
      <c r="AK376" s="421">
        <f t="shared" si="262"/>
        <v>0</v>
      </c>
      <c r="AL376" s="472">
        <v>0</v>
      </c>
      <c r="AM376" s="422">
        <f t="shared" si="280"/>
        <v>0</v>
      </c>
      <c r="AN376" s="423">
        <f t="shared" si="263"/>
        <v>0</v>
      </c>
      <c r="AO376" s="421">
        <f t="shared" si="264"/>
        <v>0</v>
      </c>
      <c r="AP376" s="472">
        <v>0</v>
      </c>
      <c r="AQ376" s="472">
        <v>0</v>
      </c>
      <c r="AR376" s="472">
        <v>0</v>
      </c>
      <c r="AS376" s="475">
        <v>0</v>
      </c>
      <c r="AT376" s="475">
        <v>0</v>
      </c>
      <c r="AU376" s="475">
        <v>0</v>
      </c>
      <c r="AV376" s="454">
        <f t="shared" si="265"/>
        <v>10240.76</v>
      </c>
      <c r="AW376" s="421">
        <f t="shared" si="266"/>
        <v>10240.75</v>
      </c>
      <c r="AX376" s="455">
        <f t="shared" si="284"/>
        <v>0.99999902350997383</v>
      </c>
      <c r="AY376" s="424">
        <f t="shared" si="268"/>
        <v>75</v>
      </c>
      <c r="AZ376" s="424">
        <f t="shared" si="269"/>
        <v>0</v>
      </c>
      <c r="BA376" s="424">
        <f t="shared" si="270"/>
        <v>366</v>
      </c>
      <c r="BB376" s="424">
        <f t="shared" si="271"/>
        <v>0</v>
      </c>
      <c r="BC376" s="424">
        <f t="shared" si="272"/>
        <v>0</v>
      </c>
      <c r="BD376" s="424">
        <f t="shared" si="273"/>
        <v>10681.75</v>
      </c>
      <c r="BE376" s="452">
        <f t="shared" si="274"/>
        <v>10681.76</v>
      </c>
      <c r="BF376" s="448">
        <f t="shared" si="275"/>
        <v>-1.0000000000218279E-2</v>
      </c>
      <c r="BG376" s="456">
        <f t="shared" si="276"/>
        <v>2832.19</v>
      </c>
      <c r="BH376" s="457">
        <f t="shared" si="242"/>
        <v>4980.82</v>
      </c>
      <c r="BI376" s="407" t="s">
        <v>1490</v>
      </c>
      <c r="BM376" s="429">
        <f>IF(BR376&gt;BR375,BM375,IF(BM375&lt;MiscData!$F$1,EOMONTH(BM375,1),EOMONTH(BM375,-11)))</f>
        <v>41943</v>
      </c>
      <c r="BN376" s="416" t="str">
        <f t="shared" si="243"/>
        <v>20140101KUCME295</v>
      </c>
      <c r="BO376" s="427" t="str">
        <f t="shared" si="244"/>
        <v>20140101TE</v>
      </c>
      <c r="BP376" s="407">
        <f>IF(BM376&lt;=MiscData!$B$23,MiscData!$C$23,IF(BM376&lt;=MiscData!$B$24,MiscData!$C$24,MiscData!$C$25))</f>
        <v>20140101</v>
      </c>
      <c r="BQ376" s="407" t="str">
        <f>VLOOKUP(BR376,MiscData!$V$4:$W$42,2,FALSE)</f>
        <v>KUCME295</v>
      </c>
      <c r="BR376" s="407">
        <f>IF(BR375=MiscData!$V$42,1,BR375+1)</f>
        <v>22</v>
      </c>
      <c r="BS376" s="407" t="str">
        <f>VLOOKUP(BQ376,MiscData!$W$4:$Y$42,3,FALSE)</f>
        <v>TE</v>
      </c>
    </row>
    <row r="377" spans="1:71" hidden="1">
      <c r="A377" s="416">
        <f t="shared" si="279"/>
        <v>347</v>
      </c>
      <c r="B377" s="416" t="str">
        <f t="shared" si="239"/>
        <v>Oct 2014</v>
      </c>
      <c r="C377" s="416" t="s">
        <v>21</v>
      </c>
      <c r="D377" s="417" t="str">
        <f t="shared" si="240"/>
        <v>TE</v>
      </c>
      <c r="E377" s="417" t="str">
        <f t="shared" si="241"/>
        <v>KUCME297</v>
      </c>
      <c r="F377" s="418">
        <f t="shared" si="245"/>
        <v>0</v>
      </c>
      <c r="G377" s="467">
        <v>0</v>
      </c>
      <c r="H377" s="418">
        <v>0</v>
      </c>
      <c r="I377" s="418">
        <v>0</v>
      </c>
      <c r="J377" s="418">
        <v>0</v>
      </c>
      <c r="K377" s="418">
        <f t="shared" si="246"/>
        <v>0</v>
      </c>
      <c r="L377" s="481">
        <v>0</v>
      </c>
      <c r="M377" s="443">
        <f t="shared" si="247"/>
        <v>0</v>
      </c>
      <c r="N377" s="443">
        <f t="shared" si="248"/>
        <v>0</v>
      </c>
      <c r="O377" s="443">
        <f t="shared" si="249"/>
        <v>0</v>
      </c>
      <c r="P377" s="443">
        <f t="shared" si="250"/>
        <v>0</v>
      </c>
      <c r="Q377" s="443">
        <f t="shared" si="251"/>
        <v>0</v>
      </c>
      <c r="R377" s="443">
        <f t="shared" si="252"/>
        <v>0</v>
      </c>
      <c r="S377" s="484">
        <v>0</v>
      </c>
      <c r="T377" s="484">
        <v>0</v>
      </c>
      <c r="U377" s="484">
        <v>0</v>
      </c>
      <c r="V377" s="490">
        <v>0</v>
      </c>
      <c r="W377" s="490">
        <v>0</v>
      </c>
      <c r="X377" s="490">
        <v>0</v>
      </c>
      <c r="Y377" s="419">
        <f t="shared" si="253"/>
        <v>3.25</v>
      </c>
      <c r="Z377" s="420">
        <f t="shared" si="254"/>
        <v>7.9780000000000004E-2</v>
      </c>
      <c r="AA377" s="420">
        <v>0</v>
      </c>
      <c r="AB377" s="420">
        <v>0</v>
      </c>
      <c r="AC377" s="420">
        <f t="shared" si="255"/>
        <v>2.8920000000000001E-2</v>
      </c>
      <c r="AD377" s="419">
        <f t="shared" si="256"/>
        <v>0</v>
      </c>
      <c r="AE377" s="419">
        <f t="shared" si="257"/>
        <v>0</v>
      </c>
      <c r="AF377" s="419">
        <f t="shared" si="258"/>
        <v>0</v>
      </c>
      <c r="AG377" s="454">
        <f t="shared" si="259"/>
        <v>0</v>
      </c>
      <c r="AH377" s="454">
        <f t="shared" si="282"/>
        <v>0</v>
      </c>
      <c r="AI377" s="421">
        <f t="shared" si="260"/>
        <v>0</v>
      </c>
      <c r="AJ377" s="421">
        <f t="shared" si="261"/>
        <v>0</v>
      </c>
      <c r="AK377" s="421">
        <f t="shared" si="262"/>
        <v>0</v>
      </c>
      <c r="AL377" s="472">
        <v>0</v>
      </c>
      <c r="AM377" s="422">
        <f t="shared" si="280"/>
        <v>0</v>
      </c>
      <c r="AN377" s="423">
        <f t="shared" si="263"/>
        <v>0</v>
      </c>
      <c r="AO377" s="421">
        <f t="shared" si="264"/>
        <v>0</v>
      </c>
      <c r="AP377" s="472">
        <v>0</v>
      </c>
      <c r="AQ377" s="472">
        <v>0</v>
      </c>
      <c r="AR377" s="472">
        <v>0</v>
      </c>
      <c r="AS377" s="475">
        <v>0</v>
      </c>
      <c r="AT377" s="475">
        <v>0</v>
      </c>
      <c r="AU377" s="475">
        <v>0</v>
      </c>
      <c r="AV377" s="454">
        <f t="shared" si="265"/>
        <v>0</v>
      </c>
      <c r="AW377" s="421">
        <f t="shared" si="266"/>
        <v>0</v>
      </c>
      <c r="AX377" s="455">
        <f t="shared" si="284"/>
        <v>1</v>
      </c>
      <c r="AY377" s="424">
        <f t="shared" si="268"/>
        <v>0</v>
      </c>
      <c r="AZ377" s="424">
        <f t="shared" si="269"/>
        <v>0</v>
      </c>
      <c r="BA377" s="424">
        <f t="shared" si="270"/>
        <v>0</v>
      </c>
      <c r="BB377" s="424">
        <f t="shared" si="271"/>
        <v>0</v>
      </c>
      <c r="BC377" s="424">
        <f t="shared" si="272"/>
        <v>0</v>
      </c>
      <c r="BD377" s="424">
        <f t="shared" si="273"/>
        <v>0</v>
      </c>
      <c r="BE377" s="452">
        <f t="shared" si="274"/>
        <v>0</v>
      </c>
      <c r="BF377" s="448">
        <f t="shared" si="275"/>
        <v>0</v>
      </c>
      <c r="BG377" s="456">
        <f t="shared" si="276"/>
        <v>0</v>
      </c>
      <c r="BH377" s="457">
        <f t="shared" si="242"/>
        <v>0</v>
      </c>
      <c r="BI377" s="407" t="s">
        <v>1490</v>
      </c>
      <c r="BM377" s="429">
        <f>IF(BR377&gt;BR376,BM376,IF(BM376&lt;MiscData!$F$1,EOMONTH(BM376,1),EOMONTH(BM376,-11)))</f>
        <v>41943</v>
      </c>
      <c r="BN377" s="416" t="str">
        <f t="shared" si="243"/>
        <v>20140101KUCME297</v>
      </c>
      <c r="BO377" s="427" t="str">
        <f t="shared" si="244"/>
        <v>20140101TE</v>
      </c>
      <c r="BP377" s="407">
        <f>IF(BM377&lt;=MiscData!$B$23,MiscData!$C$23,IF(BM377&lt;=MiscData!$B$24,MiscData!$C$24,MiscData!$C$25))</f>
        <v>20140101</v>
      </c>
      <c r="BQ377" s="407" t="str">
        <f>VLOOKUP(BR377,MiscData!$V$4:$W$42,2,FALSE)</f>
        <v>KUCME297</v>
      </c>
      <c r="BR377" s="407">
        <f>IF(BR376=MiscData!$V$42,1,BR376+1)</f>
        <v>23</v>
      </c>
      <c r="BS377" s="407" t="str">
        <f>VLOOKUP(BQ377,MiscData!$W$4:$Y$42,3,FALSE)</f>
        <v>TE</v>
      </c>
    </row>
    <row r="378" spans="1:71" hidden="1">
      <c r="A378" s="416">
        <f t="shared" si="279"/>
        <v>348</v>
      </c>
      <c r="B378" s="416" t="str">
        <f t="shared" si="239"/>
        <v>Oct 2014</v>
      </c>
      <c r="C378" s="416" t="s">
        <v>727</v>
      </c>
      <c r="D378" s="417" t="str">
        <f t="shared" si="240"/>
        <v>SQF</v>
      </c>
      <c r="E378" s="417" t="str">
        <f t="shared" si="241"/>
        <v>KUCME705</v>
      </c>
      <c r="F378" s="418">
        <f t="shared" si="245"/>
        <v>0</v>
      </c>
      <c r="G378" s="467">
        <v>0</v>
      </c>
      <c r="H378" s="418">
        <v>0</v>
      </c>
      <c r="I378" s="418">
        <v>0</v>
      </c>
      <c r="J378" s="418">
        <v>0</v>
      </c>
      <c r="K378" s="418">
        <f t="shared" si="246"/>
        <v>0</v>
      </c>
      <c r="L378" s="481">
        <v>0</v>
      </c>
      <c r="M378" s="443">
        <f t="shared" si="247"/>
        <v>0</v>
      </c>
      <c r="N378" s="443">
        <f t="shared" si="248"/>
        <v>0</v>
      </c>
      <c r="O378" s="443">
        <f t="shared" si="249"/>
        <v>0</v>
      </c>
      <c r="P378" s="443">
        <f t="shared" si="250"/>
        <v>0</v>
      </c>
      <c r="Q378" s="443">
        <f t="shared" si="251"/>
        <v>0</v>
      </c>
      <c r="R378" s="443">
        <f t="shared" si="252"/>
        <v>0</v>
      </c>
      <c r="S378" s="484">
        <v>0</v>
      </c>
      <c r="T378" s="484">
        <v>0</v>
      </c>
      <c r="U378" s="484">
        <v>0</v>
      </c>
      <c r="V378" s="490">
        <v>0</v>
      </c>
      <c r="W378" s="490">
        <v>0</v>
      </c>
      <c r="X378" s="490">
        <v>0</v>
      </c>
      <c r="Y378" s="419">
        <f t="shared" si="253"/>
        <v>0</v>
      </c>
      <c r="Z378" s="420">
        <f t="shared" si="254"/>
        <v>0</v>
      </c>
      <c r="AA378" s="420">
        <v>0</v>
      </c>
      <c r="AB378" s="420">
        <v>0</v>
      </c>
      <c r="AC378" s="420">
        <f t="shared" si="255"/>
        <v>0</v>
      </c>
      <c r="AD378" s="419">
        <f t="shared" si="256"/>
        <v>0</v>
      </c>
      <c r="AE378" s="419">
        <f t="shared" si="257"/>
        <v>0</v>
      </c>
      <c r="AF378" s="419">
        <f t="shared" si="258"/>
        <v>0</v>
      </c>
      <c r="AG378" s="454">
        <f t="shared" si="259"/>
        <v>0</v>
      </c>
      <c r="AH378" s="454">
        <f t="shared" si="282"/>
        <v>0</v>
      </c>
      <c r="AI378" s="421">
        <f t="shared" si="260"/>
        <v>0</v>
      </c>
      <c r="AJ378" s="421">
        <f t="shared" si="261"/>
        <v>0</v>
      </c>
      <c r="AK378" s="421">
        <f t="shared" si="262"/>
        <v>0</v>
      </c>
      <c r="AL378" s="472">
        <v>0</v>
      </c>
      <c r="AM378" s="422">
        <f t="shared" si="280"/>
        <v>0</v>
      </c>
      <c r="AN378" s="423">
        <f t="shared" si="263"/>
        <v>0</v>
      </c>
      <c r="AO378" s="421">
        <f t="shared" si="264"/>
        <v>0</v>
      </c>
      <c r="AP378" s="472">
        <v>0</v>
      </c>
      <c r="AQ378" s="472">
        <v>0</v>
      </c>
      <c r="AR378" s="472">
        <v>0</v>
      </c>
      <c r="AS378" s="475">
        <v>0</v>
      </c>
      <c r="AT378" s="475">
        <v>0</v>
      </c>
      <c r="AU378" s="475">
        <v>0</v>
      </c>
      <c r="AV378" s="454">
        <f t="shared" si="265"/>
        <v>0</v>
      </c>
      <c r="AW378" s="421">
        <f t="shared" si="266"/>
        <v>0</v>
      </c>
      <c r="AX378" s="455">
        <f t="shared" si="284"/>
        <v>1</v>
      </c>
      <c r="AY378" s="424">
        <f t="shared" si="268"/>
        <v>0</v>
      </c>
      <c r="AZ378" s="424">
        <f t="shared" si="269"/>
        <v>0</v>
      </c>
      <c r="BA378" s="424">
        <f t="shared" si="270"/>
        <v>0</v>
      </c>
      <c r="BB378" s="424">
        <f t="shared" si="271"/>
        <v>0</v>
      </c>
      <c r="BC378" s="424">
        <f t="shared" si="272"/>
        <v>0</v>
      </c>
      <c r="BD378" s="424">
        <f t="shared" si="273"/>
        <v>0</v>
      </c>
      <c r="BE378" s="452">
        <f t="shared" si="274"/>
        <v>0</v>
      </c>
      <c r="BF378" s="448">
        <f t="shared" si="275"/>
        <v>0</v>
      </c>
      <c r="BG378" s="456">
        <f t="shared" si="276"/>
        <v>0</v>
      </c>
      <c r="BH378" s="457">
        <f t="shared" si="242"/>
        <v>0</v>
      </c>
      <c r="BI378" s="407" t="s">
        <v>1490</v>
      </c>
      <c r="BM378" s="429">
        <f>IF(BR378&gt;BR377,BM377,IF(BM377&lt;MiscData!$F$1,EOMONTH(BM377,1),EOMONTH(BM377,-11)))</f>
        <v>41943</v>
      </c>
      <c r="BN378" s="416" t="str">
        <f t="shared" si="243"/>
        <v>20140101KUCME705</v>
      </c>
      <c r="BO378" s="427" t="str">
        <f t="shared" si="244"/>
        <v>20140101SQF</v>
      </c>
      <c r="BP378" s="407">
        <f>IF(BM378&lt;=MiscData!$B$23,MiscData!$C$23,IF(BM378&lt;=MiscData!$B$24,MiscData!$C$24,MiscData!$C$25))</f>
        <v>20140101</v>
      </c>
      <c r="BQ378" s="407" t="str">
        <f>VLOOKUP(BR378,MiscData!$V$4:$W$42,2,FALSE)</f>
        <v>KUCME705</v>
      </c>
      <c r="BR378" s="407">
        <f>IF(BR377=MiscData!$V$42,1,BR377+1)</f>
        <v>24</v>
      </c>
      <c r="BS378" s="407" t="str">
        <f>VLOOKUP(BQ378,MiscData!$W$4:$Y$42,3,FALSE)</f>
        <v>SQF</v>
      </c>
    </row>
    <row r="379" spans="1:71" hidden="1">
      <c r="A379" s="416">
        <f t="shared" si="279"/>
        <v>349</v>
      </c>
      <c r="B379" s="416" t="str">
        <f t="shared" si="239"/>
        <v>Oct 2014</v>
      </c>
      <c r="C379" s="416" t="s">
        <v>1052</v>
      </c>
      <c r="D379" s="417" t="str">
        <f t="shared" si="240"/>
        <v>LQF</v>
      </c>
      <c r="E379" s="417" t="str">
        <f t="shared" si="241"/>
        <v>KUCME707</v>
      </c>
      <c r="F379" s="418">
        <f t="shared" si="245"/>
        <v>0</v>
      </c>
      <c r="G379" s="467">
        <v>0</v>
      </c>
      <c r="H379" s="418">
        <v>0</v>
      </c>
      <c r="I379" s="418">
        <v>0</v>
      </c>
      <c r="J379" s="418">
        <v>0</v>
      </c>
      <c r="K379" s="418">
        <f t="shared" si="246"/>
        <v>0</v>
      </c>
      <c r="L379" s="481">
        <v>0</v>
      </c>
      <c r="M379" s="443">
        <f t="shared" si="247"/>
        <v>0</v>
      </c>
      <c r="N379" s="443">
        <f t="shared" si="248"/>
        <v>0</v>
      </c>
      <c r="O379" s="443">
        <f t="shared" si="249"/>
        <v>0</v>
      </c>
      <c r="P379" s="443">
        <f t="shared" si="250"/>
        <v>0</v>
      </c>
      <c r="Q379" s="443">
        <f t="shared" si="251"/>
        <v>0</v>
      </c>
      <c r="R379" s="443">
        <f t="shared" si="252"/>
        <v>0</v>
      </c>
      <c r="S379" s="484">
        <v>0</v>
      </c>
      <c r="T379" s="484">
        <v>0</v>
      </c>
      <c r="U379" s="484">
        <v>0</v>
      </c>
      <c r="V379" s="490">
        <v>0</v>
      </c>
      <c r="W379" s="490">
        <v>0</v>
      </c>
      <c r="X379" s="490">
        <v>0</v>
      </c>
      <c r="Y379" s="419">
        <f t="shared" si="253"/>
        <v>0</v>
      </c>
      <c r="Z379" s="420">
        <f t="shared" si="254"/>
        <v>0</v>
      </c>
      <c r="AA379" s="420">
        <v>0</v>
      </c>
      <c r="AB379" s="420">
        <v>0</v>
      </c>
      <c r="AC379" s="420">
        <f t="shared" si="255"/>
        <v>0</v>
      </c>
      <c r="AD379" s="419">
        <f t="shared" si="256"/>
        <v>0</v>
      </c>
      <c r="AE379" s="419">
        <f t="shared" si="257"/>
        <v>0</v>
      </c>
      <c r="AF379" s="419">
        <f t="shared" si="258"/>
        <v>0</v>
      </c>
      <c r="AG379" s="454">
        <f t="shared" si="259"/>
        <v>0</v>
      </c>
      <c r="AH379" s="454">
        <f t="shared" si="282"/>
        <v>0</v>
      </c>
      <c r="AI379" s="421">
        <f t="shared" si="260"/>
        <v>0</v>
      </c>
      <c r="AJ379" s="421">
        <f t="shared" si="261"/>
        <v>0</v>
      </c>
      <c r="AK379" s="421">
        <f t="shared" si="262"/>
        <v>0</v>
      </c>
      <c r="AL379" s="472">
        <v>0</v>
      </c>
      <c r="AM379" s="422">
        <f t="shared" si="280"/>
        <v>0</v>
      </c>
      <c r="AN379" s="423">
        <f t="shared" si="263"/>
        <v>0</v>
      </c>
      <c r="AO379" s="421">
        <f t="shared" si="264"/>
        <v>0</v>
      </c>
      <c r="AP379" s="472">
        <v>0</v>
      </c>
      <c r="AQ379" s="472">
        <v>0</v>
      </c>
      <c r="AR379" s="472">
        <v>0</v>
      </c>
      <c r="AS379" s="475">
        <v>0</v>
      </c>
      <c r="AT379" s="475">
        <v>0</v>
      </c>
      <c r="AU379" s="475">
        <v>0</v>
      </c>
      <c r="AV379" s="454">
        <f t="shared" si="265"/>
        <v>0</v>
      </c>
      <c r="AW379" s="421">
        <f t="shared" si="266"/>
        <v>0</v>
      </c>
      <c r="AX379" s="455">
        <f t="shared" si="284"/>
        <v>1</v>
      </c>
      <c r="AY379" s="424">
        <f t="shared" si="268"/>
        <v>0</v>
      </c>
      <c r="AZ379" s="424">
        <f t="shared" si="269"/>
        <v>0</v>
      </c>
      <c r="BA379" s="424">
        <f t="shared" si="270"/>
        <v>0</v>
      </c>
      <c r="BB379" s="424">
        <f t="shared" si="271"/>
        <v>0</v>
      </c>
      <c r="BC379" s="424">
        <f t="shared" si="272"/>
        <v>0</v>
      </c>
      <c r="BD379" s="424">
        <f t="shared" si="273"/>
        <v>0</v>
      </c>
      <c r="BE379" s="452">
        <f t="shared" si="274"/>
        <v>0</v>
      </c>
      <c r="BF379" s="448">
        <f t="shared" si="275"/>
        <v>0</v>
      </c>
      <c r="BG379" s="456">
        <f t="shared" si="276"/>
        <v>0</v>
      </c>
      <c r="BH379" s="457">
        <f t="shared" si="242"/>
        <v>0</v>
      </c>
      <c r="BI379" s="407" t="s">
        <v>1490</v>
      </c>
      <c r="BM379" s="429">
        <f>IF(BR379&gt;BR378,BM378,IF(BM378&lt;MiscData!$F$1,EOMONTH(BM378,1),EOMONTH(BM378,-11)))</f>
        <v>41943</v>
      </c>
      <c r="BN379" s="416" t="str">
        <f t="shared" si="243"/>
        <v>20140101KUCME707</v>
      </c>
      <c r="BO379" s="427" t="str">
        <f t="shared" si="244"/>
        <v>20140101LQF</v>
      </c>
      <c r="BP379" s="407">
        <f>IF(BM379&lt;=MiscData!$B$23,MiscData!$C$23,IF(BM379&lt;=MiscData!$B$24,MiscData!$C$24,MiscData!$C$25))</f>
        <v>20140101</v>
      </c>
      <c r="BQ379" s="407" t="str">
        <f>VLOOKUP(BR379,MiscData!$V$4:$W$42,2,FALSE)</f>
        <v>KUCME707</v>
      </c>
      <c r="BR379" s="407">
        <f>IF(BR378=MiscData!$V$42,1,BR378+1)</f>
        <v>25</v>
      </c>
      <c r="BS379" s="407" t="str">
        <f>VLOOKUP(BQ379,MiscData!$W$4:$Y$42,3,FALSE)</f>
        <v>LQF</v>
      </c>
    </row>
    <row r="380" spans="1:71" hidden="1">
      <c r="A380" s="416">
        <f t="shared" si="279"/>
        <v>350</v>
      </c>
      <c r="B380" s="416" t="str">
        <f t="shared" si="239"/>
        <v>Oct 2014</v>
      </c>
      <c r="C380" s="416" t="s">
        <v>224</v>
      </c>
      <c r="D380" s="417" t="str">
        <f t="shared" si="240"/>
        <v>GS</v>
      </c>
      <c r="E380" s="417" t="str">
        <f t="shared" si="241"/>
        <v>KUCME710</v>
      </c>
      <c r="F380" s="418">
        <f t="shared" si="245"/>
        <v>0</v>
      </c>
      <c r="G380" s="467">
        <v>0</v>
      </c>
      <c r="H380" s="418">
        <v>0</v>
      </c>
      <c r="I380" s="418">
        <v>0</v>
      </c>
      <c r="J380" s="418">
        <v>0</v>
      </c>
      <c r="K380" s="418">
        <f t="shared" si="246"/>
        <v>0</v>
      </c>
      <c r="L380" s="481">
        <v>0</v>
      </c>
      <c r="M380" s="443">
        <f t="shared" si="247"/>
        <v>0</v>
      </c>
      <c r="N380" s="443">
        <f t="shared" si="248"/>
        <v>0</v>
      </c>
      <c r="O380" s="443">
        <f t="shared" si="249"/>
        <v>0</v>
      </c>
      <c r="P380" s="443">
        <f t="shared" si="250"/>
        <v>0</v>
      </c>
      <c r="Q380" s="443">
        <f t="shared" si="251"/>
        <v>0</v>
      </c>
      <c r="R380" s="443">
        <f t="shared" si="252"/>
        <v>0</v>
      </c>
      <c r="S380" s="484">
        <v>0</v>
      </c>
      <c r="T380" s="484">
        <v>0</v>
      </c>
      <c r="U380" s="484">
        <v>0</v>
      </c>
      <c r="V380" s="490">
        <v>0</v>
      </c>
      <c r="W380" s="490">
        <v>0</v>
      </c>
      <c r="X380" s="490">
        <v>0</v>
      </c>
      <c r="Y380" s="419">
        <f t="shared" si="253"/>
        <v>20</v>
      </c>
      <c r="Z380" s="420">
        <f t="shared" si="254"/>
        <v>9.2249999999999999E-2</v>
      </c>
      <c r="AA380" s="420">
        <v>0</v>
      </c>
      <c r="AB380" s="420">
        <v>0</v>
      </c>
      <c r="AC380" s="420">
        <f t="shared" si="255"/>
        <v>2.8920000000000001E-2</v>
      </c>
      <c r="AD380" s="419">
        <f t="shared" si="256"/>
        <v>0</v>
      </c>
      <c r="AE380" s="419">
        <f t="shared" si="257"/>
        <v>0</v>
      </c>
      <c r="AF380" s="419">
        <f t="shared" si="258"/>
        <v>0</v>
      </c>
      <c r="AG380" s="454">
        <f t="shared" si="259"/>
        <v>0</v>
      </c>
      <c r="AH380" s="454">
        <f t="shared" si="282"/>
        <v>0</v>
      </c>
      <c r="AI380" s="421">
        <f t="shared" si="260"/>
        <v>0</v>
      </c>
      <c r="AJ380" s="421">
        <f t="shared" si="261"/>
        <v>0</v>
      </c>
      <c r="AK380" s="421">
        <f t="shared" si="262"/>
        <v>0</v>
      </c>
      <c r="AL380" s="472">
        <v>0</v>
      </c>
      <c r="AM380" s="422">
        <f t="shared" si="280"/>
        <v>0</v>
      </c>
      <c r="AN380" s="423">
        <f t="shared" si="263"/>
        <v>0</v>
      </c>
      <c r="AO380" s="421">
        <f t="shared" si="264"/>
        <v>0</v>
      </c>
      <c r="AP380" s="472">
        <v>0</v>
      </c>
      <c r="AQ380" s="472">
        <v>0</v>
      </c>
      <c r="AR380" s="472">
        <v>0</v>
      </c>
      <c r="AS380" s="475">
        <v>0</v>
      </c>
      <c r="AT380" s="475">
        <v>0</v>
      </c>
      <c r="AU380" s="475">
        <v>0</v>
      </c>
      <c r="AV380" s="454">
        <f t="shared" si="265"/>
        <v>0</v>
      </c>
      <c r="AW380" s="421">
        <f t="shared" si="266"/>
        <v>0</v>
      </c>
      <c r="AX380" s="455">
        <f t="shared" ref="AX380:AX393" si="285">IF(AND(AV380=0,AW380=0),1,IF(AV380=0,0,AW380/AV380))</f>
        <v>1</v>
      </c>
      <c r="AY380" s="424">
        <f t="shared" si="268"/>
        <v>0</v>
      </c>
      <c r="AZ380" s="424">
        <f t="shared" si="269"/>
        <v>0</v>
      </c>
      <c r="BA380" s="424">
        <f t="shared" si="270"/>
        <v>0</v>
      </c>
      <c r="BB380" s="424">
        <f t="shared" si="271"/>
        <v>0</v>
      </c>
      <c r="BC380" s="424">
        <f t="shared" si="272"/>
        <v>0</v>
      </c>
      <c r="BD380" s="424">
        <f t="shared" si="273"/>
        <v>0</v>
      </c>
      <c r="BE380" s="452">
        <f t="shared" si="274"/>
        <v>0</v>
      </c>
      <c r="BF380" s="448">
        <f t="shared" si="275"/>
        <v>0</v>
      </c>
      <c r="BG380" s="456">
        <f t="shared" si="276"/>
        <v>0</v>
      </c>
      <c r="BH380" s="457">
        <f t="shared" si="242"/>
        <v>0</v>
      </c>
      <c r="BI380" s="407" t="s">
        <v>1490</v>
      </c>
      <c r="BM380" s="429">
        <f>IF(BR380&gt;BR379,BM379,IF(BM379&lt;MiscData!$F$1,EOMONTH(BM379,1),EOMONTH(BM379,-11)))</f>
        <v>41943</v>
      </c>
      <c r="BN380" s="416" t="str">
        <f t="shared" si="243"/>
        <v>20140101KUCME710</v>
      </c>
      <c r="BO380" s="427" t="str">
        <f t="shared" si="244"/>
        <v>20140101GS</v>
      </c>
      <c r="BP380" s="407">
        <f>IF(BM380&lt;=MiscData!$B$23,MiscData!$C$23,IF(BM380&lt;=MiscData!$B$24,MiscData!$C$24,MiscData!$C$25))</f>
        <v>20140101</v>
      </c>
      <c r="BQ380" s="407" t="str">
        <f>VLOOKUP(BR380,MiscData!$V$4:$W$42,2,FALSE)</f>
        <v>KUCME710</v>
      </c>
      <c r="BR380" s="407">
        <f>IF(BR379=MiscData!$V$42,1,BR379+1)</f>
        <v>26</v>
      </c>
      <c r="BS380" s="407" t="str">
        <f>VLOOKUP(BQ380,MiscData!$W$4:$Y$42,3,FALSE)</f>
        <v>GS</v>
      </c>
    </row>
    <row r="381" spans="1:71" hidden="1">
      <c r="A381" s="416">
        <f t="shared" si="279"/>
        <v>351</v>
      </c>
      <c r="B381" s="416" t="str">
        <f t="shared" si="239"/>
        <v>Oct 2014</v>
      </c>
      <c r="C381" s="416" t="s">
        <v>18</v>
      </c>
      <c r="D381" s="417" t="str">
        <f t="shared" si="240"/>
        <v>GS3</v>
      </c>
      <c r="E381" s="417" t="str">
        <f t="shared" si="241"/>
        <v>KUCME713</v>
      </c>
      <c r="F381" s="418">
        <f t="shared" si="245"/>
        <v>0</v>
      </c>
      <c r="G381" s="467">
        <v>0</v>
      </c>
      <c r="H381" s="418">
        <v>0</v>
      </c>
      <c r="I381" s="418">
        <v>0</v>
      </c>
      <c r="J381" s="418">
        <v>0</v>
      </c>
      <c r="K381" s="418">
        <f t="shared" si="246"/>
        <v>0</v>
      </c>
      <c r="L381" s="481">
        <v>0</v>
      </c>
      <c r="M381" s="443">
        <f t="shared" si="247"/>
        <v>0</v>
      </c>
      <c r="N381" s="443">
        <f t="shared" si="248"/>
        <v>0</v>
      </c>
      <c r="O381" s="443">
        <f t="shared" si="249"/>
        <v>0</v>
      </c>
      <c r="P381" s="443">
        <f t="shared" si="250"/>
        <v>0</v>
      </c>
      <c r="Q381" s="443">
        <f t="shared" si="251"/>
        <v>0</v>
      </c>
      <c r="R381" s="443">
        <f t="shared" si="252"/>
        <v>0</v>
      </c>
      <c r="S381" s="484">
        <v>0</v>
      </c>
      <c r="T381" s="484">
        <v>0</v>
      </c>
      <c r="U381" s="484">
        <v>0</v>
      </c>
      <c r="V381" s="490">
        <v>0</v>
      </c>
      <c r="W381" s="490">
        <v>0</v>
      </c>
      <c r="X381" s="490">
        <v>0</v>
      </c>
      <c r="Y381" s="419">
        <f t="shared" si="253"/>
        <v>35</v>
      </c>
      <c r="Z381" s="420">
        <f t="shared" si="254"/>
        <v>9.2249999999999999E-2</v>
      </c>
      <c r="AA381" s="420">
        <v>0</v>
      </c>
      <c r="AB381" s="420">
        <v>0</v>
      </c>
      <c r="AC381" s="420">
        <f t="shared" si="255"/>
        <v>2.8920000000000001E-2</v>
      </c>
      <c r="AD381" s="419">
        <f t="shared" si="256"/>
        <v>0</v>
      </c>
      <c r="AE381" s="419">
        <f t="shared" si="257"/>
        <v>0</v>
      </c>
      <c r="AF381" s="419">
        <f t="shared" si="258"/>
        <v>0</v>
      </c>
      <c r="AG381" s="454">
        <f t="shared" si="259"/>
        <v>0</v>
      </c>
      <c r="AH381" s="454">
        <f t="shared" si="282"/>
        <v>0</v>
      </c>
      <c r="AI381" s="421">
        <f t="shared" si="260"/>
        <v>0</v>
      </c>
      <c r="AJ381" s="421">
        <f t="shared" si="261"/>
        <v>0</v>
      </c>
      <c r="AK381" s="421">
        <f t="shared" si="262"/>
        <v>0</v>
      </c>
      <c r="AL381" s="472">
        <v>0</v>
      </c>
      <c r="AM381" s="422">
        <f t="shared" si="280"/>
        <v>0</v>
      </c>
      <c r="AN381" s="423">
        <f t="shared" si="263"/>
        <v>0</v>
      </c>
      <c r="AO381" s="421">
        <f t="shared" si="264"/>
        <v>0</v>
      </c>
      <c r="AP381" s="472">
        <v>0</v>
      </c>
      <c r="AQ381" s="472">
        <v>0</v>
      </c>
      <c r="AR381" s="472">
        <v>0</v>
      </c>
      <c r="AS381" s="475">
        <v>0</v>
      </c>
      <c r="AT381" s="475">
        <v>0</v>
      </c>
      <c r="AU381" s="475">
        <v>0</v>
      </c>
      <c r="AV381" s="454">
        <f t="shared" si="265"/>
        <v>0</v>
      </c>
      <c r="AW381" s="421">
        <f t="shared" si="266"/>
        <v>0</v>
      </c>
      <c r="AX381" s="455">
        <f t="shared" si="285"/>
        <v>1</v>
      </c>
      <c r="AY381" s="424">
        <f t="shared" si="268"/>
        <v>0</v>
      </c>
      <c r="AZ381" s="424">
        <f t="shared" si="269"/>
        <v>0</v>
      </c>
      <c r="BA381" s="424">
        <f t="shared" si="270"/>
        <v>0</v>
      </c>
      <c r="BB381" s="424">
        <f t="shared" si="271"/>
        <v>0</v>
      </c>
      <c r="BC381" s="424">
        <f t="shared" si="272"/>
        <v>0</v>
      </c>
      <c r="BD381" s="424">
        <f t="shared" si="273"/>
        <v>0</v>
      </c>
      <c r="BE381" s="452">
        <f t="shared" si="274"/>
        <v>0</v>
      </c>
      <c r="BF381" s="448">
        <f t="shared" si="275"/>
        <v>0</v>
      </c>
      <c r="BG381" s="456">
        <f t="shared" si="276"/>
        <v>0</v>
      </c>
      <c r="BH381" s="457">
        <f t="shared" si="242"/>
        <v>0</v>
      </c>
      <c r="BI381" s="407" t="s">
        <v>1490</v>
      </c>
      <c r="BM381" s="429">
        <f>IF(BR381&gt;BR380,BM380,IF(BM380&lt;MiscData!$F$1,EOMONTH(BM380,1),EOMONTH(BM380,-11)))</f>
        <v>41943</v>
      </c>
      <c r="BN381" s="416" t="str">
        <f t="shared" si="243"/>
        <v>20140101KUCME713</v>
      </c>
      <c r="BO381" s="427" t="str">
        <f t="shared" si="244"/>
        <v>20140101GS3</v>
      </c>
      <c r="BP381" s="407">
        <f>IF(BM381&lt;=MiscData!$B$23,MiscData!$C$23,IF(BM381&lt;=MiscData!$B$24,MiscData!$C$24,MiscData!$C$25))</f>
        <v>20140101</v>
      </c>
      <c r="BQ381" s="407" t="str">
        <f>VLOOKUP(BR381,MiscData!$V$4:$W$42,2,FALSE)</f>
        <v>KUCME713</v>
      </c>
      <c r="BR381" s="407">
        <f>IF(BR380=MiscData!$V$42,1,BR380+1)</f>
        <v>27</v>
      </c>
      <c r="BS381" s="407" t="str">
        <f>VLOOKUP(BQ381,MiscData!$W$4:$Y$42,3,FALSE)</f>
        <v>GS3</v>
      </c>
    </row>
    <row r="382" spans="1:71" hidden="1">
      <c r="A382" s="416">
        <f>A378+1</f>
        <v>349</v>
      </c>
      <c r="B382" s="416" t="str">
        <f t="shared" si="239"/>
        <v>Oct 2014</v>
      </c>
      <c r="C382" s="416" t="s">
        <v>1459</v>
      </c>
      <c r="D382" s="417" t="str">
        <f t="shared" si="240"/>
        <v>CSR10</v>
      </c>
      <c r="E382" s="417" t="str">
        <f t="shared" si="241"/>
        <v>KUCSR760</v>
      </c>
      <c r="F382" s="418">
        <f t="shared" si="245"/>
        <v>0</v>
      </c>
      <c r="G382" s="467">
        <v>0</v>
      </c>
      <c r="H382" s="418">
        <v>0</v>
      </c>
      <c r="I382" s="418">
        <v>0</v>
      </c>
      <c r="J382" s="418">
        <v>0</v>
      </c>
      <c r="K382" s="418">
        <f t="shared" si="246"/>
        <v>0</v>
      </c>
      <c r="L382" s="481">
        <v>0</v>
      </c>
      <c r="M382" s="443">
        <f t="shared" si="247"/>
        <v>0</v>
      </c>
      <c r="N382" s="443">
        <f t="shared" si="248"/>
        <v>0</v>
      </c>
      <c r="O382" s="443">
        <f t="shared" si="249"/>
        <v>0</v>
      </c>
      <c r="P382" s="443">
        <f t="shared" si="250"/>
        <v>0</v>
      </c>
      <c r="Q382" s="443">
        <f t="shared" si="251"/>
        <v>0</v>
      </c>
      <c r="R382" s="443">
        <f t="shared" si="252"/>
        <v>0</v>
      </c>
      <c r="S382" s="484">
        <v>0</v>
      </c>
      <c r="T382" s="484">
        <v>0</v>
      </c>
      <c r="U382" s="484">
        <v>0</v>
      </c>
      <c r="V382" s="490">
        <v>0</v>
      </c>
      <c r="W382" s="490">
        <v>0</v>
      </c>
      <c r="X382" s="490">
        <v>0</v>
      </c>
      <c r="Y382" s="419">
        <f t="shared" si="253"/>
        <v>0</v>
      </c>
      <c r="Z382" s="420">
        <f t="shared" si="254"/>
        <v>0</v>
      </c>
      <c r="AA382" s="420">
        <v>0</v>
      </c>
      <c r="AB382" s="420">
        <v>0</v>
      </c>
      <c r="AC382" s="420">
        <f t="shared" si="255"/>
        <v>0</v>
      </c>
      <c r="AD382" s="419">
        <f t="shared" si="256"/>
        <v>-5.4</v>
      </c>
      <c r="AE382" s="419">
        <f t="shared" si="257"/>
        <v>0</v>
      </c>
      <c r="AF382" s="419">
        <f t="shared" si="258"/>
        <v>0</v>
      </c>
      <c r="AG382" s="454">
        <f t="shared" si="259"/>
        <v>0</v>
      </c>
      <c r="AH382" s="454">
        <f t="shared" si="282"/>
        <v>0</v>
      </c>
      <c r="AI382" s="421">
        <f t="shared" si="260"/>
        <v>0</v>
      </c>
      <c r="AJ382" s="421">
        <f t="shared" si="261"/>
        <v>0</v>
      </c>
      <c r="AK382" s="421">
        <f t="shared" si="262"/>
        <v>0</v>
      </c>
      <c r="AL382" s="472">
        <v>0</v>
      </c>
      <c r="AM382" s="422">
        <f t="shared" si="280"/>
        <v>0</v>
      </c>
      <c r="AN382" s="423">
        <f t="shared" si="263"/>
        <v>0</v>
      </c>
      <c r="AO382" s="421">
        <f t="shared" si="264"/>
        <v>0</v>
      </c>
      <c r="AP382" s="472">
        <v>0</v>
      </c>
      <c r="AQ382" s="472">
        <v>0</v>
      </c>
      <c r="AR382" s="472">
        <v>0</v>
      </c>
      <c r="AS382" s="475">
        <v>0</v>
      </c>
      <c r="AT382" s="475">
        <v>0</v>
      </c>
      <c r="AU382" s="475">
        <v>0</v>
      </c>
      <c r="AV382" s="454">
        <f t="shared" si="265"/>
        <v>0</v>
      </c>
      <c r="AW382" s="421">
        <f t="shared" si="266"/>
        <v>0</v>
      </c>
      <c r="AX382" s="455">
        <f t="shared" si="285"/>
        <v>1</v>
      </c>
      <c r="AY382" s="424">
        <f t="shared" si="268"/>
        <v>0</v>
      </c>
      <c r="AZ382" s="424">
        <f t="shared" si="269"/>
        <v>0</v>
      </c>
      <c r="BA382" s="424">
        <f t="shared" si="270"/>
        <v>0</v>
      </c>
      <c r="BB382" s="424">
        <f t="shared" si="271"/>
        <v>0</v>
      </c>
      <c r="BC382" s="424">
        <f t="shared" si="272"/>
        <v>-989829</v>
      </c>
      <c r="BD382" s="424">
        <f t="shared" si="273"/>
        <v>-989829</v>
      </c>
      <c r="BE382" s="452">
        <f t="shared" si="274"/>
        <v>-989829</v>
      </c>
      <c r="BF382" s="448">
        <f t="shared" si="275"/>
        <v>0</v>
      </c>
      <c r="BG382" s="456">
        <f t="shared" si="276"/>
        <v>0</v>
      </c>
      <c r="BH382" s="457">
        <f t="shared" si="242"/>
        <v>0</v>
      </c>
      <c r="BI382" s="407" t="s">
        <v>1490</v>
      </c>
      <c r="BM382" s="429">
        <f>IF(BR382&gt;BR378,BM378,IF(BM378&lt;MiscData!$F$1,EOMONTH(BM378,1),EOMONTH(BM378,-11)))</f>
        <v>41943</v>
      </c>
      <c r="BN382" s="416" t="str">
        <f t="shared" si="243"/>
        <v>20140101KUCSR760</v>
      </c>
      <c r="BO382" s="427" t="str">
        <f t="shared" si="244"/>
        <v>20140101CSR10</v>
      </c>
      <c r="BP382" s="407">
        <f>IF(BM382&lt;=MiscData!$B$23,MiscData!$C$23,IF(BM382&lt;=MiscData!$B$24,MiscData!$C$24,MiscData!$C$25))</f>
        <v>20140101</v>
      </c>
      <c r="BQ382" s="407" t="str">
        <f>VLOOKUP(BR382,MiscData!$V$4:$W$42,2,FALSE)</f>
        <v>KUCSR760</v>
      </c>
      <c r="BR382" s="407">
        <f>IF(BR381=MiscData!$V$42,1,BR381+1)</f>
        <v>28</v>
      </c>
      <c r="BS382" s="407" t="str">
        <f>VLOOKUP(BQ382,MiscData!$W$4:$Y$42,3,FALSE)</f>
        <v>CSR10</v>
      </c>
    </row>
    <row r="383" spans="1:71" hidden="1">
      <c r="A383" s="416">
        <f>A379+1</f>
        <v>350</v>
      </c>
      <c r="B383" s="416" t="str">
        <f t="shared" si="239"/>
        <v>Oct 2014</v>
      </c>
      <c r="C383" s="416" t="s">
        <v>1459</v>
      </c>
      <c r="D383" s="417" t="str">
        <f t="shared" si="240"/>
        <v>CSR10</v>
      </c>
      <c r="E383" s="417" t="str">
        <f t="shared" si="241"/>
        <v>KUCSR761</v>
      </c>
      <c r="F383" s="418">
        <f t="shared" si="245"/>
        <v>0</v>
      </c>
      <c r="G383" s="467">
        <v>0</v>
      </c>
      <c r="H383" s="418">
        <v>0</v>
      </c>
      <c r="I383" s="418">
        <v>0</v>
      </c>
      <c r="J383" s="418">
        <v>0</v>
      </c>
      <c r="K383" s="418">
        <f t="shared" si="246"/>
        <v>0</v>
      </c>
      <c r="L383" s="481">
        <v>0</v>
      </c>
      <c r="M383" s="443">
        <f t="shared" si="247"/>
        <v>0</v>
      </c>
      <c r="N383" s="443">
        <f t="shared" si="248"/>
        <v>0</v>
      </c>
      <c r="O383" s="443">
        <f t="shared" si="249"/>
        <v>0</v>
      </c>
      <c r="P383" s="443">
        <f t="shared" si="250"/>
        <v>0</v>
      </c>
      <c r="Q383" s="443">
        <f t="shared" si="251"/>
        <v>0</v>
      </c>
      <c r="R383" s="443">
        <f t="shared" si="252"/>
        <v>0</v>
      </c>
      <c r="S383" s="484">
        <v>0</v>
      </c>
      <c r="T383" s="484">
        <v>0</v>
      </c>
      <c r="U383" s="484">
        <v>0</v>
      </c>
      <c r="V383" s="490">
        <v>0</v>
      </c>
      <c r="W383" s="490">
        <v>0</v>
      </c>
      <c r="X383" s="490">
        <v>0</v>
      </c>
      <c r="Y383" s="419">
        <f t="shared" si="253"/>
        <v>0</v>
      </c>
      <c r="Z383" s="420">
        <f t="shared" si="254"/>
        <v>0</v>
      </c>
      <c r="AA383" s="420">
        <v>0</v>
      </c>
      <c r="AB383" s="420">
        <v>0</v>
      </c>
      <c r="AC383" s="420">
        <f t="shared" si="255"/>
        <v>0</v>
      </c>
      <c r="AD383" s="419">
        <f t="shared" si="256"/>
        <v>-5.5</v>
      </c>
      <c r="AE383" s="419">
        <f t="shared" si="257"/>
        <v>0</v>
      </c>
      <c r="AF383" s="419">
        <f t="shared" si="258"/>
        <v>0</v>
      </c>
      <c r="AG383" s="454">
        <f t="shared" si="259"/>
        <v>0</v>
      </c>
      <c r="AH383" s="454">
        <f t="shared" si="282"/>
        <v>0</v>
      </c>
      <c r="AI383" s="421">
        <f t="shared" si="260"/>
        <v>0</v>
      </c>
      <c r="AJ383" s="421">
        <f t="shared" si="261"/>
        <v>0</v>
      </c>
      <c r="AK383" s="421">
        <f t="shared" si="262"/>
        <v>0</v>
      </c>
      <c r="AL383" s="472">
        <v>0</v>
      </c>
      <c r="AM383" s="422">
        <f t="shared" si="280"/>
        <v>0</v>
      </c>
      <c r="AN383" s="423">
        <f t="shared" si="263"/>
        <v>0</v>
      </c>
      <c r="AO383" s="421">
        <f t="shared" si="264"/>
        <v>0</v>
      </c>
      <c r="AP383" s="472">
        <v>0</v>
      </c>
      <c r="AQ383" s="472">
        <v>0</v>
      </c>
      <c r="AR383" s="472">
        <v>0</v>
      </c>
      <c r="AS383" s="475">
        <v>0</v>
      </c>
      <c r="AT383" s="475">
        <v>0</v>
      </c>
      <c r="AU383" s="475">
        <v>0</v>
      </c>
      <c r="AV383" s="454">
        <f t="shared" si="265"/>
        <v>0</v>
      </c>
      <c r="AW383" s="421">
        <f t="shared" si="266"/>
        <v>0</v>
      </c>
      <c r="AX383" s="455">
        <f t="shared" si="285"/>
        <v>1</v>
      </c>
      <c r="AY383" s="424">
        <f t="shared" si="268"/>
        <v>0</v>
      </c>
      <c r="AZ383" s="424">
        <f t="shared" si="269"/>
        <v>0</v>
      </c>
      <c r="BA383" s="424">
        <f t="shared" si="270"/>
        <v>0</v>
      </c>
      <c r="BB383" s="424">
        <f t="shared" si="271"/>
        <v>0</v>
      </c>
      <c r="BC383" s="424">
        <f t="shared" si="272"/>
        <v>0</v>
      </c>
      <c r="BD383" s="424">
        <f t="shared" si="273"/>
        <v>0</v>
      </c>
      <c r="BE383" s="452">
        <f t="shared" si="274"/>
        <v>0</v>
      </c>
      <c r="BF383" s="448">
        <f t="shared" si="275"/>
        <v>0</v>
      </c>
      <c r="BG383" s="456">
        <f t="shared" si="276"/>
        <v>0</v>
      </c>
      <c r="BH383" s="457">
        <f t="shared" si="242"/>
        <v>0</v>
      </c>
      <c r="BI383" s="407" t="s">
        <v>1490</v>
      </c>
      <c r="BM383" s="429">
        <f>IF(BR383&gt;BR379,BM379,IF(BM379&lt;MiscData!$F$1,EOMONTH(BM379,1),EOMONTH(BM379,-11)))</f>
        <v>41943</v>
      </c>
      <c r="BN383" s="416" t="str">
        <f t="shared" si="243"/>
        <v>20140101KUCSR761</v>
      </c>
      <c r="BO383" s="427" t="str">
        <f t="shared" si="244"/>
        <v>20140101CSR10</v>
      </c>
      <c r="BP383" s="407">
        <f>IF(BM383&lt;=MiscData!$B$23,MiscData!$C$23,IF(BM383&lt;=MiscData!$B$24,MiscData!$C$24,MiscData!$C$25))</f>
        <v>20140101</v>
      </c>
      <c r="BQ383" s="407" t="str">
        <f>VLOOKUP(BR383,MiscData!$V$4:$W$42,2,FALSE)</f>
        <v>KUCSR761</v>
      </c>
      <c r="BR383" s="407">
        <f>IF(BR382=MiscData!$V$42,1,BR382+1)</f>
        <v>29</v>
      </c>
      <c r="BS383" s="407" t="str">
        <f>VLOOKUP(BQ383,MiscData!$W$4:$Y$42,3,FALSE)</f>
        <v>CSR10</v>
      </c>
    </row>
    <row r="384" spans="1:71" hidden="1">
      <c r="A384" s="416">
        <f>A380+1</f>
        <v>351</v>
      </c>
      <c r="B384" s="416" t="str">
        <f t="shared" si="239"/>
        <v>Oct 2014</v>
      </c>
      <c r="C384" s="416" t="s">
        <v>1460</v>
      </c>
      <c r="D384" s="417" t="str">
        <f t="shared" si="240"/>
        <v>CSR30</v>
      </c>
      <c r="E384" s="417" t="str">
        <f t="shared" si="241"/>
        <v>KUCSR780</v>
      </c>
      <c r="F384" s="418">
        <f t="shared" si="245"/>
        <v>0</v>
      </c>
      <c r="G384" s="467">
        <v>0</v>
      </c>
      <c r="H384" s="418">
        <v>0</v>
      </c>
      <c r="I384" s="418">
        <v>0</v>
      </c>
      <c r="J384" s="418">
        <v>0</v>
      </c>
      <c r="K384" s="418">
        <f t="shared" si="246"/>
        <v>0</v>
      </c>
      <c r="L384" s="481">
        <v>0</v>
      </c>
      <c r="M384" s="443">
        <f t="shared" si="247"/>
        <v>0</v>
      </c>
      <c r="N384" s="443">
        <f t="shared" si="248"/>
        <v>0</v>
      </c>
      <c r="O384" s="443">
        <f t="shared" si="249"/>
        <v>0</v>
      </c>
      <c r="P384" s="443">
        <f t="shared" si="250"/>
        <v>0</v>
      </c>
      <c r="Q384" s="443">
        <f t="shared" si="251"/>
        <v>0</v>
      </c>
      <c r="R384" s="443">
        <f t="shared" si="252"/>
        <v>0</v>
      </c>
      <c r="S384" s="484">
        <v>0</v>
      </c>
      <c r="T384" s="484">
        <v>0</v>
      </c>
      <c r="U384" s="484">
        <v>0</v>
      </c>
      <c r="V384" s="490">
        <v>0</v>
      </c>
      <c r="W384" s="490">
        <v>0</v>
      </c>
      <c r="X384" s="490">
        <v>0</v>
      </c>
      <c r="Y384" s="419">
        <f t="shared" si="253"/>
        <v>0</v>
      </c>
      <c r="Z384" s="420">
        <f t="shared" si="254"/>
        <v>0</v>
      </c>
      <c r="AA384" s="420">
        <v>0</v>
      </c>
      <c r="AB384" s="420">
        <v>0</v>
      </c>
      <c r="AC384" s="420">
        <f t="shared" si="255"/>
        <v>0</v>
      </c>
      <c r="AD384" s="419">
        <f t="shared" si="256"/>
        <v>-4.3</v>
      </c>
      <c r="AE384" s="419">
        <f t="shared" si="257"/>
        <v>0</v>
      </c>
      <c r="AF384" s="419">
        <f t="shared" si="258"/>
        <v>0</v>
      </c>
      <c r="AG384" s="454">
        <f t="shared" si="259"/>
        <v>0</v>
      </c>
      <c r="AH384" s="454">
        <f t="shared" si="282"/>
        <v>0</v>
      </c>
      <c r="AI384" s="421">
        <f t="shared" si="260"/>
        <v>0</v>
      </c>
      <c r="AJ384" s="421">
        <f t="shared" si="261"/>
        <v>0</v>
      </c>
      <c r="AK384" s="421">
        <f t="shared" si="262"/>
        <v>0</v>
      </c>
      <c r="AL384" s="472">
        <v>0</v>
      </c>
      <c r="AM384" s="422">
        <f t="shared" si="280"/>
        <v>0</v>
      </c>
      <c r="AN384" s="423">
        <f t="shared" si="263"/>
        <v>0</v>
      </c>
      <c r="AO384" s="421">
        <f t="shared" si="264"/>
        <v>0</v>
      </c>
      <c r="AP384" s="472">
        <v>0</v>
      </c>
      <c r="AQ384" s="472">
        <v>0</v>
      </c>
      <c r="AR384" s="472">
        <v>0</v>
      </c>
      <c r="AS384" s="475">
        <v>0</v>
      </c>
      <c r="AT384" s="475">
        <v>0</v>
      </c>
      <c r="AU384" s="475">
        <v>0</v>
      </c>
      <c r="AV384" s="454">
        <f t="shared" si="265"/>
        <v>0</v>
      </c>
      <c r="AW384" s="421">
        <f t="shared" si="266"/>
        <v>0</v>
      </c>
      <c r="AX384" s="455">
        <f t="shared" si="285"/>
        <v>1</v>
      </c>
      <c r="AY384" s="424">
        <f t="shared" si="268"/>
        <v>0</v>
      </c>
      <c r="AZ384" s="424">
        <f t="shared" si="269"/>
        <v>0</v>
      </c>
      <c r="BA384" s="424">
        <f t="shared" si="270"/>
        <v>0</v>
      </c>
      <c r="BB384" s="424">
        <f t="shared" si="271"/>
        <v>0</v>
      </c>
      <c r="BC384" s="424">
        <f t="shared" si="272"/>
        <v>0</v>
      </c>
      <c r="BD384" s="424">
        <f t="shared" si="273"/>
        <v>0</v>
      </c>
      <c r="BE384" s="452">
        <f t="shared" si="274"/>
        <v>0</v>
      </c>
      <c r="BF384" s="448">
        <f t="shared" si="275"/>
        <v>0</v>
      </c>
      <c r="BG384" s="456">
        <f t="shared" si="276"/>
        <v>0</v>
      </c>
      <c r="BH384" s="457">
        <f t="shared" si="242"/>
        <v>0</v>
      </c>
      <c r="BI384" s="407" t="s">
        <v>1490</v>
      </c>
      <c r="BM384" s="429">
        <f>IF(BR384&gt;BR380,BM380,IF(BM380&lt;MiscData!$F$1,EOMONTH(BM380,1),EOMONTH(BM380,-11)))</f>
        <v>41943</v>
      </c>
      <c r="BN384" s="416" t="str">
        <f t="shared" si="243"/>
        <v>20140101KUCSR780</v>
      </c>
      <c r="BO384" s="427" t="str">
        <f t="shared" si="244"/>
        <v>20140101CSR30</v>
      </c>
      <c r="BP384" s="407">
        <f>IF(BM384&lt;=MiscData!$B$23,MiscData!$C$23,IF(BM384&lt;=MiscData!$B$24,MiscData!$C$24,MiscData!$C$25))</f>
        <v>20140101</v>
      </c>
      <c r="BQ384" s="407" t="str">
        <f>VLOOKUP(BR384,MiscData!$V$4:$W$42,2,FALSE)</f>
        <v>KUCSR780</v>
      </c>
      <c r="BR384" s="407">
        <f>IF(BR383=MiscData!$V$42,1,BR383+1)</f>
        <v>30</v>
      </c>
      <c r="BS384" s="407" t="str">
        <f>VLOOKUP(BQ384,MiscData!$W$4:$Y$42,3,FALSE)</f>
        <v>CSR30</v>
      </c>
    </row>
    <row r="385" spans="1:72" hidden="1">
      <c r="A385" s="416">
        <f>A381+1</f>
        <v>352</v>
      </c>
      <c r="B385" s="416" t="str">
        <f t="shared" si="239"/>
        <v>Oct 2014</v>
      </c>
      <c r="C385" s="416" t="s">
        <v>1460</v>
      </c>
      <c r="D385" s="417" t="str">
        <f t="shared" si="240"/>
        <v>CSR30</v>
      </c>
      <c r="E385" s="417" t="str">
        <f t="shared" si="241"/>
        <v>KUCSR781</v>
      </c>
      <c r="F385" s="418">
        <f t="shared" si="245"/>
        <v>0</v>
      </c>
      <c r="G385" s="467">
        <v>0</v>
      </c>
      <c r="H385" s="418">
        <v>0</v>
      </c>
      <c r="I385" s="418">
        <v>0</v>
      </c>
      <c r="J385" s="418">
        <v>0</v>
      </c>
      <c r="K385" s="418">
        <f t="shared" si="246"/>
        <v>0</v>
      </c>
      <c r="L385" s="481">
        <v>0</v>
      </c>
      <c r="M385" s="443">
        <f t="shared" si="247"/>
        <v>0</v>
      </c>
      <c r="N385" s="443">
        <f t="shared" si="248"/>
        <v>0</v>
      </c>
      <c r="O385" s="443">
        <f t="shared" si="249"/>
        <v>0</v>
      </c>
      <c r="P385" s="443">
        <f t="shared" si="250"/>
        <v>0</v>
      </c>
      <c r="Q385" s="443">
        <f t="shared" si="251"/>
        <v>0</v>
      </c>
      <c r="R385" s="443">
        <f t="shared" si="252"/>
        <v>0</v>
      </c>
      <c r="S385" s="484">
        <v>0</v>
      </c>
      <c r="T385" s="484">
        <v>0</v>
      </c>
      <c r="U385" s="484">
        <v>0</v>
      </c>
      <c r="V385" s="490">
        <v>0</v>
      </c>
      <c r="W385" s="490">
        <v>0</v>
      </c>
      <c r="X385" s="490">
        <v>0</v>
      </c>
      <c r="Y385" s="419">
        <f t="shared" si="253"/>
        <v>0</v>
      </c>
      <c r="Z385" s="420">
        <f t="shared" si="254"/>
        <v>0</v>
      </c>
      <c r="AA385" s="420">
        <v>0</v>
      </c>
      <c r="AB385" s="420">
        <v>0</v>
      </c>
      <c r="AC385" s="420">
        <f t="shared" si="255"/>
        <v>0</v>
      </c>
      <c r="AD385" s="419">
        <f t="shared" si="256"/>
        <v>-4.4000000000000004</v>
      </c>
      <c r="AE385" s="419">
        <f t="shared" si="257"/>
        <v>0</v>
      </c>
      <c r="AF385" s="419">
        <f t="shared" si="258"/>
        <v>0</v>
      </c>
      <c r="AG385" s="454">
        <f t="shared" si="259"/>
        <v>0</v>
      </c>
      <c r="AH385" s="454">
        <f t="shared" si="282"/>
        <v>0</v>
      </c>
      <c r="AI385" s="421">
        <f t="shared" si="260"/>
        <v>0</v>
      </c>
      <c r="AJ385" s="421">
        <f t="shared" si="261"/>
        <v>0</v>
      </c>
      <c r="AK385" s="421">
        <f t="shared" si="262"/>
        <v>0</v>
      </c>
      <c r="AL385" s="472">
        <v>0</v>
      </c>
      <c r="AM385" s="422">
        <f t="shared" si="280"/>
        <v>0</v>
      </c>
      <c r="AN385" s="423">
        <f t="shared" si="263"/>
        <v>0</v>
      </c>
      <c r="AO385" s="421">
        <f t="shared" si="264"/>
        <v>0</v>
      </c>
      <c r="AP385" s="472">
        <v>0</v>
      </c>
      <c r="AQ385" s="472">
        <v>0</v>
      </c>
      <c r="AR385" s="472">
        <v>0</v>
      </c>
      <c r="AS385" s="475">
        <v>0</v>
      </c>
      <c r="AT385" s="475">
        <v>0</v>
      </c>
      <c r="AU385" s="475">
        <v>0</v>
      </c>
      <c r="AV385" s="454">
        <f t="shared" si="265"/>
        <v>0</v>
      </c>
      <c r="AW385" s="421">
        <f t="shared" si="266"/>
        <v>0</v>
      </c>
      <c r="AX385" s="455">
        <f t="shared" si="285"/>
        <v>1</v>
      </c>
      <c r="AY385" s="424">
        <f t="shared" si="268"/>
        <v>0</v>
      </c>
      <c r="AZ385" s="424">
        <f t="shared" si="269"/>
        <v>0</v>
      </c>
      <c r="BA385" s="424">
        <f t="shared" si="270"/>
        <v>0</v>
      </c>
      <c r="BB385" s="424">
        <f t="shared" si="271"/>
        <v>0</v>
      </c>
      <c r="BC385" s="424">
        <f t="shared" si="272"/>
        <v>0</v>
      </c>
      <c r="BD385" s="424">
        <f t="shared" si="273"/>
        <v>0</v>
      </c>
      <c r="BE385" s="452">
        <f t="shared" si="274"/>
        <v>0</v>
      </c>
      <c r="BF385" s="448">
        <f t="shared" si="275"/>
        <v>0</v>
      </c>
      <c r="BG385" s="456">
        <f t="shared" si="276"/>
        <v>0</v>
      </c>
      <c r="BH385" s="457">
        <f t="shared" si="242"/>
        <v>0</v>
      </c>
      <c r="BI385" s="407" t="s">
        <v>1490</v>
      </c>
      <c r="BM385" s="429">
        <f>IF(BR385&gt;BR381,BM381,IF(BM381&lt;MiscData!$F$1,EOMONTH(BM381,1),EOMONTH(BM381,-11)))</f>
        <v>41943</v>
      </c>
      <c r="BN385" s="416" t="str">
        <f t="shared" si="243"/>
        <v>20140101KUCSR781</v>
      </c>
      <c r="BO385" s="427" t="str">
        <f t="shared" si="244"/>
        <v>20140101CSR30</v>
      </c>
      <c r="BP385" s="407">
        <f>IF(BM385&lt;=MiscData!$B$23,MiscData!$C$23,IF(BM385&lt;=MiscData!$B$24,MiscData!$C$24,MiscData!$C$25))</f>
        <v>20140101</v>
      </c>
      <c r="BQ385" s="407" t="str">
        <f>VLOOKUP(BR385,MiscData!$V$4:$W$42,2,FALSE)</f>
        <v>KUCSR781</v>
      </c>
      <c r="BR385" s="407">
        <f>IF(BR384=MiscData!$V$42,1,BR384+1)</f>
        <v>31</v>
      </c>
      <c r="BS385" s="407" t="str">
        <f>VLOOKUP(BQ385,MiscData!$W$4:$Y$42,3,FALSE)</f>
        <v>CSR30</v>
      </c>
    </row>
    <row r="386" spans="1:72" hidden="1">
      <c r="A386" s="416">
        <f>A385+1</f>
        <v>353</v>
      </c>
      <c r="B386" s="416" t="str">
        <f t="shared" si="239"/>
        <v>Oct 2014</v>
      </c>
      <c r="C386" s="416" t="s">
        <v>1460</v>
      </c>
      <c r="D386" s="417" t="str">
        <f t="shared" si="240"/>
        <v>CSR30</v>
      </c>
      <c r="E386" s="417" t="str">
        <f t="shared" si="241"/>
        <v>KUCSR783</v>
      </c>
      <c r="F386" s="418">
        <f t="shared" si="245"/>
        <v>0</v>
      </c>
      <c r="G386" s="467">
        <v>0</v>
      </c>
      <c r="H386" s="418">
        <v>0</v>
      </c>
      <c r="I386" s="418">
        <v>0</v>
      </c>
      <c r="J386" s="418">
        <v>0</v>
      </c>
      <c r="K386" s="418">
        <f t="shared" si="246"/>
        <v>0</v>
      </c>
      <c r="L386" s="481">
        <v>0</v>
      </c>
      <c r="M386" s="443">
        <f t="shared" si="247"/>
        <v>0</v>
      </c>
      <c r="N386" s="443">
        <f t="shared" si="248"/>
        <v>0</v>
      </c>
      <c r="O386" s="443">
        <f t="shared" si="249"/>
        <v>0</v>
      </c>
      <c r="P386" s="443">
        <f t="shared" si="250"/>
        <v>0</v>
      </c>
      <c r="Q386" s="443">
        <f t="shared" si="251"/>
        <v>0</v>
      </c>
      <c r="R386" s="443">
        <f t="shared" si="252"/>
        <v>0</v>
      </c>
      <c r="S386" s="484">
        <v>0</v>
      </c>
      <c r="T386" s="484">
        <v>0</v>
      </c>
      <c r="U386" s="484">
        <v>0</v>
      </c>
      <c r="V386" s="490">
        <v>0</v>
      </c>
      <c r="W386" s="490">
        <v>0</v>
      </c>
      <c r="X386" s="490">
        <v>0</v>
      </c>
      <c r="Y386" s="419">
        <f t="shared" si="253"/>
        <v>0</v>
      </c>
      <c r="Z386" s="420">
        <f t="shared" si="254"/>
        <v>0</v>
      </c>
      <c r="AA386" s="420">
        <v>0</v>
      </c>
      <c r="AB386" s="420">
        <v>0</v>
      </c>
      <c r="AC386" s="420">
        <f t="shared" si="255"/>
        <v>0</v>
      </c>
      <c r="AD386" s="419">
        <f t="shared" si="256"/>
        <v>-4.4000000000000004</v>
      </c>
      <c r="AE386" s="419">
        <f t="shared" si="257"/>
        <v>0</v>
      </c>
      <c r="AF386" s="419">
        <f t="shared" si="258"/>
        <v>0</v>
      </c>
      <c r="AG386" s="454">
        <f t="shared" si="259"/>
        <v>0</v>
      </c>
      <c r="AH386" s="454">
        <f t="shared" si="282"/>
        <v>0</v>
      </c>
      <c r="AI386" s="421">
        <f t="shared" si="260"/>
        <v>0</v>
      </c>
      <c r="AJ386" s="421">
        <f t="shared" si="261"/>
        <v>0</v>
      </c>
      <c r="AK386" s="421">
        <f t="shared" si="262"/>
        <v>0</v>
      </c>
      <c r="AL386" s="472">
        <v>0</v>
      </c>
      <c r="AM386" s="422">
        <f t="shared" si="280"/>
        <v>0</v>
      </c>
      <c r="AN386" s="423">
        <f t="shared" si="263"/>
        <v>0</v>
      </c>
      <c r="AO386" s="421">
        <f t="shared" si="264"/>
        <v>0</v>
      </c>
      <c r="AP386" s="472">
        <v>0</v>
      </c>
      <c r="AQ386" s="472">
        <v>0</v>
      </c>
      <c r="AR386" s="472">
        <v>0</v>
      </c>
      <c r="AS386" s="475">
        <v>0</v>
      </c>
      <c r="AT386" s="475">
        <v>0</v>
      </c>
      <c r="AU386" s="475">
        <v>0</v>
      </c>
      <c r="AV386" s="454">
        <f t="shared" si="265"/>
        <v>0</v>
      </c>
      <c r="AW386" s="421">
        <f t="shared" si="266"/>
        <v>0</v>
      </c>
      <c r="AX386" s="455">
        <f t="shared" si="285"/>
        <v>1</v>
      </c>
      <c r="AY386" s="424">
        <f t="shared" si="268"/>
        <v>0</v>
      </c>
      <c r="AZ386" s="424">
        <f t="shared" si="269"/>
        <v>0</v>
      </c>
      <c r="BA386" s="424">
        <f t="shared" si="270"/>
        <v>0</v>
      </c>
      <c r="BB386" s="424">
        <f t="shared" si="271"/>
        <v>0</v>
      </c>
      <c r="BC386" s="424">
        <f t="shared" si="272"/>
        <v>0</v>
      </c>
      <c r="BD386" s="424">
        <f t="shared" si="273"/>
        <v>0</v>
      </c>
      <c r="BE386" s="452">
        <f t="shared" si="274"/>
        <v>0</v>
      </c>
      <c r="BF386" s="448">
        <f t="shared" si="275"/>
        <v>0</v>
      </c>
      <c r="BG386" s="456">
        <f t="shared" si="276"/>
        <v>0</v>
      </c>
      <c r="BH386" s="457">
        <f t="shared" si="242"/>
        <v>0</v>
      </c>
      <c r="BI386" s="407" t="s">
        <v>1490</v>
      </c>
      <c r="BM386" s="429">
        <f>IF(BR386&gt;BR385,BM385,IF(BM385&lt;MiscData!$F$1,EOMONTH(BM385,1),EOMONTH(BM385,-11)))</f>
        <v>41943</v>
      </c>
      <c r="BN386" s="416" t="str">
        <f t="shared" si="243"/>
        <v>20140101KUCSR783</v>
      </c>
      <c r="BO386" s="427" t="str">
        <f t="shared" si="244"/>
        <v>20140101CSR30</v>
      </c>
      <c r="BP386" s="407">
        <f>IF(BM386&lt;=MiscData!$B$23,MiscData!$C$23,IF(BM386&lt;=MiscData!$B$24,MiscData!$C$24,MiscData!$C$25))</f>
        <v>20140101</v>
      </c>
      <c r="BQ386" s="407" t="str">
        <f>VLOOKUP(BR386,MiscData!$V$4:$W$42,2,FALSE)</f>
        <v>KUCSR783</v>
      </c>
      <c r="BR386" s="407">
        <f>IF(BR385=MiscData!$V$42,1,BR385+1)</f>
        <v>32</v>
      </c>
      <c r="BS386" s="407" t="str">
        <f>VLOOKUP(BQ386,MiscData!$W$4:$Y$42,3,FALSE)</f>
        <v>CSR30</v>
      </c>
    </row>
    <row r="387" spans="1:72" hidden="1">
      <c r="A387" s="416">
        <f>A386+1</f>
        <v>354</v>
      </c>
      <c r="B387" s="416" t="str">
        <f t="shared" si="239"/>
        <v>Oct 2014</v>
      </c>
      <c r="C387" s="837" t="s">
        <v>675</v>
      </c>
      <c r="D387" s="417" t="str">
        <f t="shared" si="240"/>
        <v>FLST</v>
      </c>
      <c r="E387" s="417" t="str">
        <f t="shared" si="241"/>
        <v>KUINE730</v>
      </c>
      <c r="F387" s="418">
        <f t="shared" si="245"/>
        <v>1</v>
      </c>
      <c r="G387" s="467">
        <v>0</v>
      </c>
      <c r="H387" s="418">
        <v>0</v>
      </c>
      <c r="I387" s="418">
        <v>0</v>
      </c>
      <c r="J387" s="418">
        <v>0</v>
      </c>
      <c r="K387" s="418">
        <f t="shared" si="246"/>
        <v>45507524</v>
      </c>
      <c r="L387" s="481">
        <v>0</v>
      </c>
      <c r="M387" s="443">
        <f t="shared" si="247"/>
        <v>185157.6</v>
      </c>
      <c r="N387" s="443">
        <f t="shared" si="248"/>
        <v>185157.6</v>
      </c>
      <c r="O387" s="443">
        <f t="shared" si="249"/>
        <v>101387.6</v>
      </c>
      <c r="P387" s="443">
        <f t="shared" si="250"/>
        <v>185157.6</v>
      </c>
      <c r="Q387" s="443">
        <f t="shared" si="251"/>
        <v>185157.6</v>
      </c>
      <c r="R387" s="443">
        <f t="shared" si="252"/>
        <v>101387.6</v>
      </c>
      <c r="S387" s="484">
        <v>0</v>
      </c>
      <c r="T387" s="484">
        <v>0</v>
      </c>
      <c r="U387" s="484">
        <v>0</v>
      </c>
      <c r="V387" s="490">
        <v>0</v>
      </c>
      <c r="W387" s="490">
        <v>0</v>
      </c>
      <c r="X387" s="490">
        <v>0</v>
      </c>
      <c r="Y387" s="419">
        <f t="shared" si="253"/>
        <v>750</v>
      </c>
      <c r="Z387" s="420">
        <f t="shared" si="254"/>
        <v>3.261E-2</v>
      </c>
      <c r="AA387" s="420">
        <v>0</v>
      </c>
      <c r="AB387" s="420">
        <v>0</v>
      </c>
      <c r="AC387" s="420">
        <f t="shared" si="255"/>
        <v>2.8920000000000001E-2</v>
      </c>
      <c r="AD387" s="419">
        <f t="shared" si="256"/>
        <v>1.05</v>
      </c>
      <c r="AE387" s="419">
        <f t="shared" si="257"/>
        <v>1.52</v>
      </c>
      <c r="AF387" s="419">
        <f t="shared" si="258"/>
        <v>2.41</v>
      </c>
      <c r="AG387" s="454">
        <f t="shared" si="259"/>
        <v>750</v>
      </c>
      <c r="AH387" s="454">
        <f t="shared" si="282"/>
        <v>1484000.36</v>
      </c>
      <c r="AI387" s="421">
        <f t="shared" si="260"/>
        <v>194415.48</v>
      </c>
      <c r="AJ387" s="421">
        <f t="shared" si="261"/>
        <v>281439.55</v>
      </c>
      <c r="AK387" s="421">
        <f t="shared" si="262"/>
        <v>244344.12</v>
      </c>
      <c r="AL387" s="472">
        <v>0</v>
      </c>
      <c r="AM387" s="422">
        <f t="shared" si="280"/>
        <v>0</v>
      </c>
      <c r="AN387" s="423">
        <f t="shared" si="263"/>
        <v>0</v>
      </c>
      <c r="AO387" s="421">
        <f t="shared" si="264"/>
        <v>720199.15</v>
      </c>
      <c r="AP387" s="472">
        <v>0</v>
      </c>
      <c r="AQ387" s="472">
        <v>0</v>
      </c>
      <c r="AR387" s="472">
        <v>0</v>
      </c>
      <c r="AS387" s="475">
        <v>0</v>
      </c>
      <c r="AT387" s="475">
        <v>0</v>
      </c>
      <c r="AU387" s="475">
        <v>0</v>
      </c>
      <c r="AV387" s="454">
        <f t="shared" si="265"/>
        <v>2204949.5100000002</v>
      </c>
      <c r="AW387" s="421">
        <f t="shared" si="266"/>
        <v>2204949</v>
      </c>
      <c r="AX387" s="455">
        <f t="shared" si="285"/>
        <v>0.99999976870218665</v>
      </c>
      <c r="AY387" s="424">
        <f t="shared" si="268"/>
        <v>35018</v>
      </c>
      <c r="AZ387" s="424">
        <f t="shared" si="269"/>
        <v>0</v>
      </c>
      <c r="BA387" s="424">
        <f t="shared" si="270"/>
        <v>170390</v>
      </c>
      <c r="BB387" s="424">
        <f t="shared" si="271"/>
        <v>0</v>
      </c>
      <c r="BC387" s="424">
        <f t="shared" si="272"/>
        <v>0</v>
      </c>
      <c r="BD387" s="424">
        <f t="shared" si="273"/>
        <v>2410357</v>
      </c>
      <c r="BE387" s="452">
        <f t="shared" si="274"/>
        <v>2410357.5100000002</v>
      </c>
      <c r="BF387" s="448">
        <f t="shared" si="275"/>
        <v>-0.51000000024214387</v>
      </c>
      <c r="BG387" s="456">
        <f t="shared" si="276"/>
        <v>1316077.5900000001</v>
      </c>
      <c r="BH387" s="457">
        <f t="shared" si="242"/>
        <v>167922.77000000002</v>
      </c>
      <c r="BI387" s="407" t="s">
        <v>1490</v>
      </c>
      <c r="BM387" s="429">
        <f>IF(BR387&gt;BR386,BM386,IF(BM386&lt;MiscData!$F$1,EOMONTH(BM386,1),EOMONTH(BM386,-11)))</f>
        <v>41943</v>
      </c>
      <c r="BN387" s="416" t="str">
        <f t="shared" si="243"/>
        <v>20140101KUINE730</v>
      </c>
      <c r="BO387" s="427" t="str">
        <f t="shared" si="244"/>
        <v>20140101FLST</v>
      </c>
      <c r="BP387" s="407">
        <f>IF(BM387&lt;=MiscData!$B$23,MiscData!$C$23,IF(BM387&lt;=MiscData!$B$24,MiscData!$C$24,MiscData!$C$25))</f>
        <v>20140101</v>
      </c>
      <c r="BQ387" s="407" t="str">
        <f>VLOOKUP(BR387,MiscData!$V$4:$W$42,2,FALSE)</f>
        <v>KUINE730</v>
      </c>
      <c r="BR387" s="407">
        <f>IF(BR386=MiscData!$V$42,1,BR386+1)</f>
        <v>33</v>
      </c>
      <c r="BS387" s="407" t="str">
        <f>VLOOKUP(BQ387,MiscData!$W$4:$Y$42,3,FALSE)</f>
        <v>FLST</v>
      </c>
    </row>
    <row r="388" spans="1:72" hidden="1">
      <c r="A388" s="416">
        <f>A387+1</f>
        <v>355</v>
      </c>
      <c r="B388" s="416" t="str">
        <f t="shared" ref="B388:B440" si="286">TEXT(BM388,"mmm yyyy")</f>
        <v>Oct 2014</v>
      </c>
      <c r="C388" s="416" t="s">
        <v>15</v>
      </c>
      <c r="D388" s="417" t="str">
        <f t="shared" ref="D388:D440" si="287">BS388</f>
        <v>RS</v>
      </c>
      <c r="E388" s="417" t="str">
        <f t="shared" ref="E388:E440" si="288">BQ388</f>
        <v>KURSE010</v>
      </c>
      <c r="F388" s="418">
        <f t="shared" si="245"/>
        <v>427399</v>
      </c>
      <c r="G388" s="467">
        <v>0</v>
      </c>
      <c r="H388" s="418">
        <v>0</v>
      </c>
      <c r="I388" s="418">
        <v>0</v>
      </c>
      <c r="J388" s="418">
        <v>0</v>
      </c>
      <c r="K388" s="418">
        <f t="shared" si="246"/>
        <v>379965025</v>
      </c>
      <c r="L388" s="481">
        <v>0</v>
      </c>
      <c r="M388" s="443">
        <f t="shared" si="247"/>
        <v>0</v>
      </c>
      <c r="N388" s="443">
        <f t="shared" si="248"/>
        <v>0</v>
      </c>
      <c r="O388" s="443">
        <f t="shared" si="249"/>
        <v>0</v>
      </c>
      <c r="P388" s="443">
        <f t="shared" si="250"/>
        <v>0</v>
      </c>
      <c r="Q388" s="443">
        <f t="shared" si="251"/>
        <v>0</v>
      </c>
      <c r="R388" s="443">
        <f t="shared" si="252"/>
        <v>0</v>
      </c>
      <c r="S388" s="484">
        <v>0</v>
      </c>
      <c r="T388" s="484">
        <v>0</v>
      </c>
      <c r="U388" s="484">
        <v>0</v>
      </c>
      <c r="V388" s="490">
        <v>0</v>
      </c>
      <c r="W388" s="490">
        <v>0</v>
      </c>
      <c r="X388" s="490">
        <v>0</v>
      </c>
      <c r="Y388" s="419">
        <f t="shared" si="253"/>
        <v>10.75</v>
      </c>
      <c r="Z388" s="420">
        <f t="shared" si="254"/>
        <v>7.7439999999999995E-2</v>
      </c>
      <c r="AA388" s="420">
        <v>0</v>
      </c>
      <c r="AB388" s="420">
        <v>0</v>
      </c>
      <c r="AC388" s="420">
        <f t="shared" si="255"/>
        <v>2.8920000000000001E-2</v>
      </c>
      <c r="AD388" s="419">
        <f t="shared" si="256"/>
        <v>0</v>
      </c>
      <c r="AE388" s="419">
        <f t="shared" si="257"/>
        <v>0</v>
      </c>
      <c r="AF388" s="419">
        <f t="shared" si="258"/>
        <v>0</v>
      </c>
      <c r="AG388" s="454">
        <f t="shared" si="259"/>
        <v>4594539.25</v>
      </c>
      <c r="AH388" s="454">
        <f t="shared" si="282"/>
        <v>29424491.539999999</v>
      </c>
      <c r="AI388" s="421">
        <f t="shared" si="260"/>
        <v>0</v>
      </c>
      <c r="AJ388" s="421">
        <f t="shared" si="261"/>
        <v>0</v>
      </c>
      <c r="AK388" s="421">
        <f t="shared" si="262"/>
        <v>0</v>
      </c>
      <c r="AL388" s="472">
        <v>0</v>
      </c>
      <c r="AM388" s="422">
        <f t="shared" si="280"/>
        <v>0</v>
      </c>
      <c r="AN388" s="423">
        <f t="shared" si="263"/>
        <v>0</v>
      </c>
      <c r="AO388" s="421">
        <f t="shared" si="264"/>
        <v>0</v>
      </c>
      <c r="AP388" s="472"/>
      <c r="AQ388" s="472"/>
      <c r="AR388" s="472">
        <v>0</v>
      </c>
      <c r="AS388" s="475">
        <v>0</v>
      </c>
      <c r="AT388" s="475">
        <v>0</v>
      </c>
      <c r="AU388" s="475">
        <v>0</v>
      </c>
      <c r="AV388" s="454">
        <f t="shared" si="265"/>
        <v>34019030.789999999</v>
      </c>
      <c r="AW388" s="421">
        <f t="shared" si="266"/>
        <v>34021088</v>
      </c>
      <c r="AX388" s="455">
        <f t="shared" si="285"/>
        <v>1.0000604723283477</v>
      </c>
      <c r="AY388" s="424">
        <f t="shared" si="268"/>
        <v>292381</v>
      </c>
      <c r="AZ388" s="424">
        <f t="shared" si="269"/>
        <v>647362</v>
      </c>
      <c r="BA388" s="424">
        <f t="shared" si="270"/>
        <v>1422673</v>
      </c>
      <c r="BB388" s="424">
        <f t="shared" si="271"/>
        <v>0</v>
      </c>
      <c r="BC388" s="424">
        <f t="shared" si="272"/>
        <v>0</v>
      </c>
      <c r="BD388" s="424">
        <f t="shared" si="273"/>
        <v>36383504</v>
      </c>
      <c r="BE388" s="452">
        <f t="shared" si="274"/>
        <v>36381446.789999999</v>
      </c>
      <c r="BF388" s="448">
        <f t="shared" si="275"/>
        <v>2057.2100000008941</v>
      </c>
      <c r="BG388" s="456">
        <f t="shared" si="276"/>
        <v>10988588.52</v>
      </c>
      <c r="BH388" s="457">
        <f t="shared" ref="BH388:BH440" si="289">AH388+AQ388-BG388</f>
        <v>18435903.02</v>
      </c>
      <c r="BI388" s="407" t="s">
        <v>1490</v>
      </c>
      <c r="BM388" s="429">
        <f>IF(BR388&gt;BR387,BM387,IF(BM387&lt;MiscData!$F$1,EOMONTH(BM387,1),EOMONTH(BM387,-11)))</f>
        <v>41943</v>
      </c>
      <c r="BN388" s="416" t="str">
        <f t="shared" ref="BN388:BN440" si="290">CONCATENATE(BP388&amp;BQ388)</f>
        <v>20140101KURSE010</v>
      </c>
      <c r="BO388" s="427" t="str">
        <f t="shared" ref="BO388:BO440" si="291">CONCATENATE(BP388&amp;BS388)</f>
        <v>20140101RS</v>
      </c>
      <c r="BP388" s="407">
        <f>IF(BM388&lt;=MiscData!$B$23,MiscData!$C$23,IF(BM388&lt;=MiscData!$B$24,MiscData!$C$24,MiscData!$C$25))</f>
        <v>20140101</v>
      </c>
      <c r="BQ388" s="407" t="str">
        <f>VLOOKUP(BR388,MiscData!$V$4:$W$42,2,FALSE)</f>
        <v>KURSE010</v>
      </c>
      <c r="BR388" s="407">
        <f>IF(BR387=MiscData!$V$42,1,BR387+1)</f>
        <v>34</v>
      </c>
      <c r="BS388" s="407" t="str">
        <f>VLOOKUP(BQ388,MiscData!$W$4:$Y$42,3,FALSE)</f>
        <v>RS</v>
      </c>
    </row>
    <row r="389" spans="1:72" hidden="1">
      <c r="A389" s="416">
        <f>A387+1</f>
        <v>355</v>
      </c>
      <c r="B389" s="416" t="str">
        <f t="shared" si="286"/>
        <v>Oct 2014</v>
      </c>
      <c r="C389" s="416" t="s">
        <v>15</v>
      </c>
      <c r="D389" s="417" t="str">
        <f t="shared" si="287"/>
        <v>RS</v>
      </c>
      <c r="E389" s="417" t="str">
        <f t="shared" si="288"/>
        <v>KURSE020</v>
      </c>
      <c r="F389" s="418">
        <f t="shared" ref="F389:F440" si="292">SUMIFS(_1022_Count,_1022_RevenueMonth,$B389,_1022_RateCategory,$E389)</f>
        <v>0</v>
      </c>
      <c r="G389" s="467">
        <v>0</v>
      </c>
      <c r="H389" s="418">
        <v>0</v>
      </c>
      <c r="I389" s="418">
        <v>0</v>
      </c>
      <c r="J389" s="418">
        <v>0</v>
      </c>
      <c r="K389" s="418">
        <f t="shared" ref="K389:K440" si="293">SUMIFS(_1022_KWH,_1022_RevenueMonth,$B389,_1022_RateCategory,$E389)</f>
        <v>0</v>
      </c>
      <c r="L389" s="481">
        <v>0</v>
      </c>
      <c r="M389" s="443">
        <f t="shared" ref="M389:M440" si="294">SUMIFS(_1022_Measured_KVA_Base,_1022_RevenueMonth,$B389,_1022_RateCategory,$E389)</f>
        <v>0</v>
      </c>
      <c r="N389" s="443">
        <f t="shared" ref="N389:N440" si="295">SUMIFS(_1022_Measured_KVA_Inter,_1022_RevenueMonth,$B389,_1022_RateCategory,$E389)</f>
        <v>0</v>
      </c>
      <c r="O389" s="443">
        <f t="shared" ref="O389:O440" si="296">SUMIFS(_1022_Measured_KVA_Peak,_1022_RevenueMonth,$B389,_1022_RateCategory,$E389)</f>
        <v>0</v>
      </c>
      <c r="P389" s="443">
        <f t="shared" ref="P389:P440" si="297">SUMIFS(_1022_Demand_Base,_1022_RevenueMonth,$B389,_1022_RateCategory,$E389)</f>
        <v>0</v>
      </c>
      <c r="Q389" s="443">
        <f t="shared" ref="Q389:Q440" si="298">SUMIFS(_1022_Demand_Intermediate,_1022_RevenueMonth,$B389,_1022_RateCategory,$E389)</f>
        <v>0</v>
      </c>
      <c r="R389" s="443">
        <f t="shared" ref="R389:R440" si="299">SUMIFS(_1022_Demand_Peak,_1022_RevenueMonth,$B389,_1022_RateCategory,$E389)</f>
        <v>0</v>
      </c>
      <c r="S389" s="484">
        <v>0</v>
      </c>
      <c r="T389" s="484">
        <v>0</v>
      </c>
      <c r="U389" s="484">
        <v>0</v>
      </c>
      <c r="V389" s="490">
        <v>0</v>
      </c>
      <c r="W389" s="490">
        <v>0</v>
      </c>
      <c r="X389" s="490">
        <v>0</v>
      </c>
      <c r="Y389" s="419">
        <f t="shared" ref="Y389:Y440" si="300">SUMIF(_Rates_Tariff_Category,$BN389,_Rates_BasicServiceCharge)</f>
        <v>10.75</v>
      </c>
      <c r="Z389" s="420">
        <f t="shared" ref="Z389:Z440" si="301">SUMIF(_Rates_Tariff_Category,$BN389,_Rates_Energy)</f>
        <v>7.7439999999999995E-2</v>
      </c>
      <c r="AA389" s="420">
        <v>0</v>
      </c>
      <c r="AB389" s="420">
        <v>0</v>
      </c>
      <c r="AC389" s="420">
        <f t="shared" ref="AC389:AC440" si="302">SUMIF(_Rates_Tariff_Category,$BN389,_Rates_FAC_Energy)</f>
        <v>2.8920000000000001E-2</v>
      </c>
      <c r="AD389" s="419">
        <f t="shared" ref="AD389:AD440" si="303">SUMIF(_Rates_Tariff_Category,$BN389,_Rates_Demand_Base)</f>
        <v>0</v>
      </c>
      <c r="AE389" s="419">
        <f t="shared" ref="AE389:AE440" si="304">SUMIF(_Rates_Tariff_Category,$BN389,_Rates_Demand_Intermediate)</f>
        <v>0</v>
      </c>
      <c r="AF389" s="419">
        <f t="shared" ref="AF389:AF440" si="305">SUMIF(_Rates_Tariff_Category,$BN389,_Rates_Demand_Peak)</f>
        <v>0</v>
      </c>
      <c r="AG389" s="454">
        <f t="shared" ref="AG389:AG440" si="306">ROUND(($F389+$G389)*$Y389,2)</f>
        <v>0</v>
      </c>
      <c r="AH389" s="454">
        <f t="shared" si="282"/>
        <v>0</v>
      </c>
      <c r="AI389" s="421">
        <f t="shared" ref="AI389:AI440" si="307">ROUND(($M389+V389)*$AD389,2)</f>
        <v>0</v>
      </c>
      <c r="AJ389" s="421">
        <f t="shared" ref="AJ389:AJ440" si="308">ROUND(($N389+W389)*$AE389,2)</f>
        <v>0</v>
      </c>
      <c r="AK389" s="421">
        <f t="shared" ref="AK389:AK440" si="309">ROUND(($O389+X389)*$AF389,2)</f>
        <v>0</v>
      </c>
      <c r="AL389" s="472">
        <v>0</v>
      </c>
      <c r="AM389" s="422">
        <f t="shared" si="280"/>
        <v>0</v>
      </c>
      <c r="AN389" s="423">
        <f t="shared" ref="AN389:AN440" si="310">ROUND(U389*AF389+T389*AE389+S389*AD389,2)</f>
        <v>0</v>
      </c>
      <c r="AO389" s="421">
        <f t="shared" ref="AO389:AO440" si="311">SUM(AI389:AN389)</f>
        <v>0</v>
      </c>
      <c r="AP389" s="472"/>
      <c r="AQ389" s="472"/>
      <c r="AR389" s="472">
        <v>0</v>
      </c>
      <c r="AS389" s="475">
        <v>0</v>
      </c>
      <c r="AT389" s="475">
        <v>0</v>
      </c>
      <c r="AU389" s="475">
        <v>0</v>
      </c>
      <c r="AV389" s="454">
        <f t="shared" ref="AV389:AV440" si="312">SUM(AG389:AN389,AP389:AU389)</f>
        <v>0</v>
      </c>
      <c r="AW389" s="421">
        <f t="shared" ref="AW389:AW440" si="313">BD389-SUM(AY389:BC389)</f>
        <v>0</v>
      </c>
      <c r="AX389" s="455">
        <f t="shared" si="285"/>
        <v>1</v>
      </c>
      <c r="AY389" s="424">
        <f t="shared" ref="AY389:AY440" si="314">SUMIFS(_SBR_FAC,_SBR_Revenue_Month,$B389,_SBR_Rate_Category,$E389)</f>
        <v>0</v>
      </c>
      <c r="AZ389" s="424">
        <f t="shared" ref="AZ389:AZ440" si="315">SUMIFS(_SBR_DSM,_SBR_Revenue_Month,$B389,_SBR_Rate_Category,$E389)</f>
        <v>0</v>
      </c>
      <c r="BA389" s="424">
        <f t="shared" ref="BA389:BA440" si="316">SUMIFS(_SBR_ECR,_SBR_Revenue_Month,$B389,_SBR_Rate_Category,$E389)</f>
        <v>0</v>
      </c>
      <c r="BB389" s="424">
        <f t="shared" ref="BB389:BB440" si="317">SUMIFS(_SBR_MSR,_SBR_Revenue_Month,$B389,_SBR_Rate_Category,$E389)</f>
        <v>0</v>
      </c>
      <c r="BC389" s="424">
        <f t="shared" ref="BC389:BC440" si="318">SUMIFS(_SBR_CSR,_SBR_Revenue_Month,$B389,_SBR_Rate_Category,$E389)</f>
        <v>0</v>
      </c>
      <c r="BD389" s="424">
        <f t="shared" ref="BD389:BD440" si="319">SUMIFS(_SBR_Revenue_Actual,_SBR_Revenue_Month,$B389,_SBR_Rate_Category,$E389)</f>
        <v>0</v>
      </c>
      <c r="BE389" s="452">
        <f t="shared" ref="BE389:BE440" si="320">SUM(AV389,AY389:BC389)</f>
        <v>0</v>
      </c>
      <c r="BF389" s="448">
        <f t="shared" ref="BF389:BF440" si="321">BD389-BE389</f>
        <v>0</v>
      </c>
      <c r="BG389" s="456">
        <f t="shared" ref="BG389:BG440" si="322">ROUND($K389*$AC389,2)</f>
        <v>0</v>
      </c>
      <c r="BH389" s="457">
        <f t="shared" si="289"/>
        <v>0</v>
      </c>
      <c r="BI389" s="407" t="s">
        <v>1490</v>
      </c>
      <c r="BM389" s="429">
        <f>IF(BR389&gt;BR388,BM388,IF(BM388&lt;MiscData!$F$1,EOMONTH(BM388,1),EOMONTH(BM388,-11)))</f>
        <v>41943</v>
      </c>
      <c r="BN389" s="416" t="str">
        <f t="shared" si="290"/>
        <v>20140101KURSE020</v>
      </c>
      <c r="BO389" s="427" t="str">
        <f t="shared" si="291"/>
        <v>20140101RS</v>
      </c>
      <c r="BP389" s="407">
        <f>IF(BM389&lt;=MiscData!$B$23,MiscData!$C$23,IF(BM389&lt;=MiscData!$B$24,MiscData!$C$24,MiscData!$C$25))</f>
        <v>20140101</v>
      </c>
      <c r="BQ389" s="407" t="str">
        <f>VLOOKUP(BR389,MiscData!$V$4:$W$42,2,FALSE)</f>
        <v>KURSE020</v>
      </c>
      <c r="BR389" s="407">
        <f>IF(BR388=MiscData!$V$42,1,BR388+1)</f>
        <v>35</v>
      </c>
      <c r="BS389" s="407" t="str">
        <f>VLOOKUP(BQ389,MiscData!$W$4:$Y$42,3,FALSE)</f>
        <v>RS</v>
      </c>
    </row>
    <row r="390" spans="1:72" hidden="1">
      <c r="A390" s="416">
        <f>A388+1</f>
        <v>356</v>
      </c>
      <c r="B390" s="416" t="str">
        <f t="shared" si="286"/>
        <v>Oct 2014</v>
      </c>
      <c r="C390" s="416" t="s">
        <v>15</v>
      </c>
      <c r="D390" s="417" t="str">
        <f t="shared" si="287"/>
        <v>RS</v>
      </c>
      <c r="E390" s="417" t="str">
        <f t="shared" si="288"/>
        <v>KURSE025</v>
      </c>
      <c r="F390" s="418">
        <f t="shared" si="292"/>
        <v>0</v>
      </c>
      <c r="G390" s="467">
        <v>0</v>
      </c>
      <c r="H390" s="418">
        <v>0</v>
      </c>
      <c r="I390" s="418">
        <v>0</v>
      </c>
      <c r="J390" s="418">
        <v>0</v>
      </c>
      <c r="K390" s="418">
        <f t="shared" si="293"/>
        <v>0</v>
      </c>
      <c r="L390" s="481">
        <v>0</v>
      </c>
      <c r="M390" s="443">
        <f t="shared" si="294"/>
        <v>0</v>
      </c>
      <c r="N390" s="443">
        <f t="shared" si="295"/>
        <v>0</v>
      </c>
      <c r="O390" s="443">
        <f t="shared" si="296"/>
        <v>0</v>
      </c>
      <c r="P390" s="443">
        <f t="shared" si="297"/>
        <v>0</v>
      </c>
      <c r="Q390" s="443">
        <f t="shared" si="298"/>
        <v>0</v>
      </c>
      <c r="R390" s="443">
        <f t="shared" si="299"/>
        <v>0</v>
      </c>
      <c r="S390" s="484">
        <v>0</v>
      </c>
      <c r="T390" s="484">
        <v>0</v>
      </c>
      <c r="U390" s="484">
        <v>0</v>
      </c>
      <c r="V390" s="490">
        <v>0</v>
      </c>
      <c r="W390" s="490">
        <v>0</v>
      </c>
      <c r="X390" s="490">
        <v>0</v>
      </c>
      <c r="Y390" s="419">
        <f t="shared" si="300"/>
        <v>10.75</v>
      </c>
      <c r="Z390" s="420">
        <f t="shared" si="301"/>
        <v>7.7439999999999995E-2</v>
      </c>
      <c r="AA390" s="420">
        <v>0</v>
      </c>
      <c r="AB390" s="420">
        <v>0</v>
      </c>
      <c r="AC390" s="420">
        <f t="shared" si="302"/>
        <v>2.8920000000000001E-2</v>
      </c>
      <c r="AD390" s="419">
        <f t="shared" si="303"/>
        <v>0</v>
      </c>
      <c r="AE390" s="419">
        <f t="shared" si="304"/>
        <v>0</v>
      </c>
      <c r="AF390" s="419">
        <f t="shared" si="305"/>
        <v>0</v>
      </c>
      <c r="AG390" s="454">
        <f t="shared" si="306"/>
        <v>0</v>
      </c>
      <c r="AH390" s="454">
        <f t="shared" si="282"/>
        <v>0</v>
      </c>
      <c r="AI390" s="421">
        <f t="shared" si="307"/>
        <v>0</v>
      </c>
      <c r="AJ390" s="421">
        <f t="shared" si="308"/>
        <v>0</v>
      </c>
      <c r="AK390" s="421">
        <f t="shared" si="309"/>
        <v>0</v>
      </c>
      <c r="AL390" s="472">
        <v>0</v>
      </c>
      <c r="AM390" s="422">
        <f t="shared" si="280"/>
        <v>0</v>
      </c>
      <c r="AN390" s="423">
        <f t="shared" si="310"/>
        <v>0</v>
      </c>
      <c r="AO390" s="421">
        <f t="shared" si="311"/>
        <v>0</v>
      </c>
      <c r="AP390" s="472"/>
      <c r="AQ390" s="472"/>
      <c r="AR390" s="472">
        <v>0</v>
      </c>
      <c r="AS390" s="475">
        <v>0</v>
      </c>
      <c r="AT390" s="475">
        <v>0</v>
      </c>
      <c r="AU390" s="475">
        <v>0</v>
      </c>
      <c r="AV390" s="454">
        <f t="shared" si="312"/>
        <v>0</v>
      </c>
      <c r="AW390" s="421">
        <f t="shared" si="313"/>
        <v>0</v>
      </c>
      <c r="AX390" s="455">
        <f t="shared" si="285"/>
        <v>1</v>
      </c>
      <c r="AY390" s="424">
        <f t="shared" si="314"/>
        <v>0</v>
      </c>
      <c r="AZ390" s="424">
        <f t="shared" si="315"/>
        <v>0</v>
      </c>
      <c r="BA390" s="424">
        <f t="shared" si="316"/>
        <v>0</v>
      </c>
      <c r="BB390" s="424">
        <f t="shared" si="317"/>
        <v>0</v>
      </c>
      <c r="BC390" s="424">
        <f t="shared" si="318"/>
        <v>0</v>
      </c>
      <c r="BD390" s="424">
        <f t="shared" si="319"/>
        <v>0</v>
      </c>
      <c r="BE390" s="452">
        <f t="shared" si="320"/>
        <v>0</v>
      </c>
      <c r="BF390" s="448">
        <f t="shared" si="321"/>
        <v>0</v>
      </c>
      <c r="BG390" s="456">
        <f t="shared" si="322"/>
        <v>0</v>
      </c>
      <c r="BH390" s="457">
        <f t="shared" si="289"/>
        <v>0</v>
      </c>
      <c r="BI390" s="407" t="s">
        <v>1490</v>
      </c>
      <c r="BM390" s="429">
        <f>IF(BR390&gt;BR389,BM389,IF(BM389&lt;MiscData!$F$1,EOMONTH(BM389,1),EOMONTH(BM389,-11)))</f>
        <v>41943</v>
      </c>
      <c r="BN390" s="416" t="str">
        <f t="shared" si="290"/>
        <v>20140101KURSE025</v>
      </c>
      <c r="BO390" s="427" t="str">
        <f t="shared" si="291"/>
        <v>20140101RS</v>
      </c>
      <c r="BP390" s="407">
        <f>IF(BM390&lt;=MiscData!$B$23,MiscData!$C$23,IF(BM390&lt;=MiscData!$B$24,MiscData!$C$24,MiscData!$C$25))</f>
        <v>20140101</v>
      </c>
      <c r="BQ390" s="407" t="str">
        <f>VLOOKUP(BR390,MiscData!$V$4:$W$42,2,FALSE)</f>
        <v>KURSE025</v>
      </c>
      <c r="BR390" s="407">
        <f>IF(BR389=MiscData!$V$42,1,BR389+1)</f>
        <v>36</v>
      </c>
      <c r="BS390" s="407" t="str">
        <f>VLOOKUP(BQ390,MiscData!$W$4:$Y$42,3,FALSE)</f>
        <v>RS</v>
      </c>
    </row>
    <row r="391" spans="1:72" hidden="1">
      <c r="A391" s="416">
        <f>A390+1</f>
        <v>357</v>
      </c>
      <c r="B391" s="416" t="str">
        <f t="shared" si="286"/>
        <v>Oct 2014</v>
      </c>
      <c r="C391" s="416" t="s">
        <v>807</v>
      </c>
      <c r="D391" s="417" t="str">
        <f t="shared" si="287"/>
        <v>RSLEV</v>
      </c>
      <c r="E391" s="417" t="str">
        <f t="shared" si="288"/>
        <v>KURSE040</v>
      </c>
      <c r="F391" s="418">
        <f t="shared" si="292"/>
        <v>0</v>
      </c>
      <c r="G391" s="467">
        <v>0</v>
      </c>
      <c r="H391" s="418">
        <f>SUMIFS(_1022_KWH_P1,_1022_RevenueMonth,$B391,_1022_RateCategory,$E391)</f>
        <v>0</v>
      </c>
      <c r="I391" s="418">
        <f>SUMIFS(_1022_KWH_P2,_1022_RevenueMonth,$B391,_1022_RateCategory,$E391)</f>
        <v>0</v>
      </c>
      <c r="J391" s="418">
        <f>SUMIFS(_1022_KWH_P3,_1022_RevenueMonth,$B391,_1022_RateCategory,$E391)</f>
        <v>0</v>
      </c>
      <c r="K391" s="418">
        <f t="shared" si="293"/>
        <v>0</v>
      </c>
      <c r="L391" s="481">
        <v>0</v>
      </c>
      <c r="M391" s="443">
        <f t="shared" si="294"/>
        <v>0</v>
      </c>
      <c r="N391" s="443">
        <f t="shared" si="295"/>
        <v>0</v>
      </c>
      <c r="O391" s="443">
        <f t="shared" si="296"/>
        <v>0</v>
      </c>
      <c r="P391" s="443">
        <f t="shared" si="297"/>
        <v>0</v>
      </c>
      <c r="Q391" s="443">
        <f t="shared" si="298"/>
        <v>0</v>
      </c>
      <c r="R391" s="443">
        <f t="shared" si="299"/>
        <v>0</v>
      </c>
      <c r="S391" s="484">
        <v>0</v>
      </c>
      <c r="T391" s="484">
        <v>0</v>
      </c>
      <c r="U391" s="484">
        <v>0</v>
      </c>
      <c r="V391" s="490">
        <v>0</v>
      </c>
      <c r="W391" s="490">
        <v>0</v>
      </c>
      <c r="X391" s="490">
        <v>0</v>
      </c>
      <c r="Y391" s="419">
        <f t="shared" si="300"/>
        <v>10.75</v>
      </c>
      <c r="Z391" s="420">
        <f t="shared" si="301"/>
        <v>5.5870000000000003E-2</v>
      </c>
      <c r="AA391" s="420">
        <f>SUMIF(_Rates_Tariff_Category,$BN391,_Rates_Energy_P2)</f>
        <v>7.7630000000000005E-2</v>
      </c>
      <c r="AB391" s="420">
        <f>SUMIF(_Rates_Tariff_Category,$BN391,_Rates_Energy_P3)</f>
        <v>0.14297000000000001</v>
      </c>
      <c r="AC391" s="420">
        <f t="shared" si="302"/>
        <v>2.8920000000000001E-2</v>
      </c>
      <c r="AD391" s="419">
        <f t="shared" si="303"/>
        <v>0</v>
      </c>
      <c r="AE391" s="419">
        <f t="shared" si="304"/>
        <v>0</v>
      </c>
      <c r="AF391" s="419">
        <f t="shared" si="305"/>
        <v>0</v>
      </c>
      <c r="AG391" s="454">
        <f t="shared" si="306"/>
        <v>0</v>
      </c>
      <c r="AH391" s="454">
        <f t="shared" si="282"/>
        <v>0</v>
      </c>
      <c r="AI391" s="421">
        <f t="shared" si="307"/>
        <v>0</v>
      </c>
      <c r="AJ391" s="421">
        <f t="shared" si="308"/>
        <v>0</v>
      </c>
      <c r="AK391" s="421">
        <f t="shared" si="309"/>
        <v>0</v>
      </c>
      <c r="AL391" s="472">
        <v>0</v>
      </c>
      <c r="AM391" s="422">
        <f t="shared" si="280"/>
        <v>0</v>
      </c>
      <c r="AN391" s="423">
        <f t="shared" si="310"/>
        <v>0</v>
      </c>
      <c r="AO391" s="421">
        <f t="shared" si="311"/>
        <v>0</v>
      </c>
      <c r="AP391" s="472">
        <v>0</v>
      </c>
      <c r="AQ391" s="472">
        <v>0</v>
      </c>
      <c r="AR391" s="472">
        <v>0</v>
      </c>
      <c r="AS391" s="475">
        <v>0</v>
      </c>
      <c r="AT391" s="475">
        <v>0</v>
      </c>
      <c r="AU391" s="475">
        <v>0</v>
      </c>
      <c r="AV391" s="454">
        <f t="shared" si="312"/>
        <v>0</v>
      </c>
      <c r="AW391" s="421">
        <f t="shared" si="313"/>
        <v>0</v>
      </c>
      <c r="AX391" s="455">
        <f t="shared" si="285"/>
        <v>1</v>
      </c>
      <c r="AY391" s="424">
        <f t="shared" si="314"/>
        <v>0</v>
      </c>
      <c r="AZ391" s="424">
        <f t="shared" si="315"/>
        <v>0</v>
      </c>
      <c r="BA391" s="424">
        <f t="shared" si="316"/>
        <v>0</v>
      </c>
      <c r="BB391" s="424">
        <f t="shared" si="317"/>
        <v>0</v>
      </c>
      <c r="BC391" s="424">
        <f t="shared" si="318"/>
        <v>0</v>
      </c>
      <c r="BD391" s="424">
        <f t="shared" si="319"/>
        <v>0</v>
      </c>
      <c r="BE391" s="452">
        <f t="shared" si="320"/>
        <v>0</v>
      </c>
      <c r="BF391" s="448">
        <f t="shared" si="321"/>
        <v>0</v>
      </c>
      <c r="BG391" s="456">
        <f t="shared" si="322"/>
        <v>0</v>
      </c>
      <c r="BH391" s="457">
        <f t="shared" si="289"/>
        <v>0</v>
      </c>
      <c r="BI391" s="407" t="s">
        <v>1490</v>
      </c>
      <c r="BM391" s="429">
        <f>IF(BR391&gt;BR390,BM390,IF(BM390&lt;MiscData!$F$1,EOMONTH(BM390,1),EOMONTH(BM390,-11)))</f>
        <v>41943</v>
      </c>
      <c r="BN391" s="416" t="str">
        <f t="shared" si="290"/>
        <v>20140101KURSE040</v>
      </c>
      <c r="BO391" s="427" t="str">
        <f t="shared" si="291"/>
        <v>20140101RSLEV</v>
      </c>
      <c r="BP391" s="407">
        <f>IF(BM391&lt;=MiscData!$B$23,MiscData!$C$23,IF(BM391&lt;=MiscData!$B$24,MiscData!$C$24,MiscData!$C$25))</f>
        <v>20140101</v>
      </c>
      <c r="BQ391" s="407" t="str">
        <f>VLOOKUP(BR391,MiscData!$V$4:$W$42,2,FALSE)</f>
        <v>KURSE040</v>
      </c>
      <c r="BR391" s="407">
        <f>IF(BR390=MiscData!$V$42,1,BR390+1)</f>
        <v>37</v>
      </c>
      <c r="BS391" s="407" t="str">
        <f>VLOOKUP(BQ391,MiscData!$W$4:$Y$42,3,FALSE)</f>
        <v>RSLEV</v>
      </c>
    </row>
    <row r="392" spans="1:72" hidden="1">
      <c r="A392" s="416">
        <f t="shared" ref="A392:A399" si="323">A374+1</f>
        <v>345</v>
      </c>
      <c r="B392" s="416" t="str">
        <f t="shared" si="286"/>
        <v>Oct 2014</v>
      </c>
      <c r="C392" s="416" t="s">
        <v>15</v>
      </c>
      <c r="D392" s="417" t="str">
        <f t="shared" si="287"/>
        <v>RSVFD</v>
      </c>
      <c r="E392" s="417" t="str">
        <f t="shared" si="288"/>
        <v>KURSE080</v>
      </c>
      <c r="F392" s="418">
        <f t="shared" si="292"/>
        <v>0</v>
      </c>
      <c r="G392" s="467">
        <v>0</v>
      </c>
      <c r="H392" s="418">
        <v>0</v>
      </c>
      <c r="I392" s="418">
        <v>0</v>
      </c>
      <c r="J392" s="418">
        <v>0</v>
      </c>
      <c r="K392" s="418">
        <f t="shared" si="293"/>
        <v>0</v>
      </c>
      <c r="L392" s="481">
        <v>0</v>
      </c>
      <c r="M392" s="443">
        <f t="shared" si="294"/>
        <v>0</v>
      </c>
      <c r="N392" s="443">
        <f t="shared" si="295"/>
        <v>0</v>
      </c>
      <c r="O392" s="443">
        <f t="shared" si="296"/>
        <v>0</v>
      </c>
      <c r="P392" s="443">
        <f t="shared" si="297"/>
        <v>0</v>
      </c>
      <c r="Q392" s="443">
        <f t="shared" si="298"/>
        <v>0</v>
      </c>
      <c r="R392" s="443">
        <f t="shared" si="299"/>
        <v>0</v>
      </c>
      <c r="S392" s="484">
        <v>0</v>
      </c>
      <c r="T392" s="484">
        <v>0</v>
      </c>
      <c r="U392" s="484">
        <v>0</v>
      </c>
      <c r="V392" s="490">
        <v>0</v>
      </c>
      <c r="W392" s="490">
        <v>0</v>
      </c>
      <c r="X392" s="490">
        <v>0</v>
      </c>
      <c r="Y392" s="419">
        <f t="shared" si="300"/>
        <v>10.75</v>
      </c>
      <c r="Z392" s="420">
        <f t="shared" si="301"/>
        <v>7.7439999999999995E-2</v>
      </c>
      <c r="AA392" s="420">
        <v>0</v>
      </c>
      <c r="AB392" s="420">
        <v>0</v>
      </c>
      <c r="AC392" s="420">
        <f t="shared" si="302"/>
        <v>2.8920000000000001E-2</v>
      </c>
      <c r="AD392" s="419">
        <f t="shared" si="303"/>
        <v>0</v>
      </c>
      <c r="AE392" s="419">
        <f t="shared" si="304"/>
        <v>0</v>
      </c>
      <c r="AF392" s="419">
        <f t="shared" si="305"/>
        <v>0</v>
      </c>
      <c r="AG392" s="454">
        <f t="shared" si="306"/>
        <v>0</v>
      </c>
      <c r="AH392" s="454">
        <f t="shared" si="282"/>
        <v>0</v>
      </c>
      <c r="AI392" s="421">
        <f t="shared" si="307"/>
        <v>0</v>
      </c>
      <c r="AJ392" s="421">
        <f t="shared" si="308"/>
        <v>0</v>
      </c>
      <c r="AK392" s="421">
        <f t="shared" si="309"/>
        <v>0</v>
      </c>
      <c r="AL392" s="472">
        <v>0</v>
      </c>
      <c r="AM392" s="422">
        <f t="shared" si="280"/>
        <v>0</v>
      </c>
      <c r="AN392" s="423">
        <f t="shared" si="310"/>
        <v>0</v>
      </c>
      <c r="AO392" s="421">
        <f t="shared" si="311"/>
        <v>0</v>
      </c>
      <c r="AP392" s="472"/>
      <c r="AQ392" s="472"/>
      <c r="AR392" s="472">
        <v>0</v>
      </c>
      <c r="AS392" s="475">
        <v>0</v>
      </c>
      <c r="AT392" s="475">
        <v>0</v>
      </c>
      <c r="AU392" s="475">
        <v>0</v>
      </c>
      <c r="AV392" s="454">
        <f t="shared" si="312"/>
        <v>0</v>
      </c>
      <c r="AW392" s="421">
        <f t="shared" si="313"/>
        <v>0</v>
      </c>
      <c r="AX392" s="455">
        <f t="shared" si="285"/>
        <v>1</v>
      </c>
      <c r="AY392" s="424">
        <f t="shared" si="314"/>
        <v>0</v>
      </c>
      <c r="AZ392" s="424">
        <f t="shared" si="315"/>
        <v>0</v>
      </c>
      <c r="BA392" s="424">
        <f t="shared" si="316"/>
        <v>0</v>
      </c>
      <c r="BB392" s="424">
        <f t="shared" si="317"/>
        <v>0</v>
      </c>
      <c r="BC392" s="424">
        <f t="shared" si="318"/>
        <v>0</v>
      </c>
      <c r="BD392" s="424">
        <f t="shared" si="319"/>
        <v>0</v>
      </c>
      <c r="BE392" s="452">
        <f t="shared" si="320"/>
        <v>0</v>
      </c>
      <c r="BF392" s="448">
        <f t="shared" si="321"/>
        <v>0</v>
      </c>
      <c r="BG392" s="456">
        <f t="shared" si="322"/>
        <v>0</v>
      </c>
      <c r="BH392" s="457">
        <f t="shared" si="289"/>
        <v>0</v>
      </c>
      <c r="BI392" s="407" t="s">
        <v>1490</v>
      </c>
      <c r="BM392" s="429">
        <f>IF(BR392&gt;BR391,BM391,IF(BM391&lt;MiscData!$F$1,EOMONTH(BM391,1),EOMONTH(BM391,-11)))</f>
        <v>41943</v>
      </c>
      <c r="BN392" s="416" t="str">
        <f t="shared" si="290"/>
        <v>20140101KURSE080</v>
      </c>
      <c r="BO392" s="427" t="str">
        <f t="shared" si="291"/>
        <v>20140101RSVFD</v>
      </c>
      <c r="BP392" s="407">
        <f>IF(BM392&lt;=MiscData!$B$23,MiscData!$C$23,IF(BM392&lt;=MiscData!$B$24,MiscData!$C$24,MiscData!$C$25))</f>
        <v>20140101</v>
      </c>
      <c r="BQ392" s="407" t="str">
        <f>VLOOKUP(BR392,MiscData!$V$4:$W$42,2,FALSE)</f>
        <v>KURSE080</v>
      </c>
      <c r="BR392" s="407">
        <f>IF(BR391=MiscData!$V$42,1,BR391+1)</f>
        <v>38</v>
      </c>
      <c r="BS392" s="407" t="str">
        <f>VLOOKUP(BQ392,MiscData!$W$4:$Y$42,3,FALSE)</f>
        <v>RSVFD</v>
      </c>
    </row>
    <row r="393" spans="1:72" s="486" customFormat="1" hidden="1">
      <c r="A393" s="464">
        <f t="shared" si="323"/>
        <v>346</v>
      </c>
      <c r="B393" s="464" t="str">
        <f t="shared" si="286"/>
        <v>Oct 2014</v>
      </c>
      <c r="C393" s="464" t="s">
        <v>15</v>
      </c>
      <c r="D393" s="465" t="str">
        <f t="shared" si="287"/>
        <v>RS</v>
      </c>
      <c r="E393" s="465" t="str">
        <f t="shared" si="288"/>
        <v>KURSE715</v>
      </c>
      <c r="F393" s="466">
        <f t="shared" si="292"/>
        <v>0</v>
      </c>
      <c r="G393" s="467">
        <v>0</v>
      </c>
      <c r="H393" s="466">
        <v>0</v>
      </c>
      <c r="I393" s="466">
        <v>0</v>
      </c>
      <c r="J393" s="466">
        <v>0</v>
      </c>
      <c r="K393" s="466">
        <f t="shared" si="293"/>
        <v>0</v>
      </c>
      <c r="L393" s="481">
        <v>0</v>
      </c>
      <c r="M393" s="469">
        <f t="shared" si="294"/>
        <v>0</v>
      </c>
      <c r="N393" s="469">
        <f t="shared" si="295"/>
        <v>0</v>
      </c>
      <c r="O393" s="469">
        <f t="shared" si="296"/>
        <v>0</v>
      </c>
      <c r="P393" s="469">
        <f t="shared" si="297"/>
        <v>0</v>
      </c>
      <c r="Q393" s="469">
        <f t="shared" si="298"/>
        <v>0</v>
      </c>
      <c r="R393" s="469">
        <f t="shared" si="299"/>
        <v>0</v>
      </c>
      <c r="S393" s="484">
        <v>0</v>
      </c>
      <c r="T393" s="484">
        <v>0</v>
      </c>
      <c r="U393" s="484">
        <v>0</v>
      </c>
      <c r="V393" s="490">
        <v>0</v>
      </c>
      <c r="W393" s="490">
        <v>0</v>
      </c>
      <c r="X393" s="490">
        <v>0</v>
      </c>
      <c r="Y393" s="470">
        <f t="shared" si="300"/>
        <v>10.75</v>
      </c>
      <c r="Z393" s="471">
        <f t="shared" si="301"/>
        <v>7.7439999999999995E-2</v>
      </c>
      <c r="AA393" s="471">
        <v>0</v>
      </c>
      <c r="AB393" s="471">
        <v>0</v>
      </c>
      <c r="AC393" s="471">
        <f t="shared" si="302"/>
        <v>2.8920000000000001E-2</v>
      </c>
      <c r="AD393" s="470">
        <f t="shared" si="303"/>
        <v>0</v>
      </c>
      <c r="AE393" s="470">
        <f t="shared" si="304"/>
        <v>0</v>
      </c>
      <c r="AF393" s="470">
        <f t="shared" si="305"/>
        <v>0</v>
      </c>
      <c r="AG393" s="454">
        <f t="shared" si="306"/>
        <v>0</v>
      </c>
      <c r="AH393" s="454">
        <f t="shared" si="282"/>
        <v>0</v>
      </c>
      <c r="AI393" s="454">
        <f t="shared" si="307"/>
        <v>0</v>
      </c>
      <c r="AJ393" s="454">
        <f t="shared" si="308"/>
        <v>0</v>
      </c>
      <c r="AK393" s="454">
        <f t="shared" si="309"/>
        <v>0</v>
      </c>
      <c r="AL393" s="472">
        <v>0</v>
      </c>
      <c r="AM393" s="473">
        <f t="shared" si="280"/>
        <v>0</v>
      </c>
      <c r="AN393" s="474">
        <f t="shared" si="310"/>
        <v>0</v>
      </c>
      <c r="AO393" s="454">
        <f t="shared" si="311"/>
        <v>0</v>
      </c>
      <c r="AP393" s="472"/>
      <c r="AQ393" s="472"/>
      <c r="AR393" s="472">
        <v>0</v>
      </c>
      <c r="AS393" s="475">
        <v>0</v>
      </c>
      <c r="AT393" s="475">
        <v>0</v>
      </c>
      <c r="AU393" s="475">
        <v>0</v>
      </c>
      <c r="AV393" s="454">
        <f t="shared" si="312"/>
        <v>0</v>
      </c>
      <c r="AW393" s="454">
        <f t="shared" si="313"/>
        <v>0</v>
      </c>
      <c r="AX393" s="455">
        <f t="shared" si="285"/>
        <v>1</v>
      </c>
      <c r="AY393" s="476">
        <f t="shared" si="314"/>
        <v>0</v>
      </c>
      <c r="AZ393" s="476">
        <f t="shared" si="315"/>
        <v>0</v>
      </c>
      <c r="BA393" s="476">
        <f t="shared" si="316"/>
        <v>0</v>
      </c>
      <c r="BB393" s="476">
        <f t="shared" si="317"/>
        <v>0</v>
      </c>
      <c r="BC393" s="476">
        <f t="shared" si="318"/>
        <v>0</v>
      </c>
      <c r="BD393" s="476">
        <f t="shared" si="319"/>
        <v>0</v>
      </c>
      <c r="BE393" s="477">
        <f t="shared" si="320"/>
        <v>0</v>
      </c>
      <c r="BF393" s="478">
        <f t="shared" si="321"/>
        <v>0</v>
      </c>
      <c r="BG393" s="479">
        <f t="shared" si="322"/>
        <v>0</v>
      </c>
      <c r="BH393" s="485">
        <f t="shared" si="289"/>
        <v>0</v>
      </c>
      <c r="BI393" s="407" t="s">
        <v>1490</v>
      </c>
      <c r="BM393" s="487">
        <f>IF(BR393&gt;BR392,BM392,IF(BM392&lt;MiscData!$F$1,EOMONTH(BM392,1),EOMONTH(BM392,-11)))</f>
        <v>41943</v>
      </c>
      <c r="BN393" s="464" t="str">
        <f t="shared" si="290"/>
        <v>20140101KURSE715</v>
      </c>
      <c r="BO393" s="488" t="str">
        <f t="shared" si="291"/>
        <v>20140101RS</v>
      </c>
      <c r="BP393" s="486">
        <f>IF(BM393&lt;=MiscData!$B$23,MiscData!$C$23,IF(BM393&lt;=MiscData!$B$24,MiscData!$C$24,MiscData!$C$25))</f>
        <v>20140101</v>
      </c>
      <c r="BQ393" s="486" t="str">
        <f>VLOOKUP(BR393,MiscData!$V$4:$W$42,2,FALSE)</f>
        <v>KURSE715</v>
      </c>
      <c r="BR393" s="407">
        <f>IF(BR392=MiscData!$V$42,1,BR392+1)</f>
        <v>39</v>
      </c>
      <c r="BS393" s="486" t="str">
        <f>VLOOKUP(BQ393,MiscData!$W$4:$Y$42,3,FALSE)</f>
        <v>RS</v>
      </c>
      <c r="BT393" s="771"/>
    </row>
    <row r="394" spans="1:72" hidden="1">
      <c r="A394" s="416">
        <f t="shared" si="323"/>
        <v>347</v>
      </c>
      <c r="B394" s="416" t="str">
        <f t="shared" si="286"/>
        <v>Nov 2014</v>
      </c>
      <c r="C394" s="416" t="s">
        <v>19</v>
      </c>
      <c r="D394" s="417" t="str">
        <f t="shared" si="287"/>
        <v>RTS</v>
      </c>
      <c r="E394" s="417" t="str">
        <f t="shared" si="288"/>
        <v>KUCIE550</v>
      </c>
      <c r="F394" s="418">
        <f t="shared" si="292"/>
        <v>32</v>
      </c>
      <c r="G394" s="467">
        <v>0</v>
      </c>
      <c r="H394" s="418">
        <v>0</v>
      </c>
      <c r="I394" s="418">
        <v>0</v>
      </c>
      <c r="J394" s="418">
        <v>0</v>
      </c>
      <c r="K394" s="418">
        <f t="shared" si="293"/>
        <v>129791084</v>
      </c>
      <c r="L394" s="481">
        <v>0</v>
      </c>
      <c r="M394" s="443">
        <f t="shared" si="294"/>
        <v>293910.55</v>
      </c>
      <c r="N394" s="443">
        <f t="shared" si="295"/>
        <v>286728.15000000002</v>
      </c>
      <c r="O394" s="443">
        <f t="shared" si="296"/>
        <v>276345.67</v>
      </c>
      <c r="P394" s="443">
        <f t="shared" si="297"/>
        <v>293910.55</v>
      </c>
      <c r="Q394" s="443">
        <f t="shared" si="298"/>
        <v>286728.15000000002</v>
      </c>
      <c r="R394" s="443">
        <f t="shared" si="299"/>
        <v>276345.67</v>
      </c>
      <c r="S394" s="484"/>
      <c r="T394" s="484"/>
      <c r="U394" s="484"/>
      <c r="V394" s="490">
        <v>0</v>
      </c>
      <c r="W394" s="490">
        <v>0</v>
      </c>
      <c r="X394" s="490">
        <v>0</v>
      </c>
      <c r="Y394" s="419">
        <f t="shared" si="300"/>
        <v>750</v>
      </c>
      <c r="Z394" s="420">
        <f t="shared" si="301"/>
        <v>3.6339999999999997E-2</v>
      </c>
      <c r="AA394" s="420">
        <v>0</v>
      </c>
      <c r="AB394" s="420">
        <v>0</v>
      </c>
      <c r="AC394" s="420">
        <f t="shared" si="302"/>
        <v>2.8920000000000001E-2</v>
      </c>
      <c r="AD394" s="419">
        <f t="shared" si="303"/>
        <v>1.34</v>
      </c>
      <c r="AE394" s="419">
        <f t="shared" si="304"/>
        <v>2.87</v>
      </c>
      <c r="AF394" s="419">
        <f t="shared" si="305"/>
        <v>3.97</v>
      </c>
      <c r="AG394" s="454">
        <f t="shared" si="306"/>
        <v>24000</v>
      </c>
      <c r="AH394" s="454">
        <f t="shared" si="282"/>
        <v>4716607.99</v>
      </c>
      <c r="AI394" s="421">
        <f t="shared" si="307"/>
        <v>393840.14</v>
      </c>
      <c r="AJ394" s="421">
        <f t="shared" si="308"/>
        <v>822909.79</v>
      </c>
      <c r="AK394" s="421">
        <f t="shared" si="309"/>
        <v>1097092.31</v>
      </c>
      <c r="AL394" s="472">
        <v>0</v>
      </c>
      <c r="AM394" s="422">
        <f t="shared" si="280"/>
        <v>0</v>
      </c>
      <c r="AN394" s="423">
        <f t="shared" si="310"/>
        <v>0</v>
      </c>
      <c r="AO394" s="421">
        <f t="shared" si="311"/>
        <v>2313842.2400000002</v>
      </c>
      <c r="AP394" s="472">
        <v>0</v>
      </c>
      <c r="AQ394" s="472">
        <v>0</v>
      </c>
      <c r="AR394" s="472"/>
      <c r="AS394" s="475">
        <v>0</v>
      </c>
      <c r="AT394" s="475">
        <v>0</v>
      </c>
      <c r="AU394" s="475">
        <v>0</v>
      </c>
      <c r="AV394" s="454">
        <f t="shared" si="312"/>
        <v>7054450.2300000004</v>
      </c>
      <c r="AW394" s="421">
        <f t="shared" si="313"/>
        <v>7054451</v>
      </c>
      <c r="AX394" s="455">
        <f t="shared" ref="AX394:AX402" si="324">IF(AND(AV394=0,AW394=0),1,IF(AV394=0,0,AW394/AV394))</f>
        <v>1.0000001091509578</v>
      </c>
      <c r="AY394" s="424">
        <f t="shared" si="314"/>
        <v>317934</v>
      </c>
      <c r="AZ394" s="424">
        <f t="shared" si="315"/>
        <v>0</v>
      </c>
      <c r="BA394" s="424">
        <f t="shared" si="316"/>
        <v>501921</v>
      </c>
      <c r="BB394" s="424">
        <f t="shared" si="317"/>
        <v>0</v>
      </c>
      <c r="BC394" s="424">
        <f t="shared" si="318"/>
        <v>0</v>
      </c>
      <c r="BD394" s="424">
        <f t="shared" si="319"/>
        <v>7874306</v>
      </c>
      <c r="BE394" s="452">
        <f t="shared" si="320"/>
        <v>7874305.2300000004</v>
      </c>
      <c r="BF394" s="448">
        <f t="shared" si="321"/>
        <v>0.76999999955296516</v>
      </c>
      <c r="BG394" s="456">
        <f t="shared" si="322"/>
        <v>3753558.15</v>
      </c>
      <c r="BH394" s="457">
        <f t="shared" si="289"/>
        <v>963049.84000000032</v>
      </c>
      <c r="BI394" s="407" t="s">
        <v>1490</v>
      </c>
      <c r="BM394" s="429">
        <f>IF(BR394&gt;BR393,BM393,IF(BM393&lt;MiscData!$F$1,EOMONTH(BM393,1),EOMONTH(BM393,-11)))</f>
        <v>41973</v>
      </c>
      <c r="BN394" s="416" t="str">
        <f t="shared" si="290"/>
        <v>20140101KUCIE550</v>
      </c>
      <c r="BO394" s="427" t="str">
        <f t="shared" si="291"/>
        <v>20140101RTS</v>
      </c>
      <c r="BP394" s="407">
        <f>IF(BM394&lt;=MiscData!$B$23,MiscData!$C$23,IF(BM394&lt;=MiscData!$B$24,MiscData!$C$24,MiscData!$C$25))</f>
        <v>20140101</v>
      </c>
      <c r="BQ394" s="407" t="str">
        <f>VLOOKUP(BR394,MiscData!$V$4:$W$42,2,FALSE)</f>
        <v>KUCIE550</v>
      </c>
      <c r="BR394" s="407">
        <f>IF(BR393=MiscData!$V$42,1,BR393+1)</f>
        <v>1</v>
      </c>
      <c r="BS394" s="407" t="str">
        <f>VLOOKUP(BQ394,MiscData!$W$4:$Y$42,3,FALSE)</f>
        <v>RTS</v>
      </c>
    </row>
    <row r="395" spans="1:72">
      <c r="A395" s="416">
        <f t="shared" si="323"/>
        <v>348</v>
      </c>
      <c r="B395" s="416" t="str">
        <f t="shared" si="286"/>
        <v>Nov 2014</v>
      </c>
      <c r="C395" s="416" t="s">
        <v>26</v>
      </c>
      <c r="D395" s="417" t="str">
        <f t="shared" si="287"/>
        <v>PSP</v>
      </c>
      <c r="E395" s="417" t="str">
        <f t="shared" si="288"/>
        <v>KUCIE561</v>
      </c>
      <c r="F395" s="418">
        <f t="shared" si="292"/>
        <v>216</v>
      </c>
      <c r="G395" s="467"/>
      <c r="H395" s="418">
        <v>0</v>
      </c>
      <c r="I395" s="418">
        <v>0</v>
      </c>
      <c r="J395" s="418">
        <v>0</v>
      </c>
      <c r="K395" s="418">
        <f t="shared" si="293"/>
        <v>18873291</v>
      </c>
      <c r="L395" s="459">
        <v>0</v>
      </c>
      <c r="M395" s="443">
        <f t="shared" si="294"/>
        <v>0</v>
      </c>
      <c r="N395" s="443">
        <f t="shared" si="295"/>
        <v>53495.68</v>
      </c>
      <c r="O395" s="443">
        <f t="shared" si="296"/>
        <v>0</v>
      </c>
      <c r="P395" s="443">
        <f t="shared" si="297"/>
        <v>0</v>
      </c>
      <c r="Q395" s="443">
        <f t="shared" si="298"/>
        <v>53495.68</v>
      </c>
      <c r="R395" s="443">
        <f t="shared" si="299"/>
        <v>0</v>
      </c>
      <c r="S395" s="484"/>
      <c r="T395" s="484"/>
      <c r="U395" s="484"/>
      <c r="V395" s="490">
        <v>0</v>
      </c>
      <c r="W395" s="490">
        <v>0</v>
      </c>
      <c r="X395" s="490">
        <v>0</v>
      </c>
      <c r="Y395" s="419">
        <f t="shared" si="300"/>
        <v>170</v>
      </c>
      <c r="Z395" s="420">
        <f t="shared" si="301"/>
        <v>3.5619999999999999E-2</v>
      </c>
      <c r="AA395" s="420">
        <v>0</v>
      </c>
      <c r="AB395" s="420">
        <v>0</v>
      </c>
      <c r="AC395" s="420">
        <f t="shared" si="302"/>
        <v>2.8920000000000001E-2</v>
      </c>
      <c r="AD395" s="419">
        <f t="shared" si="303"/>
        <v>0</v>
      </c>
      <c r="AE395" s="419">
        <f t="shared" si="304"/>
        <v>13.18</v>
      </c>
      <c r="AF395" s="419">
        <f t="shared" si="305"/>
        <v>15.28</v>
      </c>
      <c r="AG395" s="454">
        <f t="shared" si="306"/>
        <v>36720</v>
      </c>
      <c r="AH395" s="454">
        <f t="shared" si="282"/>
        <v>672266.63</v>
      </c>
      <c r="AI395" s="421">
        <f t="shared" si="307"/>
        <v>0</v>
      </c>
      <c r="AJ395" s="421">
        <f t="shared" si="308"/>
        <v>705073.06</v>
      </c>
      <c r="AK395" s="421">
        <f t="shared" si="309"/>
        <v>0</v>
      </c>
      <c r="AL395" s="472">
        <v>0</v>
      </c>
      <c r="AM395" s="422">
        <f t="shared" si="280"/>
        <v>0</v>
      </c>
      <c r="AN395" s="423">
        <f t="shared" si="310"/>
        <v>0</v>
      </c>
      <c r="AO395" s="421">
        <f t="shared" si="311"/>
        <v>705073.06</v>
      </c>
      <c r="AP395" s="472"/>
      <c r="AQ395" s="472"/>
      <c r="AR395" s="472"/>
      <c r="AS395" s="475">
        <v>0</v>
      </c>
      <c r="AT395" s="475">
        <v>0</v>
      </c>
      <c r="AU395" s="475">
        <v>0</v>
      </c>
      <c r="AV395" s="454">
        <f t="shared" si="312"/>
        <v>1414059.69</v>
      </c>
      <c r="AW395" s="421">
        <f t="shared" si="313"/>
        <v>1414059</v>
      </c>
      <c r="AX395" s="455">
        <f t="shared" si="324"/>
        <v>0.99999951204322923</v>
      </c>
      <c r="AY395" s="424">
        <f t="shared" si="314"/>
        <v>46232</v>
      </c>
      <c r="AZ395" s="424">
        <f t="shared" si="315"/>
        <v>38179</v>
      </c>
      <c r="BA395" s="424">
        <f t="shared" si="316"/>
        <v>72986</v>
      </c>
      <c r="BB395" s="424">
        <f t="shared" si="317"/>
        <v>0</v>
      </c>
      <c r="BC395" s="424">
        <f t="shared" si="318"/>
        <v>0</v>
      </c>
      <c r="BD395" s="424">
        <f t="shared" si="319"/>
        <v>1571456</v>
      </c>
      <c r="BE395" s="452">
        <f t="shared" si="320"/>
        <v>1571456.69</v>
      </c>
      <c r="BF395" s="448">
        <f t="shared" si="321"/>
        <v>-0.68999999994412065</v>
      </c>
      <c r="BG395" s="456">
        <f t="shared" si="322"/>
        <v>545815.57999999996</v>
      </c>
      <c r="BH395" s="457">
        <f t="shared" si="289"/>
        <v>126451.05000000005</v>
      </c>
      <c r="BI395" s="407" t="s">
        <v>1490</v>
      </c>
      <c r="BM395" s="429">
        <f>IF(BR395&gt;BR394,BM394,IF(BM394&lt;MiscData!$F$1,EOMONTH(BM394,1),EOMONTH(BM394,-11)))</f>
        <v>41973</v>
      </c>
      <c r="BN395" s="416" t="str">
        <f t="shared" si="290"/>
        <v>20140101KUCIE561</v>
      </c>
      <c r="BO395" s="427" t="str">
        <f t="shared" si="291"/>
        <v>20140101PSP</v>
      </c>
      <c r="BP395" s="407">
        <f>IF(BM395&lt;=MiscData!$B$23,MiscData!$C$23,IF(BM395&lt;=MiscData!$B$24,MiscData!$C$24,MiscData!$C$25))</f>
        <v>20140101</v>
      </c>
      <c r="BQ395" s="407" t="str">
        <f>VLOOKUP(BR395,MiscData!$V$4:$W$42,2,FALSE)</f>
        <v>KUCIE561</v>
      </c>
      <c r="BR395" s="407">
        <f>IF(BR394=MiscData!$V$42,1,BR394+1)</f>
        <v>2</v>
      </c>
      <c r="BS395" s="407" t="str">
        <f>VLOOKUP(BQ395,MiscData!$W$4:$Y$42,3,FALSE)</f>
        <v>PSP</v>
      </c>
    </row>
    <row r="396" spans="1:72" hidden="1">
      <c r="A396" s="416">
        <f t="shared" si="323"/>
        <v>349</v>
      </c>
      <c r="B396" s="416" t="str">
        <f t="shared" si="286"/>
        <v>Nov 2014</v>
      </c>
      <c r="C396" s="416" t="s">
        <v>25</v>
      </c>
      <c r="D396" s="417" t="str">
        <f t="shared" si="287"/>
        <v>PSS</v>
      </c>
      <c r="E396" s="417" t="str">
        <f t="shared" si="288"/>
        <v>KUCIE562</v>
      </c>
      <c r="F396" s="418">
        <f t="shared" si="292"/>
        <v>4815</v>
      </c>
      <c r="G396" s="467"/>
      <c r="H396" s="418">
        <v>0</v>
      </c>
      <c r="I396" s="418">
        <v>0</v>
      </c>
      <c r="J396" s="418">
        <v>0</v>
      </c>
      <c r="K396" s="418">
        <f t="shared" si="293"/>
        <v>165279163</v>
      </c>
      <c r="L396" s="459">
        <v>0</v>
      </c>
      <c r="M396" s="443">
        <f t="shared" si="294"/>
        <v>0</v>
      </c>
      <c r="N396" s="443">
        <f t="shared" si="295"/>
        <v>535245.07999999996</v>
      </c>
      <c r="O396" s="443">
        <f t="shared" si="296"/>
        <v>0</v>
      </c>
      <c r="P396" s="443">
        <f t="shared" si="297"/>
        <v>0</v>
      </c>
      <c r="Q396" s="443">
        <f t="shared" si="298"/>
        <v>535245.07999999996</v>
      </c>
      <c r="R396" s="443">
        <f t="shared" si="299"/>
        <v>0</v>
      </c>
      <c r="S396" s="484"/>
      <c r="T396" s="484"/>
      <c r="U396" s="484"/>
      <c r="V396" s="490">
        <v>0</v>
      </c>
      <c r="W396" s="490">
        <v>0</v>
      </c>
      <c r="X396" s="490">
        <v>0</v>
      </c>
      <c r="Y396" s="419">
        <f t="shared" si="300"/>
        <v>90</v>
      </c>
      <c r="Z396" s="420">
        <f t="shared" si="301"/>
        <v>3.5640000000000005E-2</v>
      </c>
      <c r="AA396" s="420">
        <v>0</v>
      </c>
      <c r="AB396" s="420">
        <v>0</v>
      </c>
      <c r="AC396" s="420">
        <f t="shared" si="302"/>
        <v>2.8920000000000001E-2</v>
      </c>
      <c r="AD396" s="419">
        <f t="shared" si="303"/>
        <v>0</v>
      </c>
      <c r="AE396" s="419">
        <f t="shared" si="304"/>
        <v>13.2</v>
      </c>
      <c r="AF396" s="419">
        <f t="shared" si="305"/>
        <v>15.3</v>
      </c>
      <c r="AG396" s="454">
        <f t="shared" si="306"/>
        <v>433350</v>
      </c>
      <c r="AH396" s="454">
        <f t="shared" si="282"/>
        <v>5890549.3700000001</v>
      </c>
      <c r="AI396" s="421">
        <f t="shared" si="307"/>
        <v>0</v>
      </c>
      <c r="AJ396" s="421">
        <f t="shared" si="308"/>
        <v>7065235.0599999996</v>
      </c>
      <c r="AK396" s="421">
        <f t="shared" si="309"/>
        <v>0</v>
      </c>
      <c r="AL396" s="472">
        <v>0</v>
      </c>
      <c r="AM396" s="422">
        <f t="shared" si="280"/>
        <v>0</v>
      </c>
      <c r="AN396" s="423">
        <f t="shared" si="310"/>
        <v>0</v>
      </c>
      <c r="AO396" s="421">
        <f t="shared" si="311"/>
        <v>7065235.0599999996</v>
      </c>
      <c r="AP396" s="472"/>
      <c r="AQ396" s="472"/>
      <c r="AR396" s="472"/>
      <c r="AS396" s="475">
        <v>0</v>
      </c>
      <c r="AT396" s="475">
        <v>0</v>
      </c>
      <c r="AU396" s="475">
        <v>0</v>
      </c>
      <c r="AV396" s="454">
        <f t="shared" si="312"/>
        <v>13389134.43</v>
      </c>
      <c r="AW396" s="421">
        <f t="shared" si="313"/>
        <v>13389134</v>
      </c>
      <c r="AX396" s="455">
        <f t="shared" si="324"/>
        <v>0.99999996788440637</v>
      </c>
      <c r="AY396" s="424">
        <f t="shared" si="314"/>
        <v>404865</v>
      </c>
      <c r="AZ396" s="424">
        <f t="shared" si="315"/>
        <v>334346</v>
      </c>
      <c r="BA396" s="424">
        <f t="shared" si="316"/>
        <v>639159</v>
      </c>
      <c r="BB396" s="424">
        <f t="shared" si="317"/>
        <v>0</v>
      </c>
      <c r="BC396" s="424">
        <f t="shared" si="318"/>
        <v>0</v>
      </c>
      <c r="BD396" s="424">
        <f t="shared" si="319"/>
        <v>14767504</v>
      </c>
      <c r="BE396" s="452">
        <f t="shared" si="320"/>
        <v>14767504.43</v>
      </c>
      <c r="BF396" s="448">
        <f t="shared" si="321"/>
        <v>-0.42999999970197678</v>
      </c>
      <c r="BG396" s="456">
        <f t="shared" si="322"/>
        <v>4779873.3899999997</v>
      </c>
      <c r="BH396" s="457">
        <f t="shared" si="289"/>
        <v>1110675.9800000004</v>
      </c>
      <c r="BI396" s="407" t="s">
        <v>1490</v>
      </c>
      <c r="BM396" s="429">
        <f>IF(BR396&gt;BR395,BM395,IF(BM395&lt;MiscData!$F$1,EOMONTH(BM395,1),EOMONTH(BM395,-11)))</f>
        <v>41973</v>
      </c>
      <c r="BN396" s="416" t="str">
        <f t="shared" si="290"/>
        <v>20140101KUCIE562</v>
      </c>
      <c r="BO396" s="427" t="str">
        <f t="shared" si="291"/>
        <v>20140101PSS</v>
      </c>
      <c r="BP396" s="407">
        <f>IF(BM396&lt;=MiscData!$B$23,MiscData!$C$23,IF(BM396&lt;=MiscData!$B$24,MiscData!$C$24,MiscData!$C$25))</f>
        <v>20140101</v>
      </c>
      <c r="BQ396" s="407" t="str">
        <f>VLOOKUP(BR396,MiscData!$V$4:$W$42,2,FALSE)</f>
        <v>KUCIE562</v>
      </c>
      <c r="BR396" s="407">
        <f>IF(BR395=MiscData!$V$42,1,BR395+1)</f>
        <v>3</v>
      </c>
      <c r="BS396" s="407" t="str">
        <f>VLOOKUP(BQ396,MiscData!$W$4:$Y$42,3,FALSE)</f>
        <v>PSS</v>
      </c>
    </row>
    <row r="397" spans="1:72" hidden="1">
      <c r="A397" s="416">
        <f t="shared" si="323"/>
        <v>350</v>
      </c>
      <c r="B397" s="416" t="str">
        <f t="shared" si="286"/>
        <v>Nov 2014</v>
      </c>
      <c r="C397" s="416" t="s">
        <v>221</v>
      </c>
      <c r="D397" s="417" t="str">
        <f t="shared" si="287"/>
        <v>TODP</v>
      </c>
      <c r="E397" s="417" t="str">
        <f t="shared" si="288"/>
        <v>KUCIE563</v>
      </c>
      <c r="F397" s="418">
        <f t="shared" si="292"/>
        <v>52</v>
      </c>
      <c r="G397" s="467"/>
      <c r="H397" s="418">
        <v>0</v>
      </c>
      <c r="I397" s="418">
        <v>0</v>
      </c>
      <c r="J397" s="418">
        <v>0</v>
      </c>
      <c r="K397" s="418">
        <f t="shared" si="293"/>
        <v>240299969</v>
      </c>
      <c r="L397" s="481">
        <v>0</v>
      </c>
      <c r="M397" s="443">
        <f t="shared" si="294"/>
        <v>505391.85</v>
      </c>
      <c r="N397" s="443">
        <f t="shared" si="295"/>
        <v>483224.92</v>
      </c>
      <c r="O397" s="443">
        <f t="shared" si="296"/>
        <v>477199.84</v>
      </c>
      <c r="P397" s="443">
        <f t="shared" si="297"/>
        <v>505391.85</v>
      </c>
      <c r="Q397" s="443">
        <f t="shared" si="298"/>
        <v>483224.92</v>
      </c>
      <c r="R397" s="443">
        <f t="shared" si="299"/>
        <v>477199.84</v>
      </c>
      <c r="S397" s="484"/>
      <c r="T397" s="484"/>
      <c r="U397" s="484"/>
      <c r="V397" s="490">
        <v>0</v>
      </c>
      <c r="W397" s="490">
        <v>0</v>
      </c>
      <c r="X397" s="490">
        <v>0</v>
      </c>
      <c r="Y397" s="419">
        <f t="shared" si="300"/>
        <v>300</v>
      </c>
      <c r="Z397" s="420">
        <f t="shared" si="301"/>
        <v>3.7650000000000003E-2</v>
      </c>
      <c r="AA397" s="420">
        <v>0</v>
      </c>
      <c r="AB397" s="420">
        <v>0</v>
      </c>
      <c r="AC397" s="420">
        <f t="shared" si="302"/>
        <v>2.8920000000000001E-2</v>
      </c>
      <c r="AD397" s="419">
        <f t="shared" si="303"/>
        <v>1.71</v>
      </c>
      <c r="AE397" s="419">
        <f t="shared" si="304"/>
        <v>2.76</v>
      </c>
      <c r="AF397" s="419">
        <f t="shared" si="305"/>
        <v>4.26</v>
      </c>
      <c r="AG397" s="454">
        <f t="shared" si="306"/>
        <v>15600</v>
      </c>
      <c r="AH397" s="454">
        <f t="shared" si="282"/>
        <v>9047293.8300000001</v>
      </c>
      <c r="AI397" s="421">
        <f t="shared" si="307"/>
        <v>864220.06</v>
      </c>
      <c r="AJ397" s="421">
        <f t="shared" si="308"/>
        <v>1333700.78</v>
      </c>
      <c r="AK397" s="421">
        <f t="shared" si="309"/>
        <v>2032871.32</v>
      </c>
      <c r="AL397" s="472">
        <v>0</v>
      </c>
      <c r="AM397" s="422">
        <f t="shared" si="280"/>
        <v>0</v>
      </c>
      <c r="AN397" s="423">
        <f t="shared" si="310"/>
        <v>0</v>
      </c>
      <c r="AO397" s="421">
        <f t="shared" si="311"/>
        <v>4230792.16</v>
      </c>
      <c r="AP397" s="472"/>
      <c r="AQ397" s="472"/>
      <c r="AR397" s="472"/>
      <c r="AS397" s="475"/>
      <c r="AT397" s="475"/>
      <c r="AU397" s="475"/>
      <c r="AV397" s="454">
        <f t="shared" si="312"/>
        <v>13293685.99</v>
      </c>
      <c r="AW397" s="421">
        <f t="shared" si="313"/>
        <v>13293686</v>
      </c>
      <c r="AX397" s="455">
        <f t="shared" si="324"/>
        <v>1.0000000007522367</v>
      </c>
      <c r="AY397" s="424">
        <f t="shared" si="314"/>
        <v>588635</v>
      </c>
      <c r="AZ397" s="424">
        <f t="shared" si="315"/>
        <v>486107</v>
      </c>
      <c r="BA397" s="424">
        <f t="shared" si="316"/>
        <v>929275</v>
      </c>
      <c r="BB397" s="424">
        <f t="shared" si="317"/>
        <v>0</v>
      </c>
      <c r="BC397" s="424">
        <f t="shared" si="318"/>
        <v>0</v>
      </c>
      <c r="BD397" s="424">
        <f t="shared" si="319"/>
        <v>15297703</v>
      </c>
      <c r="BE397" s="452">
        <f t="shared" si="320"/>
        <v>15297702.99</v>
      </c>
      <c r="BF397" s="448">
        <f t="shared" si="321"/>
        <v>9.9999997764825821E-3</v>
      </c>
      <c r="BG397" s="456">
        <f t="shared" si="322"/>
        <v>6949475.0999999996</v>
      </c>
      <c r="BH397" s="457">
        <f t="shared" si="289"/>
        <v>2097818.7300000004</v>
      </c>
      <c r="BI397" s="407" t="s">
        <v>1490</v>
      </c>
      <c r="BM397" s="429">
        <f>IF(BR397&gt;BR396,BM396,IF(BM396&lt;MiscData!$F$1,EOMONTH(BM396,1),EOMONTH(BM396,-11)))</f>
        <v>41973</v>
      </c>
      <c r="BN397" s="416" t="str">
        <f t="shared" si="290"/>
        <v>20140101KUCIE563</v>
      </c>
      <c r="BO397" s="427" t="str">
        <f t="shared" si="291"/>
        <v>20140101TODP</v>
      </c>
      <c r="BP397" s="407">
        <f>IF(BM397&lt;=MiscData!$B$23,MiscData!$C$23,IF(BM397&lt;=MiscData!$B$24,MiscData!$C$24,MiscData!$C$25))</f>
        <v>20140101</v>
      </c>
      <c r="BQ397" s="407" t="str">
        <f>VLOOKUP(BR397,MiscData!$V$4:$W$42,2,FALSE)</f>
        <v>KUCIE563</v>
      </c>
      <c r="BR397" s="407">
        <f>IF(BR396=MiscData!$V$42,1,BR396+1)</f>
        <v>4</v>
      </c>
      <c r="BS397" s="407" t="str">
        <f>VLOOKUP(BQ397,MiscData!$W$4:$Y$42,3,FALSE)</f>
        <v>TODP</v>
      </c>
    </row>
    <row r="398" spans="1:72">
      <c r="A398" s="416">
        <f t="shared" si="323"/>
        <v>351</v>
      </c>
      <c r="B398" s="416" t="str">
        <f t="shared" si="286"/>
        <v>Nov 2014</v>
      </c>
      <c r="C398" s="416" t="s">
        <v>26</v>
      </c>
      <c r="D398" s="417" t="str">
        <f t="shared" si="287"/>
        <v>PSP</v>
      </c>
      <c r="E398" s="417" t="str">
        <f t="shared" si="288"/>
        <v>KUCIE566</v>
      </c>
      <c r="F398" s="418">
        <f t="shared" si="292"/>
        <v>0</v>
      </c>
      <c r="G398" s="467"/>
      <c r="H398" s="418">
        <v>0</v>
      </c>
      <c r="I398" s="418">
        <v>0</v>
      </c>
      <c r="J398" s="418">
        <v>0</v>
      </c>
      <c r="K398" s="418">
        <f t="shared" si="293"/>
        <v>0</v>
      </c>
      <c r="L398" s="459">
        <v>0</v>
      </c>
      <c r="M398" s="443">
        <f t="shared" si="294"/>
        <v>0</v>
      </c>
      <c r="N398" s="443">
        <f t="shared" si="295"/>
        <v>0</v>
      </c>
      <c r="O398" s="443">
        <f t="shared" si="296"/>
        <v>0</v>
      </c>
      <c r="P398" s="443">
        <f t="shared" si="297"/>
        <v>0</v>
      </c>
      <c r="Q398" s="443">
        <f t="shared" si="298"/>
        <v>0</v>
      </c>
      <c r="R398" s="443">
        <f t="shared" si="299"/>
        <v>0</v>
      </c>
      <c r="S398" s="484">
        <v>0</v>
      </c>
      <c r="T398" s="484"/>
      <c r="U398" s="484"/>
      <c r="V398" s="490">
        <v>0</v>
      </c>
      <c r="W398" s="490">
        <v>0</v>
      </c>
      <c r="X398" s="490">
        <v>0</v>
      </c>
      <c r="Y398" s="419">
        <f t="shared" si="300"/>
        <v>170</v>
      </c>
      <c r="Z398" s="420">
        <f t="shared" si="301"/>
        <v>3.5619999999999999E-2</v>
      </c>
      <c r="AA398" s="420">
        <v>0</v>
      </c>
      <c r="AB398" s="420">
        <v>0</v>
      </c>
      <c r="AC398" s="420">
        <f t="shared" si="302"/>
        <v>2.8920000000000001E-2</v>
      </c>
      <c r="AD398" s="419">
        <f t="shared" si="303"/>
        <v>0</v>
      </c>
      <c r="AE398" s="419">
        <f t="shared" si="304"/>
        <v>13.18</v>
      </c>
      <c r="AF398" s="419">
        <f t="shared" si="305"/>
        <v>15.28</v>
      </c>
      <c r="AG398" s="454">
        <f t="shared" si="306"/>
        <v>0</v>
      </c>
      <c r="AH398" s="454">
        <f t="shared" si="282"/>
        <v>0</v>
      </c>
      <c r="AI398" s="421">
        <f t="shared" si="307"/>
        <v>0</v>
      </c>
      <c r="AJ398" s="421">
        <f t="shared" si="308"/>
        <v>0</v>
      </c>
      <c r="AK398" s="421">
        <f t="shared" si="309"/>
        <v>0</v>
      </c>
      <c r="AL398" s="472">
        <v>0</v>
      </c>
      <c r="AM398" s="422">
        <f t="shared" si="280"/>
        <v>0</v>
      </c>
      <c r="AN398" s="423">
        <f t="shared" si="310"/>
        <v>0</v>
      </c>
      <c r="AO398" s="421">
        <f t="shared" si="311"/>
        <v>0</v>
      </c>
      <c r="AP398" s="472"/>
      <c r="AQ398" s="472"/>
      <c r="AR398" s="472"/>
      <c r="AS398" s="475">
        <v>0</v>
      </c>
      <c r="AT398" s="475">
        <v>0</v>
      </c>
      <c r="AU398" s="475">
        <v>0</v>
      </c>
      <c r="AV398" s="454">
        <f t="shared" si="312"/>
        <v>0</v>
      </c>
      <c r="AW398" s="421">
        <f t="shared" si="313"/>
        <v>0</v>
      </c>
      <c r="AX398" s="455">
        <f t="shared" si="324"/>
        <v>1</v>
      </c>
      <c r="AY398" s="424">
        <f t="shared" si="314"/>
        <v>0</v>
      </c>
      <c r="AZ398" s="424">
        <f t="shared" si="315"/>
        <v>0</v>
      </c>
      <c r="BA398" s="424">
        <f t="shared" si="316"/>
        <v>0</v>
      </c>
      <c r="BB398" s="424">
        <f t="shared" si="317"/>
        <v>0</v>
      </c>
      <c r="BC398" s="424">
        <f t="shared" si="318"/>
        <v>0</v>
      </c>
      <c r="BD398" s="424">
        <f t="shared" si="319"/>
        <v>0</v>
      </c>
      <c r="BE398" s="452">
        <f t="shared" si="320"/>
        <v>0</v>
      </c>
      <c r="BF398" s="448">
        <f t="shared" si="321"/>
        <v>0</v>
      </c>
      <c r="BG398" s="456">
        <f t="shared" si="322"/>
        <v>0</v>
      </c>
      <c r="BH398" s="457">
        <f t="shared" si="289"/>
        <v>0</v>
      </c>
      <c r="BI398" s="407" t="s">
        <v>1490</v>
      </c>
      <c r="BM398" s="429">
        <f>IF(BR398&gt;BR397,BM397,IF(BM397&lt;MiscData!$F$1,EOMONTH(BM397,1),EOMONTH(BM397,-11)))</f>
        <v>41973</v>
      </c>
      <c r="BN398" s="416" t="str">
        <f t="shared" si="290"/>
        <v>20140101KUCIE566</v>
      </c>
      <c r="BO398" s="427" t="str">
        <f t="shared" si="291"/>
        <v>20140101PSP</v>
      </c>
      <c r="BP398" s="407">
        <f>IF(BM398&lt;=MiscData!$B$23,MiscData!$C$23,IF(BM398&lt;=MiscData!$B$24,MiscData!$C$24,MiscData!$C$25))</f>
        <v>20140101</v>
      </c>
      <c r="BQ398" s="407" t="str">
        <f>VLOOKUP(BR398,MiscData!$V$4:$W$42,2,FALSE)</f>
        <v>KUCIE566</v>
      </c>
      <c r="BR398" s="407">
        <f>IF(BR397=MiscData!$V$42,1,BR397+1)</f>
        <v>5</v>
      </c>
      <c r="BS398" s="407" t="str">
        <f>VLOOKUP(BQ398,MiscData!$W$4:$Y$42,3,FALSE)</f>
        <v>PSP</v>
      </c>
    </row>
    <row r="399" spans="1:72" hidden="1">
      <c r="A399" s="416">
        <f t="shared" si="323"/>
        <v>352</v>
      </c>
      <c r="B399" s="416" t="str">
        <f t="shared" si="286"/>
        <v>Nov 2014</v>
      </c>
      <c r="C399" s="416" t="s">
        <v>25</v>
      </c>
      <c r="D399" s="417" t="str">
        <f t="shared" si="287"/>
        <v>PSS</v>
      </c>
      <c r="E399" s="417" t="str">
        <f t="shared" si="288"/>
        <v>KUCIE568</v>
      </c>
      <c r="F399" s="418">
        <f t="shared" si="292"/>
        <v>0</v>
      </c>
      <c r="G399" s="467"/>
      <c r="H399" s="418">
        <v>0</v>
      </c>
      <c r="I399" s="418">
        <v>0</v>
      </c>
      <c r="J399" s="418">
        <v>0</v>
      </c>
      <c r="K399" s="418">
        <f t="shared" si="293"/>
        <v>0</v>
      </c>
      <c r="L399" s="459">
        <v>0</v>
      </c>
      <c r="M399" s="443">
        <f t="shared" si="294"/>
        <v>0</v>
      </c>
      <c r="N399" s="443">
        <f t="shared" si="295"/>
        <v>0</v>
      </c>
      <c r="O399" s="443">
        <f t="shared" si="296"/>
        <v>0</v>
      </c>
      <c r="P399" s="443">
        <f t="shared" si="297"/>
        <v>0</v>
      </c>
      <c r="Q399" s="443">
        <f t="shared" si="298"/>
        <v>0</v>
      </c>
      <c r="R399" s="443">
        <f t="shared" si="299"/>
        <v>0</v>
      </c>
      <c r="S399" s="484">
        <v>0</v>
      </c>
      <c r="T399" s="484"/>
      <c r="U399" s="484">
        <v>0</v>
      </c>
      <c r="V399" s="490">
        <v>0</v>
      </c>
      <c r="W399" s="490">
        <v>0</v>
      </c>
      <c r="X399" s="490">
        <v>0</v>
      </c>
      <c r="Y399" s="419">
        <f t="shared" si="300"/>
        <v>90</v>
      </c>
      <c r="Z399" s="420">
        <f t="shared" si="301"/>
        <v>3.5640000000000005E-2</v>
      </c>
      <c r="AA399" s="420">
        <v>0</v>
      </c>
      <c r="AB399" s="420">
        <v>0</v>
      </c>
      <c r="AC399" s="420">
        <f t="shared" si="302"/>
        <v>2.8920000000000001E-2</v>
      </c>
      <c r="AD399" s="419">
        <f t="shared" si="303"/>
        <v>0</v>
      </c>
      <c r="AE399" s="419">
        <f t="shared" si="304"/>
        <v>13.2</v>
      </c>
      <c r="AF399" s="419">
        <f t="shared" si="305"/>
        <v>15.3</v>
      </c>
      <c r="AG399" s="454">
        <f t="shared" si="306"/>
        <v>0</v>
      </c>
      <c r="AH399" s="454">
        <f t="shared" si="282"/>
        <v>0</v>
      </c>
      <c r="AI399" s="421">
        <f t="shared" si="307"/>
        <v>0</v>
      </c>
      <c r="AJ399" s="421">
        <f t="shared" si="308"/>
        <v>0</v>
      </c>
      <c r="AK399" s="421">
        <f t="shared" si="309"/>
        <v>0</v>
      </c>
      <c r="AL399" s="472"/>
      <c r="AM399" s="422">
        <f t="shared" si="280"/>
        <v>0</v>
      </c>
      <c r="AN399" s="423">
        <f t="shared" si="310"/>
        <v>0</v>
      </c>
      <c r="AO399" s="421">
        <f t="shared" si="311"/>
        <v>0</v>
      </c>
      <c r="AP399" s="472"/>
      <c r="AQ399" s="472"/>
      <c r="AR399" s="472"/>
      <c r="AS399" s="475">
        <v>0</v>
      </c>
      <c r="AT399" s="475">
        <v>0</v>
      </c>
      <c r="AU399" s="475">
        <v>0</v>
      </c>
      <c r="AV399" s="454">
        <f t="shared" si="312"/>
        <v>0</v>
      </c>
      <c r="AW399" s="421">
        <f t="shared" si="313"/>
        <v>0</v>
      </c>
      <c r="AX399" s="455">
        <f t="shared" si="324"/>
        <v>1</v>
      </c>
      <c r="AY399" s="424">
        <f t="shared" si="314"/>
        <v>0</v>
      </c>
      <c r="AZ399" s="424">
        <f t="shared" si="315"/>
        <v>0</v>
      </c>
      <c r="BA399" s="424">
        <f t="shared" si="316"/>
        <v>0</v>
      </c>
      <c r="BB399" s="424">
        <f t="shared" si="317"/>
        <v>0</v>
      </c>
      <c r="BC399" s="424">
        <f t="shared" si="318"/>
        <v>0</v>
      </c>
      <c r="BD399" s="424">
        <f t="shared" si="319"/>
        <v>0</v>
      </c>
      <c r="BE399" s="452">
        <f t="shared" si="320"/>
        <v>0</v>
      </c>
      <c r="BF399" s="448">
        <f t="shared" si="321"/>
        <v>0</v>
      </c>
      <c r="BG399" s="456">
        <f t="shared" si="322"/>
        <v>0</v>
      </c>
      <c r="BH399" s="457">
        <f t="shared" si="289"/>
        <v>0</v>
      </c>
      <c r="BI399" s="407" t="s">
        <v>1490</v>
      </c>
      <c r="BM399" s="429">
        <f>IF(BR399&gt;BR398,BM398,IF(BM398&lt;MiscData!$F$1,EOMONTH(BM398,1),EOMONTH(BM398,-11)))</f>
        <v>41973</v>
      </c>
      <c r="BN399" s="416" t="str">
        <f t="shared" si="290"/>
        <v>20140101KUCIE568</v>
      </c>
      <c r="BO399" s="427" t="str">
        <f t="shared" si="291"/>
        <v>20140101PSS</v>
      </c>
      <c r="BP399" s="407">
        <f>IF(BM399&lt;=MiscData!$B$23,MiscData!$C$23,IF(BM399&lt;=MiscData!$B$24,MiscData!$C$24,MiscData!$C$25))</f>
        <v>20140101</v>
      </c>
      <c r="BQ399" s="407" t="str">
        <f>VLOOKUP(BR399,MiscData!$V$4:$W$42,2,FALSE)</f>
        <v>KUCIE568</v>
      </c>
      <c r="BR399" s="407">
        <f>IF(BR398=MiscData!$V$42,1,BR398+1)</f>
        <v>6</v>
      </c>
      <c r="BS399" s="407" t="str">
        <f>VLOOKUP(BQ399,MiscData!$W$4:$Y$42,3,FALSE)</f>
        <v>PSS</v>
      </c>
    </row>
    <row r="400" spans="1:72" hidden="1">
      <c r="A400" s="416">
        <f>A385+1</f>
        <v>353</v>
      </c>
      <c r="B400" s="416" t="str">
        <f t="shared" si="286"/>
        <v>Nov 2014</v>
      </c>
      <c r="C400" s="416" t="s">
        <v>221</v>
      </c>
      <c r="D400" s="417" t="str">
        <f t="shared" si="287"/>
        <v>TODP</v>
      </c>
      <c r="E400" s="417" t="str">
        <f t="shared" si="288"/>
        <v>KUCIE571</v>
      </c>
      <c r="F400" s="418">
        <f t="shared" si="292"/>
        <v>182</v>
      </c>
      <c r="G400" s="467"/>
      <c r="H400" s="418">
        <v>0</v>
      </c>
      <c r="I400" s="418">
        <v>0</v>
      </c>
      <c r="J400" s="418">
        <v>0</v>
      </c>
      <c r="K400" s="418">
        <f t="shared" si="293"/>
        <v>100603039</v>
      </c>
      <c r="L400" s="481">
        <v>0</v>
      </c>
      <c r="M400" s="443">
        <f t="shared" si="294"/>
        <v>265026.83</v>
      </c>
      <c r="N400" s="443">
        <f t="shared" si="295"/>
        <v>254100.38</v>
      </c>
      <c r="O400" s="443">
        <f t="shared" si="296"/>
        <v>250156.83</v>
      </c>
      <c r="P400" s="443">
        <f t="shared" si="297"/>
        <v>265026.83</v>
      </c>
      <c r="Q400" s="443">
        <f t="shared" si="298"/>
        <v>254100.38</v>
      </c>
      <c r="R400" s="443">
        <f t="shared" si="299"/>
        <v>250156.83</v>
      </c>
      <c r="S400" s="484"/>
      <c r="T400" s="484"/>
      <c r="U400" s="484"/>
      <c r="V400" s="490">
        <v>0</v>
      </c>
      <c r="W400" s="490">
        <v>0</v>
      </c>
      <c r="X400" s="490">
        <v>0</v>
      </c>
      <c r="Y400" s="419">
        <f t="shared" si="300"/>
        <v>300</v>
      </c>
      <c r="Z400" s="420">
        <f t="shared" si="301"/>
        <v>3.7650000000000003E-2</v>
      </c>
      <c r="AA400" s="420">
        <v>0</v>
      </c>
      <c r="AB400" s="420">
        <v>0</v>
      </c>
      <c r="AC400" s="420">
        <f t="shared" si="302"/>
        <v>2.8920000000000001E-2</v>
      </c>
      <c r="AD400" s="419">
        <f t="shared" si="303"/>
        <v>1.71</v>
      </c>
      <c r="AE400" s="419">
        <f t="shared" si="304"/>
        <v>2.76</v>
      </c>
      <c r="AF400" s="419">
        <f t="shared" si="305"/>
        <v>4.26</v>
      </c>
      <c r="AG400" s="454">
        <f t="shared" si="306"/>
        <v>54600</v>
      </c>
      <c r="AH400" s="454">
        <f t="shared" si="282"/>
        <v>3787704.42</v>
      </c>
      <c r="AI400" s="421">
        <f t="shared" si="307"/>
        <v>453195.88</v>
      </c>
      <c r="AJ400" s="421">
        <f t="shared" si="308"/>
        <v>701317.05</v>
      </c>
      <c r="AK400" s="421">
        <f t="shared" si="309"/>
        <v>1065668.1000000001</v>
      </c>
      <c r="AL400" s="472">
        <v>0</v>
      </c>
      <c r="AM400" s="422">
        <f t="shared" si="280"/>
        <v>0</v>
      </c>
      <c r="AN400" s="423">
        <f t="shared" si="310"/>
        <v>0</v>
      </c>
      <c r="AO400" s="421">
        <f t="shared" si="311"/>
        <v>2220181.0300000003</v>
      </c>
      <c r="AP400" s="472"/>
      <c r="AQ400" s="472"/>
      <c r="AR400" s="472"/>
      <c r="AS400" s="475">
        <v>0</v>
      </c>
      <c r="AT400" s="475">
        <v>0</v>
      </c>
      <c r="AU400" s="475">
        <v>0</v>
      </c>
      <c r="AV400" s="454">
        <f t="shared" si="312"/>
        <v>6062485.4499999993</v>
      </c>
      <c r="AW400" s="421">
        <f t="shared" si="313"/>
        <v>6062484</v>
      </c>
      <c r="AX400" s="455">
        <f t="shared" si="324"/>
        <v>0.99999976082416842</v>
      </c>
      <c r="AY400" s="424">
        <f t="shared" si="314"/>
        <v>246436</v>
      </c>
      <c r="AZ400" s="424">
        <f t="shared" si="315"/>
        <v>203512</v>
      </c>
      <c r="BA400" s="424">
        <f t="shared" si="316"/>
        <v>389047</v>
      </c>
      <c r="BB400" s="424">
        <f t="shared" si="317"/>
        <v>0</v>
      </c>
      <c r="BC400" s="424">
        <f t="shared" si="318"/>
        <v>0</v>
      </c>
      <c r="BD400" s="424">
        <f t="shared" si="319"/>
        <v>6901479</v>
      </c>
      <c r="BE400" s="452">
        <f t="shared" si="320"/>
        <v>6901480.4499999993</v>
      </c>
      <c r="BF400" s="448">
        <f t="shared" si="321"/>
        <v>-1.4499999992549419</v>
      </c>
      <c r="BG400" s="456">
        <f t="shared" si="322"/>
        <v>2909439.89</v>
      </c>
      <c r="BH400" s="457">
        <f t="shared" si="289"/>
        <v>878264.5299999998</v>
      </c>
      <c r="BI400" s="407" t="s">
        <v>1490</v>
      </c>
      <c r="BM400" s="429">
        <f>IF(BR400&gt;BR399,BM399,IF(BM399&lt;MiscData!$F$1,EOMONTH(BM399,1),EOMONTH(BM399,-11)))</f>
        <v>41973</v>
      </c>
      <c r="BN400" s="416" t="str">
        <f t="shared" si="290"/>
        <v>20140101KUCIE571</v>
      </c>
      <c r="BO400" s="427" t="str">
        <f t="shared" si="291"/>
        <v>20140101TODP</v>
      </c>
      <c r="BP400" s="407">
        <f>IF(BM400&lt;=MiscData!$B$23,MiscData!$C$23,IF(BM400&lt;=MiscData!$B$24,MiscData!$C$24,MiscData!$C$25))</f>
        <v>20140101</v>
      </c>
      <c r="BQ400" s="407" t="str">
        <f>VLOOKUP(BR400,MiscData!$V$4:$W$42,2,FALSE)</f>
        <v>KUCIE571</v>
      </c>
      <c r="BR400" s="407">
        <f>IF(BR399=MiscData!$V$42,1,BR399+1)</f>
        <v>7</v>
      </c>
      <c r="BS400" s="407" t="str">
        <f>VLOOKUP(BQ400,MiscData!$W$4:$Y$42,3,FALSE)</f>
        <v>TODP</v>
      </c>
    </row>
    <row r="401" spans="1:71" hidden="1">
      <c r="A401" s="416">
        <f>A386+1</f>
        <v>354</v>
      </c>
      <c r="B401" s="416" t="str">
        <f t="shared" si="286"/>
        <v>Nov 2014</v>
      </c>
      <c r="C401" s="416" t="s">
        <v>220</v>
      </c>
      <c r="D401" s="417" t="str">
        <f t="shared" si="287"/>
        <v>TODS</v>
      </c>
      <c r="E401" s="417" t="str">
        <f t="shared" si="288"/>
        <v>KUCIE572</v>
      </c>
      <c r="F401" s="418">
        <f t="shared" si="292"/>
        <v>453</v>
      </c>
      <c r="G401" s="467"/>
      <c r="H401" s="418">
        <v>0</v>
      </c>
      <c r="I401" s="418">
        <v>0</v>
      </c>
      <c r="J401" s="418">
        <v>0</v>
      </c>
      <c r="K401" s="418">
        <f t="shared" si="293"/>
        <v>108841166</v>
      </c>
      <c r="L401" s="481">
        <v>0</v>
      </c>
      <c r="M401" s="443">
        <f t="shared" si="294"/>
        <v>267018.43</v>
      </c>
      <c r="N401" s="443">
        <f t="shared" si="295"/>
        <v>243200.64000000001</v>
      </c>
      <c r="O401" s="443">
        <f t="shared" si="296"/>
        <v>237752.95</v>
      </c>
      <c r="P401" s="443">
        <f t="shared" si="297"/>
        <v>267018.43</v>
      </c>
      <c r="Q401" s="443">
        <f t="shared" si="298"/>
        <v>243200.64000000001</v>
      </c>
      <c r="R401" s="443">
        <f t="shared" si="299"/>
        <v>237752.95</v>
      </c>
      <c r="S401" s="484"/>
      <c r="T401" s="484"/>
      <c r="U401" s="484"/>
      <c r="V401" s="490">
        <v>0</v>
      </c>
      <c r="W401" s="490">
        <v>0</v>
      </c>
      <c r="X401" s="490">
        <v>0</v>
      </c>
      <c r="Y401" s="419">
        <f t="shared" si="300"/>
        <v>200</v>
      </c>
      <c r="Z401" s="420">
        <f t="shared" si="301"/>
        <v>3.773E-2</v>
      </c>
      <c r="AA401" s="420">
        <v>0</v>
      </c>
      <c r="AB401" s="420">
        <v>0</v>
      </c>
      <c r="AC401" s="420">
        <f t="shared" si="302"/>
        <v>2.8920000000000001E-2</v>
      </c>
      <c r="AD401" s="419">
        <f t="shared" si="303"/>
        <v>3.62</v>
      </c>
      <c r="AE401" s="419">
        <f t="shared" si="304"/>
        <v>2.95</v>
      </c>
      <c r="AF401" s="419">
        <f t="shared" si="305"/>
        <v>4.55</v>
      </c>
      <c r="AG401" s="454">
        <f t="shared" si="306"/>
        <v>90600</v>
      </c>
      <c r="AH401" s="454">
        <f t="shared" si="282"/>
        <v>4106577.19</v>
      </c>
      <c r="AI401" s="421">
        <f t="shared" si="307"/>
        <v>966606.72</v>
      </c>
      <c r="AJ401" s="421">
        <f t="shared" si="308"/>
        <v>717441.89</v>
      </c>
      <c r="AK401" s="421">
        <f t="shared" si="309"/>
        <v>1081775.92</v>
      </c>
      <c r="AL401" s="472"/>
      <c r="AM401" s="422">
        <f t="shared" si="280"/>
        <v>0</v>
      </c>
      <c r="AN401" s="423">
        <f t="shared" si="310"/>
        <v>0</v>
      </c>
      <c r="AO401" s="421">
        <f t="shared" si="311"/>
        <v>2765824.53</v>
      </c>
      <c r="AP401" s="472"/>
      <c r="AQ401" s="472"/>
      <c r="AR401" s="472"/>
      <c r="AS401" s="475">
        <v>0</v>
      </c>
      <c r="AT401" s="475">
        <v>0</v>
      </c>
      <c r="AU401" s="475">
        <v>0</v>
      </c>
      <c r="AV401" s="454">
        <f t="shared" si="312"/>
        <v>6963001.7199999988</v>
      </c>
      <c r="AW401" s="421">
        <f t="shared" si="313"/>
        <v>6963001</v>
      </c>
      <c r="AX401" s="455">
        <f t="shared" si="324"/>
        <v>0.99999989659632038</v>
      </c>
      <c r="AY401" s="424">
        <f t="shared" si="314"/>
        <v>266616</v>
      </c>
      <c r="AZ401" s="424">
        <f t="shared" si="315"/>
        <v>220177</v>
      </c>
      <c r="BA401" s="424">
        <f t="shared" si="316"/>
        <v>420905</v>
      </c>
      <c r="BB401" s="424">
        <f t="shared" si="317"/>
        <v>0</v>
      </c>
      <c r="BC401" s="424">
        <f t="shared" si="318"/>
        <v>0</v>
      </c>
      <c r="BD401" s="424">
        <f t="shared" si="319"/>
        <v>7870699</v>
      </c>
      <c r="BE401" s="452">
        <f t="shared" si="320"/>
        <v>7870699.7199999988</v>
      </c>
      <c r="BF401" s="448">
        <f t="shared" si="321"/>
        <v>-0.7199999988079071</v>
      </c>
      <c r="BG401" s="456">
        <f t="shared" si="322"/>
        <v>3147686.52</v>
      </c>
      <c r="BH401" s="457">
        <f t="shared" si="289"/>
        <v>958890.66999999993</v>
      </c>
      <c r="BI401" s="407" t="s">
        <v>1490</v>
      </c>
      <c r="BM401" s="429">
        <f>IF(BR401&gt;BR400,BM400,IF(BM400&lt;MiscData!$F$1,EOMONTH(BM400,1),EOMONTH(BM400,-11)))</f>
        <v>41973</v>
      </c>
      <c r="BN401" s="416" t="str">
        <f t="shared" si="290"/>
        <v>20140101KUCIE572</v>
      </c>
      <c r="BO401" s="427" t="str">
        <f t="shared" si="291"/>
        <v>20140101TODS</v>
      </c>
      <c r="BP401" s="407">
        <f>IF(BM401&lt;=MiscData!$B$23,MiscData!$C$23,IF(BM401&lt;=MiscData!$B$24,MiscData!$C$24,MiscData!$C$25))</f>
        <v>20140101</v>
      </c>
      <c r="BQ401" s="407" t="str">
        <f>VLOOKUP(BR401,MiscData!$V$4:$W$42,2,FALSE)</f>
        <v>KUCIE572</v>
      </c>
      <c r="BR401" s="407">
        <f>IF(BR400=MiscData!$V$42,1,BR400+1)</f>
        <v>8</v>
      </c>
      <c r="BS401" s="407" t="str">
        <f>VLOOKUP(BQ401,MiscData!$W$4:$Y$42,3,FALSE)</f>
        <v>TODS</v>
      </c>
    </row>
    <row r="402" spans="1:71" hidden="1">
      <c r="A402" s="416">
        <f>A387+1</f>
        <v>355</v>
      </c>
      <c r="B402" s="416" t="str">
        <f t="shared" si="286"/>
        <v>Nov 2014</v>
      </c>
      <c r="C402" s="416" t="s">
        <v>25</v>
      </c>
      <c r="D402" s="417" t="str">
        <f t="shared" si="287"/>
        <v>PSS</v>
      </c>
      <c r="E402" s="417" t="str">
        <f t="shared" si="288"/>
        <v>KUCIE717</v>
      </c>
      <c r="F402" s="418">
        <f t="shared" si="292"/>
        <v>0</v>
      </c>
      <c r="G402" s="467">
        <v>0</v>
      </c>
      <c r="H402" s="418">
        <v>0</v>
      </c>
      <c r="I402" s="418">
        <v>0</v>
      </c>
      <c r="J402" s="418">
        <v>0</v>
      </c>
      <c r="K402" s="418">
        <f t="shared" si="293"/>
        <v>0</v>
      </c>
      <c r="L402" s="459">
        <v>0</v>
      </c>
      <c r="M402" s="443">
        <f t="shared" si="294"/>
        <v>0</v>
      </c>
      <c r="N402" s="443">
        <f t="shared" si="295"/>
        <v>0</v>
      </c>
      <c r="O402" s="443">
        <f t="shared" si="296"/>
        <v>0</v>
      </c>
      <c r="P402" s="443">
        <f t="shared" si="297"/>
        <v>0</v>
      </c>
      <c r="Q402" s="443">
        <f t="shared" si="298"/>
        <v>0</v>
      </c>
      <c r="R402" s="443">
        <f t="shared" si="299"/>
        <v>0</v>
      </c>
      <c r="S402" s="484">
        <v>0</v>
      </c>
      <c r="T402" s="484">
        <v>0</v>
      </c>
      <c r="U402" s="484">
        <v>0</v>
      </c>
      <c r="V402" s="490">
        <v>0</v>
      </c>
      <c r="W402" s="490">
        <v>0</v>
      </c>
      <c r="X402" s="490">
        <v>0</v>
      </c>
      <c r="Y402" s="419">
        <f t="shared" si="300"/>
        <v>90</v>
      </c>
      <c r="Z402" s="420">
        <f t="shared" si="301"/>
        <v>3.5640000000000005E-2</v>
      </c>
      <c r="AA402" s="420">
        <v>0</v>
      </c>
      <c r="AB402" s="420">
        <v>0</v>
      </c>
      <c r="AC402" s="420">
        <f t="shared" si="302"/>
        <v>2.8920000000000001E-2</v>
      </c>
      <c r="AD402" s="419">
        <f t="shared" si="303"/>
        <v>0</v>
      </c>
      <c r="AE402" s="419">
        <f t="shared" si="304"/>
        <v>13.2</v>
      </c>
      <c r="AF402" s="419">
        <f t="shared" si="305"/>
        <v>15.3</v>
      </c>
      <c r="AG402" s="454">
        <f t="shared" si="306"/>
        <v>0</v>
      </c>
      <c r="AH402" s="454">
        <f t="shared" si="282"/>
        <v>0</v>
      </c>
      <c r="AI402" s="421">
        <f t="shared" si="307"/>
        <v>0</v>
      </c>
      <c r="AJ402" s="421">
        <f t="shared" si="308"/>
        <v>0</v>
      </c>
      <c r="AK402" s="421">
        <f t="shared" si="309"/>
        <v>0</v>
      </c>
      <c r="AL402" s="472">
        <v>0</v>
      </c>
      <c r="AM402" s="422">
        <f t="shared" si="280"/>
        <v>0</v>
      </c>
      <c r="AN402" s="423">
        <f t="shared" si="310"/>
        <v>0</v>
      </c>
      <c r="AO402" s="421">
        <f t="shared" si="311"/>
        <v>0</v>
      </c>
      <c r="AP402" s="472">
        <v>0</v>
      </c>
      <c r="AQ402" s="472">
        <v>0</v>
      </c>
      <c r="AR402" s="472">
        <v>0</v>
      </c>
      <c r="AS402" s="475">
        <v>0</v>
      </c>
      <c r="AT402" s="475">
        <v>0</v>
      </c>
      <c r="AU402" s="475">
        <v>0</v>
      </c>
      <c r="AV402" s="454">
        <f t="shared" si="312"/>
        <v>0</v>
      </c>
      <c r="AW402" s="421">
        <f t="shared" si="313"/>
        <v>0</v>
      </c>
      <c r="AX402" s="455">
        <f t="shared" si="324"/>
        <v>1</v>
      </c>
      <c r="AY402" s="424">
        <f t="shared" si="314"/>
        <v>0</v>
      </c>
      <c r="AZ402" s="424">
        <f t="shared" si="315"/>
        <v>0</v>
      </c>
      <c r="BA402" s="424">
        <f t="shared" si="316"/>
        <v>0</v>
      </c>
      <c r="BB402" s="424">
        <f t="shared" si="317"/>
        <v>0</v>
      </c>
      <c r="BC402" s="424">
        <f t="shared" si="318"/>
        <v>0</v>
      </c>
      <c r="BD402" s="424">
        <f t="shared" si="319"/>
        <v>0</v>
      </c>
      <c r="BE402" s="452">
        <f t="shared" si="320"/>
        <v>0</v>
      </c>
      <c r="BF402" s="448">
        <f t="shared" si="321"/>
        <v>0</v>
      </c>
      <c r="BG402" s="456">
        <f t="shared" si="322"/>
        <v>0</v>
      </c>
      <c r="BH402" s="457">
        <f t="shared" si="289"/>
        <v>0</v>
      </c>
      <c r="BI402" s="407" t="s">
        <v>1490</v>
      </c>
      <c r="BM402" s="429">
        <f>IF(BR402&gt;BR401,BM401,IF(BM401&lt;MiscData!$F$1,EOMONTH(BM401,1),EOMONTH(BM401,-11)))</f>
        <v>41973</v>
      </c>
      <c r="BN402" s="416" t="str">
        <f t="shared" si="290"/>
        <v>20140101KUCIE717</v>
      </c>
      <c r="BO402" s="427" t="str">
        <f t="shared" si="291"/>
        <v>20140101PSS</v>
      </c>
      <c r="BP402" s="407">
        <f>IF(BM402&lt;=MiscData!$B$23,MiscData!$C$23,IF(BM402&lt;=MiscData!$B$24,MiscData!$C$24,MiscData!$C$25))</f>
        <v>20140101</v>
      </c>
      <c r="BQ402" s="407" t="str">
        <f>VLOOKUP(BR402,MiscData!$V$4:$W$42,2,FALSE)</f>
        <v>KUCIE717</v>
      </c>
      <c r="BR402" s="407">
        <f>IF(BR401=MiscData!$V$42,1,BR401+1)</f>
        <v>9</v>
      </c>
      <c r="BS402" s="407" t="str">
        <f>VLOOKUP(BQ402,MiscData!$W$4:$Y$42,3,FALSE)</f>
        <v>PSS</v>
      </c>
    </row>
    <row r="403" spans="1:71" hidden="1">
      <c r="A403" s="416">
        <f>A388+1</f>
        <v>356</v>
      </c>
      <c r="B403" s="416" t="str">
        <f t="shared" si="286"/>
        <v>Nov 2014</v>
      </c>
      <c r="C403" s="416" t="s">
        <v>224</v>
      </c>
      <c r="D403" s="417" t="str">
        <f t="shared" si="287"/>
        <v>GS</v>
      </c>
      <c r="E403" s="417" t="str">
        <f t="shared" si="288"/>
        <v>KUCME110</v>
      </c>
      <c r="F403" s="418">
        <f t="shared" si="292"/>
        <v>63429</v>
      </c>
      <c r="G403" s="467">
        <v>0</v>
      </c>
      <c r="H403" s="418">
        <v>0</v>
      </c>
      <c r="I403" s="418">
        <v>0</v>
      </c>
      <c r="J403" s="418">
        <v>0</v>
      </c>
      <c r="K403" s="418">
        <f t="shared" si="293"/>
        <v>53225861</v>
      </c>
      <c r="L403" s="481">
        <v>0</v>
      </c>
      <c r="M403" s="443">
        <f t="shared" si="294"/>
        <v>0</v>
      </c>
      <c r="N403" s="443">
        <f t="shared" si="295"/>
        <v>0</v>
      </c>
      <c r="O403" s="443">
        <f t="shared" si="296"/>
        <v>0</v>
      </c>
      <c r="P403" s="443">
        <f t="shared" si="297"/>
        <v>0</v>
      </c>
      <c r="Q403" s="443">
        <f t="shared" si="298"/>
        <v>0</v>
      </c>
      <c r="R403" s="443">
        <f t="shared" si="299"/>
        <v>0</v>
      </c>
      <c r="S403" s="484">
        <v>0</v>
      </c>
      <c r="T403" s="484">
        <v>0</v>
      </c>
      <c r="U403" s="484">
        <v>0</v>
      </c>
      <c r="V403" s="490">
        <v>0</v>
      </c>
      <c r="W403" s="490">
        <v>0</v>
      </c>
      <c r="X403" s="490">
        <v>0</v>
      </c>
      <c r="Y403" s="419">
        <f t="shared" si="300"/>
        <v>20</v>
      </c>
      <c r="Z403" s="420">
        <f t="shared" si="301"/>
        <v>9.2249999999999999E-2</v>
      </c>
      <c r="AA403" s="420">
        <v>0</v>
      </c>
      <c r="AB403" s="420">
        <v>0</v>
      </c>
      <c r="AC403" s="420">
        <f t="shared" si="302"/>
        <v>2.8920000000000001E-2</v>
      </c>
      <c r="AD403" s="419">
        <f t="shared" si="303"/>
        <v>0</v>
      </c>
      <c r="AE403" s="419">
        <f t="shared" si="304"/>
        <v>0</v>
      </c>
      <c r="AF403" s="419">
        <f t="shared" si="305"/>
        <v>0</v>
      </c>
      <c r="AG403" s="454">
        <f t="shared" si="306"/>
        <v>1268580</v>
      </c>
      <c r="AH403" s="454">
        <f t="shared" si="282"/>
        <v>4910085.68</v>
      </c>
      <c r="AI403" s="421">
        <f t="shared" si="307"/>
        <v>0</v>
      </c>
      <c r="AJ403" s="421">
        <f t="shared" si="308"/>
        <v>0</v>
      </c>
      <c r="AK403" s="421">
        <f t="shared" si="309"/>
        <v>0</v>
      </c>
      <c r="AL403" s="472">
        <v>0</v>
      </c>
      <c r="AM403" s="422">
        <f t="shared" si="280"/>
        <v>0</v>
      </c>
      <c r="AN403" s="423">
        <f t="shared" si="310"/>
        <v>0</v>
      </c>
      <c r="AO403" s="421">
        <f t="shared" si="311"/>
        <v>0</v>
      </c>
      <c r="AP403" s="472">
        <v>0</v>
      </c>
      <c r="AQ403" s="472">
        <v>0</v>
      </c>
      <c r="AR403" s="472">
        <v>0</v>
      </c>
      <c r="AS403" s="475">
        <v>0</v>
      </c>
      <c r="AT403" s="475">
        <v>0</v>
      </c>
      <c r="AU403" s="475">
        <v>0</v>
      </c>
      <c r="AV403" s="454">
        <f t="shared" si="312"/>
        <v>6178665.6799999997</v>
      </c>
      <c r="AW403" s="421">
        <f t="shared" si="313"/>
        <v>6178658</v>
      </c>
      <c r="AX403" s="455">
        <f t="shared" ref="AX403:AX412" si="325">IF(AND(AV403=0,AW403=0),1,IF(AV403=0,0,AW403/AV403))</f>
        <v>0.99999875701318097</v>
      </c>
      <c r="AY403" s="424">
        <f t="shared" si="314"/>
        <v>130381</v>
      </c>
      <c r="AZ403" s="424">
        <f t="shared" si="315"/>
        <v>107672</v>
      </c>
      <c r="BA403" s="424">
        <f t="shared" si="316"/>
        <v>205832</v>
      </c>
      <c r="BB403" s="424">
        <f t="shared" si="317"/>
        <v>0</v>
      </c>
      <c r="BC403" s="424">
        <f t="shared" si="318"/>
        <v>0</v>
      </c>
      <c r="BD403" s="424">
        <f t="shared" si="319"/>
        <v>6622543</v>
      </c>
      <c r="BE403" s="452">
        <f t="shared" si="320"/>
        <v>6622550.6799999997</v>
      </c>
      <c r="BF403" s="448">
        <f t="shared" si="321"/>
        <v>-7.6799999997019768</v>
      </c>
      <c r="BG403" s="456">
        <f t="shared" si="322"/>
        <v>1539291.9</v>
      </c>
      <c r="BH403" s="457">
        <f t="shared" si="289"/>
        <v>3370793.78</v>
      </c>
      <c r="BI403" s="407" t="s">
        <v>1490</v>
      </c>
      <c r="BM403" s="429">
        <f>IF(BR403&gt;BR402,BM402,IF(BM402&lt;MiscData!$F$1,EOMONTH(BM402,1),EOMONTH(BM402,-11)))</f>
        <v>41973</v>
      </c>
      <c r="BN403" s="416" t="str">
        <f t="shared" si="290"/>
        <v>20140101KUCME110</v>
      </c>
      <c r="BO403" s="427" t="str">
        <f t="shared" si="291"/>
        <v>20140101GS</v>
      </c>
      <c r="BP403" s="407">
        <f>IF(BM403&lt;=MiscData!$B$23,MiscData!$C$23,IF(BM403&lt;=MiscData!$B$24,MiscData!$C$24,MiscData!$C$25))</f>
        <v>20140101</v>
      </c>
      <c r="BQ403" s="407" t="str">
        <f>VLOOKUP(BR403,MiscData!$V$4:$W$42,2,FALSE)</f>
        <v>KUCME110</v>
      </c>
      <c r="BR403" s="407">
        <f>IF(BR402=MiscData!$V$42,1,BR402+1)</f>
        <v>10</v>
      </c>
      <c r="BS403" s="407" t="str">
        <f>VLOOKUP(BQ403,MiscData!$W$4:$Y$42,3,FALSE)</f>
        <v>GS</v>
      </c>
    </row>
    <row r="404" spans="1:71" hidden="1">
      <c r="A404" s="416">
        <f>A388+1</f>
        <v>356</v>
      </c>
      <c r="B404" s="416" t="str">
        <f t="shared" si="286"/>
        <v>Nov 2014</v>
      </c>
      <c r="C404" s="416" t="s">
        <v>224</v>
      </c>
      <c r="D404" s="417" t="str">
        <f t="shared" si="287"/>
        <v>GS</v>
      </c>
      <c r="E404" s="417" t="str">
        <f t="shared" si="288"/>
        <v>KUCME112</v>
      </c>
      <c r="F404" s="418">
        <f t="shared" si="292"/>
        <v>0</v>
      </c>
      <c r="G404" s="467">
        <v>0</v>
      </c>
      <c r="H404" s="418">
        <v>0</v>
      </c>
      <c r="I404" s="418">
        <v>0</v>
      </c>
      <c r="J404" s="418">
        <v>0</v>
      </c>
      <c r="K404" s="418">
        <f t="shared" si="293"/>
        <v>0</v>
      </c>
      <c r="L404" s="481">
        <v>0</v>
      </c>
      <c r="M404" s="443">
        <f t="shared" si="294"/>
        <v>0</v>
      </c>
      <c r="N404" s="443">
        <f t="shared" si="295"/>
        <v>0</v>
      </c>
      <c r="O404" s="443">
        <f t="shared" si="296"/>
        <v>0</v>
      </c>
      <c r="P404" s="443">
        <f t="shared" si="297"/>
        <v>0</v>
      </c>
      <c r="Q404" s="443">
        <f t="shared" si="298"/>
        <v>0</v>
      </c>
      <c r="R404" s="443">
        <f t="shared" si="299"/>
        <v>0</v>
      </c>
      <c r="S404" s="484">
        <v>0</v>
      </c>
      <c r="T404" s="484">
        <v>0</v>
      </c>
      <c r="U404" s="484">
        <v>0</v>
      </c>
      <c r="V404" s="490">
        <v>0</v>
      </c>
      <c r="W404" s="490">
        <v>0</v>
      </c>
      <c r="X404" s="490">
        <v>0</v>
      </c>
      <c r="Y404" s="419">
        <f t="shared" si="300"/>
        <v>20</v>
      </c>
      <c r="Z404" s="420">
        <f t="shared" si="301"/>
        <v>9.2249999999999999E-2</v>
      </c>
      <c r="AA404" s="420">
        <v>0</v>
      </c>
      <c r="AB404" s="420">
        <v>0</v>
      </c>
      <c r="AC404" s="420">
        <f t="shared" si="302"/>
        <v>2.8920000000000001E-2</v>
      </c>
      <c r="AD404" s="419">
        <f t="shared" si="303"/>
        <v>0</v>
      </c>
      <c r="AE404" s="419">
        <f t="shared" si="304"/>
        <v>0</v>
      </c>
      <c r="AF404" s="419">
        <f t="shared" si="305"/>
        <v>0</v>
      </c>
      <c r="AG404" s="454">
        <f t="shared" si="306"/>
        <v>0</v>
      </c>
      <c r="AH404" s="454">
        <f t="shared" si="282"/>
        <v>0</v>
      </c>
      <c r="AI404" s="421">
        <f t="shared" si="307"/>
        <v>0</v>
      </c>
      <c r="AJ404" s="421">
        <f t="shared" si="308"/>
        <v>0</v>
      </c>
      <c r="AK404" s="421">
        <f t="shared" si="309"/>
        <v>0</v>
      </c>
      <c r="AL404" s="472">
        <v>0</v>
      </c>
      <c r="AM404" s="422">
        <f t="shared" si="280"/>
        <v>0</v>
      </c>
      <c r="AN404" s="423">
        <f t="shared" si="310"/>
        <v>0</v>
      </c>
      <c r="AO404" s="421">
        <f t="shared" si="311"/>
        <v>0</v>
      </c>
      <c r="AP404" s="472">
        <v>0</v>
      </c>
      <c r="AQ404" s="472">
        <v>0</v>
      </c>
      <c r="AR404" s="472">
        <v>0</v>
      </c>
      <c r="AS404" s="475">
        <v>0</v>
      </c>
      <c r="AT404" s="475">
        <v>0</v>
      </c>
      <c r="AU404" s="475">
        <v>0</v>
      </c>
      <c r="AV404" s="454">
        <f t="shared" si="312"/>
        <v>0</v>
      </c>
      <c r="AW404" s="421">
        <f t="shared" si="313"/>
        <v>0</v>
      </c>
      <c r="AX404" s="455">
        <f t="shared" si="325"/>
        <v>1</v>
      </c>
      <c r="AY404" s="424">
        <f t="shared" si="314"/>
        <v>0</v>
      </c>
      <c r="AZ404" s="424">
        <f t="shared" si="315"/>
        <v>0</v>
      </c>
      <c r="BA404" s="424">
        <f t="shared" si="316"/>
        <v>0</v>
      </c>
      <c r="BB404" s="424">
        <f t="shared" si="317"/>
        <v>0</v>
      </c>
      <c r="BC404" s="424">
        <f t="shared" si="318"/>
        <v>0</v>
      </c>
      <c r="BD404" s="424">
        <f t="shared" si="319"/>
        <v>0</v>
      </c>
      <c r="BE404" s="452">
        <f t="shared" si="320"/>
        <v>0</v>
      </c>
      <c r="BF404" s="448">
        <f t="shared" si="321"/>
        <v>0</v>
      </c>
      <c r="BG404" s="456">
        <f t="shared" si="322"/>
        <v>0</v>
      </c>
      <c r="BH404" s="457">
        <f t="shared" si="289"/>
        <v>0</v>
      </c>
      <c r="BI404" s="407" t="s">
        <v>1490</v>
      </c>
      <c r="BM404" s="429">
        <f>IF(BR404&gt;BR403,BM403,IF(BM403&lt;MiscData!$F$1,EOMONTH(BM403,1),EOMONTH(BM403,-11)))</f>
        <v>41973</v>
      </c>
      <c r="BN404" s="416" t="str">
        <f t="shared" si="290"/>
        <v>20140101KUCME112</v>
      </c>
      <c r="BO404" s="427" t="str">
        <f t="shared" si="291"/>
        <v>20140101GS</v>
      </c>
      <c r="BP404" s="407">
        <f>IF(BM404&lt;=MiscData!$B$23,MiscData!$C$23,IF(BM404&lt;=MiscData!$B$24,MiscData!$C$24,MiscData!$C$25))</f>
        <v>20140101</v>
      </c>
      <c r="BQ404" s="407" t="str">
        <f>VLOOKUP(BR404,MiscData!$V$4:$W$42,2,FALSE)</f>
        <v>KUCME112</v>
      </c>
      <c r="BR404" s="407">
        <f>IF(BR403=MiscData!$V$42,1,BR403+1)</f>
        <v>11</v>
      </c>
      <c r="BS404" s="407" t="str">
        <f>VLOOKUP(BQ404,MiscData!$W$4:$Y$42,3,FALSE)</f>
        <v>GS</v>
      </c>
    </row>
    <row r="405" spans="1:71" hidden="1">
      <c r="A405" s="416">
        <f>A389+1</f>
        <v>356</v>
      </c>
      <c r="B405" s="416" t="str">
        <f t="shared" si="286"/>
        <v>Nov 2014</v>
      </c>
      <c r="C405" s="416" t="s">
        <v>18</v>
      </c>
      <c r="D405" s="417" t="str">
        <f t="shared" si="287"/>
        <v>GS3</v>
      </c>
      <c r="E405" s="417" t="str">
        <f t="shared" si="288"/>
        <v>KUCME113</v>
      </c>
      <c r="F405" s="418">
        <f t="shared" si="292"/>
        <v>18541</v>
      </c>
      <c r="G405" s="467">
        <v>0</v>
      </c>
      <c r="H405" s="418">
        <v>0</v>
      </c>
      <c r="I405" s="418">
        <v>0</v>
      </c>
      <c r="J405" s="418">
        <v>0</v>
      </c>
      <c r="K405" s="418">
        <f t="shared" si="293"/>
        <v>77573969</v>
      </c>
      <c r="L405" s="481">
        <v>0</v>
      </c>
      <c r="M405" s="443">
        <f t="shared" si="294"/>
        <v>359334.01</v>
      </c>
      <c r="N405" s="443">
        <f t="shared" si="295"/>
        <v>0</v>
      </c>
      <c r="O405" s="443">
        <f t="shared" si="296"/>
        <v>0</v>
      </c>
      <c r="P405" s="443">
        <f t="shared" si="297"/>
        <v>0</v>
      </c>
      <c r="Q405" s="443">
        <f t="shared" si="298"/>
        <v>0</v>
      </c>
      <c r="R405" s="443">
        <f t="shared" si="299"/>
        <v>0</v>
      </c>
      <c r="S405" s="484">
        <v>0</v>
      </c>
      <c r="T405" s="484">
        <v>0</v>
      </c>
      <c r="U405" s="484">
        <v>0</v>
      </c>
      <c r="V405" s="490">
        <v>0</v>
      </c>
      <c r="W405" s="490">
        <v>0</v>
      </c>
      <c r="X405" s="490">
        <v>0</v>
      </c>
      <c r="Y405" s="419">
        <f t="shared" si="300"/>
        <v>35</v>
      </c>
      <c r="Z405" s="420">
        <f t="shared" si="301"/>
        <v>9.2249999999999999E-2</v>
      </c>
      <c r="AA405" s="420">
        <v>0</v>
      </c>
      <c r="AB405" s="420">
        <v>0</v>
      </c>
      <c r="AC405" s="420">
        <f t="shared" si="302"/>
        <v>2.8920000000000001E-2</v>
      </c>
      <c r="AD405" s="419">
        <f t="shared" si="303"/>
        <v>0</v>
      </c>
      <c r="AE405" s="419">
        <f t="shared" si="304"/>
        <v>0</v>
      </c>
      <c r="AF405" s="419">
        <f t="shared" si="305"/>
        <v>0</v>
      </c>
      <c r="AG405" s="454">
        <f t="shared" si="306"/>
        <v>648935</v>
      </c>
      <c r="AH405" s="454">
        <f t="shared" si="282"/>
        <v>7156198.6399999997</v>
      </c>
      <c r="AI405" s="421">
        <f t="shared" si="307"/>
        <v>0</v>
      </c>
      <c r="AJ405" s="421">
        <f t="shared" si="308"/>
        <v>0</v>
      </c>
      <c r="AK405" s="421">
        <f t="shared" si="309"/>
        <v>0</v>
      </c>
      <c r="AL405" s="472">
        <v>0</v>
      </c>
      <c r="AM405" s="422">
        <f t="shared" si="280"/>
        <v>0</v>
      </c>
      <c r="AN405" s="423">
        <f t="shared" si="310"/>
        <v>0</v>
      </c>
      <c r="AO405" s="421">
        <f t="shared" si="311"/>
        <v>0</v>
      </c>
      <c r="AP405" s="472">
        <v>0</v>
      </c>
      <c r="AQ405" s="472">
        <v>0</v>
      </c>
      <c r="AR405" s="472">
        <v>0</v>
      </c>
      <c r="AS405" s="475">
        <v>0</v>
      </c>
      <c r="AT405" s="475">
        <v>0</v>
      </c>
      <c r="AU405" s="475">
        <v>0</v>
      </c>
      <c r="AV405" s="454">
        <f t="shared" si="312"/>
        <v>7805133.6399999997</v>
      </c>
      <c r="AW405" s="421">
        <f t="shared" si="313"/>
        <v>7805147</v>
      </c>
      <c r="AX405" s="455">
        <f t="shared" si="325"/>
        <v>1.0000017116939461</v>
      </c>
      <c r="AY405" s="424">
        <f t="shared" si="314"/>
        <v>190024</v>
      </c>
      <c r="AZ405" s="424">
        <f t="shared" si="315"/>
        <v>156926</v>
      </c>
      <c r="BA405" s="424">
        <f t="shared" si="316"/>
        <v>299990</v>
      </c>
      <c r="BB405" s="424">
        <f t="shared" si="317"/>
        <v>0</v>
      </c>
      <c r="BC405" s="424">
        <f t="shared" si="318"/>
        <v>0</v>
      </c>
      <c r="BD405" s="424">
        <f t="shared" si="319"/>
        <v>8452087</v>
      </c>
      <c r="BE405" s="452">
        <f t="shared" si="320"/>
        <v>8452073.6400000006</v>
      </c>
      <c r="BF405" s="448">
        <f t="shared" si="321"/>
        <v>13.359999999403954</v>
      </c>
      <c r="BG405" s="456">
        <f t="shared" si="322"/>
        <v>2243439.1800000002</v>
      </c>
      <c r="BH405" s="457">
        <f t="shared" si="289"/>
        <v>4912759.459999999</v>
      </c>
      <c r="BI405" s="407" t="s">
        <v>1490</v>
      </c>
      <c r="BM405" s="429">
        <f>IF(BR405&gt;BR404,BM404,IF(BM404&lt;MiscData!$F$1,EOMONTH(BM404,1),EOMONTH(BM404,-11)))</f>
        <v>41973</v>
      </c>
      <c r="BN405" s="416" t="str">
        <f t="shared" si="290"/>
        <v>20140101KUCME113</v>
      </c>
      <c r="BO405" s="427" t="str">
        <f t="shared" si="291"/>
        <v>20140101GS3</v>
      </c>
      <c r="BP405" s="407">
        <f>IF(BM405&lt;=MiscData!$B$23,MiscData!$C$23,IF(BM405&lt;=MiscData!$B$24,MiscData!$C$24,MiscData!$C$25))</f>
        <v>20140101</v>
      </c>
      <c r="BQ405" s="407" t="str">
        <f>VLOOKUP(BR405,MiscData!$V$4:$W$42,2,FALSE)</f>
        <v>KUCME113</v>
      </c>
      <c r="BR405" s="407">
        <f>IF(BR404=MiscData!$V$42,1,BR404+1)</f>
        <v>12</v>
      </c>
      <c r="BS405" s="407" t="str">
        <f>VLOOKUP(BQ405,MiscData!$W$4:$Y$42,3,FALSE)</f>
        <v>GS3</v>
      </c>
    </row>
    <row r="406" spans="1:71" hidden="1">
      <c r="A406" s="416">
        <f>A390+1</f>
        <v>357</v>
      </c>
      <c r="B406" s="416" t="str">
        <f t="shared" si="286"/>
        <v>Nov 2014</v>
      </c>
      <c r="C406" s="416" t="s">
        <v>219</v>
      </c>
      <c r="D406" s="417" t="str">
        <f t="shared" si="287"/>
        <v>AES</v>
      </c>
      <c r="E406" s="417" t="str">
        <f t="shared" si="288"/>
        <v>KUCME220</v>
      </c>
      <c r="F406" s="418">
        <f t="shared" si="292"/>
        <v>372</v>
      </c>
      <c r="G406" s="467">
        <v>0</v>
      </c>
      <c r="H406" s="418">
        <v>0</v>
      </c>
      <c r="I406" s="418">
        <v>0</v>
      </c>
      <c r="J406" s="418">
        <v>0</v>
      </c>
      <c r="K406" s="418">
        <f t="shared" si="293"/>
        <v>624557</v>
      </c>
      <c r="L406" s="481">
        <v>0</v>
      </c>
      <c r="M406" s="443">
        <f t="shared" si="294"/>
        <v>0</v>
      </c>
      <c r="N406" s="443">
        <f t="shared" si="295"/>
        <v>0</v>
      </c>
      <c r="O406" s="443">
        <f t="shared" si="296"/>
        <v>0</v>
      </c>
      <c r="P406" s="443">
        <f t="shared" si="297"/>
        <v>0</v>
      </c>
      <c r="Q406" s="443">
        <f t="shared" si="298"/>
        <v>0</v>
      </c>
      <c r="R406" s="443">
        <f t="shared" si="299"/>
        <v>0</v>
      </c>
      <c r="S406" s="484">
        <v>0</v>
      </c>
      <c r="T406" s="484">
        <v>0</v>
      </c>
      <c r="U406" s="484">
        <v>0</v>
      </c>
      <c r="V406" s="490">
        <v>0</v>
      </c>
      <c r="W406" s="490">
        <v>0</v>
      </c>
      <c r="X406" s="490">
        <v>0</v>
      </c>
      <c r="Y406" s="419">
        <f t="shared" si="300"/>
        <v>20</v>
      </c>
      <c r="Z406" s="420">
        <f t="shared" si="301"/>
        <v>7.4399999999999994E-2</v>
      </c>
      <c r="AA406" s="420">
        <v>0</v>
      </c>
      <c r="AB406" s="420">
        <v>0</v>
      </c>
      <c r="AC406" s="420">
        <f t="shared" si="302"/>
        <v>2.8920000000000001E-2</v>
      </c>
      <c r="AD406" s="419">
        <f t="shared" si="303"/>
        <v>0</v>
      </c>
      <c r="AE406" s="419">
        <f t="shared" si="304"/>
        <v>0</v>
      </c>
      <c r="AF406" s="419">
        <f t="shared" si="305"/>
        <v>0</v>
      </c>
      <c r="AG406" s="454">
        <f t="shared" si="306"/>
        <v>7440</v>
      </c>
      <c r="AH406" s="454">
        <f t="shared" si="282"/>
        <v>46467.040000000001</v>
      </c>
      <c r="AI406" s="421">
        <f t="shared" si="307"/>
        <v>0</v>
      </c>
      <c r="AJ406" s="421">
        <f t="shared" si="308"/>
        <v>0</v>
      </c>
      <c r="AK406" s="421">
        <f t="shared" si="309"/>
        <v>0</v>
      </c>
      <c r="AL406" s="472">
        <v>0</v>
      </c>
      <c r="AM406" s="422">
        <f t="shared" si="280"/>
        <v>0</v>
      </c>
      <c r="AN406" s="423">
        <f t="shared" si="310"/>
        <v>0</v>
      </c>
      <c r="AO406" s="421">
        <f t="shared" si="311"/>
        <v>0</v>
      </c>
      <c r="AP406" s="472">
        <v>0</v>
      </c>
      <c r="AQ406" s="472">
        <v>0</v>
      </c>
      <c r="AR406" s="472">
        <v>0</v>
      </c>
      <c r="AS406" s="475">
        <v>0</v>
      </c>
      <c r="AT406" s="475">
        <v>0</v>
      </c>
      <c r="AU406" s="475">
        <v>0</v>
      </c>
      <c r="AV406" s="454">
        <f t="shared" si="312"/>
        <v>53907.040000000001</v>
      </c>
      <c r="AW406" s="421">
        <f t="shared" si="313"/>
        <v>53908</v>
      </c>
      <c r="AX406" s="455">
        <f t="shared" si="325"/>
        <v>1.0000178084346683</v>
      </c>
      <c r="AY406" s="424">
        <f t="shared" si="314"/>
        <v>1530</v>
      </c>
      <c r="AZ406" s="424">
        <f t="shared" si="315"/>
        <v>1263</v>
      </c>
      <c r="BA406" s="424">
        <f t="shared" si="316"/>
        <v>2415</v>
      </c>
      <c r="BB406" s="424">
        <f t="shared" si="317"/>
        <v>0</v>
      </c>
      <c r="BC406" s="424">
        <f t="shared" si="318"/>
        <v>0</v>
      </c>
      <c r="BD406" s="424">
        <f t="shared" si="319"/>
        <v>59116</v>
      </c>
      <c r="BE406" s="452">
        <f t="shared" si="320"/>
        <v>59115.040000000001</v>
      </c>
      <c r="BF406" s="448">
        <f t="shared" si="321"/>
        <v>0.95999999999912689</v>
      </c>
      <c r="BG406" s="456">
        <f t="shared" si="322"/>
        <v>18062.189999999999</v>
      </c>
      <c r="BH406" s="457">
        <f t="shared" si="289"/>
        <v>28404.850000000002</v>
      </c>
      <c r="BI406" s="407" t="s">
        <v>1490</v>
      </c>
      <c r="BM406" s="429">
        <f>IF(BR406&gt;BR405,BM405,IF(BM405&lt;MiscData!$F$1,EOMONTH(BM405,1),EOMONTH(BM405,-11)))</f>
        <v>41973</v>
      </c>
      <c r="BN406" s="416" t="str">
        <f t="shared" si="290"/>
        <v>20140101KUCME220</v>
      </c>
      <c r="BO406" s="427" t="str">
        <f t="shared" si="291"/>
        <v>20140101AES</v>
      </c>
      <c r="BP406" s="407">
        <f>IF(BM406&lt;=MiscData!$B$23,MiscData!$C$23,IF(BM406&lt;=MiscData!$B$24,MiscData!$C$24,MiscData!$C$25))</f>
        <v>20140101</v>
      </c>
      <c r="BQ406" s="407" t="str">
        <f>VLOOKUP(BR406,MiscData!$V$4:$W$42,2,FALSE)</f>
        <v>KUCME220</v>
      </c>
      <c r="BR406" s="407">
        <f>IF(BR405=MiscData!$V$42,1,BR405+1)</f>
        <v>13</v>
      </c>
      <c r="BS406" s="407" t="str">
        <f>VLOOKUP(BQ406,MiscData!$W$4:$Y$42,3,FALSE)</f>
        <v>AES</v>
      </c>
    </row>
    <row r="407" spans="1:71" hidden="1">
      <c r="A407" s="416">
        <f>A406+1</f>
        <v>358</v>
      </c>
      <c r="B407" s="416" t="str">
        <f t="shared" si="286"/>
        <v>Nov 2014</v>
      </c>
      <c r="C407" s="416" t="s">
        <v>219</v>
      </c>
      <c r="D407" s="417" t="str">
        <f t="shared" si="287"/>
        <v>AES</v>
      </c>
      <c r="E407" s="417" t="str">
        <f t="shared" si="288"/>
        <v>KUCME221</v>
      </c>
      <c r="F407" s="418">
        <f t="shared" si="292"/>
        <v>0</v>
      </c>
      <c r="G407" s="467">
        <v>0</v>
      </c>
      <c r="H407" s="418">
        <v>0</v>
      </c>
      <c r="I407" s="418">
        <v>0</v>
      </c>
      <c r="J407" s="418">
        <v>0</v>
      </c>
      <c r="K407" s="418">
        <f t="shared" si="293"/>
        <v>0</v>
      </c>
      <c r="L407" s="481">
        <v>0</v>
      </c>
      <c r="M407" s="443">
        <f t="shared" si="294"/>
        <v>0</v>
      </c>
      <c r="N407" s="443">
        <f t="shared" si="295"/>
        <v>0</v>
      </c>
      <c r="O407" s="443">
        <f t="shared" si="296"/>
        <v>0</v>
      </c>
      <c r="P407" s="443">
        <f t="shared" si="297"/>
        <v>0</v>
      </c>
      <c r="Q407" s="443">
        <f t="shared" si="298"/>
        <v>0</v>
      </c>
      <c r="R407" s="443">
        <f t="shared" si="299"/>
        <v>0</v>
      </c>
      <c r="S407" s="484">
        <v>0</v>
      </c>
      <c r="T407" s="484">
        <v>0</v>
      </c>
      <c r="U407" s="484">
        <v>0</v>
      </c>
      <c r="V407" s="490">
        <v>0</v>
      </c>
      <c r="W407" s="490">
        <v>0</v>
      </c>
      <c r="X407" s="490">
        <v>0</v>
      </c>
      <c r="Y407" s="419">
        <f t="shared" si="300"/>
        <v>20</v>
      </c>
      <c r="Z407" s="420">
        <f t="shared" si="301"/>
        <v>7.4399999999999994E-2</v>
      </c>
      <c r="AA407" s="420">
        <v>0</v>
      </c>
      <c r="AB407" s="420">
        <v>0</v>
      </c>
      <c r="AC407" s="420">
        <f t="shared" si="302"/>
        <v>2.8920000000000001E-2</v>
      </c>
      <c r="AD407" s="419">
        <f t="shared" si="303"/>
        <v>0</v>
      </c>
      <c r="AE407" s="419">
        <f t="shared" si="304"/>
        <v>0</v>
      </c>
      <c r="AF407" s="419">
        <f t="shared" si="305"/>
        <v>0</v>
      </c>
      <c r="AG407" s="454">
        <f t="shared" si="306"/>
        <v>0</v>
      </c>
      <c r="AH407" s="454">
        <f t="shared" si="282"/>
        <v>0</v>
      </c>
      <c r="AI407" s="421">
        <f t="shared" si="307"/>
        <v>0</v>
      </c>
      <c r="AJ407" s="421">
        <f t="shared" si="308"/>
        <v>0</v>
      </c>
      <c r="AK407" s="421">
        <f t="shared" si="309"/>
        <v>0</v>
      </c>
      <c r="AL407" s="472">
        <v>0</v>
      </c>
      <c r="AM407" s="422">
        <f t="shared" si="280"/>
        <v>0</v>
      </c>
      <c r="AN407" s="423">
        <f t="shared" si="310"/>
        <v>0</v>
      </c>
      <c r="AO407" s="421">
        <f t="shared" si="311"/>
        <v>0</v>
      </c>
      <c r="AP407" s="472">
        <v>0</v>
      </c>
      <c r="AQ407" s="472">
        <v>0</v>
      </c>
      <c r="AR407" s="472">
        <v>0</v>
      </c>
      <c r="AS407" s="475">
        <v>0</v>
      </c>
      <c r="AT407" s="475">
        <v>0</v>
      </c>
      <c r="AU407" s="475">
        <v>0</v>
      </c>
      <c r="AV407" s="454">
        <f t="shared" si="312"/>
        <v>0</v>
      </c>
      <c r="AW407" s="421">
        <f t="shared" si="313"/>
        <v>0</v>
      </c>
      <c r="AX407" s="455">
        <f t="shared" si="325"/>
        <v>1</v>
      </c>
      <c r="AY407" s="424">
        <f t="shared" si="314"/>
        <v>0</v>
      </c>
      <c r="AZ407" s="424">
        <f t="shared" si="315"/>
        <v>0</v>
      </c>
      <c r="BA407" s="424">
        <f t="shared" si="316"/>
        <v>0</v>
      </c>
      <c r="BB407" s="424">
        <f t="shared" si="317"/>
        <v>0</v>
      </c>
      <c r="BC407" s="424">
        <f t="shared" si="318"/>
        <v>0</v>
      </c>
      <c r="BD407" s="424">
        <f t="shared" si="319"/>
        <v>0</v>
      </c>
      <c r="BE407" s="452">
        <f t="shared" si="320"/>
        <v>0</v>
      </c>
      <c r="BF407" s="448">
        <f t="shared" si="321"/>
        <v>0</v>
      </c>
      <c r="BG407" s="456">
        <f t="shared" si="322"/>
        <v>0</v>
      </c>
      <c r="BH407" s="457">
        <f t="shared" si="289"/>
        <v>0</v>
      </c>
      <c r="BI407" s="407" t="s">
        <v>1490</v>
      </c>
      <c r="BM407" s="429">
        <f>IF(BR407&gt;BR406,BM406,IF(BM406&lt;MiscData!$F$1,EOMONTH(BM406,1),EOMONTH(BM406,-11)))</f>
        <v>41973</v>
      </c>
      <c r="BN407" s="416" t="str">
        <f t="shared" si="290"/>
        <v>20140101KUCME221</v>
      </c>
      <c r="BO407" s="427" t="str">
        <f t="shared" si="291"/>
        <v>20140101AES</v>
      </c>
      <c r="BP407" s="407">
        <f>IF(BM407&lt;=MiscData!$B$23,MiscData!$C$23,IF(BM407&lt;=MiscData!$B$24,MiscData!$C$24,MiscData!$C$25))</f>
        <v>20140101</v>
      </c>
      <c r="BQ407" s="407" t="str">
        <f>VLOOKUP(BR407,MiscData!$V$4:$W$42,2,FALSE)</f>
        <v>KUCME221</v>
      </c>
      <c r="BR407" s="407">
        <f>IF(BR406=MiscData!$V$42,1,BR406+1)</f>
        <v>14</v>
      </c>
      <c r="BS407" s="407" t="str">
        <f>VLOOKUP(BQ407,MiscData!$W$4:$Y$42,3,FALSE)</f>
        <v>AES</v>
      </c>
    </row>
    <row r="408" spans="1:71" hidden="1">
      <c r="A408" s="416">
        <f>A407+1</f>
        <v>359</v>
      </c>
      <c r="B408" s="416" t="str">
        <f t="shared" si="286"/>
        <v>Nov 2014</v>
      </c>
      <c r="C408" s="837" t="s">
        <v>228</v>
      </c>
      <c r="D408" s="417" t="str">
        <f t="shared" si="287"/>
        <v>AES3</v>
      </c>
      <c r="E408" s="417" t="str">
        <f t="shared" si="288"/>
        <v>KUCME223</v>
      </c>
      <c r="F408" s="418">
        <f t="shared" si="292"/>
        <v>0</v>
      </c>
      <c r="G408" s="467">
        <v>0</v>
      </c>
      <c r="H408" s="418">
        <v>0</v>
      </c>
      <c r="I408" s="418">
        <v>0</v>
      </c>
      <c r="J408" s="418">
        <v>0</v>
      </c>
      <c r="K408" s="418">
        <f t="shared" si="293"/>
        <v>0</v>
      </c>
      <c r="L408" s="481">
        <v>0</v>
      </c>
      <c r="M408" s="443">
        <f t="shared" si="294"/>
        <v>0</v>
      </c>
      <c r="N408" s="443">
        <f t="shared" si="295"/>
        <v>0</v>
      </c>
      <c r="O408" s="443">
        <f t="shared" si="296"/>
        <v>0</v>
      </c>
      <c r="P408" s="443">
        <f t="shared" si="297"/>
        <v>0</v>
      </c>
      <c r="Q408" s="443">
        <f t="shared" si="298"/>
        <v>0</v>
      </c>
      <c r="R408" s="443">
        <f t="shared" si="299"/>
        <v>0</v>
      </c>
      <c r="S408" s="484">
        <v>0</v>
      </c>
      <c r="T408" s="484">
        <v>0</v>
      </c>
      <c r="U408" s="484">
        <v>0</v>
      </c>
      <c r="V408" s="490">
        <v>0</v>
      </c>
      <c r="W408" s="490">
        <v>0</v>
      </c>
      <c r="X408" s="490">
        <v>0</v>
      </c>
      <c r="Y408" s="419">
        <f t="shared" si="300"/>
        <v>35</v>
      </c>
      <c r="Z408" s="420">
        <f t="shared" si="301"/>
        <v>7.4399999999999994E-2</v>
      </c>
      <c r="AA408" s="420">
        <v>0</v>
      </c>
      <c r="AB408" s="420">
        <v>0</v>
      </c>
      <c r="AC408" s="420">
        <f t="shared" si="302"/>
        <v>2.8920000000000001E-2</v>
      </c>
      <c r="AD408" s="419">
        <f t="shared" si="303"/>
        <v>0</v>
      </c>
      <c r="AE408" s="419">
        <f t="shared" si="304"/>
        <v>0</v>
      </c>
      <c r="AF408" s="419">
        <f t="shared" si="305"/>
        <v>0</v>
      </c>
      <c r="AG408" s="454">
        <f t="shared" si="306"/>
        <v>0</v>
      </c>
      <c r="AH408" s="454">
        <f t="shared" si="282"/>
        <v>0</v>
      </c>
      <c r="AI408" s="421">
        <f t="shared" si="307"/>
        <v>0</v>
      </c>
      <c r="AJ408" s="421">
        <f t="shared" si="308"/>
        <v>0</v>
      </c>
      <c r="AK408" s="421">
        <f t="shared" si="309"/>
        <v>0</v>
      </c>
      <c r="AL408" s="472">
        <v>0</v>
      </c>
      <c r="AM408" s="422">
        <f t="shared" si="280"/>
        <v>0</v>
      </c>
      <c r="AN408" s="423">
        <f t="shared" si="310"/>
        <v>0</v>
      </c>
      <c r="AO408" s="421">
        <f t="shared" si="311"/>
        <v>0</v>
      </c>
      <c r="AP408" s="472">
        <v>0</v>
      </c>
      <c r="AQ408" s="472">
        <v>0</v>
      </c>
      <c r="AR408" s="472">
        <v>0</v>
      </c>
      <c r="AS408" s="475">
        <v>0</v>
      </c>
      <c r="AT408" s="475">
        <v>0</v>
      </c>
      <c r="AU408" s="475">
        <v>0</v>
      </c>
      <c r="AV408" s="454">
        <f t="shared" si="312"/>
        <v>0</v>
      </c>
      <c r="AW408" s="421">
        <f t="shared" si="313"/>
        <v>0</v>
      </c>
      <c r="AX408" s="455">
        <f t="shared" si="325"/>
        <v>1</v>
      </c>
      <c r="AY408" s="424">
        <f t="shared" si="314"/>
        <v>0</v>
      </c>
      <c r="AZ408" s="424">
        <f t="shared" si="315"/>
        <v>0</v>
      </c>
      <c r="BA408" s="424">
        <f t="shared" si="316"/>
        <v>0</v>
      </c>
      <c r="BB408" s="424">
        <f t="shared" si="317"/>
        <v>0</v>
      </c>
      <c r="BC408" s="424">
        <f t="shared" si="318"/>
        <v>0</v>
      </c>
      <c r="BD408" s="424">
        <f t="shared" si="319"/>
        <v>0</v>
      </c>
      <c r="BE408" s="452">
        <f t="shared" si="320"/>
        <v>0</v>
      </c>
      <c r="BF408" s="448">
        <f t="shared" si="321"/>
        <v>0</v>
      </c>
      <c r="BG408" s="456">
        <f t="shared" si="322"/>
        <v>0</v>
      </c>
      <c r="BH408" s="457">
        <f t="shared" si="289"/>
        <v>0</v>
      </c>
      <c r="BI408" s="407" t="s">
        <v>1490</v>
      </c>
      <c r="BM408" s="429">
        <f>IF(BR408&gt;BR407,BM407,IF(BM407&lt;MiscData!$F$1,EOMONTH(BM407,1),EOMONTH(BM407,-11)))</f>
        <v>41973</v>
      </c>
      <c r="BN408" s="416" t="str">
        <f t="shared" si="290"/>
        <v>20140101KUCME223</v>
      </c>
      <c r="BO408" s="427" t="str">
        <f t="shared" si="291"/>
        <v>20140101AES3</v>
      </c>
      <c r="BP408" s="407">
        <f>IF(BM408&lt;=MiscData!$B$23,MiscData!$C$23,IF(BM408&lt;=MiscData!$B$24,MiscData!$C$24,MiscData!$C$25))</f>
        <v>20140101</v>
      </c>
      <c r="BQ408" s="407" t="str">
        <f>VLOOKUP(BR408,MiscData!$V$4:$W$42,2,FALSE)</f>
        <v>KUCME223</v>
      </c>
      <c r="BR408" s="407">
        <f>IF(BR407=MiscData!$V$42,1,BR407+1)</f>
        <v>15</v>
      </c>
      <c r="BS408" s="407" t="str">
        <f>VLOOKUP(BQ408,MiscData!$W$4:$Y$42,3,FALSE)</f>
        <v>AES3</v>
      </c>
    </row>
    <row r="409" spans="1:71" hidden="1">
      <c r="A409" s="416">
        <f>A408+1</f>
        <v>360</v>
      </c>
      <c r="B409" s="416" t="str">
        <f t="shared" si="286"/>
        <v>Nov 2014</v>
      </c>
      <c r="C409" s="837" t="s">
        <v>228</v>
      </c>
      <c r="D409" s="417" t="str">
        <f t="shared" si="287"/>
        <v>AES3</v>
      </c>
      <c r="E409" s="417" t="str">
        <f t="shared" si="288"/>
        <v>KUCME224</v>
      </c>
      <c r="F409" s="418">
        <f t="shared" si="292"/>
        <v>258</v>
      </c>
      <c r="G409" s="467">
        <v>0</v>
      </c>
      <c r="H409" s="418">
        <v>0</v>
      </c>
      <c r="I409" s="418">
        <v>0</v>
      </c>
      <c r="J409" s="418">
        <v>0</v>
      </c>
      <c r="K409" s="418">
        <f t="shared" si="293"/>
        <v>11575861</v>
      </c>
      <c r="L409" s="481">
        <v>0</v>
      </c>
      <c r="M409" s="443">
        <f t="shared" si="294"/>
        <v>54055.32</v>
      </c>
      <c r="N409" s="443">
        <f t="shared" si="295"/>
        <v>0</v>
      </c>
      <c r="O409" s="443">
        <f t="shared" si="296"/>
        <v>0</v>
      </c>
      <c r="P409" s="443">
        <f t="shared" si="297"/>
        <v>0</v>
      </c>
      <c r="Q409" s="443">
        <f t="shared" si="298"/>
        <v>0</v>
      </c>
      <c r="R409" s="443">
        <f t="shared" si="299"/>
        <v>0</v>
      </c>
      <c r="S409" s="484">
        <v>0</v>
      </c>
      <c r="T409" s="484">
        <v>0</v>
      </c>
      <c r="U409" s="484">
        <v>0</v>
      </c>
      <c r="V409" s="490">
        <v>0</v>
      </c>
      <c r="W409" s="490">
        <v>0</v>
      </c>
      <c r="X409" s="490">
        <v>0</v>
      </c>
      <c r="Y409" s="419">
        <f t="shared" si="300"/>
        <v>35</v>
      </c>
      <c r="Z409" s="420">
        <f t="shared" si="301"/>
        <v>7.4399999999999994E-2</v>
      </c>
      <c r="AA409" s="420">
        <v>0</v>
      </c>
      <c r="AB409" s="420">
        <v>0</v>
      </c>
      <c r="AC409" s="420">
        <f t="shared" si="302"/>
        <v>2.8920000000000001E-2</v>
      </c>
      <c r="AD409" s="419">
        <f t="shared" si="303"/>
        <v>0</v>
      </c>
      <c r="AE409" s="419">
        <f t="shared" si="304"/>
        <v>0</v>
      </c>
      <c r="AF409" s="419">
        <f t="shared" si="305"/>
        <v>0</v>
      </c>
      <c r="AG409" s="454">
        <f t="shared" si="306"/>
        <v>9030</v>
      </c>
      <c r="AH409" s="454">
        <f t="shared" si="282"/>
        <v>861244.06</v>
      </c>
      <c r="AI409" s="421">
        <f t="shared" si="307"/>
        <v>0</v>
      </c>
      <c r="AJ409" s="421">
        <f t="shared" si="308"/>
        <v>0</v>
      </c>
      <c r="AK409" s="421">
        <f t="shared" si="309"/>
        <v>0</v>
      </c>
      <c r="AL409" s="472">
        <v>0</v>
      </c>
      <c r="AM409" s="422">
        <f t="shared" si="280"/>
        <v>0</v>
      </c>
      <c r="AN409" s="423">
        <f t="shared" si="310"/>
        <v>0</v>
      </c>
      <c r="AO409" s="421">
        <f t="shared" si="311"/>
        <v>0</v>
      </c>
      <c r="AP409" s="472">
        <v>0</v>
      </c>
      <c r="AQ409" s="472">
        <v>0</v>
      </c>
      <c r="AR409" s="472">
        <v>0</v>
      </c>
      <c r="AS409" s="475">
        <v>0</v>
      </c>
      <c r="AT409" s="475">
        <v>0</v>
      </c>
      <c r="AU409" s="475">
        <v>0</v>
      </c>
      <c r="AV409" s="454">
        <f t="shared" si="312"/>
        <v>870274.06</v>
      </c>
      <c r="AW409" s="421">
        <f t="shared" si="313"/>
        <v>870274</v>
      </c>
      <c r="AX409" s="455">
        <f t="shared" si="325"/>
        <v>0.99999993105620077</v>
      </c>
      <c r="AY409" s="424">
        <f t="shared" si="314"/>
        <v>28356</v>
      </c>
      <c r="AZ409" s="424">
        <f t="shared" si="315"/>
        <v>23417</v>
      </c>
      <c r="BA409" s="424">
        <f t="shared" si="316"/>
        <v>44766</v>
      </c>
      <c r="BB409" s="424">
        <f t="shared" si="317"/>
        <v>0</v>
      </c>
      <c r="BC409" s="424">
        <f t="shared" si="318"/>
        <v>0</v>
      </c>
      <c r="BD409" s="424">
        <f t="shared" si="319"/>
        <v>966813</v>
      </c>
      <c r="BE409" s="452">
        <f t="shared" si="320"/>
        <v>966813.06</v>
      </c>
      <c r="BF409" s="448">
        <f t="shared" si="321"/>
        <v>-6.0000000055879354E-2</v>
      </c>
      <c r="BG409" s="456">
        <f t="shared" si="322"/>
        <v>334773.90000000002</v>
      </c>
      <c r="BH409" s="457">
        <f t="shared" si="289"/>
        <v>526470.16</v>
      </c>
      <c r="BI409" s="407" t="s">
        <v>1490</v>
      </c>
      <c r="BM409" s="429">
        <f>IF(BR409&gt;BR408,BM408,IF(BM408&lt;MiscData!$F$1,EOMONTH(BM408,1),EOMONTH(BM408,-11)))</f>
        <v>41973</v>
      </c>
      <c r="BN409" s="416" t="str">
        <f t="shared" si="290"/>
        <v>20140101KUCME224</v>
      </c>
      <c r="BO409" s="427" t="str">
        <f t="shared" si="291"/>
        <v>20140101AES3</v>
      </c>
      <c r="BP409" s="407">
        <f>IF(BM409&lt;=MiscData!$B$23,MiscData!$C$23,IF(BM409&lt;=MiscData!$B$24,MiscData!$C$24,MiscData!$C$25))</f>
        <v>20140101</v>
      </c>
      <c r="BQ409" s="407" t="str">
        <f>VLOOKUP(BR409,MiscData!$V$4:$W$42,2,FALSE)</f>
        <v>KUCME224</v>
      </c>
      <c r="BR409" s="407">
        <f>IF(BR408=MiscData!$V$42,1,BR408+1)</f>
        <v>16</v>
      </c>
      <c r="BS409" s="407" t="str">
        <f>VLOOKUP(BQ409,MiscData!$W$4:$Y$42,3,FALSE)</f>
        <v>AES3</v>
      </c>
    </row>
    <row r="410" spans="1:71" hidden="1">
      <c r="A410" s="416">
        <f>A409+1</f>
        <v>361</v>
      </c>
      <c r="B410" s="416" t="str">
        <f t="shared" si="286"/>
        <v>Nov 2014</v>
      </c>
      <c r="C410" s="837" t="s">
        <v>228</v>
      </c>
      <c r="D410" s="417" t="str">
        <f t="shared" si="287"/>
        <v>AES3</v>
      </c>
      <c r="E410" s="417" t="str">
        <f t="shared" si="288"/>
        <v>KUCME225</v>
      </c>
      <c r="F410" s="418">
        <f t="shared" si="292"/>
        <v>0</v>
      </c>
      <c r="G410" s="467">
        <v>0</v>
      </c>
      <c r="H410" s="418">
        <v>0</v>
      </c>
      <c r="I410" s="418">
        <v>0</v>
      </c>
      <c r="J410" s="418">
        <v>0</v>
      </c>
      <c r="K410" s="418">
        <f t="shared" si="293"/>
        <v>0</v>
      </c>
      <c r="L410" s="481">
        <v>0</v>
      </c>
      <c r="M410" s="443">
        <f t="shared" si="294"/>
        <v>0</v>
      </c>
      <c r="N410" s="443">
        <f t="shared" si="295"/>
        <v>0</v>
      </c>
      <c r="O410" s="443">
        <f t="shared" si="296"/>
        <v>0</v>
      </c>
      <c r="P410" s="443">
        <f t="shared" si="297"/>
        <v>0</v>
      </c>
      <c r="Q410" s="443">
        <f t="shared" si="298"/>
        <v>0</v>
      </c>
      <c r="R410" s="443">
        <f t="shared" si="299"/>
        <v>0</v>
      </c>
      <c r="S410" s="484">
        <v>0</v>
      </c>
      <c r="T410" s="484">
        <v>0</v>
      </c>
      <c r="U410" s="484">
        <v>0</v>
      </c>
      <c r="V410" s="490">
        <v>0</v>
      </c>
      <c r="W410" s="490">
        <v>0</v>
      </c>
      <c r="X410" s="490">
        <v>0</v>
      </c>
      <c r="Y410" s="419">
        <f t="shared" si="300"/>
        <v>35</v>
      </c>
      <c r="Z410" s="420">
        <f t="shared" si="301"/>
        <v>7.4399999999999994E-2</v>
      </c>
      <c r="AA410" s="420">
        <v>0</v>
      </c>
      <c r="AB410" s="420">
        <v>0</v>
      </c>
      <c r="AC410" s="420">
        <f t="shared" si="302"/>
        <v>2.8920000000000001E-2</v>
      </c>
      <c r="AD410" s="419">
        <f t="shared" si="303"/>
        <v>0</v>
      </c>
      <c r="AE410" s="419">
        <f t="shared" si="304"/>
        <v>0</v>
      </c>
      <c r="AF410" s="419">
        <f t="shared" si="305"/>
        <v>0</v>
      </c>
      <c r="AG410" s="454">
        <f t="shared" si="306"/>
        <v>0</v>
      </c>
      <c r="AH410" s="454">
        <f t="shared" si="282"/>
        <v>0</v>
      </c>
      <c r="AI410" s="421">
        <f t="shared" si="307"/>
        <v>0</v>
      </c>
      <c r="AJ410" s="421">
        <f t="shared" si="308"/>
        <v>0</v>
      </c>
      <c r="AK410" s="421">
        <f t="shared" si="309"/>
        <v>0</v>
      </c>
      <c r="AL410" s="472">
        <v>0</v>
      </c>
      <c r="AM410" s="422">
        <f t="shared" si="280"/>
        <v>0</v>
      </c>
      <c r="AN410" s="423">
        <f t="shared" si="310"/>
        <v>0</v>
      </c>
      <c r="AO410" s="421">
        <f t="shared" si="311"/>
        <v>0</v>
      </c>
      <c r="AP410" s="472">
        <v>0</v>
      </c>
      <c r="AQ410" s="472">
        <v>0</v>
      </c>
      <c r="AR410" s="472">
        <v>0</v>
      </c>
      <c r="AS410" s="475">
        <v>0</v>
      </c>
      <c r="AT410" s="475">
        <v>0</v>
      </c>
      <c r="AU410" s="475">
        <v>0</v>
      </c>
      <c r="AV410" s="454">
        <f t="shared" si="312"/>
        <v>0</v>
      </c>
      <c r="AW410" s="421">
        <f t="shared" si="313"/>
        <v>0</v>
      </c>
      <c r="AX410" s="455">
        <f t="shared" si="325"/>
        <v>1</v>
      </c>
      <c r="AY410" s="424">
        <f t="shared" si="314"/>
        <v>0</v>
      </c>
      <c r="AZ410" s="424">
        <f t="shared" si="315"/>
        <v>0</v>
      </c>
      <c r="BA410" s="424">
        <f t="shared" si="316"/>
        <v>0</v>
      </c>
      <c r="BB410" s="424">
        <f t="shared" si="317"/>
        <v>0</v>
      </c>
      <c r="BC410" s="424">
        <f t="shared" si="318"/>
        <v>0</v>
      </c>
      <c r="BD410" s="424">
        <f t="shared" si="319"/>
        <v>0</v>
      </c>
      <c r="BE410" s="452">
        <f t="shared" si="320"/>
        <v>0</v>
      </c>
      <c r="BF410" s="448">
        <f t="shared" si="321"/>
        <v>0</v>
      </c>
      <c r="BG410" s="456">
        <f t="shared" si="322"/>
        <v>0</v>
      </c>
      <c r="BH410" s="457">
        <f t="shared" si="289"/>
        <v>0</v>
      </c>
      <c r="BI410" s="407" t="s">
        <v>1490</v>
      </c>
      <c r="BM410" s="429">
        <f>IF(BR410&gt;BR409,BM409,IF(BM409&lt;MiscData!$F$1,EOMONTH(BM409,1),EOMONTH(BM409,-11)))</f>
        <v>41973</v>
      </c>
      <c r="BN410" s="416" t="str">
        <f t="shared" si="290"/>
        <v>20140101KUCME225</v>
      </c>
      <c r="BO410" s="427" t="str">
        <f t="shared" si="291"/>
        <v>20140101AES3</v>
      </c>
      <c r="BP410" s="407">
        <f>IF(BM410&lt;=MiscData!$B$23,MiscData!$C$23,IF(BM410&lt;=MiscData!$B$24,MiscData!$C$24,MiscData!$C$25))</f>
        <v>20140101</v>
      </c>
      <c r="BQ410" s="407" t="str">
        <f>VLOOKUP(BR410,MiscData!$V$4:$W$42,2,FALSE)</f>
        <v>KUCME225</v>
      </c>
      <c r="BR410" s="407">
        <f>IF(BR409=MiscData!$V$42,1,BR409+1)</f>
        <v>17</v>
      </c>
      <c r="BS410" s="407" t="str">
        <f>VLOOKUP(BQ410,MiscData!$W$4:$Y$42,3,FALSE)</f>
        <v>AES3</v>
      </c>
    </row>
    <row r="411" spans="1:71" hidden="1">
      <c r="A411" s="416">
        <f>A386+1</f>
        <v>354</v>
      </c>
      <c r="B411" s="416" t="str">
        <f t="shared" si="286"/>
        <v>Nov 2014</v>
      </c>
      <c r="C411" s="416" t="s">
        <v>219</v>
      </c>
      <c r="D411" s="417" t="str">
        <f t="shared" si="287"/>
        <v>AES</v>
      </c>
      <c r="E411" s="417" t="str">
        <f t="shared" si="288"/>
        <v>KUCME226</v>
      </c>
      <c r="F411" s="418">
        <f t="shared" si="292"/>
        <v>0</v>
      </c>
      <c r="G411" s="467">
        <v>0</v>
      </c>
      <c r="H411" s="418">
        <v>0</v>
      </c>
      <c r="I411" s="418">
        <v>0</v>
      </c>
      <c r="J411" s="418">
        <v>0</v>
      </c>
      <c r="K411" s="418">
        <f t="shared" si="293"/>
        <v>0</v>
      </c>
      <c r="L411" s="481">
        <v>0</v>
      </c>
      <c r="M411" s="443">
        <f t="shared" si="294"/>
        <v>0</v>
      </c>
      <c r="N411" s="443">
        <f t="shared" si="295"/>
        <v>0</v>
      </c>
      <c r="O411" s="443">
        <f t="shared" si="296"/>
        <v>0</v>
      </c>
      <c r="P411" s="443">
        <f t="shared" si="297"/>
        <v>0</v>
      </c>
      <c r="Q411" s="443">
        <f t="shared" si="298"/>
        <v>0</v>
      </c>
      <c r="R411" s="443">
        <f t="shared" si="299"/>
        <v>0</v>
      </c>
      <c r="S411" s="484">
        <v>0</v>
      </c>
      <c r="T411" s="484">
        <v>0</v>
      </c>
      <c r="U411" s="484">
        <v>0</v>
      </c>
      <c r="V411" s="490">
        <v>0</v>
      </c>
      <c r="W411" s="490">
        <v>0</v>
      </c>
      <c r="X411" s="490">
        <v>0</v>
      </c>
      <c r="Y411" s="419">
        <f t="shared" si="300"/>
        <v>20</v>
      </c>
      <c r="Z411" s="420">
        <f t="shared" si="301"/>
        <v>7.4399999999999994E-2</v>
      </c>
      <c r="AA411" s="420">
        <v>0</v>
      </c>
      <c r="AB411" s="420">
        <v>0</v>
      </c>
      <c r="AC411" s="420">
        <f t="shared" si="302"/>
        <v>2.8920000000000001E-2</v>
      </c>
      <c r="AD411" s="419">
        <f t="shared" si="303"/>
        <v>0</v>
      </c>
      <c r="AE411" s="419">
        <f t="shared" si="304"/>
        <v>0</v>
      </c>
      <c r="AF411" s="419">
        <f t="shared" si="305"/>
        <v>0</v>
      </c>
      <c r="AG411" s="454">
        <f t="shared" si="306"/>
        <v>0</v>
      </c>
      <c r="AH411" s="454">
        <f t="shared" si="282"/>
        <v>0</v>
      </c>
      <c r="AI411" s="421">
        <f t="shared" si="307"/>
        <v>0</v>
      </c>
      <c r="AJ411" s="421">
        <f t="shared" si="308"/>
        <v>0</v>
      </c>
      <c r="AK411" s="421">
        <f t="shared" si="309"/>
        <v>0</v>
      </c>
      <c r="AL411" s="472">
        <v>0</v>
      </c>
      <c r="AM411" s="422">
        <f t="shared" si="280"/>
        <v>0</v>
      </c>
      <c r="AN411" s="423">
        <f t="shared" si="310"/>
        <v>0</v>
      </c>
      <c r="AO411" s="421">
        <f t="shared" si="311"/>
        <v>0</v>
      </c>
      <c r="AP411" s="472">
        <v>0</v>
      </c>
      <c r="AQ411" s="472">
        <v>0</v>
      </c>
      <c r="AR411" s="472">
        <v>0</v>
      </c>
      <c r="AS411" s="475">
        <v>0</v>
      </c>
      <c r="AT411" s="475">
        <v>0</v>
      </c>
      <c r="AU411" s="475">
        <v>0</v>
      </c>
      <c r="AV411" s="454">
        <f t="shared" si="312"/>
        <v>0</v>
      </c>
      <c r="AW411" s="421">
        <f t="shared" si="313"/>
        <v>0</v>
      </c>
      <c r="AX411" s="455">
        <f t="shared" si="325"/>
        <v>1</v>
      </c>
      <c r="AY411" s="424">
        <f t="shared" si="314"/>
        <v>0</v>
      </c>
      <c r="AZ411" s="424">
        <f t="shared" si="315"/>
        <v>0</v>
      </c>
      <c r="BA411" s="424">
        <f t="shared" si="316"/>
        <v>0</v>
      </c>
      <c r="BB411" s="424">
        <f t="shared" si="317"/>
        <v>0</v>
      </c>
      <c r="BC411" s="424">
        <f t="shared" si="318"/>
        <v>0</v>
      </c>
      <c r="BD411" s="424">
        <f t="shared" si="319"/>
        <v>0</v>
      </c>
      <c r="BE411" s="452">
        <f t="shared" si="320"/>
        <v>0</v>
      </c>
      <c r="BF411" s="448">
        <f t="shared" si="321"/>
        <v>0</v>
      </c>
      <c r="BG411" s="456">
        <f t="shared" si="322"/>
        <v>0</v>
      </c>
      <c r="BH411" s="457">
        <f t="shared" si="289"/>
        <v>0</v>
      </c>
      <c r="BI411" s="407" t="s">
        <v>1490</v>
      </c>
      <c r="BM411" s="429">
        <f>IF(BR411&gt;BR410,BM410,IF(BM410&lt;MiscData!$F$1,EOMONTH(BM410,1),EOMONTH(BM410,-11)))</f>
        <v>41973</v>
      </c>
      <c r="BN411" s="416" t="str">
        <f t="shared" si="290"/>
        <v>20140101KUCME226</v>
      </c>
      <c r="BO411" s="427" t="str">
        <f t="shared" si="291"/>
        <v>20140101AES</v>
      </c>
      <c r="BP411" s="407">
        <f>IF(BM411&lt;=MiscData!$B$23,MiscData!$C$23,IF(BM411&lt;=MiscData!$B$24,MiscData!$C$24,MiscData!$C$25))</f>
        <v>20140101</v>
      </c>
      <c r="BQ411" s="407" t="str">
        <f>VLOOKUP(BR411,MiscData!$V$4:$W$42,2,FALSE)</f>
        <v>KUCME226</v>
      </c>
      <c r="BR411" s="407">
        <f>IF(BR410=MiscData!$V$42,1,BR410+1)</f>
        <v>18</v>
      </c>
      <c r="BS411" s="407" t="str">
        <f>VLOOKUP(BQ411,MiscData!$W$4:$Y$42,3,FALSE)</f>
        <v>AES</v>
      </c>
    </row>
    <row r="412" spans="1:71" hidden="1">
      <c r="A412" s="416">
        <f t="shared" ref="A412:A420" si="326">A411+1</f>
        <v>355</v>
      </c>
      <c r="B412" s="416" t="str">
        <f t="shared" si="286"/>
        <v>Nov 2014</v>
      </c>
      <c r="C412" s="837" t="s">
        <v>228</v>
      </c>
      <c r="D412" s="417" t="str">
        <f t="shared" si="287"/>
        <v>AES3</v>
      </c>
      <c r="E412" s="417" t="str">
        <f t="shared" si="288"/>
        <v>KUCME227</v>
      </c>
      <c r="F412" s="418">
        <f t="shared" si="292"/>
        <v>0</v>
      </c>
      <c r="G412" s="467">
        <v>0</v>
      </c>
      <c r="H412" s="418">
        <v>0</v>
      </c>
      <c r="I412" s="418">
        <v>0</v>
      </c>
      <c r="J412" s="418">
        <v>0</v>
      </c>
      <c r="K412" s="418">
        <f t="shared" si="293"/>
        <v>0</v>
      </c>
      <c r="L412" s="481">
        <v>0</v>
      </c>
      <c r="M412" s="443">
        <f t="shared" si="294"/>
        <v>0</v>
      </c>
      <c r="N412" s="443">
        <f t="shared" si="295"/>
        <v>0</v>
      </c>
      <c r="O412" s="443">
        <f t="shared" si="296"/>
        <v>0</v>
      </c>
      <c r="P412" s="443">
        <f t="shared" si="297"/>
        <v>0</v>
      </c>
      <c r="Q412" s="443">
        <f t="shared" si="298"/>
        <v>0</v>
      </c>
      <c r="R412" s="443">
        <f t="shared" si="299"/>
        <v>0</v>
      </c>
      <c r="S412" s="484">
        <v>0</v>
      </c>
      <c r="T412" s="484">
        <v>0</v>
      </c>
      <c r="U412" s="484">
        <v>0</v>
      </c>
      <c r="V412" s="490">
        <v>0</v>
      </c>
      <c r="W412" s="490">
        <v>0</v>
      </c>
      <c r="X412" s="490">
        <v>0</v>
      </c>
      <c r="Y412" s="419">
        <f t="shared" si="300"/>
        <v>35</v>
      </c>
      <c r="Z412" s="420">
        <f t="shared" si="301"/>
        <v>7.4399999999999994E-2</v>
      </c>
      <c r="AA412" s="420">
        <v>0</v>
      </c>
      <c r="AB412" s="420">
        <v>0</v>
      </c>
      <c r="AC412" s="420">
        <f t="shared" si="302"/>
        <v>2.8920000000000001E-2</v>
      </c>
      <c r="AD412" s="419">
        <f t="shared" si="303"/>
        <v>0</v>
      </c>
      <c r="AE412" s="419">
        <f t="shared" si="304"/>
        <v>0</v>
      </c>
      <c r="AF412" s="419">
        <f t="shared" si="305"/>
        <v>0</v>
      </c>
      <c r="AG412" s="454">
        <f t="shared" si="306"/>
        <v>0</v>
      </c>
      <c r="AH412" s="454">
        <f t="shared" si="282"/>
        <v>0</v>
      </c>
      <c r="AI412" s="421">
        <f t="shared" si="307"/>
        <v>0</v>
      </c>
      <c r="AJ412" s="421">
        <f t="shared" si="308"/>
        <v>0</v>
      </c>
      <c r="AK412" s="421">
        <f t="shared" si="309"/>
        <v>0</v>
      </c>
      <c r="AL412" s="472">
        <v>0</v>
      </c>
      <c r="AM412" s="422">
        <f t="shared" si="280"/>
        <v>0</v>
      </c>
      <c r="AN412" s="423">
        <f t="shared" si="310"/>
        <v>0</v>
      </c>
      <c r="AO412" s="421">
        <f t="shared" si="311"/>
        <v>0</v>
      </c>
      <c r="AP412" s="472">
        <v>0</v>
      </c>
      <c r="AQ412" s="472">
        <v>0</v>
      </c>
      <c r="AR412" s="472">
        <v>0</v>
      </c>
      <c r="AS412" s="475">
        <v>0</v>
      </c>
      <c r="AT412" s="475">
        <v>0</v>
      </c>
      <c r="AU412" s="475">
        <v>0</v>
      </c>
      <c r="AV412" s="454">
        <f t="shared" si="312"/>
        <v>0</v>
      </c>
      <c r="AW412" s="421">
        <f t="shared" si="313"/>
        <v>0</v>
      </c>
      <c r="AX412" s="455">
        <f t="shared" si="325"/>
        <v>1</v>
      </c>
      <c r="AY412" s="424">
        <f t="shared" si="314"/>
        <v>0</v>
      </c>
      <c r="AZ412" s="424">
        <f t="shared" si="315"/>
        <v>0</v>
      </c>
      <c r="BA412" s="424">
        <f t="shared" si="316"/>
        <v>0</v>
      </c>
      <c r="BB412" s="424">
        <f t="shared" si="317"/>
        <v>0</v>
      </c>
      <c r="BC412" s="424">
        <f t="shared" si="318"/>
        <v>0</v>
      </c>
      <c r="BD412" s="424">
        <f t="shared" si="319"/>
        <v>0</v>
      </c>
      <c r="BE412" s="452">
        <f t="shared" si="320"/>
        <v>0</v>
      </c>
      <c r="BF412" s="448">
        <f t="shared" si="321"/>
        <v>0</v>
      </c>
      <c r="BG412" s="456">
        <f t="shared" si="322"/>
        <v>0</v>
      </c>
      <c r="BH412" s="457">
        <f t="shared" si="289"/>
        <v>0</v>
      </c>
      <c r="BI412" s="407" t="s">
        <v>1490</v>
      </c>
      <c r="BM412" s="429">
        <f>IF(BR412&gt;BR411,BM411,IF(BM411&lt;MiscData!$F$1,EOMONTH(BM411,1),EOMONTH(BM411,-11)))</f>
        <v>41973</v>
      </c>
      <c r="BN412" s="416" t="str">
        <f t="shared" si="290"/>
        <v>20140101KUCME227</v>
      </c>
      <c r="BO412" s="427" t="str">
        <f t="shared" si="291"/>
        <v>20140101AES3</v>
      </c>
      <c r="BP412" s="407">
        <f>IF(BM412&lt;=MiscData!$B$23,MiscData!$C$23,IF(BM412&lt;=MiscData!$B$24,MiscData!$C$24,MiscData!$C$25))</f>
        <v>20140101</v>
      </c>
      <c r="BQ412" s="407" t="str">
        <f>VLOOKUP(BR412,MiscData!$V$4:$W$42,2,FALSE)</f>
        <v>KUCME227</v>
      </c>
      <c r="BR412" s="407">
        <f>IF(BR411=MiscData!$V$42,1,BR411+1)</f>
        <v>19</v>
      </c>
      <c r="BS412" s="407" t="str">
        <f>VLOOKUP(BQ412,MiscData!$W$4:$Y$42,3,FALSE)</f>
        <v>AES3</v>
      </c>
    </row>
    <row r="413" spans="1:71" hidden="1">
      <c r="A413" s="416">
        <f t="shared" si="326"/>
        <v>356</v>
      </c>
      <c r="B413" s="416" t="str">
        <f t="shared" si="286"/>
        <v>Nov 2014</v>
      </c>
      <c r="C413" s="416" t="s">
        <v>20</v>
      </c>
      <c r="D413" s="417" t="str">
        <f t="shared" si="287"/>
        <v>LE</v>
      </c>
      <c r="E413" s="417" t="str">
        <f t="shared" si="288"/>
        <v>KUCME290</v>
      </c>
      <c r="F413" s="418">
        <f t="shared" si="292"/>
        <v>2</v>
      </c>
      <c r="G413" s="467">
        <v>0</v>
      </c>
      <c r="H413" s="418">
        <v>0</v>
      </c>
      <c r="I413" s="418">
        <v>0</v>
      </c>
      <c r="J413" s="418">
        <v>0</v>
      </c>
      <c r="K413" s="418">
        <f t="shared" si="293"/>
        <v>15644</v>
      </c>
      <c r="L413" s="481">
        <v>0</v>
      </c>
      <c r="M413" s="443">
        <f t="shared" si="294"/>
        <v>0</v>
      </c>
      <c r="N413" s="443">
        <f t="shared" si="295"/>
        <v>0</v>
      </c>
      <c r="O413" s="443">
        <f t="shared" si="296"/>
        <v>0</v>
      </c>
      <c r="P413" s="443">
        <f t="shared" si="297"/>
        <v>0</v>
      </c>
      <c r="Q413" s="443">
        <f t="shared" si="298"/>
        <v>0</v>
      </c>
      <c r="R413" s="443">
        <f t="shared" si="299"/>
        <v>0</v>
      </c>
      <c r="S413" s="484">
        <v>0</v>
      </c>
      <c r="T413" s="484">
        <v>0</v>
      </c>
      <c r="U413" s="484">
        <v>0</v>
      </c>
      <c r="V413" s="490">
        <v>0</v>
      </c>
      <c r="W413" s="490">
        <v>0</v>
      </c>
      <c r="X413" s="490">
        <v>0</v>
      </c>
      <c r="Y413" s="419">
        <f t="shared" si="300"/>
        <v>0</v>
      </c>
      <c r="Z413" s="420">
        <f t="shared" si="301"/>
        <v>6.3799999999999996E-2</v>
      </c>
      <c r="AA413" s="420">
        <v>0</v>
      </c>
      <c r="AB413" s="420">
        <v>0</v>
      </c>
      <c r="AC413" s="420">
        <f t="shared" si="302"/>
        <v>2.8920000000000001E-2</v>
      </c>
      <c r="AD413" s="419">
        <f t="shared" si="303"/>
        <v>0</v>
      </c>
      <c r="AE413" s="419">
        <f t="shared" si="304"/>
        <v>0</v>
      </c>
      <c r="AF413" s="419">
        <f t="shared" si="305"/>
        <v>0</v>
      </c>
      <c r="AG413" s="454">
        <f t="shared" si="306"/>
        <v>0</v>
      </c>
      <c r="AH413" s="454">
        <f t="shared" si="282"/>
        <v>998.09</v>
      </c>
      <c r="AI413" s="421">
        <f t="shared" si="307"/>
        <v>0</v>
      </c>
      <c r="AJ413" s="421">
        <f t="shared" si="308"/>
        <v>0</v>
      </c>
      <c r="AK413" s="421">
        <f t="shared" si="309"/>
        <v>0</v>
      </c>
      <c r="AL413" s="472">
        <v>0</v>
      </c>
      <c r="AM413" s="422">
        <f t="shared" si="280"/>
        <v>0</v>
      </c>
      <c r="AN413" s="423">
        <f t="shared" si="310"/>
        <v>0</v>
      </c>
      <c r="AO413" s="421">
        <f t="shared" si="311"/>
        <v>0</v>
      </c>
      <c r="AP413" s="472">
        <v>0</v>
      </c>
      <c r="AQ413" s="472">
        <v>0</v>
      </c>
      <c r="AR413" s="472">
        <v>0</v>
      </c>
      <c r="AS413" s="475">
        <v>0</v>
      </c>
      <c r="AT413" s="475">
        <v>0</v>
      </c>
      <c r="AU413" s="475">
        <v>0</v>
      </c>
      <c r="AV413" s="454">
        <f t="shared" si="312"/>
        <v>998.09</v>
      </c>
      <c r="AW413" s="421">
        <f t="shared" si="313"/>
        <v>998</v>
      </c>
      <c r="AX413" s="455">
        <f t="shared" ref="AX413:AX418" si="327">IF(AND(AV413=0,AW413=0),1,IF(AV413=0,0,AW413/AV413))</f>
        <v>0.99990982777104265</v>
      </c>
      <c r="AY413" s="424">
        <f t="shared" si="314"/>
        <v>38</v>
      </c>
      <c r="AZ413" s="424">
        <f t="shared" si="315"/>
        <v>0</v>
      </c>
      <c r="BA413" s="424">
        <f t="shared" si="316"/>
        <v>61</v>
      </c>
      <c r="BB413" s="424">
        <f t="shared" si="317"/>
        <v>0</v>
      </c>
      <c r="BC413" s="424">
        <f t="shared" si="318"/>
        <v>0</v>
      </c>
      <c r="BD413" s="424">
        <f t="shared" si="319"/>
        <v>1097</v>
      </c>
      <c r="BE413" s="452">
        <f t="shared" si="320"/>
        <v>1097.0900000000001</v>
      </c>
      <c r="BF413" s="448">
        <f t="shared" si="321"/>
        <v>-9.0000000000145519E-2</v>
      </c>
      <c r="BG413" s="456">
        <f t="shared" si="322"/>
        <v>452.42</v>
      </c>
      <c r="BH413" s="457">
        <f t="shared" si="289"/>
        <v>545.67000000000007</v>
      </c>
      <c r="BI413" s="407" t="s">
        <v>1490</v>
      </c>
      <c r="BM413" s="429">
        <f>IF(BR413&gt;BR412,BM412,IF(BM412&lt;MiscData!$F$1,EOMONTH(BM412,1),EOMONTH(BM412,-11)))</f>
        <v>41973</v>
      </c>
      <c r="BN413" s="416" t="str">
        <f t="shared" si="290"/>
        <v>20140101KUCME290</v>
      </c>
      <c r="BO413" s="427" t="str">
        <f t="shared" si="291"/>
        <v>20140101LE</v>
      </c>
      <c r="BP413" s="407">
        <f>IF(BM413&lt;=MiscData!$B$23,MiscData!$C$23,IF(BM413&lt;=MiscData!$B$24,MiscData!$C$24,MiscData!$C$25))</f>
        <v>20140101</v>
      </c>
      <c r="BQ413" s="407" t="str">
        <f>VLOOKUP(BR413,MiscData!$V$4:$W$42,2,FALSE)</f>
        <v>KUCME290</v>
      </c>
      <c r="BR413" s="407">
        <f>IF(BR412=MiscData!$V$42,1,BR412+1)</f>
        <v>20</v>
      </c>
      <c r="BS413" s="407" t="str">
        <f>VLOOKUP(BQ413,MiscData!$W$4:$Y$42,3,FALSE)</f>
        <v>LE</v>
      </c>
    </row>
    <row r="414" spans="1:71" hidden="1">
      <c r="A414" s="416">
        <f t="shared" si="326"/>
        <v>357</v>
      </c>
      <c r="B414" s="416" t="str">
        <f t="shared" si="286"/>
        <v>Nov 2014</v>
      </c>
      <c r="C414" s="416" t="s">
        <v>20</v>
      </c>
      <c r="D414" s="417" t="str">
        <f t="shared" si="287"/>
        <v>LE</v>
      </c>
      <c r="E414" s="417" t="str">
        <f t="shared" si="288"/>
        <v>KUCME291</v>
      </c>
      <c r="F414" s="418">
        <f t="shared" si="292"/>
        <v>0</v>
      </c>
      <c r="G414" s="467">
        <v>0</v>
      </c>
      <c r="H414" s="418">
        <v>0</v>
      </c>
      <c r="I414" s="418">
        <v>0</v>
      </c>
      <c r="J414" s="418">
        <v>0</v>
      </c>
      <c r="K414" s="418">
        <f t="shared" si="293"/>
        <v>0</v>
      </c>
      <c r="L414" s="481">
        <v>0</v>
      </c>
      <c r="M414" s="443">
        <f t="shared" si="294"/>
        <v>0</v>
      </c>
      <c r="N414" s="443">
        <f t="shared" si="295"/>
        <v>0</v>
      </c>
      <c r="O414" s="443">
        <f t="shared" si="296"/>
        <v>0</v>
      </c>
      <c r="P414" s="443">
        <f t="shared" si="297"/>
        <v>0</v>
      </c>
      <c r="Q414" s="443">
        <f t="shared" si="298"/>
        <v>0</v>
      </c>
      <c r="R414" s="443">
        <f t="shared" si="299"/>
        <v>0</v>
      </c>
      <c r="S414" s="484">
        <v>0</v>
      </c>
      <c r="T414" s="484">
        <v>0</v>
      </c>
      <c r="U414" s="484">
        <v>0</v>
      </c>
      <c r="V414" s="490">
        <v>0</v>
      </c>
      <c r="W414" s="490">
        <v>0</v>
      </c>
      <c r="X414" s="490">
        <v>0</v>
      </c>
      <c r="Y414" s="419">
        <f t="shared" si="300"/>
        <v>0</v>
      </c>
      <c r="Z414" s="420">
        <f t="shared" si="301"/>
        <v>6.3799999999999996E-2</v>
      </c>
      <c r="AA414" s="420">
        <v>0</v>
      </c>
      <c r="AB414" s="420">
        <v>0</v>
      </c>
      <c r="AC414" s="420">
        <f t="shared" si="302"/>
        <v>2.8920000000000001E-2</v>
      </c>
      <c r="AD414" s="419">
        <f t="shared" si="303"/>
        <v>0</v>
      </c>
      <c r="AE414" s="419">
        <f t="shared" si="304"/>
        <v>0</v>
      </c>
      <c r="AF414" s="419">
        <f t="shared" si="305"/>
        <v>0</v>
      </c>
      <c r="AG414" s="454">
        <f t="shared" si="306"/>
        <v>0</v>
      </c>
      <c r="AH414" s="454">
        <f t="shared" si="282"/>
        <v>0</v>
      </c>
      <c r="AI414" s="421">
        <f t="shared" si="307"/>
        <v>0</v>
      </c>
      <c r="AJ414" s="421">
        <f t="shared" si="308"/>
        <v>0</v>
      </c>
      <c r="AK414" s="421">
        <f t="shared" si="309"/>
        <v>0</v>
      </c>
      <c r="AL414" s="472">
        <v>0</v>
      </c>
      <c r="AM414" s="422">
        <f t="shared" si="280"/>
        <v>0</v>
      </c>
      <c r="AN414" s="423">
        <f t="shared" si="310"/>
        <v>0</v>
      </c>
      <c r="AO414" s="421">
        <f t="shared" si="311"/>
        <v>0</v>
      </c>
      <c r="AP414" s="472">
        <v>0</v>
      </c>
      <c r="AQ414" s="472">
        <v>0</v>
      </c>
      <c r="AR414" s="472">
        <v>0</v>
      </c>
      <c r="AS414" s="475">
        <v>0</v>
      </c>
      <c r="AT414" s="475">
        <v>0</v>
      </c>
      <c r="AU414" s="475">
        <v>0</v>
      </c>
      <c r="AV414" s="454">
        <f t="shared" si="312"/>
        <v>0</v>
      </c>
      <c r="AW414" s="421">
        <f t="shared" si="313"/>
        <v>0</v>
      </c>
      <c r="AX414" s="455">
        <f t="shared" si="327"/>
        <v>1</v>
      </c>
      <c r="AY414" s="424">
        <f t="shared" si="314"/>
        <v>0</v>
      </c>
      <c r="AZ414" s="424">
        <f t="shared" si="315"/>
        <v>0</v>
      </c>
      <c r="BA414" s="424">
        <f t="shared" si="316"/>
        <v>0</v>
      </c>
      <c r="BB414" s="424">
        <f t="shared" si="317"/>
        <v>0</v>
      </c>
      <c r="BC414" s="424">
        <f t="shared" si="318"/>
        <v>0</v>
      </c>
      <c r="BD414" s="424">
        <f t="shared" si="319"/>
        <v>0</v>
      </c>
      <c r="BE414" s="452">
        <f t="shared" si="320"/>
        <v>0</v>
      </c>
      <c r="BF414" s="448">
        <f t="shared" si="321"/>
        <v>0</v>
      </c>
      <c r="BG414" s="456">
        <f t="shared" si="322"/>
        <v>0</v>
      </c>
      <c r="BH414" s="457">
        <f t="shared" si="289"/>
        <v>0</v>
      </c>
      <c r="BI414" s="407" t="s">
        <v>1490</v>
      </c>
      <c r="BM414" s="429">
        <f>IF(BR414&gt;BR413,BM413,IF(BM413&lt;MiscData!$F$1,EOMONTH(BM413,1),EOMONTH(BM413,-11)))</f>
        <v>41973</v>
      </c>
      <c r="BN414" s="416" t="str">
        <f t="shared" si="290"/>
        <v>20140101KUCME291</v>
      </c>
      <c r="BO414" s="427" t="str">
        <f t="shared" si="291"/>
        <v>20140101LE</v>
      </c>
      <c r="BP414" s="407">
        <f>IF(BM414&lt;=MiscData!$B$23,MiscData!$C$23,IF(BM414&lt;=MiscData!$B$24,MiscData!$C$24,MiscData!$C$25))</f>
        <v>20140101</v>
      </c>
      <c r="BQ414" s="407" t="str">
        <f>VLOOKUP(BR414,MiscData!$V$4:$W$42,2,FALSE)</f>
        <v>KUCME291</v>
      </c>
      <c r="BR414" s="407">
        <f>IF(BR413=MiscData!$V$42,1,BR413+1)</f>
        <v>21</v>
      </c>
      <c r="BS414" s="407" t="str">
        <f>VLOOKUP(BQ414,MiscData!$W$4:$Y$42,3,FALSE)</f>
        <v>LE</v>
      </c>
    </row>
    <row r="415" spans="1:71" hidden="1">
      <c r="A415" s="416">
        <f t="shared" si="326"/>
        <v>358</v>
      </c>
      <c r="B415" s="416" t="str">
        <f t="shared" si="286"/>
        <v>Nov 2014</v>
      </c>
      <c r="C415" s="416" t="s">
        <v>21</v>
      </c>
      <c r="D415" s="417" t="str">
        <f t="shared" si="287"/>
        <v>TE</v>
      </c>
      <c r="E415" s="417" t="str">
        <f t="shared" si="288"/>
        <v>KUCME295</v>
      </c>
      <c r="F415" s="418">
        <f t="shared" si="292"/>
        <v>747</v>
      </c>
      <c r="G415" s="467">
        <v>0</v>
      </c>
      <c r="H415" s="418">
        <v>0</v>
      </c>
      <c r="I415" s="418">
        <v>0</v>
      </c>
      <c r="J415" s="418">
        <v>0</v>
      </c>
      <c r="K415" s="418">
        <f t="shared" si="293"/>
        <v>98259</v>
      </c>
      <c r="L415" s="481">
        <v>0</v>
      </c>
      <c r="M415" s="443">
        <f t="shared" si="294"/>
        <v>0</v>
      </c>
      <c r="N415" s="443">
        <f t="shared" si="295"/>
        <v>0</v>
      </c>
      <c r="O415" s="443">
        <f t="shared" si="296"/>
        <v>0</v>
      </c>
      <c r="P415" s="443">
        <f t="shared" si="297"/>
        <v>0</v>
      </c>
      <c r="Q415" s="443">
        <f t="shared" si="298"/>
        <v>0</v>
      </c>
      <c r="R415" s="443">
        <f t="shared" si="299"/>
        <v>0</v>
      </c>
      <c r="S415" s="484">
        <v>0</v>
      </c>
      <c r="T415" s="484">
        <v>0</v>
      </c>
      <c r="U415" s="484">
        <v>0</v>
      </c>
      <c r="V415" s="490">
        <v>0</v>
      </c>
      <c r="W415" s="490">
        <v>0</v>
      </c>
      <c r="X415" s="490">
        <v>0</v>
      </c>
      <c r="Y415" s="419">
        <f t="shared" si="300"/>
        <v>3.25</v>
      </c>
      <c r="Z415" s="420">
        <f t="shared" si="301"/>
        <v>7.9780000000000004E-2</v>
      </c>
      <c r="AA415" s="420">
        <v>0</v>
      </c>
      <c r="AB415" s="420">
        <v>0</v>
      </c>
      <c r="AC415" s="420">
        <f t="shared" si="302"/>
        <v>2.8920000000000001E-2</v>
      </c>
      <c r="AD415" s="419">
        <f t="shared" si="303"/>
        <v>0</v>
      </c>
      <c r="AE415" s="419">
        <f t="shared" si="304"/>
        <v>0</v>
      </c>
      <c r="AF415" s="419">
        <f t="shared" si="305"/>
        <v>0</v>
      </c>
      <c r="AG415" s="454">
        <f t="shared" si="306"/>
        <v>2427.75</v>
      </c>
      <c r="AH415" s="454">
        <f t="shared" si="282"/>
        <v>7839.1</v>
      </c>
      <c r="AI415" s="421">
        <f t="shared" si="307"/>
        <v>0</v>
      </c>
      <c r="AJ415" s="421">
        <f t="shared" si="308"/>
        <v>0</v>
      </c>
      <c r="AK415" s="421">
        <f t="shared" si="309"/>
        <v>0</v>
      </c>
      <c r="AL415" s="472">
        <v>0</v>
      </c>
      <c r="AM415" s="422">
        <f t="shared" ref="AM415:AM440" si="328">SUMIFS(_1022_Power_Factor_Revenue,_1022_RevenueMonth,$B415,_1022_RateCategory,$E415)</f>
        <v>0</v>
      </c>
      <c r="AN415" s="423">
        <f t="shared" si="310"/>
        <v>0</v>
      </c>
      <c r="AO415" s="421">
        <f t="shared" si="311"/>
        <v>0</v>
      </c>
      <c r="AP415" s="472">
        <v>0</v>
      </c>
      <c r="AQ415" s="472">
        <v>0</v>
      </c>
      <c r="AR415" s="472">
        <v>0</v>
      </c>
      <c r="AS415" s="475">
        <v>0</v>
      </c>
      <c r="AT415" s="475">
        <v>0</v>
      </c>
      <c r="AU415" s="475">
        <v>0</v>
      </c>
      <c r="AV415" s="454">
        <f t="shared" si="312"/>
        <v>10266.85</v>
      </c>
      <c r="AW415" s="421">
        <f t="shared" si="313"/>
        <v>10266.75</v>
      </c>
      <c r="AX415" s="455">
        <f t="shared" si="327"/>
        <v>0.99999025991418977</v>
      </c>
      <c r="AY415" s="424">
        <f t="shared" si="314"/>
        <v>241</v>
      </c>
      <c r="AZ415" s="424">
        <f t="shared" si="315"/>
        <v>0</v>
      </c>
      <c r="BA415" s="424">
        <f t="shared" si="316"/>
        <v>380</v>
      </c>
      <c r="BB415" s="424">
        <f t="shared" si="317"/>
        <v>0</v>
      </c>
      <c r="BC415" s="424">
        <f t="shared" si="318"/>
        <v>0</v>
      </c>
      <c r="BD415" s="424">
        <f t="shared" si="319"/>
        <v>10887.75</v>
      </c>
      <c r="BE415" s="452">
        <f t="shared" si="320"/>
        <v>10887.85</v>
      </c>
      <c r="BF415" s="448">
        <f t="shared" si="321"/>
        <v>-0.1000000000003638</v>
      </c>
      <c r="BG415" s="456">
        <f t="shared" si="322"/>
        <v>2841.65</v>
      </c>
      <c r="BH415" s="457">
        <f t="shared" si="289"/>
        <v>4997.4500000000007</v>
      </c>
      <c r="BI415" s="407" t="s">
        <v>1490</v>
      </c>
      <c r="BM415" s="429">
        <f>IF(BR415&gt;BR414,BM414,IF(BM414&lt;MiscData!$F$1,EOMONTH(BM414,1),EOMONTH(BM414,-11)))</f>
        <v>41973</v>
      </c>
      <c r="BN415" s="416" t="str">
        <f t="shared" si="290"/>
        <v>20140101KUCME295</v>
      </c>
      <c r="BO415" s="427" t="str">
        <f t="shared" si="291"/>
        <v>20140101TE</v>
      </c>
      <c r="BP415" s="407">
        <f>IF(BM415&lt;=MiscData!$B$23,MiscData!$C$23,IF(BM415&lt;=MiscData!$B$24,MiscData!$C$24,MiscData!$C$25))</f>
        <v>20140101</v>
      </c>
      <c r="BQ415" s="407" t="str">
        <f>VLOOKUP(BR415,MiscData!$V$4:$W$42,2,FALSE)</f>
        <v>KUCME295</v>
      </c>
      <c r="BR415" s="407">
        <f>IF(BR414=MiscData!$V$42,1,BR414+1)</f>
        <v>22</v>
      </c>
      <c r="BS415" s="407" t="str">
        <f>VLOOKUP(BQ415,MiscData!$W$4:$Y$42,3,FALSE)</f>
        <v>TE</v>
      </c>
    </row>
    <row r="416" spans="1:71" hidden="1">
      <c r="A416" s="416">
        <f t="shared" si="326"/>
        <v>359</v>
      </c>
      <c r="B416" s="416" t="str">
        <f t="shared" si="286"/>
        <v>Nov 2014</v>
      </c>
      <c r="C416" s="416" t="s">
        <v>21</v>
      </c>
      <c r="D416" s="417" t="str">
        <f t="shared" si="287"/>
        <v>TE</v>
      </c>
      <c r="E416" s="417" t="str">
        <f t="shared" si="288"/>
        <v>KUCME297</v>
      </c>
      <c r="F416" s="418">
        <f t="shared" si="292"/>
        <v>0</v>
      </c>
      <c r="G416" s="467">
        <v>0</v>
      </c>
      <c r="H416" s="418">
        <v>0</v>
      </c>
      <c r="I416" s="418">
        <v>0</v>
      </c>
      <c r="J416" s="418">
        <v>0</v>
      </c>
      <c r="K416" s="418">
        <f t="shared" si="293"/>
        <v>0</v>
      </c>
      <c r="L416" s="481">
        <v>0</v>
      </c>
      <c r="M416" s="443">
        <f t="shared" si="294"/>
        <v>0</v>
      </c>
      <c r="N416" s="443">
        <f t="shared" si="295"/>
        <v>0</v>
      </c>
      <c r="O416" s="443">
        <f t="shared" si="296"/>
        <v>0</v>
      </c>
      <c r="P416" s="443">
        <f t="shared" si="297"/>
        <v>0</v>
      </c>
      <c r="Q416" s="443">
        <f t="shared" si="298"/>
        <v>0</v>
      </c>
      <c r="R416" s="443">
        <f t="shared" si="299"/>
        <v>0</v>
      </c>
      <c r="S416" s="484">
        <v>0</v>
      </c>
      <c r="T416" s="484">
        <v>0</v>
      </c>
      <c r="U416" s="484">
        <v>0</v>
      </c>
      <c r="V416" s="490">
        <v>0</v>
      </c>
      <c r="W416" s="490">
        <v>0</v>
      </c>
      <c r="X416" s="490">
        <v>0</v>
      </c>
      <c r="Y416" s="419">
        <f t="shared" si="300"/>
        <v>3.25</v>
      </c>
      <c r="Z416" s="420">
        <f t="shared" si="301"/>
        <v>7.9780000000000004E-2</v>
      </c>
      <c r="AA416" s="420">
        <v>0</v>
      </c>
      <c r="AB416" s="420">
        <v>0</v>
      </c>
      <c r="AC416" s="420">
        <f t="shared" si="302"/>
        <v>2.8920000000000001E-2</v>
      </c>
      <c r="AD416" s="419">
        <f t="shared" si="303"/>
        <v>0</v>
      </c>
      <c r="AE416" s="419">
        <f t="shared" si="304"/>
        <v>0</v>
      </c>
      <c r="AF416" s="419">
        <f t="shared" si="305"/>
        <v>0</v>
      </c>
      <c r="AG416" s="454">
        <f t="shared" si="306"/>
        <v>0</v>
      </c>
      <c r="AH416" s="454">
        <f t="shared" si="282"/>
        <v>0</v>
      </c>
      <c r="AI416" s="421">
        <f t="shared" si="307"/>
        <v>0</v>
      </c>
      <c r="AJ416" s="421">
        <f t="shared" si="308"/>
        <v>0</v>
      </c>
      <c r="AK416" s="421">
        <f t="shared" si="309"/>
        <v>0</v>
      </c>
      <c r="AL416" s="472">
        <v>0</v>
      </c>
      <c r="AM416" s="422">
        <f t="shared" si="328"/>
        <v>0</v>
      </c>
      <c r="AN416" s="423">
        <f t="shared" si="310"/>
        <v>0</v>
      </c>
      <c r="AO416" s="421">
        <f t="shared" si="311"/>
        <v>0</v>
      </c>
      <c r="AP416" s="472">
        <v>0</v>
      </c>
      <c r="AQ416" s="472">
        <v>0</v>
      </c>
      <c r="AR416" s="472">
        <v>0</v>
      </c>
      <c r="AS416" s="475">
        <v>0</v>
      </c>
      <c r="AT416" s="475">
        <v>0</v>
      </c>
      <c r="AU416" s="475">
        <v>0</v>
      </c>
      <c r="AV416" s="454">
        <f t="shared" si="312"/>
        <v>0</v>
      </c>
      <c r="AW416" s="421">
        <f t="shared" si="313"/>
        <v>0</v>
      </c>
      <c r="AX416" s="455">
        <f t="shared" si="327"/>
        <v>1</v>
      </c>
      <c r="AY416" s="424">
        <f t="shared" si="314"/>
        <v>0</v>
      </c>
      <c r="AZ416" s="424">
        <f t="shared" si="315"/>
        <v>0</v>
      </c>
      <c r="BA416" s="424">
        <f t="shared" si="316"/>
        <v>0</v>
      </c>
      <c r="BB416" s="424">
        <f t="shared" si="317"/>
        <v>0</v>
      </c>
      <c r="BC416" s="424">
        <f t="shared" si="318"/>
        <v>0</v>
      </c>
      <c r="BD416" s="424">
        <f t="shared" si="319"/>
        <v>0</v>
      </c>
      <c r="BE416" s="452">
        <f t="shared" si="320"/>
        <v>0</v>
      </c>
      <c r="BF416" s="448">
        <f t="shared" si="321"/>
        <v>0</v>
      </c>
      <c r="BG416" s="456">
        <f t="shared" si="322"/>
        <v>0</v>
      </c>
      <c r="BH416" s="457">
        <f t="shared" si="289"/>
        <v>0</v>
      </c>
      <c r="BI416" s="407" t="s">
        <v>1490</v>
      </c>
      <c r="BM416" s="429">
        <f>IF(BR416&gt;BR415,BM415,IF(BM415&lt;MiscData!$F$1,EOMONTH(BM415,1),EOMONTH(BM415,-11)))</f>
        <v>41973</v>
      </c>
      <c r="BN416" s="416" t="str">
        <f t="shared" si="290"/>
        <v>20140101KUCME297</v>
      </c>
      <c r="BO416" s="427" t="str">
        <f t="shared" si="291"/>
        <v>20140101TE</v>
      </c>
      <c r="BP416" s="407">
        <f>IF(BM416&lt;=MiscData!$B$23,MiscData!$C$23,IF(BM416&lt;=MiscData!$B$24,MiscData!$C$24,MiscData!$C$25))</f>
        <v>20140101</v>
      </c>
      <c r="BQ416" s="407" t="str">
        <f>VLOOKUP(BR416,MiscData!$V$4:$W$42,2,FALSE)</f>
        <v>KUCME297</v>
      </c>
      <c r="BR416" s="407">
        <f>IF(BR415=MiscData!$V$42,1,BR415+1)</f>
        <v>23</v>
      </c>
      <c r="BS416" s="407" t="str">
        <f>VLOOKUP(BQ416,MiscData!$W$4:$Y$42,3,FALSE)</f>
        <v>TE</v>
      </c>
    </row>
    <row r="417" spans="1:72" hidden="1">
      <c r="A417" s="416">
        <f t="shared" si="326"/>
        <v>360</v>
      </c>
      <c r="B417" s="416" t="str">
        <f t="shared" si="286"/>
        <v>Nov 2014</v>
      </c>
      <c r="C417" s="416" t="s">
        <v>727</v>
      </c>
      <c r="D417" s="417" t="str">
        <f t="shared" si="287"/>
        <v>SQF</v>
      </c>
      <c r="E417" s="417" t="str">
        <f t="shared" si="288"/>
        <v>KUCME705</v>
      </c>
      <c r="F417" s="418">
        <f t="shared" si="292"/>
        <v>0</v>
      </c>
      <c r="G417" s="467">
        <v>0</v>
      </c>
      <c r="H417" s="418">
        <v>0</v>
      </c>
      <c r="I417" s="418">
        <v>0</v>
      </c>
      <c r="J417" s="418">
        <v>0</v>
      </c>
      <c r="K417" s="418">
        <f t="shared" si="293"/>
        <v>0</v>
      </c>
      <c r="L417" s="481">
        <v>0</v>
      </c>
      <c r="M417" s="443">
        <f t="shared" si="294"/>
        <v>0</v>
      </c>
      <c r="N417" s="443">
        <f t="shared" si="295"/>
        <v>0</v>
      </c>
      <c r="O417" s="443">
        <f t="shared" si="296"/>
        <v>0</v>
      </c>
      <c r="P417" s="443">
        <f t="shared" si="297"/>
        <v>0</v>
      </c>
      <c r="Q417" s="443">
        <f t="shared" si="298"/>
        <v>0</v>
      </c>
      <c r="R417" s="443">
        <f t="shared" si="299"/>
        <v>0</v>
      </c>
      <c r="S417" s="484">
        <v>0</v>
      </c>
      <c r="T417" s="484">
        <v>0</v>
      </c>
      <c r="U417" s="484">
        <v>0</v>
      </c>
      <c r="V417" s="490">
        <v>0</v>
      </c>
      <c r="W417" s="490">
        <v>0</v>
      </c>
      <c r="X417" s="490">
        <v>0</v>
      </c>
      <c r="Y417" s="419">
        <f t="shared" si="300"/>
        <v>0</v>
      </c>
      <c r="Z417" s="420">
        <f t="shared" si="301"/>
        <v>0</v>
      </c>
      <c r="AA417" s="420">
        <v>0</v>
      </c>
      <c r="AB417" s="420">
        <v>0</v>
      </c>
      <c r="AC417" s="420">
        <f t="shared" si="302"/>
        <v>0</v>
      </c>
      <c r="AD417" s="419">
        <f t="shared" si="303"/>
        <v>0</v>
      </c>
      <c r="AE417" s="419">
        <f t="shared" si="304"/>
        <v>0</v>
      </c>
      <c r="AF417" s="419">
        <f t="shared" si="305"/>
        <v>0</v>
      </c>
      <c r="AG417" s="454">
        <f t="shared" si="306"/>
        <v>0</v>
      </c>
      <c r="AH417" s="454">
        <f t="shared" si="282"/>
        <v>0</v>
      </c>
      <c r="AI417" s="421">
        <f t="shared" si="307"/>
        <v>0</v>
      </c>
      <c r="AJ417" s="421">
        <f t="shared" si="308"/>
        <v>0</v>
      </c>
      <c r="AK417" s="421">
        <f t="shared" si="309"/>
        <v>0</v>
      </c>
      <c r="AL417" s="472">
        <v>0</v>
      </c>
      <c r="AM417" s="422">
        <f t="shared" si="328"/>
        <v>0</v>
      </c>
      <c r="AN417" s="423">
        <f t="shared" si="310"/>
        <v>0</v>
      </c>
      <c r="AO417" s="421">
        <f t="shared" si="311"/>
        <v>0</v>
      </c>
      <c r="AP417" s="472">
        <v>0</v>
      </c>
      <c r="AQ417" s="472">
        <v>0</v>
      </c>
      <c r="AR417" s="472">
        <v>0</v>
      </c>
      <c r="AS417" s="475">
        <v>0</v>
      </c>
      <c r="AT417" s="475">
        <v>0</v>
      </c>
      <c r="AU417" s="475">
        <v>0</v>
      </c>
      <c r="AV417" s="454">
        <f t="shared" si="312"/>
        <v>0</v>
      </c>
      <c r="AW417" s="421">
        <f t="shared" si="313"/>
        <v>0</v>
      </c>
      <c r="AX417" s="455">
        <f t="shared" si="327"/>
        <v>1</v>
      </c>
      <c r="AY417" s="424">
        <f t="shared" si="314"/>
        <v>0</v>
      </c>
      <c r="AZ417" s="424">
        <f t="shared" si="315"/>
        <v>0</v>
      </c>
      <c r="BA417" s="424">
        <f t="shared" si="316"/>
        <v>0</v>
      </c>
      <c r="BB417" s="424">
        <f t="shared" si="317"/>
        <v>0</v>
      </c>
      <c r="BC417" s="424">
        <f t="shared" si="318"/>
        <v>0</v>
      </c>
      <c r="BD417" s="424">
        <f t="shared" si="319"/>
        <v>0</v>
      </c>
      <c r="BE417" s="452">
        <f t="shared" si="320"/>
        <v>0</v>
      </c>
      <c r="BF417" s="448">
        <f t="shared" si="321"/>
        <v>0</v>
      </c>
      <c r="BG417" s="456">
        <f t="shared" si="322"/>
        <v>0</v>
      </c>
      <c r="BH417" s="457">
        <f t="shared" si="289"/>
        <v>0</v>
      </c>
      <c r="BI417" s="407" t="s">
        <v>1490</v>
      </c>
      <c r="BM417" s="429">
        <f>IF(BR417&gt;BR416,BM416,IF(BM416&lt;MiscData!$F$1,EOMONTH(BM416,1),EOMONTH(BM416,-11)))</f>
        <v>41973</v>
      </c>
      <c r="BN417" s="416" t="str">
        <f t="shared" si="290"/>
        <v>20140101KUCME705</v>
      </c>
      <c r="BO417" s="427" t="str">
        <f t="shared" si="291"/>
        <v>20140101SQF</v>
      </c>
      <c r="BP417" s="407">
        <f>IF(BM417&lt;=MiscData!$B$23,MiscData!$C$23,IF(BM417&lt;=MiscData!$B$24,MiscData!$C$24,MiscData!$C$25))</f>
        <v>20140101</v>
      </c>
      <c r="BQ417" s="407" t="str">
        <f>VLOOKUP(BR417,MiscData!$V$4:$W$42,2,FALSE)</f>
        <v>KUCME705</v>
      </c>
      <c r="BR417" s="407">
        <f>IF(BR416=MiscData!$V$42,1,BR416+1)</f>
        <v>24</v>
      </c>
      <c r="BS417" s="407" t="str">
        <f>VLOOKUP(BQ417,MiscData!$W$4:$Y$42,3,FALSE)</f>
        <v>SQF</v>
      </c>
    </row>
    <row r="418" spans="1:72" hidden="1">
      <c r="A418" s="416">
        <f t="shared" si="326"/>
        <v>361</v>
      </c>
      <c r="B418" s="416" t="str">
        <f t="shared" si="286"/>
        <v>Nov 2014</v>
      </c>
      <c r="C418" s="416" t="s">
        <v>1052</v>
      </c>
      <c r="D418" s="417" t="str">
        <f t="shared" si="287"/>
        <v>LQF</v>
      </c>
      <c r="E418" s="417" t="str">
        <f t="shared" si="288"/>
        <v>KUCME707</v>
      </c>
      <c r="F418" s="418">
        <f t="shared" si="292"/>
        <v>0</v>
      </c>
      <c r="G418" s="467">
        <v>0</v>
      </c>
      <c r="H418" s="418">
        <v>0</v>
      </c>
      <c r="I418" s="418">
        <v>0</v>
      </c>
      <c r="J418" s="418">
        <v>0</v>
      </c>
      <c r="K418" s="418">
        <f t="shared" si="293"/>
        <v>0</v>
      </c>
      <c r="L418" s="481">
        <v>0</v>
      </c>
      <c r="M418" s="443">
        <f t="shared" si="294"/>
        <v>0</v>
      </c>
      <c r="N418" s="443">
        <f t="shared" si="295"/>
        <v>0</v>
      </c>
      <c r="O418" s="443">
        <f t="shared" si="296"/>
        <v>0</v>
      </c>
      <c r="P418" s="443">
        <f t="shared" si="297"/>
        <v>0</v>
      </c>
      <c r="Q418" s="443">
        <f t="shared" si="298"/>
        <v>0</v>
      </c>
      <c r="R418" s="443">
        <f t="shared" si="299"/>
        <v>0</v>
      </c>
      <c r="S418" s="484">
        <v>0</v>
      </c>
      <c r="T418" s="484">
        <v>0</v>
      </c>
      <c r="U418" s="484">
        <v>0</v>
      </c>
      <c r="V418" s="490">
        <v>0</v>
      </c>
      <c r="W418" s="490">
        <v>0</v>
      </c>
      <c r="X418" s="490">
        <v>0</v>
      </c>
      <c r="Y418" s="419">
        <f t="shared" si="300"/>
        <v>0</v>
      </c>
      <c r="Z418" s="420">
        <f t="shared" si="301"/>
        <v>0</v>
      </c>
      <c r="AA418" s="420">
        <v>0</v>
      </c>
      <c r="AB418" s="420">
        <v>0</v>
      </c>
      <c r="AC418" s="420">
        <f t="shared" si="302"/>
        <v>0</v>
      </c>
      <c r="AD418" s="419">
        <f t="shared" si="303"/>
        <v>0</v>
      </c>
      <c r="AE418" s="419">
        <f t="shared" si="304"/>
        <v>0</v>
      </c>
      <c r="AF418" s="419">
        <f t="shared" si="305"/>
        <v>0</v>
      </c>
      <c r="AG418" s="454">
        <f t="shared" si="306"/>
        <v>0</v>
      </c>
      <c r="AH418" s="454">
        <f t="shared" si="282"/>
        <v>0</v>
      </c>
      <c r="AI418" s="421">
        <f t="shared" si="307"/>
        <v>0</v>
      </c>
      <c r="AJ418" s="421">
        <f t="shared" si="308"/>
        <v>0</v>
      </c>
      <c r="AK418" s="421">
        <f t="shared" si="309"/>
        <v>0</v>
      </c>
      <c r="AL418" s="472">
        <v>0</v>
      </c>
      <c r="AM418" s="422">
        <f t="shared" si="328"/>
        <v>0</v>
      </c>
      <c r="AN418" s="423">
        <f t="shared" si="310"/>
        <v>0</v>
      </c>
      <c r="AO418" s="421">
        <f t="shared" si="311"/>
        <v>0</v>
      </c>
      <c r="AP418" s="472">
        <v>0</v>
      </c>
      <c r="AQ418" s="472">
        <v>0</v>
      </c>
      <c r="AR418" s="472">
        <v>0</v>
      </c>
      <c r="AS418" s="475">
        <v>0</v>
      </c>
      <c r="AT418" s="475">
        <v>0</v>
      </c>
      <c r="AU418" s="475">
        <v>0</v>
      </c>
      <c r="AV418" s="454">
        <f t="shared" si="312"/>
        <v>0</v>
      </c>
      <c r="AW418" s="421">
        <f t="shared" si="313"/>
        <v>0</v>
      </c>
      <c r="AX418" s="455">
        <f t="shared" si="327"/>
        <v>1</v>
      </c>
      <c r="AY418" s="424">
        <f t="shared" si="314"/>
        <v>0</v>
      </c>
      <c r="AZ418" s="424">
        <f t="shared" si="315"/>
        <v>0</v>
      </c>
      <c r="BA418" s="424">
        <f t="shared" si="316"/>
        <v>0</v>
      </c>
      <c r="BB418" s="424">
        <f t="shared" si="317"/>
        <v>0</v>
      </c>
      <c r="BC418" s="424">
        <f t="shared" si="318"/>
        <v>0</v>
      </c>
      <c r="BD418" s="424">
        <f t="shared" si="319"/>
        <v>0</v>
      </c>
      <c r="BE418" s="452">
        <f t="shared" si="320"/>
        <v>0</v>
      </c>
      <c r="BF418" s="448">
        <f t="shared" si="321"/>
        <v>0</v>
      </c>
      <c r="BG418" s="456">
        <f t="shared" si="322"/>
        <v>0</v>
      </c>
      <c r="BH418" s="457">
        <f t="shared" si="289"/>
        <v>0</v>
      </c>
      <c r="BI418" s="407" t="s">
        <v>1490</v>
      </c>
      <c r="BM418" s="429">
        <f>IF(BR418&gt;BR417,BM417,IF(BM417&lt;MiscData!$F$1,EOMONTH(BM417,1),EOMONTH(BM417,-11)))</f>
        <v>41973</v>
      </c>
      <c r="BN418" s="416" t="str">
        <f t="shared" si="290"/>
        <v>20140101KUCME707</v>
      </c>
      <c r="BO418" s="427" t="str">
        <f t="shared" si="291"/>
        <v>20140101LQF</v>
      </c>
      <c r="BP418" s="407">
        <f>IF(BM418&lt;=MiscData!$B$23,MiscData!$C$23,IF(BM418&lt;=MiscData!$B$24,MiscData!$C$24,MiscData!$C$25))</f>
        <v>20140101</v>
      </c>
      <c r="BQ418" s="407" t="str">
        <f>VLOOKUP(BR418,MiscData!$V$4:$W$42,2,FALSE)</f>
        <v>KUCME707</v>
      </c>
      <c r="BR418" s="407">
        <f>IF(BR417=MiscData!$V$42,1,BR417+1)</f>
        <v>25</v>
      </c>
      <c r="BS418" s="407" t="str">
        <f>VLOOKUP(BQ418,MiscData!$W$4:$Y$42,3,FALSE)</f>
        <v>LQF</v>
      </c>
    </row>
    <row r="419" spans="1:72" hidden="1">
      <c r="A419" s="416">
        <f t="shared" si="326"/>
        <v>362</v>
      </c>
      <c r="B419" s="416" t="str">
        <f t="shared" si="286"/>
        <v>Nov 2014</v>
      </c>
      <c r="C419" s="416" t="s">
        <v>224</v>
      </c>
      <c r="D419" s="417" t="str">
        <f t="shared" si="287"/>
        <v>GS</v>
      </c>
      <c r="E419" s="417" t="str">
        <f t="shared" si="288"/>
        <v>KUCME710</v>
      </c>
      <c r="F419" s="418">
        <f t="shared" si="292"/>
        <v>0</v>
      </c>
      <c r="G419" s="467">
        <v>0</v>
      </c>
      <c r="H419" s="418">
        <v>0</v>
      </c>
      <c r="I419" s="418">
        <v>0</v>
      </c>
      <c r="J419" s="418">
        <v>0</v>
      </c>
      <c r="K419" s="418">
        <f t="shared" si="293"/>
        <v>0</v>
      </c>
      <c r="L419" s="481">
        <v>0</v>
      </c>
      <c r="M419" s="443">
        <f t="shared" si="294"/>
        <v>0</v>
      </c>
      <c r="N419" s="443">
        <f t="shared" si="295"/>
        <v>0</v>
      </c>
      <c r="O419" s="443">
        <f t="shared" si="296"/>
        <v>0</v>
      </c>
      <c r="P419" s="443">
        <f t="shared" si="297"/>
        <v>0</v>
      </c>
      <c r="Q419" s="443">
        <f t="shared" si="298"/>
        <v>0</v>
      </c>
      <c r="R419" s="443">
        <f t="shared" si="299"/>
        <v>0</v>
      </c>
      <c r="S419" s="484">
        <v>0</v>
      </c>
      <c r="T419" s="484">
        <v>0</v>
      </c>
      <c r="U419" s="484">
        <v>0</v>
      </c>
      <c r="V419" s="490">
        <v>0</v>
      </c>
      <c r="W419" s="490">
        <v>0</v>
      </c>
      <c r="X419" s="490">
        <v>0</v>
      </c>
      <c r="Y419" s="419">
        <f t="shared" si="300"/>
        <v>20</v>
      </c>
      <c r="Z419" s="420">
        <f t="shared" si="301"/>
        <v>9.2249999999999999E-2</v>
      </c>
      <c r="AA419" s="420">
        <v>0</v>
      </c>
      <c r="AB419" s="420">
        <v>0</v>
      </c>
      <c r="AC419" s="420">
        <f t="shared" si="302"/>
        <v>2.8920000000000001E-2</v>
      </c>
      <c r="AD419" s="419">
        <f t="shared" si="303"/>
        <v>0</v>
      </c>
      <c r="AE419" s="419">
        <f t="shared" si="304"/>
        <v>0</v>
      </c>
      <c r="AF419" s="419">
        <f t="shared" si="305"/>
        <v>0</v>
      </c>
      <c r="AG419" s="454">
        <f t="shared" si="306"/>
        <v>0</v>
      </c>
      <c r="AH419" s="454">
        <f t="shared" si="282"/>
        <v>0</v>
      </c>
      <c r="AI419" s="421">
        <f t="shared" si="307"/>
        <v>0</v>
      </c>
      <c r="AJ419" s="421">
        <f t="shared" si="308"/>
        <v>0</v>
      </c>
      <c r="AK419" s="421">
        <f t="shared" si="309"/>
        <v>0</v>
      </c>
      <c r="AL419" s="472">
        <v>0</v>
      </c>
      <c r="AM419" s="422">
        <f t="shared" si="328"/>
        <v>0</v>
      </c>
      <c r="AN419" s="423">
        <f t="shared" si="310"/>
        <v>0</v>
      </c>
      <c r="AO419" s="421">
        <f t="shared" si="311"/>
        <v>0</v>
      </c>
      <c r="AP419" s="472">
        <v>0</v>
      </c>
      <c r="AQ419" s="472">
        <v>0</v>
      </c>
      <c r="AR419" s="472">
        <v>0</v>
      </c>
      <c r="AS419" s="475">
        <v>0</v>
      </c>
      <c r="AT419" s="475">
        <v>0</v>
      </c>
      <c r="AU419" s="475">
        <v>0</v>
      </c>
      <c r="AV419" s="454">
        <f t="shared" si="312"/>
        <v>0</v>
      </c>
      <c r="AW419" s="421">
        <f t="shared" si="313"/>
        <v>0</v>
      </c>
      <c r="AX419" s="455">
        <f t="shared" ref="AX419:AX432" si="329">IF(AND(AV419=0,AW419=0),1,IF(AV419=0,0,AW419/AV419))</f>
        <v>1</v>
      </c>
      <c r="AY419" s="424">
        <f t="shared" si="314"/>
        <v>0</v>
      </c>
      <c r="AZ419" s="424">
        <f t="shared" si="315"/>
        <v>0</v>
      </c>
      <c r="BA419" s="424">
        <f t="shared" si="316"/>
        <v>0</v>
      </c>
      <c r="BB419" s="424">
        <f t="shared" si="317"/>
        <v>0</v>
      </c>
      <c r="BC419" s="424">
        <f t="shared" si="318"/>
        <v>0</v>
      </c>
      <c r="BD419" s="424">
        <f t="shared" si="319"/>
        <v>0</v>
      </c>
      <c r="BE419" s="452">
        <f t="shared" si="320"/>
        <v>0</v>
      </c>
      <c r="BF419" s="448">
        <f t="shared" si="321"/>
        <v>0</v>
      </c>
      <c r="BG419" s="456">
        <f t="shared" si="322"/>
        <v>0</v>
      </c>
      <c r="BH419" s="457">
        <f t="shared" si="289"/>
        <v>0</v>
      </c>
      <c r="BI419" s="407" t="s">
        <v>1490</v>
      </c>
      <c r="BM419" s="429">
        <f>IF(BR419&gt;BR418,BM418,IF(BM418&lt;MiscData!$F$1,EOMONTH(BM418,1),EOMONTH(BM418,-11)))</f>
        <v>41973</v>
      </c>
      <c r="BN419" s="416" t="str">
        <f t="shared" si="290"/>
        <v>20140101KUCME710</v>
      </c>
      <c r="BO419" s="427" t="str">
        <f t="shared" si="291"/>
        <v>20140101GS</v>
      </c>
      <c r="BP419" s="407">
        <f>IF(BM419&lt;=MiscData!$B$23,MiscData!$C$23,IF(BM419&lt;=MiscData!$B$24,MiscData!$C$24,MiscData!$C$25))</f>
        <v>20140101</v>
      </c>
      <c r="BQ419" s="407" t="str">
        <f>VLOOKUP(BR419,MiscData!$V$4:$W$42,2,FALSE)</f>
        <v>KUCME710</v>
      </c>
      <c r="BR419" s="407">
        <f>IF(BR418=MiscData!$V$42,1,BR418+1)</f>
        <v>26</v>
      </c>
      <c r="BS419" s="407" t="str">
        <f>VLOOKUP(BQ419,MiscData!$W$4:$Y$42,3,FALSE)</f>
        <v>GS</v>
      </c>
    </row>
    <row r="420" spans="1:72" hidden="1">
      <c r="A420" s="416">
        <f t="shared" si="326"/>
        <v>363</v>
      </c>
      <c r="B420" s="416" t="str">
        <f t="shared" si="286"/>
        <v>Nov 2014</v>
      </c>
      <c r="C420" s="416" t="s">
        <v>18</v>
      </c>
      <c r="D420" s="417" t="str">
        <f t="shared" si="287"/>
        <v>GS3</v>
      </c>
      <c r="E420" s="417" t="str">
        <f t="shared" si="288"/>
        <v>KUCME713</v>
      </c>
      <c r="F420" s="418">
        <f t="shared" si="292"/>
        <v>0</v>
      </c>
      <c r="G420" s="467">
        <v>0</v>
      </c>
      <c r="H420" s="418">
        <v>0</v>
      </c>
      <c r="I420" s="418">
        <v>0</v>
      </c>
      <c r="J420" s="418">
        <v>0</v>
      </c>
      <c r="K420" s="418">
        <f t="shared" si="293"/>
        <v>0</v>
      </c>
      <c r="L420" s="481">
        <v>0</v>
      </c>
      <c r="M420" s="443">
        <f t="shared" si="294"/>
        <v>0</v>
      </c>
      <c r="N420" s="443">
        <f t="shared" si="295"/>
        <v>0</v>
      </c>
      <c r="O420" s="443">
        <f t="shared" si="296"/>
        <v>0</v>
      </c>
      <c r="P420" s="443">
        <f t="shared" si="297"/>
        <v>0</v>
      </c>
      <c r="Q420" s="443">
        <f t="shared" si="298"/>
        <v>0</v>
      </c>
      <c r="R420" s="443">
        <f t="shared" si="299"/>
        <v>0</v>
      </c>
      <c r="S420" s="484">
        <v>0</v>
      </c>
      <c r="T420" s="484">
        <v>0</v>
      </c>
      <c r="U420" s="484">
        <v>0</v>
      </c>
      <c r="V420" s="490">
        <v>0</v>
      </c>
      <c r="W420" s="490">
        <v>0</v>
      </c>
      <c r="X420" s="490">
        <v>0</v>
      </c>
      <c r="Y420" s="419">
        <f t="shared" si="300"/>
        <v>35</v>
      </c>
      <c r="Z420" s="420">
        <f t="shared" si="301"/>
        <v>9.2249999999999999E-2</v>
      </c>
      <c r="AA420" s="420">
        <v>0</v>
      </c>
      <c r="AB420" s="420">
        <v>0</v>
      </c>
      <c r="AC420" s="420">
        <f t="shared" si="302"/>
        <v>2.8920000000000001E-2</v>
      </c>
      <c r="AD420" s="419">
        <f t="shared" si="303"/>
        <v>0</v>
      </c>
      <c r="AE420" s="419">
        <f t="shared" si="304"/>
        <v>0</v>
      </c>
      <c r="AF420" s="419">
        <f t="shared" si="305"/>
        <v>0</v>
      </c>
      <c r="AG420" s="454">
        <f t="shared" si="306"/>
        <v>0</v>
      </c>
      <c r="AH420" s="454">
        <f t="shared" ref="AH420:AH440" si="330">ROUND(IF(H420=0,(K420+L420)*Z420,SUMPRODUCT(H420:J420,Z420:AB420)),2)</f>
        <v>0</v>
      </c>
      <c r="AI420" s="421">
        <f t="shared" si="307"/>
        <v>0</v>
      </c>
      <c r="AJ420" s="421">
        <f t="shared" si="308"/>
        <v>0</v>
      </c>
      <c r="AK420" s="421">
        <f t="shared" si="309"/>
        <v>0</v>
      </c>
      <c r="AL420" s="472">
        <v>0</v>
      </c>
      <c r="AM420" s="422">
        <f t="shared" si="328"/>
        <v>0</v>
      </c>
      <c r="AN420" s="423">
        <f t="shared" si="310"/>
        <v>0</v>
      </c>
      <c r="AO420" s="421">
        <f t="shared" si="311"/>
        <v>0</v>
      </c>
      <c r="AP420" s="472">
        <v>0</v>
      </c>
      <c r="AQ420" s="472">
        <v>0</v>
      </c>
      <c r="AR420" s="472">
        <v>0</v>
      </c>
      <c r="AS420" s="475">
        <v>0</v>
      </c>
      <c r="AT420" s="475">
        <v>0</v>
      </c>
      <c r="AU420" s="475">
        <v>0</v>
      </c>
      <c r="AV420" s="454">
        <f t="shared" si="312"/>
        <v>0</v>
      </c>
      <c r="AW420" s="421">
        <f t="shared" si="313"/>
        <v>0</v>
      </c>
      <c r="AX420" s="455">
        <f t="shared" si="329"/>
        <v>1</v>
      </c>
      <c r="AY420" s="424">
        <f t="shared" si="314"/>
        <v>0</v>
      </c>
      <c r="AZ420" s="424">
        <f t="shared" si="315"/>
        <v>0</v>
      </c>
      <c r="BA420" s="424">
        <f t="shared" si="316"/>
        <v>0</v>
      </c>
      <c r="BB420" s="424">
        <f t="shared" si="317"/>
        <v>0</v>
      </c>
      <c r="BC420" s="424">
        <f t="shared" si="318"/>
        <v>0</v>
      </c>
      <c r="BD420" s="424">
        <f t="shared" si="319"/>
        <v>0</v>
      </c>
      <c r="BE420" s="452">
        <f t="shared" si="320"/>
        <v>0</v>
      </c>
      <c r="BF420" s="448">
        <f t="shared" si="321"/>
        <v>0</v>
      </c>
      <c r="BG420" s="456">
        <f t="shared" si="322"/>
        <v>0</v>
      </c>
      <c r="BH420" s="457">
        <f t="shared" si="289"/>
        <v>0</v>
      </c>
      <c r="BI420" s="407" t="s">
        <v>1490</v>
      </c>
      <c r="BM420" s="429">
        <f>IF(BR420&gt;BR419,BM419,IF(BM419&lt;MiscData!$F$1,EOMONTH(BM419,1),EOMONTH(BM419,-11)))</f>
        <v>41973</v>
      </c>
      <c r="BN420" s="416" t="str">
        <f t="shared" si="290"/>
        <v>20140101KUCME713</v>
      </c>
      <c r="BO420" s="427" t="str">
        <f t="shared" si="291"/>
        <v>20140101GS3</v>
      </c>
      <c r="BP420" s="407">
        <f>IF(BM420&lt;=MiscData!$B$23,MiscData!$C$23,IF(BM420&lt;=MiscData!$B$24,MiscData!$C$24,MiscData!$C$25))</f>
        <v>20140101</v>
      </c>
      <c r="BQ420" s="407" t="str">
        <f>VLOOKUP(BR420,MiscData!$V$4:$W$42,2,FALSE)</f>
        <v>KUCME713</v>
      </c>
      <c r="BR420" s="407">
        <f>IF(BR419=MiscData!$V$42,1,BR419+1)</f>
        <v>27</v>
      </c>
      <c r="BS420" s="407" t="str">
        <f>VLOOKUP(BQ420,MiscData!$W$4:$Y$42,3,FALSE)</f>
        <v>GS3</v>
      </c>
    </row>
    <row r="421" spans="1:72" hidden="1">
      <c r="A421" s="416">
        <f>A417+1</f>
        <v>361</v>
      </c>
      <c r="B421" s="416" t="str">
        <f t="shared" si="286"/>
        <v>Nov 2014</v>
      </c>
      <c r="C421" s="416" t="s">
        <v>1459</v>
      </c>
      <c r="D421" s="417" t="str">
        <f t="shared" si="287"/>
        <v>CSR10</v>
      </c>
      <c r="E421" s="417" t="str">
        <f t="shared" si="288"/>
        <v>KUCSR760</v>
      </c>
      <c r="F421" s="418">
        <f t="shared" si="292"/>
        <v>0</v>
      </c>
      <c r="G421" s="467">
        <v>0</v>
      </c>
      <c r="H421" s="418">
        <v>0</v>
      </c>
      <c r="I421" s="418">
        <v>0</v>
      </c>
      <c r="J421" s="418">
        <v>0</v>
      </c>
      <c r="K421" s="418">
        <f t="shared" si="293"/>
        <v>0</v>
      </c>
      <c r="L421" s="481">
        <v>0</v>
      </c>
      <c r="M421" s="443">
        <f t="shared" si="294"/>
        <v>0</v>
      </c>
      <c r="N421" s="443">
        <f t="shared" si="295"/>
        <v>0</v>
      </c>
      <c r="O421" s="443">
        <f t="shared" si="296"/>
        <v>0</v>
      </c>
      <c r="P421" s="443">
        <f t="shared" si="297"/>
        <v>0</v>
      </c>
      <c r="Q421" s="443">
        <f t="shared" si="298"/>
        <v>0</v>
      </c>
      <c r="R421" s="443">
        <f t="shared" si="299"/>
        <v>0</v>
      </c>
      <c r="S421" s="484">
        <v>0</v>
      </c>
      <c r="T421" s="484">
        <v>0</v>
      </c>
      <c r="U421" s="484">
        <v>0</v>
      </c>
      <c r="V421" s="490">
        <v>0</v>
      </c>
      <c r="W421" s="490">
        <v>0</v>
      </c>
      <c r="X421" s="490">
        <v>0</v>
      </c>
      <c r="Y421" s="419">
        <f t="shared" si="300"/>
        <v>0</v>
      </c>
      <c r="Z421" s="420">
        <f t="shared" si="301"/>
        <v>0</v>
      </c>
      <c r="AA421" s="420">
        <v>0</v>
      </c>
      <c r="AB421" s="420">
        <v>0</v>
      </c>
      <c r="AC421" s="420">
        <f t="shared" si="302"/>
        <v>0</v>
      </c>
      <c r="AD421" s="419">
        <f t="shared" si="303"/>
        <v>-5.4</v>
      </c>
      <c r="AE421" s="419">
        <f t="shared" si="304"/>
        <v>0</v>
      </c>
      <c r="AF421" s="419">
        <f t="shared" si="305"/>
        <v>0</v>
      </c>
      <c r="AG421" s="454">
        <f t="shared" si="306"/>
        <v>0</v>
      </c>
      <c r="AH421" s="454">
        <f t="shared" si="330"/>
        <v>0</v>
      </c>
      <c r="AI421" s="421">
        <f t="shared" si="307"/>
        <v>0</v>
      </c>
      <c r="AJ421" s="421">
        <f t="shared" si="308"/>
        <v>0</v>
      </c>
      <c r="AK421" s="421">
        <f t="shared" si="309"/>
        <v>0</v>
      </c>
      <c r="AL421" s="472">
        <v>0</v>
      </c>
      <c r="AM421" s="422">
        <f t="shared" si="328"/>
        <v>0</v>
      </c>
      <c r="AN421" s="423">
        <f t="shared" si="310"/>
        <v>0</v>
      </c>
      <c r="AO421" s="421">
        <f t="shared" si="311"/>
        <v>0</v>
      </c>
      <c r="AP421" s="472">
        <v>0</v>
      </c>
      <c r="AQ421" s="472">
        <v>0</v>
      </c>
      <c r="AR421" s="472">
        <v>0</v>
      </c>
      <c r="AS421" s="475">
        <v>0</v>
      </c>
      <c r="AT421" s="475">
        <v>0</v>
      </c>
      <c r="AU421" s="475">
        <v>0</v>
      </c>
      <c r="AV421" s="454">
        <f t="shared" si="312"/>
        <v>0</v>
      </c>
      <c r="AW421" s="421">
        <f t="shared" si="313"/>
        <v>0</v>
      </c>
      <c r="AX421" s="455">
        <f t="shared" si="329"/>
        <v>1</v>
      </c>
      <c r="AY421" s="424">
        <f t="shared" si="314"/>
        <v>0</v>
      </c>
      <c r="AZ421" s="424">
        <f t="shared" si="315"/>
        <v>0</v>
      </c>
      <c r="BA421" s="424">
        <f t="shared" si="316"/>
        <v>0</v>
      </c>
      <c r="BB421" s="424">
        <f t="shared" si="317"/>
        <v>0</v>
      </c>
      <c r="BC421" s="424">
        <f t="shared" si="318"/>
        <v>-989829</v>
      </c>
      <c r="BD421" s="424">
        <f t="shared" si="319"/>
        <v>-989829</v>
      </c>
      <c r="BE421" s="452">
        <f t="shared" si="320"/>
        <v>-989829</v>
      </c>
      <c r="BF421" s="448">
        <f t="shared" si="321"/>
        <v>0</v>
      </c>
      <c r="BG421" s="456">
        <f t="shared" si="322"/>
        <v>0</v>
      </c>
      <c r="BH421" s="457">
        <f t="shared" si="289"/>
        <v>0</v>
      </c>
      <c r="BI421" s="407" t="s">
        <v>1490</v>
      </c>
      <c r="BM421" s="429">
        <f>IF(BR421&gt;BR417,BM417,IF(BM417&lt;MiscData!$F$1,EOMONTH(BM417,1),EOMONTH(BM417,-11)))</f>
        <v>41973</v>
      </c>
      <c r="BN421" s="416" t="str">
        <f t="shared" si="290"/>
        <v>20140101KUCSR760</v>
      </c>
      <c r="BO421" s="427" t="str">
        <f t="shared" si="291"/>
        <v>20140101CSR10</v>
      </c>
      <c r="BP421" s="407">
        <f>IF(BM421&lt;=MiscData!$B$23,MiscData!$C$23,IF(BM421&lt;=MiscData!$B$24,MiscData!$C$24,MiscData!$C$25))</f>
        <v>20140101</v>
      </c>
      <c r="BQ421" s="407" t="str">
        <f>VLOOKUP(BR421,MiscData!$V$4:$W$42,2,FALSE)</f>
        <v>KUCSR760</v>
      </c>
      <c r="BR421" s="407">
        <f>IF(BR420=MiscData!$V$42,1,BR420+1)</f>
        <v>28</v>
      </c>
      <c r="BS421" s="407" t="str">
        <f>VLOOKUP(BQ421,MiscData!$W$4:$Y$42,3,FALSE)</f>
        <v>CSR10</v>
      </c>
    </row>
    <row r="422" spans="1:72" hidden="1">
      <c r="A422" s="416">
        <f>A418+1</f>
        <v>362</v>
      </c>
      <c r="B422" s="416" t="str">
        <f t="shared" si="286"/>
        <v>Nov 2014</v>
      </c>
      <c r="C422" s="416" t="s">
        <v>1459</v>
      </c>
      <c r="D422" s="417" t="str">
        <f t="shared" si="287"/>
        <v>CSR10</v>
      </c>
      <c r="E422" s="417" t="str">
        <f t="shared" si="288"/>
        <v>KUCSR761</v>
      </c>
      <c r="F422" s="418">
        <f t="shared" si="292"/>
        <v>0</v>
      </c>
      <c r="G422" s="467">
        <v>0</v>
      </c>
      <c r="H422" s="418">
        <v>0</v>
      </c>
      <c r="I422" s="418">
        <v>0</v>
      </c>
      <c r="J422" s="418">
        <v>0</v>
      </c>
      <c r="K422" s="418">
        <f t="shared" si="293"/>
        <v>0</v>
      </c>
      <c r="L422" s="481">
        <v>0</v>
      </c>
      <c r="M422" s="443">
        <f t="shared" si="294"/>
        <v>0</v>
      </c>
      <c r="N422" s="443">
        <f t="shared" si="295"/>
        <v>0</v>
      </c>
      <c r="O422" s="443">
        <f t="shared" si="296"/>
        <v>0</v>
      </c>
      <c r="P422" s="443">
        <f t="shared" si="297"/>
        <v>0</v>
      </c>
      <c r="Q422" s="443">
        <f t="shared" si="298"/>
        <v>0</v>
      </c>
      <c r="R422" s="443">
        <f t="shared" si="299"/>
        <v>0</v>
      </c>
      <c r="S422" s="484">
        <v>0</v>
      </c>
      <c r="T422" s="484">
        <v>0</v>
      </c>
      <c r="U422" s="484">
        <v>0</v>
      </c>
      <c r="V422" s="490">
        <v>0</v>
      </c>
      <c r="W422" s="490">
        <v>0</v>
      </c>
      <c r="X422" s="490">
        <v>0</v>
      </c>
      <c r="Y422" s="419">
        <f t="shared" si="300"/>
        <v>0</v>
      </c>
      <c r="Z422" s="420">
        <f t="shared" si="301"/>
        <v>0</v>
      </c>
      <c r="AA422" s="420">
        <v>0</v>
      </c>
      <c r="AB422" s="420">
        <v>0</v>
      </c>
      <c r="AC422" s="420">
        <f t="shared" si="302"/>
        <v>0</v>
      </c>
      <c r="AD422" s="419">
        <f t="shared" si="303"/>
        <v>-5.5</v>
      </c>
      <c r="AE422" s="419">
        <f t="shared" si="304"/>
        <v>0</v>
      </c>
      <c r="AF422" s="419">
        <f t="shared" si="305"/>
        <v>0</v>
      </c>
      <c r="AG422" s="454">
        <f t="shared" si="306"/>
        <v>0</v>
      </c>
      <c r="AH422" s="454">
        <f t="shared" si="330"/>
        <v>0</v>
      </c>
      <c r="AI422" s="421">
        <f t="shared" si="307"/>
        <v>0</v>
      </c>
      <c r="AJ422" s="421">
        <f t="shared" si="308"/>
        <v>0</v>
      </c>
      <c r="AK422" s="421">
        <f t="shared" si="309"/>
        <v>0</v>
      </c>
      <c r="AL422" s="472">
        <v>0</v>
      </c>
      <c r="AM422" s="422">
        <f t="shared" si="328"/>
        <v>0</v>
      </c>
      <c r="AN422" s="423">
        <f t="shared" si="310"/>
        <v>0</v>
      </c>
      <c r="AO422" s="421">
        <f t="shared" si="311"/>
        <v>0</v>
      </c>
      <c r="AP422" s="472">
        <v>0</v>
      </c>
      <c r="AQ422" s="472">
        <v>0</v>
      </c>
      <c r="AR422" s="472">
        <v>0</v>
      </c>
      <c r="AS422" s="475">
        <v>0</v>
      </c>
      <c r="AT422" s="475">
        <v>0</v>
      </c>
      <c r="AU422" s="475">
        <v>0</v>
      </c>
      <c r="AV422" s="454">
        <f t="shared" si="312"/>
        <v>0</v>
      </c>
      <c r="AW422" s="421">
        <f t="shared" si="313"/>
        <v>0</v>
      </c>
      <c r="AX422" s="455">
        <f t="shared" si="329"/>
        <v>1</v>
      </c>
      <c r="AY422" s="424">
        <f t="shared" si="314"/>
        <v>0</v>
      </c>
      <c r="AZ422" s="424">
        <f t="shared" si="315"/>
        <v>0</v>
      </c>
      <c r="BA422" s="424">
        <f t="shared" si="316"/>
        <v>0</v>
      </c>
      <c r="BB422" s="424">
        <f t="shared" si="317"/>
        <v>0</v>
      </c>
      <c r="BC422" s="424">
        <f t="shared" si="318"/>
        <v>0</v>
      </c>
      <c r="BD422" s="424">
        <f t="shared" si="319"/>
        <v>0</v>
      </c>
      <c r="BE422" s="452">
        <f t="shared" si="320"/>
        <v>0</v>
      </c>
      <c r="BF422" s="448">
        <f t="shared" si="321"/>
        <v>0</v>
      </c>
      <c r="BG422" s="456">
        <f t="shared" si="322"/>
        <v>0</v>
      </c>
      <c r="BH422" s="457">
        <f t="shared" si="289"/>
        <v>0</v>
      </c>
      <c r="BI422" s="407" t="s">
        <v>1490</v>
      </c>
      <c r="BM422" s="429">
        <f>IF(BR422&gt;BR418,BM418,IF(BM418&lt;MiscData!$F$1,EOMONTH(BM418,1),EOMONTH(BM418,-11)))</f>
        <v>41973</v>
      </c>
      <c r="BN422" s="416" t="str">
        <f t="shared" si="290"/>
        <v>20140101KUCSR761</v>
      </c>
      <c r="BO422" s="427" t="str">
        <f t="shared" si="291"/>
        <v>20140101CSR10</v>
      </c>
      <c r="BP422" s="407">
        <f>IF(BM422&lt;=MiscData!$B$23,MiscData!$C$23,IF(BM422&lt;=MiscData!$B$24,MiscData!$C$24,MiscData!$C$25))</f>
        <v>20140101</v>
      </c>
      <c r="BQ422" s="407" t="str">
        <f>VLOOKUP(BR422,MiscData!$V$4:$W$42,2,FALSE)</f>
        <v>KUCSR761</v>
      </c>
      <c r="BR422" s="407">
        <f>IF(BR421=MiscData!$V$42,1,BR421+1)</f>
        <v>29</v>
      </c>
      <c r="BS422" s="407" t="str">
        <f>VLOOKUP(BQ422,MiscData!$W$4:$Y$42,3,FALSE)</f>
        <v>CSR10</v>
      </c>
    </row>
    <row r="423" spans="1:72" hidden="1">
      <c r="A423" s="416">
        <f>A419+1</f>
        <v>363</v>
      </c>
      <c r="B423" s="416" t="str">
        <f t="shared" si="286"/>
        <v>Nov 2014</v>
      </c>
      <c r="C423" s="416" t="s">
        <v>1460</v>
      </c>
      <c r="D423" s="417" t="str">
        <f t="shared" si="287"/>
        <v>CSR30</v>
      </c>
      <c r="E423" s="417" t="str">
        <f t="shared" si="288"/>
        <v>KUCSR780</v>
      </c>
      <c r="F423" s="418">
        <f t="shared" si="292"/>
        <v>0</v>
      </c>
      <c r="G423" s="467">
        <v>0</v>
      </c>
      <c r="H423" s="418">
        <v>0</v>
      </c>
      <c r="I423" s="418">
        <v>0</v>
      </c>
      <c r="J423" s="418">
        <v>0</v>
      </c>
      <c r="K423" s="418">
        <f t="shared" si="293"/>
        <v>0</v>
      </c>
      <c r="L423" s="481">
        <v>0</v>
      </c>
      <c r="M423" s="443">
        <f t="shared" si="294"/>
        <v>0</v>
      </c>
      <c r="N423" s="443">
        <f t="shared" si="295"/>
        <v>0</v>
      </c>
      <c r="O423" s="443">
        <f t="shared" si="296"/>
        <v>0</v>
      </c>
      <c r="P423" s="443">
        <f t="shared" si="297"/>
        <v>0</v>
      </c>
      <c r="Q423" s="443">
        <f t="shared" si="298"/>
        <v>0</v>
      </c>
      <c r="R423" s="443">
        <f t="shared" si="299"/>
        <v>0</v>
      </c>
      <c r="S423" s="484">
        <v>0</v>
      </c>
      <c r="T423" s="484">
        <v>0</v>
      </c>
      <c r="U423" s="484">
        <v>0</v>
      </c>
      <c r="V423" s="490">
        <v>0</v>
      </c>
      <c r="W423" s="490">
        <v>0</v>
      </c>
      <c r="X423" s="490">
        <v>0</v>
      </c>
      <c r="Y423" s="419">
        <f t="shared" si="300"/>
        <v>0</v>
      </c>
      <c r="Z423" s="420">
        <f t="shared" si="301"/>
        <v>0</v>
      </c>
      <c r="AA423" s="420">
        <v>0</v>
      </c>
      <c r="AB423" s="420">
        <v>0</v>
      </c>
      <c r="AC423" s="420">
        <f t="shared" si="302"/>
        <v>0</v>
      </c>
      <c r="AD423" s="419">
        <f t="shared" si="303"/>
        <v>-4.3</v>
      </c>
      <c r="AE423" s="419">
        <f t="shared" si="304"/>
        <v>0</v>
      </c>
      <c r="AF423" s="419">
        <f t="shared" si="305"/>
        <v>0</v>
      </c>
      <c r="AG423" s="454">
        <f t="shared" si="306"/>
        <v>0</v>
      </c>
      <c r="AH423" s="454">
        <f t="shared" si="330"/>
        <v>0</v>
      </c>
      <c r="AI423" s="421">
        <f t="shared" si="307"/>
        <v>0</v>
      </c>
      <c r="AJ423" s="421">
        <f t="shared" si="308"/>
        <v>0</v>
      </c>
      <c r="AK423" s="421">
        <f t="shared" si="309"/>
        <v>0</v>
      </c>
      <c r="AL423" s="472">
        <v>0</v>
      </c>
      <c r="AM423" s="422">
        <f t="shared" si="328"/>
        <v>0</v>
      </c>
      <c r="AN423" s="423">
        <f t="shared" si="310"/>
        <v>0</v>
      </c>
      <c r="AO423" s="421">
        <f t="shared" si="311"/>
        <v>0</v>
      </c>
      <c r="AP423" s="472">
        <v>0</v>
      </c>
      <c r="AQ423" s="472">
        <v>0</v>
      </c>
      <c r="AR423" s="472">
        <v>0</v>
      </c>
      <c r="AS423" s="475">
        <v>0</v>
      </c>
      <c r="AT423" s="475">
        <v>0</v>
      </c>
      <c r="AU423" s="475">
        <v>0</v>
      </c>
      <c r="AV423" s="454">
        <f t="shared" si="312"/>
        <v>0</v>
      </c>
      <c r="AW423" s="421">
        <f t="shared" si="313"/>
        <v>0</v>
      </c>
      <c r="AX423" s="455">
        <f t="shared" si="329"/>
        <v>1</v>
      </c>
      <c r="AY423" s="424">
        <f t="shared" si="314"/>
        <v>0</v>
      </c>
      <c r="AZ423" s="424">
        <f t="shared" si="315"/>
        <v>0</v>
      </c>
      <c r="BA423" s="424">
        <f t="shared" si="316"/>
        <v>0</v>
      </c>
      <c r="BB423" s="424">
        <f t="shared" si="317"/>
        <v>0</v>
      </c>
      <c r="BC423" s="424">
        <f t="shared" si="318"/>
        <v>0</v>
      </c>
      <c r="BD423" s="424">
        <f t="shared" si="319"/>
        <v>0</v>
      </c>
      <c r="BE423" s="452">
        <f t="shared" si="320"/>
        <v>0</v>
      </c>
      <c r="BF423" s="448">
        <f t="shared" si="321"/>
        <v>0</v>
      </c>
      <c r="BG423" s="456">
        <f t="shared" si="322"/>
        <v>0</v>
      </c>
      <c r="BH423" s="457">
        <f t="shared" si="289"/>
        <v>0</v>
      </c>
      <c r="BI423" s="407" t="s">
        <v>1490</v>
      </c>
      <c r="BM423" s="429">
        <f>IF(BR423&gt;BR419,BM419,IF(BM419&lt;MiscData!$F$1,EOMONTH(BM419,1),EOMONTH(BM419,-11)))</f>
        <v>41973</v>
      </c>
      <c r="BN423" s="416" t="str">
        <f t="shared" si="290"/>
        <v>20140101KUCSR780</v>
      </c>
      <c r="BO423" s="427" t="str">
        <f t="shared" si="291"/>
        <v>20140101CSR30</v>
      </c>
      <c r="BP423" s="407">
        <f>IF(BM423&lt;=MiscData!$B$23,MiscData!$C$23,IF(BM423&lt;=MiscData!$B$24,MiscData!$C$24,MiscData!$C$25))</f>
        <v>20140101</v>
      </c>
      <c r="BQ423" s="407" t="str">
        <f>VLOOKUP(BR423,MiscData!$V$4:$W$42,2,FALSE)</f>
        <v>KUCSR780</v>
      </c>
      <c r="BR423" s="407">
        <f>IF(BR422=MiscData!$V$42,1,BR422+1)</f>
        <v>30</v>
      </c>
      <c r="BS423" s="407" t="str">
        <f>VLOOKUP(BQ423,MiscData!$W$4:$Y$42,3,FALSE)</f>
        <v>CSR30</v>
      </c>
    </row>
    <row r="424" spans="1:72" hidden="1">
      <c r="A424" s="416">
        <f>A420+1</f>
        <v>364</v>
      </c>
      <c r="B424" s="416" t="str">
        <f t="shared" si="286"/>
        <v>Nov 2014</v>
      </c>
      <c r="C424" s="416" t="s">
        <v>1460</v>
      </c>
      <c r="D424" s="417" t="str">
        <f t="shared" si="287"/>
        <v>CSR30</v>
      </c>
      <c r="E424" s="417" t="str">
        <f t="shared" si="288"/>
        <v>KUCSR781</v>
      </c>
      <c r="F424" s="418">
        <f t="shared" si="292"/>
        <v>0</v>
      </c>
      <c r="G424" s="467">
        <v>0</v>
      </c>
      <c r="H424" s="418">
        <v>0</v>
      </c>
      <c r="I424" s="418">
        <v>0</v>
      </c>
      <c r="J424" s="418">
        <v>0</v>
      </c>
      <c r="K424" s="418">
        <f t="shared" si="293"/>
        <v>0</v>
      </c>
      <c r="L424" s="481">
        <v>0</v>
      </c>
      <c r="M424" s="443">
        <f t="shared" si="294"/>
        <v>0</v>
      </c>
      <c r="N424" s="443">
        <f t="shared" si="295"/>
        <v>0</v>
      </c>
      <c r="O424" s="443">
        <f t="shared" si="296"/>
        <v>0</v>
      </c>
      <c r="P424" s="443">
        <f t="shared" si="297"/>
        <v>0</v>
      </c>
      <c r="Q424" s="443">
        <f t="shared" si="298"/>
        <v>0</v>
      </c>
      <c r="R424" s="443">
        <f t="shared" si="299"/>
        <v>0</v>
      </c>
      <c r="S424" s="484">
        <v>0</v>
      </c>
      <c r="T424" s="484">
        <v>0</v>
      </c>
      <c r="U424" s="484">
        <v>0</v>
      </c>
      <c r="V424" s="490">
        <v>0</v>
      </c>
      <c r="W424" s="490">
        <v>0</v>
      </c>
      <c r="X424" s="490">
        <v>0</v>
      </c>
      <c r="Y424" s="419">
        <f t="shared" si="300"/>
        <v>0</v>
      </c>
      <c r="Z424" s="420">
        <f t="shared" si="301"/>
        <v>0</v>
      </c>
      <c r="AA424" s="420">
        <v>0</v>
      </c>
      <c r="AB424" s="420">
        <v>0</v>
      </c>
      <c r="AC424" s="420">
        <f t="shared" si="302"/>
        <v>0</v>
      </c>
      <c r="AD424" s="419">
        <f t="shared" si="303"/>
        <v>-4.4000000000000004</v>
      </c>
      <c r="AE424" s="419">
        <f t="shared" si="304"/>
        <v>0</v>
      </c>
      <c r="AF424" s="419">
        <f t="shared" si="305"/>
        <v>0</v>
      </c>
      <c r="AG424" s="454">
        <f t="shared" si="306"/>
        <v>0</v>
      </c>
      <c r="AH424" s="454">
        <f t="shared" si="330"/>
        <v>0</v>
      </c>
      <c r="AI424" s="421">
        <f t="shared" si="307"/>
        <v>0</v>
      </c>
      <c r="AJ424" s="421">
        <f t="shared" si="308"/>
        <v>0</v>
      </c>
      <c r="AK424" s="421">
        <f t="shared" si="309"/>
        <v>0</v>
      </c>
      <c r="AL424" s="472">
        <v>0</v>
      </c>
      <c r="AM424" s="422">
        <f t="shared" si="328"/>
        <v>0</v>
      </c>
      <c r="AN424" s="423">
        <f t="shared" si="310"/>
        <v>0</v>
      </c>
      <c r="AO424" s="421">
        <f t="shared" si="311"/>
        <v>0</v>
      </c>
      <c r="AP424" s="472">
        <v>0</v>
      </c>
      <c r="AQ424" s="472">
        <v>0</v>
      </c>
      <c r="AR424" s="472">
        <v>0</v>
      </c>
      <c r="AS424" s="475">
        <v>0</v>
      </c>
      <c r="AT424" s="475">
        <v>0</v>
      </c>
      <c r="AU424" s="475">
        <v>0</v>
      </c>
      <c r="AV424" s="454">
        <f t="shared" si="312"/>
        <v>0</v>
      </c>
      <c r="AW424" s="421">
        <f t="shared" si="313"/>
        <v>0</v>
      </c>
      <c r="AX424" s="455">
        <f t="shared" si="329"/>
        <v>1</v>
      </c>
      <c r="AY424" s="424">
        <f t="shared" si="314"/>
        <v>0</v>
      </c>
      <c r="AZ424" s="424">
        <f t="shared" si="315"/>
        <v>0</v>
      </c>
      <c r="BA424" s="424">
        <f t="shared" si="316"/>
        <v>0</v>
      </c>
      <c r="BB424" s="424">
        <f t="shared" si="317"/>
        <v>0</v>
      </c>
      <c r="BC424" s="424">
        <f t="shared" si="318"/>
        <v>0</v>
      </c>
      <c r="BD424" s="424">
        <f t="shared" si="319"/>
        <v>0</v>
      </c>
      <c r="BE424" s="452">
        <f t="shared" si="320"/>
        <v>0</v>
      </c>
      <c r="BF424" s="448">
        <f t="shared" si="321"/>
        <v>0</v>
      </c>
      <c r="BG424" s="456">
        <f t="shared" si="322"/>
        <v>0</v>
      </c>
      <c r="BH424" s="457">
        <f t="shared" si="289"/>
        <v>0</v>
      </c>
      <c r="BI424" s="407" t="s">
        <v>1490</v>
      </c>
      <c r="BM424" s="429">
        <f>IF(BR424&gt;BR420,BM420,IF(BM420&lt;MiscData!$F$1,EOMONTH(BM420,1),EOMONTH(BM420,-11)))</f>
        <v>41973</v>
      </c>
      <c r="BN424" s="416" t="str">
        <f t="shared" si="290"/>
        <v>20140101KUCSR781</v>
      </c>
      <c r="BO424" s="427" t="str">
        <f t="shared" si="291"/>
        <v>20140101CSR30</v>
      </c>
      <c r="BP424" s="407">
        <f>IF(BM424&lt;=MiscData!$B$23,MiscData!$C$23,IF(BM424&lt;=MiscData!$B$24,MiscData!$C$24,MiscData!$C$25))</f>
        <v>20140101</v>
      </c>
      <c r="BQ424" s="407" t="str">
        <f>VLOOKUP(BR424,MiscData!$V$4:$W$42,2,FALSE)</f>
        <v>KUCSR781</v>
      </c>
      <c r="BR424" s="407">
        <f>IF(BR423=MiscData!$V$42,1,BR423+1)</f>
        <v>31</v>
      </c>
      <c r="BS424" s="407" t="str">
        <f>VLOOKUP(BQ424,MiscData!$W$4:$Y$42,3,FALSE)</f>
        <v>CSR30</v>
      </c>
    </row>
    <row r="425" spans="1:72" hidden="1">
      <c r="A425" s="416">
        <f>A420+1</f>
        <v>364</v>
      </c>
      <c r="B425" s="416" t="str">
        <f t="shared" si="286"/>
        <v>Nov 2014</v>
      </c>
      <c r="C425" s="416" t="s">
        <v>1460</v>
      </c>
      <c r="D425" s="417" t="str">
        <f t="shared" si="287"/>
        <v>CSR30</v>
      </c>
      <c r="E425" s="417" t="str">
        <f t="shared" si="288"/>
        <v>KUCSR783</v>
      </c>
      <c r="F425" s="418">
        <f t="shared" si="292"/>
        <v>0</v>
      </c>
      <c r="G425" s="467">
        <v>0</v>
      </c>
      <c r="H425" s="418">
        <v>0</v>
      </c>
      <c r="I425" s="418">
        <v>0</v>
      </c>
      <c r="J425" s="418">
        <v>0</v>
      </c>
      <c r="K425" s="418">
        <f t="shared" si="293"/>
        <v>0</v>
      </c>
      <c r="L425" s="481">
        <v>0</v>
      </c>
      <c r="M425" s="443">
        <f t="shared" si="294"/>
        <v>0</v>
      </c>
      <c r="N425" s="443">
        <f t="shared" si="295"/>
        <v>0</v>
      </c>
      <c r="O425" s="443">
        <f t="shared" si="296"/>
        <v>0</v>
      </c>
      <c r="P425" s="443">
        <f t="shared" si="297"/>
        <v>0</v>
      </c>
      <c r="Q425" s="443">
        <f t="shared" si="298"/>
        <v>0</v>
      </c>
      <c r="R425" s="443">
        <f t="shared" si="299"/>
        <v>0</v>
      </c>
      <c r="S425" s="484">
        <v>0</v>
      </c>
      <c r="T425" s="484">
        <v>0</v>
      </c>
      <c r="U425" s="484">
        <v>0</v>
      </c>
      <c r="V425" s="490">
        <v>0</v>
      </c>
      <c r="W425" s="490">
        <v>0</v>
      </c>
      <c r="X425" s="490">
        <v>0</v>
      </c>
      <c r="Y425" s="419">
        <f t="shared" si="300"/>
        <v>0</v>
      </c>
      <c r="Z425" s="420">
        <f t="shared" si="301"/>
        <v>0</v>
      </c>
      <c r="AA425" s="420">
        <v>0</v>
      </c>
      <c r="AB425" s="420">
        <v>0</v>
      </c>
      <c r="AC425" s="420">
        <f t="shared" si="302"/>
        <v>0</v>
      </c>
      <c r="AD425" s="419">
        <f t="shared" si="303"/>
        <v>-4.4000000000000004</v>
      </c>
      <c r="AE425" s="419">
        <f t="shared" si="304"/>
        <v>0</v>
      </c>
      <c r="AF425" s="419">
        <f t="shared" si="305"/>
        <v>0</v>
      </c>
      <c r="AG425" s="454">
        <f t="shared" si="306"/>
        <v>0</v>
      </c>
      <c r="AH425" s="454">
        <f t="shared" si="330"/>
        <v>0</v>
      </c>
      <c r="AI425" s="421">
        <f t="shared" si="307"/>
        <v>0</v>
      </c>
      <c r="AJ425" s="421">
        <f t="shared" si="308"/>
        <v>0</v>
      </c>
      <c r="AK425" s="421">
        <f t="shared" si="309"/>
        <v>0</v>
      </c>
      <c r="AL425" s="472">
        <v>0</v>
      </c>
      <c r="AM425" s="422">
        <f t="shared" si="328"/>
        <v>0</v>
      </c>
      <c r="AN425" s="423">
        <f t="shared" si="310"/>
        <v>0</v>
      </c>
      <c r="AO425" s="421">
        <f t="shared" si="311"/>
        <v>0</v>
      </c>
      <c r="AP425" s="472">
        <v>0</v>
      </c>
      <c r="AQ425" s="472">
        <v>0</v>
      </c>
      <c r="AR425" s="472">
        <v>0</v>
      </c>
      <c r="AS425" s="475">
        <v>0</v>
      </c>
      <c r="AT425" s="475">
        <v>0</v>
      </c>
      <c r="AU425" s="475">
        <v>0</v>
      </c>
      <c r="AV425" s="454">
        <f t="shared" si="312"/>
        <v>0</v>
      </c>
      <c r="AW425" s="421">
        <f t="shared" si="313"/>
        <v>0</v>
      </c>
      <c r="AX425" s="455">
        <f t="shared" si="329"/>
        <v>1</v>
      </c>
      <c r="AY425" s="424">
        <f t="shared" si="314"/>
        <v>0</v>
      </c>
      <c r="AZ425" s="424">
        <f t="shared" si="315"/>
        <v>0</v>
      </c>
      <c r="BA425" s="424">
        <f t="shared" si="316"/>
        <v>0</v>
      </c>
      <c r="BB425" s="424">
        <f t="shared" si="317"/>
        <v>0</v>
      </c>
      <c r="BC425" s="424">
        <f t="shared" si="318"/>
        <v>0</v>
      </c>
      <c r="BD425" s="424">
        <f t="shared" si="319"/>
        <v>0</v>
      </c>
      <c r="BE425" s="452">
        <f t="shared" si="320"/>
        <v>0</v>
      </c>
      <c r="BF425" s="448">
        <f t="shared" si="321"/>
        <v>0</v>
      </c>
      <c r="BG425" s="456">
        <f t="shared" si="322"/>
        <v>0</v>
      </c>
      <c r="BH425" s="457">
        <f t="shared" si="289"/>
        <v>0</v>
      </c>
      <c r="BI425" s="407" t="s">
        <v>1490</v>
      </c>
      <c r="BM425" s="429">
        <f>IF(BR425&gt;BR424,BM424,IF(BM424&lt;MiscData!$F$1,EOMONTH(BM424,1),EOMONTH(BM424,-11)))</f>
        <v>41973</v>
      </c>
      <c r="BN425" s="416" t="str">
        <f t="shared" si="290"/>
        <v>20140101KUCSR783</v>
      </c>
      <c r="BO425" s="427" t="str">
        <f t="shared" si="291"/>
        <v>20140101CSR30</v>
      </c>
      <c r="BP425" s="407">
        <f>IF(BM425&lt;=MiscData!$B$23,MiscData!$C$23,IF(BM425&lt;=MiscData!$B$24,MiscData!$C$24,MiscData!$C$25))</f>
        <v>20140101</v>
      </c>
      <c r="BQ425" s="407" t="str">
        <f>VLOOKUP(BR425,MiscData!$V$4:$W$42,2,FALSE)</f>
        <v>KUCSR783</v>
      </c>
      <c r="BR425" s="407">
        <f>IF(BR424=MiscData!$V$42,1,BR424+1)</f>
        <v>32</v>
      </c>
      <c r="BS425" s="407" t="str">
        <f>VLOOKUP(BQ425,MiscData!$W$4:$Y$42,3,FALSE)</f>
        <v>CSR30</v>
      </c>
    </row>
    <row r="426" spans="1:72" hidden="1">
      <c r="A426" s="416">
        <f>A424+1</f>
        <v>365</v>
      </c>
      <c r="B426" s="416" t="str">
        <f t="shared" si="286"/>
        <v>Nov 2014</v>
      </c>
      <c r="C426" s="837" t="s">
        <v>675</v>
      </c>
      <c r="D426" s="417" t="str">
        <f t="shared" si="287"/>
        <v>FLST</v>
      </c>
      <c r="E426" s="417" t="str">
        <f t="shared" si="288"/>
        <v>KUINE730</v>
      </c>
      <c r="F426" s="418">
        <f t="shared" si="292"/>
        <v>1</v>
      </c>
      <c r="G426" s="467">
        <v>0</v>
      </c>
      <c r="H426" s="418">
        <v>0</v>
      </c>
      <c r="I426" s="418">
        <v>0</v>
      </c>
      <c r="J426" s="418">
        <v>0</v>
      </c>
      <c r="K426" s="418">
        <f t="shared" si="293"/>
        <v>44497248</v>
      </c>
      <c r="L426" s="481">
        <v>0</v>
      </c>
      <c r="M426" s="443">
        <f t="shared" si="294"/>
        <v>185157.6</v>
      </c>
      <c r="N426" s="443">
        <f t="shared" si="295"/>
        <v>185157.6</v>
      </c>
      <c r="O426" s="443">
        <f t="shared" si="296"/>
        <v>101387.6</v>
      </c>
      <c r="P426" s="443">
        <f t="shared" si="297"/>
        <v>185157.6</v>
      </c>
      <c r="Q426" s="443">
        <f t="shared" si="298"/>
        <v>185157.6</v>
      </c>
      <c r="R426" s="443">
        <f t="shared" si="299"/>
        <v>101387.6</v>
      </c>
      <c r="S426" s="484">
        <v>0</v>
      </c>
      <c r="T426" s="484">
        <v>0</v>
      </c>
      <c r="U426" s="484">
        <v>0</v>
      </c>
      <c r="V426" s="490">
        <v>0</v>
      </c>
      <c r="W426" s="490">
        <v>0</v>
      </c>
      <c r="X426" s="490">
        <v>0</v>
      </c>
      <c r="Y426" s="419">
        <f t="shared" si="300"/>
        <v>750</v>
      </c>
      <c r="Z426" s="420">
        <f t="shared" si="301"/>
        <v>3.261E-2</v>
      </c>
      <c r="AA426" s="420">
        <v>0</v>
      </c>
      <c r="AB426" s="420">
        <v>0</v>
      </c>
      <c r="AC426" s="420">
        <f t="shared" si="302"/>
        <v>2.8920000000000001E-2</v>
      </c>
      <c r="AD426" s="419">
        <f t="shared" si="303"/>
        <v>1.05</v>
      </c>
      <c r="AE426" s="419">
        <f t="shared" si="304"/>
        <v>1.52</v>
      </c>
      <c r="AF426" s="419">
        <f t="shared" si="305"/>
        <v>2.41</v>
      </c>
      <c r="AG426" s="454">
        <f t="shared" si="306"/>
        <v>750</v>
      </c>
      <c r="AH426" s="454">
        <f t="shared" si="330"/>
        <v>1451055.26</v>
      </c>
      <c r="AI426" s="421">
        <f t="shared" si="307"/>
        <v>194415.48</v>
      </c>
      <c r="AJ426" s="421">
        <f t="shared" si="308"/>
        <v>281439.55</v>
      </c>
      <c r="AK426" s="421">
        <f t="shared" si="309"/>
        <v>244344.12</v>
      </c>
      <c r="AL426" s="472">
        <v>0</v>
      </c>
      <c r="AM426" s="422">
        <f t="shared" si="328"/>
        <v>0</v>
      </c>
      <c r="AN426" s="423">
        <f t="shared" si="310"/>
        <v>0</v>
      </c>
      <c r="AO426" s="421">
        <f t="shared" si="311"/>
        <v>720199.15</v>
      </c>
      <c r="AP426" s="472">
        <v>0</v>
      </c>
      <c r="AQ426" s="472">
        <v>0</v>
      </c>
      <c r="AR426" s="472">
        <v>0</v>
      </c>
      <c r="AS426" s="475">
        <v>0</v>
      </c>
      <c r="AT426" s="475">
        <v>0</v>
      </c>
      <c r="AU426" s="475">
        <v>0</v>
      </c>
      <c r="AV426" s="454">
        <f t="shared" si="312"/>
        <v>2172004.41</v>
      </c>
      <c r="AW426" s="421">
        <f t="shared" si="313"/>
        <v>2172005</v>
      </c>
      <c r="AX426" s="455">
        <f t="shared" si="329"/>
        <v>1.0000002716384908</v>
      </c>
      <c r="AY426" s="424">
        <f t="shared" si="314"/>
        <v>109000</v>
      </c>
      <c r="AZ426" s="424">
        <f t="shared" si="315"/>
        <v>0</v>
      </c>
      <c r="BA426" s="424">
        <f t="shared" si="316"/>
        <v>172077</v>
      </c>
      <c r="BB426" s="424">
        <f t="shared" si="317"/>
        <v>0</v>
      </c>
      <c r="BC426" s="424">
        <f t="shared" si="318"/>
        <v>0</v>
      </c>
      <c r="BD426" s="424">
        <f t="shared" si="319"/>
        <v>2453082</v>
      </c>
      <c r="BE426" s="452">
        <f t="shared" si="320"/>
        <v>2453081.41</v>
      </c>
      <c r="BF426" s="448">
        <f t="shared" si="321"/>
        <v>0.58999999985098839</v>
      </c>
      <c r="BG426" s="456">
        <f t="shared" si="322"/>
        <v>1286860.4099999999</v>
      </c>
      <c r="BH426" s="457">
        <f t="shared" si="289"/>
        <v>164194.85000000009</v>
      </c>
      <c r="BI426" s="407" t="s">
        <v>1490</v>
      </c>
      <c r="BM426" s="429">
        <f>IF(BR426&gt;BR425,BM425,IF(BM425&lt;MiscData!$F$1,EOMONTH(BM425,1),EOMONTH(BM425,-11)))</f>
        <v>41973</v>
      </c>
      <c r="BN426" s="416" t="str">
        <f t="shared" si="290"/>
        <v>20140101KUINE730</v>
      </c>
      <c r="BO426" s="427" t="str">
        <f t="shared" si="291"/>
        <v>20140101FLST</v>
      </c>
      <c r="BP426" s="407">
        <f>IF(BM426&lt;=MiscData!$B$23,MiscData!$C$23,IF(BM426&lt;=MiscData!$B$24,MiscData!$C$24,MiscData!$C$25))</f>
        <v>20140101</v>
      </c>
      <c r="BQ426" s="407" t="str">
        <f>VLOOKUP(BR426,MiscData!$V$4:$W$42,2,FALSE)</f>
        <v>KUINE730</v>
      </c>
      <c r="BR426" s="407">
        <f>IF(BR425=MiscData!$V$42,1,BR425+1)</f>
        <v>33</v>
      </c>
      <c r="BS426" s="407" t="str">
        <f>VLOOKUP(BQ426,MiscData!$W$4:$Y$42,3,FALSE)</f>
        <v>FLST</v>
      </c>
    </row>
    <row r="427" spans="1:72" hidden="1">
      <c r="A427" s="416">
        <f>A426+1</f>
        <v>366</v>
      </c>
      <c r="B427" s="416" t="str">
        <f t="shared" si="286"/>
        <v>Nov 2014</v>
      </c>
      <c r="C427" s="416" t="s">
        <v>15</v>
      </c>
      <c r="D427" s="417" t="str">
        <f t="shared" si="287"/>
        <v>RS</v>
      </c>
      <c r="E427" s="417" t="str">
        <f t="shared" si="288"/>
        <v>KURSE010</v>
      </c>
      <c r="F427" s="418">
        <f t="shared" si="292"/>
        <v>427782</v>
      </c>
      <c r="G427" s="467">
        <v>0</v>
      </c>
      <c r="H427" s="418">
        <v>0</v>
      </c>
      <c r="I427" s="418">
        <v>0</v>
      </c>
      <c r="J427" s="418">
        <v>0</v>
      </c>
      <c r="K427" s="418">
        <f t="shared" si="293"/>
        <v>412194813</v>
      </c>
      <c r="L427" s="481">
        <v>0</v>
      </c>
      <c r="M427" s="443">
        <f t="shared" si="294"/>
        <v>0</v>
      </c>
      <c r="N427" s="443">
        <f t="shared" si="295"/>
        <v>0</v>
      </c>
      <c r="O427" s="443">
        <f t="shared" si="296"/>
        <v>0</v>
      </c>
      <c r="P427" s="443">
        <f t="shared" si="297"/>
        <v>0</v>
      </c>
      <c r="Q427" s="443">
        <f t="shared" si="298"/>
        <v>0</v>
      </c>
      <c r="R427" s="443">
        <f t="shared" si="299"/>
        <v>0</v>
      </c>
      <c r="S427" s="484">
        <v>0</v>
      </c>
      <c r="T427" s="484">
        <v>0</v>
      </c>
      <c r="U427" s="484">
        <v>0</v>
      </c>
      <c r="V427" s="490">
        <v>0</v>
      </c>
      <c r="W427" s="490">
        <v>0</v>
      </c>
      <c r="X427" s="490">
        <v>0</v>
      </c>
      <c r="Y427" s="419">
        <f t="shared" si="300"/>
        <v>10.75</v>
      </c>
      <c r="Z427" s="420">
        <f t="shared" si="301"/>
        <v>7.7439999999999995E-2</v>
      </c>
      <c r="AA427" s="420">
        <v>0</v>
      </c>
      <c r="AB427" s="420">
        <v>0</v>
      </c>
      <c r="AC427" s="420">
        <f t="shared" si="302"/>
        <v>2.8920000000000001E-2</v>
      </c>
      <c r="AD427" s="419">
        <f t="shared" si="303"/>
        <v>0</v>
      </c>
      <c r="AE427" s="419">
        <f t="shared" si="304"/>
        <v>0</v>
      </c>
      <c r="AF427" s="419">
        <f t="shared" si="305"/>
        <v>0</v>
      </c>
      <c r="AG427" s="454">
        <f t="shared" si="306"/>
        <v>4598656.5</v>
      </c>
      <c r="AH427" s="454">
        <f t="shared" si="330"/>
        <v>31920366.32</v>
      </c>
      <c r="AI427" s="421">
        <f t="shared" si="307"/>
        <v>0</v>
      </c>
      <c r="AJ427" s="421">
        <f t="shared" si="308"/>
        <v>0</v>
      </c>
      <c r="AK427" s="421">
        <f t="shared" si="309"/>
        <v>0</v>
      </c>
      <c r="AL427" s="472">
        <v>0</v>
      </c>
      <c r="AM427" s="422">
        <f t="shared" si="328"/>
        <v>0</v>
      </c>
      <c r="AN427" s="423">
        <f t="shared" si="310"/>
        <v>0</v>
      </c>
      <c r="AO427" s="421">
        <f t="shared" si="311"/>
        <v>0</v>
      </c>
      <c r="AP427" s="472">
        <v>0</v>
      </c>
      <c r="AQ427" s="472">
        <v>0</v>
      </c>
      <c r="AR427" s="472">
        <v>0</v>
      </c>
      <c r="AS427" s="475">
        <v>0</v>
      </c>
      <c r="AT427" s="475">
        <v>0</v>
      </c>
      <c r="AU427" s="475">
        <v>0</v>
      </c>
      <c r="AV427" s="454">
        <f t="shared" si="312"/>
        <v>36519022.82</v>
      </c>
      <c r="AW427" s="421">
        <f t="shared" si="313"/>
        <v>36519024</v>
      </c>
      <c r="AX427" s="455">
        <f t="shared" si="329"/>
        <v>1.0000000323119269</v>
      </c>
      <c r="AY427" s="424">
        <f t="shared" si="314"/>
        <v>1009706</v>
      </c>
      <c r="AZ427" s="424">
        <f t="shared" si="315"/>
        <v>833836</v>
      </c>
      <c r="BA427" s="424">
        <f t="shared" si="316"/>
        <v>1594018</v>
      </c>
      <c r="BB427" s="424">
        <f t="shared" si="317"/>
        <v>0</v>
      </c>
      <c r="BC427" s="424">
        <f t="shared" si="318"/>
        <v>0</v>
      </c>
      <c r="BD427" s="424">
        <f t="shared" si="319"/>
        <v>39956584</v>
      </c>
      <c r="BE427" s="452">
        <f t="shared" si="320"/>
        <v>39956582.82</v>
      </c>
      <c r="BF427" s="448">
        <f t="shared" si="321"/>
        <v>1.1799999997019768</v>
      </c>
      <c r="BG427" s="456">
        <f t="shared" si="322"/>
        <v>11920673.99</v>
      </c>
      <c r="BH427" s="457">
        <f t="shared" si="289"/>
        <v>19999692.329999998</v>
      </c>
      <c r="BI427" s="407" t="s">
        <v>1490</v>
      </c>
      <c r="BM427" s="429">
        <f>IF(BR427&gt;BR426,BM426,IF(BM426&lt;MiscData!$F$1,EOMONTH(BM426,1),EOMONTH(BM426,-11)))</f>
        <v>41973</v>
      </c>
      <c r="BN427" s="416" t="str">
        <f t="shared" si="290"/>
        <v>20140101KURSE010</v>
      </c>
      <c r="BO427" s="427" t="str">
        <f t="shared" si="291"/>
        <v>20140101RS</v>
      </c>
      <c r="BP427" s="407">
        <f>IF(BM427&lt;=MiscData!$B$23,MiscData!$C$23,IF(BM427&lt;=MiscData!$B$24,MiscData!$C$24,MiscData!$C$25))</f>
        <v>20140101</v>
      </c>
      <c r="BQ427" s="407" t="str">
        <f>VLOOKUP(BR427,MiscData!$V$4:$W$42,2,FALSE)</f>
        <v>KURSE010</v>
      </c>
      <c r="BR427" s="407">
        <f>IF(BR426=MiscData!$V$42,1,BR426+1)</f>
        <v>34</v>
      </c>
      <c r="BS427" s="407" t="str">
        <f>VLOOKUP(BQ427,MiscData!$W$4:$Y$42,3,FALSE)</f>
        <v>RS</v>
      </c>
    </row>
    <row r="428" spans="1:72" hidden="1">
      <c r="A428" s="416">
        <f>A386+1</f>
        <v>354</v>
      </c>
      <c r="B428" s="416" t="str">
        <f t="shared" si="286"/>
        <v>Nov 2014</v>
      </c>
      <c r="C428" s="416" t="s">
        <v>15</v>
      </c>
      <c r="D428" s="417" t="str">
        <f t="shared" si="287"/>
        <v>RS</v>
      </c>
      <c r="E428" s="417" t="str">
        <f t="shared" si="288"/>
        <v>KURSE020</v>
      </c>
      <c r="F428" s="418">
        <f t="shared" si="292"/>
        <v>0</v>
      </c>
      <c r="G428" s="467">
        <v>0</v>
      </c>
      <c r="H428" s="418">
        <v>0</v>
      </c>
      <c r="I428" s="418">
        <v>0</v>
      </c>
      <c r="J428" s="418">
        <v>0</v>
      </c>
      <c r="K428" s="418">
        <f t="shared" si="293"/>
        <v>0</v>
      </c>
      <c r="L428" s="481">
        <v>0</v>
      </c>
      <c r="M428" s="443">
        <f t="shared" si="294"/>
        <v>0</v>
      </c>
      <c r="N428" s="443">
        <f t="shared" si="295"/>
        <v>0</v>
      </c>
      <c r="O428" s="443">
        <f t="shared" si="296"/>
        <v>0</v>
      </c>
      <c r="P428" s="443">
        <f t="shared" si="297"/>
        <v>0</v>
      </c>
      <c r="Q428" s="443">
        <f t="shared" si="298"/>
        <v>0</v>
      </c>
      <c r="R428" s="443">
        <f t="shared" si="299"/>
        <v>0</v>
      </c>
      <c r="S428" s="484">
        <v>0</v>
      </c>
      <c r="T428" s="484">
        <v>0</v>
      </c>
      <c r="U428" s="484">
        <v>0</v>
      </c>
      <c r="V428" s="490">
        <v>0</v>
      </c>
      <c r="W428" s="490">
        <v>0</v>
      </c>
      <c r="X428" s="490">
        <v>0</v>
      </c>
      <c r="Y428" s="419">
        <f t="shared" si="300"/>
        <v>10.75</v>
      </c>
      <c r="Z428" s="420">
        <f t="shared" si="301"/>
        <v>7.7439999999999995E-2</v>
      </c>
      <c r="AA428" s="420">
        <v>0</v>
      </c>
      <c r="AB428" s="420">
        <v>0</v>
      </c>
      <c r="AC428" s="420">
        <f t="shared" si="302"/>
        <v>2.8920000000000001E-2</v>
      </c>
      <c r="AD428" s="419">
        <f t="shared" si="303"/>
        <v>0</v>
      </c>
      <c r="AE428" s="419">
        <f t="shared" si="304"/>
        <v>0</v>
      </c>
      <c r="AF428" s="419">
        <f t="shared" si="305"/>
        <v>0</v>
      </c>
      <c r="AG428" s="454">
        <f t="shared" si="306"/>
        <v>0</v>
      </c>
      <c r="AH428" s="454">
        <f t="shared" si="330"/>
        <v>0</v>
      </c>
      <c r="AI428" s="421">
        <f t="shared" si="307"/>
        <v>0</v>
      </c>
      <c r="AJ428" s="421">
        <f t="shared" si="308"/>
        <v>0</v>
      </c>
      <c r="AK428" s="421">
        <f t="shared" si="309"/>
        <v>0</v>
      </c>
      <c r="AL428" s="472">
        <v>0</v>
      </c>
      <c r="AM428" s="422">
        <f t="shared" si="328"/>
        <v>0</v>
      </c>
      <c r="AN428" s="423">
        <f t="shared" si="310"/>
        <v>0</v>
      </c>
      <c r="AO428" s="421">
        <f t="shared" si="311"/>
        <v>0</v>
      </c>
      <c r="AP428" s="472">
        <v>0</v>
      </c>
      <c r="AQ428" s="472">
        <v>0</v>
      </c>
      <c r="AR428" s="472">
        <v>0</v>
      </c>
      <c r="AS428" s="475">
        <v>0</v>
      </c>
      <c r="AT428" s="475">
        <v>0</v>
      </c>
      <c r="AU428" s="475">
        <v>0</v>
      </c>
      <c r="AV428" s="454">
        <f t="shared" si="312"/>
        <v>0</v>
      </c>
      <c r="AW428" s="421">
        <f t="shared" si="313"/>
        <v>0</v>
      </c>
      <c r="AX428" s="455">
        <f t="shared" si="329"/>
        <v>1</v>
      </c>
      <c r="AY428" s="424">
        <f t="shared" si="314"/>
        <v>0</v>
      </c>
      <c r="AZ428" s="424">
        <f t="shared" si="315"/>
        <v>0</v>
      </c>
      <c r="BA428" s="424">
        <f t="shared" si="316"/>
        <v>0</v>
      </c>
      <c r="BB428" s="424">
        <f t="shared" si="317"/>
        <v>0</v>
      </c>
      <c r="BC428" s="424">
        <f t="shared" si="318"/>
        <v>0</v>
      </c>
      <c r="BD428" s="424">
        <f t="shared" si="319"/>
        <v>0</v>
      </c>
      <c r="BE428" s="452">
        <f t="shared" si="320"/>
        <v>0</v>
      </c>
      <c r="BF428" s="448">
        <f t="shared" si="321"/>
        <v>0</v>
      </c>
      <c r="BG428" s="456">
        <f t="shared" si="322"/>
        <v>0</v>
      </c>
      <c r="BH428" s="457">
        <f t="shared" si="289"/>
        <v>0</v>
      </c>
      <c r="BI428" s="407" t="s">
        <v>1490</v>
      </c>
      <c r="BM428" s="429">
        <f>IF(BR428&gt;BR427,BM427,IF(BM427&lt;MiscData!$F$1,EOMONTH(BM427,1),EOMONTH(BM427,-11)))</f>
        <v>41973</v>
      </c>
      <c r="BN428" s="416" t="str">
        <f t="shared" si="290"/>
        <v>20140101KURSE020</v>
      </c>
      <c r="BO428" s="427" t="str">
        <f t="shared" si="291"/>
        <v>20140101RS</v>
      </c>
      <c r="BP428" s="407">
        <f>IF(BM428&lt;=MiscData!$B$23,MiscData!$C$23,IF(BM428&lt;=MiscData!$B$24,MiscData!$C$24,MiscData!$C$25))</f>
        <v>20140101</v>
      </c>
      <c r="BQ428" s="407" t="str">
        <f>VLOOKUP(BR428,MiscData!$V$4:$W$42,2,FALSE)</f>
        <v>KURSE020</v>
      </c>
      <c r="BR428" s="407">
        <f>IF(BR427=MiscData!$V$42,1,BR427+1)</f>
        <v>35</v>
      </c>
      <c r="BS428" s="407" t="str">
        <f>VLOOKUP(BQ428,MiscData!$W$4:$Y$42,3,FALSE)</f>
        <v>RS</v>
      </c>
    </row>
    <row r="429" spans="1:72" hidden="1">
      <c r="A429" s="416">
        <f t="shared" ref="A429:A437" si="331">A411+1</f>
        <v>355</v>
      </c>
      <c r="B429" s="416" t="str">
        <f t="shared" si="286"/>
        <v>Nov 2014</v>
      </c>
      <c r="C429" s="416" t="s">
        <v>15</v>
      </c>
      <c r="D429" s="417" t="str">
        <f t="shared" si="287"/>
        <v>RS</v>
      </c>
      <c r="E429" s="417" t="str">
        <f t="shared" si="288"/>
        <v>KURSE025</v>
      </c>
      <c r="F429" s="418">
        <f t="shared" si="292"/>
        <v>0</v>
      </c>
      <c r="G429" s="467">
        <v>0</v>
      </c>
      <c r="H429" s="418">
        <v>0</v>
      </c>
      <c r="I429" s="418">
        <v>0</v>
      </c>
      <c r="J429" s="418">
        <v>0</v>
      </c>
      <c r="K429" s="418">
        <f t="shared" si="293"/>
        <v>0</v>
      </c>
      <c r="L429" s="481">
        <v>0</v>
      </c>
      <c r="M429" s="443">
        <f t="shared" si="294"/>
        <v>0</v>
      </c>
      <c r="N429" s="443">
        <f t="shared" si="295"/>
        <v>0</v>
      </c>
      <c r="O429" s="443">
        <f t="shared" si="296"/>
        <v>0</v>
      </c>
      <c r="P429" s="443">
        <f t="shared" si="297"/>
        <v>0</v>
      </c>
      <c r="Q429" s="443">
        <f t="shared" si="298"/>
        <v>0</v>
      </c>
      <c r="R429" s="443">
        <f t="shared" si="299"/>
        <v>0</v>
      </c>
      <c r="S429" s="484">
        <v>0</v>
      </c>
      <c r="T429" s="484">
        <v>0</v>
      </c>
      <c r="U429" s="484">
        <v>0</v>
      </c>
      <c r="V429" s="490">
        <v>0</v>
      </c>
      <c r="W429" s="490">
        <v>0</v>
      </c>
      <c r="X429" s="490">
        <v>0</v>
      </c>
      <c r="Y429" s="419">
        <f t="shared" si="300"/>
        <v>10.75</v>
      </c>
      <c r="Z429" s="420">
        <f t="shared" si="301"/>
        <v>7.7439999999999995E-2</v>
      </c>
      <c r="AA429" s="420">
        <v>0</v>
      </c>
      <c r="AB429" s="420">
        <v>0</v>
      </c>
      <c r="AC429" s="420">
        <f t="shared" si="302"/>
        <v>2.8920000000000001E-2</v>
      </c>
      <c r="AD429" s="419">
        <f t="shared" si="303"/>
        <v>0</v>
      </c>
      <c r="AE429" s="419">
        <f t="shared" si="304"/>
        <v>0</v>
      </c>
      <c r="AF429" s="419">
        <f t="shared" si="305"/>
        <v>0</v>
      </c>
      <c r="AG429" s="454">
        <f t="shared" si="306"/>
        <v>0</v>
      </c>
      <c r="AH429" s="454">
        <f t="shared" si="330"/>
        <v>0</v>
      </c>
      <c r="AI429" s="421">
        <f t="shared" si="307"/>
        <v>0</v>
      </c>
      <c r="AJ429" s="421">
        <f t="shared" si="308"/>
        <v>0</v>
      </c>
      <c r="AK429" s="421">
        <f t="shared" si="309"/>
        <v>0</v>
      </c>
      <c r="AL429" s="472">
        <v>0</v>
      </c>
      <c r="AM429" s="422">
        <f t="shared" si="328"/>
        <v>0</v>
      </c>
      <c r="AN429" s="423">
        <f t="shared" si="310"/>
        <v>0</v>
      </c>
      <c r="AO429" s="421">
        <f t="shared" si="311"/>
        <v>0</v>
      </c>
      <c r="AP429" s="472">
        <v>0</v>
      </c>
      <c r="AQ429" s="472">
        <v>0</v>
      </c>
      <c r="AR429" s="472">
        <v>0</v>
      </c>
      <c r="AS429" s="475">
        <v>0</v>
      </c>
      <c r="AT429" s="475">
        <v>0</v>
      </c>
      <c r="AU429" s="475">
        <v>0</v>
      </c>
      <c r="AV429" s="454">
        <f t="shared" si="312"/>
        <v>0</v>
      </c>
      <c r="AW429" s="421">
        <f t="shared" si="313"/>
        <v>0</v>
      </c>
      <c r="AX429" s="455">
        <f t="shared" si="329"/>
        <v>1</v>
      </c>
      <c r="AY429" s="424">
        <f t="shared" si="314"/>
        <v>0</v>
      </c>
      <c r="AZ429" s="424">
        <f t="shared" si="315"/>
        <v>0</v>
      </c>
      <c r="BA429" s="424">
        <f t="shared" si="316"/>
        <v>0</v>
      </c>
      <c r="BB429" s="424">
        <f t="shared" si="317"/>
        <v>0</v>
      </c>
      <c r="BC429" s="424">
        <f t="shared" si="318"/>
        <v>0</v>
      </c>
      <c r="BD429" s="424">
        <f t="shared" si="319"/>
        <v>0</v>
      </c>
      <c r="BE429" s="452">
        <f t="shared" si="320"/>
        <v>0</v>
      </c>
      <c r="BF429" s="448">
        <f t="shared" si="321"/>
        <v>0</v>
      </c>
      <c r="BG429" s="456">
        <f t="shared" si="322"/>
        <v>0</v>
      </c>
      <c r="BH429" s="457">
        <f t="shared" si="289"/>
        <v>0</v>
      </c>
      <c r="BI429" s="407" t="s">
        <v>1490</v>
      </c>
      <c r="BM429" s="429">
        <f>IF(BR429&gt;BR428,BM428,IF(BM428&lt;MiscData!$F$1,EOMONTH(BM428,1),EOMONTH(BM428,-11)))</f>
        <v>41973</v>
      </c>
      <c r="BN429" s="416" t="str">
        <f t="shared" si="290"/>
        <v>20140101KURSE025</v>
      </c>
      <c r="BO429" s="427" t="str">
        <f t="shared" si="291"/>
        <v>20140101RS</v>
      </c>
      <c r="BP429" s="407">
        <f>IF(BM429&lt;=MiscData!$B$23,MiscData!$C$23,IF(BM429&lt;=MiscData!$B$24,MiscData!$C$24,MiscData!$C$25))</f>
        <v>20140101</v>
      </c>
      <c r="BQ429" s="407" t="str">
        <f>VLOOKUP(BR429,MiscData!$V$4:$W$42,2,FALSE)</f>
        <v>KURSE025</v>
      </c>
      <c r="BR429" s="407">
        <f>IF(BR428=MiscData!$V$42,1,BR428+1)</f>
        <v>36</v>
      </c>
      <c r="BS429" s="407" t="str">
        <f>VLOOKUP(BQ429,MiscData!$W$4:$Y$42,3,FALSE)</f>
        <v>RS</v>
      </c>
    </row>
    <row r="430" spans="1:72" hidden="1">
      <c r="A430" s="416">
        <f t="shared" si="331"/>
        <v>356</v>
      </c>
      <c r="B430" s="416" t="str">
        <f t="shared" si="286"/>
        <v>Nov 2014</v>
      </c>
      <c r="C430" s="416" t="s">
        <v>807</v>
      </c>
      <c r="D430" s="417" t="str">
        <f t="shared" si="287"/>
        <v>RSLEV</v>
      </c>
      <c r="E430" s="417" t="str">
        <f t="shared" si="288"/>
        <v>KURSE040</v>
      </c>
      <c r="F430" s="418">
        <f t="shared" si="292"/>
        <v>0</v>
      </c>
      <c r="G430" s="467">
        <v>0</v>
      </c>
      <c r="H430" s="418">
        <f>SUMIFS(_1022_KWH_P1,_1022_RevenueMonth,$B430,_1022_RateCategory,$E430)</f>
        <v>0</v>
      </c>
      <c r="I430" s="418">
        <f>SUMIFS(_1022_KWH_P2,_1022_RevenueMonth,$B430,_1022_RateCategory,$E430)</f>
        <v>0</v>
      </c>
      <c r="J430" s="418">
        <f>SUMIFS(_1022_KWH_P3,_1022_RevenueMonth,$B430,_1022_RateCategory,$E430)</f>
        <v>0</v>
      </c>
      <c r="K430" s="418">
        <f t="shared" si="293"/>
        <v>0</v>
      </c>
      <c r="L430" s="481">
        <v>0</v>
      </c>
      <c r="M430" s="443">
        <f t="shared" si="294"/>
        <v>0</v>
      </c>
      <c r="N430" s="443">
        <f t="shared" si="295"/>
        <v>0</v>
      </c>
      <c r="O430" s="443">
        <f t="shared" si="296"/>
        <v>0</v>
      </c>
      <c r="P430" s="443">
        <f t="shared" si="297"/>
        <v>0</v>
      </c>
      <c r="Q430" s="443">
        <f t="shared" si="298"/>
        <v>0</v>
      </c>
      <c r="R430" s="443">
        <f t="shared" si="299"/>
        <v>0</v>
      </c>
      <c r="S430" s="484">
        <v>0</v>
      </c>
      <c r="T430" s="484">
        <v>0</v>
      </c>
      <c r="U430" s="484">
        <v>0</v>
      </c>
      <c r="V430" s="490">
        <v>0</v>
      </c>
      <c r="W430" s="490">
        <v>0</v>
      </c>
      <c r="X430" s="490">
        <v>0</v>
      </c>
      <c r="Y430" s="419">
        <f t="shared" si="300"/>
        <v>10.75</v>
      </c>
      <c r="Z430" s="420">
        <f t="shared" si="301"/>
        <v>5.5870000000000003E-2</v>
      </c>
      <c r="AA430" s="420">
        <f>SUMIF(_Rates_Tariff_Category,$BN430,_Rates_Energy_P2)</f>
        <v>7.7630000000000005E-2</v>
      </c>
      <c r="AB430" s="420">
        <f>SUMIF(_Rates_Tariff_Category,$BN430,_Rates_Energy_P3)</f>
        <v>0.14297000000000001</v>
      </c>
      <c r="AC430" s="420">
        <f t="shared" si="302"/>
        <v>2.8920000000000001E-2</v>
      </c>
      <c r="AD430" s="419">
        <f t="shared" si="303"/>
        <v>0</v>
      </c>
      <c r="AE430" s="419">
        <f t="shared" si="304"/>
        <v>0</v>
      </c>
      <c r="AF430" s="419">
        <f t="shared" si="305"/>
        <v>0</v>
      </c>
      <c r="AG430" s="454">
        <f t="shared" si="306"/>
        <v>0</v>
      </c>
      <c r="AH430" s="454">
        <f t="shared" si="330"/>
        <v>0</v>
      </c>
      <c r="AI430" s="421">
        <f t="shared" si="307"/>
        <v>0</v>
      </c>
      <c r="AJ430" s="421">
        <f t="shared" si="308"/>
        <v>0</v>
      </c>
      <c r="AK430" s="421">
        <f t="shared" si="309"/>
        <v>0</v>
      </c>
      <c r="AL430" s="472">
        <v>0</v>
      </c>
      <c r="AM430" s="422">
        <f t="shared" si="328"/>
        <v>0</v>
      </c>
      <c r="AN430" s="423">
        <f t="shared" si="310"/>
        <v>0</v>
      </c>
      <c r="AO430" s="421">
        <f t="shared" si="311"/>
        <v>0</v>
      </c>
      <c r="AP430" s="472">
        <v>0</v>
      </c>
      <c r="AQ430" s="472">
        <v>0</v>
      </c>
      <c r="AR430" s="472">
        <v>0</v>
      </c>
      <c r="AS430" s="475">
        <v>0</v>
      </c>
      <c r="AT430" s="475">
        <v>0</v>
      </c>
      <c r="AU430" s="475">
        <v>0</v>
      </c>
      <c r="AV430" s="454">
        <f t="shared" si="312"/>
        <v>0</v>
      </c>
      <c r="AW430" s="421">
        <f t="shared" si="313"/>
        <v>0</v>
      </c>
      <c r="AX430" s="455">
        <f t="shared" si="329"/>
        <v>1</v>
      </c>
      <c r="AY430" s="424">
        <f t="shared" si="314"/>
        <v>0</v>
      </c>
      <c r="AZ430" s="424">
        <f t="shared" si="315"/>
        <v>0</v>
      </c>
      <c r="BA430" s="424">
        <f t="shared" si="316"/>
        <v>0</v>
      </c>
      <c r="BB430" s="424">
        <f t="shared" si="317"/>
        <v>0</v>
      </c>
      <c r="BC430" s="424">
        <f t="shared" si="318"/>
        <v>0</v>
      </c>
      <c r="BD430" s="424">
        <f t="shared" si="319"/>
        <v>0</v>
      </c>
      <c r="BE430" s="452">
        <f t="shared" si="320"/>
        <v>0</v>
      </c>
      <c r="BF430" s="448">
        <f t="shared" si="321"/>
        <v>0</v>
      </c>
      <c r="BG430" s="456">
        <f t="shared" si="322"/>
        <v>0</v>
      </c>
      <c r="BH430" s="457">
        <f t="shared" si="289"/>
        <v>0</v>
      </c>
      <c r="BI430" s="407" t="s">
        <v>1490</v>
      </c>
      <c r="BM430" s="429">
        <f>IF(BR430&gt;BR429,BM429,IF(BM429&lt;MiscData!$F$1,EOMONTH(BM429,1),EOMONTH(BM429,-11)))</f>
        <v>41973</v>
      </c>
      <c r="BN430" s="416" t="str">
        <f t="shared" si="290"/>
        <v>20140101KURSE040</v>
      </c>
      <c r="BO430" s="427" t="str">
        <f t="shared" si="291"/>
        <v>20140101RSLEV</v>
      </c>
      <c r="BP430" s="407">
        <f>IF(BM430&lt;=MiscData!$B$23,MiscData!$C$23,IF(BM430&lt;=MiscData!$B$24,MiscData!$C$24,MiscData!$C$25))</f>
        <v>20140101</v>
      </c>
      <c r="BQ430" s="407" t="str">
        <f>VLOOKUP(BR430,MiscData!$V$4:$W$42,2,FALSE)</f>
        <v>KURSE040</v>
      </c>
      <c r="BR430" s="407">
        <f>IF(BR429=MiscData!$V$42,1,BR429+1)</f>
        <v>37</v>
      </c>
      <c r="BS430" s="407" t="str">
        <f>VLOOKUP(BQ430,MiscData!$W$4:$Y$42,3,FALSE)</f>
        <v>RSLEV</v>
      </c>
    </row>
    <row r="431" spans="1:72" hidden="1">
      <c r="A431" s="416">
        <f t="shared" si="331"/>
        <v>357</v>
      </c>
      <c r="B431" s="416" t="str">
        <f t="shared" si="286"/>
        <v>Nov 2014</v>
      </c>
      <c r="C431" s="416" t="s">
        <v>15</v>
      </c>
      <c r="D431" s="417" t="str">
        <f t="shared" si="287"/>
        <v>RSVFD</v>
      </c>
      <c r="E431" s="417" t="str">
        <f t="shared" si="288"/>
        <v>KURSE080</v>
      </c>
      <c r="F431" s="418">
        <f t="shared" si="292"/>
        <v>0</v>
      </c>
      <c r="G431" s="467">
        <v>0</v>
      </c>
      <c r="H431" s="418">
        <v>0</v>
      </c>
      <c r="I431" s="418">
        <v>0</v>
      </c>
      <c r="J431" s="418">
        <v>0</v>
      </c>
      <c r="K431" s="418">
        <f t="shared" si="293"/>
        <v>0</v>
      </c>
      <c r="L431" s="481">
        <v>0</v>
      </c>
      <c r="M431" s="443">
        <f t="shared" si="294"/>
        <v>0</v>
      </c>
      <c r="N431" s="443">
        <f t="shared" si="295"/>
        <v>0</v>
      </c>
      <c r="O431" s="443">
        <f t="shared" si="296"/>
        <v>0</v>
      </c>
      <c r="P431" s="443">
        <f t="shared" si="297"/>
        <v>0</v>
      </c>
      <c r="Q431" s="443">
        <f t="shared" si="298"/>
        <v>0</v>
      </c>
      <c r="R431" s="443">
        <f t="shared" si="299"/>
        <v>0</v>
      </c>
      <c r="S431" s="484">
        <v>0</v>
      </c>
      <c r="T431" s="484">
        <v>0</v>
      </c>
      <c r="U431" s="484">
        <v>0</v>
      </c>
      <c r="V431" s="490">
        <v>0</v>
      </c>
      <c r="W431" s="490">
        <v>0</v>
      </c>
      <c r="X431" s="490">
        <v>0</v>
      </c>
      <c r="Y431" s="419">
        <f t="shared" si="300"/>
        <v>10.75</v>
      </c>
      <c r="Z431" s="420">
        <f t="shared" si="301"/>
        <v>7.7439999999999995E-2</v>
      </c>
      <c r="AA431" s="420">
        <v>0</v>
      </c>
      <c r="AB431" s="420">
        <v>0</v>
      </c>
      <c r="AC431" s="420">
        <f t="shared" si="302"/>
        <v>2.8920000000000001E-2</v>
      </c>
      <c r="AD431" s="419">
        <f t="shared" si="303"/>
        <v>0</v>
      </c>
      <c r="AE431" s="419">
        <f t="shared" si="304"/>
        <v>0</v>
      </c>
      <c r="AF431" s="419">
        <f t="shared" si="305"/>
        <v>0</v>
      </c>
      <c r="AG431" s="454">
        <f t="shared" si="306"/>
        <v>0</v>
      </c>
      <c r="AH431" s="454">
        <f t="shared" si="330"/>
        <v>0</v>
      </c>
      <c r="AI431" s="421">
        <f t="shared" si="307"/>
        <v>0</v>
      </c>
      <c r="AJ431" s="421">
        <f t="shared" si="308"/>
        <v>0</v>
      </c>
      <c r="AK431" s="421">
        <f t="shared" si="309"/>
        <v>0</v>
      </c>
      <c r="AL431" s="472">
        <v>0</v>
      </c>
      <c r="AM431" s="422">
        <f t="shared" si="328"/>
        <v>0</v>
      </c>
      <c r="AN431" s="423">
        <f t="shared" si="310"/>
        <v>0</v>
      </c>
      <c r="AO431" s="421">
        <f t="shared" si="311"/>
        <v>0</v>
      </c>
      <c r="AP431" s="472">
        <v>0</v>
      </c>
      <c r="AQ431" s="472">
        <v>0</v>
      </c>
      <c r="AR431" s="472">
        <v>0</v>
      </c>
      <c r="AS431" s="475">
        <v>0</v>
      </c>
      <c r="AT431" s="475">
        <v>0</v>
      </c>
      <c r="AU431" s="475">
        <v>0</v>
      </c>
      <c r="AV431" s="454">
        <f t="shared" si="312"/>
        <v>0</v>
      </c>
      <c r="AW431" s="421">
        <f t="shared" si="313"/>
        <v>0</v>
      </c>
      <c r="AX431" s="455">
        <f t="shared" si="329"/>
        <v>1</v>
      </c>
      <c r="AY431" s="424">
        <f t="shared" si="314"/>
        <v>0</v>
      </c>
      <c r="AZ431" s="424">
        <f t="shared" si="315"/>
        <v>0</v>
      </c>
      <c r="BA431" s="424">
        <f t="shared" si="316"/>
        <v>0</v>
      </c>
      <c r="BB431" s="424">
        <f t="shared" si="317"/>
        <v>0</v>
      </c>
      <c r="BC431" s="424">
        <f t="shared" si="318"/>
        <v>0</v>
      </c>
      <c r="BD431" s="424">
        <f t="shared" si="319"/>
        <v>0</v>
      </c>
      <c r="BE431" s="452">
        <f t="shared" si="320"/>
        <v>0</v>
      </c>
      <c r="BF431" s="448">
        <f t="shared" si="321"/>
        <v>0</v>
      </c>
      <c r="BG431" s="456">
        <f t="shared" si="322"/>
        <v>0</v>
      </c>
      <c r="BH431" s="457">
        <f t="shared" si="289"/>
        <v>0</v>
      </c>
      <c r="BI431" s="407" t="s">
        <v>1490</v>
      </c>
      <c r="BM431" s="429">
        <f>IF(BR431&gt;BR430,BM430,IF(BM430&lt;MiscData!$F$1,EOMONTH(BM430,1),EOMONTH(BM430,-11)))</f>
        <v>41973</v>
      </c>
      <c r="BN431" s="416" t="str">
        <f t="shared" si="290"/>
        <v>20140101KURSE080</v>
      </c>
      <c r="BO431" s="427" t="str">
        <f t="shared" si="291"/>
        <v>20140101RSVFD</v>
      </c>
      <c r="BP431" s="407">
        <f>IF(BM431&lt;=MiscData!$B$23,MiscData!$C$23,IF(BM431&lt;=MiscData!$B$24,MiscData!$C$24,MiscData!$C$25))</f>
        <v>20140101</v>
      </c>
      <c r="BQ431" s="407" t="str">
        <f>VLOOKUP(BR431,MiscData!$V$4:$W$42,2,FALSE)</f>
        <v>KURSE080</v>
      </c>
      <c r="BR431" s="407">
        <f>IF(BR430=MiscData!$V$42,1,BR430+1)</f>
        <v>38</v>
      </c>
      <c r="BS431" s="407" t="str">
        <f>VLOOKUP(BQ431,MiscData!$W$4:$Y$42,3,FALSE)</f>
        <v>RSVFD</v>
      </c>
    </row>
    <row r="432" spans="1:72" s="486" customFormat="1" hidden="1">
      <c r="A432" s="464">
        <f t="shared" si="331"/>
        <v>358</v>
      </c>
      <c r="B432" s="464" t="str">
        <f t="shared" si="286"/>
        <v>Nov 2014</v>
      </c>
      <c r="C432" s="464" t="s">
        <v>15</v>
      </c>
      <c r="D432" s="465" t="str">
        <f t="shared" si="287"/>
        <v>RS</v>
      </c>
      <c r="E432" s="465" t="str">
        <f t="shared" si="288"/>
        <v>KURSE715</v>
      </c>
      <c r="F432" s="466">
        <f t="shared" si="292"/>
        <v>0</v>
      </c>
      <c r="G432" s="467">
        <v>0</v>
      </c>
      <c r="H432" s="466">
        <v>0</v>
      </c>
      <c r="I432" s="466">
        <v>0</v>
      </c>
      <c r="J432" s="466">
        <v>0</v>
      </c>
      <c r="K432" s="466">
        <f t="shared" si="293"/>
        <v>0</v>
      </c>
      <c r="L432" s="481">
        <v>0</v>
      </c>
      <c r="M432" s="469">
        <f t="shared" si="294"/>
        <v>0</v>
      </c>
      <c r="N432" s="469">
        <f t="shared" si="295"/>
        <v>0</v>
      </c>
      <c r="O432" s="469">
        <f t="shared" si="296"/>
        <v>0</v>
      </c>
      <c r="P432" s="469">
        <f t="shared" si="297"/>
        <v>0</v>
      </c>
      <c r="Q432" s="469">
        <f t="shared" si="298"/>
        <v>0</v>
      </c>
      <c r="R432" s="469">
        <f t="shared" si="299"/>
        <v>0</v>
      </c>
      <c r="S432" s="484">
        <v>0</v>
      </c>
      <c r="T432" s="484">
        <v>0</v>
      </c>
      <c r="U432" s="484">
        <v>0</v>
      </c>
      <c r="V432" s="490">
        <v>0</v>
      </c>
      <c r="W432" s="490">
        <v>0</v>
      </c>
      <c r="X432" s="490">
        <v>0</v>
      </c>
      <c r="Y432" s="470">
        <f t="shared" si="300"/>
        <v>10.75</v>
      </c>
      <c r="Z432" s="471">
        <f t="shared" si="301"/>
        <v>7.7439999999999995E-2</v>
      </c>
      <c r="AA432" s="471">
        <v>0</v>
      </c>
      <c r="AB432" s="471">
        <v>0</v>
      </c>
      <c r="AC432" s="471">
        <f t="shared" si="302"/>
        <v>2.8920000000000001E-2</v>
      </c>
      <c r="AD432" s="470">
        <f t="shared" si="303"/>
        <v>0</v>
      </c>
      <c r="AE432" s="470">
        <f t="shared" si="304"/>
        <v>0</v>
      </c>
      <c r="AF432" s="470">
        <f t="shared" si="305"/>
        <v>0</v>
      </c>
      <c r="AG432" s="454">
        <f t="shared" si="306"/>
        <v>0</v>
      </c>
      <c r="AH432" s="454">
        <f t="shared" si="330"/>
        <v>0</v>
      </c>
      <c r="AI432" s="454">
        <f t="shared" si="307"/>
        <v>0</v>
      </c>
      <c r="AJ432" s="454">
        <f t="shared" si="308"/>
        <v>0</v>
      </c>
      <c r="AK432" s="454">
        <f t="shared" si="309"/>
        <v>0</v>
      </c>
      <c r="AL432" s="472">
        <v>0</v>
      </c>
      <c r="AM432" s="473">
        <f t="shared" si="328"/>
        <v>0</v>
      </c>
      <c r="AN432" s="474">
        <f t="shared" si="310"/>
        <v>0</v>
      </c>
      <c r="AO432" s="454">
        <f t="shared" si="311"/>
        <v>0</v>
      </c>
      <c r="AP432" s="472">
        <v>0</v>
      </c>
      <c r="AQ432" s="472">
        <v>0</v>
      </c>
      <c r="AR432" s="472">
        <v>0</v>
      </c>
      <c r="AS432" s="475">
        <v>0</v>
      </c>
      <c r="AT432" s="475">
        <v>0</v>
      </c>
      <c r="AU432" s="475">
        <v>0</v>
      </c>
      <c r="AV432" s="454">
        <f t="shared" si="312"/>
        <v>0</v>
      </c>
      <c r="AW432" s="454">
        <f t="shared" si="313"/>
        <v>0</v>
      </c>
      <c r="AX432" s="455">
        <f t="shared" si="329"/>
        <v>1</v>
      </c>
      <c r="AY432" s="476">
        <f t="shared" si="314"/>
        <v>0</v>
      </c>
      <c r="AZ432" s="476">
        <f t="shared" si="315"/>
        <v>0</v>
      </c>
      <c r="BA432" s="476">
        <f t="shared" si="316"/>
        <v>0</v>
      </c>
      <c r="BB432" s="476">
        <f t="shared" si="317"/>
        <v>0</v>
      </c>
      <c r="BC432" s="476">
        <f t="shared" si="318"/>
        <v>0</v>
      </c>
      <c r="BD432" s="476">
        <f t="shared" si="319"/>
        <v>0</v>
      </c>
      <c r="BE432" s="477">
        <f t="shared" si="320"/>
        <v>0</v>
      </c>
      <c r="BF432" s="478">
        <f t="shared" si="321"/>
        <v>0</v>
      </c>
      <c r="BG432" s="479">
        <f t="shared" si="322"/>
        <v>0</v>
      </c>
      <c r="BH432" s="485">
        <f t="shared" si="289"/>
        <v>0</v>
      </c>
      <c r="BI432" s="407" t="s">
        <v>1490</v>
      </c>
      <c r="BM432" s="487">
        <f>IF(BR432&gt;BR431,BM431,IF(BM431&lt;MiscData!$F$1,EOMONTH(BM431,1),EOMONTH(BM431,-11)))</f>
        <v>41973</v>
      </c>
      <c r="BN432" s="464" t="str">
        <f t="shared" si="290"/>
        <v>20140101KURSE715</v>
      </c>
      <c r="BO432" s="488" t="str">
        <f t="shared" si="291"/>
        <v>20140101RS</v>
      </c>
      <c r="BP432" s="486">
        <f>IF(BM432&lt;=MiscData!$B$23,MiscData!$C$23,IF(BM432&lt;=MiscData!$B$24,MiscData!$C$24,MiscData!$C$25))</f>
        <v>20140101</v>
      </c>
      <c r="BQ432" s="486" t="str">
        <f>VLOOKUP(BR432,MiscData!$V$4:$W$42,2,FALSE)</f>
        <v>KURSE715</v>
      </c>
      <c r="BR432" s="407">
        <f>IF(BR431=MiscData!$V$42,1,BR431+1)</f>
        <v>39</v>
      </c>
      <c r="BS432" s="486" t="str">
        <f>VLOOKUP(BQ432,MiscData!$W$4:$Y$42,3,FALSE)</f>
        <v>RS</v>
      </c>
      <c r="BT432" s="771"/>
    </row>
    <row r="433" spans="1:71" hidden="1">
      <c r="A433" s="416">
        <f t="shared" si="331"/>
        <v>359</v>
      </c>
      <c r="B433" s="416" t="str">
        <f t="shared" si="286"/>
        <v>Dec 2014</v>
      </c>
      <c r="C433" s="416" t="s">
        <v>19</v>
      </c>
      <c r="D433" s="417" t="str">
        <f t="shared" si="287"/>
        <v>RTS</v>
      </c>
      <c r="E433" s="417" t="str">
        <f t="shared" si="288"/>
        <v>KUCIE550</v>
      </c>
      <c r="F433" s="418">
        <f t="shared" si="292"/>
        <v>32</v>
      </c>
      <c r="G433" s="467">
        <v>0</v>
      </c>
      <c r="H433" s="418">
        <v>0</v>
      </c>
      <c r="I433" s="418">
        <v>0</v>
      </c>
      <c r="J433" s="418">
        <v>0</v>
      </c>
      <c r="K433" s="418">
        <f t="shared" si="293"/>
        <v>134177811</v>
      </c>
      <c r="L433" s="481">
        <v>0</v>
      </c>
      <c r="M433" s="443">
        <f t="shared" si="294"/>
        <v>298216.46000000002</v>
      </c>
      <c r="N433" s="443">
        <f t="shared" si="295"/>
        <v>291926.5</v>
      </c>
      <c r="O433" s="443">
        <f t="shared" si="296"/>
        <v>285866.23999999999</v>
      </c>
      <c r="P433" s="443">
        <f t="shared" si="297"/>
        <v>298216.46000000002</v>
      </c>
      <c r="Q433" s="443">
        <f t="shared" si="298"/>
        <v>291926.5</v>
      </c>
      <c r="R433" s="443">
        <f t="shared" si="299"/>
        <v>285866.23999999999</v>
      </c>
      <c r="S433" s="484"/>
      <c r="T433" s="484"/>
      <c r="U433" s="484"/>
      <c r="V433" s="490">
        <v>0</v>
      </c>
      <c r="W433" s="490">
        <v>0</v>
      </c>
      <c r="X433" s="490">
        <v>0</v>
      </c>
      <c r="Y433" s="419">
        <f t="shared" si="300"/>
        <v>750</v>
      </c>
      <c r="Z433" s="420">
        <f t="shared" si="301"/>
        <v>3.6339999999999997E-2</v>
      </c>
      <c r="AA433" s="420">
        <v>0</v>
      </c>
      <c r="AB433" s="420">
        <v>0</v>
      </c>
      <c r="AC433" s="420">
        <f t="shared" si="302"/>
        <v>2.8920000000000001E-2</v>
      </c>
      <c r="AD433" s="419">
        <f t="shared" si="303"/>
        <v>1.34</v>
      </c>
      <c r="AE433" s="419">
        <f t="shared" si="304"/>
        <v>2.87</v>
      </c>
      <c r="AF433" s="419">
        <f t="shared" si="305"/>
        <v>3.97</v>
      </c>
      <c r="AG433" s="454">
        <f t="shared" si="306"/>
        <v>24000</v>
      </c>
      <c r="AH433" s="454">
        <f t="shared" si="330"/>
        <v>4876021.6500000004</v>
      </c>
      <c r="AI433" s="421">
        <f t="shared" si="307"/>
        <v>399610.06</v>
      </c>
      <c r="AJ433" s="421">
        <f t="shared" si="308"/>
        <v>837829.06</v>
      </c>
      <c r="AK433" s="421">
        <f t="shared" si="309"/>
        <v>1134888.97</v>
      </c>
      <c r="AL433" s="472">
        <v>0</v>
      </c>
      <c r="AM433" s="422">
        <f t="shared" si="328"/>
        <v>0</v>
      </c>
      <c r="AN433" s="423">
        <f t="shared" si="310"/>
        <v>0</v>
      </c>
      <c r="AO433" s="421">
        <f t="shared" si="311"/>
        <v>2372328.09</v>
      </c>
      <c r="AP433" s="472">
        <v>0</v>
      </c>
      <c r="AQ433" s="472">
        <v>0</v>
      </c>
      <c r="AR433" s="472"/>
      <c r="AS433" s="475">
        <v>0</v>
      </c>
      <c r="AT433" s="475">
        <v>0</v>
      </c>
      <c r="AU433" s="475">
        <v>0</v>
      </c>
      <c r="AV433" s="454">
        <f t="shared" si="312"/>
        <v>7272349.7399999993</v>
      </c>
      <c r="AW433" s="421">
        <f t="shared" si="313"/>
        <v>7272350</v>
      </c>
      <c r="AX433" s="455">
        <f t="shared" ref="AX433:AX441" si="332">IF(AND(AV433=0,AW433=0),1,IF(AV433=0,0,AW433/AV433))</f>
        <v>1.0000000357518559</v>
      </c>
      <c r="AY433" s="424">
        <f t="shared" si="314"/>
        <v>484800</v>
      </c>
      <c r="AZ433" s="424">
        <f t="shared" si="315"/>
        <v>0</v>
      </c>
      <c r="BA433" s="424">
        <f t="shared" si="316"/>
        <v>426583</v>
      </c>
      <c r="BB433" s="424">
        <f t="shared" si="317"/>
        <v>0</v>
      </c>
      <c r="BC433" s="424">
        <f t="shared" si="318"/>
        <v>0</v>
      </c>
      <c r="BD433" s="424">
        <f t="shared" si="319"/>
        <v>8183733</v>
      </c>
      <c r="BE433" s="452">
        <f t="shared" si="320"/>
        <v>8183732.7399999993</v>
      </c>
      <c r="BF433" s="448">
        <f t="shared" si="321"/>
        <v>0.26000000070780516</v>
      </c>
      <c r="BG433" s="456">
        <f t="shared" si="322"/>
        <v>3880422.29</v>
      </c>
      <c r="BH433" s="457">
        <f t="shared" si="289"/>
        <v>995599.36000000034</v>
      </c>
      <c r="BI433" s="407" t="s">
        <v>1490</v>
      </c>
      <c r="BM433" s="429">
        <f>IF(BR433&gt;BR432,BM432,IF(BM432&lt;MiscData!$F$1,EOMONTH(BM432,1),EOMONTH(BM432,-11)))</f>
        <v>42004</v>
      </c>
      <c r="BN433" s="416" t="str">
        <f t="shared" si="290"/>
        <v>20140101KUCIE550</v>
      </c>
      <c r="BO433" s="427" t="str">
        <f t="shared" si="291"/>
        <v>20140101RTS</v>
      </c>
      <c r="BP433" s="407">
        <f>IF(BM433&lt;=MiscData!$B$23,MiscData!$C$23,IF(BM433&lt;=MiscData!$B$24,MiscData!$C$24,MiscData!$C$25))</f>
        <v>20140101</v>
      </c>
      <c r="BQ433" s="407" t="str">
        <f>VLOOKUP(BR433,MiscData!$V$4:$W$42,2,FALSE)</f>
        <v>KUCIE550</v>
      </c>
      <c r="BR433" s="407">
        <f>IF(BR432=MiscData!$V$42,1,BR432+1)</f>
        <v>1</v>
      </c>
      <c r="BS433" s="407" t="str">
        <f>VLOOKUP(BQ433,MiscData!$W$4:$Y$42,3,FALSE)</f>
        <v>RTS</v>
      </c>
    </row>
    <row r="434" spans="1:71">
      <c r="A434" s="416">
        <f t="shared" si="331"/>
        <v>360</v>
      </c>
      <c r="B434" s="416" t="str">
        <f t="shared" si="286"/>
        <v>Dec 2014</v>
      </c>
      <c r="C434" s="416" t="s">
        <v>26</v>
      </c>
      <c r="D434" s="417" t="str">
        <f t="shared" si="287"/>
        <v>PSP</v>
      </c>
      <c r="E434" s="417" t="str">
        <f t="shared" si="288"/>
        <v>KUCIE561</v>
      </c>
      <c r="F434" s="418">
        <f t="shared" si="292"/>
        <v>214</v>
      </c>
      <c r="G434" s="467"/>
      <c r="H434" s="418">
        <v>0</v>
      </c>
      <c r="I434" s="418">
        <v>0</v>
      </c>
      <c r="J434" s="418">
        <v>0</v>
      </c>
      <c r="K434" s="418">
        <f t="shared" si="293"/>
        <v>18871437</v>
      </c>
      <c r="L434" s="459">
        <v>0</v>
      </c>
      <c r="M434" s="443">
        <f t="shared" si="294"/>
        <v>0</v>
      </c>
      <c r="N434" s="443">
        <f t="shared" si="295"/>
        <v>53415.89</v>
      </c>
      <c r="O434" s="443">
        <f t="shared" si="296"/>
        <v>0</v>
      </c>
      <c r="P434" s="443">
        <f t="shared" si="297"/>
        <v>0</v>
      </c>
      <c r="Q434" s="443">
        <f t="shared" si="298"/>
        <v>53415.89</v>
      </c>
      <c r="R434" s="443">
        <f t="shared" si="299"/>
        <v>0</v>
      </c>
      <c r="S434" s="484"/>
      <c r="T434" s="484"/>
      <c r="U434" s="484"/>
      <c r="V434" s="490">
        <v>0</v>
      </c>
      <c r="W434" s="490">
        <v>0</v>
      </c>
      <c r="X434" s="490">
        <v>0</v>
      </c>
      <c r="Y434" s="419">
        <f t="shared" si="300"/>
        <v>170</v>
      </c>
      <c r="Z434" s="420">
        <f t="shared" si="301"/>
        <v>3.5619999999999999E-2</v>
      </c>
      <c r="AA434" s="420">
        <v>0</v>
      </c>
      <c r="AB434" s="420">
        <v>0</v>
      </c>
      <c r="AC434" s="420">
        <f t="shared" si="302"/>
        <v>2.8920000000000001E-2</v>
      </c>
      <c r="AD434" s="419">
        <f t="shared" si="303"/>
        <v>0</v>
      </c>
      <c r="AE434" s="419">
        <f t="shared" si="304"/>
        <v>13.18</v>
      </c>
      <c r="AF434" s="419">
        <f t="shared" si="305"/>
        <v>15.28</v>
      </c>
      <c r="AG434" s="454">
        <f t="shared" si="306"/>
        <v>36380</v>
      </c>
      <c r="AH434" s="454">
        <f t="shared" si="330"/>
        <v>672200.59</v>
      </c>
      <c r="AI434" s="421">
        <f t="shared" si="307"/>
        <v>0</v>
      </c>
      <c r="AJ434" s="421">
        <f t="shared" si="308"/>
        <v>704021.43</v>
      </c>
      <c r="AK434" s="421">
        <f t="shared" si="309"/>
        <v>0</v>
      </c>
      <c r="AL434" s="472">
        <v>0</v>
      </c>
      <c r="AM434" s="422">
        <f t="shared" si="328"/>
        <v>0</v>
      </c>
      <c r="AN434" s="423">
        <f t="shared" si="310"/>
        <v>0</v>
      </c>
      <c r="AO434" s="421">
        <f t="shared" si="311"/>
        <v>704021.43</v>
      </c>
      <c r="AP434" s="472"/>
      <c r="AQ434" s="472"/>
      <c r="AR434" s="472"/>
      <c r="AS434" s="475">
        <v>0</v>
      </c>
      <c r="AT434" s="475">
        <v>0</v>
      </c>
      <c r="AU434" s="475">
        <v>0</v>
      </c>
      <c r="AV434" s="454">
        <f t="shared" si="312"/>
        <v>1412602.02</v>
      </c>
      <c r="AW434" s="421">
        <f t="shared" si="313"/>
        <v>1412601</v>
      </c>
      <c r="AX434" s="455">
        <f t="shared" si="332"/>
        <v>0.99999927792825893</v>
      </c>
      <c r="AY434" s="424">
        <f t="shared" si="314"/>
        <v>68185</v>
      </c>
      <c r="AZ434" s="424">
        <f t="shared" si="315"/>
        <v>40132</v>
      </c>
      <c r="BA434" s="424">
        <f t="shared" si="316"/>
        <v>59997</v>
      </c>
      <c r="BB434" s="424">
        <f t="shared" si="317"/>
        <v>0</v>
      </c>
      <c r="BC434" s="424">
        <f t="shared" si="318"/>
        <v>0</v>
      </c>
      <c r="BD434" s="424">
        <f t="shared" si="319"/>
        <v>1580915</v>
      </c>
      <c r="BE434" s="452">
        <f t="shared" si="320"/>
        <v>1580916.02</v>
      </c>
      <c r="BF434" s="448">
        <f t="shared" si="321"/>
        <v>-1.0200000000186265</v>
      </c>
      <c r="BG434" s="456">
        <f t="shared" si="322"/>
        <v>545761.96</v>
      </c>
      <c r="BH434" s="457">
        <f t="shared" si="289"/>
        <v>126438.63</v>
      </c>
      <c r="BI434" s="407" t="s">
        <v>1490</v>
      </c>
      <c r="BM434" s="429">
        <f>IF(BR434&gt;BR433,BM433,IF(BM433&lt;MiscData!$F$1,EOMONTH(BM433,1),EOMONTH(BM433,-11)))</f>
        <v>42004</v>
      </c>
      <c r="BN434" s="416" t="str">
        <f t="shared" si="290"/>
        <v>20140101KUCIE561</v>
      </c>
      <c r="BO434" s="427" t="str">
        <f t="shared" si="291"/>
        <v>20140101PSP</v>
      </c>
      <c r="BP434" s="407">
        <f>IF(BM434&lt;=MiscData!$B$23,MiscData!$C$23,IF(BM434&lt;=MiscData!$B$24,MiscData!$C$24,MiscData!$C$25))</f>
        <v>20140101</v>
      </c>
      <c r="BQ434" s="407" t="str">
        <f>VLOOKUP(BR434,MiscData!$V$4:$W$42,2,FALSE)</f>
        <v>KUCIE561</v>
      </c>
      <c r="BR434" s="407">
        <f>IF(BR433=MiscData!$V$42,1,BR433+1)</f>
        <v>2</v>
      </c>
      <c r="BS434" s="407" t="str">
        <f>VLOOKUP(BQ434,MiscData!$W$4:$Y$42,3,FALSE)</f>
        <v>PSP</v>
      </c>
    </row>
    <row r="435" spans="1:71" hidden="1">
      <c r="A435" s="416">
        <f t="shared" si="331"/>
        <v>361</v>
      </c>
      <c r="B435" s="416" t="str">
        <f t="shared" si="286"/>
        <v>Dec 2014</v>
      </c>
      <c r="C435" s="416" t="s">
        <v>25</v>
      </c>
      <c r="D435" s="417" t="str">
        <f t="shared" si="287"/>
        <v>PSS</v>
      </c>
      <c r="E435" s="417" t="str">
        <f t="shared" si="288"/>
        <v>KUCIE562</v>
      </c>
      <c r="F435" s="418">
        <f t="shared" si="292"/>
        <v>4800</v>
      </c>
      <c r="G435" s="467"/>
      <c r="H435" s="418">
        <v>0</v>
      </c>
      <c r="I435" s="418">
        <v>0</v>
      </c>
      <c r="J435" s="418">
        <v>0</v>
      </c>
      <c r="K435" s="418">
        <f t="shared" si="293"/>
        <v>178534636</v>
      </c>
      <c r="L435" s="459">
        <v>0</v>
      </c>
      <c r="M435" s="443">
        <f t="shared" si="294"/>
        <v>0</v>
      </c>
      <c r="N435" s="443">
        <f t="shared" si="295"/>
        <v>577561.39</v>
      </c>
      <c r="O435" s="443">
        <f t="shared" si="296"/>
        <v>0</v>
      </c>
      <c r="P435" s="443">
        <f t="shared" si="297"/>
        <v>0</v>
      </c>
      <c r="Q435" s="443">
        <f t="shared" si="298"/>
        <v>577561.39</v>
      </c>
      <c r="R435" s="443">
        <f t="shared" si="299"/>
        <v>0</v>
      </c>
      <c r="S435" s="484"/>
      <c r="T435" s="484"/>
      <c r="U435" s="484"/>
      <c r="V435" s="490">
        <v>0</v>
      </c>
      <c r="W435" s="490">
        <v>0</v>
      </c>
      <c r="X435" s="490">
        <v>0</v>
      </c>
      <c r="Y435" s="419">
        <f t="shared" si="300"/>
        <v>90</v>
      </c>
      <c r="Z435" s="420">
        <f t="shared" si="301"/>
        <v>3.5640000000000005E-2</v>
      </c>
      <c r="AA435" s="420">
        <v>0</v>
      </c>
      <c r="AB435" s="420">
        <v>0</v>
      </c>
      <c r="AC435" s="420">
        <f t="shared" si="302"/>
        <v>2.8920000000000001E-2</v>
      </c>
      <c r="AD435" s="419">
        <f t="shared" si="303"/>
        <v>0</v>
      </c>
      <c r="AE435" s="419">
        <f t="shared" si="304"/>
        <v>13.2</v>
      </c>
      <c r="AF435" s="419">
        <f t="shared" si="305"/>
        <v>15.3</v>
      </c>
      <c r="AG435" s="454">
        <f t="shared" si="306"/>
        <v>432000</v>
      </c>
      <c r="AH435" s="454">
        <f t="shared" si="330"/>
        <v>6362974.4299999997</v>
      </c>
      <c r="AI435" s="421">
        <f t="shared" si="307"/>
        <v>0</v>
      </c>
      <c r="AJ435" s="421">
        <f t="shared" si="308"/>
        <v>7623810.3499999996</v>
      </c>
      <c r="AK435" s="421">
        <f t="shared" si="309"/>
        <v>0</v>
      </c>
      <c r="AL435" s="472">
        <v>0</v>
      </c>
      <c r="AM435" s="422">
        <f t="shared" si="328"/>
        <v>0</v>
      </c>
      <c r="AN435" s="423">
        <f t="shared" si="310"/>
        <v>0</v>
      </c>
      <c r="AO435" s="421">
        <f t="shared" si="311"/>
        <v>7623810.3499999996</v>
      </c>
      <c r="AP435" s="472"/>
      <c r="AQ435" s="472"/>
      <c r="AR435" s="472"/>
      <c r="AS435" s="475">
        <v>0</v>
      </c>
      <c r="AT435" s="475">
        <v>0</v>
      </c>
      <c r="AU435" s="475">
        <v>0</v>
      </c>
      <c r="AV435" s="454">
        <f t="shared" si="312"/>
        <v>14418784.779999999</v>
      </c>
      <c r="AW435" s="421">
        <f t="shared" si="313"/>
        <v>14418785</v>
      </c>
      <c r="AX435" s="455">
        <f t="shared" si="332"/>
        <v>1.0000000152578739</v>
      </c>
      <c r="AY435" s="424">
        <f t="shared" si="314"/>
        <v>645066</v>
      </c>
      <c r="AZ435" s="424">
        <f t="shared" si="315"/>
        <v>379668</v>
      </c>
      <c r="BA435" s="424">
        <f t="shared" si="316"/>
        <v>567604</v>
      </c>
      <c r="BB435" s="424">
        <f t="shared" si="317"/>
        <v>0</v>
      </c>
      <c r="BC435" s="424">
        <f t="shared" si="318"/>
        <v>0</v>
      </c>
      <c r="BD435" s="424">
        <f t="shared" si="319"/>
        <v>16011123</v>
      </c>
      <c r="BE435" s="452">
        <f t="shared" si="320"/>
        <v>16011122.779999999</v>
      </c>
      <c r="BF435" s="448">
        <f t="shared" si="321"/>
        <v>0.22000000067055225</v>
      </c>
      <c r="BG435" s="456">
        <f t="shared" si="322"/>
        <v>5163221.67</v>
      </c>
      <c r="BH435" s="457">
        <f t="shared" si="289"/>
        <v>1199752.7599999998</v>
      </c>
      <c r="BI435" s="407" t="s">
        <v>1490</v>
      </c>
      <c r="BM435" s="429">
        <f>IF(BR435&gt;BR434,BM434,IF(BM434&lt;MiscData!$F$1,EOMONTH(BM434,1),EOMONTH(BM434,-11)))</f>
        <v>42004</v>
      </c>
      <c r="BN435" s="416" t="str">
        <f t="shared" si="290"/>
        <v>20140101KUCIE562</v>
      </c>
      <c r="BO435" s="427" t="str">
        <f t="shared" si="291"/>
        <v>20140101PSS</v>
      </c>
      <c r="BP435" s="407">
        <f>IF(BM435&lt;=MiscData!$B$23,MiscData!$C$23,IF(BM435&lt;=MiscData!$B$24,MiscData!$C$24,MiscData!$C$25))</f>
        <v>20140101</v>
      </c>
      <c r="BQ435" s="407" t="str">
        <f>VLOOKUP(BR435,MiscData!$V$4:$W$42,2,FALSE)</f>
        <v>KUCIE562</v>
      </c>
      <c r="BR435" s="407">
        <f>IF(BR434=MiscData!$V$42,1,BR434+1)</f>
        <v>3</v>
      </c>
      <c r="BS435" s="407" t="str">
        <f>VLOOKUP(BQ435,MiscData!$W$4:$Y$42,3,FALSE)</f>
        <v>PSS</v>
      </c>
    </row>
    <row r="436" spans="1:71" hidden="1">
      <c r="A436" s="416">
        <f t="shared" si="331"/>
        <v>362</v>
      </c>
      <c r="B436" s="416" t="str">
        <f t="shared" si="286"/>
        <v>Dec 2014</v>
      </c>
      <c r="C436" s="416" t="s">
        <v>221</v>
      </c>
      <c r="D436" s="417" t="str">
        <f t="shared" si="287"/>
        <v>TODP</v>
      </c>
      <c r="E436" s="417" t="str">
        <f t="shared" si="288"/>
        <v>KUCIE563</v>
      </c>
      <c r="F436" s="418">
        <f t="shared" si="292"/>
        <v>52</v>
      </c>
      <c r="G436" s="467"/>
      <c r="H436" s="418">
        <v>0</v>
      </c>
      <c r="I436" s="418">
        <v>0</v>
      </c>
      <c r="J436" s="418">
        <v>0</v>
      </c>
      <c r="K436" s="418">
        <f t="shared" si="293"/>
        <v>240013581</v>
      </c>
      <c r="L436" s="481">
        <v>0</v>
      </c>
      <c r="M436" s="443">
        <f t="shared" si="294"/>
        <v>509319.59</v>
      </c>
      <c r="N436" s="443">
        <f t="shared" si="295"/>
        <v>475228.56</v>
      </c>
      <c r="O436" s="443">
        <f t="shared" si="296"/>
        <v>471671.44</v>
      </c>
      <c r="P436" s="443">
        <f t="shared" si="297"/>
        <v>509319.59</v>
      </c>
      <c r="Q436" s="443">
        <f t="shared" si="298"/>
        <v>475228.56</v>
      </c>
      <c r="R436" s="443">
        <f t="shared" si="299"/>
        <v>471671.44</v>
      </c>
      <c r="S436" s="484"/>
      <c r="T436" s="484"/>
      <c r="U436" s="484"/>
      <c r="V436" s="490">
        <v>0</v>
      </c>
      <c r="W436" s="490">
        <v>0</v>
      </c>
      <c r="X436" s="490">
        <v>0</v>
      </c>
      <c r="Y436" s="419">
        <f t="shared" si="300"/>
        <v>300</v>
      </c>
      <c r="Z436" s="420">
        <f t="shared" si="301"/>
        <v>3.7650000000000003E-2</v>
      </c>
      <c r="AA436" s="420">
        <v>0</v>
      </c>
      <c r="AB436" s="420">
        <v>0</v>
      </c>
      <c r="AC436" s="420">
        <f t="shared" si="302"/>
        <v>2.8920000000000001E-2</v>
      </c>
      <c r="AD436" s="419">
        <f t="shared" si="303"/>
        <v>1.71</v>
      </c>
      <c r="AE436" s="419">
        <f t="shared" si="304"/>
        <v>2.76</v>
      </c>
      <c r="AF436" s="419">
        <f t="shared" si="305"/>
        <v>4.26</v>
      </c>
      <c r="AG436" s="454">
        <f t="shared" si="306"/>
        <v>15600</v>
      </c>
      <c r="AH436" s="454">
        <f t="shared" si="330"/>
        <v>9036511.3200000003</v>
      </c>
      <c r="AI436" s="421">
        <f t="shared" si="307"/>
        <v>870936.5</v>
      </c>
      <c r="AJ436" s="421">
        <f t="shared" si="308"/>
        <v>1311630.83</v>
      </c>
      <c r="AK436" s="421">
        <f t="shared" si="309"/>
        <v>2009320.33</v>
      </c>
      <c r="AL436" s="472">
        <v>0</v>
      </c>
      <c r="AM436" s="422">
        <f t="shared" si="328"/>
        <v>0</v>
      </c>
      <c r="AN436" s="423">
        <f t="shared" si="310"/>
        <v>0</v>
      </c>
      <c r="AO436" s="421">
        <f t="shared" si="311"/>
        <v>4191887.66</v>
      </c>
      <c r="AP436" s="472"/>
      <c r="AQ436" s="472"/>
      <c r="AR436" s="472"/>
      <c r="AS436" s="475"/>
      <c r="AT436" s="475"/>
      <c r="AU436" s="475"/>
      <c r="AV436" s="454">
        <f t="shared" si="312"/>
        <v>13243998.98</v>
      </c>
      <c r="AW436" s="421">
        <f t="shared" si="313"/>
        <v>13244000</v>
      </c>
      <c r="AX436" s="455">
        <f t="shared" si="332"/>
        <v>1.0000000770160131</v>
      </c>
      <c r="AY436" s="424">
        <f t="shared" si="314"/>
        <v>867196</v>
      </c>
      <c r="AZ436" s="424">
        <f t="shared" si="315"/>
        <v>510408</v>
      </c>
      <c r="BA436" s="424">
        <f t="shared" si="316"/>
        <v>763060</v>
      </c>
      <c r="BB436" s="424">
        <f t="shared" si="317"/>
        <v>0</v>
      </c>
      <c r="BC436" s="424">
        <f t="shared" si="318"/>
        <v>0</v>
      </c>
      <c r="BD436" s="424">
        <f t="shared" si="319"/>
        <v>15384664</v>
      </c>
      <c r="BE436" s="452">
        <f t="shared" si="320"/>
        <v>15384662.98</v>
      </c>
      <c r="BF436" s="448">
        <f t="shared" si="321"/>
        <v>1.0199999995529652</v>
      </c>
      <c r="BG436" s="456">
        <f t="shared" si="322"/>
        <v>6941192.7599999998</v>
      </c>
      <c r="BH436" s="457">
        <f t="shared" si="289"/>
        <v>2095318.5600000005</v>
      </c>
      <c r="BI436" s="407" t="s">
        <v>1490</v>
      </c>
      <c r="BM436" s="429">
        <f>IF(BR436&gt;BR435,BM435,IF(BM435&lt;MiscData!$F$1,EOMONTH(BM435,1),EOMONTH(BM435,-11)))</f>
        <v>42004</v>
      </c>
      <c r="BN436" s="416" t="str">
        <f t="shared" si="290"/>
        <v>20140101KUCIE563</v>
      </c>
      <c r="BO436" s="427" t="str">
        <f t="shared" si="291"/>
        <v>20140101TODP</v>
      </c>
      <c r="BP436" s="407">
        <f>IF(BM436&lt;=MiscData!$B$23,MiscData!$C$23,IF(BM436&lt;=MiscData!$B$24,MiscData!$C$24,MiscData!$C$25))</f>
        <v>20140101</v>
      </c>
      <c r="BQ436" s="407" t="str">
        <f>VLOOKUP(BR436,MiscData!$V$4:$W$42,2,FALSE)</f>
        <v>KUCIE563</v>
      </c>
      <c r="BR436" s="407">
        <f>IF(BR435=MiscData!$V$42,1,BR435+1)</f>
        <v>4</v>
      </c>
      <c r="BS436" s="407" t="str">
        <f>VLOOKUP(BQ436,MiscData!$W$4:$Y$42,3,FALSE)</f>
        <v>TODP</v>
      </c>
    </row>
    <row r="437" spans="1:71">
      <c r="A437" s="416">
        <f t="shared" si="331"/>
        <v>363</v>
      </c>
      <c r="B437" s="416" t="str">
        <f t="shared" si="286"/>
        <v>Dec 2014</v>
      </c>
      <c r="C437" s="416" t="s">
        <v>26</v>
      </c>
      <c r="D437" s="417" t="str">
        <f t="shared" si="287"/>
        <v>PSP</v>
      </c>
      <c r="E437" s="417" t="str">
        <f t="shared" si="288"/>
        <v>KUCIE566</v>
      </c>
      <c r="F437" s="418">
        <f t="shared" si="292"/>
        <v>0</v>
      </c>
      <c r="G437" s="467"/>
      <c r="H437" s="418">
        <v>0</v>
      </c>
      <c r="I437" s="418">
        <v>0</v>
      </c>
      <c r="J437" s="418">
        <v>0</v>
      </c>
      <c r="K437" s="418">
        <f t="shared" si="293"/>
        <v>0</v>
      </c>
      <c r="L437" s="459">
        <v>0</v>
      </c>
      <c r="M437" s="443">
        <f t="shared" si="294"/>
        <v>0</v>
      </c>
      <c r="N437" s="443">
        <f t="shared" si="295"/>
        <v>0</v>
      </c>
      <c r="O437" s="443">
        <f t="shared" si="296"/>
        <v>0</v>
      </c>
      <c r="P437" s="443">
        <f t="shared" si="297"/>
        <v>0</v>
      </c>
      <c r="Q437" s="443">
        <f t="shared" si="298"/>
        <v>0</v>
      </c>
      <c r="R437" s="443">
        <f t="shared" si="299"/>
        <v>0</v>
      </c>
      <c r="S437" s="484">
        <v>0</v>
      </c>
      <c r="T437" s="484"/>
      <c r="U437" s="484"/>
      <c r="V437" s="490">
        <v>0</v>
      </c>
      <c r="W437" s="490">
        <v>0</v>
      </c>
      <c r="X437" s="490">
        <v>0</v>
      </c>
      <c r="Y437" s="419">
        <f t="shared" si="300"/>
        <v>170</v>
      </c>
      <c r="Z437" s="420">
        <f t="shared" si="301"/>
        <v>3.5619999999999999E-2</v>
      </c>
      <c r="AA437" s="420">
        <v>0</v>
      </c>
      <c r="AB437" s="420">
        <v>0</v>
      </c>
      <c r="AC437" s="420">
        <f t="shared" si="302"/>
        <v>2.8920000000000001E-2</v>
      </c>
      <c r="AD437" s="419">
        <f t="shared" si="303"/>
        <v>0</v>
      </c>
      <c r="AE437" s="419">
        <f t="shared" si="304"/>
        <v>13.18</v>
      </c>
      <c r="AF437" s="419">
        <f t="shared" si="305"/>
        <v>15.28</v>
      </c>
      <c r="AG437" s="454">
        <f t="shared" si="306"/>
        <v>0</v>
      </c>
      <c r="AH437" s="454">
        <f t="shared" si="330"/>
        <v>0</v>
      </c>
      <c r="AI437" s="421">
        <f t="shared" si="307"/>
        <v>0</v>
      </c>
      <c r="AJ437" s="421">
        <f t="shared" si="308"/>
        <v>0</v>
      </c>
      <c r="AK437" s="421">
        <f t="shared" si="309"/>
        <v>0</v>
      </c>
      <c r="AL437" s="472">
        <v>0</v>
      </c>
      <c r="AM437" s="422">
        <f t="shared" si="328"/>
        <v>0</v>
      </c>
      <c r="AN437" s="423">
        <f t="shared" si="310"/>
        <v>0</v>
      </c>
      <c r="AO437" s="421">
        <f t="shared" si="311"/>
        <v>0</v>
      </c>
      <c r="AP437" s="472"/>
      <c r="AQ437" s="472"/>
      <c r="AR437" s="472"/>
      <c r="AS437" s="475">
        <v>0</v>
      </c>
      <c r="AT437" s="475">
        <v>0</v>
      </c>
      <c r="AU437" s="475">
        <v>0</v>
      </c>
      <c r="AV437" s="454">
        <f t="shared" si="312"/>
        <v>0</v>
      </c>
      <c r="AW437" s="421">
        <f t="shared" si="313"/>
        <v>0</v>
      </c>
      <c r="AX437" s="455">
        <f t="shared" si="332"/>
        <v>1</v>
      </c>
      <c r="AY437" s="424">
        <f t="shared" si="314"/>
        <v>0</v>
      </c>
      <c r="AZ437" s="424">
        <f t="shared" si="315"/>
        <v>0</v>
      </c>
      <c r="BA437" s="424">
        <f t="shared" si="316"/>
        <v>0</v>
      </c>
      <c r="BB437" s="424">
        <f t="shared" si="317"/>
        <v>0</v>
      </c>
      <c r="BC437" s="424">
        <f t="shared" si="318"/>
        <v>0</v>
      </c>
      <c r="BD437" s="424">
        <f t="shared" si="319"/>
        <v>0</v>
      </c>
      <c r="BE437" s="452">
        <f t="shared" si="320"/>
        <v>0</v>
      </c>
      <c r="BF437" s="448">
        <f t="shared" si="321"/>
        <v>0</v>
      </c>
      <c r="BG437" s="456">
        <f t="shared" si="322"/>
        <v>0</v>
      </c>
      <c r="BH437" s="457">
        <f t="shared" si="289"/>
        <v>0</v>
      </c>
      <c r="BI437" s="407" t="s">
        <v>1490</v>
      </c>
      <c r="BM437" s="429">
        <f>IF(BR437&gt;BR436,BM436,IF(BM436&lt;MiscData!$F$1,EOMONTH(BM436,1),EOMONTH(BM436,-11)))</f>
        <v>42004</v>
      </c>
      <c r="BN437" s="416" t="str">
        <f t="shared" si="290"/>
        <v>20140101KUCIE566</v>
      </c>
      <c r="BO437" s="427" t="str">
        <f t="shared" si="291"/>
        <v>20140101PSP</v>
      </c>
      <c r="BP437" s="407">
        <f>IF(BM437&lt;=MiscData!$B$23,MiscData!$C$23,IF(BM437&lt;=MiscData!$B$24,MiscData!$C$24,MiscData!$C$25))</f>
        <v>20140101</v>
      </c>
      <c r="BQ437" s="407" t="str">
        <f>VLOOKUP(BR437,MiscData!$V$4:$W$42,2,FALSE)</f>
        <v>KUCIE566</v>
      </c>
      <c r="BR437" s="407">
        <f>IF(BR436=MiscData!$V$42,1,BR436+1)</f>
        <v>5</v>
      </c>
      <c r="BS437" s="407" t="str">
        <f>VLOOKUP(BQ437,MiscData!$W$4:$Y$42,3,FALSE)</f>
        <v>PSP</v>
      </c>
    </row>
    <row r="438" spans="1:71" hidden="1">
      <c r="A438" s="416">
        <f>A410+1</f>
        <v>362</v>
      </c>
      <c r="B438" s="416" t="str">
        <f t="shared" si="286"/>
        <v>Dec 2014</v>
      </c>
      <c r="C438" s="416" t="s">
        <v>25</v>
      </c>
      <c r="D438" s="417" t="str">
        <f t="shared" si="287"/>
        <v>PSS</v>
      </c>
      <c r="E438" s="417" t="str">
        <f t="shared" si="288"/>
        <v>KUCIE568</v>
      </c>
      <c r="F438" s="418">
        <f t="shared" si="292"/>
        <v>0</v>
      </c>
      <c r="G438" s="467"/>
      <c r="H438" s="418">
        <v>0</v>
      </c>
      <c r="I438" s="418">
        <v>0</v>
      </c>
      <c r="J438" s="418">
        <v>0</v>
      </c>
      <c r="K438" s="418">
        <f t="shared" si="293"/>
        <v>0</v>
      </c>
      <c r="L438" s="459">
        <v>0</v>
      </c>
      <c r="M438" s="443">
        <f t="shared" si="294"/>
        <v>0</v>
      </c>
      <c r="N438" s="443">
        <f t="shared" si="295"/>
        <v>0</v>
      </c>
      <c r="O438" s="443">
        <f t="shared" si="296"/>
        <v>0</v>
      </c>
      <c r="P438" s="443">
        <f t="shared" si="297"/>
        <v>0</v>
      </c>
      <c r="Q438" s="443">
        <f t="shared" si="298"/>
        <v>0</v>
      </c>
      <c r="R438" s="443">
        <f t="shared" si="299"/>
        <v>0</v>
      </c>
      <c r="S438" s="484">
        <v>0</v>
      </c>
      <c r="T438" s="484"/>
      <c r="U438" s="484">
        <v>0</v>
      </c>
      <c r="V438" s="490">
        <v>0</v>
      </c>
      <c r="W438" s="490">
        <v>0</v>
      </c>
      <c r="X438" s="490">
        <v>0</v>
      </c>
      <c r="Y438" s="419">
        <f t="shared" si="300"/>
        <v>90</v>
      </c>
      <c r="Z438" s="420">
        <f t="shared" si="301"/>
        <v>3.5640000000000005E-2</v>
      </c>
      <c r="AA438" s="420">
        <v>0</v>
      </c>
      <c r="AB438" s="420">
        <v>0</v>
      </c>
      <c r="AC438" s="420">
        <f t="shared" si="302"/>
        <v>2.8920000000000001E-2</v>
      </c>
      <c r="AD438" s="419">
        <f t="shared" si="303"/>
        <v>0</v>
      </c>
      <c r="AE438" s="419">
        <f t="shared" si="304"/>
        <v>13.2</v>
      </c>
      <c r="AF438" s="419">
        <f t="shared" si="305"/>
        <v>15.3</v>
      </c>
      <c r="AG438" s="454">
        <f t="shared" si="306"/>
        <v>0</v>
      </c>
      <c r="AH438" s="454">
        <f t="shared" si="330"/>
        <v>0</v>
      </c>
      <c r="AI438" s="421">
        <f t="shared" si="307"/>
        <v>0</v>
      </c>
      <c r="AJ438" s="421">
        <f t="shared" si="308"/>
        <v>0</v>
      </c>
      <c r="AK438" s="421">
        <f t="shared" si="309"/>
        <v>0</v>
      </c>
      <c r="AL438" s="472"/>
      <c r="AM438" s="422">
        <f t="shared" si="328"/>
        <v>0</v>
      </c>
      <c r="AN438" s="423">
        <f t="shared" si="310"/>
        <v>0</v>
      </c>
      <c r="AO438" s="421">
        <f t="shared" si="311"/>
        <v>0</v>
      </c>
      <c r="AP438" s="472"/>
      <c r="AQ438" s="472"/>
      <c r="AR438" s="472"/>
      <c r="AS438" s="475">
        <v>0</v>
      </c>
      <c r="AT438" s="475">
        <v>0</v>
      </c>
      <c r="AU438" s="475">
        <v>0</v>
      </c>
      <c r="AV438" s="454">
        <f t="shared" si="312"/>
        <v>0</v>
      </c>
      <c r="AW438" s="421">
        <f t="shared" si="313"/>
        <v>0</v>
      </c>
      <c r="AX438" s="455">
        <f t="shared" si="332"/>
        <v>1</v>
      </c>
      <c r="AY438" s="424">
        <f t="shared" si="314"/>
        <v>0</v>
      </c>
      <c r="AZ438" s="424">
        <f t="shared" si="315"/>
        <v>0</v>
      </c>
      <c r="BA438" s="424">
        <f t="shared" si="316"/>
        <v>0</v>
      </c>
      <c r="BB438" s="424">
        <f t="shared" si="317"/>
        <v>0</v>
      </c>
      <c r="BC438" s="424">
        <f t="shared" si="318"/>
        <v>0</v>
      </c>
      <c r="BD438" s="424">
        <f t="shared" si="319"/>
        <v>0</v>
      </c>
      <c r="BE438" s="452">
        <f t="shared" si="320"/>
        <v>0</v>
      </c>
      <c r="BF438" s="448">
        <f t="shared" si="321"/>
        <v>0</v>
      </c>
      <c r="BG438" s="456">
        <f t="shared" si="322"/>
        <v>0</v>
      </c>
      <c r="BH438" s="457">
        <f t="shared" si="289"/>
        <v>0</v>
      </c>
      <c r="BI438" s="407" t="s">
        <v>1490</v>
      </c>
      <c r="BM438" s="429">
        <f>IF(BR438&gt;BR437,BM437,IF(BM437&lt;MiscData!$F$1,EOMONTH(BM437,1),EOMONTH(BM437,-11)))</f>
        <v>42004</v>
      </c>
      <c r="BN438" s="416" t="str">
        <f t="shared" si="290"/>
        <v>20140101KUCIE568</v>
      </c>
      <c r="BO438" s="427" t="str">
        <f t="shared" si="291"/>
        <v>20140101PSS</v>
      </c>
      <c r="BP438" s="407">
        <f>IF(BM438&lt;=MiscData!$B$23,MiscData!$C$23,IF(BM438&lt;=MiscData!$B$24,MiscData!$C$24,MiscData!$C$25))</f>
        <v>20140101</v>
      </c>
      <c r="BQ438" s="407" t="str">
        <f>VLOOKUP(BR438,MiscData!$V$4:$W$42,2,FALSE)</f>
        <v>KUCIE568</v>
      </c>
      <c r="BR438" s="407">
        <f>IF(BR437=MiscData!$V$42,1,BR437+1)</f>
        <v>6</v>
      </c>
      <c r="BS438" s="407" t="str">
        <f>VLOOKUP(BQ438,MiscData!$W$4:$Y$42,3,FALSE)</f>
        <v>PSS</v>
      </c>
    </row>
    <row r="439" spans="1:71" hidden="1">
      <c r="A439" s="416">
        <f t="shared" ref="A439:A448" si="333">A438+1</f>
        <v>363</v>
      </c>
      <c r="B439" s="416" t="str">
        <f t="shared" si="286"/>
        <v>Dec 2014</v>
      </c>
      <c r="C439" s="416" t="s">
        <v>221</v>
      </c>
      <c r="D439" s="417" t="str">
        <f t="shared" si="287"/>
        <v>TODP</v>
      </c>
      <c r="E439" s="417" t="str">
        <f t="shared" si="288"/>
        <v>KUCIE571</v>
      </c>
      <c r="F439" s="418">
        <f t="shared" si="292"/>
        <v>184</v>
      </c>
      <c r="G439" s="467"/>
      <c r="H439" s="418">
        <v>0</v>
      </c>
      <c r="I439" s="418">
        <v>0</v>
      </c>
      <c r="J439" s="418">
        <v>0</v>
      </c>
      <c r="K439" s="418">
        <f t="shared" si="293"/>
        <v>100462503</v>
      </c>
      <c r="L439" s="481">
        <v>0</v>
      </c>
      <c r="M439" s="443">
        <f t="shared" si="294"/>
        <v>250727.32</v>
      </c>
      <c r="N439" s="443">
        <f t="shared" si="295"/>
        <v>241204.87</v>
      </c>
      <c r="O439" s="443">
        <f t="shared" si="296"/>
        <v>237747.33</v>
      </c>
      <c r="P439" s="443">
        <f t="shared" si="297"/>
        <v>250727.32</v>
      </c>
      <c r="Q439" s="443">
        <f t="shared" si="298"/>
        <v>241204.87</v>
      </c>
      <c r="R439" s="443">
        <f t="shared" si="299"/>
        <v>237747.33</v>
      </c>
      <c r="S439" s="484"/>
      <c r="T439" s="484"/>
      <c r="U439" s="484"/>
      <c r="V439" s="490">
        <v>0</v>
      </c>
      <c r="W439" s="490">
        <v>0</v>
      </c>
      <c r="X439" s="490">
        <v>0</v>
      </c>
      <c r="Y439" s="419">
        <f t="shared" si="300"/>
        <v>300</v>
      </c>
      <c r="Z439" s="420">
        <f t="shared" si="301"/>
        <v>3.7650000000000003E-2</v>
      </c>
      <c r="AA439" s="420">
        <v>0</v>
      </c>
      <c r="AB439" s="420">
        <v>0</v>
      </c>
      <c r="AC439" s="420">
        <f t="shared" si="302"/>
        <v>2.8920000000000001E-2</v>
      </c>
      <c r="AD439" s="419">
        <f t="shared" si="303"/>
        <v>1.71</v>
      </c>
      <c r="AE439" s="419">
        <f t="shared" si="304"/>
        <v>2.76</v>
      </c>
      <c r="AF439" s="419">
        <f t="shared" si="305"/>
        <v>4.26</v>
      </c>
      <c r="AG439" s="454">
        <f t="shared" si="306"/>
        <v>55200</v>
      </c>
      <c r="AH439" s="454">
        <f t="shared" si="330"/>
        <v>3782413.24</v>
      </c>
      <c r="AI439" s="421">
        <f t="shared" si="307"/>
        <v>428743.72</v>
      </c>
      <c r="AJ439" s="421">
        <f t="shared" si="308"/>
        <v>665725.43999999994</v>
      </c>
      <c r="AK439" s="421">
        <f t="shared" si="309"/>
        <v>1012803.63</v>
      </c>
      <c r="AL439" s="472">
        <v>0</v>
      </c>
      <c r="AM439" s="422">
        <f t="shared" si="328"/>
        <v>0</v>
      </c>
      <c r="AN439" s="423">
        <f t="shared" si="310"/>
        <v>0</v>
      </c>
      <c r="AO439" s="421">
        <f t="shared" si="311"/>
        <v>2107272.79</v>
      </c>
      <c r="AP439" s="472"/>
      <c r="AQ439" s="472"/>
      <c r="AR439" s="472"/>
      <c r="AS439" s="475">
        <v>0</v>
      </c>
      <c r="AT439" s="475">
        <v>0</v>
      </c>
      <c r="AU439" s="475">
        <v>0</v>
      </c>
      <c r="AV439" s="454">
        <f t="shared" si="312"/>
        <v>5944886.0300000003</v>
      </c>
      <c r="AW439" s="421">
        <f t="shared" si="313"/>
        <v>5944886</v>
      </c>
      <c r="AX439" s="455">
        <f t="shared" si="332"/>
        <v>0.99999999495364589</v>
      </c>
      <c r="AY439" s="424">
        <f t="shared" si="314"/>
        <v>362982</v>
      </c>
      <c r="AZ439" s="424">
        <f t="shared" si="315"/>
        <v>213642</v>
      </c>
      <c r="BA439" s="424">
        <f t="shared" si="316"/>
        <v>319394</v>
      </c>
      <c r="BB439" s="424">
        <f t="shared" si="317"/>
        <v>0</v>
      </c>
      <c r="BC439" s="424">
        <f t="shared" si="318"/>
        <v>0</v>
      </c>
      <c r="BD439" s="424">
        <f t="shared" si="319"/>
        <v>6840904</v>
      </c>
      <c r="BE439" s="452">
        <f t="shared" si="320"/>
        <v>6840904.0300000003</v>
      </c>
      <c r="BF439" s="448">
        <f t="shared" si="321"/>
        <v>-3.0000000260770321E-2</v>
      </c>
      <c r="BG439" s="456">
        <f t="shared" si="322"/>
        <v>2905375.59</v>
      </c>
      <c r="BH439" s="457">
        <f t="shared" si="289"/>
        <v>877037.65000000037</v>
      </c>
      <c r="BI439" s="407" t="s">
        <v>1490</v>
      </c>
      <c r="BM439" s="429">
        <f>IF(BR439&gt;BR438,BM438,IF(BM438&lt;MiscData!$F$1,EOMONTH(BM438,1),EOMONTH(BM438,-11)))</f>
        <v>42004</v>
      </c>
      <c r="BN439" s="416" t="str">
        <f t="shared" si="290"/>
        <v>20140101KUCIE571</v>
      </c>
      <c r="BO439" s="427" t="str">
        <f t="shared" si="291"/>
        <v>20140101TODP</v>
      </c>
      <c r="BP439" s="407">
        <f>IF(BM439&lt;=MiscData!$B$23,MiscData!$C$23,IF(BM439&lt;=MiscData!$B$24,MiscData!$C$24,MiscData!$C$25))</f>
        <v>20140101</v>
      </c>
      <c r="BQ439" s="407" t="str">
        <f>VLOOKUP(BR439,MiscData!$V$4:$W$42,2,FALSE)</f>
        <v>KUCIE571</v>
      </c>
      <c r="BR439" s="407">
        <f>IF(BR438=MiscData!$V$42,1,BR438+1)</f>
        <v>7</v>
      </c>
      <c r="BS439" s="407" t="str">
        <f>VLOOKUP(BQ439,MiscData!$W$4:$Y$42,3,FALSE)</f>
        <v>TODP</v>
      </c>
    </row>
    <row r="440" spans="1:71" hidden="1">
      <c r="A440" s="416">
        <f t="shared" si="333"/>
        <v>364</v>
      </c>
      <c r="B440" s="416" t="str">
        <f t="shared" si="286"/>
        <v>Dec 2014</v>
      </c>
      <c r="C440" s="416" t="s">
        <v>220</v>
      </c>
      <c r="D440" s="417" t="str">
        <f t="shared" si="287"/>
        <v>TODS</v>
      </c>
      <c r="E440" s="417" t="str">
        <f t="shared" si="288"/>
        <v>KUCIE572</v>
      </c>
      <c r="F440" s="418">
        <f t="shared" si="292"/>
        <v>454</v>
      </c>
      <c r="G440" s="467"/>
      <c r="H440" s="418">
        <v>0</v>
      </c>
      <c r="I440" s="418">
        <v>0</v>
      </c>
      <c r="J440" s="418">
        <v>0</v>
      </c>
      <c r="K440" s="418">
        <f t="shared" si="293"/>
        <v>117631384</v>
      </c>
      <c r="L440" s="481"/>
      <c r="M440" s="443">
        <f t="shared" si="294"/>
        <v>288657.27</v>
      </c>
      <c r="N440" s="443">
        <f t="shared" si="295"/>
        <v>262909.32</v>
      </c>
      <c r="O440" s="443">
        <f t="shared" si="296"/>
        <v>257020.16</v>
      </c>
      <c r="P440" s="443">
        <f t="shared" si="297"/>
        <v>288657.27</v>
      </c>
      <c r="Q440" s="443">
        <f t="shared" si="298"/>
        <v>262909.32</v>
      </c>
      <c r="R440" s="443">
        <f t="shared" si="299"/>
        <v>257020.16</v>
      </c>
      <c r="S440" s="484"/>
      <c r="T440" s="484"/>
      <c r="U440" s="484"/>
      <c r="V440" s="490">
        <v>0</v>
      </c>
      <c r="W440" s="490">
        <v>0</v>
      </c>
      <c r="X440" s="490">
        <v>0</v>
      </c>
      <c r="Y440" s="419">
        <f t="shared" si="300"/>
        <v>200</v>
      </c>
      <c r="Z440" s="420">
        <f t="shared" si="301"/>
        <v>3.773E-2</v>
      </c>
      <c r="AA440" s="420">
        <v>0</v>
      </c>
      <c r="AB440" s="420">
        <v>0</v>
      </c>
      <c r="AC440" s="420">
        <f t="shared" si="302"/>
        <v>2.8920000000000001E-2</v>
      </c>
      <c r="AD440" s="419">
        <f t="shared" si="303"/>
        <v>3.62</v>
      </c>
      <c r="AE440" s="419">
        <f t="shared" si="304"/>
        <v>2.95</v>
      </c>
      <c r="AF440" s="419">
        <f t="shared" si="305"/>
        <v>4.55</v>
      </c>
      <c r="AG440" s="454">
        <f t="shared" si="306"/>
        <v>90800</v>
      </c>
      <c r="AH440" s="454">
        <f t="shared" si="330"/>
        <v>4438232.12</v>
      </c>
      <c r="AI440" s="421">
        <f t="shared" si="307"/>
        <v>1044939.32</v>
      </c>
      <c r="AJ440" s="421">
        <f t="shared" si="308"/>
        <v>775582.49</v>
      </c>
      <c r="AK440" s="421">
        <f t="shared" si="309"/>
        <v>1169441.73</v>
      </c>
      <c r="AL440" s="472"/>
      <c r="AM440" s="422">
        <f t="shared" si="328"/>
        <v>0</v>
      </c>
      <c r="AN440" s="423">
        <f t="shared" si="310"/>
        <v>0</v>
      </c>
      <c r="AO440" s="421">
        <f t="shared" si="311"/>
        <v>2989963.54</v>
      </c>
      <c r="AP440" s="472"/>
      <c r="AQ440" s="472"/>
      <c r="AR440" s="472"/>
      <c r="AS440" s="475">
        <v>0</v>
      </c>
      <c r="AT440" s="475">
        <v>0</v>
      </c>
      <c r="AU440" s="475">
        <v>0</v>
      </c>
      <c r="AV440" s="454">
        <f t="shared" si="312"/>
        <v>7518995.6600000001</v>
      </c>
      <c r="AW440" s="421">
        <f t="shared" si="313"/>
        <v>7518995</v>
      </c>
      <c r="AX440" s="455">
        <f t="shared" si="332"/>
        <v>0.99999991222231932</v>
      </c>
      <c r="AY440" s="424">
        <f t="shared" si="314"/>
        <v>425016</v>
      </c>
      <c r="AZ440" s="424">
        <f t="shared" si="315"/>
        <v>250153</v>
      </c>
      <c r="BA440" s="424">
        <f t="shared" si="316"/>
        <v>373978</v>
      </c>
      <c r="BB440" s="424">
        <f t="shared" si="317"/>
        <v>0</v>
      </c>
      <c r="BC440" s="424">
        <f t="shared" si="318"/>
        <v>0</v>
      </c>
      <c r="BD440" s="424">
        <f t="shared" si="319"/>
        <v>8568142</v>
      </c>
      <c r="BE440" s="452">
        <f t="shared" si="320"/>
        <v>8568142.6600000001</v>
      </c>
      <c r="BF440" s="448">
        <f t="shared" si="321"/>
        <v>-0.66000000014901161</v>
      </c>
      <c r="BG440" s="456">
        <f t="shared" si="322"/>
        <v>3401899.63</v>
      </c>
      <c r="BH440" s="457">
        <f t="shared" si="289"/>
        <v>1036332.4900000002</v>
      </c>
      <c r="BI440" s="407" t="s">
        <v>1490</v>
      </c>
      <c r="BM440" s="429">
        <f>IF(BR440&gt;BR439,BM439,IF(BM439&lt;MiscData!$F$1,EOMONTH(BM439,1),EOMONTH(BM439,-11)))</f>
        <v>42004</v>
      </c>
      <c r="BN440" s="416" t="str">
        <f t="shared" si="290"/>
        <v>20140101KUCIE572</v>
      </c>
      <c r="BO440" s="427" t="str">
        <f t="shared" si="291"/>
        <v>20140101TODS</v>
      </c>
      <c r="BP440" s="407">
        <f>IF(BM440&lt;=MiscData!$B$23,MiscData!$C$23,IF(BM440&lt;=MiscData!$B$24,MiscData!$C$24,MiscData!$C$25))</f>
        <v>20140101</v>
      </c>
      <c r="BQ440" s="407" t="str">
        <f>VLOOKUP(BR440,MiscData!$V$4:$W$42,2,FALSE)</f>
        <v>KUCIE572</v>
      </c>
      <c r="BR440" s="407">
        <f>IF(BR439=MiscData!$V$42,1,BR439+1)</f>
        <v>8</v>
      </c>
      <c r="BS440" s="407" t="str">
        <f>VLOOKUP(BQ440,MiscData!$W$4:$Y$42,3,FALSE)</f>
        <v>TODS</v>
      </c>
    </row>
    <row r="441" spans="1:71" hidden="1">
      <c r="A441" s="416">
        <f t="shared" si="333"/>
        <v>365</v>
      </c>
      <c r="B441" s="416" t="str">
        <f t="shared" ref="B441:B468" si="334">TEXT(BM441,"mmm yyyy")</f>
        <v>Dec 2014</v>
      </c>
      <c r="C441" s="416" t="s">
        <v>25</v>
      </c>
      <c r="D441" s="417" t="str">
        <f t="shared" ref="D441:D470" si="335">BS441</f>
        <v>PSS</v>
      </c>
      <c r="E441" s="417" t="str">
        <f t="shared" ref="E441:E469" si="336">BQ441</f>
        <v>KUCIE717</v>
      </c>
      <c r="F441" s="418">
        <f t="shared" ref="F441:F471" si="337">SUMIFS(_1022_Count,_1022_RevenueMonth,$B441,_1022_RateCategory,$E441)</f>
        <v>0</v>
      </c>
      <c r="G441" s="467">
        <v>0</v>
      </c>
      <c r="H441" s="418">
        <v>0</v>
      </c>
      <c r="I441" s="418">
        <v>0</v>
      </c>
      <c r="J441" s="418">
        <v>0</v>
      </c>
      <c r="K441" s="418">
        <f t="shared" ref="K441:K471" si="338">SUMIFS(_1022_KWH,_1022_RevenueMonth,$B441,_1022_RateCategory,$E441)</f>
        <v>0</v>
      </c>
      <c r="L441" s="459">
        <v>0</v>
      </c>
      <c r="M441" s="443">
        <f t="shared" ref="M441:M471" si="339">SUMIFS(_1022_Measured_KVA_Base,_1022_RevenueMonth,$B441,_1022_RateCategory,$E441)</f>
        <v>0</v>
      </c>
      <c r="N441" s="443">
        <f t="shared" ref="N441:N471" si="340">SUMIFS(_1022_Measured_KVA_Inter,_1022_RevenueMonth,$B441,_1022_RateCategory,$E441)</f>
        <v>0</v>
      </c>
      <c r="O441" s="443">
        <f t="shared" ref="O441:O471" si="341">SUMIFS(_1022_Measured_KVA_Peak,_1022_RevenueMonth,$B441,_1022_RateCategory,$E441)</f>
        <v>0</v>
      </c>
      <c r="P441" s="443">
        <f t="shared" ref="P441:P471" si="342">SUMIFS(_1022_Demand_Base,_1022_RevenueMonth,$B441,_1022_RateCategory,$E441)</f>
        <v>0</v>
      </c>
      <c r="Q441" s="443">
        <f t="shared" ref="Q441:Q471" si="343">SUMIFS(_1022_Demand_Intermediate,_1022_RevenueMonth,$B441,_1022_RateCategory,$E441)</f>
        <v>0</v>
      </c>
      <c r="R441" s="443">
        <f t="shared" ref="R441:R471" si="344">SUMIFS(_1022_Demand_Peak,_1022_RevenueMonth,$B441,_1022_RateCategory,$E441)</f>
        <v>0</v>
      </c>
      <c r="S441" s="484">
        <v>0</v>
      </c>
      <c r="T441" s="484">
        <v>0</v>
      </c>
      <c r="U441" s="484">
        <v>0</v>
      </c>
      <c r="V441" s="490">
        <v>0</v>
      </c>
      <c r="W441" s="490">
        <v>0</v>
      </c>
      <c r="X441" s="490">
        <v>0</v>
      </c>
      <c r="Y441" s="419">
        <f t="shared" ref="Y441:Y471" si="345">SUMIF(_Rates_Tariff_Category,$BN441,_Rates_BasicServiceCharge)</f>
        <v>90</v>
      </c>
      <c r="Z441" s="420">
        <f t="shared" ref="Z441:Z471" si="346">SUMIF(_Rates_Tariff_Category,$BN441,_Rates_Energy)</f>
        <v>3.5640000000000005E-2</v>
      </c>
      <c r="AA441" s="420">
        <v>0</v>
      </c>
      <c r="AB441" s="420">
        <v>0</v>
      </c>
      <c r="AC441" s="420">
        <f t="shared" ref="AC441:AC471" si="347">SUMIF(_Rates_Tariff_Category,$BN441,_Rates_FAC_Energy)</f>
        <v>2.8920000000000001E-2</v>
      </c>
      <c r="AD441" s="419">
        <f t="shared" ref="AD441:AD471" si="348">SUMIF(_Rates_Tariff_Category,$BN441,_Rates_Demand_Base)</f>
        <v>0</v>
      </c>
      <c r="AE441" s="419">
        <f t="shared" ref="AE441:AE471" si="349">SUMIF(_Rates_Tariff_Category,$BN441,_Rates_Demand_Intermediate)</f>
        <v>13.2</v>
      </c>
      <c r="AF441" s="419">
        <f t="shared" ref="AF441:AF471" si="350">SUMIF(_Rates_Tariff_Category,$BN441,_Rates_Demand_Peak)</f>
        <v>15.3</v>
      </c>
      <c r="AG441" s="454">
        <f t="shared" ref="AG441:AG471" si="351">ROUND(($F441+$G441)*$Y441,2)</f>
        <v>0</v>
      </c>
      <c r="AH441" s="454">
        <f t="shared" ref="AH441:AH449" si="352">ROUND(IF(H441=0,(K441+L441)*Z441,SUMPRODUCT(H441:J441,Z441:AB441)),2)</f>
        <v>0</v>
      </c>
      <c r="AI441" s="421">
        <f t="shared" ref="AI441:AI471" si="353">ROUND(($M441+V441)*$AD441,2)</f>
        <v>0</v>
      </c>
      <c r="AJ441" s="421">
        <f t="shared" ref="AJ441:AJ471" si="354">ROUND(($N441+W441)*$AE441,2)</f>
        <v>0</v>
      </c>
      <c r="AK441" s="421">
        <f t="shared" ref="AK441:AK471" si="355">ROUND(($O441+X441)*$AF441,2)</f>
        <v>0</v>
      </c>
      <c r="AL441" s="472">
        <v>0</v>
      </c>
      <c r="AM441" s="422">
        <f t="shared" ref="AM441:AM471" si="356">SUMIFS(_1022_Power_Factor_Revenue,_1022_RevenueMonth,$B441,_1022_RateCategory,$E441)</f>
        <v>0</v>
      </c>
      <c r="AN441" s="423">
        <f t="shared" ref="AN441:AN471" si="357">ROUND(U441*AF441+T441*AE441+S441*AD441,2)</f>
        <v>0</v>
      </c>
      <c r="AO441" s="421">
        <f t="shared" ref="AO441:AO468" si="358">SUM(AI441:AN441)</f>
        <v>0</v>
      </c>
      <c r="AP441" s="472">
        <v>0</v>
      </c>
      <c r="AQ441" s="472">
        <v>0</v>
      </c>
      <c r="AR441" s="472">
        <v>0</v>
      </c>
      <c r="AS441" s="475">
        <v>0</v>
      </c>
      <c r="AT441" s="475">
        <v>0</v>
      </c>
      <c r="AU441" s="475">
        <v>0</v>
      </c>
      <c r="AV441" s="454">
        <f t="shared" ref="AV441:AV470" si="359">SUM(AG441:AN441,AP441:AU441)</f>
        <v>0</v>
      </c>
      <c r="AW441" s="421">
        <f t="shared" ref="AW441:AW471" si="360">BD441-SUM(AY441:BC441)</f>
        <v>0</v>
      </c>
      <c r="AX441" s="455">
        <f t="shared" si="332"/>
        <v>1</v>
      </c>
      <c r="AY441" s="424">
        <f t="shared" ref="AY441:AY471" si="361">SUMIFS(_SBR_FAC,_SBR_Revenue_Month,$B441,_SBR_Rate_Category,$E441)</f>
        <v>0</v>
      </c>
      <c r="AZ441" s="424">
        <f t="shared" ref="AZ441:AZ471" si="362">SUMIFS(_SBR_DSM,_SBR_Revenue_Month,$B441,_SBR_Rate_Category,$E441)</f>
        <v>0</v>
      </c>
      <c r="BA441" s="424">
        <f t="shared" ref="BA441:BA471" si="363">SUMIFS(_SBR_ECR,_SBR_Revenue_Month,$B441,_SBR_Rate_Category,$E441)</f>
        <v>0</v>
      </c>
      <c r="BB441" s="424">
        <f t="shared" ref="BB441:BB471" si="364">SUMIFS(_SBR_MSR,_SBR_Revenue_Month,$B441,_SBR_Rate_Category,$E441)</f>
        <v>0</v>
      </c>
      <c r="BC441" s="424">
        <f t="shared" ref="BC441:BC471" si="365">SUMIFS(_SBR_CSR,_SBR_Revenue_Month,$B441,_SBR_Rate_Category,$E441)</f>
        <v>0</v>
      </c>
      <c r="BD441" s="424">
        <f t="shared" ref="BD441:BD471" si="366">SUMIFS(_SBR_Revenue_Actual,_SBR_Revenue_Month,$B441,_SBR_Rate_Category,$E441)</f>
        <v>0</v>
      </c>
      <c r="BE441" s="452">
        <f t="shared" ref="BE441:BE471" si="367">SUM(AV441,AY441:BC441)</f>
        <v>0</v>
      </c>
      <c r="BF441" s="448">
        <f t="shared" ref="BF441:BF471" si="368">BD441-BE441</f>
        <v>0</v>
      </c>
      <c r="BG441" s="456">
        <f t="shared" ref="BG441:BG471" si="369">ROUND($K441*$AC441,2)</f>
        <v>0</v>
      </c>
      <c r="BH441" s="457">
        <f t="shared" ref="BH441:BH471" si="370">AH441+AQ441-BG441</f>
        <v>0</v>
      </c>
      <c r="BI441" s="407" t="s">
        <v>1490</v>
      </c>
      <c r="BM441" s="429">
        <f>IF(BR441&gt;BR440,BM440,IF(BM440&lt;MiscData!$F$1,EOMONTH(BM440,1),EOMONTH(BM440,-11)))</f>
        <v>42004</v>
      </c>
      <c r="BN441" s="416" t="str">
        <f t="shared" ref="BN441:BN469" si="371">CONCATENATE(BP441&amp;BQ441)</f>
        <v>20140101KUCIE717</v>
      </c>
      <c r="BO441" s="427" t="str">
        <f t="shared" ref="BO441:BO469" si="372">CONCATENATE(BP441&amp;BS441)</f>
        <v>20140101PSS</v>
      </c>
      <c r="BP441" s="407">
        <f>IF(BM441&lt;=MiscData!$B$23,MiscData!$C$23,IF(BM441&lt;=MiscData!$B$24,MiscData!$C$24,MiscData!$C$25))</f>
        <v>20140101</v>
      </c>
      <c r="BQ441" s="407" t="str">
        <f>VLOOKUP(BR441,MiscData!$V$4:$W$42,2,FALSE)</f>
        <v>KUCIE717</v>
      </c>
      <c r="BR441" s="407">
        <f>IF(BR440=MiscData!$V$42,1,BR440+1)</f>
        <v>9</v>
      </c>
      <c r="BS441" s="407" t="str">
        <f>VLOOKUP(BQ441,MiscData!$W$4:$Y$42,3,FALSE)</f>
        <v>PSS</v>
      </c>
    </row>
    <row r="442" spans="1:71" hidden="1">
      <c r="A442" s="416">
        <f t="shared" si="333"/>
        <v>366</v>
      </c>
      <c r="B442" s="416" t="str">
        <f t="shared" si="334"/>
        <v>Dec 2014</v>
      </c>
      <c r="C442" s="416" t="s">
        <v>224</v>
      </c>
      <c r="D442" s="417" t="str">
        <f t="shared" si="335"/>
        <v>GS</v>
      </c>
      <c r="E442" s="417" t="str">
        <f t="shared" si="336"/>
        <v>KUCME110</v>
      </c>
      <c r="F442" s="418">
        <f t="shared" si="337"/>
        <v>63436</v>
      </c>
      <c r="G442" s="467">
        <v>0</v>
      </c>
      <c r="H442" s="418">
        <v>0</v>
      </c>
      <c r="I442" s="418">
        <v>0</v>
      </c>
      <c r="J442" s="418">
        <v>0</v>
      </c>
      <c r="K442" s="418">
        <f t="shared" si="338"/>
        <v>65046378</v>
      </c>
      <c r="L442" s="481">
        <v>0</v>
      </c>
      <c r="M442" s="443">
        <f t="shared" si="339"/>
        <v>0</v>
      </c>
      <c r="N442" s="443">
        <f t="shared" si="340"/>
        <v>0</v>
      </c>
      <c r="O442" s="443">
        <f t="shared" si="341"/>
        <v>0</v>
      </c>
      <c r="P442" s="443">
        <f t="shared" si="342"/>
        <v>0</v>
      </c>
      <c r="Q442" s="443">
        <f t="shared" si="343"/>
        <v>0</v>
      </c>
      <c r="R442" s="443">
        <f t="shared" si="344"/>
        <v>0</v>
      </c>
      <c r="S442" s="484">
        <v>0</v>
      </c>
      <c r="T442" s="484">
        <v>0</v>
      </c>
      <c r="U442" s="484">
        <v>0</v>
      </c>
      <c r="V442" s="490">
        <v>0</v>
      </c>
      <c r="W442" s="490">
        <v>0</v>
      </c>
      <c r="X442" s="490">
        <v>0</v>
      </c>
      <c r="Y442" s="419">
        <f t="shared" si="345"/>
        <v>20</v>
      </c>
      <c r="Z442" s="420">
        <f t="shared" si="346"/>
        <v>9.2249999999999999E-2</v>
      </c>
      <c r="AA442" s="420">
        <v>0</v>
      </c>
      <c r="AB442" s="420">
        <v>0</v>
      </c>
      <c r="AC442" s="420">
        <f t="shared" si="347"/>
        <v>2.8920000000000001E-2</v>
      </c>
      <c r="AD442" s="419">
        <f t="shared" si="348"/>
        <v>0</v>
      </c>
      <c r="AE442" s="419">
        <f t="shared" si="349"/>
        <v>0</v>
      </c>
      <c r="AF442" s="419">
        <f t="shared" si="350"/>
        <v>0</v>
      </c>
      <c r="AG442" s="454">
        <f t="shared" si="351"/>
        <v>1268720</v>
      </c>
      <c r="AH442" s="454">
        <f t="shared" si="352"/>
        <v>6000528.3700000001</v>
      </c>
      <c r="AI442" s="421">
        <f t="shared" si="353"/>
        <v>0</v>
      </c>
      <c r="AJ442" s="421">
        <f t="shared" si="354"/>
        <v>0</v>
      </c>
      <c r="AK442" s="421">
        <f t="shared" si="355"/>
        <v>0</v>
      </c>
      <c r="AL442" s="472">
        <v>0</v>
      </c>
      <c r="AM442" s="422">
        <f t="shared" si="356"/>
        <v>0</v>
      </c>
      <c r="AN442" s="423">
        <f t="shared" si="357"/>
        <v>0</v>
      </c>
      <c r="AO442" s="421">
        <f t="shared" si="358"/>
        <v>0</v>
      </c>
      <c r="AP442" s="472">
        <v>0</v>
      </c>
      <c r="AQ442" s="472">
        <v>0</v>
      </c>
      <c r="AR442" s="472">
        <v>0</v>
      </c>
      <c r="AS442" s="475">
        <v>0</v>
      </c>
      <c r="AT442" s="475">
        <v>0</v>
      </c>
      <c r="AU442" s="475">
        <v>0</v>
      </c>
      <c r="AV442" s="454">
        <f t="shared" si="359"/>
        <v>7269248.3700000001</v>
      </c>
      <c r="AW442" s="421">
        <f t="shared" si="360"/>
        <v>7269256</v>
      </c>
      <c r="AX442" s="455">
        <f t="shared" ref="AX442:AX451" si="373">IF(AND(AV442=0,AW442=0),1,IF(AV442=0,0,AW442/AV442))</f>
        <v>1.0000010496270881</v>
      </c>
      <c r="AY442" s="424">
        <f t="shared" si="361"/>
        <v>235020</v>
      </c>
      <c r="AZ442" s="424">
        <f t="shared" si="362"/>
        <v>138326</v>
      </c>
      <c r="BA442" s="424">
        <f t="shared" si="363"/>
        <v>206798</v>
      </c>
      <c r="BB442" s="424">
        <f t="shared" si="364"/>
        <v>0</v>
      </c>
      <c r="BC442" s="424">
        <f t="shared" si="365"/>
        <v>0</v>
      </c>
      <c r="BD442" s="424">
        <f t="shared" si="366"/>
        <v>7849400</v>
      </c>
      <c r="BE442" s="452">
        <f t="shared" si="367"/>
        <v>7849392.3700000001</v>
      </c>
      <c r="BF442" s="448">
        <f t="shared" si="368"/>
        <v>7.6299999998882413</v>
      </c>
      <c r="BG442" s="456">
        <f t="shared" si="369"/>
        <v>1881141.25</v>
      </c>
      <c r="BH442" s="457">
        <f t="shared" si="370"/>
        <v>4119387.12</v>
      </c>
      <c r="BI442" s="407" t="s">
        <v>1490</v>
      </c>
      <c r="BM442" s="429">
        <f>IF(BR442&gt;BR441,BM441,IF(BM441&lt;MiscData!$F$1,EOMONTH(BM441,1),EOMONTH(BM441,-11)))</f>
        <v>42004</v>
      </c>
      <c r="BN442" s="416" t="str">
        <f t="shared" si="371"/>
        <v>20140101KUCME110</v>
      </c>
      <c r="BO442" s="427" t="str">
        <f t="shared" si="372"/>
        <v>20140101GS</v>
      </c>
      <c r="BP442" s="407">
        <f>IF(BM442&lt;=MiscData!$B$23,MiscData!$C$23,IF(BM442&lt;=MiscData!$B$24,MiscData!$C$24,MiscData!$C$25))</f>
        <v>20140101</v>
      </c>
      <c r="BQ442" s="407" t="str">
        <f>VLOOKUP(BR442,MiscData!$V$4:$W$42,2,FALSE)</f>
        <v>KUCME110</v>
      </c>
      <c r="BR442" s="407">
        <f>IF(BR441=MiscData!$V$42,1,BR441+1)</f>
        <v>10</v>
      </c>
      <c r="BS442" s="407" t="str">
        <f>VLOOKUP(BQ442,MiscData!$W$4:$Y$42,3,FALSE)</f>
        <v>GS</v>
      </c>
    </row>
    <row r="443" spans="1:71" hidden="1">
      <c r="A443" s="416">
        <f t="shared" si="333"/>
        <v>367</v>
      </c>
      <c r="B443" s="416" t="str">
        <f t="shared" si="334"/>
        <v>Dec 2014</v>
      </c>
      <c r="C443" s="416" t="s">
        <v>224</v>
      </c>
      <c r="D443" s="417" t="str">
        <f t="shared" si="335"/>
        <v>GS</v>
      </c>
      <c r="E443" s="417" t="str">
        <f t="shared" si="336"/>
        <v>KUCME112</v>
      </c>
      <c r="F443" s="418">
        <f t="shared" si="337"/>
        <v>0</v>
      </c>
      <c r="G443" s="467">
        <v>0</v>
      </c>
      <c r="H443" s="418">
        <v>0</v>
      </c>
      <c r="I443" s="418">
        <v>0</v>
      </c>
      <c r="J443" s="418">
        <v>0</v>
      </c>
      <c r="K443" s="418">
        <f t="shared" si="338"/>
        <v>0</v>
      </c>
      <c r="L443" s="481">
        <v>0</v>
      </c>
      <c r="M443" s="443">
        <f t="shared" si="339"/>
        <v>0</v>
      </c>
      <c r="N443" s="443">
        <f t="shared" si="340"/>
        <v>0</v>
      </c>
      <c r="O443" s="443">
        <f t="shared" si="341"/>
        <v>0</v>
      </c>
      <c r="P443" s="443">
        <f t="shared" si="342"/>
        <v>0</v>
      </c>
      <c r="Q443" s="443">
        <f t="shared" si="343"/>
        <v>0</v>
      </c>
      <c r="R443" s="443">
        <f t="shared" si="344"/>
        <v>0</v>
      </c>
      <c r="S443" s="484">
        <v>0</v>
      </c>
      <c r="T443" s="484">
        <v>0</v>
      </c>
      <c r="U443" s="484">
        <v>0</v>
      </c>
      <c r="V443" s="490">
        <v>0</v>
      </c>
      <c r="W443" s="490">
        <v>0</v>
      </c>
      <c r="X443" s="490">
        <v>0</v>
      </c>
      <c r="Y443" s="419">
        <f t="shared" si="345"/>
        <v>20</v>
      </c>
      <c r="Z443" s="420">
        <f t="shared" si="346"/>
        <v>9.2249999999999999E-2</v>
      </c>
      <c r="AA443" s="420">
        <v>0</v>
      </c>
      <c r="AB443" s="420">
        <v>0</v>
      </c>
      <c r="AC443" s="420">
        <f t="shared" si="347"/>
        <v>2.8920000000000001E-2</v>
      </c>
      <c r="AD443" s="419">
        <f t="shared" si="348"/>
        <v>0</v>
      </c>
      <c r="AE443" s="419">
        <f t="shared" si="349"/>
        <v>0</v>
      </c>
      <c r="AF443" s="419">
        <f t="shared" si="350"/>
        <v>0</v>
      </c>
      <c r="AG443" s="454">
        <f t="shared" si="351"/>
        <v>0</v>
      </c>
      <c r="AH443" s="454">
        <f t="shared" si="352"/>
        <v>0</v>
      </c>
      <c r="AI443" s="421">
        <f t="shared" si="353"/>
        <v>0</v>
      </c>
      <c r="AJ443" s="421">
        <f t="shared" si="354"/>
        <v>0</v>
      </c>
      <c r="AK443" s="421">
        <f t="shared" si="355"/>
        <v>0</v>
      </c>
      <c r="AL443" s="472">
        <v>0</v>
      </c>
      <c r="AM443" s="422">
        <f t="shared" si="356"/>
        <v>0</v>
      </c>
      <c r="AN443" s="423">
        <f t="shared" si="357"/>
        <v>0</v>
      </c>
      <c r="AO443" s="421">
        <f t="shared" si="358"/>
        <v>0</v>
      </c>
      <c r="AP443" s="472">
        <v>0</v>
      </c>
      <c r="AQ443" s="472">
        <v>0</v>
      </c>
      <c r="AR443" s="472">
        <v>0</v>
      </c>
      <c r="AS443" s="475">
        <v>0</v>
      </c>
      <c r="AT443" s="475">
        <v>0</v>
      </c>
      <c r="AU443" s="475">
        <v>0</v>
      </c>
      <c r="AV443" s="454">
        <f t="shared" si="359"/>
        <v>0</v>
      </c>
      <c r="AW443" s="421">
        <f t="shared" si="360"/>
        <v>0</v>
      </c>
      <c r="AX443" s="455">
        <f t="shared" si="373"/>
        <v>1</v>
      </c>
      <c r="AY443" s="424">
        <f t="shared" si="361"/>
        <v>0</v>
      </c>
      <c r="AZ443" s="424">
        <f t="shared" si="362"/>
        <v>0</v>
      </c>
      <c r="BA443" s="424">
        <f t="shared" si="363"/>
        <v>0</v>
      </c>
      <c r="BB443" s="424">
        <f t="shared" si="364"/>
        <v>0</v>
      </c>
      <c r="BC443" s="424">
        <f t="shared" si="365"/>
        <v>0</v>
      </c>
      <c r="BD443" s="424">
        <f t="shared" si="366"/>
        <v>0</v>
      </c>
      <c r="BE443" s="452">
        <f t="shared" si="367"/>
        <v>0</v>
      </c>
      <c r="BF443" s="448">
        <f t="shared" si="368"/>
        <v>0</v>
      </c>
      <c r="BG443" s="456">
        <f t="shared" si="369"/>
        <v>0</v>
      </c>
      <c r="BH443" s="457">
        <f t="shared" si="370"/>
        <v>0</v>
      </c>
      <c r="BI443" s="407" t="s">
        <v>1490</v>
      </c>
      <c r="BM443" s="429">
        <f>IF(BR443&gt;BR442,BM442,IF(BM442&lt;MiscData!$F$1,EOMONTH(BM442,1),EOMONTH(BM442,-11)))</f>
        <v>42004</v>
      </c>
      <c r="BN443" s="416" t="str">
        <f t="shared" si="371"/>
        <v>20140101KUCME112</v>
      </c>
      <c r="BO443" s="427" t="str">
        <f t="shared" si="372"/>
        <v>20140101GS</v>
      </c>
      <c r="BP443" s="407">
        <f>IF(BM443&lt;=MiscData!$B$23,MiscData!$C$23,IF(BM443&lt;=MiscData!$B$24,MiscData!$C$24,MiscData!$C$25))</f>
        <v>20140101</v>
      </c>
      <c r="BQ443" s="407" t="str">
        <f>VLOOKUP(BR443,MiscData!$V$4:$W$42,2,FALSE)</f>
        <v>KUCME112</v>
      </c>
      <c r="BR443" s="407">
        <f>IF(BR442=MiscData!$V$42,1,BR442+1)</f>
        <v>11</v>
      </c>
      <c r="BS443" s="407" t="str">
        <f>VLOOKUP(BQ443,MiscData!$W$4:$Y$42,3,FALSE)</f>
        <v>GS</v>
      </c>
    </row>
    <row r="444" spans="1:71" hidden="1">
      <c r="A444" s="416">
        <f t="shared" si="333"/>
        <v>368</v>
      </c>
      <c r="B444" s="416" t="str">
        <f t="shared" si="334"/>
        <v>Dec 2014</v>
      </c>
      <c r="C444" s="416" t="s">
        <v>18</v>
      </c>
      <c r="D444" s="417" t="str">
        <f t="shared" si="335"/>
        <v>GS3</v>
      </c>
      <c r="E444" s="417" t="str">
        <f t="shared" si="336"/>
        <v>KUCME113</v>
      </c>
      <c r="F444" s="418">
        <f t="shared" si="337"/>
        <v>18544</v>
      </c>
      <c r="G444" s="467">
        <v>0</v>
      </c>
      <c r="H444" s="418">
        <v>0</v>
      </c>
      <c r="I444" s="418">
        <v>0</v>
      </c>
      <c r="J444" s="418">
        <v>0</v>
      </c>
      <c r="K444" s="418">
        <f t="shared" si="338"/>
        <v>95315025</v>
      </c>
      <c r="L444" s="481">
        <v>0</v>
      </c>
      <c r="M444" s="443">
        <f t="shared" si="339"/>
        <v>380870.99</v>
      </c>
      <c r="N444" s="443">
        <f t="shared" si="340"/>
        <v>0</v>
      </c>
      <c r="O444" s="443">
        <f t="shared" si="341"/>
        <v>0</v>
      </c>
      <c r="P444" s="443">
        <f t="shared" si="342"/>
        <v>0</v>
      </c>
      <c r="Q444" s="443">
        <f t="shared" si="343"/>
        <v>0</v>
      </c>
      <c r="R444" s="443">
        <f t="shared" si="344"/>
        <v>0</v>
      </c>
      <c r="S444" s="484">
        <v>0</v>
      </c>
      <c r="T444" s="484">
        <v>0</v>
      </c>
      <c r="U444" s="484">
        <v>0</v>
      </c>
      <c r="V444" s="490">
        <v>0</v>
      </c>
      <c r="W444" s="490">
        <v>0</v>
      </c>
      <c r="X444" s="490">
        <v>0</v>
      </c>
      <c r="Y444" s="419">
        <f t="shared" si="345"/>
        <v>35</v>
      </c>
      <c r="Z444" s="420">
        <f t="shared" si="346"/>
        <v>9.2249999999999999E-2</v>
      </c>
      <c r="AA444" s="420">
        <v>0</v>
      </c>
      <c r="AB444" s="420">
        <v>0</v>
      </c>
      <c r="AC444" s="420">
        <f t="shared" si="347"/>
        <v>2.8920000000000001E-2</v>
      </c>
      <c r="AD444" s="419">
        <f t="shared" si="348"/>
        <v>0</v>
      </c>
      <c r="AE444" s="419">
        <f t="shared" si="349"/>
        <v>0</v>
      </c>
      <c r="AF444" s="419">
        <f t="shared" si="350"/>
        <v>0</v>
      </c>
      <c r="AG444" s="454">
        <f t="shared" si="351"/>
        <v>649040</v>
      </c>
      <c r="AH444" s="454">
        <f t="shared" si="352"/>
        <v>8792811.0600000005</v>
      </c>
      <c r="AI444" s="421">
        <f t="shared" si="353"/>
        <v>0</v>
      </c>
      <c r="AJ444" s="421">
        <f t="shared" si="354"/>
        <v>0</v>
      </c>
      <c r="AK444" s="421">
        <f t="shared" si="355"/>
        <v>0</v>
      </c>
      <c r="AL444" s="472">
        <v>0</v>
      </c>
      <c r="AM444" s="422">
        <f t="shared" si="356"/>
        <v>0</v>
      </c>
      <c r="AN444" s="423">
        <f t="shared" si="357"/>
        <v>0</v>
      </c>
      <c r="AO444" s="421">
        <f t="shared" si="358"/>
        <v>0</v>
      </c>
      <c r="AP444" s="472">
        <v>0</v>
      </c>
      <c r="AQ444" s="472">
        <v>0</v>
      </c>
      <c r="AR444" s="472">
        <v>0</v>
      </c>
      <c r="AS444" s="475">
        <v>0</v>
      </c>
      <c r="AT444" s="475">
        <v>0</v>
      </c>
      <c r="AU444" s="475">
        <v>0</v>
      </c>
      <c r="AV444" s="454">
        <f t="shared" si="359"/>
        <v>9441851.0600000005</v>
      </c>
      <c r="AW444" s="421">
        <f t="shared" si="360"/>
        <v>9441838</v>
      </c>
      <c r="AX444" s="455">
        <f t="shared" si="373"/>
        <v>0.9999986167966517</v>
      </c>
      <c r="AY444" s="424">
        <f t="shared" si="361"/>
        <v>344384</v>
      </c>
      <c r="AZ444" s="424">
        <f t="shared" si="362"/>
        <v>202695</v>
      </c>
      <c r="BA444" s="424">
        <f t="shared" si="363"/>
        <v>303029</v>
      </c>
      <c r="BB444" s="424">
        <f t="shared" si="364"/>
        <v>0</v>
      </c>
      <c r="BC444" s="424">
        <f t="shared" si="365"/>
        <v>0</v>
      </c>
      <c r="BD444" s="424">
        <f t="shared" si="366"/>
        <v>10291946</v>
      </c>
      <c r="BE444" s="452">
        <f t="shared" si="367"/>
        <v>10291959.060000001</v>
      </c>
      <c r="BF444" s="448">
        <f t="shared" si="368"/>
        <v>-13.060000000521541</v>
      </c>
      <c r="BG444" s="456">
        <f t="shared" si="369"/>
        <v>2756510.52</v>
      </c>
      <c r="BH444" s="457">
        <f t="shared" si="370"/>
        <v>6036300.540000001</v>
      </c>
      <c r="BI444" s="407" t="s">
        <v>1490</v>
      </c>
      <c r="BM444" s="429">
        <f>IF(BR444&gt;BR443,BM443,IF(BM443&lt;MiscData!$F$1,EOMONTH(BM443,1),EOMONTH(BM443,-11)))</f>
        <v>42004</v>
      </c>
      <c r="BN444" s="416" t="str">
        <f t="shared" si="371"/>
        <v>20140101KUCME113</v>
      </c>
      <c r="BO444" s="427" t="str">
        <f t="shared" si="372"/>
        <v>20140101GS3</v>
      </c>
      <c r="BP444" s="407">
        <f>IF(BM444&lt;=MiscData!$B$23,MiscData!$C$23,IF(BM444&lt;=MiscData!$B$24,MiscData!$C$24,MiscData!$C$25))</f>
        <v>20140101</v>
      </c>
      <c r="BQ444" s="407" t="str">
        <f>VLOOKUP(BR444,MiscData!$V$4:$W$42,2,FALSE)</f>
        <v>KUCME113</v>
      </c>
      <c r="BR444" s="407">
        <f>IF(BR443=MiscData!$V$42,1,BR443+1)</f>
        <v>12</v>
      </c>
      <c r="BS444" s="407" t="str">
        <f>VLOOKUP(BQ444,MiscData!$W$4:$Y$42,3,FALSE)</f>
        <v>GS3</v>
      </c>
    </row>
    <row r="445" spans="1:71" hidden="1">
      <c r="A445" s="416">
        <f t="shared" si="333"/>
        <v>369</v>
      </c>
      <c r="B445" s="416" t="str">
        <f t="shared" si="334"/>
        <v>Dec 2014</v>
      </c>
      <c r="C445" s="416" t="s">
        <v>219</v>
      </c>
      <c r="D445" s="417" t="str">
        <f t="shared" si="335"/>
        <v>AES</v>
      </c>
      <c r="E445" s="417" t="str">
        <f t="shared" si="336"/>
        <v>KUCME220</v>
      </c>
      <c r="F445" s="418">
        <f t="shared" si="337"/>
        <v>371</v>
      </c>
      <c r="G445" s="467">
        <v>0</v>
      </c>
      <c r="H445" s="418">
        <v>0</v>
      </c>
      <c r="I445" s="418">
        <v>0</v>
      </c>
      <c r="J445" s="418">
        <v>0</v>
      </c>
      <c r="K445" s="418">
        <f t="shared" si="338"/>
        <v>706313</v>
      </c>
      <c r="L445" s="481">
        <v>0</v>
      </c>
      <c r="M445" s="443">
        <f t="shared" si="339"/>
        <v>0</v>
      </c>
      <c r="N445" s="443">
        <f t="shared" si="340"/>
        <v>0</v>
      </c>
      <c r="O445" s="443">
        <f t="shared" si="341"/>
        <v>0</v>
      </c>
      <c r="P445" s="443">
        <f t="shared" si="342"/>
        <v>0</v>
      </c>
      <c r="Q445" s="443">
        <f t="shared" si="343"/>
        <v>0</v>
      </c>
      <c r="R445" s="443">
        <f t="shared" si="344"/>
        <v>0</v>
      </c>
      <c r="S445" s="484">
        <v>0</v>
      </c>
      <c r="T445" s="484">
        <v>0</v>
      </c>
      <c r="U445" s="484">
        <v>0</v>
      </c>
      <c r="V445" s="490">
        <v>0</v>
      </c>
      <c r="W445" s="490">
        <v>0</v>
      </c>
      <c r="X445" s="490">
        <v>0</v>
      </c>
      <c r="Y445" s="419">
        <f t="shared" si="345"/>
        <v>20</v>
      </c>
      <c r="Z445" s="420">
        <f t="shared" si="346"/>
        <v>7.4399999999999994E-2</v>
      </c>
      <c r="AA445" s="420">
        <v>0</v>
      </c>
      <c r="AB445" s="420">
        <v>0</v>
      </c>
      <c r="AC445" s="420">
        <f t="shared" si="347"/>
        <v>2.8920000000000001E-2</v>
      </c>
      <c r="AD445" s="419">
        <f t="shared" si="348"/>
        <v>0</v>
      </c>
      <c r="AE445" s="419">
        <f t="shared" si="349"/>
        <v>0</v>
      </c>
      <c r="AF445" s="419">
        <f t="shared" si="350"/>
        <v>0</v>
      </c>
      <c r="AG445" s="454">
        <f t="shared" si="351"/>
        <v>7420</v>
      </c>
      <c r="AH445" s="454">
        <f t="shared" si="352"/>
        <v>52549.69</v>
      </c>
      <c r="AI445" s="421">
        <f t="shared" si="353"/>
        <v>0</v>
      </c>
      <c r="AJ445" s="421">
        <f t="shared" si="354"/>
        <v>0</v>
      </c>
      <c r="AK445" s="421">
        <f t="shared" si="355"/>
        <v>0</v>
      </c>
      <c r="AL445" s="472">
        <v>0</v>
      </c>
      <c r="AM445" s="422">
        <f t="shared" si="356"/>
        <v>0</v>
      </c>
      <c r="AN445" s="423">
        <f t="shared" si="357"/>
        <v>0</v>
      </c>
      <c r="AO445" s="421">
        <f t="shared" si="358"/>
        <v>0</v>
      </c>
      <c r="AP445" s="472">
        <v>0</v>
      </c>
      <c r="AQ445" s="472">
        <v>0</v>
      </c>
      <c r="AR445" s="472">
        <v>0</v>
      </c>
      <c r="AS445" s="475">
        <v>0</v>
      </c>
      <c r="AT445" s="475">
        <v>0</v>
      </c>
      <c r="AU445" s="475">
        <v>0</v>
      </c>
      <c r="AV445" s="454">
        <f t="shared" si="359"/>
        <v>59969.69</v>
      </c>
      <c r="AW445" s="421">
        <f t="shared" si="360"/>
        <v>59969</v>
      </c>
      <c r="AX445" s="455">
        <f t="shared" si="373"/>
        <v>0.99998849418764713</v>
      </c>
      <c r="AY445" s="424">
        <f t="shared" si="361"/>
        <v>2552</v>
      </c>
      <c r="AZ445" s="424">
        <f t="shared" si="362"/>
        <v>1502</v>
      </c>
      <c r="BA445" s="424">
        <f t="shared" si="363"/>
        <v>2246</v>
      </c>
      <c r="BB445" s="424">
        <f t="shared" si="364"/>
        <v>0</v>
      </c>
      <c r="BC445" s="424">
        <f t="shared" si="365"/>
        <v>0</v>
      </c>
      <c r="BD445" s="424">
        <f t="shared" si="366"/>
        <v>66269</v>
      </c>
      <c r="BE445" s="452">
        <f t="shared" si="367"/>
        <v>66269.69</v>
      </c>
      <c r="BF445" s="448">
        <f t="shared" si="368"/>
        <v>-0.69000000000232831</v>
      </c>
      <c r="BG445" s="456">
        <f t="shared" si="369"/>
        <v>20426.57</v>
      </c>
      <c r="BH445" s="457">
        <f t="shared" si="370"/>
        <v>32123.120000000003</v>
      </c>
      <c r="BI445" s="407" t="s">
        <v>1490</v>
      </c>
      <c r="BM445" s="429">
        <f>IF(BR445&gt;BR444,BM444,IF(BM444&lt;MiscData!$F$1,EOMONTH(BM444,1),EOMONTH(BM444,-11)))</f>
        <v>42004</v>
      </c>
      <c r="BN445" s="416" t="str">
        <f t="shared" si="371"/>
        <v>20140101KUCME220</v>
      </c>
      <c r="BO445" s="427" t="str">
        <f t="shared" si="372"/>
        <v>20140101AES</v>
      </c>
      <c r="BP445" s="407">
        <f>IF(BM445&lt;=MiscData!$B$23,MiscData!$C$23,IF(BM445&lt;=MiscData!$B$24,MiscData!$C$24,MiscData!$C$25))</f>
        <v>20140101</v>
      </c>
      <c r="BQ445" s="407" t="str">
        <f>VLOOKUP(BR445,MiscData!$V$4:$W$42,2,FALSE)</f>
        <v>KUCME220</v>
      </c>
      <c r="BR445" s="407">
        <f>IF(BR444=MiscData!$V$42,1,BR444+1)</f>
        <v>13</v>
      </c>
      <c r="BS445" s="407" t="str">
        <f>VLOOKUP(BQ445,MiscData!$W$4:$Y$42,3,FALSE)</f>
        <v>AES</v>
      </c>
    </row>
    <row r="446" spans="1:71" hidden="1">
      <c r="A446" s="416">
        <f t="shared" si="333"/>
        <v>370</v>
      </c>
      <c r="B446" s="416" t="str">
        <f t="shared" si="334"/>
        <v>Dec 2014</v>
      </c>
      <c r="C446" s="416" t="s">
        <v>219</v>
      </c>
      <c r="D446" s="417" t="str">
        <f t="shared" si="335"/>
        <v>AES</v>
      </c>
      <c r="E446" s="417" t="str">
        <f t="shared" si="336"/>
        <v>KUCME221</v>
      </c>
      <c r="F446" s="418">
        <f t="shared" si="337"/>
        <v>0</v>
      </c>
      <c r="G446" s="467">
        <v>0</v>
      </c>
      <c r="H446" s="418">
        <v>0</v>
      </c>
      <c r="I446" s="418">
        <v>0</v>
      </c>
      <c r="J446" s="418">
        <v>0</v>
      </c>
      <c r="K446" s="418">
        <f t="shared" si="338"/>
        <v>0</v>
      </c>
      <c r="L446" s="481">
        <v>0</v>
      </c>
      <c r="M446" s="443">
        <f t="shared" si="339"/>
        <v>0</v>
      </c>
      <c r="N446" s="443">
        <f t="shared" si="340"/>
        <v>0</v>
      </c>
      <c r="O446" s="443">
        <f t="shared" si="341"/>
        <v>0</v>
      </c>
      <c r="P446" s="443">
        <f t="shared" si="342"/>
        <v>0</v>
      </c>
      <c r="Q446" s="443">
        <f t="shared" si="343"/>
        <v>0</v>
      </c>
      <c r="R446" s="443">
        <f t="shared" si="344"/>
        <v>0</v>
      </c>
      <c r="S446" s="484">
        <v>0</v>
      </c>
      <c r="T446" s="484">
        <v>0</v>
      </c>
      <c r="U446" s="484">
        <v>0</v>
      </c>
      <c r="V446" s="490">
        <v>0</v>
      </c>
      <c r="W446" s="490">
        <v>0</v>
      </c>
      <c r="X446" s="490">
        <v>0</v>
      </c>
      <c r="Y446" s="419">
        <f t="shared" si="345"/>
        <v>20</v>
      </c>
      <c r="Z446" s="420">
        <f t="shared" si="346"/>
        <v>7.4399999999999994E-2</v>
      </c>
      <c r="AA446" s="420">
        <v>0</v>
      </c>
      <c r="AB446" s="420">
        <v>0</v>
      </c>
      <c r="AC446" s="420">
        <f t="shared" si="347"/>
        <v>2.8920000000000001E-2</v>
      </c>
      <c r="AD446" s="419">
        <f t="shared" si="348"/>
        <v>0</v>
      </c>
      <c r="AE446" s="419">
        <f t="shared" si="349"/>
        <v>0</v>
      </c>
      <c r="AF446" s="419">
        <f t="shared" si="350"/>
        <v>0</v>
      </c>
      <c r="AG446" s="454">
        <f t="shared" si="351"/>
        <v>0</v>
      </c>
      <c r="AH446" s="454">
        <f t="shared" si="352"/>
        <v>0</v>
      </c>
      <c r="AI446" s="421">
        <f t="shared" si="353"/>
        <v>0</v>
      </c>
      <c r="AJ446" s="421">
        <f t="shared" si="354"/>
        <v>0</v>
      </c>
      <c r="AK446" s="421">
        <f t="shared" si="355"/>
        <v>0</v>
      </c>
      <c r="AL446" s="472">
        <v>0</v>
      </c>
      <c r="AM446" s="422">
        <f t="shared" si="356"/>
        <v>0</v>
      </c>
      <c r="AN446" s="423">
        <f t="shared" si="357"/>
        <v>0</v>
      </c>
      <c r="AO446" s="421">
        <f t="shared" si="358"/>
        <v>0</v>
      </c>
      <c r="AP446" s="472">
        <v>0</v>
      </c>
      <c r="AQ446" s="472">
        <v>0</v>
      </c>
      <c r="AR446" s="472">
        <v>0</v>
      </c>
      <c r="AS446" s="475">
        <v>0</v>
      </c>
      <c r="AT446" s="475">
        <v>0</v>
      </c>
      <c r="AU446" s="475">
        <v>0</v>
      </c>
      <c r="AV446" s="454">
        <f t="shared" si="359"/>
        <v>0</v>
      </c>
      <c r="AW446" s="421">
        <f t="shared" si="360"/>
        <v>0</v>
      </c>
      <c r="AX446" s="455">
        <f t="shared" si="373"/>
        <v>1</v>
      </c>
      <c r="AY446" s="424">
        <f t="shared" si="361"/>
        <v>0</v>
      </c>
      <c r="AZ446" s="424">
        <f t="shared" si="362"/>
        <v>0</v>
      </c>
      <c r="BA446" s="424">
        <f t="shared" si="363"/>
        <v>0</v>
      </c>
      <c r="BB446" s="424">
        <f t="shared" si="364"/>
        <v>0</v>
      </c>
      <c r="BC446" s="424">
        <f t="shared" si="365"/>
        <v>0</v>
      </c>
      <c r="BD446" s="424">
        <f t="shared" si="366"/>
        <v>0</v>
      </c>
      <c r="BE446" s="452">
        <f t="shared" si="367"/>
        <v>0</v>
      </c>
      <c r="BF446" s="448">
        <f t="shared" si="368"/>
        <v>0</v>
      </c>
      <c r="BG446" s="456">
        <f t="shared" si="369"/>
        <v>0</v>
      </c>
      <c r="BH446" s="457">
        <f t="shared" si="370"/>
        <v>0</v>
      </c>
      <c r="BI446" s="407" t="s">
        <v>1490</v>
      </c>
      <c r="BM446" s="429">
        <f>IF(BR446&gt;BR445,BM445,IF(BM445&lt;MiscData!$F$1,EOMONTH(BM445,1),EOMONTH(BM445,-11)))</f>
        <v>42004</v>
      </c>
      <c r="BN446" s="416" t="str">
        <f t="shared" si="371"/>
        <v>20140101KUCME221</v>
      </c>
      <c r="BO446" s="427" t="str">
        <f t="shared" si="372"/>
        <v>20140101AES</v>
      </c>
      <c r="BP446" s="407">
        <f>IF(BM446&lt;=MiscData!$B$23,MiscData!$C$23,IF(BM446&lt;=MiscData!$B$24,MiscData!$C$24,MiscData!$C$25))</f>
        <v>20140101</v>
      </c>
      <c r="BQ446" s="407" t="str">
        <f>VLOOKUP(BR446,MiscData!$V$4:$W$42,2,FALSE)</f>
        <v>KUCME221</v>
      </c>
      <c r="BR446" s="407">
        <f>IF(BR445=MiscData!$V$42,1,BR445+1)</f>
        <v>14</v>
      </c>
      <c r="BS446" s="407" t="str">
        <f>VLOOKUP(BQ446,MiscData!$W$4:$Y$42,3,FALSE)</f>
        <v>AES</v>
      </c>
    </row>
    <row r="447" spans="1:71" hidden="1">
      <c r="A447" s="416">
        <f t="shared" si="333"/>
        <v>371</v>
      </c>
      <c r="B447" s="416" t="str">
        <f t="shared" si="334"/>
        <v>Dec 2014</v>
      </c>
      <c r="C447" s="837" t="s">
        <v>228</v>
      </c>
      <c r="D447" s="417" t="str">
        <f t="shared" si="335"/>
        <v>AES3</v>
      </c>
      <c r="E447" s="417" t="str">
        <f t="shared" si="336"/>
        <v>KUCME223</v>
      </c>
      <c r="F447" s="418">
        <f t="shared" si="337"/>
        <v>0</v>
      </c>
      <c r="G447" s="467">
        <v>0</v>
      </c>
      <c r="H447" s="418">
        <v>0</v>
      </c>
      <c r="I447" s="418">
        <v>0</v>
      </c>
      <c r="J447" s="418">
        <v>0</v>
      </c>
      <c r="K447" s="418">
        <f t="shared" si="338"/>
        <v>0</v>
      </c>
      <c r="L447" s="481">
        <v>0</v>
      </c>
      <c r="M447" s="443">
        <f t="shared" si="339"/>
        <v>0</v>
      </c>
      <c r="N447" s="443">
        <f t="shared" si="340"/>
        <v>0</v>
      </c>
      <c r="O447" s="443">
        <f t="shared" si="341"/>
        <v>0</v>
      </c>
      <c r="P447" s="443">
        <f t="shared" si="342"/>
        <v>0</v>
      </c>
      <c r="Q447" s="443">
        <f t="shared" si="343"/>
        <v>0</v>
      </c>
      <c r="R447" s="443">
        <f t="shared" si="344"/>
        <v>0</v>
      </c>
      <c r="S447" s="484">
        <v>0</v>
      </c>
      <c r="T447" s="484">
        <v>0</v>
      </c>
      <c r="U447" s="484">
        <v>0</v>
      </c>
      <c r="V447" s="490">
        <v>0</v>
      </c>
      <c r="W447" s="490">
        <v>0</v>
      </c>
      <c r="X447" s="490">
        <v>0</v>
      </c>
      <c r="Y447" s="419">
        <f t="shared" si="345"/>
        <v>35</v>
      </c>
      <c r="Z447" s="420">
        <f t="shared" si="346"/>
        <v>7.4399999999999994E-2</v>
      </c>
      <c r="AA447" s="420">
        <v>0</v>
      </c>
      <c r="AB447" s="420">
        <v>0</v>
      </c>
      <c r="AC447" s="420">
        <f t="shared" si="347"/>
        <v>2.8920000000000001E-2</v>
      </c>
      <c r="AD447" s="419">
        <f t="shared" si="348"/>
        <v>0</v>
      </c>
      <c r="AE447" s="419">
        <f t="shared" si="349"/>
        <v>0</v>
      </c>
      <c r="AF447" s="419">
        <f t="shared" si="350"/>
        <v>0</v>
      </c>
      <c r="AG447" s="454">
        <f t="shared" si="351"/>
        <v>0</v>
      </c>
      <c r="AH447" s="454">
        <f t="shared" si="352"/>
        <v>0</v>
      </c>
      <c r="AI447" s="421">
        <f t="shared" si="353"/>
        <v>0</v>
      </c>
      <c r="AJ447" s="421">
        <f t="shared" si="354"/>
        <v>0</v>
      </c>
      <c r="AK447" s="421">
        <f t="shared" si="355"/>
        <v>0</v>
      </c>
      <c r="AL447" s="472">
        <v>0</v>
      </c>
      <c r="AM447" s="422">
        <f t="shared" si="356"/>
        <v>0</v>
      </c>
      <c r="AN447" s="423">
        <f t="shared" si="357"/>
        <v>0</v>
      </c>
      <c r="AO447" s="421">
        <f t="shared" si="358"/>
        <v>0</v>
      </c>
      <c r="AP447" s="472">
        <v>0</v>
      </c>
      <c r="AQ447" s="472">
        <v>0</v>
      </c>
      <c r="AR447" s="472">
        <v>0</v>
      </c>
      <c r="AS447" s="475">
        <v>0</v>
      </c>
      <c r="AT447" s="475">
        <v>0</v>
      </c>
      <c r="AU447" s="475">
        <v>0</v>
      </c>
      <c r="AV447" s="454">
        <f t="shared" si="359"/>
        <v>0</v>
      </c>
      <c r="AW447" s="421">
        <f t="shared" si="360"/>
        <v>0</v>
      </c>
      <c r="AX447" s="455">
        <f t="shared" si="373"/>
        <v>1</v>
      </c>
      <c r="AY447" s="424">
        <f t="shared" si="361"/>
        <v>0</v>
      </c>
      <c r="AZ447" s="424">
        <f t="shared" si="362"/>
        <v>0</v>
      </c>
      <c r="BA447" s="424">
        <f t="shared" si="363"/>
        <v>0</v>
      </c>
      <c r="BB447" s="424">
        <f t="shared" si="364"/>
        <v>0</v>
      </c>
      <c r="BC447" s="424">
        <f t="shared" si="365"/>
        <v>0</v>
      </c>
      <c r="BD447" s="424">
        <f t="shared" si="366"/>
        <v>0</v>
      </c>
      <c r="BE447" s="452">
        <f t="shared" si="367"/>
        <v>0</v>
      </c>
      <c r="BF447" s="448">
        <f t="shared" si="368"/>
        <v>0</v>
      </c>
      <c r="BG447" s="456">
        <f t="shared" si="369"/>
        <v>0</v>
      </c>
      <c r="BH447" s="457">
        <f t="shared" si="370"/>
        <v>0</v>
      </c>
      <c r="BI447" s="407" t="s">
        <v>1490</v>
      </c>
      <c r="BM447" s="429">
        <f>IF(BR447&gt;BR446,BM446,IF(BM446&lt;MiscData!$F$1,EOMONTH(BM446,1),EOMONTH(BM446,-11)))</f>
        <v>42004</v>
      </c>
      <c r="BN447" s="416" t="str">
        <f t="shared" si="371"/>
        <v>20140101KUCME223</v>
      </c>
      <c r="BO447" s="427" t="str">
        <f t="shared" si="372"/>
        <v>20140101AES3</v>
      </c>
      <c r="BP447" s="407">
        <f>IF(BM447&lt;=MiscData!$B$23,MiscData!$C$23,IF(BM447&lt;=MiscData!$B$24,MiscData!$C$24,MiscData!$C$25))</f>
        <v>20140101</v>
      </c>
      <c r="BQ447" s="407" t="str">
        <f>VLOOKUP(BR447,MiscData!$V$4:$W$42,2,FALSE)</f>
        <v>KUCME223</v>
      </c>
      <c r="BR447" s="407">
        <f>IF(BR446=MiscData!$V$42,1,BR446+1)</f>
        <v>15</v>
      </c>
      <c r="BS447" s="407" t="str">
        <f>VLOOKUP(BQ447,MiscData!$W$4:$Y$42,3,FALSE)</f>
        <v>AES3</v>
      </c>
    </row>
    <row r="448" spans="1:71" hidden="1">
      <c r="A448" s="416">
        <f t="shared" si="333"/>
        <v>372</v>
      </c>
      <c r="B448" s="416" t="str">
        <f t="shared" si="334"/>
        <v>Dec 2014</v>
      </c>
      <c r="C448" s="837" t="s">
        <v>228</v>
      </c>
      <c r="D448" s="417" t="str">
        <f t="shared" si="335"/>
        <v>AES3</v>
      </c>
      <c r="E448" s="417" t="str">
        <f t="shared" si="336"/>
        <v>KUCME224</v>
      </c>
      <c r="F448" s="418">
        <f t="shared" si="337"/>
        <v>257</v>
      </c>
      <c r="G448" s="467">
        <v>0</v>
      </c>
      <c r="H448" s="418">
        <v>0</v>
      </c>
      <c r="I448" s="418">
        <v>0</v>
      </c>
      <c r="J448" s="418">
        <v>0</v>
      </c>
      <c r="K448" s="418">
        <f t="shared" si="338"/>
        <v>13091164</v>
      </c>
      <c r="L448" s="481">
        <v>0</v>
      </c>
      <c r="M448" s="443">
        <f t="shared" si="339"/>
        <v>51506.239999999998</v>
      </c>
      <c r="N448" s="443">
        <f t="shared" si="340"/>
        <v>0</v>
      </c>
      <c r="O448" s="443">
        <f t="shared" si="341"/>
        <v>0</v>
      </c>
      <c r="P448" s="443">
        <f t="shared" si="342"/>
        <v>0</v>
      </c>
      <c r="Q448" s="443">
        <f t="shared" si="343"/>
        <v>0</v>
      </c>
      <c r="R448" s="443">
        <f t="shared" si="344"/>
        <v>0</v>
      </c>
      <c r="S448" s="484">
        <v>0</v>
      </c>
      <c r="T448" s="484">
        <v>0</v>
      </c>
      <c r="U448" s="484">
        <v>0</v>
      </c>
      <c r="V448" s="490">
        <v>0</v>
      </c>
      <c r="W448" s="490">
        <v>0</v>
      </c>
      <c r="X448" s="490">
        <v>0</v>
      </c>
      <c r="Y448" s="419">
        <f t="shared" si="345"/>
        <v>35</v>
      </c>
      <c r="Z448" s="420">
        <f t="shared" si="346"/>
        <v>7.4399999999999994E-2</v>
      </c>
      <c r="AA448" s="420">
        <v>0</v>
      </c>
      <c r="AB448" s="420">
        <v>0</v>
      </c>
      <c r="AC448" s="420">
        <f t="shared" si="347"/>
        <v>2.8920000000000001E-2</v>
      </c>
      <c r="AD448" s="419">
        <f t="shared" si="348"/>
        <v>0</v>
      </c>
      <c r="AE448" s="419">
        <f t="shared" si="349"/>
        <v>0</v>
      </c>
      <c r="AF448" s="419">
        <f t="shared" si="350"/>
        <v>0</v>
      </c>
      <c r="AG448" s="454">
        <f t="shared" si="351"/>
        <v>8995</v>
      </c>
      <c r="AH448" s="454">
        <f t="shared" si="352"/>
        <v>973982.6</v>
      </c>
      <c r="AI448" s="421">
        <f t="shared" si="353"/>
        <v>0</v>
      </c>
      <c r="AJ448" s="421">
        <f t="shared" si="354"/>
        <v>0</v>
      </c>
      <c r="AK448" s="421">
        <f t="shared" si="355"/>
        <v>0</v>
      </c>
      <c r="AL448" s="472">
        <v>0</v>
      </c>
      <c r="AM448" s="422">
        <f t="shared" si="356"/>
        <v>0</v>
      </c>
      <c r="AN448" s="423">
        <f t="shared" si="357"/>
        <v>0</v>
      </c>
      <c r="AO448" s="421">
        <f t="shared" si="358"/>
        <v>0</v>
      </c>
      <c r="AP448" s="472">
        <v>0</v>
      </c>
      <c r="AQ448" s="472">
        <v>0</v>
      </c>
      <c r="AR448" s="472">
        <v>0</v>
      </c>
      <c r="AS448" s="475">
        <v>0</v>
      </c>
      <c r="AT448" s="475">
        <v>0</v>
      </c>
      <c r="AU448" s="475">
        <v>0</v>
      </c>
      <c r="AV448" s="454">
        <f t="shared" si="359"/>
        <v>982977.6</v>
      </c>
      <c r="AW448" s="421">
        <f t="shared" si="360"/>
        <v>982978</v>
      </c>
      <c r="AX448" s="455">
        <f t="shared" si="373"/>
        <v>1.000000406926872</v>
      </c>
      <c r="AY448" s="424">
        <f t="shared" si="361"/>
        <v>47300</v>
      </c>
      <c r="AZ448" s="424">
        <f t="shared" si="362"/>
        <v>27839</v>
      </c>
      <c r="BA448" s="424">
        <f t="shared" si="363"/>
        <v>41620</v>
      </c>
      <c r="BB448" s="424">
        <f t="shared" si="364"/>
        <v>0</v>
      </c>
      <c r="BC448" s="424">
        <f t="shared" si="365"/>
        <v>0</v>
      </c>
      <c r="BD448" s="424">
        <f t="shared" si="366"/>
        <v>1099737</v>
      </c>
      <c r="BE448" s="452">
        <f t="shared" si="367"/>
        <v>1099736.6000000001</v>
      </c>
      <c r="BF448" s="448">
        <f t="shared" si="368"/>
        <v>0.39999999990686774</v>
      </c>
      <c r="BG448" s="456">
        <f t="shared" si="369"/>
        <v>378596.46</v>
      </c>
      <c r="BH448" s="457">
        <f t="shared" si="370"/>
        <v>595386.1399999999</v>
      </c>
      <c r="BI448" s="407" t="s">
        <v>1490</v>
      </c>
      <c r="BM448" s="429">
        <f>IF(BR448&gt;BR447,BM447,IF(BM447&lt;MiscData!$F$1,EOMONTH(BM447,1),EOMONTH(BM447,-11)))</f>
        <v>42004</v>
      </c>
      <c r="BN448" s="416" t="str">
        <f t="shared" si="371"/>
        <v>20140101KUCME224</v>
      </c>
      <c r="BO448" s="427" t="str">
        <f t="shared" si="372"/>
        <v>20140101AES3</v>
      </c>
      <c r="BP448" s="407">
        <f>IF(BM448&lt;=MiscData!$B$23,MiscData!$C$23,IF(BM448&lt;=MiscData!$B$24,MiscData!$C$24,MiscData!$C$25))</f>
        <v>20140101</v>
      </c>
      <c r="BQ448" s="407" t="str">
        <f>VLOOKUP(BR448,MiscData!$V$4:$W$42,2,FALSE)</f>
        <v>KUCME224</v>
      </c>
      <c r="BR448" s="407">
        <f>IF(BR447=MiscData!$V$42,1,BR447+1)</f>
        <v>16</v>
      </c>
      <c r="BS448" s="407" t="str">
        <f>VLOOKUP(BQ448,MiscData!$W$4:$Y$42,3,FALSE)</f>
        <v>AES3</v>
      </c>
    </row>
    <row r="449" spans="1:71" hidden="1">
      <c r="A449" s="416">
        <f>A447+1</f>
        <v>372</v>
      </c>
      <c r="B449" s="416" t="str">
        <f t="shared" si="334"/>
        <v>Dec 2014</v>
      </c>
      <c r="C449" s="837" t="s">
        <v>228</v>
      </c>
      <c r="D449" s="417" t="str">
        <f t="shared" si="335"/>
        <v>AES3</v>
      </c>
      <c r="E449" s="417" t="str">
        <f t="shared" si="336"/>
        <v>KUCME225</v>
      </c>
      <c r="F449" s="418">
        <f t="shared" si="337"/>
        <v>0</v>
      </c>
      <c r="G449" s="467">
        <v>0</v>
      </c>
      <c r="H449" s="418">
        <v>0</v>
      </c>
      <c r="I449" s="418">
        <v>0</v>
      </c>
      <c r="J449" s="418">
        <v>0</v>
      </c>
      <c r="K449" s="418">
        <f t="shared" si="338"/>
        <v>0</v>
      </c>
      <c r="L449" s="481">
        <v>0</v>
      </c>
      <c r="M449" s="443">
        <f t="shared" si="339"/>
        <v>0</v>
      </c>
      <c r="N449" s="443">
        <f t="shared" si="340"/>
        <v>0</v>
      </c>
      <c r="O449" s="443">
        <f t="shared" si="341"/>
        <v>0</v>
      </c>
      <c r="P449" s="443">
        <f t="shared" si="342"/>
        <v>0</v>
      </c>
      <c r="Q449" s="443">
        <f t="shared" si="343"/>
        <v>0</v>
      </c>
      <c r="R449" s="443">
        <f t="shared" si="344"/>
        <v>0</v>
      </c>
      <c r="S449" s="484">
        <v>0</v>
      </c>
      <c r="T449" s="484">
        <v>0</v>
      </c>
      <c r="U449" s="484">
        <v>0</v>
      </c>
      <c r="V449" s="490">
        <v>0</v>
      </c>
      <c r="W449" s="490">
        <v>0</v>
      </c>
      <c r="X449" s="490">
        <v>0</v>
      </c>
      <c r="Y449" s="419">
        <f t="shared" si="345"/>
        <v>35</v>
      </c>
      <c r="Z449" s="420">
        <f t="shared" si="346"/>
        <v>7.4399999999999994E-2</v>
      </c>
      <c r="AA449" s="420">
        <v>0</v>
      </c>
      <c r="AB449" s="420">
        <v>0</v>
      </c>
      <c r="AC449" s="420">
        <f t="shared" si="347"/>
        <v>2.8920000000000001E-2</v>
      </c>
      <c r="AD449" s="419">
        <f t="shared" si="348"/>
        <v>0</v>
      </c>
      <c r="AE449" s="419">
        <f t="shared" si="349"/>
        <v>0</v>
      </c>
      <c r="AF449" s="419">
        <f t="shared" si="350"/>
        <v>0</v>
      </c>
      <c r="AG449" s="454">
        <f t="shared" si="351"/>
        <v>0</v>
      </c>
      <c r="AH449" s="454">
        <f t="shared" si="352"/>
        <v>0</v>
      </c>
      <c r="AI449" s="421">
        <f t="shared" si="353"/>
        <v>0</v>
      </c>
      <c r="AJ449" s="421">
        <f t="shared" si="354"/>
        <v>0</v>
      </c>
      <c r="AK449" s="421">
        <f t="shared" si="355"/>
        <v>0</v>
      </c>
      <c r="AL449" s="472">
        <v>0</v>
      </c>
      <c r="AM449" s="422">
        <f t="shared" si="356"/>
        <v>0</v>
      </c>
      <c r="AN449" s="423">
        <f t="shared" si="357"/>
        <v>0</v>
      </c>
      <c r="AO449" s="421">
        <f t="shared" si="358"/>
        <v>0</v>
      </c>
      <c r="AP449" s="472">
        <v>0</v>
      </c>
      <c r="AQ449" s="472">
        <v>0</v>
      </c>
      <c r="AR449" s="472">
        <v>0</v>
      </c>
      <c r="AS449" s="475">
        <v>0</v>
      </c>
      <c r="AT449" s="475">
        <v>0</v>
      </c>
      <c r="AU449" s="475">
        <v>0</v>
      </c>
      <c r="AV449" s="454">
        <f t="shared" si="359"/>
        <v>0</v>
      </c>
      <c r="AW449" s="421">
        <f t="shared" si="360"/>
        <v>0</v>
      </c>
      <c r="AX449" s="455">
        <f t="shared" si="373"/>
        <v>1</v>
      </c>
      <c r="AY449" s="424">
        <f t="shared" si="361"/>
        <v>0</v>
      </c>
      <c r="AZ449" s="424">
        <f t="shared" si="362"/>
        <v>0</v>
      </c>
      <c r="BA449" s="424">
        <f t="shared" si="363"/>
        <v>0</v>
      </c>
      <c r="BB449" s="424">
        <f t="shared" si="364"/>
        <v>0</v>
      </c>
      <c r="BC449" s="424">
        <f t="shared" si="365"/>
        <v>0</v>
      </c>
      <c r="BD449" s="424">
        <f t="shared" si="366"/>
        <v>0</v>
      </c>
      <c r="BE449" s="452">
        <f t="shared" si="367"/>
        <v>0</v>
      </c>
      <c r="BF449" s="448">
        <f t="shared" si="368"/>
        <v>0</v>
      </c>
      <c r="BG449" s="456">
        <f t="shared" si="369"/>
        <v>0</v>
      </c>
      <c r="BH449" s="457">
        <f t="shared" si="370"/>
        <v>0</v>
      </c>
      <c r="BI449" s="407" t="s">
        <v>1490</v>
      </c>
      <c r="BM449" s="429">
        <f>IF(BR449&gt;BR448,BM448,IF(BM448&lt;MiscData!$F$1,EOMONTH(BM448,1),EOMONTH(BM448,-11)))</f>
        <v>42004</v>
      </c>
      <c r="BN449" s="416" t="str">
        <f t="shared" si="371"/>
        <v>20140101KUCME225</v>
      </c>
      <c r="BO449" s="427" t="str">
        <f t="shared" si="372"/>
        <v>20140101AES3</v>
      </c>
      <c r="BP449" s="407">
        <f>IF(BM449&lt;=MiscData!$B$23,MiscData!$C$23,IF(BM449&lt;=MiscData!$B$24,MiscData!$C$24,MiscData!$C$25))</f>
        <v>20140101</v>
      </c>
      <c r="BQ449" s="407" t="str">
        <f>VLOOKUP(BR449,MiscData!$V$4:$W$42,2,FALSE)</f>
        <v>KUCME225</v>
      </c>
      <c r="BR449" s="407">
        <f>IF(BR448=MiscData!$V$42,1,BR448+1)</f>
        <v>17</v>
      </c>
      <c r="BS449" s="407" t="str">
        <f>VLOOKUP(BQ449,MiscData!$W$4:$Y$42,3,FALSE)</f>
        <v>AES3</v>
      </c>
    </row>
    <row r="450" spans="1:71" hidden="1">
      <c r="A450" s="416">
        <f>A448+1</f>
        <v>373</v>
      </c>
      <c r="B450" s="416" t="str">
        <f t="shared" si="334"/>
        <v>Dec 2014</v>
      </c>
      <c r="C450" s="416" t="s">
        <v>219</v>
      </c>
      <c r="D450" s="417" t="str">
        <f t="shared" si="335"/>
        <v>AES</v>
      </c>
      <c r="E450" s="417" t="str">
        <f t="shared" si="336"/>
        <v>KUCME226</v>
      </c>
      <c r="F450" s="418">
        <f t="shared" si="337"/>
        <v>0</v>
      </c>
      <c r="G450" s="467">
        <v>0</v>
      </c>
      <c r="H450" s="418">
        <v>0</v>
      </c>
      <c r="I450" s="418">
        <v>0</v>
      </c>
      <c r="J450" s="418">
        <v>0</v>
      </c>
      <c r="K450" s="418">
        <f t="shared" si="338"/>
        <v>0</v>
      </c>
      <c r="L450" s="481">
        <v>0</v>
      </c>
      <c r="M450" s="443">
        <f t="shared" si="339"/>
        <v>0</v>
      </c>
      <c r="N450" s="443">
        <f t="shared" si="340"/>
        <v>0</v>
      </c>
      <c r="O450" s="443">
        <f t="shared" si="341"/>
        <v>0</v>
      </c>
      <c r="P450" s="443">
        <f t="shared" si="342"/>
        <v>0</v>
      </c>
      <c r="Q450" s="443">
        <f t="shared" si="343"/>
        <v>0</v>
      </c>
      <c r="R450" s="443">
        <f t="shared" si="344"/>
        <v>0</v>
      </c>
      <c r="S450" s="484">
        <v>0</v>
      </c>
      <c r="T450" s="484">
        <v>0</v>
      </c>
      <c r="U450" s="484">
        <v>0</v>
      </c>
      <c r="V450" s="490">
        <v>0</v>
      </c>
      <c r="W450" s="490">
        <v>0</v>
      </c>
      <c r="X450" s="490">
        <v>0</v>
      </c>
      <c r="Y450" s="419">
        <f t="shared" si="345"/>
        <v>20</v>
      </c>
      <c r="Z450" s="420">
        <f t="shared" si="346"/>
        <v>7.4399999999999994E-2</v>
      </c>
      <c r="AA450" s="420">
        <v>0</v>
      </c>
      <c r="AB450" s="420">
        <v>0</v>
      </c>
      <c r="AC450" s="420">
        <f t="shared" si="347"/>
        <v>2.8920000000000001E-2</v>
      </c>
      <c r="AD450" s="419">
        <f t="shared" si="348"/>
        <v>0</v>
      </c>
      <c r="AE450" s="419">
        <f t="shared" si="349"/>
        <v>0</v>
      </c>
      <c r="AF450" s="419">
        <f t="shared" si="350"/>
        <v>0</v>
      </c>
      <c r="AG450" s="454">
        <f t="shared" si="351"/>
        <v>0</v>
      </c>
      <c r="AH450" s="454">
        <f t="shared" ref="AH450:AH471" si="374">ROUND(IF(H450=0,(K450+L450)*Z450,SUMPRODUCT(H450:J450,Z450:AB450)),2)</f>
        <v>0</v>
      </c>
      <c r="AI450" s="421">
        <f t="shared" si="353"/>
        <v>0</v>
      </c>
      <c r="AJ450" s="421">
        <f t="shared" si="354"/>
        <v>0</v>
      </c>
      <c r="AK450" s="421">
        <f t="shared" si="355"/>
        <v>0</v>
      </c>
      <c r="AL450" s="472">
        <v>0</v>
      </c>
      <c r="AM450" s="422">
        <f t="shared" si="356"/>
        <v>0</v>
      </c>
      <c r="AN450" s="423">
        <f t="shared" si="357"/>
        <v>0</v>
      </c>
      <c r="AO450" s="421">
        <f t="shared" si="358"/>
        <v>0</v>
      </c>
      <c r="AP450" s="472">
        <v>0</v>
      </c>
      <c r="AQ450" s="472">
        <v>0</v>
      </c>
      <c r="AR450" s="472">
        <v>0</v>
      </c>
      <c r="AS450" s="475">
        <v>0</v>
      </c>
      <c r="AT450" s="475">
        <v>0</v>
      </c>
      <c r="AU450" s="475">
        <v>0</v>
      </c>
      <c r="AV450" s="454">
        <f t="shared" si="359"/>
        <v>0</v>
      </c>
      <c r="AW450" s="421">
        <f t="shared" si="360"/>
        <v>0</v>
      </c>
      <c r="AX450" s="455">
        <f t="shared" si="373"/>
        <v>1</v>
      </c>
      <c r="AY450" s="424">
        <f t="shared" si="361"/>
        <v>0</v>
      </c>
      <c r="AZ450" s="424">
        <f t="shared" si="362"/>
        <v>0</v>
      </c>
      <c r="BA450" s="424">
        <f t="shared" si="363"/>
        <v>0</v>
      </c>
      <c r="BB450" s="424">
        <f t="shared" si="364"/>
        <v>0</v>
      </c>
      <c r="BC450" s="424">
        <f t="shared" si="365"/>
        <v>0</v>
      </c>
      <c r="BD450" s="424">
        <f t="shared" si="366"/>
        <v>0</v>
      </c>
      <c r="BE450" s="452">
        <f t="shared" si="367"/>
        <v>0</v>
      </c>
      <c r="BF450" s="448">
        <f t="shared" si="368"/>
        <v>0</v>
      </c>
      <c r="BG450" s="456">
        <f t="shared" si="369"/>
        <v>0</v>
      </c>
      <c r="BH450" s="457">
        <f t="shared" si="370"/>
        <v>0</v>
      </c>
      <c r="BI450" s="407" t="s">
        <v>1490</v>
      </c>
      <c r="BM450" s="429">
        <f>IF(BR450&gt;BR449,BM449,IF(BM449&lt;MiscData!$F$1,EOMONTH(BM449,1),EOMONTH(BM449,-11)))</f>
        <v>42004</v>
      </c>
      <c r="BN450" s="416" t="str">
        <f t="shared" si="371"/>
        <v>20140101KUCME226</v>
      </c>
      <c r="BO450" s="427" t="str">
        <f t="shared" si="372"/>
        <v>20140101AES</v>
      </c>
      <c r="BP450" s="407">
        <f>IF(BM450&lt;=MiscData!$B$23,MiscData!$C$23,IF(BM450&lt;=MiscData!$B$24,MiscData!$C$24,MiscData!$C$25))</f>
        <v>20140101</v>
      </c>
      <c r="BQ450" s="407" t="str">
        <f>VLOOKUP(BR450,MiscData!$V$4:$W$42,2,FALSE)</f>
        <v>KUCME226</v>
      </c>
      <c r="BR450" s="407">
        <f>IF(BR449=MiscData!$V$42,1,BR449+1)</f>
        <v>18</v>
      </c>
      <c r="BS450" s="407" t="str">
        <f>VLOOKUP(BQ450,MiscData!$W$4:$Y$42,3,FALSE)</f>
        <v>AES</v>
      </c>
    </row>
    <row r="451" spans="1:71" hidden="1">
      <c r="A451" s="416">
        <f>A450+1</f>
        <v>374</v>
      </c>
      <c r="B451" s="416" t="str">
        <f t="shared" si="334"/>
        <v>Dec 2014</v>
      </c>
      <c r="C451" s="837" t="s">
        <v>228</v>
      </c>
      <c r="D451" s="417" t="str">
        <f t="shared" si="335"/>
        <v>AES3</v>
      </c>
      <c r="E451" s="417" t="str">
        <f t="shared" si="336"/>
        <v>KUCME227</v>
      </c>
      <c r="F451" s="418">
        <f t="shared" si="337"/>
        <v>0</v>
      </c>
      <c r="G451" s="467">
        <v>0</v>
      </c>
      <c r="H451" s="418">
        <v>0</v>
      </c>
      <c r="I451" s="418">
        <v>0</v>
      </c>
      <c r="J451" s="418">
        <v>0</v>
      </c>
      <c r="K451" s="418">
        <f t="shared" si="338"/>
        <v>0</v>
      </c>
      <c r="L451" s="481">
        <v>0</v>
      </c>
      <c r="M451" s="443">
        <f t="shared" si="339"/>
        <v>0</v>
      </c>
      <c r="N451" s="443">
        <f t="shared" si="340"/>
        <v>0</v>
      </c>
      <c r="O451" s="443">
        <f t="shared" si="341"/>
        <v>0</v>
      </c>
      <c r="P451" s="443">
        <f t="shared" si="342"/>
        <v>0</v>
      </c>
      <c r="Q451" s="443">
        <f t="shared" si="343"/>
        <v>0</v>
      </c>
      <c r="R451" s="443">
        <f t="shared" si="344"/>
        <v>0</v>
      </c>
      <c r="S451" s="484">
        <v>0</v>
      </c>
      <c r="T451" s="484">
        <v>0</v>
      </c>
      <c r="U451" s="484">
        <v>0</v>
      </c>
      <c r="V451" s="490">
        <v>0</v>
      </c>
      <c r="W451" s="490">
        <v>0</v>
      </c>
      <c r="X451" s="490">
        <v>0</v>
      </c>
      <c r="Y451" s="419">
        <f t="shared" si="345"/>
        <v>35</v>
      </c>
      <c r="Z451" s="420">
        <f t="shared" si="346"/>
        <v>7.4399999999999994E-2</v>
      </c>
      <c r="AA451" s="420">
        <v>0</v>
      </c>
      <c r="AB451" s="420">
        <v>0</v>
      </c>
      <c r="AC451" s="420">
        <f t="shared" si="347"/>
        <v>2.8920000000000001E-2</v>
      </c>
      <c r="AD451" s="419">
        <f t="shared" si="348"/>
        <v>0</v>
      </c>
      <c r="AE451" s="419">
        <f t="shared" si="349"/>
        <v>0</v>
      </c>
      <c r="AF451" s="419">
        <f t="shared" si="350"/>
        <v>0</v>
      </c>
      <c r="AG451" s="454">
        <f t="shared" si="351"/>
        <v>0</v>
      </c>
      <c r="AH451" s="454">
        <f t="shared" si="374"/>
        <v>0</v>
      </c>
      <c r="AI451" s="421">
        <f t="shared" si="353"/>
        <v>0</v>
      </c>
      <c r="AJ451" s="421">
        <f t="shared" si="354"/>
        <v>0</v>
      </c>
      <c r="AK451" s="421">
        <f t="shared" si="355"/>
        <v>0</v>
      </c>
      <c r="AL451" s="472">
        <v>0</v>
      </c>
      <c r="AM451" s="422">
        <f t="shared" si="356"/>
        <v>0</v>
      </c>
      <c r="AN451" s="423">
        <f t="shared" si="357"/>
        <v>0</v>
      </c>
      <c r="AO451" s="421">
        <f t="shared" si="358"/>
        <v>0</v>
      </c>
      <c r="AP451" s="472">
        <v>0</v>
      </c>
      <c r="AQ451" s="472">
        <v>0</v>
      </c>
      <c r="AR451" s="472">
        <v>0</v>
      </c>
      <c r="AS451" s="475">
        <v>0</v>
      </c>
      <c r="AT451" s="475">
        <v>0</v>
      </c>
      <c r="AU451" s="475">
        <v>0</v>
      </c>
      <c r="AV451" s="454">
        <f t="shared" si="359"/>
        <v>0</v>
      </c>
      <c r="AW451" s="421">
        <f t="shared" si="360"/>
        <v>0</v>
      </c>
      <c r="AX451" s="455">
        <f t="shared" si="373"/>
        <v>1</v>
      </c>
      <c r="AY451" s="424">
        <f t="shared" si="361"/>
        <v>0</v>
      </c>
      <c r="AZ451" s="424">
        <f t="shared" si="362"/>
        <v>0</v>
      </c>
      <c r="BA451" s="424">
        <f t="shared" si="363"/>
        <v>0</v>
      </c>
      <c r="BB451" s="424">
        <f t="shared" si="364"/>
        <v>0</v>
      </c>
      <c r="BC451" s="424">
        <f t="shared" si="365"/>
        <v>0</v>
      </c>
      <c r="BD451" s="424">
        <f t="shared" si="366"/>
        <v>0</v>
      </c>
      <c r="BE451" s="452">
        <f t="shared" si="367"/>
        <v>0</v>
      </c>
      <c r="BF451" s="448">
        <f t="shared" si="368"/>
        <v>0</v>
      </c>
      <c r="BG451" s="456">
        <f t="shared" si="369"/>
        <v>0</v>
      </c>
      <c r="BH451" s="457">
        <f t="shared" si="370"/>
        <v>0</v>
      </c>
      <c r="BI451" s="407" t="s">
        <v>1490</v>
      </c>
      <c r="BM451" s="429">
        <f>IF(BR451&gt;BR450,BM450,IF(BM450&lt;MiscData!$F$1,EOMONTH(BM450,1),EOMONTH(BM450,-11)))</f>
        <v>42004</v>
      </c>
      <c r="BN451" s="416" t="str">
        <f t="shared" si="371"/>
        <v>20140101KUCME227</v>
      </c>
      <c r="BO451" s="427" t="str">
        <f t="shared" si="372"/>
        <v>20140101AES3</v>
      </c>
      <c r="BP451" s="407">
        <f>IF(BM451&lt;=MiscData!$B$23,MiscData!$C$23,IF(BM451&lt;=MiscData!$B$24,MiscData!$C$24,MiscData!$C$25))</f>
        <v>20140101</v>
      </c>
      <c r="BQ451" s="407" t="str">
        <f>VLOOKUP(BR451,MiscData!$V$4:$W$42,2,FALSE)</f>
        <v>KUCME227</v>
      </c>
      <c r="BR451" s="407">
        <f>IF(BR450=MiscData!$V$42,1,BR450+1)</f>
        <v>19</v>
      </c>
      <c r="BS451" s="407" t="str">
        <f>VLOOKUP(BQ451,MiscData!$W$4:$Y$42,3,FALSE)</f>
        <v>AES3</v>
      </c>
    </row>
    <row r="452" spans="1:71" hidden="1">
      <c r="A452" s="416">
        <f>A410+1</f>
        <v>362</v>
      </c>
      <c r="B452" s="416" t="str">
        <f t="shared" si="334"/>
        <v>Dec 2014</v>
      </c>
      <c r="C452" s="416" t="s">
        <v>20</v>
      </c>
      <c r="D452" s="417" t="str">
        <f t="shared" si="335"/>
        <v>LE</v>
      </c>
      <c r="E452" s="417" t="str">
        <f t="shared" si="336"/>
        <v>KUCME290</v>
      </c>
      <c r="F452" s="418">
        <f t="shared" si="337"/>
        <v>2</v>
      </c>
      <c r="G452" s="467">
        <v>0</v>
      </c>
      <c r="H452" s="418">
        <v>0</v>
      </c>
      <c r="I452" s="418">
        <v>0</v>
      </c>
      <c r="J452" s="418">
        <v>0</v>
      </c>
      <c r="K452" s="418">
        <f t="shared" si="338"/>
        <v>19258</v>
      </c>
      <c r="L452" s="481">
        <v>0</v>
      </c>
      <c r="M452" s="443">
        <f t="shared" si="339"/>
        <v>0</v>
      </c>
      <c r="N452" s="443">
        <f t="shared" si="340"/>
        <v>0</v>
      </c>
      <c r="O452" s="443">
        <f t="shared" si="341"/>
        <v>0</v>
      </c>
      <c r="P452" s="443">
        <f t="shared" si="342"/>
        <v>0</v>
      </c>
      <c r="Q452" s="443">
        <f t="shared" si="343"/>
        <v>0</v>
      </c>
      <c r="R452" s="443">
        <f t="shared" si="344"/>
        <v>0</v>
      </c>
      <c r="S452" s="484">
        <v>0</v>
      </c>
      <c r="T452" s="484">
        <v>0</v>
      </c>
      <c r="U452" s="484">
        <v>0</v>
      </c>
      <c r="V452" s="490">
        <v>0</v>
      </c>
      <c r="W452" s="490">
        <v>0</v>
      </c>
      <c r="X452" s="490">
        <v>0</v>
      </c>
      <c r="Y452" s="419">
        <f t="shared" si="345"/>
        <v>0</v>
      </c>
      <c r="Z452" s="420">
        <f t="shared" si="346"/>
        <v>6.3799999999999996E-2</v>
      </c>
      <c r="AA452" s="420">
        <v>0</v>
      </c>
      <c r="AB452" s="420">
        <v>0</v>
      </c>
      <c r="AC452" s="420">
        <f t="shared" si="347"/>
        <v>2.8920000000000001E-2</v>
      </c>
      <c r="AD452" s="419">
        <f t="shared" si="348"/>
        <v>0</v>
      </c>
      <c r="AE452" s="419">
        <f t="shared" si="349"/>
        <v>0</v>
      </c>
      <c r="AF452" s="419">
        <f t="shared" si="350"/>
        <v>0</v>
      </c>
      <c r="AG452" s="454">
        <f t="shared" si="351"/>
        <v>0</v>
      </c>
      <c r="AH452" s="454">
        <f t="shared" si="374"/>
        <v>1228.6600000000001</v>
      </c>
      <c r="AI452" s="421">
        <f t="shared" si="353"/>
        <v>0</v>
      </c>
      <c r="AJ452" s="421">
        <f t="shared" si="354"/>
        <v>0</v>
      </c>
      <c r="AK452" s="421">
        <f t="shared" si="355"/>
        <v>0</v>
      </c>
      <c r="AL452" s="472">
        <v>0</v>
      </c>
      <c r="AM452" s="422">
        <f t="shared" si="356"/>
        <v>0</v>
      </c>
      <c r="AN452" s="423">
        <f t="shared" si="357"/>
        <v>0</v>
      </c>
      <c r="AO452" s="421">
        <f t="shared" si="358"/>
        <v>0</v>
      </c>
      <c r="AP452" s="472">
        <v>0</v>
      </c>
      <c r="AQ452" s="472">
        <v>0</v>
      </c>
      <c r="AR452" s="472">
        <v>0</v>
      </c>
      <c r="AS452" s="475">
        <v>0</v>
      </c>
      <c r="AT452" s="475">
        <v>0</v>
      </c>
      <c r="AU452" s="475">
        <v>0</v>
      </c>
      <c r="AV452" s="454">
        <f t="shared" si="359"/>
        <v>1228.6600000000001</v>
      </c>
      <c r="AW452" s="421">
        <f t="shared" si="360"/>
        <v>1229</v>
      </c>
      <c r="AX452" s="455">
        <f t="shared" ref="AX452:AX457" si="375">IF(AND(AV452=0,AW452=0),1,IF(AV452=0,0,AW452/AV452))</f>
        <v>1.0002767242361597</v>
      </c>
      <c r="AY452" s="424">
        <f t="shared" si="361"/>
        <v>70</v>
      </c>
      <c r="AZ452" s="424">
        <f t="shared" si="362"/>
        <v>0</v>
      </c>
      <c r="BA452" s="424">
        <f t="shared" si="363"/>
        <v>61</v>
      </c>
      <c r="BB452" s="424">
        <f t="shared" si="364"/>
        <v>0</v>
      </c>
      <c r="BC452" s="424">
        <f t="shared" si="365"/>
        <v>0</v>
      </c>
      <c r="BD452" s="424">
        <f t="shared" si="366"/>
        <v>1360</v>
      </c>
      <c r="BE452" s="452">
        <f t="shared" si="367"/>
        <v>1359.66</v>
      </c>
      <c r="BF452" s="448">
        <f t="shared" si="368"/>
        <v>0.33999999999991815</v>
      </c>
      <c r="BG452" s="456">
        <f t="shared" si="369"/>
        <v>556.94000000000005</v>
      </c>
      <c r="BH452" s="457">
        <f t="shared" si="370"/>
        <v>671.72</v>
      </c>
      <c r="BI452" s="407" t="s">
        <v>1490</v>
      </c>
      <c r="BM452" s="429">
        <f>IF(BR452&gt;BR451,BM451,IF(BM451&lt;MiscData!$F$1,EOMONTH(BM451,1),EOMONTH(BM451,-11)))</f>
        <v>42004</v>
      </c>
      <c r="BN452" s="416" t="str">
        <f t="shared" si="371"/>
        <v>20140101KUCME290</v>
      </c>
      <c r="BO452" s="427" t="str">
        <f t="shared" si="372"/>
        <v>20140101LE</v>
      </c>
      <c r="BP452" s="407">
        <f>IF(BM452&lt;=MiscData!$B$23,MiscData!$C$23,IF(BM452&lt;=MiscData!$B$24,MiscData!$C$24,MiscData!$C$25))</f>
        <v>20140101</v>
      </c>
      <c r="BQ452" s="407" t="str">
        <f>VLOOKUP(BR452,MiscData!$V$4:$W$42,2,FALSE)</f>
        <v>KUCME290</v>
      </c>
      <c r="BR452" s="407">
        <f>IF(BR451=MiscData!$V$42,1,BR451+1)</f>
        <v>20</v>
      </c>
      <c r="BS452" s="407" t="str">
        <f>VLOOKUP(BQ452,MiscData!$W$4:$Y$42,3,FALSE)</f>
        <v>LE</v>
      </c>
    </row>
    <row r="453" spans="1:71" hidden="1">
      <c r="A453" s="416">
        <f t="shared" ref="A453:A460" si="376">A438+1</f>
        <v>363</v>
      </c>
      <c r="B453" s="416" t="str">
        <f t="shared" si="334"/>
        <v>Dec 2014</v>
      </c>
      <c r="C453" s="416" t="s">
        <v>20</v>
      </c>
      <c r="D453" s="417" t="str">
        <f t="shared" si="335"/>
        <v>LE</v>
      </c>
      <c r="E453" s="417" t="str">
        <f t="shared" si="336"/>
        <v>KUCME291</v>
      </c>
      <c r="F453" s="418">
        <f t="shared" si="337"/>
        <v>0</v>
      </c>
      <c r="G453" s="467">
        <v>0</v>
      </c>
      <c r="H453" s="418">
        <v>0</v>
      </c>
      <c r="I453" s="418">
        <v>0</v>
      </c>
      <c r="J453" s="418">
        <v>0</v>
      </c>
      <c r="K453" s="418">
        <f t="shared" si="338"/>
        <v>0</v>
      </c>
      <c r="L453" s="481">
        <v>0</v>
      </c>
      <c r="M453" s="443">
        <f t="shared" si="339"/>
        <v>0</v>
      </c>
      <c r="N453" s="443">
        <f t="shared" si="340"/>
        <v>0</v>
      </c>
      <c r="O453" s="443">
        <f t="shared" si="341"/>
        <v>0</v>
      </c>
      <c r="P453" s="443">
        <f t="shared" si="342"/>
        <v>0</v>
      </c>
      <c r="Q453" s="443">
        <f t="shared" si="343"/>
        <v>0</v>
      </c>
      <c r="R453" s="443">
        <f t="shared" si="344"/>
        <v>0</v>
      </c>
      <c r="S453" s="484">
        <v>0</v>
      </c>
      <c r="T453" s="484">
        <v>0</v>
      </c>
      <c r="U453" s="484">
        <v>0</v>
      </c>
      <c r="V453" s="490">
        <v>0</v>
      </c>
      <c r="W453" s="490">
        <v>0</v>
      </c>
      <c r="X453" s="490">
        <v>0</v>
      </c>
      <c r="Y453" s="419">
        <f t="shared" si="345"/>
        <v>0</v>
      </c>
      <c r="Z453" s="420">
        <f t="shared" si="346"/>
        <v>6.3799999999999996E-2</v>
      </c>
      <c r="AA453" s="420">
        <v>0</v>
      </c>
      <c r="AB453" s="420">
        <v>0</v>
      </c>
      <c r="AC453" s="420">
        <f t="shared" si="347"/>
        <v>2.8920000000000001E-2</v>
      </c>
      <c r="AD453" s="419">
        <f t="shared" si="348"/>
        <v>0</v>
      </c>
      <c r="AE453" s="419">
        <f t="shared" si="349"/>
        <v>0</v>
      </c>
      <c r="AF453" s="419">
        <f t="shared" si="350"/>
        <v>0</v>
      </c>
      <c r="AG453" s="454">
        <f t="shared" si="351"/>
        <v>0</v>
      </c>
      <c r="AH453" s="454">
        <f t="shared" si="374"/>
        <v>0</v>
      </c>
      <c r="AI453" s="421">
        <f t="shared" si="353"/>
        <v>0</v>
      </c>
      <c r="AJ453" s="421">
        <f t="shared" si="354"/>
        <v>0</v>
      </c>
      <c r="AK453" s="421">
        <f t="shared" si="355"/>
        <v>0</v>
      </c>
      <c r="AL453" s="472">
        <v>0</v>
      </c>
      <c r="AM453" s="422">
        <f t="shared" si="356"/>
        <v>0</v>
      </c>
      <c r="AN453" s="423">
        <f t="shared" si="357"/>
        <v>0</v>
      </c>
      <c r="AO453" s="421">
        <f t="shared" si="358"/>
        <v>0</v>
      </c>
      <c r="AP453" s="472">
        <v>0</v>
      </c>
      <c r="AQ453" s="472">
        <v>0</v>
      </c>
      <c r="AR453" s="472">
        <v>0</v>
      </c>
      <c r="AS453" s="475">
        <v>0</v>
      </c>
      <c r="AT453" s="475">
        <v>0</v>
      </c>
      <c r="AU453" s="475">
        <v>0</v>
      </c>
      <c r="AV453" s="454">
        <f t="shared" si="359"/>
        <v>0</v>
      </c>
      <c r="AW453" s="421">
        <f t="shared" si="360"/>
        <v>0</v>
      </c>
      <c r="AX453" s="455">
        <f t="shared" si="375"/>
        <v>1</v>
      </c>
      <c r="AY453" s="424">
        <f t="shared" si="361"/>
        <v>0</v>
      </c>
      <c r="AZ453" s="424">
        <f t="shared" si="362"/>
        <v>0</v>
      </c>
      <c r="BA453" s="424">
        <f t="shared" si="363"/>
        <v>0</v>
      </c>
      <c r="BB453" s="424">
        <f t="shared" si="364"/>
        <v>0</v>
      </c>
      <c r="BC453" s="424">
        <f t="shared" si="365"/>
        <v>0</v>
      </c>
      <c r="BD453" s="424">
        <f t="shared" si="366"/>
        <v>0</v>
      </c>
      <c r="BE453" s="452">
        <f t="shared" si="367"/>
        <v>0</v>
      </c>
      <c r="BF453" s="448">
        <f t="shared" si="368"/>
        <v>0</v>
      </c>
      <c r="BG453" s="456">
        <f t="shared" si="369"/>
        <v>0</v>
      </c>
      <c r="BH453" s="457">
        <f t="shared" si="370"/>
        <v>0</v>
      </c>
      <c r="BI453" s="407" t="s">
        <v>1490</v>
      </c>
      <c r="BM453" s="429">
        <f>IF(BR453&gt;BR452,BM452,IF(BM452&lt;MiscData!$F$1,EOMONTH(BM452,1),EOMONTH(BM452,-11)))</f>
        <v>42004</v>
      </c>
      <c r="BN453" s="416" t="str">
        <f t="shared" si="371"/>
        <v>20140101KUCME291</v>
      </c>
      <c r="BO453" s="427" t="str">
        <f t="shared" si="372"/>
        <v>20140101LE</v>
      </c>
      <c r="BP453" s="407">
        <f>IF(BM453&lt;=MiscData!$B$23,MiscData!$C$23,IF(BM453&lt;=MiscData!$B$24,MiscData!$C$24,MiscData!$C$25))</f>
        <v>20140101</v>
      </c>
      <c r="BQ453" s="407" t="str">
        <f>VLOOKUP(BR453,MiscData!$V$4:$W$42,2,FALSE)</f>
        <v>KUCME291</v>
      </c>
      <c r="BR453" s="407">
        <f>IF(BR452=MiscData!$V$42,1,BR452+1)</f>
        <v>21</v>
      </c>
      <c r="BS453" s="407" t="str">
        <f>VLOOKUP(BQ453,MiscData!$W$4:$Y$42,3,FALSE)</f>
        <v>LE</v>
      </c>
    </row>
    <row r="454" spans="1:71" hidden="1">
      <c r="A454" s="416">
        <f t="shared" si="376"/>
        <v>364</v>
      </c>
      <c r="B454" s="416" t="str">
        <f t="shared" si="334"/>
        <v>Dec 2014</v>
      </c>
      <c r="C454" s="416" t="s">
        <v>21</v>
      </c>
      <c r="D454" s="417" t="str">
        <f t="shared" si="335"/>
        <v>TE</v>
      </c>
      <c r="E454" s="417" t="str">
        <f t="shared" si="336"/>
        <v>KUCME295</v>
      </c>
      <c r="F454" s="418">
        <f t="shared" si="337"/>
        <v>747</v>
      </c>
      <c r="G454" s="467">
        <v>0</v>
      </c>
      <c r="H454" s="418">
        <v>0</v>
      </c>
      <c r="I454" s="418">
        <v>0</v>
      </c>
      <c r="J454" s="418">
        <v>0</v>
      </c>
      <c r="K454" s="418">
        <f t="shared" si="338"/>
        <v>112853</v>
      </c>
      <c r="L454" s="481">
        <v>0</v>
      </c>
      <c r="M454" s="443">
        <f t="shared" si="339"/>
        <v>0</v>
      </c>
      <c r="N454" s="443">
        <f t="shared" si="340"/>
        <v>0</v>
      </c>
      <c r="O454" s="443">
        <f t="shared" si="341"/>
        <v>0</v>
      </c>
      <c r="P454" s="443">
        <f t="shared" si="342"/>
        <v>0</v>
      </c>
      <c r="Q454" s="443">
        <f t="shared" si="343"/>
        <v>0</v>
      </c>
      <c r="R454" s="443">
        <f t="shared" si="344"/>
        <v>0</v>
      </c>
      <c r="S454" s="484">
        <v>0</v>
      </c>
      <c r="T454" s="484">
        <v>0</v>
      </c>
      <c r="U454" s="484">
        <v>0</v>
      </c>
      <c r="V454" s="490">
        <v>0</v>
      </c>
      <c r="W454" s="490">
        <v>0</v>
      </c>
      <c r="X454" s="490">
        <v>0</v>
      </c>
      <c r="Y454" s="419">
        <f t="shared" si="345"/>
        <v>3.25</v>
      </c>
      <c r="Z454" s="420">
        <f t="shared" si="346"/>
        <v>7.9780000000000004E-2</v>
      </c>
      <c r="AA454" s="420">
        <v>0</v>
      </c>
      <c r="AB454" s="420">
        <v>0</v>
      </c>
      <c r="AC454" s="420">
        <f t="shared" si="347"/>
        <v>2.8920000000000001E-2</v>
      </c>
      <c r="AD454" s="419">
        <f t="shared" si="348"/>
        <v>0</v>
      </c>
      <c r="AE454" s="419">
        <f t="shared" si="349"/>
        <v>0</v>
      </c>
      <c r="AF454" s="419">
        <f t="shared" si="350"/>
        <v>0</v>
      </c>
      <c r="AG454" s="454">
        <f t="shared" si="351"/>
        <v>2427.75</v>
      </c>
      <c r="AH454" s="454">
        <f t="shared" si="374"/>
        <v>9003.41</v>
      </c>
      <c r="AI454" s="421">
        <f t="shared" si="353"/>
        <v>0</v>
      </c>
      <c r="AJ454" s="421">
        <f t="shared" si="354"/>
        <v>0</v>
      </c>
      <c r="AK454" s="421">
        <f t="shared" si="355"/>
        <v>0</v>
      </c>
      <c r="AL454" s="472">
        <v>0</v>
      </c>
      <c r="AM454" s="422">
        <f t="shared" si="356"/>
        <v>0</v>
      </c>
      <c r="AN454" s="423">
        <f t="shared" si="357"/>
        <v>0</v>
      </c>
      <c r="AO454" s="421">
        <f t="shared" si="358"/>
        <v>0</v>
      </c>
      <c r="AP454" s="472">
        <v>0</v>
      </c>
      <c r="AQ454" s="472">
        <v>0</v>
      </c>
      <c r="AR454" s="472">
        <v>0</v>
      </c>
      <c r="AS454" s="475">
        <v>0</v>
      </c>
      <c r="AT454" s="475">
        <v>0</v>
      </c>
      <c r="AU454" s="475">
        <v>0</v>
      </c>
      <c r="AV454" s="454">
        <f t="shared" si="359"/>
        <v>11431.16</v>
      </c>
      <c r="AW454" s="421">
        <f t="shared" si="360"/>
        <v>11430.75</v>
      </c>
      <c r="AX454" s="455">
        <f t="shared" si="375"/>
        <v>0.99996413312384747</v>
      </c>
      <c r="AY454" s="424">
        <f t="shared" si="361"/>
        <v>407</v>
      </c>
      <c r="AZ454" s="424">
        <f t="shared" si="362"/>
        <v>0</v>
      </c>
      <c r="BA454" s="424">
        <f t="shared" si="363"/>
        <v>359</v>
      </c>
      <c r="BB454" s="424">
        <f t="shared" si="364"/>
        <v>0</v>
      </c>
      <c r="BC454" s="424">
        <f t="shared" si="365"/>
        <v>0</v>
      </c>
      <c r="BD454" s="424">
        <f t="shared" si="366"/>
        <v>12196.75</v>
      </c>
      <c r="BE454" s="452">
        <f t="shared" si="367"/>
        <v>12197.16</v>
      </c>
      <c r="BF454" s="448">
        <f t="shared" si="368"/>
        <v>-0.40999999999985448</v>
      </c>
      <c r="BG454" s="456">
        <f t="shared" si="369"/>
        <v>3263.71</v>
      </c>
      <c r="BH454" s="457">
        <f t="shared" si="370"/>
        <v>5739.7</v>
      </c>
      <c r="BI454" s="407" t="s">
        <v>1490</v>
      </c>
      <c r="BM454" s="429">
        <f>IF(BR454&gt;BR453,BM453,IF(BM453&lt;MiscData!$F$1,EOMONTH(BM453,1),EOMONTH(BM453,-11)))</f>
        <v>42004</v>
      </c>
      <c r="BN454" s="416" t="str">
        <f t="shared" si="371"/>
        <v>20140101KUCME295</v>
      </c>
      <c r="BO454" s="427" t="str">
        <f t="shared" si="372"/>
        <v>20140101TE</v>
      </c>
      <c r="BP454" s="407">
        <f>IF(BM454&lt;=MiscData!$B$23,MiscData!$C$23,IF(BM454&lt;=MiscData!$B$24,MiscData!$C$24,MiscData!$C$25))</f>
        <v>20140101</v>
      </c>
      <c r="BQ454" s="407" t="str">
        <f>VLOOKUP(BR454,MiscData!$V$4:$W$42,2,FALSE)</f>
        <v>KUCME295</v>
      </c>
      <c r="BR454" s="407">
        <f>IF(BR453=MiscData!$V$42,1,BR453+1)</f>
        <v>22</v>
      </c>
      <c r="BS454" s="407" t="str">
        <f>VLOOKUP(BQ454,MiscData!$W$4:$Y$42,3,FALSE)</f>
        <v>TE</v>
      </c>
    </row>
    <row r="455" spans="1:71" hidden="1">
      <c r="A455" s="416">
        <f t="shared" si="376"/>
        <v>365</v>
      </c>
      <c r="B455" s="416" t="str">
        <f t="shared" si="334"/>
        <v>Dec 2014</v>
      </c>
      <c r="C455" s="416" t="s">
        <v>21</v>
      </c>
      <c r="D455" s="417" t="str">
        <f t="shared" si="335"/>
        <v>TE</v>
      </c>
      <c r="E455" s="417" t="str">
        <f t="shared" si="336"/>
        <v>KUCME297</v>
      </c>
      <c r="F455" s="418">
        <f t="shared" si="337"/>
        <v>0</v>
      </c>
      <c r="G455" s="467">
        <v>0</v>
      </c>
      <c r="H455" s="418">
        <v>0</v>
      </c>
      <c r="I455" s="418">
        <v>0</v>
      </c>
      <c r="J455" s="418">
        <v>0</v>
      </c>
      <c r="K455" s="418">
        <f t="shared" si="338"/>
        <v>0</v>
      </c>
      <c r="L455" s="481">
        <v>0</v>
      </c>
      <c r="M455" s="443">
        <f t="shared" si="339"/>
        <v>0</v>
      </c>
      <c r="N455" s="443">
        <f t="shared" si="340"/>
        <v>0</v>
      </c>
      <c r="O455" s="443">
        <f t="shared" si="341"/>
        <v>0</v>
      </c>
      <c r="P455" s="443">
        <f t="shared" si="342"/>
        <v>0</v>
      </c>
      <c r="Q455" s="443">
        <f t="shared" si="343"/>
        <v>0</v>
      </c>
      <c r="R455" s="443">
        <f t="shared" si="344"/>
        <v>0</v>
      </c>
      <c r="S455" s="484">
        <v>0</v>
      </c>
      <c r="T455" s="484">
        <v>0</v>
      </c>
      <c r="U455" s="484">
        <v>0</v>
      </c>
      <c r="V455" s="490">
        <v>0</v>
      </c>
      <c r="W455" s="490">
        <v>0</v>
      </c>
      <c r="X455" s="490">
        <v>0</v>
      </c>
      <c r="Y455" s="419">
        <f t="shared" si="345"/>
        <v>3.25</v>
      </c>
      <c r="Z455" s="420">
        <f t="shared" si="346"/>
        <v>7.9780000000000004E-2</v>
      </c>
      <c r="AA455" s="420">
        <v>0</v>
      </c>
      <c r="AB455" s="420">
        <v>0</v>
      </c>
      <c r="AC455" s="420">
        <f t="shared" si="347"/>
        <v>2.8920000000000001E-2</v>
      </c>
      <c r="AD455" s="419">
        <f t="shared" si="348"/>
        <v>0</v>
      </c>
      <c r="AE455" s="419">
        <f t="shared" si="349"/>
        <v>0</v>
      </c>
      <c r="AF455" s="419">
        <f t="shared" si="350"/>
        <v>0</v>
      </c>
      <c r="AG455" s="454">
        <f t="shared" si="351"/>
        <v>0</v>
      </c>
      <c r="AH455" s="454">
        <f t="shared" si="374"/>
        <v>0</v>
      </c>
      <c r="AI455" s="421">
        <f t="shared" si="353"/>
        <v>0</v>
      </c>
      <c r="AJ455" s="421">
        <f t="shared" si="354"/>
        <v>0</v>
      </c>
      <c r="AK455" s="421">
        <f t="shared" si="355"/>
        <v>0</v>
      </c>
      <c r="AL455" s="472">
        <v>0</v>
      </c>
      <c r="AM455" s="422">
        <f t="shared" si="356"/>
        <v>0</v>
      </c>
      <c r="AN455" s="423">
        <f t="shared" si="357"/>
        <v>0</v>
      </c>
      <c r="AO455" s="421">
        <f t="shared" si="358"/>
        <v>0</v>
      </c>
      <c r="AP455" s="472">
        <v>0</v>
      </c>
      <c r="AQ455" s="472">
        <v>0</v>
      </c>
      <c r="AR455" s="472">
        <v>0</v>
      </c>
      <c r="AS455" s="475">
        <v>0</v>
      </c>
      <c r="AT455" s="475">
        <v>0</v>
      </c>
      <c r="AU455" s="475">
        <v>0</v>
      </c>
      <c r="AV455" s="454">
        <f t="shared" si="359"/>
        <v>0</v>
      </c>
      <c r="AW455" s="421">
        <f t="shared" si="360"/>
        <v>0</v>
      </c>
      <c r="AX455" s="455">
        <f t="shared" si="375"/>
        <v>1</v>
      </c>
      <c r="AY455" s="424">
        <f t="shared" si="361"/>
        <v>0</v>
      </c>
      <c r="AZ455" s="424">
        <f t="shared" si="362"/>
        <v>0</v>
      </c>
      <c r="BA455" s="424">
        <f t="shared" si="363"/>
        <v>0</v>
      </c>
      <c r="BB455" s="424">
        <f t="shared" si="364"/>
        <v>0</v>
      </c>
      <c r="BC455" s="424">
        <f t="shared" si="365"/>
        <v>0</v>
      </c>
      <c r="BD455" s="424">
        <f t="shared" si="366"/>
        <v>0</v>
      </c>
      <c r="BE455" s="452">
        <f t="shared" si="367"/>
        <v>0</v>
      </c>
      <c r="BF455" s="448">
        <f t="shared" si="368"/>
        <v>0</v>
      </c>
      <c r="BG455" s="456">
        <f t="shared" si="369"/>
        <v>0</v>
      </c>
      <c r="BH455" s="457">
        <f t="shared" si="370"/>
        <v>0</v>
      </c>
      <c r="BI455" s="407" t="s">
        <v>1490</v>
      </c>
      <c r="BM455" s="429">
        <f>IF(BR455&gt;BR454,BM454,IF(BM454&lt;MiscData!$F$1,EOMONTH(BM454,1),EOMONTH(BM454,-11)))</f>
        <v>42004</v>
      </c>
      <c r="BN455" s="416" t="str">
        <f t="shared" si="371"/>
        <v>20140101KUCME297</v>
      </c>
      <c r="BO455" s="427" t="str">
        <f t="shared" si="372"/>
        <v>20140101TE</v>
      </c>
      <c r="BP455" s="407">
        <f>IF(BM455&lt;=MiscData!$B$23,MiscData!$C$23,IF(BM455&lt;=MiscData!$B$24,MiscData!$C$24,MiscData!$C$25))</f>
        <v>20140101</v>
      </c>
      <c r="BQ455" s="407" t="str">
        <f>VLOOKUP(BR455,MiscData!$V$4:$W$42,2,FALSE)</f>
        <v>KUCME297</v>
      </c>
      <c r="BR455" s="407">
        <f>IF(BR454=MiscData!$V$42,1,BR454+1)</f>
        <v>23</v>
      </c>
      <c r="BS455" s="407" t="str">
        <f>VLOOKUP(BQ455,MiscData!$W$4:$Y$42,3,FALSE)</f>
        <v>TE</v>
      </c>
    </row>
    <row r="456" spans="1:71" hidden="1">
      <c r="A456" s="416">
        <f t="shared" si="376"/>
        <v>366</v>
      </c>
      <c r="B456" s="416" t="str">
        <f t="shared" si="334"/>
        <v>Dec 2014</v>
      </c>
      <c r="C456" s="416" t="s">
        <v>727</v>
      </c>
      <c r="D456" s="417" t="str">
        <f t="shared" si="335"/>
        <v>SQF</v>
      </c>
      <c r="E456" s="417" t="str">
        <f t="shared" si="336"/>
        <v>KUCME705</v>
      </c>
      <c r="F456" s="418">
        <f t="shared" si="337"/>
        <v>0</v>
      </c>
      <c r="G456" s="467">
        <v>0</v>
      </c>
      <c r="H456" s="418">
        <v>0</v>
      </c>
      <c r="I456" s="418">
        <v>0</v>
      </c>
      <c r="J456" s="418">
        <v>0</v>
      </c>
      <c r="K456" s="418">
        <f t="shared" si="338"/>
        <v>0</v>
      </c>
      <c r="L456" s="481">
        <v>0</v>
      </c>
      <c r="M456" s="443">
        <f t="shared" si="339"/>
        <v>0</v>
      </c>
      <c r="N456" s="443">
        <f t="shared" si="340"/>
        <v>0</v>
      </c>
      <c r="O456" s="443">
        <f t="shared" si="341"/>
        <v>0</v>
      </c>
      <c r="P456" s="443">
        <f t="shared" si="342"/>
        <v>0</v>
      </c>
      <c r="Q456" s="443">
        <f t="shared" si="343"/>
        <v>0</v>
      </c>
      <c r="R456" s="443">
        <f t="shared" si="344"/>
        <v>0</v>
      </c>
      <c r="S456" s="484">
        <v>0</v>
      </c>
      <c r="T456" s="484">
        <v>0</v>
      </c>
      <c r="U456" s="484">
        <v>0</v>
      </c>
      <c r="V456" s="490">
        <v>0</v>
      </c>
      <c r="W456" s="490">
        <v>0</v>
      </c>
      <c r="X456" s="490">
        <v>0</v>
      </c>
      <c r="Y456" s="419">
        <f t="shared" si="345"/>
        <v>0</v>
      </c>
      <c r="Z456" s="420">
        <f t="shared" si="346"/>
        <v>0</v>
      </c>
      <c r="AA456" s="420">
        <v>0</v>
      </c>
      <c r="AB456" s="420">
        <v>0</v>
      </c>
      <c r="AC456" s="420">
        <f t="shared" si="347"/>
        <v>0</v>
      </c>
      <c r="AD456" s="419">
        <f t="shared" si="348"/>
        <v>0</v>
      </c>
      <c r="AE456" s="419">
        <f t="shared" si="349"/>
        <v>0</v>
      </c>
      <c r="AF456" s="419">
        <f t="shared" si="350"/>
        <v>0</v>
      </c>
      <c r="AG456" s="454">
        <f t="shared" si="351"/>
        <v>0</v>
      </c>
      <c r="AH456" s="454">
        <f t="shared" si="374"/>
        <v>0</v>
      </c>
      <c r="AI456" s="421">
        <f t="shared" si="353"/>
        <v>0</v>
      </c>
      <c r="AJ456" s="421">
        <f t="shared" si="354"/>
        <v>0</v>
      </c>
      <c r="AK456" s="421">
        <f t="shared" si="355"/>
        <v>0</v>
      </c>
      <c r="AL456" s="472">
        <v>0</v>
      </c>
      <c r="AM456" s="422">
        <f t="shared" si="356"/>
        <v>0</v>
      </c>
      <c r="AN456" s="423">
        <f t="shared" si="357"/>
        <v>0</v>
      </c>
      <c r="AO456" s="421">
        <f t="shared" si="358"/>
        <v>0</v>
      </c>
      <c r="AP456" s="472">
        <v>0</v>
      </c>
      <c r="AQ456" s="472">
        <v>0</v>
      </c>
      <c r="AR456" s="472">
        <v>0</v>
      </c>
      <c r="AS456" s="475">
        <v>0</v>
      </c>
      <c r="AT456" s="475">
        <v>0</v>
      </c>
      <c r="AU456" s="475">
        <v>0</v>
      </c>
      <c r="AV456" s="454">
        <f t="shared" si="359"/>
        <v>0</v>
      </c>
      <c r="AW456" s="421">
        <f t="shared" si="360"/>
        <v>0</v>
      </c>
      <c r="AX456" s="455">
        <f t="shared" si="375"/>
        <v>1</v>
      </c>
      <c r="AY456" s="424">
        <f t="shared" si="361"/>
        <v>0</v>
      </c>
      <c r="AZ456" s="424">
        <f t="shared" si="362"/>
        <v>0</v>
      </c>
      <c r="BA456" s="424">
        <f t="shared" si="363"/>
        <v>0</v>
      </c>
      <c r="BB456" s="424">
        <f t="shared" si="364"/>
        <v>0</v>
      </c>
      <c r="BC456" s="424">
        <f t="shared" si="365"/>
        <v>0</v>
      </c>
      <c r="BD456" s="424">
        <f t="shared" si="366"/>
        <v>0</v>
      </c>
      <c r="BE456" s="452">
        <f t="shared" si="367"/>
        <v>0</v>
      </c>
      <c r="BF456" s="448">
        <f t="shared" si="368"/>
        <v>0</v>
      </c>
      <c r="BG456" s="456">
        <f t="shared" si="369"/>
        <v>0</v>
      </c>
      <c r="BH456" s="457">
        <f t="shared" si="370"/>
        <v>0</v>
      </c>
      <c r="BI456" s="407" t="s">
        <v>1490</v>
      </c>
      <c r="BM456" s="429">
        <f>IF(BR456&gt;BR455,BM455,IF(BM455&lt;MiscData!$F$1,EOMONTH(BM455,1),EOMONTH(BM455,-11)))</f>
        <v>42004</v>
      </c>
      <c r="BN456" s="416" t="str">
        <f t="shared" si="371"/>
        <v>20140101KUCME705</v>
      </c>
      <c r="BO456" s="427" t="str">
        <f t="shared" si="372"/>
        <v>20140101SQF</v>
      </c>
      <c r="BP456" s="407">
        <f>IF(BM456&lt;=MiscData!$B$23,MiscData!$C$23,IF(BM456&lt;=MiscData!$B$24,MiscData!$C$24,MiscData!$C$25))</f>
        <v>20140101</v>
      </c>
      <c r="BQ456" s="407" t="str">
        <f>VLOOKUP(BR456,MiscData!$V$4:$W$42,2,FALSE)</f>
        <v>KUCME705</v>
      </c>
      <c r="BR456" s="407">
        <f>IF(BR455=MiscData!$V$42,1,BR455+1)</f>
        <v>24</v>
      </c>
      <c r="BS456" s="407" t="str">
        <f>VLOOKUP(BQ456,MiscData!$W$4:$Y$42,3,FALSE)</f>
        <v>SQF</v>
      </c>
    </row>
    <row r="457" spans="1:71" hidden="1">
      <c r="A457" s="416">
        <f t="shared" si="376"/>
        <v>367</v>
      </c>
      <c r="B457" s="416" t="str">
        <f t="shared" si="334"/>
        <v>Dec 2014</v>
      </c>
      <c r="C457" s="416" t="s">
        <v>1052</v>
      </c>
      <c r="D457" s="417" t="str">
        <f t="shared" si="335"/>
        <v>LQF</v>
      </c>
      <c r="E457" s="417" t="str">
        <f t="shared" si="336"/>
        <v>KUCME707</v>
      </c>
      <c r="F457" s="418">
        <f t="shared" si="337"/>
        <v>0</v>
      </c>
      <c r="G457" s="467">
        <v>0</v>
      </c>
      <c r="H457" s="418">
        <v>0</v>
      </c>
      <c r="I457" s="418">
        <v>0</v>
      </c>
      <c r="J457" s="418">
        <v>0</v>
      </c>
      <c r="K457" s="418">
        <f t="shared" si="338"/>
        <v>0</v>
      </c>
      <c r="L457" s="481">
        <v>0</v>
      </c>
      <c r="M457" s="443">
        <f t="shared" si="339"/>
        <v>0</v>
      </c>
      <c r="N457" s="443">
        <f t="shared" si="340"/>
        <v>0</v>
      </c>
      <c r="O457" s="443">
        <f t="shared" si="341"/>
        <v>0</v>
      </c>
      <c r="P457" s="443">
        <f t="shared" si="342"/>
        <v>0</v>
      </c>
      <c r="Q457" s="443">
        <f t="shared" si="343"/>
        <v>0</v>
      </c>
      <c r="R457" s="443">
        <f t="shared" si="344"/>
        <v>0</v>
      </c>
      <c r="S457" s="484">
        <v>0</v>
      </c>
      <c r="T457" s="484">
        <v>0</v>
      </c>
      <c r="U457" s="484">
        <v>0</v>
      </c>
      <c r="V457" s="490">
        <v>0</v>
      </c>
      <c r="W457" s="490">
        <v>0</v>
      </c>
      <c r="X457" s="490">
        <v>0</v>
      </c>
      <c r="Y457" s="419">
        <f t="shared" si="345"/>
        <v>0</v>
      </c>
      <c r="Z457" s="420">
        <f t="shared" si="346"/>
        <v>0</v>
      </c>
      <c r="AA457" s="420">
        <v>0</v>
      </c>
      <c r="AB457" s="420">
        <v>0</v>
      </c>
      <c r="AC457" s="420">
        <f t="shared" si="347"/>
        <v>0</v>
      </c>
      <c r="AD457" s="419">
        <f t="shared" si="348"/>
        <v>0</v>
      </c>
      <c r="AE457" s="419">
        <f t="shared" si="349"/>
        <v>0</v>
      </c>
      <c r="AF457" s="419">
        <f t="shared" si="350"/>
        <v>0</v>
      </c>
      <c r="AG457" s="454">
        <f t="shared" si="351"/>
        <v>0</v>
      </c>
      <c r="AH457" s="454">
        <f t="shared" si="374"/>
        <v>0</v>
      </c>
      <c r="AI457" s="421">
        <f t="shared" si="353"/>
        <v>0</v>
      </c>
      <c r="AJ457" s="421">
        <f t="shared" si="354"/>
        <v>0</v>
      </c>
      <c r="AK457" s="421">
        <f t="shared" si="355"/>
        <v>0</v>
      </c>
      <c r="AL457" s="472">
        <v>0</v>
      </c>
      <c r="AM457" s="422">
        <f t="shared" si="356"/>
        <v>0</v>
      </c>
      <c r="AN457" s="423">
        <f t="shared" si="357"/>
        <v>0</v>
      </c>
      <c r="AO457" s="421">
        <f t="shared" si="358"/>
        <v>0</v>
      </c>
      <c r="AP457" s="472">
        <v>0</v>
      </c>
      <c r="AQ457" s="472">
        <v>0</v>
      </c>
      <c r="AR457" s="472">
        <v>0</v>
      </c>
      <c r="AS457" s="475">
        <v>0</v>
      </c>
      <c r="AT457" s="475">
        <v>0</v>
      </c>
      <c r="AU457" s="475">
        <v>0</v>
      </c>
      <c r="AV457" s="454">
        <f t="shared" si="359"/>
        <v>0</v>
      </c>
      <c r="AW457" s="421">
        <f t="shared" si="360"/>
        <v>0</v>
      </c>
      <c r="AX457" s="455">
        <f t="shared" si="375"/>
        <v>1</v>
      </c>
      <c r="AY457" s="424">
        <f t="shared" si="361"/>
        <v>0</v>
      </c>
      <c r="AZ457" s="424">
        <f t="shared" si="362"/>
        <v>0</v>
      </c>
      <c r="BA457" s="424">
        <f t="shared" si="363"/>
        <v>0</v>
      </c>
      <c r="BB457" s="424">
        <f t="shared" si="364"/>
        <v>0</v>
      </c>
      <c r="BC457" s="424">
        <f t="shared" si="365"/>
        <v>0</v>
      </c>
      <c r="BD457" s="424">
        <f t="shared" si="366"/>
        <v>0</v>
      </c>
      <c r="BE457" s="452">
        <f t="shared" si="367"/>
        <v>0</v>
      </c>
      <c r="BF457" s="448">
        <f t="shared" si="368"/>
        <v>0</v>
      </c>
      <c r="BG457" s="456">
        <f t="shared" si="369"/>
        <v>0</v>
      </c>
      <c r="BH457" s="457">
        <f t="shared" si="370"/>
        <v>0</v>
      </c>
      <c r="BI457" s="407" t="s">
        <v>1490</v>
      </c>
      <c r="BM457" s="429">
        <f>IF(BR457&gt;BR456,BM456,IF(BM456&lt;MiscData!$F$1,EOMONTH(BM456,1),EOMONTH(BM456,-11)))</f>
        <v>42004</v>
      </c>
      <c r="BN457" s="416" t="str">
        <f t="shared" si="371"/>
        <v>20140101KUCME707</v>
      </c>
      <c r="BO457" s="427" t="str">
        <f t="shared" si="372"/>
        <v>20140101LQF</v>
      </c>
      <c r="BP457" s="407">
        <f>IF(BM457&lt;=MiscData!$B$23,MiscData!$C$23,IF(BM457&lt;=MiscData!$B$24,MiscData!$C$24,MiscData!$C$25))</f>
        <v>20140101</v>
      </c>
      <c r="BQ457" s="407" t="str">
        <f>VLOOKUP(BR457,MiscData!$V$4:$W$42,2,FALSE)</f>
        <v>KUCME707</v>
      </c>
      <c r="BR457" s="407">
        <f>IF(BR456=MiscData!$V$42,1,BR456+1)</f>
        <v>25</v>
      </c>
      <c r="BS457" s="407" t="str">
        <f>VLOOKUP(BQ457,MiscData!$W$4:$Y$42,3,FALSE)</f>
        <v>LQF</v>
      </c>
    </row>
    <row r="458" spans="1:71" hidden="1">
      <c r="A458" s="416">
        <f t="shared" si="376"/>
        <v>368</v>
      </c>
      <c r="B458" s="416" t="str">
        <f t="shared" si="334"/>
        <v>Dec 2014</v>
      </c>
      <c r="C458" s="416" t="s">
        <v>224</v>
      </c>
      <c r="D458" s="417" t="str">
        <f t="shared" si="335"/>
        <v>GS</v>
      </c>
      <c r="E458" s="417" t="str">
        <f t="shared" si="336"/>
        <v>KUCME710</v>
      </c>
      <c r="F458" s="418">
        <f t="shared" si="337"/>
        <v>0</v>
      </c>
      <c r="G458" s="467">
        <v>0</v>
      </c>
      <c r="H458" s="418">
        <v>0</v>
      </c>
      <c r="I458" s="418">
        <v>0</v>
      </c>
      <c r="J458" s="418">
        <v>0</v>
      </c>
      <c r="K458" s="418">
        <f t="shared" si="338"/>
        <v>0</v>
      </c>
      <c r="L458" s="481">
        <v>0</v>
      </c>
      <c r="M458" s="443">
        <f t="shared" si="339"/>
        <v>0</v>
      </c>
      <c r="N458" s="443">
        <f t="shared" si="340"/>
        <v>0</v>
      </c>
      <c r="O458" s="443">
        <f t="shared" si="341"/>
        <v>0</v>
      </c>
      <c r="P458" s="443">
        <f t="shared" si="342"/>
        <v>0</v>
      </c>
      <c r="Q458" s="443">
        <f t="shared" si="343"/>
        <v>0</v>
      </c>
      <c r="R458" s="443">
        <f t="shared" si="344"/>
        <v>0</v>
      </c>
      <c r="S458" s="484">
        <v>0</v>
      </c>
      <c r="T458" s="484">
        <v>0</v>
      </c>
      <c r="U458" s="484">
        <v>0</v>
      </c>
      <c r="V458" s="490">
        <v>0</v>
      </c>
      <c r="W458" s="490">
        <v>0</v>
      </c>
      <c r="X458" s="490">
        <v>0</v>
      </c>
      <c r="Y458" s="419">
        <f t="shared" si="345"/>
        <v>20</v>
      </c>
      <c r="Z458" s="420">
        <f t="shared" si="346"/>
        <v>9.2249999999999999E-2</v>
      </c>
      <c r="AA458" s="420">
        <v>0</v>
      </c>
      <c r="AB458" s="420">
        <v>0</v>
      </c>
      <c r="AC458" s="420">
        <f t="shared" si="347"/>
        <v>2.8920000000000001E-2</v>
      </c>
      <c r="AD458" s="419">
        <f t="shared" si="348"/>
        <v>0</v>
      </c>
      <c r="AE458" s="419">
        <f t="shared" si="349"/>
        <v>0</v>
      </c>
      <c r="AF458" s="419">
        <f t="shared" si="350"/>
        <v>0</v>
      </c>
      <c r="AG458" s="454">
        <f t="shared" si="351"/>
        <v>0</v>
      </c>
      <c r="AH458" s="454">
        <f t="shared" si="374"/>
        <v>0</v>
      </c>
      <c r="AI458" s="421">
        <f t="shared" si="353"/>
        <v>0</v>
      </c>
      <c r="AJ458" s="421">
        <f t="shared" si="354"/>
        <v>0</v>
      </c>
      <c r="AK458" s="421">
        <f t="shared" si="355"/>
        <v>0</v>
      </c>
      <c r="AL458" s="472">
        <v>0</v>
      </c>
      <c r="AM458" s="422">
        <f t="shared" si="356"/>
        <v>0</v>
      </c>
      <c r="AN458" s="423">
        <f t="shared" si="357"/>
        <v>0</v>
      </c>
      <c r="AO458" s="421">
        <f t="shared" si="358"/>
        <v>0</v>
      </c>
      <c r="AP458" s="472">
        <v>0</v>
      </c>
      <c r="AQ458" s="472">
        <v>0</v>
      </c>
      <c r="AR458" s="472">
        <v>0</v>
      </c>
      <c r="AS458" s="475">
        <v>0</v>
      </c>
      <c r="AT458" s="475">
        <v>0</v>
      </c>
      <c r="AU458" s="475">
        <v>0</v>
      </c>
      <c r="AV458" s="454">
        <f t="shared" si="359"/>
        <v>0</v>
      </c>
      <c r="AW458" s="421">
        <f t="shared" si="360"/>
        <v>0</v>
      </c>
      <c r="AX458" s="455">
        <f t="shared" ref="AX458:AX471" si="377">IF(AND(AV458=0,AW458=0),1,IF(AV458=0,0,AW458/AV458))</f>
        <v>1</v>
      </c>
      <c r="AY458" s="424">
        <f t="shared" si="361"/>
        <v>0</v>
      </c>
      <c r="AZ458" s="424">
        <f t="shared" si="362"/>
        <v>0</v>
      </c>
      <c r="BA458" s="424">
        <f t="shared" si="363"/>
        <v>0</v>
      </c>
      <c r="BB458" s="424">
        <f t="shared" si="364"/>
        <v>0</v>
      </c>
      <c r="BC458" s="424">
        <f t="shared" si="365"/>
        <v>0</v>
      </c>
      <c r="BD458" s="424">
        <f t="shared" si="366"/>
        <v>0</v>
      </c>
      <c r="BE458" s="452">
        <f t="shared" si="367"/>
        <v>0</v>
      </c>
      <c r="BF458" s="448">
        <f t="shared" si="368"/>
        <v>0</v>
      </c>
      <c r="BG458" s="456">
        <f t="shared" si="369"/>
        <v>0</v>
      </c>
      <c r="BH458" s="457">
        <f t="shared" si="370"/>
        <v>0</v>
      </c>
      <c r="BI458" s="407" t="s">
        <v>1490</v>
      </c>
      <c r="BM458" s="429">
        <f>IF(BR458&gt;BR457,BM457,IF(BM457&lt;MiscData!$F$1,EOMONTH(BM457,1),EOMONTH(BM457,-11)))</f>
        <v>42004</v>
      </c>
      <c r="BN458" s="416" t="str">
        <f t="shared" si="371"/>
        <v>20140101KUCME710</v>
      </c>
      <c r="BO458" s="427" t="str">
        <f t="shared" si="372"/>
        <v>20140101GS</v>
      </c>
      <c r="BP458" s="407">
        <f>IF(BM458&lt;=MiscData!$B$23,MiscData!$C$23,IF(BM458&lt;=MiscData!$B$24,MiscData!$C$24,MiscData!$C$25))</f>
        <v>20140101</v>
      </c>
      <c r="BQ458" s="407" t="str">
        <f>VLOOKUP(BR458,MiscData!$V$4:$W$42,2,FALSE)</f>
        <v>KUCME710</v>
      </c>
      <c r="BR458" s="407">
        <f>IF(BR457=MiscData!$V$42,1,BR457+1)</f>
        <v>26</v>
      </c>
      <c r="BS458" s="407" t="str">
        <f>VLOOKUP(BQ458,MiscData!$W$4:$Y$42,3,FALSE)</f>
        <v>GS</v>
      </c>
    </row>
    <row r="459" spans="1:71" hidden="1">
      <c r="A459" s="416">
        <f t="shared" si="376"/>
        <v>369</v>
      </c>
      <c r="B459" s="416" t="str">
        <f t="shared" si="334"/>
        <v>Dec 2014</v>
      </c>
      <c r="C459" s="416" t="s">
        <v>18</v>
      </c>
      <c r="D459" s="417" t="str">
        <f t="shared" si="335"/>
        <v>GS3</v>
      </c>
      <c r="E459" s="417" t="str">
        <f t="shared" si="336"/>
        <v>KUCME713</v>
      </c>
      <c r="F459" s="418">
        <f t="shared" si="337"/>
        <v>0</v>
      </c>
      <c r="G459" s="467">
        <v>0</v>
      </c>
      <c r="H459" s="418">
        <v>0</v>
      </c>
      <c r="I459" s="418">
        <v>0</v>
      </c>
      <c r="J459" s="418">
        <v>0</v>
      </c>
      <c r="K459" s="418">
        <f t="shared" si="338"/>
        <v>0</v>
      </c>
      <c r="L459" s="481">
        <v>0</v>
      </c>
      <c r="M459" s="443">
        <f t="shared" si="339"/>
        <v>0</v>
      </c>
      <c r="N459" s="443">
        <f t="shared" si="340"/>
        <v>0</v>
      </c>
      <c r="O459" s="443">
        <f t="shared" si="341"/>
        <v>0</v>
      </c>
      <c r="P459" s="443">
        <f t="shared" si="342"/>
        <v>0</v>
      </c>
      <c r="Q459" s="443">
        <f t="shared" si="343"/>
        <v>0</v>
      </c>
      <c r="R459" s="443">
        <f t="shared" si="344"/>
        <v>0</v>
      </c>
      <c r="S459" s="484">
        <v>0</v>
      </c>
      <c r="T459" s="484">
        <v>0</v>
      </c>
      <c r="U459" s="484">
        <v>0</v>
      </c>
      <c r="V459" s="490">
        <v>0</v>
      </c>
      <c r="W459" s="490">
        <v>0</v>
      </c>
      <c r="X459" s="490">
        <v>0</v>
      </c>
      <c r="Y459" s="419">
        <f t="shared" si="345"/>
        <v>35</v>
      </c>
      <c r="Z459" s="420">
        <f t="shared" si="346"/>
        <v>9.2249999999999999E-2</v>
      </c>
      <c r="AA459" s="420">
        <v>0</v>
      </c>
      <c r="AB459" s="420">
        <v>0</v>
      </c>
      <c r="AC459" s="420">
        <f t="shared" si="347"/>
        <v>2.8920000000000001E-2</v>
      </c>
      <c r="AD459" s="419">
        <f t="shared" si="348"/>
        <v>0</v>
      </c>
      <c r="AE459" s="419">
        <f t="shared" si="349"/>
        <v>0</v>
      </c>
      <c r="AF459" s="419">
        <f t="shared" si="350"/>
        <v>0</v>
      </c>
      <c r="AG459" s="454">
        <f t="shared" si="351"/>
        <v>0</v>
      </c>
      <c r="AH459" s="454">
        <f t="shared" si="374"/>
        <v>0</v>
      </c>
      <c r="AI459" s="421">
        <f t="shared" si="353"/>
        <v>0</v>
      </c>
      <c r="AJ459" s="421">
        <f t="shared" si="354"/>
        <v>0</v>
      </c>
      <c r="AK459" s="421">
        <f t="shared" si="355"/>
        <v>0</v>
      </c>
      <c r="AL459" s="472">
        <v>0</v>
      </c>
      <c r="AM459" s="422">
        <f t="shared" si="356"/>
        <v>0</v>
      </c>
      <c r="AN459" s="423">
        <f t="shared" si="357"/>
        <v>0</v>
      </c>
      <c r="AO459" s="421">
        <f t="shared" si="358"/>
        <v>0</v>
      </c>
      <c r="AP459" s="472">
        <v>0</v>
      </c>
      <c r="AQ459" s="472">
        <v>0</v>
      </c>
      <c r="AR459" s="472">
        <v>0</v>
      </c>
      <c r="AS459" s="475">
        <v>0</v>
      </c>
      <c r="AT459" s="475">
        <v>0</v>
      </c>
      <c r="AU459" s="475">
        <v>0</v>
      </c>
      <c r="AV459" s="454">
        <f t="shared" si="359"/>
        <v>0</v>
      </c>
      <c r="AW459" s="421">
        <f t="shared" si="360"/>
        <v>0</v>
      </c>
      <c r="AX459" s="455">
        <f t="shared" si="377"/>
        <v>1</v>
      </c>
      <c r="AY459" s="424">
        <f t="shared" si="361"/>
        <v>0</v>
      </c>
      <c r="AZ459" s="424">
        <f t="shared" si="362"/>
        <v>0</v>
      </c>
      <c r="BA459" s="424">
        <f t="shared" si="363"/>
        <v>0</v>
      </c>
      <c r="BB459" s="424">
        <f t="shared" si="364"/>
        <v>0</v>
      </c>
      <c r="BC459" s="424">
        <f t="shared" si="365"/>
        <v>0</v>
      </c>
      <c r="BD459" s="424">
        <f t="shared" si="366"/>
        <v>0</v>
      </c>
      <c r="BE459" s="452">
        <f t="shared" si="367"/>
        <v>0</v>
      </c>
      <c r="BF459" s="448">
        <f t="shared" si="368"/>
        <v>0</v>
      </c>
      <c r="BG459" s="456">
        <f t="shared" si="369"/>
        <v>0</v>
      </c>
      <c r="BH459" s="457">
        <f t="shared" si="370"/>
        <v>0</v>
      </c>
      <c r="BI459" s="407" t="s">
        <v>1490</v>
      </c>
      <c r="BM459" s="429">
        <f>IF(BR459&gt;BR458,BM458,IF(BM458&lt;MiscData!$F$1,EOMONTH(BM458,1),EOMONTH(BM458,-11)))</f>
        <v>42004</v>
      </c>
      <c r="BN459" s="416" t="str">
        <f t="shared" si="371"/>
        <v>20140101KUCME713</v>
      </c>
      <c r="BO459" s="427" t="str">
        <f t="shared" si="372"/>
        <v>20140101GS3</v>
      </c>
      <c r="BP459" s="407">
        <f>IF(BM459&lt;=MiscData!$B$23,MiscData!$C$23,IF(BM459&lt;=MiscData!$B$24,MiscData!$C$24,MiscData!$C$25))</f>
        <v>20140101</v>
      </c>
      <c r="BQ459" s="407" t="str">
        <f>VLOOKUP(BR459,MiscData!$V$4:$W$42,2,FALSE)</f>
        <v>KUCME713</v>
      </c>
      <c r="BR459" s="407">
        <f>IF(BR458=MiscData!$V$42,1,BR458+1)</f>
        <v>27</v>
      </c>
      <c r="BS459" s="407" t="str">
        <f>VLOOKUP(BQ459,MiscData!$W$4:$Y$42,3,FALSE)</f>
        <v>GS3</v>
      </c>
    </row>
    <row r="460" spans="1:71" hidden="1">
      <c r="A460" s="416">
        <f t="shared" si="376"/>
        <v>370</v>
      </c>
      <c r="B460" s="416" t="str">
        <f t="shared" si="334"/>
        <v>Dec 2014</v>
      </c>
      <c r="C460" s="416" t="s">
        <v>1459</v>
      </c>
      <c r="D460" s="417" t="str">
        <f t="shared" si="335"/>
        <v>CSR10</v>
      </c>
      <c r="E460" s="417" t="str">
        <f t="shared" si="336"/>
        <v>KUCSR760</v>
      </c>
      <c r="F460" s="418">
        <f t="shared" si="337"/>
        <v>0</v>
      </c>
      <c r="G460" s="467">
        <v>0</v>
      </c>
      <c r="H460" s="418">
        <v>0</v>
      </c>
      <c r="I460" s="418">
        <v>0</v>
      </c>
      <c r="J460" s="418">
        <v>0</v>
      </c>
      <c r="K460" s="418">
        <f t="shared" si="338"/>
        <v>0</v>
      </c>
      <c r="L460" s="481">
        <v>0</v>
      </c>
      <c r="M460" s="443">
        <f t="shared" si="339"/>
        <v>0</v>
      </c>
      <c r="N460" s="443">
        <f t="shared" si="340"/>
        <v>0</v>
      </c>
      <c r="O460" s="443">
        <f t="shared" si="341"/>
        <v>0</v>
      </c>
      <c r="P460" s="443">
        <f t="shared" si="342"/>
        <v>0</v>
      </c>
      <c r="Q460" s="443">
        <f t="shared" si="343"/>
        <v>0</v>
      </c>
      <c r="R460" s="443">
        <f t="shared" si="344"/>
        <v>0</v>
      </c>
      <c r="S460" s="484">
        <v>0</v>
      </c>
      <c r="T460" s="484">
        <v>0</v>
      </c>
      <c r="U460" s="484">
        <v>0</v>
      </c>
      <c r="V460" s="490">
        <v>0</v>
      </c>
      <c r="W460" s="490">
        <v>0</v>
      </c>
      <c r="X460" s="490">
        <v>0</v>
      </c>
      <c r="Y460" s="419">
        <f t="shared" si="345"/>
        <v>0</v>
      </c>
      <c r="Z460" s="420">
        <f t="shared" si="346"/>
        <v>0</v>
      </c>
      <c r="AA460" s="420">
        <v>0</v>
      </c>
      <c r="AB460" s="420">
        <v>0</v>
      </c>
      <c r="AC460" s="420">
        <f t="shared" si="347"/>
        <v>0</v>
      </c>
      <c r="AD460" s="419">
        <f t="shared" si="348"/>
        <v>-5.4</v>
      </c>
      <c r="AE460" s="419">
        <f t="shared" si="349"/>
        <v>0</v>
      </c>
      <c r="AF460" s="419">
        <f t="shared" si="350"/>
        <v>0</v>
      </c>
      <c r="AG460" s="454">
        <f t="shared" si="351"/>
        <v>0</v>
      </c>
      <c r="AH460" s="454">
        <f t="shared" si="374"/>
        <v>0</v>
      </c>
      <c r="AI460" s="421">
        <f t="shared" si="353"/>
        <v>0</v>
      </c>
      <c r="AJ460" s="421">
        <f t="shared" si="354"/>
        <v>0</v>
      </c>
      <c r="AK460" s="421">
        <f t="shared" si="355"/>
        <v>0</v>
      </c>
      <c r="AL460" s="472">
        <v>0</v>
      </c>
      <c r="AM460" s="422">
        <f t="shared" si="356"/>
        <v>0</v>
      </c>
      <c r="AN460" s="423">
        <f t="shared" si="357"/>
        <v>0</v>
      </c>
      <c r="AO460" s="421">
        <f t="shared" si="358"/>
        <v>0</v>
      </c>
      <c r="AP460" s="472">
        <v>0</v>
      </c>
      <c r="AQ460" s="472">
        <v>0</v>
      </c>
      <c r="AR460" s="472">
        <v>0</v>
      </c>
      <c r="AS460" s="475">
        <v>0</v>
      </c>
      <c r="AT460" s="475">
        <v>0</v>
      </c>
      <c r="AU460" s="475">
        <v>0</v>
      </c>
      <c r="AV460" s="454">
        <f t="shared" si="359"/>
        <v>0</v>
      </c>
      <c r="AW460" s="421">
        <f t="shared" si="360"/>
        <v>0</v>
      </c>
      <c r="AX460" s="455">
        <f t="shared" si="377"/>
        <v>1</v>
      </c>
      <c r="AY460" s="424">
        <f t="shared" si="361"/>
        <v>0</v>
      </c>
      <c r="AZ460" s="424">
        <f t="shared" si="362"/>
        <v>0</v>
      </c>
      <c r="BA460" s="424">
        <f t="shared" si="363"/>
        <v>0</v>
      </c>
      <c r="BB460" s="424">
        <f t="shared" si="364"/>
        <v>0</v>
      </c>
      <c r="BC460" s="424">
        <f t="shared" si="365"/>
        <v>-989829</v>
      </c>
      <c r="BD460" s="424">
        <f t="shared" si="366"/>
        <v>-989829</v>
      </c>
      <c r="BE460" s="452">
        <f t="shared" si="367"/>
        <v>-989829</v>
      </c>
      <c r="BF460" s="448">
        <f t="shared" si="368"/>
        <v>0</v>
      </c>
      <c r="BG460" s="456">
        <f t="shared" si="369"/>
        <v>0</v>
      </c>
      <c r="BH460" s="457">
        <f t="shared" si="370"/>
        <v>0</v>
      </c>
      <c r="BI460" s="407" t="s">
        <v>1490</v>
      </c>
      <c r="BM460" s="429">
        <f>IF(BR460&gt;BR459,BM459,IF(BM459&lt;MiscData!$F$1,EOMONTH(BM459,1),EOMONTH(BM459,-11)))</f>
        <v>42004</v>
      </c>
      <c r="BN460" s="416" t="str">
        <f t="shared" si="371"/>
        <v>20140101KUCSR760</v>
      </c>
      <c r="BO460" s="427" t="str">
        <f t="shared" si="372"/>
        <v>20140101CSR10</v>
      </c>
      <c r="BP460" s="407">
        <f>IF(BM460&lt;=MiscData!$B$23,MiscData!$C$23,IF(BM460&lt;=MiscData!$B$24,MiscData!$C$24,MiscData!$C$25))</f>
        <v>20140101</v>
      </c>
      <c r="BQ460" s="407" t="str">
        <f>VLOOKUP(BR460,MiscData!$V$4:$W$42,2,FALSE)</f>
        <v>KUCSR760</v>
      </c>
      <c r="BR460" s="407">
        <f>IF(BR459=MiscData!$V$42,1,BR459+1)</f>
        <v>28</v>
      </c>
      <c r="BS460" s="407" t="str">
        <f>VLOOKUP(BQ460,MiscData!$W$4:$Y$42,3,FALSE)</f>
        <v>CSR10</v>
      </c>
    </row>
    <row r="461" spans="1:71" hidden="1">
      <c r="A461" s="416">
        <f t="shared" ref="A461:A466" si="378">A443+1</f>
        <v>368</v>
      </c>
      <c r="B461" s="416" t="str">
        <f>TEXT(BM461,"mmm yyyy")</f>
        <v>Dec 2014</v>
      </c>
      <c r="C461" s="416" t="s">
        <v>1459</v>
      </c>
      <c r="D461" s="417" t="str">
        <f>BS461</f>
        <v>CSR10</v>
      </c>
      <c r="E461" s="417" t="str">
        <f>BQ461</f>
        <v>KUCSR761</v>
      </c>
      <c r="F461" s="418">
        <f t="shared" si="337"/>
        <v>0</v>
      </c>
      <c r="G461" s="467">
        <v>0</v>
      </c>
      <c r="H461" s="418">
        <v>0</v>
      </c>
      <c r="I461" s="418">
        <v>0</v>
      </c>
      <c r="J461" s="418">
        <v>0</v>
      </c>
      <c r="K461" s="418">
        <f t="shared" si="338"/>
        <v>0</v>
      </c>
      <c r="L461" s="481">
        <v>0</v>
      </c>
      <c r="M461" s="443">
        <f t="shared" si="339"/>
        <v>0</v>
      </c>
      <c r="N461" s="443">
        <f t="shared" si="340"/>
        <v>0</v>
      </c>
      <c r="O461" s="443">
        <f t="shared" si="341"/>
        <v>0</v>
      </c>
      <c r="P461" s="443">
        <f t="shared" si="342"/>
        <v>0</v>
      </c>
      <c r="Q461" s="443">
        <f t="shared" si="343"/>
        <v>0</v>
      </c>
      <c r="R461" s="443">
        <f t="shared" si="344"/>
        <v>0</v>
      </c>
      <c r="S461" s="484">
        <v>0</v>
      </c>
      <c r="T461" s="484">
        <v>0</v>
      </c>
      <c r="U461" s="484">
        <v>0</v>
      </c>
      <c r="V461" s="490">
        <v>0</v>
      </c>
      <c r="W461" s="490">
        <v>0</v>
      </c>
      <c r="X461" s="490">
        <v>0</v>
      </c>
      <c r="Y461" s="419">
        <f t="shared" si="345"/>
        <v>0</v>
      </c>
      <c r="Z461" s="420">
        <f t="shared" si="346"/>
        <v>0</v>
      </c>
      <c r="AA461" s="420">
        <v>0</v>
      </c>
      <c r="AB461" s="420">
        <v>0</v>
      </c>
      <c r="AC461" s="420">
        <f t="shared" si="347"/>
        <v>0</v>
      </c>
      <c r="AD461" s="419">
        <f t="shared" si="348"/>
        <v>-5.5</v>
      </c>
      <c r="AE461" s="419">
        <f t="shared" si="349"/>
        <v>0</v>
      </c>
      <c r="AF461" s="419">
        <f t="shared" si="350"/>
        <v>0</v>
      </c>
      <c r="AG461" s="454">
        <f t="shared" si="351"/>
        <v>0</v>
      </c>
      <c r="AH461" s="454">
        <f>ROUND(IF(H461=0,(K461+L461)*Z461,SUMPRODUCT(H461:J461,Z461:AB461)),2)</f>
        <v>0</v>
      </c>
      <c r="AI461" s="421">
        <f>ROUND(($M461+V461)*$AD461,2)</f>
        <v>0</v>
      </c>
      <c r="AJ461" s="421">
        <f>ROUND(($N461+W461)*$AE461,2)</f>
        <v>0</v>
      </c>
      <c r="AK461" s="421">
        <f>ROUND(($O461+X461)*$AF461,2)</f>
        <v>0</v>
      </c>
      <c r="AL461" s="472">
        <v>0</v>
      </c>
      <c r="AM461" s="422">
        <f t="shared" si="356"/>
        <v>0</v>
      </c>
      <c r="AN461" s="423">
        <f>ROUND(U461*AF461+T461*AE461+S461*AD461,2)</f>
        <v>0</v>
      </c>
      <c r="AO461" s="421">
        <f>SUM(AI461:AN461)</f>
        <v>0</v>
      </c>
      <c r="AP461" s="472">
        <v>0</v>
      </c>
      <c r="AQ461" s="472">
        <v>0</v>
      </c>
      <c r="AR461" s="472">
        <v>0</v>
      </c>
      <c r="AS461" s="475">
        <v>0</v>
      </c>
      <c r="AT461" s="475">
        <v>0</v>
      </c>
      <c r="AU461" s="475">
        <v>0</v>
      </c>
      <c r="AV461" s="454">
        <f>SUM(AG461:AN461,AP461:AU461)</f>
        <v>0</v>
      </c>
      <c r="AW461" s="421">
        <f>BD461-SUM(AY461:BC461)</f>
        <v>0</v>
      </c>
      <c r="AX461" s="455">
        <f t="shared" si="377"/>
        <v>1</v>
      </c>
      <c r="AY461" s="424">
        <f t="shared" si="361"/>
        <v>0</v>
      </c>
      <c r="AZ461" s="424">
        <f t="shared" si="362"/>
        <v>0</v>
      </c>
      <c r="BA461" s="424">
        <f t="shared" si="363"/>
        <v>0</v>
      </c>
      <c r="BB461" s="424">
        <f t="shared" si="364"/>
        <v>0</v>
      </c>
      <c r="BC461" s="424">
        <f t="shared" si="365"/>
        <v>0</v>
      </c>
      <c r="BD461" s="424">
        <f t="shared" si="366"/>
        <v>0</v>
      </c>
      <c r="BE461" s="452">
        <f>SUM(AV461,AY461:BC461)</f>
        <v>0</v>
      </c>
      <c r="BF461" s="448">
        <f>BD461-BE461</f>
        <v>0</v>
      </c>
      <c r="BG461" s="456">
        <f t="shared" si="369"/>
        <v>0</v>
      </c>
      <c r="BH461" s="457">
        <f>AH461+AQ461-BG461</f>
        <v>0</v>
      </c>
      <c r="BI461" s="407" t="s">
        <v>1490</v>
      </c>
      <c r="BM461" s="429">
        <f>IF(BR461&gt;BR457,BM457,IF(BM457&lt;MiscData!$F$1,EOMONTH(BM457,1),EOMONTH(BM457,-11)))</f>
        <v>42004</v>
      </c>
      <c r="BN461" s="416" t="str">
        <f>CONCATENATE(BP461&amp;BQ461)</f>
        <v>20140101KUCSR761</v>
      </c>
      <c r="BO461" s="427" t="str">
        <f>CONCATENATE(BP461&amp;BS461)</f>
        <v>20140101CSR10</v>
      </c>
      <c r="BP461" s="407">
        <f>IF(BM461&lt;=MiscData!$B$23,MiscData!$C$23,IF(BM461&lt;=MiscData!$B$24,MiscData!$C$24,MiscData!$C$25))</f>
        <v>20140101</v>
      </c>
      <c r="BQ461" s="407" t="str">
        <f>VLOOKUP(BR461,MiscData!$V$4:$W$42,2,FALSE)</f>
        <v>KUCSR761</v>
      </c>
      <c r="BR461" s="407">
        <f>IF(BR460=MiscData!$V$42,1,BR460+1)</f>
        <v>29</v>
      </c>
      <c r="BS461" s="407" t="str">
        <f>VLOOKUP(BQ461,MiscData!$W$4:$Y$42,3,FALSE)</f>
        <v>CSR10</v>
      </c>
    </row>
    <row r="462" spans="1:71" hidden="1">
      <c r="A462" s="416">
        <f t="shared" si="378"/>
        <v>369</v>
      </c>
      <c r="B462" s="416" t="str">
        <f t="shared" si="334"/>
        <v>Dec 2014</v>
      </c>
      <c r="C462" s="416" t="s">
        <v>1460</v>
      </c>
      <c r="D462" s="417" t="str">
        <f t="shared" si="335"/>
        <v>CSR30</v>
      </c>
      <c r="E462" s="417" t="str">
        <f t="shared" si="336"/>
        <v>KUCSR780</v>
      </c>
      <c r="F462" s="418">
        <f t="shared" si="337"/>
        <v>0</v>
      </c>
      <c r="G462" s="467">
        <v>0</v>
      </c>
      <c r="H462" s="418">
        <v>0</v>
      </c>
      <c r="I462" s="418">
        <v>0</v>
      </c>
      <c r="J462" s="418">
        <v>0</v>
      </c>
      <c r="K462" s="418">
        <f t="shared" si="338"/>
        <v>0</v>
      </c>
      <c r="L462" s="481">
        <v>0</v>
      </c>
      <c r="M462" s="443">
        <f t="shared" si="339"/>
        <v>0</v>
      </c>
      <c r="N462" s="443">
        <f t="shared" si="340"/>
        <v>0</v>
      </c>
      <c r="O462" s="443">
        <f t="shared" si="341"/>
        <v>0</v>
      </c>
      <c r="P462" s="443">
        <f t="shared" si="342"/>
        <v>0</v>
      </c>
      <c r="Q462" s="443">
        <f t="shared" si="343"/>
        <v>0</v>
      </c>
      <c r="R462" s="443">
        <f t="shared" si="344"/>
        <v>0</v>
      </c>
      <c r="S462" s="484">
        <v>0</v>
      </c>
      <c r="T462" s="484">
        <v>0</v>
      </c>
      <c r="U462" s="484">
        <v>0</v>
      </c>
      <c r="V462" s="490">
        <v>0</v>
      </c>
      <c r="W462" s="490">
        <v>0</v>
      </c>
      <c r="X462" s="490">
        <v>0</v>
      </c>
      <c r="Y462" s="419">
        <f t="shared" si="345"/>
        <v>0</v>
      </c>
      <c r="Z462" s="420">
        <f t="shared" si="346"/>
        <v>0</v>
      </c>
      <c r="AA462" s="420">
        <v>0</v>
      </c>
      <c r="AB462" s="420">
        <v>0</v>
      </c>
      <c r="AC462" s="420">
        <f t="shared" si="347"/>
        <v>0</v>
      </c>
      <c r="AD462" s="419">
        <f t="shared" si="348"/>
        <v>-4.3</v>
      </c>
      <c r="AE462" s="419">
        <f t="shared" si="349"/>
        <v>0</v>
      </c>
      <c r="AF462" s="419">
        <f t="shared" si="350"/>
        <v>0</v>
      </c>
      <c r="AG462" s="454">
        <f t="shared" si="351"/>
        <v>0</v>
      </c>
      <c r="AH462" s="454">
        <f t="shared" si="374"/>
        <v>0</v>
      </c>
      <c r="AI462" s="421">
        <f t="shared" si="353"/>
        <v>0</v>
      </c>
      <c r="AJ462" s="421">
        <f t="shared" si="354"/>
        <v>0</v>
      </c>
      <c r="AK462" s="421">
        <f t="shared" si="355"/>
        <v>0</v>
      </c>
      <c r="AL462" s="472">
        <v>0</v>
      </c>
      <c r="AM462" s="422">
        <f t="shared" si="356"/>
        <v>0</v>
      </c>
      <c r="AN462" s="423">
        <f t="shared" si="357"/>
        <v>0</v>
      </c>
      <c r="AO462" s="421">
        <f t="shared" si="358"/>
        <v>0</v>
      </c>
      <c r="AP462" s="472">
        <v>0</v>
      </c>
      <c r="AQ462" s="472">
        <v>0</v>
      </c>
      <c r="AR462" s="472">
        <v>0</v>
      </c>
      <c r="AS462" s="475">
        <v>0</v>
      </c>
      <c r="AT462" s="475">
        <v>0</v>
      </c>
      <c r="AU462" s="475">
        <v>0</v>
      </c>
      <c r="AV462" s="454">
        <f t="shared" si="359"/>
        <v>0</v>
      </c>
      <c r="AW462" s="421">
        <f t="shared" si="360"/>
        <v>0</v>
      </c>
      <c r="AX462" s="455">
        <f t="shared" si="377"/>
        <v>1</v>
      </c>
      <c r="AY462" s="424">
        <f t="shared" si="361"/>
        <v>0</v>
      </c>
      <c r="AZ462" s="424">
        <f t="shared" si="362"/>
        <v>0</v>
      </c>
      <c r="BA462" s="424">
        <f t="shared" si="363"/>
        <v>0</v>
      </c>
      <c r="BB462" s="424">
        <f t="shared" si="364"/>
        <v>0</v>
      </c>
      <c r="BC462" s="424">
        <f t="shared" si="365"/>
        <v>0</v>
      </c>
      <c r="BD462" s="424">
        <f t="shared" si="366"/>
        <v>0</v>
      </c>
      <c r="BE462" s="452">
        <f t="shared" si="367"/>
        <v>0</v>
      </c>
      <c r="BF462" s="448">
        <f t="shared" si="368"/>
        <v>0</v>
      </c>
      <c r="BG462" s="456">
        <f t="shared" si="369"/>
        <v>0</v>
      </c>
      <c r="BH462" s="457">
        <f t="shared" si="370"/>
        <v>0</v>
      </c>
      <c r="BI462" s="407" t="s">
        <v>1490</v>
      </c>
      <c r="BM462" s="429">
        <f>IF(BR462&gt;BR458,BM458,IF(BM458&lt;MiscData!$F$1,EOMONTH(BM458,1),EOMONTH(BM458,-11)))</f>
        <v>42004</v>
      </c>
      <c r="BN462" s="416" t="str">
        <f t="shared" si="371"/>
        <v>20140101KUCSR780</v>
      </c>
      <c r="BO462" s="427" t="str">
        <f t="shared" si="372"/>
        <v>20140101CSR30</v>
      </c>
      <c r="BP462" s="407">
        <f>IF(BM462&lt;=MiscData!$B$23,MiscData!$C$23,IF(BM462&lt;=MiscData!$B$24,MiscData!$C$24,MiscData!$C$25))</f>
        <v>20140101</v>
      </c>
      <c r="BQ462" s="407" t="str">
        <f>VLOOKUP(BR462,MiscData!$V$4:$W$42,2,FALSE)</f>
        <v>KUCSR780</v>
      </c>
      <c r="BR462" s="407">
        <f>IF(BR461=MiscData!$V$42,1,BR461+1)</f>
        <v>30</v>
      </c>
      <c r="BS462" s="407" t="str">
        <f>VLOOKUP(BQ462,MiscData!$W$4:$Y$42,3,FALSE)</f>
        <v>CSR30</v>
      </c>
    </row>
    <row r="463" spans="1:71" hidden="1">
      <c r="A463" s="416">
        <f t="shared" si="378"/>
        <v>370</v>
      </c>
      <c r="B463" s="416" t="str">
        <f>TEXT(BM463,"mmm yyyy")</f>
        <v>Dec 2014</v>
      </c>
      <c r="C463" s="416" t="s">
        <v>1460</v>
      </c>
      <c r="D463" s="417" t="str">
        <f>BS463</f>
        <v>CSR30</v>
      </c>
      <c r="E463" s="417" t="str">
        <f>BQ463</f>
        <v>KUCSR781</v>
      </c>
      <c r="F463" s="418">
        <f t="shared" si="337"/>
        <v>0</v>
      </c>
      <c r="G463" s="467">
        <v>0</v>
      </c>
      <c r="H463" s="418">
        <v>0</v>
      </c>
      <c r="I463" s="418">
        <v>0</v>
      </c>
      <c r="J463" s="418">
        <v>0</v>
      </c>
      <c r="K463" s="418">
        <f t="shared" si="338"/>
        <v>0</v>
      </c>
      <c r="L463" s="481">
        <v>0</v>
      </c>
      <c r="M463" s="443">
        <f t="shared" si="339"/>
        <v>0</v>
      </c>
      <c r="N463" s="443">
        <f t="shared" si="340"/>
        <v>0</v>
      </c>
      <c r="O463" s="443">
        <f t="shared" si="341"/>
        <v>0</v>
      </c>
      <c r="P463" s="443">
        <f t="shared" si="342"/>
        <v>0</v>
      </c>
      <c r="Q463" s="443">
        <f t="shared" si="343"/>
        <v>0</v>
      </c>
      <c r="R463" s="443">
        <f t="shared" si="344"/>
        <v>0</v>
      </c>
      <c r="S463" s="484">
        <v>0</v>
      </c>
      <c r="T463" s="484">
        <v>0</v>
      </c>
      <c r="U463" s="484">
        <v>0</v>
      </c>
      <c r="V463" s="490">
        <v>0</v>
      </c>
      <c r="W463" s="490">
        <v>0</v>
      </c>
      <c r="X463" s="490">
        <v>0</v>
      </c>
      <c r="Y463" s="419">
        <f t="shared" si="345"/>
        <v>0</v>
      </c>
      <c r="Z463" s="420">
        <f t="shared" si="346"/>
        <v>0</v>
      </c>
      <c r="AA463" s="420">
        <v>0</v>
      </c>
      <c r="AB463" s="420">
        <v>0</v>
      </c>
      <c r="AC463" s="420">
        <f t="shared" si="347"/>
        <v>0</v>
      </c>
      <c r="AD463" s="419">
        <f t="shared" si="348"/>
        <v>-4.4000000000000004</v>
      </c>
      <c r="AE463" s="419">
        <f t="shared" si="349"/>
        <v>0</v>
      </c>
      <c r="AF463" s="419">
        <f t="shared" si="350"/>
        <v>0</v>
      </c>
      <c r="AG463" s="454">
        <f t="shared" si="351"/>
        <v>0</v>
      </c>
      <c r="AH463" s="454">
        <f>ROUND(IF(H463=0,(K463+L463)*Z463,SUMPRODUCT(H463:J463,Z463:AB463)),2)</f>
        <v>0</v>
      </c>
      <c r="AI463" s="421">
        <f>ROUND(($M463+V463)*$AD463,2)</f>
        <v>0</v>
      </c>
      <c r="AJ463" s="421">
        <f>ROUND(($N463+W463)*$AE463,2)</f>
        <v>0</v>
      </c>
      <c r="AK463" s="421">
        <f>ROUND(($O463+X463)*$AF463,2)</f>
        <v>0</v>
      </c>
      <c r="AL463" s="472">
        <v>0</v>
      </c>
      <c r="AM463" s="422">
        <f t="shared" si="356"/>
        <v>0</v>
      </c>
      <c r="AN463" s="423">
        <f>ROUND(U463*AF463+T463*AE463+S463*AD463,2)</f>
        <v>0</v>
      </c>
      <c r="AO463" s="421">
        <f>SUM(AI463:AN463)</f>
        <v>0</v>
      </c>
      <c r="AP463" s="472">
        <v>0</v>
      </c>
      <c r="AQ463" s="472">
        <v>0</v>
      </c>
      <c r="AR463" s="472">
        <v>0</v>
      </c>
      <c r="AS463" s="475">
        <v>0</v>
      </c>
      <c r="AT463" s="475">
        <v>0</v>
      </c>
      <c r="AU463" s="475">
        <v>0</v>
      </c>
      <c r="AV463" s="454">
        <f>SUM(AG463:AN463,AP463:AU463)</f>
        <v>0</v>
      </c>
      <c r="AW463" s="421">
        <f>BD463-SUM(AY463:BC463)</f>
        <v>0</v>
      </c>
      <c r="AX463" s="455">
        <f t="shared" si="377"/>
        <v>1</v>
      </c>
      <c r="AY463" s="424">
        <f t="shared" si="361"/>
        <v>0</v>
      </c>
      <c r="AZ463" s="424">
        <f t="shared" si="362"/>
        <v>0</v>
      </c>
      <c r="BA463" s="424">
        <f t="shared" si="363"/>
        <v>0</v>
      </c>
      <c r="BB463" s="424">
        <f t="shared" si="364"/>
        <v>0</v>
      </c>
      <c r="BC463" s="424">
        <f t="shared" si="365"/>
        <v>0</v>
      </c>
      <c r="BD463" s="424">
        <f t="shared" si="366"/>
        <v>0</v>
      </c>
      <c r="BE463" s="452">
        <f>SUM(AV463,AY463:BC463)</f>
        <v>0</v>
      </c>
      <c r="BF463" s="448">
        <f>BD463-BE463</f>
        <v>0</v>
      </c>
      <c r="BG463" s="456">
        <f t="shared" si="369"/>
        <v>0</v>
      </c>
      <c r="BH463" s="457">
        <f>AH463+AQ463-BG463</f>
        <v>0</v>
      </c>
      <c r="BI463" s="407" t="s">
        <v>1490</v>
      </c>
      <c r="BM463" s="429">
        <f>IF(BR463&gt;BR459,BM459,IF(BM459&lt;MiscData!$F$1,EOMONTH(BM459,1),EOMONTH(BM459,-11)))</f>
        <v>42004</v>
      </c>
      <c r="BN463" s="416" t="str">
        <f>CONCATENATE(BP463&amp;BQ463)</f>
        <v>20140101KUCSR781</v>
      </c>
      <c r="BO463" s="427" t="str">
        <f>CONCATENATE(BP463&amp;BS463)</f>
        <v>20140101CSR30</v>
      </c>
      <c r="BP463" s="407">
        <f>IF(BM463&lt;=MiscData!$B$23,MiscData!$C$23,IF(BM463&lt;=MiscData!$B$24,MiscData!$C$24,MiscData!$C$25))</f>
        <v>20140101</v>
      </c>
      <c r="BQ463" s="407" t="str">
        <f>VLOOKUP(BR463,MiscData!$V$4:$W$42,2,FALSE)</f>
        <v>KUCSR781</v>
      </c>
      <c r="BR463" s="407">
        <f>IF(BR462=MiscData!$V$42,1,BR462+1)</f>
        <v>31</v>
      </c>
      <c r="BS463" s="407" t="str">
        <f>VLOOKUP(BQ463,MiscData!$W$4:$Y$42,3,FALSE)</f>
        <v>CSR30</v>
      </c>
    </row>
    <row r="464" spans="1:71" hidden="1">
      <c r="A464" s="416">
        <f t="shared" si="378"/>
        <v>371</v>
      </c>
      <c r="B464" s="416" t="str">
        <f t="shared" si="334"/>
        <v>Dec 2014</v>
      </c>
      <c r="C464" s="416" t="s">
        <v>1460</v>
      </c>
      <c r="D464" s="417" t="str">
        <f t="shared" si="335"/>
        <v>CSR30</v>
      </c>
      <c r="E464" s="417" t="str">
        <f t="shared" si="336"/>
        <v>KUCSR783</v>
      </c>
      <c r="F464" s="418">
        <f t="shared" si="337"/>
        <v>0</v>
      </c>
      <c r="G464" s="467">
        <v>0</v>
      </c>
      <c r="H464" s="418">
        <v>0</v>
      </c>
      <c r="I464" s="418">
        <v>0</v>
      </c>
      <c r="J464" s="418">
        <v>0</v>
      </c>
      <c r="K464" s="418">
        <f t="shared" si="338"/>
        <v>0</v>
      </c>
      <c r="L464" s="481">
        <v>0</v>
      </c>
      <c r="M464" s="443">
        <f t="shared" si="339"/>
        <v>0</v>
      </c>
      <c r="N464" s="443">
        <f t="shared" si="340"/>
        <v>0</v>
      </c>
      <c r="O464" s="443">
        <f t="shared" si="341"/>
        <v>0</v>
      </c>
      <c r="P464" s="443">
        <f t="shared" si="342"/>
        <v>0</v>
      </c>
      <c r="Q464" s="443">
        <f t="shared" si="343"/>
        <v>0</v>
      </c>
      <c r="R464" s="443">
        <f t="shared" si="344"/>
        <v>0</v>
      </c>
      <c r="S464" s="484">
        <v>0</v>
      </c>
      <c r="T464" s="484">
        <v>0</v>
      </c>
      <c r="U464" s="484">
        <v>0</v>
      </c>
      <c r="V464" s="490">
        <v>0</v>
      </c>
      <c r="W464" s="490">
        <v>0</v>
      </c>
      <c r="X464" s="490">
        <v>0</v>
      </c>
      <c r="Y464" s="419">
        <f t="shared" si="345"/>
        <v>0</v>
      </c>
      <c r="Z464" s="420">
        <f t="shared" si="346"/>
        <v>0</v>
      </c>
      <c r="AA464" s="420">
        <v>0</v>
      </c>
      <c r="AB464" s="420">
        <v>0</v>
      </c>
      <c r="AC464" s="420">
        <f t="shared" si="347"/>
        <v>0</v>
      </c>
      <c r="AD464" s="419">
        <f t="shared" si="348"/>
        <v>-4.4000000000000004</v>
      </c>
      <c r="AE464" s="419">
        <f t="shared" si="349"/>
        <v>0</v>
      </c>
      <c r="AF464" s="419">
        <f t="shared" si="350"/>
        <v>0</v>
      </c>
      <c r="AG464" s="454">
        <f t="shared" si="351"/>
        <v>0</v>
      </c>
      <c r="AH464" s="454">
        <f t="shared" si="374"/>
        <v>0</v>
      </c>
      <c r="AI464" s="421">
        <f t="shared" si="353"/>
        <v>0</v>
      </c>
      <c r="AJ464" s="421">
        <f t="shared" si="354"/>
        <v>0</v>
      </c>
      <c r="AK464" s="421">
        <f t="shared" si="355"/>
        <v>0</v>
      </c>
      <c r="AL464" s="472">
        <v>0</v>
      </c>
      <c r="AM464" s="422">
        <f t="shared" si="356"/>
        <v>0</v>
      </c>
      <c r="AN464" s="423">
        <f t="shared" si="357"/>
        <v>0</v>
      </c>
      <c r="AO464" s="421">
        <f t="shared" si="358"/>
        <v>0</v>
      </c>
      <c r="AP464" s="472">
        <v>0</v>
      </c>
      <c r="AQ464" s="472">
        <v>0</v>
      </c>
      <c r="AR464" s="472">
        <v>0</v>
      </c>
      <c r="AS464" s="475">
        <v>0</v>
      </c>
      <c r="AT464" s="475">
        <v>0</v>
      </c>
      <c r="AU464" s="475">
        <v>0</v>
      </c>
      <c r="AV464" s="454">
        <f t="shared" si="359"/>
        <v>0</v>
      </c>
      <c r="AW464" s="421">
        <f t="shared" si="360"/>
        <v>0</v>
      </c>
      <c r="AX464" s="455">
        <f t="shared" si="377"/>
        <v>1</v>
      </c>
      <c r="AY464" s="424">
        <f t="shared" si="361"/>
        <v>0</v>
      </c>
      <c r="AZ464" s="424">
        <f t="shared" si="362"/>
        <v>0</v>
      </c>
      <c r="BA464" s="424">
        <f t="shared" si="363"/>
        <v>0</v>
      </c>
      <c r="BB464" s="424">
        <f t="shared" si="364"/>
        <v>0</v>
      </c>
      <c r="BC464" s="424">
        <f t="shared" si="365"/>
        <v>0</v>
      </c>
      <c r="BD464" s="424">
        <f t="shared" si="366"/>
        <v>0</v>
      </c>
      <c r="BE464" s="452">
        <f t="shared" si="367"/>
        <v>0</v>
      </c>
      <c r="BF464" s="448">
        <f t="shared" si="368"/>
        <v>0</v>
      </c>
      <c r="BG464" s="456">
        <f t="shared" si="369"/>
        <v>0</v>
      </c>
      <c r="BH464" s="457">
        <f t="shared" si="370"/>
        <v>0</v>
      </c>
      <c r="BI464" s="407" t="s">
        <v>1490</v>
      </c>
      <c r="BM464" s="429">
        <f>IF(BR464&gt;BR460,BM460,IF(BM460&lt;MiscData!$F$1,EOMONTH(BM460,1),EOMONTH(BM460,-11)))</f>
        <v>42004</v>
      </c>
      <c r="BN464" s="416" t="str">
        <f t="shared" si="371"/>
        <v>20140101KUCSR783</v>
      </c>
      <c r="BO464" s="427" t="str">
        <f t="shared" si="372"/>
        <v>20140101CSR30</v>
      </c>
      <c r="BP464" s="407">
        <f>IF(BM464&lt;=MiscData!$B$23,MiscData!$C$23,IF(BM464&lt;=MiscData!$B$24,MiscData!$C$24,MiscData!$C$25))</f>
        <v>20140101</v>
      </c>
      <c r="BQ464" s="407" t="str">
        <f>VLOOKUP(BR464,MiscData!$V$4:$W$42,2,FALSE)</f>
        <v>KUCSR783</v>
      </c>
      <c r="BR464" s="407">
        <f>IF(BR463=MiscData!$V$42,1,BR463+1)</f>
        <v>32</v>
      </c>
      <c r="BS464" s="407" t="str">
        <f>VLOOKUP(BQ464,MiscData!$W$4:$Y$42,3,FALSE)</f>
        <v>CSR30</v>
      </c>
    </row>
    <row r="465" spans="1:71" hidden="1">
      <c r="A465" s="416">
        <f t="shared" si="378"/>
        <v>372</v>
      </c>
      <c r="B465" s="416" t="str">
        <f t="shared" si="334"/>
        <v>Dec 2014</v>
      </c>
      <c r="C465" s="837" t="s">
        <v>675</v>
      </c>
      <c r="D465" s="417" t="str">
        <f t="shared" si="335"/>
        <v>FLST</v>
      </c>
      <c r="E465" s="417" t="str">
        <f t="shared" si="336"/>
        <v>KUINE730</v>
      </c>
      <c r="F465" s="418">
        <f t="shared" si="337"/>
        <v>1</v>
      </c>
      <c r="G465" s="467">
        <v>0</v>
      </c>
      <c r="H465" s="418">
        <v>0</v>
      </c>
      <c r="I465" s="418">
        <v>0</v>
      </c>
      <c r="J465" s="418">
        <v>0</v>
      </c>
      <c r="K465" s="418">
        <f t="shared" si="338"/>
        <v>48145895</v>
      </c>
      <c r="L465" s="481">
        <v>0</v>
      </c>
      <c r="M465" s="443">
        <f t="shared" si="339"/>
        <v>185157.6</v>
      </c>
      <c r="N465" s="443">
        <f t="shared" si="340"/>
        <v>185157.6</v>
      </c>
      <c r="O465" s="443">
        <f t="shared" si="341"/>
        <v>101387.6</v>
      </c>
      <c r="P465" s="443">
        <f t="shared" si="342"/>
        <v>185157.6</v>
      </c>
      <c r="Q465" s="443">
        <f t="shared" si="343"/>
        <v>185157.6</v>
      </c>
      <c r="R465" s="443">
        <f t="shared" si="344"/>
        <v>101387.6</v>
      </c>
      <c r="S465" s="484">
        <v>0</v>
      </c>
      <c r="T465" s="484">
        <v>0</v>
      </c>
      <c r="U465" s="484">
        <v>0</v>
      </c>
      <c r="V465" s="490">
        <v>0</v>
      </c>
      <c r="W465" s="490">
        <v>0</v>
      </c>
      <c r="X465" s="490">
        <v>0</v>
      </c>
      <c r="Y465" s="419">
        <f t="shared" si="345"/>
        <v>750</v>
      </c>
      <c r="Z465" s="420">
        <f t="shared" si="346"/>
        <v>3.261E-2</v>
      </c>
      <c r="AA465" s="420">
        <v>0</v>
      </c>
      <c r="AB465" s="420">
        <v>0</v>
      </c>
      <c r="AC465" s="420">
        <f t="shared" si="347"/>
        <v>2.8920000000000001E-2</v>
      </c>
      <c r="AD465" s="419">
        <f t="shared" si="348"/>
        <v>1.05</v>
      </c>
      <c r="AE465" s="419">
        <f t="shared" si="349"/>
        <v>1.52</v>
      </c>
      <c r="AF465" s="419">
        <f t="shared" si="350"/>
        <v>2.41</v>
      </c>
      <c r="AG465" s="454">
        <f t="shared" si="351"/>
        <v>750</v>
      </c>
      <c r="AH465" s="454">
        <f t="shared" si="374"/>
        <v>1570037.64</v>
      </c>
      <c r="AI465" s="421">
        <f t="shared" si="353"/>
        <v>194415.48</v>
      </c>
      <c r="AJ465" s="421">
        <f t="shared" si="354"/>
        <v>281439.55</v>
      </c>
      <c r="AK465" s="421">
        <f t="shared" si="355"/>
        <v>244344.12</v>
      </c>
      <c r="AL465" s="472">
        <v>0</v>
      </c>
      <c r="AM465" s="422">
        <f t="shared" si="356"/>
        <v>0</v>
      </c>
      <c r="AN465" s="423">
        <f t="shared" si="357"/>
        <v>0</v>
      </c>
      <c r="AO465" s="421">
        <f t="shared" si="358"/>
        <v>720199.15</v>
      </c>
      <c r="AP465" s="472">
        <v>0</v>
      </c>
      <c r="AQ465" s="472">
        <v>0</v>
      </c>
      <c r="AR465" s="472">
        <v>0</v>
      </c>
      <c r="AS465" s="475">
        <v>0</v>
      </c>
      <c r="AT465" s="475">
        <v>0</v>
      </c>
      <c r="AU465" s="475">
        <v>0</v>
      </c>
      <c r="AV465" s="454">
        <f t="shared" si="359"/>
        <v>2290986.79</v>
      </c>
      <c r="AW465" s="421">
        <f t="shared" si="360"/>
        <v>2290987</v>
      </c>
      <c r="AX465" s="455">
        <f t="shared" si="377"/>
        <v>1.0000000916635579</v>
      </c>
      <c r="AY465" s="424">
        <f t="shared" si="361"/>
        <v>173957</v>
      </c>
      <c r="AZ465" s="424">
        <f t="shared" si="362"/>
        <v>0</v>
      </c>
      <c r="BA465" s="424">
        <f t="shared" si="363"/>
        <v>153067</v>
      </c>
      <c r="BB465" s="424">
        <f t="shared" si="364"/>
        <v>0</v>
      </c>
      <c r="BC465" s="424">
        <f t="shared" si="365"/>
        <v>0</v>
      </c>
      <c r="BD465" s="424">
        <f t="shared" si="366"/>
        <v>2618011</v>
      </c>
      <c r="BE465" s="452">
        <f t="shared" si="367"/>
        <v>2618010.79</v>
      </c>
      <c r="BF465" s="448">
        <f t="shared" si="368"/>
        <v>0.2099999999627471</v>
      </c>
      <c r="BG465" s="456">
        <f t="shared" si="369"/>
        <v>1392379.28</v>
      </c>
      <c r="BH465" s="457">
        <f t="shared" si="370"/>
        <v>177658.35999999987</v>
      </c>
      <c r="BI465" s="407" t="s">
        <v>1490</v>
      </c>
      <c r="BM465" s="429">
        <f>IF(BR465&gt;BR464,BM464,IF(BM464&lt;MiscData!$F$1,EOMONTH(BM464,1),EOMONTH(BM464,-11)))</f>
        <v>42004</v>
      </c>
      <c r="BN465" s="416" t="str">
        <f t="shared" si="371"/>
        <v>20140101KUINE730</v>
      </c>
      <c r="BO465" s="427" t="str">
        <f t="shared" si="372"/>
        <v>20140101FLST</v>
      </c>
      <c r="BP465" s="407">
        <f>IF(BM465&lt;=MiscData!$B$23,MiscData!$C$23,IF(BM465&lt;=MiscData!$B$24,MiscData!$C$24,MiscData!$C$25))</f>
        <v>20140101</v>
      </c>
      <c r="BQ465" s="407" t="str">
        <f>VLOOKUP(BR465,MiscData!$V$4:$W$42,2,FALSE)</f>
        <v>KUINE730</v>
      </c>
      <c r="BR465" s="407">
        <f>IF(BR464=MiscData!$V$42,1,BR464+1)</f>
        <v>33</v>
      </c>
      <c r="BS465" s="407" t="str">
        <f>VLOOKUP(BQ465,MiscData!$W$4:$Y$42,3,FALSE)</f>
        <v>FLST</v>
      </c>
    </row>
    <row r="466" spans="1:71" hidden="1">
      <c r="A466" s="416">
        <f t="shared" si="378"/>
        <v>373</v>
      </c>
      <c r="B466" s="416" t="str">
        <f t="shared" si="334"/>
        <v>Dec 2014</v>
      </c>
      <c r="C466" s="416" t="s">
        <v>15</v>
      </c>
      <c r="D466" s="417" t="str">
        <f t="shared" si="335"/>
        <v>RS</v>
      </c>
      <c r="E466" s="417" t="str">
        <f t="shared" si="336"/>
        <v>KURSE010</v>
      </c>
      <c r="F466" s="418">
        <f t="shared" si="337"/>
        <v>427974</v>
      </c>
      <c r="G466" s="467">
        <v>0</v>
      </c>
      <c r="H466" s="418">
        <v>0</v>
      </c>
      <c r="I466" s="418">
        <v>0</v>
      </c>
      <c r="J466" s="418">
        <v>0</v>
      </c>
      <c r="K466" s="418">
        <f t="shared" si="338"/>
        <v>595382951</v>
      </c>
      <c r="L466" s="481">
        <v>0</v>
      </c>
      <c r="M466" s="443">
        <f t="shared" si="339"/>
        <v>0</v>
      </c>
      <c r="N466" s="443">
        <f t="shared" si="340"/>
        <v>0</v>
      </c>
      <c r="O466" s="443">
        <f t="shared" si="341"/>
        <v>0</v>
      </c>
      <c r="P466" s="443">
        <f t="shared" si="342"/>
        <v>0</v>
      </c>
      <c r="Q466" s="443">
        <f t="shared" si="343"/>
        <v>0</v>
      </c>
      <c r="R466" s="443">
        <f t="shared" si="344"/>
        <v>0</v>
      </c>
      <c r="S466" s="484">
        <v>0</v>
      </c>
      <c r="T466" s="484">
        <v>0</v>
      </c>
      <c r="U466" s="484">
        <v>0</v>
      </c>
      <c r="V466" s="490">
        <v>0</v>
      </c>
      <c r="W466" s="490">
        <v>0</v>
      </c>
      <c r="X466" s="490">
        <v>0</v>
      </c>
      <c r="Y466" s="419">
        <f t="shared" si="345"/>
        <v>10.75</v>
      </c>
      <c r="Z466" s="420">
        <f t="shared" si="346"/>
        <v>7.7439999999999995E-2</v>
      </c>
      <c r="AA466" s="420">
        <v>0</v>
      </c>
      <c r="AB466" s="420">
        <v>0</v>
      </c>
      <c r="AC466" s="420">
        <f t="shared" si="347"/>
        <v>2.8920000000000001E-2</v>
      </c>
      <c r="AD466" s="419">
        <f t="shared" si="348"/>
        <v>0</v>
      </c>
      <c r="AE466" s="419">
        <f t="shared" si="349"/>
        <v>0</v>
      </c>
      <c r="AF466" s="419">
        <f t="shared" si="350"/>
        <v>0</v>
      </c>
      <c r="AG466" s="454">
        <f t="shared" si="351"/>
        <v>4600720.5</v>
      </c>
      <c r="AH466" s="454">
        <f t="shared" si="374"/>
        <v>46106455.729999997</v>
      </c>
      <c r="AI466" s="421">
        <f t="shared" si="353"/>
        <v>0</v>
      </c>
      <c r="AJ466" s="421">
        <f t="shared" si="354"/>
        <v>0</v>
      </c>
      <c r="AK466" s="421">
        <f t="shared" si="355"/>
        <v>0</v>
      </c>
      <c r="AL466" s="472">
        <v>0</v>
      </c>
      <c r="AM466" s="422">
        <f t="shared" si="356"/>
        <v>0</v>
      </c>
      <c r="AN466" s="423">
        <f t="shared" si="357"/>
        <v>0</v>
      </c>
      <c r="AO466" s="421">
        <f t="shared" si="358"/>
        <v>0</v>
      </c>
      <c r="AP466" s="472">
        <v>0</v>
      </c>
      <c r="AQ466" s="472">
        <v>0</v>
      </c>
      <c r="AR466" s="472">
        <v>0</v>
      </c>
      <c r="AS466" s="475">
        <v>0</v>
      </c>
      <c r="AT466" s="475">
        <v>0</v>
      </c>
      <c r="AU466" s="475">
        <v>0</v>
      </c>
      <c r="AV466" s="454">
        <f t="shared" si="359"/>
        <v>50707176.229999997</v>
      </c>
      <c r="AW466" s="421">
        <f t="shared" si="360"/>
        <v>50707175</v>
      </c>
      <c r="AX466" s="455">
        <f t="shared" si="377"/>
        <v>0.99999997574307842</v>
      </c>
      <c r="AY466" s="424">
        <f t="shared" si="361"/>
        <v>2151186</v>
      </c>
      <c r="AZ466" s="424">
        <f t="shared" si="362"/>
        <v>1266130</v>
      </c>
      <c r="BA466" s="424">
        <f t="shared" si="363"/>
        <v>1892864</v>
      </c>
      <c r="BB466" s="424">
        <f t="shared" si="364"/>
        <v>0</v>
      </c>
      <c r="BC466" s="424">
        <f t="shared" si="365"/>
        <v>0</v>
      </c>
      <c r="BD466" s="424">
        <f t="shared" si="366"/>
        <v>56017355</v>
      </c>
      <c r="BE466" s="452">
        <f t="shared" si="367"/>
        <v>56017356.229999997</v>
      </c>
      <c r="BF466" s="448">
        <f t="shared" si="368"/>
        <v>-1.2299999967217445</v>
      </c>
      <c r="BG466" s="456">
        <f t="shared" si="369"/>
        <v>17218474.940000001</v>
      </c>
      <c r="BH466" s="457">
        <f t="shared" si="370"/>
        <v>28887980.789999995</v>
      </c>
      <c r="BI466" s="407" t="s">
        <v>1490</v>
      </c>
      <c r="BM466" s="429">
        <f>IF(BR466&gt;BR465,BM465,IF(BM465&lt;MiscData!$F$1,EOMONTH(BM465,1),EOMONTH(BM465,-11)))</f>
        <v>42004</v>
      </c>
      <c r="BN466" s="416" t="str">
        <f t="shared" si="371"/>
        <v>20140101KURSE010</v>
      </c>
      <c r="BO466" s="427" t="str">
        <f t="shared" si="372"/>
        <v>20140101RS</v>
      </c>
      <c r="BP466" s="407">
        <f>IF(BM466&lt;=MiscData!$B$23,MiscData!$C$23,IF(BM466&lt;=MiscData!$B$24,MiscData!$C$24,MiscData!$C$25))</f>
        <v>20140101</v>
      </c>
      <c r="BQ466" s="407" t="str">
        <f>VLOOKUP(BR466,MiscData!$V$4:$W$42,2,FALSE)</f>
        <v>KURSE010</v>
      </c>
      <c r="BR466" s="407">
        <f>IF(BR465=MiscData!$V$42,1,BR465+1)</f>
        <v>34</v>
      </c>
      <c r="BS466" s="407" t="str">
        <f>VLOOKUP(BQ466,MiscData!$W$4:$Y$42,3,FALSE)</f>
        <v>RS</v>
      </c>
    </row>
    <row r="467" spans="1:71" hidden="1">
      <c r="A467" s="416">
        <f>A448+1</f>
        <v>373</v>
      </c>
      <c r="B467" s="416" t="str">
        <f t="shared" si="334"/>
        <v>Dec 2014</v>
      </c>
      <c r="C467" s="416" t="s">
        <v>15</v>
      </c>
      <c r="D467" s="417" t="str">
        <f t="shared" si="335"/>
        <v>RS</v>
      </c>
      <c r="E467" s="417" t="str">
        <f t="shared" si="336"/>
        <v>KURSE020</v>
      </c>
      <c r="F467" s="418">
        <f t="shared" si="337"/>
        <v>0</v>
      </c>
      <c r="G467" s="467">
        <v>0</v>
      </c>
      <c r="H467" s="418">
        <v>0</v>
      </c>
      <c r="I467" s="418">
        <v>0</v>
      </c>
      <c r="J467" s="418">
        <v>0</v>
      </c>
      <c r="K467" s="418">
        <f t="shared" si="338"/>
        <v>0</v>
      </c>
      <c r="L467" s="481">
        <v>0</v>
      </c>
      <c r="M467" s="443">
        <f t="shared" si="339"/>
        <v>0</v>
      </c>
      <c r="N467" s="443">
        <f t="shared" si="340"/>
        <v>0</v>
      </c>
      <c r="O467" s="443">
        <f t="shared" si="341"/>
        <v>0</v>
      </c>
      <c r="P467" s="443">
        <f t="shared" si="342"/>
        <v>0</v>
      </c>
      <c r="Q467" s="443">
        <f t="shared" si="343"/>
        <v>0</v>
      </c>
      <c r="R467" s="443">
        <f t="shared" si="344"/>
        <v>0</v>
      </c>
      <c r="S467" s="484">
        <v>0</v>
      </c>
      <c r="T467" s="484">
        <v>0</v>
      </c>
      <c r="U467" s="484">
        <v>0</v>
      </c>
      <c r="V467" s="490">
        <v>0</v>
      </c>
      <c r="W467" s="490">
        <v>0</v>
      </c>
      <c r="X467" s="490">
        <v>0</v>
      </c>
      <c r="Y467" s="419">
        <f t="shared" si="345"/>
        <v>10.75</v>
      </c>
      <c r="Z467" s="420">
        <f t="shared" si="346"/>
        <v>7.7439999999999995E-2</v>
      </c>
      <c r="AA467" s="420">
        <v>0</v>
      </c>
      <c r="AB467" s="420">
        <v>0</v>
      </c>
      <c r="AC467" s="420">
        <f t="shared" si="347"/>
        <v>2.8920000000000001E-2</v>
      </c>
      <c r="AD467" s="419">
        <f t="shared" si="348"/>
        <v>0</v>
      </c>
      <c r="AE467" s="419">
        <f t="shared" si="349"/>
        <v>0</v>
      </c>
      <c r="AF467" s="419">
        <f t="shared" si="350"/>
        <v>0</v>
      </c>
      <c r="AG467" s="454">
        <f t="shared" si="351"/>
        <v>0</v>
      </c>
      <c r="AH467" s="454">
        <f t="shared" si="374"/>
        <v>0</v>
      </c>
      <c r="AI467" s="421">
        <f t="shared" si="353"/>
        <v>0</v>
      </c>
      <c r="AJ467" s="421">
        <f t="shared" si="354"/>
        <v>0</v>
      </c>
      <c r="AK467" s="421">
        <f t="shared" si="355"/>
        <v>0</v>
      </c>
      <c r="AL467" s="472">
        <v>0</v>
      </c>
      <c r="AM467" s="422">
        <f t="shared" si="356"/>
        <v>0</v>
      </c>
      <c r="AN467" s="423">
        <f t="shared" si="357"/>
        <v>0</v>
      </c>
      <c r="AO467" s="421">
        <f t="shared" si="358"/>
        <v>0</v>
      </c>
      <c r="AP467" s="472">
        <v>0</v>
      </c>
      <c r="AQ467" s="472">
        <v>0</v>
      </c>
      <c r="AR467" s="472">
        <v>0</v>
      </c>
      <c r="AS467" s="475">
        <v>0</v>
      </c>
      <c r="AT467" s="475">
        <v>0</v>
      </c>
      <c r="AU467" s="475">
        <v>0</v>
      </c>
      <c r="AV467" s="454">
        <f t="shared" si="359"/>
        <v>0</v>
      </c>
      <c r="AW467" s="421">
        <f t="shared" si="360"/>
        <v>0</v>
      </c>
      <c r="AX467" s="455">
        <f t="shared" si="377"/>
        <v>1</v>
      </c>
      <c r="AY467" s="424">
        <f t="shared" si="361"/>
        <v>0</v>
      </c>
      <c r="AZ467" s="424">
        <f t="shared" si="362"/>
        <v>0</v>
      </c>
      <c r="BA467" s="424">
        <f t="shared" si="363"/>
        <v>0</v>
      </c>
      <c r="BB467" s="424">
        <f t="shared" si="364"/>
        <v>0</v>
      </c>
      <c r="BC467" s="424">
        <f t="shared" si="365"/>
        <v>0</v>
      </c>
      <c r="BD467" s="424">
        <f t="shared" si="366"/>
        <v>0</v>
      </c>
      <c r="BE467" s="452">
        <f t="shared" si="367"/>
        <v>0</v>
      </c>
      <c r="BF467" s="448">
        <f t="shared" si="368"/>
        <v>0</v>
      </c>
      <c r="BG467" s="456">
        <f t="shared" si="369"/>
        <v>0</v>
      </c>
      <c r="BH467" s="457">
        <f t="shared" si="370"/>
        <v>0</v>
      </c>
      <c r="BI467" s="407" t="s">
        <v>1490</v>
      </c>
      <c r="BM467" s="429">
        <f>IF(BR467&gt;BR466,BM466,IF(BM466&lt;MiscData!$F$1,EOMONTH(BM466,1),EOMONTH(BM466,-11)))</f>
        <v>42004</v>
      </c>
      <c r="BN467" s="416" t="str">
        <f t="shared" si="371"/>
        <v>20140101KURSE020</v>
      </c>
      <c r="BO467" s="427" t="str">
        <f t="shared" si="372"/>
        <v>20140101RS</v>
      </c>
      <c r="BP467" s="407">
        <f>IF(BM467&lt;=MiscData!$B$23,MiscData!$C$23,IF(BM467&lt;=MiscData!$B$24,MiscData!$C$24,MiscData!$C$25))</f>
        <v>20140101</v>
      </c>
      <c r="BQ467" s="407" t="str">
        <f>VLOOKUP(BR467,MiscData!$V$4:$W$42,2,FALSE)</f>
        <v>KURSE020</v>
      </c>
      <c r="BR467" s="407">
        <f>IF(BR466=MiscData!$V$42,1,BR466+1)</f>
        <v>35</v>
      </c>
      <c r="BS467" s="407" t="str">
        <f>VLOOKUP(BQ467,MiscData!$W$4:$Y$42,3,FALSE)</f>
        <v>RS</v>
      </c>
    </row>
    <row r="468" spans="1:71" hidden="1">
      <c r="A468" s="416">
        <f>A449+1</f>
        <v>373</v>
      </c>
      <c r="B468" s="416" t="str">
        <f t="shared" si="334"/>
        <v>Dec 2014</v>
      </c>
      <c r="C468" s="416" t="s">
        <v>15</v>
      </c>
      <c r="D468" s="417" t="str">
        <f t="shared" si="335"/>
        <v>RS</v>
      </c>
      <c r="E468" s="417" t="str">
        <f t="shared" si="336"/>
        <v>KURSE025</v>
      </c>
      <c r="F468" s="418">
        <f t="shared" si="337"/>
        <v>0</v>
      </c>
      <c r="G468" s="467">
        <v>0</v>
      </c>
      <c r="H468" s="418">
        <v>0</v>
      </c>
      <c r="I468" s="418">
        <v>0</v>
      </c>
      <c r="J468" s="418">
        <v>0</v>
      </c>
      <c r="K468" s="418">
        <f t="shared" si="338"/>
        <v>0</v>
      </c>
      <c r="L468" s="481">
        <v>0</v>
      </c>
      <c r="M468" s="443">
        <f t="shared" si="339"/>
        <v>0</v>
      </c>
      <c r="N468" s="443">
        <f t="shared" si="340"/>
        <v>0</v>
      </c>
      <c r="O468" s="443">
        <f t="shared" si="341"/>
        <v>0</v>
      </c>
      <c r="P468" s="443">
        <f t="shared" si="342"/>
        <v>0</v>
      </c>
      <c r="Q468" s="443">
        <f t="shared" si="343"/>
        <v>0</v>
      </c>
      <c r="R468" s="443">
        <f t="shared" si="344"/>
        <v>0</v>
      </c>
      <c r="S468" s="484">
        <v>0</v>
      </c>
      <c r="T468" s="484">
        <v>0</v>
      </c>
      <c r="U468" s="484">
        <v>0</v>
      </c>
      <c r="V468" s="490">
        <v>0</v>
      </c>
      <c r="W468" s="490">
        <v>0</v>
      </c>
      <c r="X468" s="490">
        <v>0</v>
      </c>
      <c r="Y468" s="419">
        <f t="shared" si="345"/>
        <v>10.75</v>
      </c>
      <c r="Z468" s="420">
        <f t="shared" si="346"/>
        <v>7.7439999999999995E-2</v>
      </c>
      <c r="AA468" s="420">
        <v>0</v>
      </c>
      <c r="AB468" s="420">
        <v>0</v>
      </c>
      <c r="AC468" s="420">
        <f t="shared" si="347"/>
        <v>2.8920000000000001E-2</v>
      </c>
      <c r="AD468" s="419">
        <f t="shared" si="348"/>
        <v>0</v>
      </c>
      <c r="AE468" s="419">
        <f t="shared" si="349"/>
        <v>0</v>
      </c>
      <c r="AF468" s="419">
        <f t="shared" si="350"/>
        <v>0</v>
      </c>
      <c r="AG468" s="454">
        <f t="shared" si="351"/>
        <v>0</v>
      </c>
      <c r="AH468" s="454">
        <f t="shared" si="374"/>
        <v>0</v>
      </c>
      <c r="AI468" s="421">
        <f t="shared" si="353"/>
        <v>0</v>
      </c>
      <c r="AJ468" s="421">
        <f t="shared" si="354"/>
        <v>0</v>
      </c>
      <c r="AK468" s="421">
        <f t="shared" si="355"/>
        <v>0</v>
      </c>
      <c r="AL468" s="472">
        <v>0</v>
      </c>
      <c r="AM468" s="422">
        <f t="shared" si="356"/>
        <v>0</v>
      </c>
      <c r="AN468" s="423">
        <f t="shared" si="357"/>
        <v>0</v>
      </c>
      <c r="AO468" s="421">
        <f t="shared" si="358"/>
        <v>0</v>
      </c>
      <c r="AP468" s="472">
        <v>0</v>
      </c>
      <c r="AQ468" s="472">
        <v>0</v>
      </c>
      <c r="AR468" s="472">
        <v>0</v>
      </c>
      <c r="AS468" s="475">
        <v>0</v>
      </c>
      <c r="AT468" s="475">
        <v>0</v>
      </c>
      <c r="AU468" s="475">
        <v>0</v>
      </c>
      <c r="AV468" s="454">
        <f t="shared" si="359"/>
        <v>0</v>
      </c>
      <c r="AW468" s="421">
        <f t="shared" si="360"/>
        <v>0</v>
      </c>
      <c r="AX468" s="455">
        <f t="shared" si="377"/>
        <v>1</v>
      </c>
      <c r="AY468" s="424">
        <f t="shared" si="361"/>
        <v>0</v>
      </c>
      <c r="AZ468" s="424">
        <f t="shared" si="362"/>
        <v>0</v>
      </c>
      <c r="BA468" s="424">
        <f t="shared" si="363"/>
        <v>0</v>
      </c>
      <c r="BB468" s="424">
        <f t="shared" si="364"/>
        <v>0</v>
      </c>
      <c r="BC468" s="424">
        <f t="shared" si="365"/>
        <v>0</v>
      </c>
      <c r="BD468" s="424">
        <f t="shared" si="366"/>
        <v>0</v>
      </c>
      <c r="BE468" s="452">
        <f t="shared" si="367"/>
        <v>0</v>
      </c>
      <c r="BF468" s="448">
        <f t="shared" si="368"/>
        <v>0</v>
      </c>
      <c r="BG468" s="456">
        <f t="shared" si="369"/>
        <v>0</v>
      </c>
      <c r="BH468" s="457">
        <f t="shared" si="370"/>
        <v>0</v>
      </c>
      <c r="BI468" s="407" t="s">
        <v>1490</v>
      </c>
      <c r="BM468" s="429">
        <f>IF(BR468&gt;BR467,BM467,IF(BM467&lt;MiscData!$F$1,EOMONTH(BM467,1),EOMONTH(BM467,-11)))</f>
        <v>42004</v>
      </c>
      <c r="BN468" s="416" t="str">
        <f t="shared" si="371"/>
        <v>20140101KURSE025</v>
      </c>
      <c r="BO468" s="427" t="str">
        <f t="shared" si="372"/>
        <v>20140101RS</v>
      </c>
      <c r="BP468" s="407">
        <f>IF(BM468&lt;=MiscData!$B$23,MiscData!$C$23,IF(BM468&lt;=MiscData!$B$24,MiscData!$C$24,MiscData!$C$25))</f>
        <v>20140101</v>
      </c>
      <c r="BQ468" s="407" t="str">
        <f>VLOOKUP(BR468,MiscData!$V$4:$W$42,2,FALSE)</f>
        <v>KURSE025</v>
      </c>
      <c r="BR468" s="407">
        <f>IF(BR467=MiscData!$V$42,1,BR467+1)</f>
        <v>36</v>
      </c>
      <c r="BS468" s="407" t="str">
        <f>VLOOKUP(BQ468,MiscData!$W$4:$Y$42,3,FALSE)</f>
        <v>RS</v>
      </c>
    </row>
    <row r="469" spans="1:71" hidden="1">
      <c r="A469" s="416">
        <f>A450+1</f>
        <v>374</v>
      </c>
      <c r="B469" s="416" t="str">
        <f>TEXT(BM469,"mmm yyyy")</f>
        <v>Dec 2014</v>
      </c>
      <c r="C469" s="416" t="s">
        <v>807</v>
      </c>
      <c r="D469" s="417" t="str">
        <f t="shared" si="335"/>
        <v>RSLEV</v>
      </c>
      <c r="E469" s="417" t="str">
        <f t="shared" si="336"/>
        <v>KURSE040</v>
      </c>
      <c r="F469" s="418">
        <f t="shared" si="337"/>
        <v>0</v>
      </c>
      <c r="G469" s="467">
        <v>0</v>
      </c>
      <c r="H469" s="418">
        <f>SUMIFS(_1022_KWH_P1,_1022_RevenueMonth,$B469,_1022_RateCategory,$E469)</f>
        <v>0</v>
      </c>
      <c r="I469" s="418">
        <f>SUMIFS(_1022_KWH_P2,_1022_RevenueMonth,$B469,_1022_RateCategory,$E469)</f>
        <v>0</v>
      </c>
      <c r="J469" s="418">
        <f>SUMIFS(_1022_KWH_P3,_1022_RevenueMonth,$B469,_1022_RateCategory,$E469)</f>
        <v>0</v>
      </c>
      <c r="K469" s="418">
        <f t="shared" si="338"/>
        <v>0</v>
      </c>
      <c r="L469" s="481">
        <v>0</v>
      </c>
      <c r="M469" s="443">
        <f t="shared" si="339"/>
        <v>0</v>
      </c>
      <c r="N469" s="443">
        <f t="shared" si="340"/>
        <v>0</v>
      </c>
      <c r="O469" s="443">
        <f t="shared" si="341"/>
        <v>0</v>
      </c>
      <c r="P469" s="443">
        <f t="shared" si="342"/>
        <v>0</v>
      </c>
      <c r="Q469" s="443">
        <f t="shared" si="343"/>
        <v>0</v>
      </c>
      <c r="R469" s="443">
        <f t="shared" si="344"/>
        <v>0</v>
      </c>
      <c r="S469" s="484">
        <v>0</v>
      </c>
      <c r="T469" s="484">
        <v>0</v>
      </c>
      <c r="U469" s="484">
        <v>0</v>
      </c>
      <c r="V469" s="490">
        <v>0</v>
      </c>
      <c r="W469" s="490">
        <v>0</v>
      </c>
      <c r="X469" s="490">
        <v>0</v>
      </c>
      <c r="Y469" s="419">
        <f t="shared" si="345"/>
        <v>10.75</v>
      </c>
      <c r="Z469" s="420">
        <f t="shared" si="346"/>
        <v>5.5870000000000003E-2</v>
      </c>
      <c r="AA469" s="420">
        <f>SUMIF(_Rates_Tariff_Category,$BN469,_Rates_Energy_P2)</f>
        <v>7.7630000000000005E-2</v>
      </c>
      <c r="AB469" s="420">
        <f>SUMIF(_Rates_Tariff_Category,$BN469,_Rates_Energy_P3)</f>
        <v>0.14297000000000001</v>
      </c>
      <c r="AC469" s="420">
        <f t="shared" si="347"/>
        <v>2.8920000000000001E-2</v>
      </c>
      <c r="AD469" s="419">
        <f t="shared" si="348"/>
        <v>0</v>
      </c>
      <c r="AE469" s="419">
        <f t="shared" si="349"/>
        <v>0</v>
      </c>
      <c r="AF469" s="419">
        <f t="shared" si="350"/>
        <v>0</v>
      </c>
      <c r="AG469" s="454">
        <f t="shared" si="351"/>
        <v>0</v>
      </c>
      <c r="AH469" s="454">
        <f t="shared" si="374"/>
        <v>0</v>
      </c>
      <c r="AI469" s="421">
        <f t="shared" si="353"/>
        <v>0</v>
      </c>
      <c r="AJ469" s="421">
        <f t="shared" si="354"/>
        <v>0</v>
      </c>
      <c r="AK469" s="421">
        <f t="shared" si="355"/>
        <v>0</v>
      </c>
      <c r="AL469" s="472">
        <v>0</v>
      </c>
      <c r="AM469" s="422">
        <f t="shared" si="356"/>
        <v>0</v>
      </c>
      <c r="AN469" s="423">
        <f t="shared" si="357"/>
        <v>0</v>
      </c>
      <c r="AO469" s="421">
        <f>SUM(AI469:AN469)</f>
        <v>0</v>
      </c>
      <c r="AP469" s="472">
        <v>0</v>
      </c>
      <c r="AQ469" s="472">
        <v>0</v>
      </c>
      <c r="AR469" s="472">
        <v>0</v>
      </c>
      <c r="AS469" s="475">
        <v>0</v>
      </c>
      <c r="AT469" s="475">
        <v>0</v>
      </c>
      <c r="AU469" s="475">
        <v>0</v>
      </c>
      <c r="AV469" s="454">
        <f t="shared" si="359"/>
        <v>0</v>
      </c>
      <c r="AW469" s="421">
        <f t="shared" si="360"/>
        <v>0</v>
      </c>
      <c r="AX469" s="455">
        <f t="shared" si="377"/>
        <v>1</v>
      </c>
      <c r="AY469" s="424">
        <f t="shared" si="361"/>
        <v>0</v>
      </c>
      <c r="AZ469" s="424">
        <f t="shared" si="362"/>
        <v>0</v>
      </c>
      <c r="BA469" s="424">
        <f t="shared" si="363"/>
        <v>0</v>
      </c>
      <c r="BB469" s="424">
        <f t="shared" si="364"/>
        <v>0</v>
      </c>
      <c r="BC469" s="424">
        <f t="shared" si="365"/>
        <v>0</v>
      </c>
      <c r="BD469" s="424">
        <f t="shared" si="366"/>
        <v>0</v>
      </c>
      <c r="BE469" s="452">
        <f t="shared" si="367"/>
        <v>0</v>
      </c>
      <c r="BF469" s="448">
        <f t="shared" si="368"/>
        <v>0</v>
      </c>
      <c r="BG469" s="456">
        <f t="shared" si="369"/>
        <v>0</v>
      </c>
      <c r="BH469" s="457">
        <f t="shared" si="370"/>
        <v>0</v>
      </c>
      <c r="BI469" s="407" t="s">
        <v>1490</v>
      </c>
      <c r="BM469" s="429">
        <f>IF(BR469&gt;BR468,BM468,IF(BM468&lt;MiscData!$F$1,EOMONTH(BM468,1),EOMONTH(BM468,-11)))</f>
        <v>42004</v>
      </c>
      <c r="BN469" s="416" t="str">
        <f t="shared" si="371"/>
        <v>20140101KURSE040</v>
      </c>
      <c r="BO469" s="427" t="str">
        <f t="shared" si="372"/>
        <v>20140101RSLEV</v>
      </c>
      <c r="BP469" s="407">
        <f>IF(BM469&lt;=MiscData!$B$23,MiscData!$C$23,IF(BM469&lt;=MiscData!$B$24,MiscData!$C$24,MiscData!$C$25))</f>
        <v>20140101</v>
      </c>
      <c r="BQ469" s="407" t="str">
        <f>VLOOKUP(BR469,MiscData!$V$4:$W$42,2,FALSE)</f>
        <v>KURSE040</v>
      </c>
      <c r="BR469" s="407">
        <f>IF(BR468=MiscData!$V$42,1,BR468+1)</f>
        <v>37</v>
      </c>
      <c r="BS469" s="407" t="str">
        <f>VLOOKUP(BQ469,MiscData!$W$4:$Y$42,3,FALSE)</f>
        <v>RSLEV</v>
      </c>
    </row>
    <row r="470" spans="1:71" hidden="1">
      <c r="A470" s="416">
        <f>A391+1</f>
        <v>358</v>
      </c>
      <c r="B470" s="416" t="str">
        <f>TEXT(BM470,"mmm yyyy")</f>
        <v>Dec 2014</v>
      </c>
      <c r="C470" s="416" t="s">
        <v>15</v>
      </c>
      <c r="D470" s="417" t="str">
        <f t="shared" si="335"/>
        <v>RSVFD</v>
      </c>
      <c r="E470" s="417" t="str">
        <f>BQ470</f>
        <v>KURSE080</v>
      </c>
      <c r="F470" s="418">
        <f t="shared" si="337"/>
        <v>0</v>
      </c>
      <c r="G470" s="467">
        <v>0</v>
      </c>
      <c r="H470" s="418">
        <v>0</v>
      </c>
      <c r="I470" s="418">
        <v>0</v>
      </c>
      <c r="J470" s="418">
        <v>0</v>
      </c>
      <c r="K470" s="418">
        <f t="shared" si="338"/>
        <v>0</v>
      </c>
      <c r="L470" s="481">
        <v>0</v>
      </c>
      <c r="M470" s="443">
        <f t="shared" si="339"/>
        <v>0</v>
      </c>
      <c r="N470" s="443">
        <f t="shared" si="340"/>
        <v>0</v>
      </c>
      <c r="O470" s="443">
        <f t="shared" si="341"/>
        <v>0</v>
      </c>
      <c r="P470" s="443">
        <f t="shared" si="342"/>
        <v>0</v>
      </c>
      <c r="Q470" s="443">
        <f t="shared" si="343"/>
        <v>0</v>
      </c>
      <c r="R470" s="443">
        <f t="shared" si="344"/>
        <v>0</v>
      </c>
      <c r="S470" s="484">
        <v>0</v>
      </c>
      <c r="T470" s="484">
        <v>0</v>
      </c>
      <c r="U470" s="484">
        <v>0</v>
      </c>
      <c r="V470" s="490">
        <v>0</v>
      </c>
      <c r="W470" s="490">
        <v>0</v>
      </c>
      <c r="X470" s="490">
        <v>0</v>
      </c>
      <c r="Y470" s="419">
        <f t="shared" si="345"/>
        <v>10.75</v>
      </c>
      <c r="Z470" s="420">
        <f t="shared" si="346"/>
        <v>7.7439999999999995E-2</v>
      </c>
      <c r="AA470" s="420">
        <v>0</v>
      </c>
      <c r="AB470" s="420">
        <v>0</v>
      </c>
      <c r="AC470" s="420">
        <f t="shared" si="347"/>
        <v>2.8920000000000001E-2</v>
      </c>
      <c r="AD470" s="419">
        <f t="shared" si="348"/>
        <v>0</v>
      </c>
      <c r="AE470" s="419">
        <f t="shared" si="349"/>
        <v>0</v>
      </c>
      <c r="AF470" s="419">
        <f t="shared" si="350"/>
        <v>0</v>
      </c>
      <c r="AG470" s="454">
        <f t="shared" si="351"/>
        <v>0</v>
      </c>
      <c r="AH470" s="454">
        <f t="shared" si="374"/>
        <v>0</v>
      </c>
      <c r="AI470" s="421">
        <f t="shared" si="353"/>
        <v>0</v>
      </c>
      <c r="AJ470" s="421">
        <f t="shared" si="354"/>
        <v>0</v>
      </c>
      <c r="AK470" s="421">
        <f t="shared" si="355"/>
        <v>0</v>
      </c>
      <c r="AL470" s="472">
        <v>0</v>
      </c>
      <c r="AM470" s="422">
        <f t="shared" si="356"/>
        <v>0</v>
      </c>
      <c r="AN470" s="423">
        <f t="shared" si="357"/>
        <v>0</v>
      </c>
      <c r="AO470" s="421">
        <f>SUM(AI470:AN470)</f>
        <v>0</v>
      </c>
      <c r="AP470" s="472">
        <v>0</v>
      </c>
      <c r="AQ470" s="472">
        <v>0</v>
      </c>
      <c r="AR470" s="472">
        <v>0</v>
      </c>
      <c r="AS470" s="475">
        <v>0</v>
      </c>
      <c r="AT470" s="475">
        <v>0</v>
      </c>
      <c r="AU470" s="475">
        <v>0</v>
      </c>
      <c r="AV470" s="454">
        <f t="shared" si="359"/>
        <v>0</v>
      </c>
      <c r="AW470" s="421">
        <f t="shared" si="360"/>
        <v>0</v>
      </c>
      <c r="AX470" s="455">
        <f t="shared" si="377"/>
        <v>1</v>
      </c>
      <c r="AY470" s="424">
        <f t="shared" si="361"/>
        <v>0</v>
      </c>
      <c r="AZ470" s="424">
        <f t="shared" si="362"/>
        <v>0</v>
      </c>
      <c r="BA470" s="424">
        <f t="shared" si="363"/>
        <v>0</v>
      </c>
      <c r="BB470" s="424">
        <f t="shared" si="364"/>
        <v>0</v>
      </c>
      <c r="BC470" s="424">
        <f t="shared" si="365"/>
        <v>0</v>
      </c>
      <c r="BD470" s="424">
        <f t="shared" si="366"/>
        <v>0</v>
      </c>
      <c r="BE470" s="452">
        <f t="shared" si="367"/>
        <v>0</v>
      </c>
      <c r="BF470" s="448">
        <f t="shared" si="368"/>
        <v>0</v>
      </c>
      <c r="BG470" s="456">
        <f t="shared" si="369"/>
        <v>0</v>
      </c>
      <c r="BH470" s="457">
        <f t="shared" si="370"/>
        <v>0</v>
      </c>
      <c r="BI470" s="407" t="s">
        <v>1490</v>
      </c>
      <c r="BM470" s="429">
        <f>IF(BR470&gt;BR469,BM469,IF(BM469&lt;MiscData!$F$1,EOMONTH(BM469,1),EOMONTH(BM469,-11)))</f>
        <v>42004</v>
      </c>
      <c r="BN470" s="416" t="str">
        <f>CONCATENATE(BP470&amp;BQ470)</f>
        <v>20140101KURSE080</v>
      </c>
      <c r="BO470" s="427" t="str">
        <f>CONCATENATE(BP470&amp;BS470)</f>
        <v>20140101RSVFD</v>
      </c>
      <c r="BP470" s="407">
        <f>IF(BM470&lt;=MiscData!$B$23,MiscData!$C$23,IF(BM470&lt;=MiscData!$B$24,MiscData!$C$24,MiscData!$C$25))</f>
        <v>20140101</v>
      </c>
      <c r="BQ470" s="407" t="str">
        <f>VLOOKUP(BR470,MiscData!$V$4:$W$42,2,FALSE)</f>
        <v>KURSE080</v>
      </c>
      <c r="BR470" s="407">
        <f>IF(BR469=MiscData!$V$42,1,BR469+1)</f>
        <v>38</v>
      </c>
      <c r="BS470" s="407" t="str">
        <f>VLOOKUP(BQ470,MiscData!$W$4:$Y$42,3,FALSE)</f>
        <v>RSVFD</v>
      </c>
    </row>
    <row r="471" spans="1:71" ht="12.75" hidden="1" thickBot="1">
      <c r="A471" s="491">
        <f>A470+1</f>
        <v>359</v>
      </c>
      <c r="B471" s="491" t="str">
        <f>TEXT(BM471,"mmm yyyy")</f>
        <v>Dec 2014</v>
      </c>
      <c r="C471" s="491" t="s">
        <v>15</v>
      </c>
      <c r="D471" s="492" t="str">
        <f>BS471</f>
        <v>RS</v>
      </c>
      <c r="E471" s="492" t="str">
        <f>BQ471</f>
        <v>KURSE715</v>
      </c>
      <c r="F471" s="493">
        <f t="shared" si="337"/>
        <v>0</v>
      </c>
      <c r="G471" s="494">
        <v>0</v>
      </c>
      <c r="H471" s="493">
        <v>0</v>
      </c>
      <c r="I471" s="493">
        <v>0</v>
      </c>
      <c r="J471" s="493">
        <v>0</v>
      </c>
      <c r="K471" s="493">
        <f t="shared" si="338"/>
        <v>0</v>
      </c>
      <c r="L471" s="495">
        <v>0</v>
      </c>
      <c r="M471" s="496">
        <f t="shared" si="339"/>
        <v>0</v>
      </c>
      <c r="N471" s="496">
        <f t="shared" si="340"/>
        <v>0</v>
      </c>
      <c r="O471" s="496">
        <f t="shared" si="341"/>
        <v>0</v>
      </c>
      <c r="P471" s="496">
        <f t="shared" si="342"/>
        <v>0</v>
      </c>
      <c r="Q471" s="496">
        <f t="shared" si="343"/>
        <v>0</v>
      </c>
      <c r="R471" s="496">
        <f t="shared" si="344"/>
        <v>0</v>
      </c>
      <c r="S471" s="497">
        <v>0</v>
      </c>
      <c r="T471" s="497">
        <v>0</v>
      </c>
      <c r="U471" s="497">
        <v>0</v>
      </c>
      <c r="V471" s="592">
        <v>0</v>
      </c>
      <c r="W471" s="592">
        <v>0</v>
      </c>
      <c r="X471" s="592">
        <v>0</v>
      </c>
      <c r="Y471" s="498">
        <f t="shared" si="345"/>
        <v>10.75</v>
      </c>
      <c r="Z471" s="499">
        <f t="shared" si="346"/>
        <v>7.7439999999999995E-2</v>
      </c>
      <c r="AA471" s="499">
        <v>0</v>
      </c>
      <c r="AB471" s="499">
        <v>0</v>
      </c>
      <c r="AC471" s="499">
        <f t="shared" si="347"/>
        <v>2.8920000000000001E-2</v>
      </c>
      <c r="AD471" s="498">
        <f t="shared" si="348"/>
        <v>0</v>
      </c>
      <c r="AE471" s="498">
        <f t="shared" si="349"/>
        <v>0</v>
      </c>
      <c r="AF471" s="498">
        <f t="shared" si="350"/>
        <v>0</v>
      </c>
      <c r="AG471" s="500">
        <f t="shared" si="351"/>
        <v>0</v>
      </c>
      <c r="AH471" s="500">
        <f t="shared" si="374"/>
        <v>0</v>
      </c>
      <c r="AI471" s="500">
        <f t="shared" si="353"/>
        <v>0</v>
      </c>
      <c r="AJ471" s="500">
        <f t="shared" si="354"/>
        <v>0</v>
      </c>
      <c r="AK471" s="500">
        <f t="shared" si="355"/>
        <v>0</v>
      </c>
      <c r="AL471" s="501">
        <v>0</v>
      </c>
      <c r="AM471" s="502">
        <f t="shared" si="356"/>
        <v>0</v>
      </c>
      <c r="AN471" s="503">
        <f t="shared" si="357"/>
        <v>0</v>
      </c>
      <c r="AO471" s="500">
        <f>SUM(AI471:AN471)</f>
        <v>0</v>
      </c>
      <c r="AP471" s="472">
        <v>0</v>
      </c>
      <c r="AQ471" s="472">
        <v>0</v>
      </c>
      <c r="AR471" s="472">
        <v>0</v>
      </c>
      <c r="AS471" s="475">
        <v>0</v>
      </c>
      <c r="AT471" s="475">
        <v>0</v>
      </c>
      <c r="AU471" s="475">
        <v>0</v>
      </c>
      <c r="AV471" s="500">
        <f>SUM(AG471:AN471,AP471:AU471)</f>
        <v>0</v>
      </c>
      <c r="AW471" s="500">
        <f t="shared" si="360"/>
        <v>0</v>
      </c>
      <c r="AX471" s="455">
        <f t="shared" si="377"/>
        <v>1</v>
      </c>
      <c r="AY471" s="504">
        <f t="shared" si="361"/>
        <v>0</v>
      </c>
      <c r="AZ471" s="504">
        <f t="shared" si="362"/>
        <v>0</v>
      </c>
      <c r="BA471" s="504">
        <f t="shared" si="363"/>
        <v>0</v>
      </c>
      <c r="BB471" s="504">
        <f t="shared" si="364"/>
        <v>0</v>
      </c>
      <c r="BC471" s="504">
        <f t="shared" si="365"/>
        <v>0</v>
      </c>
      <c r="BD471" s="504">
        <f t="shared" si="366"/>
        <v>0</v>
      </c>
      <c r="BE471" s="505">
        <f t="shared" si="367"/>
        <v>0</v>
      </c>
      <c r="BF471" s="506">
        <f t="shared" si="368"/>
        <v>0</v>
      </c>
      <c r="BG471" s="507">
        <f t="shared" si="369"/>
        <v>0</v>
      </c>
      <c r="BH471" s="508">
        <f t="shared" si="370"/>
        <v>0</v>
      </c>
      <c r="BI471" s="407" t="s">
        <v>1490</v>
      </c>
      <c r="BM471" s="429">
        <f>IF(BR471&gt;BR470,BM470,IF(BM470&lt;MiscData!$F$1,EOMONTH(BM470,1),EOMONTH(BM470,-11)))</f>
        <v>42004</v>
      </c>
      <c r="BN471" s="416" t="str">
        <f>CONCATENATE(BP471&amp;BQ471)</f>
        <v>20140101KURSE715</v>
      </c>
      <c r="BO471" s="427" t="str">
        <f>CONCATENATE(BP471&amp;BS471)</f>
        <v>20140101RS</v>
      </c>
      <c r="BP471" s="407">
        <f>IF(BM471&lt;=MiscData!$B$23,MiscData!$C$23,IF(BM471&lt;=MiscData!$B$24,MiscData!$C$24,MiscData!$C$25))</f>
        <v>20140101</v>
      </c>
      <c r="BQ471" s="407" t="str">
        <f>VLOOKUP(BR471,MiscData!$V$4:$W$42,2,FALSE)</f>
        <v>KURSE715</v>
      </c>
      <c r="BR471" s="407">
        <f>IF(BR470=MiscData!$V$42,1,BR470+1)</f>
        <v>39</v>
      </c>
      <c r="BS471" s="407" t="str">
        <f>VLOOKUP(BQ471,MiscData!$W$4:$Y$42,3,FALSE)</f>
        <v>RS</v>
      </c>
    </row>
    <row r="473" spans="1:71">
      <c r="F473" s="430">
        <f t="shared" ref="F473:AU473" si="379">SUM(F4:F471)</f>
        <v>6185585</v>
      </c>
      <c r="G473" s="430">
        <f t="shared" si="379"/>
        <v>3013</v>
      </c>
      <c r="H473" s="430">
        <f t="shared" si="379"/>
        <v>23550</v>
      </c>
      <c r="I473" s="430">
        <f t="shared" si="379"/>
        <v>7781</v>
      </c>
      <c r="J473" s="430">
        <f t="shared" si="379"/>
        <v>5161</v>
      </c>
      <c r="K473" s="430">
        <f t="shared" si="379"/>
        <v>18466596693</v>
      </c>
      <c r="L473" s="430">
        <f>SUM(L4:L471)</f>
        <v>0</v>
      </c>
      <c r="M473" s="430">
        <f t="shared" si="379"/>
        <v>23967090.030000009</v>
      </c>
      <c r="N473" s="430">
        <f t="shared" si="379"/>
        <v>22063688.610000003</v>
      </c>
      <c r="O473" s="430">
        <f t="shared" si="379"/>
        <v>19756105.470000006</v>
      </c>
      <c r="P473" s="430">
        <f t="shared" si="379"/>
        <v>18595678.095000003</v>
      </c>
      <c r="Q473" s="430">
        <f t="shared" si="379"/>
        <v>22245572.219999999</v>
      </c>
      <c r="R473" s="430">
        <f t="shared" si="379"/>
        <v>20034182.890000008</v>
      </c>
      <c r="S473" s="597">
        <f>SUM(S4:S471)</f>
        <v>305914.32999999996</v>
      </c>
      <c r="T473" s="597">
        <f>SUM(T4:T471)</f>
        <v>177922.31000000006</v>
      </c>
      <c r="U473" s="597">
        <f>SUM(U4:U471)</f>
        <v>272950.31999999995</v>
      </c>
      <c r="V473" s="597">
        <f t="shared" si="379"/>
        <v>0</v>
      </c>
      <c r="W473" s="597">
        <f t="shared" si="379"/>
        <v>0</v>
      </c>
      <c r="X473" s="597">
        <f t="shared" si="379"/>
        <v>0</v>
      </c>
      <c r="Y473" s="430">
        <f t="shared" si="379"/>
        <v>39732</v>
      </c>
      <c r="Z473" s="430">
        <f t="shared" si="379"/>
        <v>24.869039999999998</v>
      </c>
      <c r="AA473" s="430">
        <f t="shared" si="379"/>
        <v>0.93155999999999983</v>
      </c>
      <c r="AB473" s="430">
        <f t="shared" si="379"/>
        <v>1.7156400000000003</v>
      </c>
      <c r="AC473" s="430"/>
      <c r="AD473" s="430">
        <f t="shared" si="379"/>
        <v>-174.84000000000006</v>
      </c>
      <c r="AE473" s="430">
        <f t="shared" si="379"/>
        <v>945.84000000000015</v>
      </c>
      <c r="AF473" s="430">
        <f t="shared" si="379"/>
        <v>1150.9199999999987</v>
      </c>
      <c r="AG473" s="430">
        <f t="shared" si="379"/>
        <v>86246080</v>
      </c>
      <c r="AH473" s="430">
        <f t="shared" si="379"/>
        <v>1037496916.7399994</v>
      </c>
      <c r="AI473" s="430">
        <f t="shared" si="379"/>
        <v>34589344.729999989</v>
      </c>
      <c r="AJ473" s="430">
        <f t="shared" si="379"/>
        <v>104170828.67</v>
      </c>
      <c r="AK473" s="430">
        <f t="shared" si="379"/>
        <v>116281209.14999998</v>
      </c>
      <c r="AL473" s="430">
        <f t="shared" si="379"/>
        <v>120904.60999999999</v>
      </c>
      <c r="AM473" s="430">
        <f t="shared" si="379"/>
        <v>1039415.62</v>
      </c>
      <c r="AN473" s="430">
        <f t="shared" si="379"/>
        <v>6412564.459999999</v>
      </c>
      <c r="AO473" s="430">
        <f t="shared" si="379"/>
        <v>262614267.23999998</v>
      </c>
      <c r="AP473" s="430">
        <f t="shared" si="379"/>
        <v>-133438.37999999998</v>
      </c>
      <c r="AQ473" s="430">
        <f t="shared" si="379"/>
        <v>-949.97000000022354</v>
      </c>
      <c r="AR473" s="430">
        <f t="shared" si="379"/>
        <v>-180048.00999999931</v>
      </c>
      <c r="AS473" s="430">
        <f t="shared" si="379"/>
        <v>0</v>
      </c>
      <c r="AT473" s="430">
        <f t="shared" si="379"/>
        <v>0</v>
      </c>
      <c r="AU473" s="430">
        <f t="shared" si="379"/>
        <v>0</v>
      </c>
      <c r="AV473" s="430">
        <f t="shared" ref="AV473:BF473" si="380">SUM(AV4:AV471)</f>
        <v>1386042827.6199996</v>
      </c>
      <c r="AW473" s="430">
        <f t="shared" si="380"/>
        <v>1386044882.9099998</v>
      </c>
      <c r="AX473" s="430">
        <f t="shared" si="380"/>
        <v>468.00028625619115</v>
      </c>
      <c r="AY473" s="430">
        <f t="shared" si="380"/>
        <v>37401012.389999993</v>
      </c>
      <c r="AZ473" s="430">
        <f t="shared" si="380"/>
        <v>29854111.34</v>
      </c>
      <c r="BA473" s="430">
        <f t="shared" si="380"/>
        <v>48932255.549999982</v>
      </c>
      <c r="BB473" s="430">
        <f t="shared" si="380"/>
        <v>-9.9999999999999985E-3</v>
      </c>
      <c r="BC473" s="430">
        <f t="shared" si="380"/>
        <v>-12322832.5</v>
      </c>
      <c r="BD473" s="430">
        <f t="shared" si="380"/>
        <v>1489909429.6799994</v>
      </c>
      <c r="BE473" s="430">
        <f t="shared" si="380"/>
        <v>1489907374.3899994</v>
      </c>
      <c r="BF473" s="430">
        <f t="shared" si="380"/>
        <v>2055.2900000087266</v>
      </c>
    </row>
    <row r="474" spans="1:71">
      <c r="F474" s="430">
        <f>'12MonLights'!E1071</f>
        <v>2023002</v>
      </c>
      <c r="G474" s="430">
        <f>'12MonLights'!F1071</f>
        <v>646</v>
      </c>
      <c r="K474" s="430">
        <f>'12MonLights'!G1071</f>
        <v>119802347</v>
      </c>
      <c r="L474" s="430">
        <f>'12MonLights'!I1071</f>
        <v>0</v>
      </c>
      <c r="BD474" s="509">
        <f>'12MonLights'!U1071</f>
        <v>25922032.700000018</v>
      </c>
    </row>
    <row r="475" spans="1:71">
      <c r="AV475" s="433"/>
      <c r="AY475" s="433"/>
      <c r="BD475" s="509">
        <f>BD473+BD474</f>
        <v>1515831462.3799994</v>
      </c>
    </row>
    <row r="476" spans="1:71">
      <c r="F476" s="430">
        <f>F473+F474</f>
        <v>8208587</v>
      </c>
      <c r="G476" s="430">
        <f>G473+G474</f>
        <v>3659</v>
      </c>
      <c r="K476" s="430">
        <f>K473+K474</f>
        <v>18586399040</v>
      </c>
      <c r="L476" s="430">
        <f>L473+L474</f>
        <v>0</v>
      </c>
      <c r="O476" s="409">
        <f>SUM(M473:O473)</f>
        <v>65786884.110000022</v>
      </c>
    </row>
    <row r="478" spans="1:71">
      <c r="D478" s="403" t="s">
        <v>19</v>
      </c>
      <c r="E478" s="403" t="s">
        <v>692</v>
      </c>
      <c r="F478" s="432">
        <f>SUMIFS(F$4:F$471,_12MonResults_RateClass,$D478,_12MonResults_Period,$E478)</f>
        <v>190</v>
      </c>
      <c r="G478" s="432">
        <f>SUMIFS(G$4:G$471,_12MonResults_RateClass,$D478,_12MonResults_Period,$E478)</f>
        <v>3</v>
      </c>
      <c r="J478" s="432"/>
      <c r="K478" s="431">
        <f>SUMIFS(K$4:K$471,_12MonResults_RateClass,$D478,_12MonResults_Period,$E478)</f>
        <v>807648122</v>
      </c>
      <c r="M478" s="597">
        <f t="shared" ref="M478:O479" si="381">SUMIFS(M$4:M$471,_12MonResults_RateClass,$D478,_12MonResults_Period,$E478)</f>
        <v>1810778.4</v>
      </c>
      <c r="N478" s="597">
        <f t="shared" si="381"/>
        <v>1770479.4000000001</v>
      </c>
      <c r="O478" s="597">
        <f t="shared" si="381"/>
        <v>1737549.4</v>
      </c>
      <c r="AG478" s="451">
        <f t="shared" ref="AG478:AP479" si="382">SUMIFS(AG$4:AG$471,_12MonResults_RateClass,$D478,_12MonResults_Period,$E478)</f>
        <v>144750</v>
      </c>
      <c r="AH478" s="451">
        <f t="shared" si="382"/>
        <v>29349932.740000002</v>
      </c>
      <c r="AI478" s="451">
        <f t="shared" si="382"/>
        <v>2426443.0499999998</v>
      </c>
      <c r="AJ478" s="451">
        <f t="shared" si="382"/>
        <v>5081275.879999999</v>
      </c>
      <c r="AK478" s="451">
        <f t="shared" si="382"/>
        <v>6898071.1199999992</v>
      </c>
      <c r="AL478" s="451">
        <f t="shared" si="382"/>
        <v>0</v>
      </c>
      <c r="AM478" s="451">
        <f t="shared" si="382"/>
        <v>0</v>
      </c>
      <c r="AN478" s="451">
        <f t="shared" si="382"/>
        <v>93544.389999999985</v>
      </c>
      <c r="AO478" s="451">
        <f t="shared" si="382"/>
        <v>14499334.439999999</v>
      </c>
      <c r="AP478" s="451">
        <f t="shared" si="382"/>
        <v>0</v>
      </c>
      <c r="AQ478" s="451">
        <f t="shared" ref="AQ478:AW479" si="383">SUMIFS(AQ$4:AQ$471,_12MonResults_RateClass,$D478,_12MonResults_Period,$E478)</f>
        <v>3.9999999776482588E-2</v>
      </c>
      <c r="AR478" s="451">
        <f t="shared" si="383"/>
        <v>335.23000000052156</v>
      </c>
      <c r="AS478" s="451">
        <f t="shared" si="383"/>
        <v>0</v>
      </c>
      <c r="AT478" s="451">
        <f t="shared" si="383"/>
        <v>0</v>
      </c>
      <c r="AU478" s="451">
        <f t="shared" si="383"/>
        <v>0</v>
      </c>
      <c r="AV478" s="451">
        <f t="shared" si="383"/>
        <v>43994352.450000003</v>
      </c>
      <c r="AW478" s="451">
        <f t="shared" si="383"/>
        <v>43994352.450000003</v>
      </c>
      <c r="AY478" s="451">
        <f t="shared" ref="AY478:BH479" si="384">SUMIFS(AY$4:AY$471,_12MonResults_RateClass,$D478,_12MonResults_Period,$E478)</f>
        <v>2071099.4900000002</v>
      </c>
      <c r="AZ478" s="451">
        <f t="shared" si="384"/>
        <v>0</v>
      </c>
      <c r="BA478" s="451">
        <f t="shared" si="384"/>
        <v>866849.44000000006</v>
      </c>
      <c r="BB478" s="451">
        <f t="shared" si="384"/>
        <v>0</v>
      </c>
      <c r="BC478" s="451">
        <f t="shared" si="384"/>
        <v>0</v>
      </c>
      <c r="BD478" s="451">
        <f t="shared" si="384"/>
        <v>46932301.380000003</v>
      </c>
      <c r="BE478" s="451">
        <f t="shared" si="384"/>
        <v>46932301.380000003</v>
      </c>
      <c r="BF478" s="451">
        <f t="shared" si="384"/>
        <v>0</v>
      </c>
      <c r="BG478" s="451">
        <f t="shared" si="384"/>
        <v>23357183.699999999</v>
      </c>
      <c r="BH478" s="451">
        <f t="shared" si="384"/>
        <v>5992749.0800000001</v>
      </c>
    </row>
    <row r="479" spans="1:71">
      <c r="D479" s="403" t="str">
        <f>D478</f>
        <v>RTS</v>
      </c>
      <c r="E479" s="403" t="s">
        <v>1490</v>
      </c>
      <c r="F479" s="432">
        <f>SUMIFS(F$4:F$471,_12MonResults_RateClass,$D479,_12MonResults_Period,$E479)</f>
        <v>192</v>
      </c>
      <c r="G479" s="432">
        <f>SUMIFS(G$4:G$471,_12MonResults_RateClass,$D479,_12MonResults_Period,$E479)</f>
        <v>0</v>
      </c>
      <c r="K479" s="431">
        <f>SUMIFS(K$4:K$471,_12MonResults_RateClass,$D479,_12MonResults_Period,$E479)</f>
        <v>795525480</v>
      </c>
      <c r="M479" s="597">
        <f t="shared" si="381"/>
        <v>1792501.53</v>
      </c>
      <c r="N479" s="597">
        <f t="shared" si="381"/>
        <v>1726616.94</v>
      </c>
      <c r="O479" s="597">
        <f t="shared" si="381"/>
        <v>1683077.6099999999</v>
      </c>
      <c r="AG479" s="451">
        <f t="shared" si="382"/>
        <v>144000</v>
      </c>
      <c r="AH479" s="451">
        <f t="shared" si="382"/>
        <v>28909395.939999998</v>
      </c>
      <c r="AI479" s="451">
        <f t="shared" si="382"/>
        <v>2401952.06</v>
      </c>
      <c r="AJ479" s="451">
        <f t="shared" si="382"/>
        <v>4955390.6199999992</v>
      </c>
      <c r="AK479" s="451">
        <f t="shared" si="382"/>
        <v>6681818.0999999987</v>
      </c>
      <c r="AL479" s="451">
        <f t="shared" si="382"/>
        <v>0</v>
      </c>
      <c r="AM479" s="451">
        <f t="shared" si="382"/>
        <v>0</v>
      </c>
      <c r="AN479" s="451">
        <f t="shared" si="382"/>
        <v>0</v>
      </c>
      <c r="AO479" s="451">
        <f t="shared" si="382"/>
        <v>14039160.779999999</v>
      </c>
      <c r="AP479" s="451">
        <f t="shared" si="382"/>
        <v>0</v>
      </c>
      <c r="AQ479" s="451">
        <f t="shared" si="383"/>
        <v>0</v>
      </c>
      <c r="AR479" s="451">
        <f t="shared" si="383"/>
        <v>0</v>
      </c>
      <c r="AS479" s="451">
        <f t="shared" si="383"/>
        <v>0</v>
      </c>
      <c r="AT479" s="451">
        <f t="shared" si="383"/>
        <v>0</v>
      </c>
      <c r="AU479" s="451">
        <f t="shared" si="383"/>
        <v>0</v>
      </c>
      <c r="AV479" s="451">
        <f t="shared" si="383"/>
        <v>43092556.719999999</v>
      </c>
      <c r="AW479" s="451">
        <f t="shared" si="383"/>
        <v>43092558</v>
      </c>
      <c r="AY479" s="451">
        <f t="shared" si="384"/>
        <v>1187154</v>
      </c>
      <c r="AZ479" s="451">
        <f t="shared" si="384"/>
        <v>0</v>
      </c>
      <c r="BA479" s="451">
        <f t="shared" si="384"/>
        <v>2673293</v>
      </c>
      <c r="BB479" s="451">
        <f t="shared" si="384"/>
        <v>0</v>
      </c>
      <c r="BC479" s="451">
        <f t="shared" si="384"/>
        <v>0</v>
      </c>
      <c r="BD479" s="451">
        <f t="shared" si="384"/>
        <v>46953005</v>
      </c>
      <c r="BE479" s="451">
        <f t="shared" si="384"/>
        <v>46953003.719999999</v>
      </c>
      <c r="BF479" s="451">
        <f t="shared" si="384"/>
        <v>1.2800000002607703</v>
      </c>
      <c r="BG479" s="451">
        <f t="shared" si="384"/>
        <v>23006596.879999999</v>
      </c>
      <c r="BH479" s="451">
        <f t="shared" si="384"/>
        <v>5902799.0600000015</v>
      </c>
    </row>
    <row r="480" spans="1:71">
      <c r="E480" s="403" t="s">
        <v>70</v>
      </c>
      <c r="F480" s="432">
        <f>F478-F479</f>
        <v>-2</v>
      </c>
      <c r="G480" s="432">
        <f>G478-G479</f>
        <v>3</v>
      </c>
      <c r="K480" s="431">
        <f>K478-K479</f>
        <v>12122642</v>
      </c>
      <c r="L480" s="409"/>
      <c r="M480" s="965">
        <f>M478-M479</f>
        <v>18276.869999999879</v>
      </c>
      <c r="N480" s="965">
        <f>N478-N479</f>
        <v>43862.460000000196</v>
      </c>
      <c r="O480" s="965">
        <f>O478-O479</f>
        <v>54471.790000000037</v>
      </c>
      <c r="AG480" s="448">
        <f t="shared" ref="AG480:AW480" si="385">AG478-AG479</f>
        <v>750</v>
      </c>
      <c r="AH480" s="448">
        <f t="shared" si="385"/>
        <v>440536.80000000447</v>
      </c>
      <c r="AI480" s="448">
        <f t="shared" si="385"/>
        <v>24490.989999999758</v>
      </c>
      <c r="AJ480" s="448">
        <f t="shared" si="385"/>
        <v>125885.25999999978</v>
      </c>
      <c r="AK480" s="448">
        <f t="shared" si="385"/>
        <v>216253.02000000048</v>
      </c>
      <c r="AL480" s="448">
        <f t="shared" si="385"/>
        <v>0</v>
      </c>
      <c r="AM480" s="448">
        <f t="shared" si="385"/>
        <v>0</v>
      </c>
      <c r="AN480" s="448">
        <f t="shared" si="385"/>
        <v>93544.389999999985</v>
      </c>
      <c r="AO480" s="448">
        <f t="shared" si="385"/>
        <v>460173.66000000015</v>
      </c>
      <c r="AP480" s="448">
        <f t="shared" si="385"/>
        <v>0</v>
      </c>
      <c r="AQ480" s="448">
        <f t="shared" si="385"/>
        <v>3.9999999776482588E-2</v>
      </c>
      <c r="AR480" s="448">
        <f t="shared" si="385"/>
        <v>335.23000000052156</v>
      </c>
      <c r="AS480" s="448">
        <f t="shared" si="385"/>
        <v>0</v>
      </c>
      <c r="AT480" s="448">
        <f t="shared" si="385"/>
        <v>0</v>
      </c>
      <c r="AU480" s="448">
        <f t="shared" si="385"/>
        <v>0</v>
      </c>
      <c r="AV480" s="448">
        <f t="shared" si="385"/>
        <v>901795.73000000417</v>
      </c>
      <c r="AW480" s="448">
        <f t="shared" si="385"/>
        <v>901794.45000000298</v>
      </c>
      <c r="AY480" s="448">
        <f t="shared" ref="AY480:BH480" si="386">AY478-AY479</f>
        <v>883945.49000000022</v>
      </c>
      <c r="AZ480" s="448">
        <f t="shared" si="386"/>
        <v>0</v>
      </c>
      <c r="BA480" s="448">
        <f t="shared" si="386"/>
        <v>-1806443.56</v>
      </c>
      <c r="BB480" s="448">
        <f t="shared" si="386"/>
        <v>0</v>
      </c>
      <c r="BC480" s="448">
        <f t="shared" si="386"/>
        <v>0</v>
      </c>
      <c r="BD480" s="448">
        <f t="shared" si="386"/>
        <v>-20703.619999997318</v>
      </c>
      <c r="BE480" s="448">
        <f t="shared" si="386"/>
        <v>-20702.339999996126</v>
      </c>
      <c r="BF480" s="448">
        <f t="shared" si="386"/>
        <v>-1.2800000002607703</v>
      </c>
      <c r="BG480" s="448">
        <f t="shared" si="386"/>
        <v>350586.8200000003</v>
      </c>
      <c r="BH480" s="448">
        <f t="shared" si="386"/>
        <v>89950.019999998622</v>
      </c>
    </row>
    <row r="481" spans="4:60">
      <c r="K481" s="510"/>
      <c r="L481" s="510"/>
    </row>
    <row r="482" spans="4:60">
      <c r="D482" s="403" t="s">
        <v>26</v>
      </c>
      <c r="E482" s="403" t="s">
        <v>692</v>
      </c>
      <c r="F482" s="432">
        <f>SUMIFS(F$4:F$471,_12MonResults_RateClass,$D482,_12MonResults_Period,$E482)</f>
        <v>1438</v>
      </c>
      <c r="G482" s="432">
        <f>SUMIFS(G$4:G$471,_12MonResults_RateClass,$D482,_12MonResults_Period,$E482)</f>
        <v>5</v>
      </c>
      <c r="J482" s="432"/>
      <c r="K482" s="431">
        <f>SUMIFS(K$4:K$471,_12MonResults_RateClass,$D482,_12MonResults_Period,$E482)</f>
        <v>151613515</v>
      </c>
      <c r="M482" s="597">
        <f t="shared" ref="M482:O483" si="387">SUMIFS(M$4:M$471,_12MonResults_RateClass,$D482,_12MonResults_Period,$E482)</f>
        <v>0</v>
      </c>
      <c r="N482" s="597">
        <f t="shared" si="387"/>
        <v>128211.49999999999</v>
      </c>
      <c r="O482" s="597">
        <f t="shared" si="387"/>
        <v>232146.5</v>
      </c>
      <c r="AG482" s="451">
        <f t="shared" ref="AG482:AP483" si="388">SUMIFS(AG$4:AG$471,_12MonResults_RateClass,$D482,_12MonResults_Period,$E482)</f>
        <v>245310</v>
      </c>
      <c r="AH482" s="451">
        <f t="shared" si="388"/>
        <v>5400473.3900000006</v>
      </c>
      <c r="AI482" s="451">
        <f t="shared" si="388"/>
        <v>0</v>
      </c>
      <c r="AJ482" s="451">
        <f t="shared" si="388"/>
        <v>1689827.58</v>
      </c>
      <c r="AK482" s="451">
        <f t="shared" si="388"/>
        <v>3547198.52</v>
      </c>
      <c r="AL482" s="451">
        <f t="shared" si="388"/>
        <v>4875</v>
      </c>
      <c r="AM482" s="451">
        <f t="shared" si="388"/>
        <v>60932.14</v>
      </c>
      <c r="AN482" s="451">
        <f t="shared" si="388"/>
        <v>419402.09</v>
      </c>
      <c r="AO482" s="451">
        <f t="shared" si="388"/>
        <v>5722235.3300000001</v>
      </c>
      <c r="AP482" s="451">
        <f t="shared" si="388"/>
        <v>-2907.69</v>
      </c>
      <c r="AQ482" s="451">
        <f t="shared" ref="AQ482:AW483" si="389">SUMIFS(AQ$4:AQ$471,_12MonResults_RateClass,$D482,_12MonResults_Period,$E482)</f>
        <v>9.4</v>
      </c>
      <c r="AR482" s="451">
        <f t="shared" si="389"/>
        <v>-16679.430000000004</v>
      </c>
      <c r="AS482" s="451">
        <f t="shared" si="389"/>
        <v>0</v>
      </c>
      <c r="AT482" s="451">
        <f t="shared" si="389"/>
        <v>0</v>
      </c>
      <c r="AU482" s="451">
        <f t="shared" si="389"/>
        <v>0</v>
      </c>
      <c r="AV482" s="451">
        <f t="shared" si="389"/>
        <v>11348440.999999998</v>
      </c>
      <c r="AW482" s="451">
        <f t="shared" si="389"/>
        <v>11348440.999999998</v>
      </c>
      <c r="AY482" s="451">
        <f t="shared" ref="AY482:BH483" si="390">SUMIFS(AY$4:AY$471,_12MonResults_RateClass,$D482,_12MonResults_Period,$E482)</f>
        <v>400603.81</v>
      </c>
      <c r="AZ482" s="451">
        <f t="shared" si="390"/>
        <v>120548.82</v>
      </c>
      <c r="BA482" s="451">
        <f t="shared" si="390"/>
        <v>306533.01999999996</v>
      </c>
      <c r="BB482" s="451">
        <f t="shared" si="390"/>
        <v>0</v>
      </c>
      <c r="BC482" s="451">
        <f t="shared" si="390"/>
        <v>0</v>
      </c>
      <c r="BD482" s="451">
        <f t="shared" si="390"/>
        <v>12176126.65</v>
      </c>
      <c r="BE482" s="451">
        <f t="shared" si="390"/>
        <v>12176126.65</v>
      </c>
      <c r="BF482" s="451">
        <f t="shared" si="390"/>
        <v>0</v>
      </c>
      <c r="BG482" s="451">
        <f t="shared" si="390"/>
        <v>4384662.87</v>
      </c>
      <c r="BH482" s="451">
        <f t="shared" si="390"/>
        <v>1015819.9199999999</v>
      </c>
    </row>
    <row r="483" spans="4:60">
      <c r="D483" s="403" t="s">
        <v>26</v>
      </c>
      <c r="E483" s="403" t="s">
        <v>1490</v>
      </c>
      <c r="F483" s="432">
        <f>SUMIFS(F$4:F$471,_12MonResults_RateClass,$D483,_12MonResults_Period,$E483)</f>
        <v>1290</v>
      </c>
      <c r="G483" s="432">
        <f>SUMIFS(G$4:G$471,_12MonResults_RateClass,$D483,_12MonResults_Period,$E483)</f>
        <v>0</v>
      </c>
      <c r="K483" s="431">
        <f>SUMIFS(K$4:K$471,_12MonResults_RateClass,$D483,_12MonResults_Period,$E483)</f>
        <v>113706943</v>
      </c>
      <c r="M483" s="597">
        <f t="shared" si="387"/>
        <v>0</v>
      </c>
      <c r="N483" s="597">
        <f t="shared" si="387"/>
        <v>268940.34999999998</v>
      </c>
      <c r="O483" s="597">
        <f t="shared" si="387"/>
        <v>59273.46</v>
      </c>
      <c r="AG483" s="451">
        <f t="shared" si="388"/>
        <v>219300</v>
      </c>
      <c r="AH483" s="451">
        <f t="shared" si="388"/>
        <v>4050241.31</v>
      </c>
      <c r="AI483" s="451">
        <f t="shared" si="388"/>
        <v>0</v>
      </c>
      <c r="AJ483" s="451">
        <f t="shared" si="388"/>
        <v>3544633.8100000005</v>
      </c>
      <c r="AK483" s="451">
        <f t="shared" si="388"/>
        <v>905698.47</v>
      </c>
      <c r="AL483" s="451">
        <f t="shared" si="388"/>
        <v>0</v>
      </c>
      <c r="AM483" s="451">
        <f t="shared" si="388"/>
        <v>0</v>
      </c>
      <c r="AN483" s="451">
        <f t="shared" si="388"/>
        <v>0</v>
      </c>
      <c r="AO483" s="451">
        <f t="shared" si="388"/>
        <v>4450332.28</v>
      </c>
      <c r="AP483" s="451">
        <f t="shared" si="388"/>
        <v>0</v>
      </c>
      <c r="AQ483" s="451">
        <f t="shared" si="389"/>
        <v>0</v>
      </c>
      <c r="AR483" s="451">
        <f t="shared" si="389"/>
        <v>0</v>
      </c>
      <c r="AS483" s="451">
        <f t="shared" si="389"/>
        <v>0</v>
      </c>
      <c r="AT483" s="451">
        <f t="shared" si="389"/>
        <v>0</v>
      </c>
      <c r="AU483" s="451">
        <f t="shared" si="389"/>
        <v>0</v>
      </c>
      <c r="AV483" s="451">
        <f t="shared" si="389"/>
        <v>8719873.589999998</v>
      </c>
      <c r="AW483" s="451">
        <f t="shared" si="389"/>
        <v>8719873</v>
      </c>
      <c r="AY483" s="451">
        <f t="shared" si="390"/>
        <v>162049</v>
      </c>
      <c r="AZ483" s="451">
        <f t="shared" si="390"/>
        <v>194696</v>
      </c>
      <c r="BA483" s="451">
        <f t="shared" si="390"/>
        <v>382020</v>
      </c>
      <c r="BB483" s="451">
        <f t="shared" si="390"/>
        <v>0</v>
      </c>
      <c r="BC483" s="451">
        <f t="shared" si="390"/>
        <v>0</v>
      </c>
      <c r="BD483" s="451">
        <f t="shared" si="390"/>
        <v>9458638</v>
      </c>
      <c r="BE483" s="451">
        <f t="shared" si="390"/>
        <v>9458638.589999998</v>
      </c>
      <c r="BF483" s="451">
        <f t="shared" si="390"/>
        <v>-0.58999999985098839</v>
      </c>
      <c r="BG483" s="451">
        <f t="shared" si="390"/>
        <v>3288404.8</v>
      </c>
      <c r="BH483" s="451">
        <f t="shared" si="390"/>
        <v>761836.51</v>
      </c>
    </row>
    <row r="484" spans="4:60">
      <c r="E484" s="403" t="s">
        <v>70</v>
      </c>
      <c r="F484" s="432">
        <f>F482-F483</f>
        <v>148</v>
      </c>
      <c r="G484" s="432">
        <f>G482-G483</f>
        <v>5</v>
      </c>
      <c r="K484" s="431">
        <f>K482-K483</f>
        <v>37906572</v>
      </c>
      <c r="L484" s="409"/>
      <c r="M484" s="965">
        <f>M482-M483</f>
        <v>0</v>
      </c>
      <c r="N484" s="965">
        <f>N482-N483</f>
        <v>-140728.84999999998</v>
      </c>
      <c r="O484" s="965">
        <f>O482-O483</f>
        <v>172873.04</v>
      </c>
      <c r="AG484" s="448">
        <f>AG482-AG483</f>
        <v>26010</v>
      </c>
      <c r="AH484" s="448">
        <f t="shared" ref="AH484:AW484" si="391">AH482-AH483</f>
        <v>1350232.0800000005</v>
      </c>
      <c r="AI484" s="448">
        <f t="shared" si="391"/>
        <v>0</v>
      </c>
      <c r="AJ484" s="448">
        <f t="shared" si="391"/>
        <v>-1854806.2300000004</v>
      </c>
      <c r="AK484" s="448">
        <f t="shared" si="391"/>
        <v>2641500.0499999998</v>
      </c>
      <c r="AL484" s="448">
        <f t="shared" si="391"/>
        <v>4875</v>
      </c>
      <c r="AM484" s="448">
        <f t="shared" si="391"/>
        <v>60932.14</v>
      </c>
      <c r="AN484" s="448">
        <f t="shared" si="391"/>
        <v>419402.09</v>
      </c>
      <c r="AO484" s="448">
        <f t="shared" si="391"/>
        <v>1271903.0499999998</v>
      </c>
      <c r="AP484" s="448">
        <f t="shared" si="391"/>
        <v>-2907.69</v>
      </c>
      <c r="AQ484" s="448">
        <f t="shared" si="391"/>
        <v>9.4</v>
      </c>
      <c r="AR484" s="448">
        <f t="shared" si="391"/>
        <v>-16679.430000000004</v>
      </c>
      <c r="AS484" s="448">
        <f t="shared" si="391"/>
        <v>0</v>
      </c>
      <c r="AT484" s="448">
        <f t="shared" si="391"/>
        <v>0</v>
      </c>
      <c r="AU484" s="448">
        <f t="shared" si="391"/>
        <v>0</v>
      </c>
      <c r="AV484" s="448">
        <f t="shared" si="391"/>
        <v>2628567.41</v>
      </c>
      <c r="AW484" s="448">
        <f t="shared" si="391"/>
        <v>2628567.9999999981</v>
      </c>
      <c r="AY484" s="448">
        <f t="shared" ref="AY484:BH484" si="392">AY482-AY483</f>
        <v>238554.81</v>
      </c>
      <c r="AZ484" s="448">
        <f t="shared" si="392"/>
        <v>-74147.179999999993</v>
      </c>
      <c r="BA484" s="448">
        <f t="shared" si="392"/>
        <v>-75486.98000000004</v>
      </c>
      <c r="BB484" s="448">
        <f t="shared" si="392"/>
        <v>0</v>
      </c>
      <c r="BC484" s="448">
        <f t="shared" si="392"/>
        <v>0</v>
      </c>
      <c r="BD484" s="448">
        <f t="shared" si="392"/>
        <v>2717488.6500000004</v>
      </c>
      <c r="BE484" s="448">
        <f t="shared" si="392"/>
        <v>2717488.0600000024</v>
      </c>
      <c r="BF484" s="448">
        <f t="shared" si="392"/>
        <v>0.58999999985098839</v>
      </c>
      <c r="BG484" s="448">
        <f t="shared" si="392"/>
        <v>1096258.0700000003</v>
      </c>
      <c r="BH484" s="448">
        <f t="shared" si="392"/>
        <v>253983.40999999992</v>
      </c>
    </row>
    <row r="485" spans="4:60">
      <c r="K485" s="510"/>
      <c r="L485" s="510"/>
    </row>
    <row r="486" spans="4:60">
      <c r="D486" s="403" t="s">
        <v>25</v>
      </c>
      <c r="E486" s="403" t="s">
        <v>692</v>
      </c>
      <c r="F486" s="432">
        <f>SUMIFS(F$4:F$471,_12MonResults_RateClass,$D486,_12MonResults_Period,$E486)</f>
        <v>31228</v>
      </c>
      <c r="G486" s="432">
        <f>SUMIFS(G$4:G$471,_12MonResults_RateClass,$D486,_12MonResults_Period,$E486)</f>
        <v>5</v>
      </c>
      <c r="J486" s="432"/>
      <c r="K486" s="431">
        <f>SUMIFS(K$4:K$471,_12MonResults_RateClass,$D486,_12MonResults_Period,$E486)</f>
        <v>1195616498</v>
      </c>
      <c r="M486" s="597">
        <f t="shared" ref="M486:O487" si="393">SUMIFS(M$4:M$471,_12MonResults_RateClass,$D486,_12MonResults_Period,$E486)</f>
        <v>0</v>
      </c>
      <c r="N486" s="597">
        <f t="shared" si="393"/>
        <v>1055284.3999999999</v>
      </c>
      <c r="O486" s="597">
        <f t="shared" si="393"/>
        <v>2138870.5</v>
      </c>
      <c r="AG486" s="451">
        <f t="shared" ref="AG486:AP487" si="394">SUMIFS(AG$4:AG$471,_12MonResults_RateClass,$D486,_12MonResults_Period,$E486)</f>
        <v>2810970</v>
      </c>
      <c r="AH486" s="451">
        <f t="shared" si="394"/>
        <v>42611772</v>
      </c>
      <c r="AI486" s="451">
        <f t="shared" si="394"/>
        <v>0</v>
      </c>
      <c r="AJ486" s="451">
        <f t="shared" si="394"/>
        <v>13929754.080000002</v>
      </c>
      <c r="AK486" s="451">
        <f t="shared" si="394"/>
        <v>32724718.650000002</v>
      </c>
      <c r="AL486" s="451">
        <f t="shared" si="394"/>
        <v>2007.5</v>
      </c>
      <c r="AM486" s="451">
        <f t="shared" si="394"/>
        <v>401723.25</v>
      </c>
      <c r="AN486" s="451">
        <f t="shared" si="394"/>
        <v>4973228.7700000005</v>
      </c>
      <c r="AO486" s="451">
        <f t="shared" si="394"/>
        <v>52031432.249999985</v>
      </c>
      <c r="AP486" s="451">
        <f t="shared" si="394"/>
        <v>-7079.82</v>
      </c>
      <c r="AQ486" s="451">
        <f t="shared" ref="AQ486:AW487" si="395">SUMIFS(AQ$4:AQ$471,_12MonResults_RateClass,$D486,_12MonResults_Period,$E486)</f>
        <v>-1125.0600000000002</v>
      </c>
      <c r="AR486" s="451">
        <f t="shared" si="395"/>
        <v>-343203.89</v>
      </c>
      <c r="AS486" s="451">
        <f t="shared" si="395"/>
        <v>0</v>
      </c>
      <c r="AT486" s="451">
        <f t="shared" si="395"/>
        <v>0</v>
      </c>
      <c r="AU486" s="451">
        <f t="shared" si="395"/>
        <v>0</v>
      </c>
      <c r="AV486" s="451">
        <f t="shared" si="395"/>
        <v>97102765.479999989</v>
      </c>
      <c r="AW486" s="451">
        <f t="shared" si="395"/>
        <v>97102765.479999989</v>
      </c>
      <c r="AY486" s="451">
        <f t="shared" ref="AY486:BH487" si="396">SUMIFS(AY$4:AY$471,_12MonResults_RateClass,$D486,_12MonResults_Period,$E486)</f>
        <v>3108772.9600000009</v>
      </c>
      <c r="AZ486" s="451">
        <f t="shared" si="396"/>
        <v>1274772.2200000002</v>
      </c>
      <c r="BA486" s="451">
        <f t="shared" si="396"/>
        <v>2764528.3600000003</v>
      </c>
      <c r="BB486" s="451">
        <f t="shared" si="396"/>
        <v>0</v>
      </c>
      <c r="BC486" s="451">
        <f t="shared" si="396"/>
        <v>0</v>
      </c>
      <c r="BD486" s="451">
        <f t="shared" si="396"/>
        <v>104250839.02000001</v>
      </c>
      <c r="BE486" s="451">
        <f t="shared" si="396"/>
        <v>104250839.02</v>
      </c>
      <c r="BF486" s="451">
        <f t="shared" si="396"/>
        <v>0</v>
      </c>
      <c r="BG486" s="451">
        <f t="shared" si="396"/>
        <v>34577229.130000003</v>
      </c>
      <c r="BH486" s="451">
        <f t="shared" si="396"/>
        <v>8033417.8099999996</v>
      </c>
    </row>
    <row r="487" spans="4:60">
      <c r="D487" s="403" t="str">
        <f>D486</f>
        <v>PSS</v>
      </c>
      <c r="E487" s="403" t="s">
        <v>1490</v>
      </c>
      <c r="F487" s="432">
        <f>SUMIFS(F$4:F$471,_12MonResults_RateClass,$D487,_12MonResults_Period,$E487)</f>
        <v>28845</v>
      </c>
      <c r="G487" s="432">
        <f>SUMIFS(G$4:G$471,_12MonResults_RateClass,$D487,_12MonResults_Period,$E487)</f>
        <v>0</v>
      </c>
      <c r="K487" s="431">
        <f>SUMIFS(K$4:K$471,_12MonResults_RateClass,$D487,_12MonResults_Period,$E487)</f>
        <v>1096863569</v>
      </c>
      <c r="M487" s="597">
        <f t="shared" si="393"/>
        <v>0</v>
      </c>
      <c r="N487" s="597">
        <f t="shared" si="393"/>
        <v>2865850.79</v>
      </c>
      <c r="O487" s="597">
        <f t="shared" si="393"/>
        <v>723592.85</v>
      </c>
      <c r="AG487" s="451">
        <f t="shared" si="394"/>
        <v>2596050</v>
      </c>
      <c r="AH487" s="451">
        <f t="shared" si="394"/>
        <v>39092217.609999999</v>
      </c>
      <c r="AI487" s="451">
        <f t="shared" si="394"/>
        <v>0</v>
      </c>
      <c r="AJ487" s="451">
        <f t="shared" si="394"/>
        <v>37829230.439999998</v>
      </c>
      <c r="AK487" s="451">
        <f t="shared" si="394"/>
        <v>11070970.609999999</v>
      </c>
      <c r="AL487" s="451">
        <f t="shared" si="394"/>
        <v>0</v>
      </c>
      <c r="AM487" s="451">
        <f t="shared" si="394"/>
        <v>0</v>
      </c>
      <c r="AN487" s="451">
        <f t="shared" si="394"/>
        <v>0</v>
      </c>
      <c r="AO487" s="451">
        <f t="shared" si="394"/>
        <v>48900201.050000004</v>
      </c>
      <c r="AP487" s="451">
        <f t="shared" si="394"/>
        <v>0</v>
      </c>
      <c r="AQ487" s="451">
        <f t="shared" si="395"/>
        <v>0</v>
      </c>
      <c r="AR487" s="451">
        <f t="shared" si="395"/>
        <v>0</v>
      </c>
      <c r="AS487" s="451">
        <f t="shared" si="395"/>
        <v>0</v>
      </c>
      <c r="AT487" s="451">
        <f t="shared" si="395"/>
        <v>0</v>
      </c>
      <c r="AU487" s="451">
        <f t="shared" si="395"/>
        <v>0</v>
      </c>
      <c r="AV487" s="451">
        <f t="shared" si="395"/>
        <v>90588468.659999996</v>
      </c>
      <c r="AW487" s="451">
        <f t="shared" si="395"/>
        <v>90588469</v>
      </c>
      <c r="AY487" s="451">
        <f t="shared" si="396"/>
        <v>1465599</v>
      </c>
      <c r="AZ487" s="451">
        <f t="shared" si="396"/>
        <v>1879890</v>
      </c>
      <c r="BA487" s="451">
        <f t="shared" si="396"/>
        <v>3661562</v>
      </c>
      <c r="BB487" s="451">
        <f t="shared" si="396"/>
        <v>0</v>
      </c>
      <c r="BC487" s="451">
        <f t="shared" si="396"/>
        <v>0</v>
      </c>
      <c r="BD487" s="451">
        <f t="shared" si="396"/>
        <v>97595520</v>
      </c>
      <c r="BE487" s="451">
        <f t="shared" si="396"/>
        <v>97595519.659999996</v>
      </c>
      <c r="BF487" s="451">
        <f t="shared" si="396"/>
        <v>0.34000000171363354</v>
      </c>
      <c r="BG487" s="451">
        <f t="shared" si="396"/>
        <v>31721294.420000002</v>
      </c>
      <c r="BH487" s="451">
        <f t="shared" si="396"/>
        <v>7370923.1900000013</v>
      </c>
    </row>
    <row r="488" spans="4:60">
      <c r="E488" s="403" t="s">
        <v>70</v>
      </c>
      <c r="F488" s="432">
        <f>F486-F487</f>
        <v>2383</v>
      </c>
      <c r="G488" s="432">
        <f>G486-G487</f>
        <v>5</v>
      </c>
      <c r="K488" s="431">
        <f>K486-K487</f>
        <v>98752929</v>
      </c>
      <c r="L488" s="409"/>
      <c r="M488" s="965">
        <f>M486-M487</f>
        <v>0</v>
      </c>
      <c r="N488" s="965">
        <f>N486-N487</f>
        <v>-1810566.3900000001</v>
      </c>
      <c r="O488" s="965">
        <f>O486-O487</f>
        <v>1415277.65</v>
      </c>
      <c r="AG488" s="448">
        <f t="shared" ref="AG488:AW488" si="397">AG486-AG487</f>
        <v>214920</v>
      </c>
      <c r="AH488" s="448">
        <f t="shared" si="397"/>
        <v>3519554.3900000006</v>
      </c>
      <c r="AI488" s="448">
        <f t="shared" si="397"/>
        <v>0</v>
      </c>
      <c r="AJ488" s="448">
        <f t="shared" si="397"/>
        <v>-23899476.359999996</v>
      </c>
      <c r="AK488" s="448">
        <f t="shared" si="397"/>
        <v>21653748.040000003</v>
      </c>
      <c r="AL488" s="448">
        <f t="shared" si="397"/>
        <v>2007.5</v>
      </c>
      <c r="AM488" s="448">
        <f t="shared" si="397"/>
        <v>401723.25</v>
      </c>
      <c r="AN488" s="448">
        <f t="shared" si="397"/>
        <v>4973228.7700000005</v>
      </c>
      <c r="AO488" s="448">
        <f t="shared" si="397"/>
        <v>3131231.1999999806</v>
      </c>
      <c r="AP488" s="448">
        <f t="shared" si="397"/>
        <v>-7079.82</v>
      </c>
      <c r="AQ488" s="448">
        <f t="shared" si="397"/>
        <v>-1125.0600000000002</v>
      </c>
      <c r="AR488" s="448">
        <f t="shared" si="397"/>
        <v>-343203.89</v>
      </c>
      <c r="AS488" s="448">
        <f t="shared" si="397"/>
        <v>0</v>
      </c>
      <c r="AT488" s="448">
        <f t="shared" si="397"/>
        <v>0</v>
      </c>
      <c r="AU488" s="448">
        <f t="shared" si="397"/>
        <v>0</v>
      </c>
      <c r="AV488" s="448">
        <f t="shared" si="397"/>
        <v>6514296.8199999928</v>
      </c>
      <c r="AW488" s="448">
        <f t="shared" si="397"/>
        <v>6514296.4799999893</v>
      </c>
      <c r="AY488" s="448">
        <f t="shared" ref="AY488:BH488" si="398">AY486-AY487</f>
        <v>1643173.9600000009</v>
      </c>
      <c r="AZ488" s="448">
        <f t="shared" si="398"/>
        <v>-605117.7799999998</v>
      </c>
      <c r="BA488" s="448">
        <f t="shared" si="398"/>
        <v>-897033.63999999966</v>
      </c>
      <c r="BB488" s="448">
        <f t="shared" si="398"/>
        <v>0</v>
      </c>
      <c r="BC488" s="448">
        <f t="shared" si="398"/>
        <v>0</v>
      </c>
      <c r="BD488" s="448">
        <f t="shared" si="398"/>
        <v>6655319.0200000107</v>
      </c>
      <c r="BE488" s="448">
        <f t="shared" si="398"/>
        <v>6655319.3599999994</v>
      </c>
      <c r="BF488" s="448">
        <f t="shared" si="398"/>
        <v>-0.34000000171363354</v>
      </c>
      <c r="BG488" s="448">
        <f t="shared" si="398"/>
        <v>2855934.7100000009</v>
      </c>
      <c r="BH488" s="448">
        <f t="shared" si="398"/>
        <v>662494.61999999825</v>
      </c>
    </row>
    <row r="490" spans="4:60">
      <c r="D490" s="410" t="s">
        <v>221</v>
      </c>
      <c r="E490" s="403" t="s">
        <v>692</v>
      </c>
      <c r="F490" s="432">
        <f>SUMIFS(F$4:F$471,_12MonResults_RateClass,$D490,_12MonResults_Period,$E490)</f>
        <v>1274</v>
      </c>
      <c r="G490" s="432">
        <f>SUMIFS(G$4:G$471,_12MonResults_RateClass,$D490,_12MonResults_Period,$E490)</f>
        <v>14</v>
      </c>
      <c r="J490" s="432"/>
      <c r="K490" s="431">
        <f>SUMIFS(K$4:K$471,_12MonResults_RateClass,$D490,_12MonResults_Period,$E490)</f>
        <v>2115896619</v>
      </c>
      <c r="M490" s="597">
        <f t="shared" ref="M490:O491" si="399">SUMIFS(M$4:M$471,_12MonResults_RateClass,$D490,_12MonResults_Period,$E490)</f>
        <v>4553435.6999999993</v>
      </c>
      <c r="N490" s="597">
        <f t="shared" si="399"/>
        <v>4522038.8999999994</v>
      </c>
      <c r="O490" s="597">
        <f t="shared" si="399"/>
        <v>4442636.9000000004</v>
      </c>
      <c r="AG490" s="451">
        <f t="shared" ref="AG490:AP491" si="400">SUMIFS(AG$4:AG$471,_12MonResults_RateClass,$D490,_12MonResults_Period,$E490)</f>
        <v>386400</v>
      </c>
      <c r="AH490" s="451">
        <f t="shared" si="400"/>
        <v>79663507.699999988</v>
      </c>
      <c r="AI490" s="451">
        <f t="shared" si="400"/>
        <v>7786375.04</v>
      </c>
      <c r="AJ490" s="451">
        <f t="shared" si="400"/>
        <v>12480827.380000001</v>
      </c>
      <c r="AK490" s="451">
        <f t="shared" si="400"/>
        <v>18925633.18</v>
      </c>
      <c r="AL490" s="451">
        <f t="shared" si="400"/>
        <v>66340.319999999992</v>
      </c>
      <c r="AM490" s="451">
        <f t="shared" si="400"/>
        <v>0</v>
      </c>
      <c r="AN490" s="451">
        <f t="shared" si="400"/>
        <v>423977.68999999994</v>
      </c>
      <c r="AO490" s="451">
        <f t="shared" si="400"/>
        <v>39683153.609999999</v>
      </c>
      <c r="AP490" s="451">
        <f t="shared" si="400"/>
        <v>-610.80000000000018</v>
      </c>
      <c r="AQ490" s="451">
        <f t="shared" ref="AQ490:AW491" si="401">SUMIFS(AQ$4:AQ$471,_12MonResults_RateClass,$D490,_12MonResults_Period,$E490)</f>
        <v>0.28999999999999998</v>
      </c>
      <c r="AR490" s="451">
        <f t="shared" si="401"/>
        <v>27639.870000000192</v>
      </c>
      <c r="AS490" s="451">
        <f t="shared" si="401"/>
        <v>0</v>
      </c>
      <c r="AT490" s="451">
        <f t="shared" si="401"/>
        <v>0</v>
      </c>
      <c r="AU490" s="451">
        <f t="shared" si="401"/>
        <v>0</v>
      </c>
      <c r="AV490" s="451">
        <f t="shared" si="401"/>
        <v>119760090.67</v>
      </c>
      <c r="AW490" s="451">
        <f t="shared" si="401"/>
        <v>119760090.67</v>
      </c>
      <c r="AY490" s="451">
        <f t="shared" ref="AY490:BH491" si="402">SUMIFS(AY$4:AY$471,_12MonResults_RateClass,$D490,_12MonResults_Period,$E490)</f>
        <v>5498714.3300000001</v>
      </c>
      <c r="AZ490" s="451">
        <f t="shared" si="402"/>
        <v>515273.29999999993</v>
      </c>
      <c r="BA490" s="451">
        <f t="shared" si="402"/>
        <v>2597339.58</v>
      </c>
      <c r="BB490" s="451">
        <f t="shared" si="402"/>
        <v>0</v>
      </c>
      <c r="BC490" s="451">
        <f t="shared" si="402"/>
        <v>0</v>
      </c>
      <c r="BD490" s="451">
        <f t="shared" si="402"/>
        <v>128371417.87999998</v>
      </c>
      <c r="BE490" s="451">
        <f t="shared" si="402"/>
        <v>128371417.87999998</v>
      </c>
      <c r="BF490" s="451">
        <f t="shared" si="402"/>
        <v>0</v>
      </c>
      <c r="BG490" s="451">
        <f t="shared" si="402"/>
        <v>61191730.229999989</v>
      </c>
      <c r="BH490" s="451">
        <f t="shared" si="402"/>
        <v>18471777.759999998</v>
      </c>
    </row>
    <row r="491" spans="4:60">
      <c r="D491" s="403" t="str">
        <f>D490</f>
        <v>TODP</v>
      </c>
      <c r="E491" s="403" t="s">
        <v>1490</v>
      </c>
      <c r="F491" s="432">
        <f>SUMIFS(F$4:F$471,_12MonResults_RateClass,$D491,_12MonResults_Period,$E491)</f>
        <v>1410</v>
      </c>
      <c r="G491" s="432">
        <f>SUMIFS(G$4:G$471,_12MonResults_RateClass,$D491,_12MonResults_Period,$E491)</f>
        <v>0</v>
      </c>
      <c r="K491" s="431">
        <f>SUMIFS(K$4:K$471,_12MonResults_RateClass,$D491,_12MonResults_Period,$E491)</f>
        <v>2083854356</v>
      </c>
      <c r="M491" s="597">
        <f t="shared" si="399"/>
        <v>4640477.4100000011</v>
      </c>
      <c r="N491" s="597">
        <f t="shared" si="399"/>
        <v>4429403.5599999996</v>
      </c>
      <c r="O491" s="597">
        <f t="shared" si="399"/>
        <v>4350382.6399999997</v>
      </c>
      <c r="AG491" s="451">
        <f t="shared" si="400"/>
        <v>423000</v>
      </c>
      <c r="AH491" s="451">
        <f t="shared" si="400"/>
        <v>78457116.489999995</v>
      </c>
      <c r="AI491" s="451">
        <f t="shared" si="400"/>
        <v>7935216.379999999</v>
      </c>
      <c r="AJ491" s="451">
        <f t="shared" si="400"/>
        <v>12225153.82</v>
      </c>
      <c r="AK491" s="451">
        <f t="shared" si="400"/>
        <v>18532630.050000001</v>
      </c>
      <c r="AL491" s="451">
        <f t="shared" si="400"/>
        <v>0</v>
      </c>
      <c r="AM491" s="451">
        <f t="shared" si="400"/>
        <v>0</v>
      </c>
      <c r="AN491" s="451">
        <f t="shared" si="400"/>
        <v>0</v>
      </c>
      <c r="AO491" s="451">
        <f t="shared" si="400"/>
        <v>38693000.250000007</v>
      </c>
      <c r="AP491" s="451">
        <f t="shared" si="400"/>
        <v>0</v>
      </c>
      <c r="AQ491" s="451">
        <f t="shared" si="401"/>
        <v>0</v>
      </c>
      <c r="AR491" s="451">
        <f t="shared" si="401"/>
        <v>0</v>
      </c>
      <c r="AS491" s="451">
        <f t="shared" si="401"/>
        <v>0</v>
      </c>
      <c r="AT491" s="451">
        <f t="shared" si="401"/>
        <v>0</v>
      </c>
      <c r="AU491" s="451">
        <f t="shared" si="401"/>
        <v>0</v>
      </c>
      <c r="AV491" s="451">
        <f t="shared" si="401"/>
        <v>117573116.74000001</v>
      </c>
      <c r="AW491" s="451">
        <f t="shared" si="401"/>
        <v>117573118</v>
      </c>
      <c r="AY491" s="451">
        <f t="shared" si="402"/>
        <v>2943863</v>
      </c>
      <c r="AZ491" s="451">
        <f t="shared" si="402"/>
        <v>3561250</v>
      </c>
      <c r="BA491" s="451">
        <f t="shared" si="402"/>
        <v>6997897</v>
      </c>
      <c r="BB491" s="451">
        <f t="shared" si="402"/>
        <v>0</v>
      </c>
      <c r="BC491" s="451">
        <f t="shared" si="402"/>
        <v>0</v>
      </c>
      <c r="BD491" s="451">
        <f t="shared" si="402"/>
        <v>131076128</v>
      </c>
      <c r="BE491" s="451">
        <f t="shared" si="402"/>
        <v>131076126.74000001</v>
      </c>
      <c r="BF491" s="451">
        <f t="shared" si="402"/>
        <v>1.25999999884516</v>
      </c>
      <c r="BG491" s="451">
        <f t="shared" si="402"/>
        <v>60265067.989999995</v>
      </c>
      <c r="BH491" s="451">
        <f t="shared" si="402"/>
        <v>18192048.5</v>
      </c>
    </row>
    <row r="492" spans="4:60">
      <c r="E492" s="403" t="s">
        <v>70</v>
      </c>
      <c r="F492" s="432">
        <f>F490-F491</f>
        <v>-136</v>
      </c>
      <c r="G492" s="432">
        <f>G490-G491</f>
        <v>14</v>
      </c>
      <c r="K492" s="431">
        <f>K490-K491</f>
        <v>32042263</v>
      </c>
      <c r="L492" s="409"/>
      <c r="M492" s="965">
        <f>M490-M491</f>
        <v>-87041.710000001825</v>
      </c>
      <c r="N492" s="965">
        <f>N490-N491</f>
        <v>92635.339999999851</v>
      </c>
      <c r="O492" s="965">
        <f>O490-O491</f>
        <v>92254.260000000708</v>
      </c>
      <c r="AG492" s="448">
        <f t="shared" ref="AG492:AW492" si="403">AG490-AG491</f>
        <v>-36600</v>
      </c>
      <c r="AH492" s="448">
        <f t="shared" si="403"/>
        <v>1206391.2099999934</v>
      </c>
      <c r="AI492" s="448">
        <f t="shared" si="403"/>
        <v>-148841.33999999892</v>
      </c>
      <c r="AJ492" s="448">
        <f t="shared" si="403"/>
        <v>255673.56000000052</v>
      </c>
      <c r="AK492" s="448">
        <f t="shared" si="403"/>
        <v>393003.12999999896</v>
      </c>
      <c r="AL492" s="448">
        <f t="shared" si="403"/>
        <v>66340.319999999992</v>
      </c>
      <c r="AM492" s="448">
        <f t="shared" si="403"/>
        <v>0</v>
      </c>
      <c r="AN492" s="448">
        <f t="shared" si="403"/>
        <v>423977.68999999994</v>
      </c>
      <c r="AO492" s="448">
        <f t="shared" si="403"/>
        <v>990153.35999999195</v>
      </c>
      <c r="AP492" s="448">
        <f t="shared" si="403"/>
        <v>-610.80000000000018</v>
      </c>
      <c r="AQ492" s="448">
        <f t="shared" si="403"/>
        <v>0.28999999999999998</v>
      </c>
      <c r="AR492" s="448">
        <f t="shared" si="403"/>
        <v>27639.870000000192</v>
      </c>
      <c r="AS492" s="448">
        <f t="shared" si="403"/>
        <v>0</v>
      </c>
      <c r="AT492" s="448">
        <f t="shared" si="403"/>
        <v>0</v>
      </c>
      <c r="AU492" s="448">
        <f t="shared" si="403"/>
        <v>0</v>
      </c>
      <c r="AV492" s="448">
        <f t="shared" si="403"/>
        <v>2186973.9299999923</v>
      </c>
      <c r="AW492" s="448">
        <f t="shared" si="403"/>
        <v>2186972.6700000018</v>
      </c>
      <c r="AY492" s="448">
        <f t="shared" ref="AY492:BH492" si="404">AY490-AY491</f>
        <v>2554851.33</v>
      </c>
      <c r="AZ492" s="448">
        <f t="shared" si="404"/>
        <v>-3045976.7</v>
      </c>
      <c r="BA492" s="448">
        <f t="shared" si="404"/>
        <v>-4400557.42</v>
      </c>
      <c r="BB492" s="448">
        <f t="shared" si="404"/>
        <v>0</v>
      </c>
      <c r="BC492" s="448">
        <f t="shared" si="404"/>
        <v>0</v>
      </c>
      <c r="BD492" s="448">
        <f t="shared" si="404"/>
        <v>-2704710.1200000197</v>
      </c>
      <c r="BE492" s="448">
        <f t="shared" si="404"/>
        <v>-2704708.8600000292</v>
      </c>
      <c r="BF492" s="448">
        <f t="shared" si="404"/>
        <v>-1.25999999884516</v>
      </c>
      <c r="BG492" s="448">
        <f t="shared" si="404"/>
        <v>926662.23999999464</v>
      </c>
      <c r="BH492" s="448">
        <f t="shared" si="404"/>
        <v>279729.25999999791</v>
      </c>
    </row>
    <row r="494" spans="4:60">
      <c r="D494" s="410" t="s">
        <v>220</v>
      </c>
      <c r="E494" s="403" t="s">
        <v>692</v>
      </c>
      <c r="F494" s="432">
        <f>SUMIFS(F$4:F$471,_12MonResults_RateClass,$D494,_12MonResults_Period,$E494)</f>
        <v>2692</v>
      </c>
      <c r="G494" s="432">
        <f>SUMIFS(G$4:G$471,_12MonResults_RateClass,$D494,_12MonResults_Period,$E494)</f>
        <v>29</v>
      </c>
      <c r="J494" s="432"/>
      <c r="K494" s="431">
        <f>SUMIFS(K$4:K$471,_12MonResults_RateClass,$D494,_12MonResults_Period,$E494)</f>
        <v>647720434</v>
      </c>
      <c r="M494" s="597">
        <f t="shared" ref="M494:O495" si="405">SUMIFS(M$4:M$471,_12MonResults_RateClass,$D494,_12MonResults_Period,$E494)</f>
        <v>1465496.6</v>
      </c>
      <c r="N494" s="597">
        <f t="shared" si="405"/>
        <v>1449777.6</v>
      </c>
      <c r="O494" s="597">
        <f t="shared" si="405"/>
        <v>1418738.9000000001</v>
      </c>
      <c r="AG494" s="451">
        <f t="shared" ref="AG494:AP495" si="406">SUMIFS(AG$4:AG$471,_12MonResults_RateClass,$D494,_12MonResults_Period,$E494)</f>
        <v>544200</v>
      </c>
      <c r="AH494" s="451">
        <f t="shared" si="406"/>
        <v>24438491.990000002</v>
      </c>
      <c r="AI494" s="451">
        <f t="shared" si="406"/>
        <v>5305097.6900000004</v>
      </c>
      <c r="AJ494" s="451">
        <f t="shared" si="406"/>
        <v>4276843.93</v>
      </c>
      <c r="AK494" s="451">
        <f t="shared" si="406"/>
        <v>6455262</v>
      </c>
      <c r="AL494" s="451">
        <f t="shared" si="406"/>
        <v>47681.79</v>
      </c>
      <c r="AM494" s="451">
        <f t="shared" si="406"/>
        <v>576760.23</v>
      </c>
      <c r="AN494" s="451">
        <f t="shared" si="406"/>
        <v>502411.52000000002</v>
      </c>
      <c r="AO494" s="451">
        <f t="shared" si="406"/>
        <v>17164057.160000004</v>
      </c>
      <c r="AP494" s="451">
        <f t="shared" si="406"/>
        <v>-5635.2000000000007</v>
      </c>
      <c r="AQ494" s="451">
        <f t="shared" ref="AQ494:AW495" si="407">SUMIFS(AQ$4:AQ$471,_12MonResults_RateClass,$D494,_12MonResults_Period,$E494)</f>
        <v>0.83000000000000007</v>
      </c>
      <c r="AR494" s="451">
        <f t="shared" si="407"/>
        <v>151860.21</v>
      </c>
      <c r="AS494" s="451">
        <f t="shared" si="407"/>
        <v>0</v>
      </c>
      <c r="AT494" s="451">
        <f t="shared" si="407"/>
        <v>0</v>
      </c>
      <c r="AU494" s="451">
        <f t="shared" si="407"/>
        <v>0</v>
      </c>
      <c r="AV494" s="451">
        <f t="shared" si="407"/>
        <v>42292974.989999995</v>
      </c>
      <c r="AW494" s="451">
        <f t="shared" si="407"/>
        <v>42292974.989999995</v>
      </c>
      <c r="AY494" s="451">
        <f t="shared" ref="AY494:BH495" si="408">SUMIFS(AY$4:AY$471,_12MonResults_RateClass,$D494,_12MonResults_Period,$E494)</f>
        <v>1646633.73</v>
      </c>
      <c r="AZ494" s="451">
        <f t="shared" si="408"/>
        <v>460790.42</v>
      </c>
      <c r="BA494" s="451">
        <f t="shared" si="408"/>
        <v>1050262.99</v>
      </c>
      <c r="BB494" s="451">
        <f t="shared" si="408"/>
        <v>0</v>
      </c>
      <c r="BC494" s="451">
        <f t="shared" si="408"/>
        <v>0</v>
      </c>
      <c r="BD494" s="451">
        <f t="shared" si="408"/>
        <v>45450662.130000003</v>
      </c>
      <c r="BE494" s="451">
        <f t="shared" si="408"/>
        <v>45450662.129999988</v>
      </c>
      <c r="BF494" s="451">
        <f t="shared" si="408"/>
        <v>0</v>
      </c>
      <c r="BG494" s="451">
        <f t="shared" si="408"/>
        <v>18732074.949999999</v>
      </c>
      <c r="BH494" s="451">
        <f t="shared" si="408"/>
        <v>5706417.8700000001</v>
      </c>
    </row>
    <row r="495" spans="4:60">
      <c r="D495" s="403" t="str">
        <f>D494</f>
        <v>TODS</v>
      </c>
      <c r="E495" s="403" t="s">
        <v>1490</v>
      </c>
      <c r="F495" s="432">
        <f>SUMIFS(F$4:F$471,_12MonResults_RateClass,$D495,_12MonResults_Period,$E495)</f>
        <v>2721</v>
      </c>
      <c r="G495" s="432">
        <f>SUMIFS(G$4:G$471,_12MonResults_RateClass,$D495,_12MonResults_Period,$E495)</f>
        <v>0</v>
      </c>
      <c r="K495" s="431">
        <f>SUMIFS(K$4:K$471,_12MonResults_RateClass,$D495,_12MonResults_Period,$E495)</f>
        <v>721563506</v>
      </c>
      <c r="M495" s="597">
        <f t="shared" si="405"/>
        <v>1765527.93</v>
      </c>
      <c r="N495" s="597">
        <f t="shared" si="405"/>
        <v>1615609.57</v>
      </c>
      <c r="O495" s="597">
        <f t="shared" si="405"/>
        <v>1580328.01</v>
      </c>
      <c r="AG495" s="451">
        <f t="shared" si="406"/>
        <v>544200</v>
      </c>
      <c r="AH495" s="451">
        <f t="shared" si="406"/>
        <v>27224591.080000006</v>
      </c>
      <c r="AI495" s="451">
        <f t="shared" si="406"/>
        <v>6391211.1099999994</v>
      </c>
      <c r="AJ495" s="451">
        <f t="shared" si="406"/>
        <v>4766048.2300000004</v>
      </c>
      <c r="AK495" s="451">
        <f t="shared" si="406"/>
        <v>7190492.4499999993</v>
      </c>
      <c r="AL495" s="451">
        <f t="shared" si="406"/>
        <v>0</v>
      </c>
      <c r="AM495" s="451">
        <f t="shared" si="406"/>
        <v>0</v>
      </c>
      <c r="AN495" s="451">
        <f t="shared" si="406"/>
        <v>0</v>
      </c>
      <c r="AO495" s="451">
        <f t="shared" si="406"/>
        <v>18347751.789999999</v>
      </c>
      <c r="AP495" s="451">
        <f t="shared" si="406"/>
        <v>0</v>
      </c>
      <c r="AQ495" s="451">
        <f t="shared" si="407"/>
        <v>0</v>
      </c>
      <c r="AR495" s="451">
        <f t="shared" si="407"/>
        <v>0</v>
      </c>
      <c r="AS495" s="451">
        <f t="shared" si="407"/>
        <v>0</v>
      </c>
      <c r="AT495" s="451">
        <f t="shared" si="407"/>
        <v>0</v>
      </c>
      <c r="AU495" s="451">
        <f t="shared" si="407"/>
        <v>0</v>
      </c>
      <c r="AV495" s="451">
        <f t="shared" si="407"/>
        <v>46116542.870000005</v>
      </c>
      <c r="AW495" s="451">
        <f t="shared" si="407"/>
        <v>46116543</v>
      </c>
      <c r="AY495" s="451">
        <f t="shared" si="408"/>
        <v>995043</v>
      </c>
      <c r="AZ495" s="451">
        <f t="shared" si="408"/>
        <v>1228931</v>
      </c>
      <c r="BA495" s="451">
        <f t="shared" si="408"/>
        <v>2412141</v>
      </c>
      <c r="BB495" s="451">
        <f t="shared" si="408"/>
        <v>0</v>
      </c>
      <c r="BC495" s="451">
        <f t="shared" si="408"/>
        <v>0</v>
      </c>
      <c r="BD495" s="451">
        <f t="shared" si="408"/>
        <v>50752658</v>
      </c>
      <c r="BE495" s="451">
        <f t="shared" si="408"/>
        <v>50752657.86999999</v>
      </c>
      <c r="BF495" s="451">
        <f t="shared" si="408"/>
        <v>0.13000000268220901</v>
      </c>
      <c r="BG495" s="451">
        <f t="shared" si="408"/>
        <v>20867616.599999998</v>
      </c>
      <c r="BH495" s="451">
        <f t="shared" si="408"/>
        <v>6356974.4800000004</v>
      </c>
    </row>
    <row r="496" spans="4:60">
      <c r="E496" s="403" t="s">
        <v>70</v>
      </c>
      <c r="F496" s="432">
        <f>F494-F495</f>
        <v>-29</v>
      </c>
      <c r="G496" s="432">
        <f>G494-G495</f>
        <v>29</v>
      </c>
      <c r="K496" s="431">
        <f>K494-K495</f>
        <v>-73843072</v>
      </c>
      <c r="L496" s="409"/>
      <c r="M496" s="965">
        <f>M494-M495</f>
        <v>-300031.32999999984</v>
      </c>
      <c r="N496" s="965">
        <f>N494-N495</f>
        <v>-165831.96999999997</v>
      </c>
      <c r="O496" s="965">
        <f>O494-O495</f>
        <v>-161589.10999999987</v>
      </c>
      <c r="AG496" s="448">
        <f t="shared" ref="AG496:AW496" si="409">AG494-AG495</f>
        <v>0</v>
      </c>
      <c r="AH496" s="448">
        <f t="shared" si="409"/>
        <v>-2786099.0900000036</v>
      </c>
      <c r="AI496" s="448">
        <f t="shared" si="409"/>
        <v>-1086113.419999999</v>
      </c>
      <c r="AJ496" s="448">
        <f t="shared" si="409"/>
        <v>-489204.30000000075</v>
      </c>
      <c r="AK496" s="448">
        <f t="shared" si="409"/>
        <v>-735230.44999999925</v>
      </c>
      <c r="AL496" s="448">
        <f t="shared" si="409"/>
        <v>47681.79</v>
      </c>
      <c r="AM496" s="448">
        <f t="shared" si="409"/>
        <v>576760.23</v>
      </c>
      <c r="AN496" s="448">
        <f t="shared" si="409"/>
        <v>502411.52000000002</v>
      </c>
      <c r="AO496" s="448">
        <f t="shared" si="409"/>
        <v>-1183694.6299999952</v>
      </c>
      <c r="AP496" s="448">
        <f t="shared" si="409"/>
        <v>-5635.2000000000007</v>
      </c>
      <c r="AQ496" s="448">
        <f t="shared" si="409"/>
        <v>0.83000000000000007</v>
      </c>
      <c r="AR496" s="448">
        <f t="shared" si="409"/>
        <v>151860.21</v>
      </c>
      <c r="AS496" s="448">
        <f t="shared" si="409"/>
        <v>0</v>
      </c>
      <c r="AT496" s="448">
        <f t="shared" si="409"/>
        <v>0</v>
      </c>
      <c r="AU496" s="448">
        <f t="shared" si="409"/>
        <v>0</v>
      </c>
      <c r="AV496" s="448">
        <f t="shared" si="409"/>
        <v>-3823567.8800000101</v>
      </c>
      <c r="AW496" s="448">
        <f t="shared" si="409"/>
        <v>-3823568.0100000054</v>
      </c>
      <c r="AY496" s="448">
        <f t="shared" ref="AY496:BH496" si="410">AY494-AY495</f>
        <v>651590.73</v>
      </c>
      <c r="AZ496" s="448">
        <f t="shared" si="410"/>
        <v>-768140.58000000007</v>
      </c>
      <c r="BA496" s="448">
        <f t="shared" si="410"/>
        <v>-1361878.01</v>
      </c>
      <c r="BB496" s="448">
        <f t="shared" si="410"/>
        <v>0</v>
      </c>
      <c r="BC496" s="448">
        <f t="shared" si="410"/>
        <v>0</v>
      </c>
      <c r="BD496" s="448">
        <f t="shared" si="410"/>
        <v>-5301995.8699999973</v>
      </c>
      <c r="BE496" s="448">
        <f t="shared" si="410"/>
        <v>-5301995.7400000021</v>
      </c>
      <c r="BF496" s="448">
        <f t="shared" si="410"/>
        <v>-0.13000000268220901</v>
      </c>
      <c r="BG496" s="448">
        <f t="shared" si="410"/>
        <v>-2135541.6499999985</v>
      </c>
      <c r="BH496" s="448">
        <f t="shared" si="410"/>
        <v>-650556.61000000034</v>
      </c>
    </row>
    <row r="498" spans="4:60">
      <c r="D498" s="410" t="s">
        <v>28</v>
      </c>
      <c r="E498" s="403" t="s">
        <v>692</v>
      </c>
      <c r="F498" s="432">
        <f>SUMIFS(F$4:F$471,_12MonResults_RateClass,$D498,_12MonResults_Period,$E498)</f>
        <v>6</v>
      </c>
      <c r="G498" s="432">
        <f>SUMIFS(G$4:G$471,_12MonResults_RateClass,$D498,_12MonResults_Period,$E498)</f>
        <v>0</v>
      </c>
      <c r="J498" s="432"/>
      <c r="K498" s="431">
        <f>SUMIFS(K$4:K$471,_12MonResults_RateClass,$D498,_12MonResults_Period,$E498)</f>
        <v>285984000</v>
      </c>
      <c r="M498" s="597">
        <f t="shared" ref="M498:O499" si="411">SUMIFS(M$4:M$471,_12MonResults_RateClass,$D498,_12MonResults_Period,$E498)</f>
        <v>1120530</v>
      </c>
      <c r="N498" s="597">
        <f t="shared" si="411"/>
        <v>1120530</v>
      </c>
      <c r="O498" s="597">
        <f t="shared" si="411"/>
        <v>781183.1</v>
      </c>
      <c r="AG498" s="451">
        <f t="shared" ref="AG498:AP499" si="412">SUMIFS(AG$4:AG$471,_12MonResults_RateClass,$D498,_12MonResults_Period,$E498)</f>
        <v>4500</v>
      </c>
      <c r="AH498" s="451">
        <f t="shared" si="412"/>
        <v>9325938.2399999984</v>
      </c>
      <c r="AI498" s="451">
        <f t="shared" si="412"/>
        <v>1176556.52</v>
      </c>
      <c r="AJ498" s="451">
        <f t="shared" si="412"/>
        <v>1703205.5999999999</v>
      </c>
      <c r="AK498" s="451">
        <f t="shared" si="412"/>
        <v>1882651.2799999998</v>
      </c>
      <c r="AL498" s="451">
        <f t="shared" si="412"/>
        <v>0</v>
      </c>
      <c r="AM498" s="451">
        <f t="shared" si="412"/>
        <v>0</v>
      </c>
      <c r="AN498" s="451">
        <f t="shared" si="412"/>
        <v>0</v>
      </c>
      <c r="AO498" s="451">
        <f t="shared" si="412"/>
        <v>4762413.4000000004</v>
      </c>
      <c r="AP498" s="451">
        <f t="shared" si="412"/>
        <v>0</v>
      </c>
      <c r="AQ498" s="451">
        <f t="shared" ref="AQ498:AW499" si="413">SUMIFS(AQ$4:AQ$471,_12MonResults_RateClass,$D498,_12MonResults_Period,$E498)</f>
        <v>0</v>
      </c>
      <c r="AR498" s="451">
        <f t="shared" si="413"/>
        <v>0</v>
      </c>
      <c r="AS498" s="451">
        <f t="shared" si="413"/>
        <v>0</v>
      </c>
      <c r="AT498" s="451">
        <f t="shared" si="413"/>
        <v>0</v>
      </c>
      <c r="AU498" s="451">
        <f t="shared" si="413"/>
        <v>0</v>
      </c>
      <c r="AV498" s="451">
        <f t="shared" si="413"/>
        <v>14092851.640000001</v>
      </c>
      <c r="AW498" s="451">
        <f t="shared" si="413"/>
        <v>14092851.640000001</v>
      </c>
      <c r="AY498" s="451">
        <f t="shared" ref="AY498:BH499" si="414">SUMIFS(AY$4:AY$471,_12MonResults_RateClass,$D498,_12MonResults_Period,$E498)</f>
        <v>746707.67999999993</v>
      </c>
      <c r="AZ498" s="451">
        <f t="shared" si="414"/>
        <v>0</v>
      </c>
      <c r="BA498" s="451">
        <f t="shared" si="414"/>
        <v>247602.63000000003</v>
      </c>
      <c r="BB498" s="451">
        <f t="shared" si="414"/>
        <v>0</v>
      </c>
      <c r="BC498" s="451">
        <f t="shared" si="414"/>
        <v>0</v>
      </c>
      <c r="BD498" s="451">
        <f t="shared" si="414"/>
        <v>15087161.949999999</v>
      </c>
      <c r="BE498" s="451">
        <f t="shared" si="414"/>
        <v>15087161.949999999</v>
      </c>
      <c r="BF498" s="451">
        <f t="shared" si="414"/>
        <v>0</v>
      </c>
      <c r="BG498" s="451">
        <f t="shared" si="414"/>
        <v>8270657.2800000012</v>
      </c>
      <c r="BH498" s="451">
        <f t="shared" si="414"/>
        <v>1055280.96</v>
      </c>
    </row>
    <row r="499" spans="4:60">
      <c r="D499" s="403" t="str">
        <f>D498</f>
        <v>FLST</v>
      </c>
      <c r="E499" s="403" t="s">
        <v>1490</v>
      </c>
      <c r="F499" s="432">
        <f>SUMIFS(F$4:F$471,_12MonResults_RateClass,$D499,_12MonResults_Period,$E499)</f>
        <v>6</v>
      </c>
      <c r="G499" s="432">
        <f>SUMIFS(G$4:G$471,_12MonResults_RateClass,$D499,_12MonResults_Period,$E499)</f>
        <v>0</v>
      </c>
      <c r="K499" s="431">
        <f>SUMIFS(K$4:K$471,_12MonResults_RateClass,$D499,_12MonResults_Period,$E499)</f>
        <v>279223068</v>
      </c>
      <c r="M499" s="597">
        <f t="shared" si="411"/>
        <v>1110945.6000000001</v>
      </c>
      <c r="N499" s="597">
        <f t="shared" si="411"/>
        <v>1110945.6000000001</v>
      </c>
      <c r="O499" s="597">
        <f t="shared" si="411"/>
        <v>608325.6</v>
      </c>
      <c r="AG499" s="451">
        <f t="shared" si="412"/>
        <v>4500</v>
      </c>
      <c r="AH499" s="451">
        <f t="shared" si="412"/>
        <v>9105464.2599999998</v>
      </c>
      <c r="AI499" s="451">
        <f t="shared" si="412"/>
        <v>1166492.8800000001</v>
      </c>
      <c r="AJ499" s="451">
        <f t="shared" si="412"/>
        <v>1688637.3</v>
      </c>
      <c r="AK499" s="451">
        <f t="shared" si="412"/>
        <v>1466064.7200000002</v>
      </c>
      <c r="AL499" s="451">
        <f t="shared" si="412"/>
        <v>0</v>
      </c>
      <c r="AM499" s="451">
        <f t="shared" si="412"/>
        <v>0</v>
      </c>
      <c r="AN499" s="451">
        <f t="shared" si="412"/>
        <v>0</v>
      </c>
      <c r="AO499" s="451">
        <f t="shared" si="412"/>
        <v>4321194.9000000004</v>
      </c>
      <c r="AP499" s="451">
        <f t="shared" si="412"/>
        <v>0</v>
      </c>
      <c r="AQ499" s="451">
        <f t="shared" si="413"/>
        <v>0</v>
      </c>
      <c r="AR499" s="451">
        <f t="shared" si="413"/>
        <v>0</v>
      </c>
      <c r="AS499" s="451">
        <f t="shared" si="413"/>
        <v>0</v>
      </c>
      <c r="AT499" s="451">
        <f t="shared" si="413"/>
        <v>0</v>
      </c>
      <c r="AU499" s="451">
        <f t="shared" si="413"/>
        <v>0</v>
      </c>
      <c r="AV499" s="451">
        <f t="shared" si="413"/>
        <v>13431159.16</v>
      </c>
      <c r="AW499" s="451">
        <f t="shared" si="413"/>
        <v>13431159</v>
      </c>
      <c r="AY499" s="451">
        <f t="shared" si="414"/>
        <v>419224</v>
      </c>
      <c r="AZ499" s="451">
        <f t="shared" si="414"/>
        <v>0</v>
      </c>
      <c r="BA499" s="451">
        <f t="shared" si="414"/>
        <v>937823</v>
      </c>
      <c r="BB499" s="451">
        <f t="shared" si="414"/>
        <v>0</v>
      </c>
      <c r="BC499" s="451">
        <f t="shared" si="414"/>
        <v>0</v>
      </c>
      <c r="BD499" s="451">
        <f t="shared" si="414"/>
        <v>14788206</v>
      </c>
      <c r="BE499" s="451">
        <f t="shared" si="414"/>
        <v>14788206.16</v>
      </c>
      <c r="BF499" s="451">
        <f t="shared" si="414"/>
        <v>-0.1600000006146729</v>
      </c>
      <c r="BG499" s="451">
        <f t="shared" si="414"/>
        <v>8075131.1200000001</v>
      </c>
      <c r="BH499" s="451">
        <f t="shared" si="414"/>
        <v>1030333.1399999999</v>
      </c>
    </row>
    <row r="500" spans="4:60">
      <c r="E500" s="403" t="s">
        <v>70</v>
      </c>
      <c r="F500" s="432">
        <f>F498-F499</f>
        <v>0</v>
      </c>
      <c r="G500" s="432">
        <f>G498-G499</f>
        <v>0</v>
      </c>
      <c r="K500" s="431">
        <f>K498-K499</f>
        <v>6760932</v>
      </c>
      <c r="L500" s="409"/>
      <c r="M500" s="965">
        <f>M498-M499</f>
        <v>9584.3999999999069</v>
      </c>
      <c r="N500" s="965">
        <f>N498-N499</f>
        <v>9584.3999999999069</v>
      </c>
      <c r="O500" s="965">
        <f>O498-O499</f>
        <v>172857.5</v>
      </c>
      <c r="AG500" s="448">
        <f t="shared" ref="AG500:AW500" si="415">AG498-AG499</f>
        <v>0</v>
      </c>
      <c r="AH500" s="448">
        <f t="shared" si="415"/>
        <v>220473.97999999858</v>
      </c>
      <c r="AI500" s="448">
        <f t="shared" si="415"/>
        <v>10063.639999999898</v>
      </c>
      <c r="AJ500" s="448">
        <f t="shared" si="415"/>
        <v>14568.299999999814</v>
      </c>
      <c r="AK500" s="448">
        <f t="shared" si="415"/>
        <v>416586.55999999959</v>
      </c>
      <c r="AL500" s="448">
        <f t="shared" si="415"/>
        <v>0</v>
      </c>
      <c r="AM500" s="448">
        <f t="shared" si="415"/>
        <v>0</v>
      </c>
      <c r="AN500" s="448">
        <f t="shared" si="415"/>
        <v>0</v>
      </c>
      <c r="AO500" s="448">
        <f t="shared" si="415"/>
        <v>441218.5</v>
      </c>
      <c r="AP500" s="448">
        <f t="shared" si="415"/>
        <v>0</v>
      </c>
      <c r="AQ500" s="448">
        <f t="shared" si="415"/>
        <v>0</v>
      </c>
      <c r="AR500" s="448">
        <f t="shared" si="415"/>
        <v>0</v>
      </c>
      <c r="AS500" s="448">
        <f t="shared" si="415"/>
        <v>0</v>
      </c>
      <c r="AT500" s="448">
        <f t="shared" si="415"/>
        <v>0</v>
      </c>
      <c r="AU500" s="448">
        <f t="shared" si="415"/>
        <v>0</v>
      </c>
      <c r="AV500" s="448">
        <f t="shared" si="415"/>
        <v>661692.48000000045</v>
      </c>
      <c r="AW500" s="448">
        <f t="shared" si="415"/>
        <v>661692.6400000006</v>
      </c>
      <c r="AY500" s="448">
        <f t="shared" ref="AY500:BH500" si="416">AY498-AY499</f>
        <v>327483.67999999993</v>
      </c>
      <c r="AZ500" s="448">
        <f t="shared" si="416"/>
        <v>0</v>
      </c>
      <c r="BA500" s="448">
        <f t="shared" si="416"/>
        <v>-690220.37</v>
      </c>
      <c r="BB500" s="448">
        <f t="shared" si="416"/>
        <v>0</v>
      </c>
      <c r="BC500" s="448">
        <f t="shared" si="416"/>
        <v>0</v>
      </c>
      <c r="BD500" s="448">
        <f t="shared" si="416"/>
        <v>298955.94999999925</v>
      </c>
      <c r="BE500" s="448">
        <f t="shared" si="416"/>
        <v>298955.78999999911</v>
      </c>
      <c r="BF500" s="448">
        <f t="shared" si="416"/>
        <v>0.1600000006146729</v>
      </c>
      <c r="BG500" s="448">
        <f t="shared" si="416"/>
        <v>195526.16000000108</v>
      </c>
      <c r="BH500" s="448">
        <f t="shared" si="416"/>
        <v>24947.820000000065</v>
      </c>
    </row>
    <row r="502" spans="4:60">
      <c r="D502" s="410" t="s">
        <v>1459</v>
      </c>
      <c r="E502" s="403" t="s">
        <v>692</v>
      </c>
      <c r="F502" s="432">
        <f>SUMIFS(F$4:F$471,_12MonResults_RateClass,$D502,_12MonResults_Period,$E502)</f>
        <v>11</v>
      </c>
      <c r="G502" s="432">
        <f>SUMIFS(G$4:G$471,_12MonResults_RateClass,$D502,_12MonResults_Period,$E502)</f>
        <v>0</v>
      </c>
      <c r="J502" s="432"/>
      <c r="K502" s="431">
        <f>SUMIFS(K$4:K$471,_12MonResults_RateClass,$D502,_12MonResults_Period,$E502)</f>
        <v>0</v>
      </c>
      <c r="M502" s="597">
        <f t="shared" ref="M502:O503" si="417">SUMIFS(M$4:M$471,_12MonResults_RateClass,$D502,_12MonResults_Period,$E502)</f>
        <v>0</v>
      </c>
      <c r="N502" s="597">
        <f t="shared" si="417"/>
        <v>0</v>
      </c>
      <c r="O502" s="597">
        <f t="shared" si="417"/>
        <v>0</v>
      </c>
      <c r="AG502" s="451">
        <f t="shared" ref="AG502:AP503" si="418">SUMIFS(AG$4:AG$471,_12MonResults_RateClass,$D502,_12MonResults_Period,$E502)</f>
        <v>0</v>
      </c>
      <c r="AH502" s="451">
        <f t="shared" si="418"/>
        <v>0</v>
      </c>
      <c r="AI502" s="451">
        <f t="shared" si="418"/>
        <v>0</v>
      </c>
      <c r="AJ502" s="451">
        <f t="shared" si="418"/>
        <v>0</v>
      </c>
      <c r="AK502" s="451">
        <f t="shared" si="418"/>
        <v>0</v>
      </c>
      <c r="AL502" s="451">
        <f t="shared" si="418"/>
        <v>0</v>
      </c>
      <c r="AM502" s="451">
        <f t="shared" si="418"/>
        <v>0</v>
      </c>
      <c r="AN502" s="451">
        <f t="shared" si="418"/>
        <v>0</v>
      </c>
      <c r="AO502" s="451">
        <f t="shared" si="418"/>
        <v>0</v>
      </c>
      <c r="AP502" s="451">
        <f t="shared" si="418"/>
        <v>0</v>
      </c>
      <c r="AQ502" s="451">
        <f t="shared" ref="AQ502:AW503" si="419">SUMIFS(AQ$4:AQ$471,_12MonResults_RateClass,$D502,_12MonResults_Period,$E502)</f>
        <v>0</v>
      </c>
      <c r="AR502" s="451">
        <f t="shared" si="419"/>
        <v>0</v>
      </c>
      <c r="AS502" s="451">
        <f t="shared" si="419"/>
        <v>0</v>
      </c>
      <c r="AT502" s="451">
        <f t="shared" si="419"/>
        <v>0</v>
      </c>
      <c r="AU502" s="451">
        <f t="shared" si="419"/>
        <v>0</v>
      </c>
      <c r="AV502" s="451">
        <f t="shared" si="419"/>
        <v>0</v>
      </c>
      <c r="AW502" s="451">
        <f t="shared" si="419"/>
        <v>0</v>
      </c>
      <c r="AY502" s="451">
        <f t="shared" ref="AY502:BH503" si="420">SUMIFS(AY$4:AY$471,_12MonResults_RateClass,$D502,_12MonResults_Period,$E502)</f>
        <v>0</v>
      </c>
      <c r="AZ502" s="451">
        <f t="shared" si="420"/>
        <v>0</v>
      </c>
      <c r="BA502" s="451">
        <f t="shared" si="420"/>
        <v>0</v>
      </c>
      <c r="BB502" s="451">
        <f t="shared" si="420"/>
        <v>0</v>
      </c>
      <c r="BC502" s="451">
        <f t="shared" si="420"/>
        <v>-6079663.5399999991</v>
      </c>
      <c r="BD502" s="451">
        <f t="shared" si="420"/>
        <v>-6079663.5399999991</v>
      </c>
      <c r="BE502" s="451">
        <f t="shared" si="420"/>
        <v>-6079663.5399999991</v>
      </c>
      <c r="BF502" s="451">
        <f t="shared" si="420"/>
        <v>0</v>
      </c>
      <c r="BG502" s="451">
        <f t="shared" si="420"/>
        <v>0</v>
      </c>
      <c r="BH502" s="451">
        <f t="shared" si="420"/>
        <v>0</v>
      </c>
    </row>
    <row r="503" spans="4:60">
      <c r="D503" s="403" t="str">
        <f>D502</f>
        <v>CSR10</v>
      </c>
      <c r="E503" s="403" t="s">
        <v>1490</v>
      </c>
      <c r="F503" s="432">
        <f>SUMIFS(F$4:F$471,_12MonResults_RateClass,$D503,_12MonResults_Period,$E503)</f>
        <v>0</v>
      </c>
      <c r="G503" s="432">
        <f>SUMIFS(G$4:G$471,_12MonResults_RateClass,$D503,_12MonResults_Period,$E503)</f>
        <v>0</v>
      </c>
      <c r="K503" s="431">
        <f>SUMIFS(K$4:K$471,_12MonResults_RateClass,$D503,_12MonResults_Period,$E503)</f>
        <v>0</v>
      </c>
      <c r="M503" s="597">
        <f t="shared" si="417"/>
        <v>0</v>
      </c>
      <c r="N503" s="597">
        <f t="shared" si="417"/>
        <v>0</v>
      </c>
      <c r="O503" s="597">
        <f t="shared" si="417"/>
        <v>0</v>
      </c>
      <c r="AG503" s="451">
        <f t="shared" si="418"/>
        <v>0</v>
      </c>
      <c r="AH503" s="451">
        <f t="shared" si="418"/>
        <v>0</v>
      </c>
      <c r="AI503" s="451">
        <f t="shared" si="418"/>
        <v>0</v>
      </c>
      <c r="AJ503" s="451">
        <f t="shared" si="418"/>
        <v>0</v>
      </c>
      <c r="AK503" s="451">
        <f t="shared" si="418"/>
        <v>0</v>
      </c>
      <c r="AL503" s="451">
        <f t="shared" si="418"/>
        <v>0</v>
      </c>
      <c r="AM503" s="451">
        <f t="shared" si="418"/>
        <v>0</v>
      </c>
      <c r="AN503" s="451">
        <f t="shared" si="418"/>
        <v>0</v>
      </c>
      <c r="AO503" s="451">
        <f t="shared" si="418"/>
        <v>0</v>
      </c>
      <c r="AP503" s="451">
        <f t="shared" si="418"/>
        <v>0</v>
      </c>
      <c r="AQ503" s="451">
        <f t="shared" si="419"/>
        <v>0</v>
      </c>
      <c r="AR503" s="451">
        <f t="shared" si="419"/>
        <v>0</v>
      </c>
      <c r="AS503" s="451">
        <f t="shared" si="419"/>
        <v>0</v>
      </c>
      <c r="AT503" s="451">
        <f t="shared" si="419"/>
        <v>0</v>
      </c>
      <c r="AU503" s="451">
        <f t="shared" si="419"/>
        <v>0</v>
      </c>
      <c r="AV503" s="451">
        <f t="shared" si="419"/>
        <v>0</v>
      </c>
      <c r="AW503" s="451">
        <f t="shared" si="419"/>
        <v>0</v>
      </c>
      <c r="AY503" s="451">
        <f t="shared" si="420"/>
        <v>0</v>
      </c>
      <c r="AZ503" s="451">
        <f t="shared" si="420"/>
        <v>0</v>
      </c>
      <c r="BA503" s="451">
        <f t="shared" si="420"/>
        <v>0</v>
      </c>
      <c r="BB503" s="451">
        <f t="shared" si="420"/>
        <v>0</v>
      </c>
      <c r="BC503" s="451">
        <f t="shared" si="420"/>
        <v>-5938974</v>
      </c>
      <c r="BD503" s="451">
        <f t="shared" si="420"/>
        <v>-5938974</v>
      </c>
      <c r="BE503" s="451">
        <f t="shared" si="420"/>
        <v>-5938974</v>
      </c>
      <c r="BF503" s="451">
        <f t="shared" si="420"/>
        <v>0</v>
      </c>
      <c r="BG503" s="451">
        <f t="shared" si="420"/>
        <v>0</v>
      </c>
      <c r="BH503" s="451">
        <f t="shared" si="420"/>
        <v>0</v>
      </c>
    </row>
    <row r="504" spans="4:60">
      <c r="E504" s="403" t="s">
        <v>70</v>
      </c>
      <c r="F504" s="432">
        <f>F502-F503</f>
        <v>11</v>
      </c>
      <c r="G504" s="432">
        <f>G502-G503</f>
        <v>0</v>
      </c>
      <c r="K504" s="431">
        <f>K502-K503</f>
        <v>0</v>
      </c>
      <c r="L504" s="409"/>
      <c r="M504" s="965">
        <f>M502-M503</f>
        <v>0</v>
      </c>
      <c r="N504" s="965">
        <f>N502-N503</f>
        <v>0</v>
      </c>
      <c r="O504" s="965">
        <f>O502-O503</f>
        <v>0</v>
      </c>
      <c r="AG504" s="448">
        <f t="shared" ref="AG504:AW504" si="421">AG502-AG503</f>
        <v>0</v>
      </c>
      <c r="AH504" s="448">
        <f t="shared" si="421"/>
        <v>0</v>
      </c>
      <c r="AI504" s="448">
        <f t="shared" si="421"/>
        <v>0</v>
      </c>
      <c r="AJ504" s="448">
        <f t="shared" si="421"/>
        <v>0</v>
      </c>
      <c r="AK504" s="448">
        <f t="shared" si="421"/>
        <v>0</v>
      </c>
      <c r="AL504" s="448">
        <f t="shared" si="421"/>
        <v>0</v>
      </c>
      <c r="AM504" s="448">
        <f t="shared" si="421"/>
        <v>0</v>
      </c>
      <c r="AN504" s="448">
        <f t="shared" si="421"/>
        <v>0</v>
      </c>
      <c r="AO504" s="448">
        <f t="shared" si="421"/>
        <v>0</v>
      </c>
      <c r="AP504" s="448">
        <f t="shared" si="421"/>
        <v>0</v>
      </c>
      <c r="AQ504" s="448">
        <f t="shared" si="421"/>
        <v>0</v>
      </c>
      <c r="AR504" s="448">
        <f t="shared" si="421"/>
        <v>0</v>
      </c>
      <c r="AS504" s="448">
        <f t="shared" si="421"/>
        <v>0</v>
      </c>
      <c r="AT504" s="448">
        <f t="shared" si="421"/>
        <v>0</v>
      </c>
      <c r="AU504" s="448">
        <f t="shared" si="421"/>
        <v>0</v>
      </c>
      <c r="AV504" s="448">
        <f t="shared" si="421"/>
        <v>0</v>
      </c>
      <c r="AW504" s="448">
        <f t="shared" si="421"/>
        <v>0</v>
      </c>
      <c r="AY504" s="448">
        <f t="shared" ref="AY504:BH504" si="422">AY502-AY503</f>
        <v>0</v>
      </c>
      <c r="AZ504" s="448">
        <f t="shared" si="422"/>
        <v>0</v>
      </c>
      <c r="BA504" s="448">
        <f t="shared" si="422"/>
        <v>0</v>
      </c>
      <c r="BB504" s="448">
        <f t="shared" si="422"/>
        <v>0</v>
      </c>
      <c r="BC504" s="448">
        <f t="shared" si="422"/>
        <v>-140689.53999999911</v>
      </c>
      <c r="BD504" s="448">
        <f t="shared" si="422"/>
        <v>-140689.53999999911</v>
      </c>
      <c r="BE504" s="448">
        <f t="shared" si="422"/>
        <v>-140689.53999999911</v>
      </c>
      <c r="BF504" s="448">
        <f t="shared" si="422"/>
        <v>0</v>
      </c>
      <c r="BG504" s="448">
        <f t="shared" si="422"/>
        <v>0</v>
      </c>
      <c r="BH504" s="448">
        <f t="shared" si="422"/>
        <v>0</v>
      </c>
    </row>
    <row r="506" spans="4:60">
      <c r="D506" s="410" t="s">
        <v>1460</v>
      </c>
      <c r="E506" s="403" t="s">
        <v>692</v>
      </c>
      <c r="F506" s="432">
        <f>SUMIFS(F$4:F$471,_12MonResults_RateClass,$D506,_12MonResults_Period,$E506)</f>
        <v>16</v>
      </c>
      <c r="G506" s="432">
        <f>SUMIFS(G$4:G$471,_12MonResults_RateClass,$D506,_12MonResults_Period,$E506)</f>
        <v>0</v>
      </c>
      <c r="J506" s="432"/>
      <c r="K506" s="431">
        <f>SUMIFS(K$4:K$471,_12MonResults_RateClass,$D506,_12MonResults_Period,$E506)</f>
        <v>0</v>
      </c>
      <c r="M506" s="597">
        <f t="shared" ref="M506:O507" si="423">SUMIFS(M$4:M$471,_12MonResults_RateClass,$D506,_12MonResults_Period,$E506)</f>
        <v>0</v>
      </c>
      <c r="N506" s="597">
        <f t="shared" si="423"/>
        <v>0</v>
      </c>
      <c r="O506" s="597">
        <f t="shared" si="423"/>
        <v>0</v>
      </c>
      <c r="AG506" s="451">
        <f t="shared" ref="AG506:AP507" si="424">SUMIFS(AG$4:AG$471,_12MonResults_RateClass,$D506,_12MonResults_Period,$E506)</f>
        <v>0</v>
      </c>
      <c r="AH506" s="451">
        <f t="shared" si="424"/>
        <v>0</v>
      </c>
      <c r="AI506" s="451">
        <f t="shared" si="424"/>
        <v>0</v>
      </c>
      <c r="AJ506" s="451">
        <f t="shared" si="424"/>
        <v>0</v>
      </c>
      <c r="AK506" s="451">
        <f t="shared" si="424"/>
        <v>0</v>
      </c>
      <c r="AL506" s="451">
        <f t="shared" si="424"/>
        <v>0</v>
      </c>
      <c r="AM506" s="451">
        <f t="shared" si="424"/>
        <v>0</v>
      </c>
      <c r="AN506" s="451">
        <f t="shared" si="424"/>
        <v>0</v>
      </c>
      <c r="AO506" s="451">
        <f t="shared" si="424"/>
        <v>0</v>
      </c>
      <c r="AP506" s="451">
        <f t="shared" si="424"/>
        <v>0</v>
      </c>
      <c r="AQ506" s="451">
        <f t="shared" ref="AQ506:AW507" si="425">SUMIFS(AQ$4:AQ$471,_12MonResults_RateClass,$D506,_12MonResults_Period,$E506)</f>
        <v>0</v>
      </c>
      <c r="AR506" s="451">
        <f t="shared" si="425"/>
        <v>0</v>
      </c>
      <c r="AS506" s="451">
        <f t="shared" si="425"/>
        <v>0</v>
      </c>
      <c r="AT506" s="451">
        <f t="shared" si="425"/>
        <v>0</v>
      </c>
      <c r="AU506" s="451">
        <f t="shared" si="425"/>
        <v>0</v>
      </c>
      <c r="AV506" s="451">
        <f t="shared" si="425"/>
        <v>0</v>
      </c>
      <c r="AW506" s="451">
        <f t="shared" si="425"/>
        <v>0</v>
      </c>
      <c r="AY506" s="451">
        <f t="shared" ref="AY506:BH507" si="426">SUMIFS(AY$4:AY$471,_12MonResults_RateClass,$D506,_12MonResults_Period,$E506)</f>
        <v>0</v>
      </c>
      <c r="AZ506" s="451">
        <f t="shared" si="426"/>
        <v>0</v>
      </c>
      <c r="BA506" s="451">
        <f t="shared" si="426"/>
        <v>0</v>
      </c>
      <c r="BB506" s="451">
        <f t="shared" si="426"/>
        <v>0</v>
      </c>
      <c r="BC506" s="451">
        <f t="shared" si="426"/>
        <v>-304194.96000000002</v>
      </c>
      <c r="BD506" s="451">
        <f t="shared" si="426"/>
        <v>-304194.96000000002</v>
      </c>
      <c r="BE506" s="451">
        <f t="shared" si="426"/>
        <v>-304194.96000000002</v>
      </c>
      <c r="BF506" s="451">
        <f t="shared" si="426"/>
        <v>0</v>
      </c>
      <c r="BG506" s="451">
        <f t="shared" si="426"/>
        <v>0</v>
      </c>
      <c r="BH506" s="451">
        <f t="shared" si="426"/>
        <v>0</v>
      </c>
    </row>
    <row r="507" spans="4:60">
      <c r="D507" s="403" t="str">
        <f>D506</f>
        <v>CSR30</v>
      </c>
      <c r="E507" s="403" t="s">
        <v>1490</v>
      </c>
      <c r="F507" s="432">
        <f>SUMIFS(F$4:F$471,_12MonResults_RateClass,$D507,_12MonResults_Period,$E507)</f>
        <v>0</v>
      </c>
      <c r="G507" s="432">
        <f>SUMIFS(G$4:G$471,_12MonResults_RateClass,$D507,_12MonResults_Period,$E507)</f>
        <v>0</v>
      </c>
      <c r="K507" s="431">
        <f>SUMIFS(K$4:K$471,_12MonResults_RateClass,$D507,_12MonResults_Period,$E507)</f>
        <v>0</v>
      </c>
      <c r="M507" s="597">
        <f t="shared" si="423"/>
        <v>0</v>
      </c>
      <c r="N507" s="597">
        <f t="shared" si="423"/>
        <v>0</v>
      </c>
      <c r="O507" s="597">
        <f t="shared" si="423"/>
        <v>0</v>
      </c>
      <c r="AG507" s="451">
        <f t="shared" si="424"/>
        <v>0</v>
      </c>
      <c r="AH507" s="451">
        <f t="shared" si="424"/>
        <v>0</v>
      </c>
      <c r="AI507" s="451">
        <f t="shared" si="424"/>
        <v>0</v>
      </c>
      <c r="AJ507" s="451">
        <f t="shared" si="424"/>
        <v>0</v>
      </c>
      <c r="AK507" s="451">
        <f t="shared" si="424"/>
        <v>0</v>
      </c>
      <c r="AL507" s="451">
        <f t="shared" si="424"/>
        <v>0</v>
      </c>
      <c r="AM507" s="451">
        <f t="shared" si="424"/>
        <v>0</v>
      </c>
      <c r="AN507" s="451">
        <f t="shared" si="424"/>
        <v>0</v>
      </c>
      <c r="AO507" s="451">
        <f t="shared" si="424"/>
        <v>0</v>
      </c>
      <c r="AP507" s="451">
        <f t="shared" si="424"/>
        <v>0</v>
      </c>
      <c r="AQ507" s="451">
        <f t="shared" si="425"/>
        <v>0</v>
      </c>
      <c r="AR507" s="451">
        <f t="shared" si="425"/>
        <v>0</v>
      </c>
      <c r="AS507" s="451">
        <f t="shared" si="425"/>
        <v>0</v>
      </c>
      <c r="AT507" s="451">
        <f t="shared" si="425"/>
        <v>0</v>
      </c>
      <c r="AU507" s="451">
        <f t="shared" si="425"/>
        <v>0</v>
      </c>
      <c r="AV507" s="451">
        <f t="shared" si="425"/>
        <v>0</v>
      </c>
      <c r="AW507" s="451">
        <f t="shared" si="425"/>
        <v>0</v>
      </c>
      <c r="AY507" s="451">
        <f t="shared" si="426"/>
        <v>0</v>
      </c>
      <c r="AZ507" s="451">
        <f t="shared" si="426"/>
        <v>0</v>
      </c>
      <c r="BA507" s="451">
        <f t="shared" si="426"/>
        <v>0</v>
      </c>
      <c r="BB507" s="451">
        <f t="shared" si="426"/>
        <v>0</v>
      </c>
      <c r="BC507" s="451">
        <f t="shared" si="426"/>
        <v>0</v>
      </c>
      <c r="BD507" s="451">
        <f t="shared" si="426"/>
        <v>0</v>
      </c>
      <c r="BE507" s="451">
        <f t="shared" si="426"/>
        <v>0</v>
      </c>
      <c r="BF507" s="451">
        <f t="shared" si="426"/>
        <v>0</v>
      </c>
      <c r="BG507" s="451">
        <f t="shared" si="426"/>
        <v>0</v>
      </c>
      <c r="BH507" s="451">
        <f t="shared" si="426"/>
        <v>0</v>
      </c>
    </row>
    <row r="508" spans="4:60">
      <c r="E508" s="403" t="s">
        <v>70</v>
      </c>
      <c r="F508" s="432">
        <f>F506-F507</f>
        <v>16</v>
      </c>
      <c r="G508" s="432">
        <f>G506-G507</f>
        <v>0</v>
      </c>
      <c r="K508" s="431">
        <f>K506-K507</f>
        <v>0</v>
      </c>
      <c r="L508" s="409"/>
      <c r="M508" s="965">
        <f>M506-M507</f>
        <v>0</v>
      </c>
      <c r="N508" s="965">
        <f>N506-N507</f>
        <v>0</v>
      </c>
      <c r="O508" s="965">
        <f>O506-O507</f>
        <v>0</v>
      </c>
      <c r="AG508" s="448">
        <f t="shared" ref="AG508:AW508" si="427">AG506-AG507</f>
        <v>0</v>
      </c>
      <c r="AH508" s="448">
        <f t="shared" si="427"/>
        <v>0</v>
      </c>
      <c r="AI508" s="448">
        <f t="shared" si="427"/>
        <v>0</v>
      </c>
      <c r="AJ508" s="448">
        <f t="shared" si="427"/>
        <v>0</v>
      </c>
      <c r="AK508" s="448">
        <f t="shared" si="427"/>
        <v>0</v>
      </c>
      <c r="AL508" s="448">
        <f t="shared" si="427"/>
        <v>0</v>
      </c>
      <c r="AM508" s="448">
        <f t="shared" si="427"/>
        <v>0</v>
      </c>
      <c r="AN508" s="448">
        <f t="shared" si="427"/>
        <v>0</v>
      </c>
      <c r="AO508" s="448">
        <f t="shared" si="427"/>
        <v>0</v>
      </c>
      <c r="AP508" s="448">
        <f t="shared" si="427"/>
        <v>0</v>
      </c>
      <c r="AQ508" s="448">
        <f t="shared" si="427"/>
        <v>0</v>
      </c>
      <c r="AR508" s="448">
        <f t="shared" si="427"/>
        <v>0</v>
      </c>
      <c r="AS508" s="448">
        <f t="shared" si="427"/>
        <v>0</v>
      </c>
      <c r="AT508" s="448">
        <f t="shared" si="427"/>
        <v>0</v>
      </c>
      <c r="AU508" s="448">
        <f t="shared" si="427"/>
        <v>0</v>
      </c>
      <c r="AV508" s="448">
        <f t="shared" si="427"/>
        <v>0</v>
      </c>
      <c r="AW508" s="448">
        <f t="shared" si="427"/>
        <v>0</v>
      </c>
      <c r="AY508" s="448">
        <f t="shared" ref="AY508:BH508" si="428">AY506-AY507</f>
        <v>0</v>
      </c>
      <c r="AZ508" s="448">
        <f t="shared" si="428"/>
        <v>0</v>
      </c>
      <c r="BA508" s="448">
        <f t="shared" si="428"/>
        <v>0</v>
      </c>
      <c r="BB508" s="448">
        <f t="shared" si="428"/>
        <v>0</v>
      </c>
      <c r="BC508" s="448">
        <f t="shared" si="428"/>
        <v>-304194.96000000002</v>
      </c>
      <c r="BD508" s="448">
        <f t="shared" si="428"/>
        <v>-304194.96000000002</v>
      </c>
      <c r="BE508" s="448">
        <f t="shared" si="428"/>
        <v>-304194.96000000002</v>
      </c>
      <c r="BF508" s="448">
        <f t="shared" si="428"/>
        <v>0</v>
      </c>
      <c r="BG508" s="448">
        <f t="shared" si="428"/>
        <v>0</v>
      </c>
      <c r="BH508" s="448">
        <f t="shared" si="428"/>
        <v>0</v>
      </c>
    </row>
    <row r="510" spans="4:60">
      <c r="D510" s="410" t="s">
        <v>15</v>
      </c>
      <c r="E510" s="403" t="s">
        <v>692</v>
      </c>
      <c r="F510" s="432">
        <f>SUMIFS(F$4:F$471,_12MonResults_RateClass,$D510,_12MonResults_Period,$E510)</f>
        <v>2546946</v>
      </c>
      <c r="G510" s="432">
        <f>SUMIFS(G$4:G$471,_12MonResults_RateClass,$D510,_12MonResults_Period,$E510)</f>
        <v>2891</v>
      </c>
      <c r="J510" s="432"/>
      <c r="K510" s="431">
        <f>SUMIFS(K$4:K$471,_12MonResults_RateClass,$D510,_12MonResults_Period,$E510)</f>
        <v>2849380793</v>
      </c>
      <c r="M510" s="597">
        <f t="shared" ref="M510:O511" si="429">SUMIFS(M$4:M$471,_12MonResults_RateClass,$D510,_12MonResults_Period,$E510)</f>
        <v>0</v>
      </c>
      <c r="N510" s="597">
        <f t="shared" si="429"/>
        <v>0</v>
      </c>
      <c r="O510" s="597">
        <f t="shared" si="429"/>
        <v>0</v>
      </c>
      <c r="AG510" s="451">
        <f t="shared" ref="AG510:AP511" si="430">SUMIFS(AG$4:AG$471,_12MonResults_RateClass,$D510,_12MonResults_Period,$E510)</f>
        <v>27410747.75</v>
      </c>
      <c r="AH510" s="451">
        <f t="shared" si="430"/>
        <v>220656048.59999996</v>
      </c>
      <c r="AI510" s="451">
        <f t="shared" si="430"/>
        <v>0</v>
      </c>
      <c r="AJ510" s="451">
        <f t="shared" si="430"/>
        <v>0</v>
      </c>
      <c r="AK510" s="451">
        <f t="shared" si="430"/>
        <v>0</v>
      </c>
      <c r="AL510" s="451">
        <f t="shared" si="430"/>
        <v>0</v>
      </c>
      <c r="AM510" s="451">
        <f t="shared" si="430"/>
        <v>0</v>
      </c>
      <c r="AN510" s="451">
        <f t="shared" si="430"/>
        <v>0</v>
      </c>
      <c r="AO510" s="451">
        <f t="shared" si="430"/>
        <v>0</v>
      </c>
      <c r="AP510" s="451">
        <f t="shared" si="430"/>
        <v>-188397.76000000004</v>
      </c>
      <c r="AQ510" s="451">
        <f t="shared" ref="AQ510:AW511" si="431">SUMIFS(AQ$4:AQ$471,_12MonResults_RateClass,$D510,_12MonResults_Period,$E510)</f>
        <v>-2435.9100000000003</v>
      </c>
      <c r="AR510" s="451">
        <f t="shared" si="431"/>
        <v>0</v>
      </c>
      <c r="AS510" s="451">
        <f t="shared" si="431"/>
        <v>0</v>
      </c>
      <c r="AT510" s="451">
        <f t="shared" si="431"/>
        <v>0</v>
      </c>
      <c r="AU510" s="451">
        <f t="shared" si="431"/>
        <v>0</v>
      </c>
      <c r="AV510" s="451">
        <f t="shared" si="431"/>
        <v>247875962.67999992</v>
      </c>
      <c r="AW510" s="451">
        <f t="shared" si="431"/>
        <v>247875962.67999992</v>
      </c>
      <c r="AY510" s="451">
        <f t="shared" ref="AY510:BH511" si="432">SUMIFS(AY$4:AY$471,_12MonResults_RateClass,$D510,_12MonResults_Period,$E510)</f>
        <v>7369281.8799999999</v>
      </c>
      <c r="AZ510" s="451">
        <f t="shared" si="432"/>
        <v>10929800.099999998</v>
      </c>
      <c r="BA510" s="451">
        <f t="shared" si="432"/>
        <v>6399722.9700000016</v>
      </c>
      <c r="BB510" s="451">
        <f t="shared" si="432"/>
        <v>0.02</v>
      </c>
      <c r="BC510" s="451">
        <f t="shared" si="432"/>
        <v>0</v>
      </c>
      <c r="BD510" s="451">
        <f t="shared" si="432"/>
        <v>272574767.64999998</v>
      </c>
      <c r="BE510" s="451">
        <f t="shared" si="432"/>
        <v>272574767.64999998</v>
      </c>
      <c r="BF510" s="451">
        <f t="shared" si="432"/>
        <v>0</v>
      </c>
      <c r="BG510" s="451">
        <f t="shared" si="432"/>
        <v>82404092.519999996</v>
      </c>
      <c r="BH510" s="451">
        <f t="shared" si="432"/>
        <v>138249520.17000002</v>
      </c>
    </row>
    <row r="511" spans="4:60">
      <c r="D511" s="403" t="str">
        <f>D510</f>
        <v>RS</v>
      </c>
      <c r="E511" s="403" t="s">
        <v>1490</v>
      </c>
      <c r="F511" s="432">
        <f>SUMIFS(F$4:F$471,_12MonResults_RateClass,$D511,_12MonResults_Period,$E511)</f>
        <v>2567077</v>
      </c>
      <c r="G511" s="432">
        <f>SUMIFS(G$4:G$471,_12MonResults_RateClass,$D511,_12MonResults_Period,$E511)</f>
        <v>0</v>
      </c>
      <c r="K511" s="431">
        <f>SUMIFS(K$4:K$471,_12MonResults_RateClass,$D511,_12MonResults_Period,$E511)</f>
        <v>3311572941</v>
      </c>
      <c r="M511" s="597">
        <f t="shared" si="429"/>
        <v>0</v>
      </c>
      <c r="N511" s="597">
        <f t="shared" si="429"/>
        <v>0</v>
      </c>
      <c r="O511" s="597">
        <f t="shared" si="429"/>
        <v>0</v>
      </c>
      <c r="AG511" s="451">
        <f t="shared" si="430"/>
        <v>27596077.75</v>
      </c>
      <c r="AH511" s="451">
        <f t="shared" si="430"/>
        <v>256448208.55999997</v>
      </c>
      <c r="AI511" s="451">
        <f t="shared" si="430"/>
        <v>0</v>
      </c>
      <c r="AJ511" s="451">
        <f t="shared" si="430"/>
        <v>0</v>
      </c>
      <c r="AK511" s="451">
        <f t="shared" si="430"/>
        <v>0</v>
      </c>
      <c r="AL511" s="451">
        <f t="shared" si="430"/>
        <v>0</v>
      </c>
      <c r="AM511" s="451">
        <f t="shared" si="430"/>
        <v>0</v>
      </c>
      <c r="AN511" s="451">
        <f t="shared" si="430"/>
        <v>0</v>
      </c>
      <c r="AO511" s="451">
        <f t="shared" si="430"/>
        <v>0</v>
      </c>
      <c r="AP511" s="451">
        <f t="shared" si="430"/>
        <v>0</v>
      </c>
      <c r="AQ511" s="451">
        <f t="shared" si="431"/>
        <v>0</v>
      </c>
      <c r="AR511" s="451">
        <f t="shared" si="431"/>
        <v>0</v>
      </c>
      <c r="AS511" s="451">
        <f t="shared" si="431"/>
        <v>0</v>
      </c>
      <c r="AT511" s="451">
        <f t="shared" si="431"/>
        <v>0</v>
      </c>
      <c r="AU511" s="451">
        <f t="shared" si="431"/>
        <v>0</v>
      </c>
      <c r="AV511" s="451">
        <f t="shared" si="431"/>
        <v>284044286.31</v>
      </c>
      <c r="AW511" s="451">
        <f t="shared" si="431"/>
        <v>284046340</v>
      </c>
      <c r="AY511" s="451">
        <f t="shared" si="432"/>
        <v>5344624</v>
      </c>
      <c r="AZ511" s="451">
        <f t="shared" si="432"/>
        <v>5404537</v>
      </c>
      <c r="BA511" s="451">
        <f t="shared" si="432"/>
        <v>10994739</v>
      </c>
      <c r="BB511" s="451">
        <f t="shared" si="432"/>
        <v>0</v>
      </c>
      <c r="BC511" s="451">
        <f t="shared" si="432"/>
        <v>0</v>
      </c>
      <c r="BD511" s="451">
        <f t="shared" si="432"/>
        <v>305790240</v>
      </c>
      <c r="BE511" s="451">
        <f t="shared" si="432"/>
        <v>305788186.31</v>
      </c>
      <c r="BF511" s="451">
        <f t="shared" si="432"/>
        <v>2053.6900000050664</v>
      </c>
      <c r="BG511" s="451">
        <f t="shared" si="432"/>
        <v>95770689.439999998</v>
      </c>
      <c r="BH511" s="451">
        <f t="shared" si="432"/>
        <v>160677519.12</v>
      </c>
    </row>
    <row r="512" spans="4:60">
      <c r="E512" s="403" t="s">
        <v>70</v>
      </c>
      <c r="F512" s="432">
        <f>F510-F511</f>
        <v>-20131</v>
      </c>
      <c r="G512" s="432">
        <f>G510-G511</f>
        <v>2891</v>
      </c>
      <c r="K512" s="431">
        <f>K510-K511</f>
        <v>-462192148</v>
      </c>
      <c r="L512" s="409"/>
      <c r="M512" s="965">
        <f>M510-M511</f>
        <v>0</v>
      </c>
      <c r="N512" s="965">
        <f>N510-N511</f>
        <v>0</v>
      </c>
      <c r="O512" s="965">
        <f>O510-O511</f>
        <v>0</v>
      </c>
      <c r="AG512" s="448">
        <f t="shared" ref="AG512:AW512" si="433">AG510-AG511</f>
        <v>-185330</v>
      </c>
      <c r="AH512" s="448">
        <f t="shared" si="433"/>
        <v>-35792159.960000008</v>
      </c>
      <c r="AI512" s="448">
        <f t="shared" si="433"/>
        <v>0</v>
      </c>
      <c r="AJ512" s="448">
        <f t="shared" si="433"/>
        <v>0</v>
      </c>
      <c r="AK512" s="448">
        <f t="shared" si="433"/>
        <v>0</v>
      </c>
      <c r="AL512" s="448">
        <f t="shared" si="433"/>
        <v>0</v>
      </c>
      <c r="AM512" s="448">
        <f t="shared" si="433"/>
        <v>0</v>
      </c>
      <c r="AN512" s="448">
        <f t="shared" si="433"/>
        <v>0</v>
      </c>
      <c r="AO512" s="448">
        <f t="shared" si="433"/>
        <v>0</v>
      </c>
      <c r="AP512" s="448">
        <f t="shared" si="433"/>
        <v>-188397.76000000004</v>
      </c>
      <c r="AQ512" s="448">
        <f t="shared" si="433"/>
        <v>-2435.9100000000003</v>
      </c>
      <c r="AR512" s="448">
        <f t="shared" si="433"/>
        <v>0</v>
      </c>
      <c r="AS512" s="448">
        <f t="shared" si="433"/>
        <v>0</v>
      </c>
      <c r="AT512" s="448">
        <f t="shared" si="433"/>
        <v>0</v>
      </c>
      <c r="AU512" s="448">
        <f t="shared" si="433"/>
        <v>0</v>
      </c>
      <c r="AV512" s="448">
        <f t="shared" si="433"/>
        <v>-36168323.630000085</v>
      </c>
      <c r="AW512" s="448">
        <f t="shared" si="433"/>
        <v>-36170377.320000082</v>
      </c>
      <c r="AY512" s="448">
        <f t="shared" ref="AY512:BH512" si="434">AY510-AY511</f>
        <v>2024657.88</v>
      </c>
      <c r="AZ512" s="448">
        <f t="shared" si="434"/>
        <v>5525263.0999999978</v>
      </c>
      <c r="BA512" s="448">
        <f t="shared" si="434"/>
        <v>-4595016.0299999984</v>
      </c>
      <c r="BB512" s="448">
        <f t="shared" si="434"/>
        <v>0.02</v>
      </c>
      <c r="BC512" s="448">
        <f t="shared" si="434"/>
        <v>0</v>
      </c>
      <c r="BD512" s="448">
        <f t="shared" si="434"/>
        <v>-33215472.350000024</v>
      </c>
      <c r="BE512" s="448">
        <f t="shared" si="434"/>
        <v>-33213418.660000026</v>
      </c>
      <c r="BF512" s="448">
        <f t="shared" si="434"/>
        <v>-2053.6900000050664</v>
      </c>
      <c r="BG512" s="448">
        <f t="shared" si="434"/>
        <v>-13366596.920000002</v>
      </c>
      <c r="BH512" s="448">
        <f t="shared" si="434"/>
        <v>-22427998.949999988</v>
      </c>
    </row>
    <row r="514" spans="4:60">
      <c r="D514" s="410" t="s">
        <v>224</v>
      </c>
      <c r="E514" s="403" t="s">
        <v>692</v>
      </c>
      <c r="F514" s="432">
        <f>SUMIFS(F$4:F$471,_12MonResults_RateClass,$D514,_12MonResults_Period,$E514)</f>
        <v>384660</v>
      </c>
      <c r="G514" s="432">
        <f>SUMIFS(G$4:G$471,_12MonResults_RateClass,$D514,_12MonResults_Period,$E514)</f>
        <v>0</v>
      </c>
      <c r="J514" s="432"/>
      <c r="K514" s="431">
        <f>SUMIFS(K$4:K$471,_12MonResults_RateClass,$D514,_12MonResults_Period,$E514)</f>
        <v>380662984</v>
      </c>
      <c r="M514" s="597">
        <f t="shared" ref="M514:O515" si="435">SUMIFS(M$4:M$471,_12MonResults_RateClass,$D514,_12MonResults_Period,$E514)</f>
        <v>668491.69999999995</v>
      </c>
      <c r="N514" s="597">
        <f t="shared" si="435"/>
        <v>0</v>
      </c>
      <c r="O514" s="597">
        <f t="shared" si="435"/>
        <v>0</v>
      </c>
      <c r="AG514" s="451">
        <f t="shared" ref="AG514:AP515" si="436">SUMIFS(AG$4:AG$471,_12MonResults_RateClass,$D514,_12MonResults_Period,$E514)</f>
        <v>7693200</v>
      </c>
      <c r="AH514" s="451">
        <f t="shared" si="436"/>
        <v>35116160.300000012</v>
      </c>
      <c r="AI514" s="451">
        <f t="shared" si="436"/>
        <v>0</v>
      </c>
      <c r="AJ514" s="451">
        <f t="shared" si="436"/>
        <v>0</v>
      </c>
      <c r="AK514" s="451">
        <f t="shared" si="436"/>
        <v>0</v>
      </c>
      <c r="AL514" s="451">
        <f t="shared" si="436"/>
        <v>0</v>
      </c>
      <c r="AM514" s="451">
        <f t="shared" si="436"/>
        <v>0</v>
      </c>
      <c r="AN514" s="451">
        <f t="shared" si="436"/>
        <v>0</v>
      </c>
      <c r="AO514" s="451">
        <f t="shared" si="436"/>
        <v>0</v>
      </c>
      <c r="AP514" s="451">
        <f t="shared" si="436"/>
        <v>74375.62</v>
      </c>
      <c r="AQ514" s="451">
        <f t="shared" ref="AQ514:AW515" si="437">SUMIFS(AQ$4:AQ$471,_12MonResults_RateClass,$D514,_12MonResults_Period,$E514)</f>
        <v>2800.77</v>
      </c>
      <c r="AR514" s="451">
        <f t="shared" si="437"/>
        <v>0</v>
      </c>
      <c r="AS514" s="451">
        <f t="shared" si="437"/>
        <v>0</v>
      </c>
      <c r="AT514" s="451">
        <f t="shared" si="437"/>
        <v>0</v>
      </c>
      <c r="AU514" s="451">
        <f t="shared" si="437"/>
        <v>0</v>
      </c>
      <c r="AV514" s="451">
        <f t="shared" si="437"/>
        <v>42886536.690000005</v>
      </c>
      <c r="AW514" s="451">
        <f t="shared" si="437"/>
        <v>42886536.690000005</v>
      </c>
      <c r="AY514" s="451">
        <f t="shared" ref="AY514:BH515" si="438">SUMIFS(AY$4:AY$471,_12MonResults_RateClass,$D514,_12MonResults_Period,$E514)</f>
        <v>983565.84000000008</v>
      </c>
      <c r="AZ514" s="451">
        <f t="shared" si="438"/>
        <v>1069734.26</v>
      </c>
      <c r="BA514" s="451">
        <f t="shared" si="438"/>
        <v>1390760</v>
      </c>
      <c r="BB514" s="451">
        <f t="shared" si="438"/>
        <v>-0.03</v>
      </c>
      <c r="BC514" s="451">
        <f t="shared" si="438"/>
        <v>0</v>
      </c>
      <c r="BD514" s="451">
        <f t="shared" si="438"/>
        <v>46330596.759999998</v>
      </c>
      <c r="BE514" s="451">
        <f t="shared" si="438"/>
        <v>46330596.759999998</v>
      </c>
      <c r="BF514" s="451">
        <f t="shared" si="438"/>
        <v>0</v>
      </c>
      <c r="BG514" s="451">
        <f t="shared" si="438"/>
        <v>11008773.490000002</v>
      </c>
      <c r="BH514" s="451">
        <f t="shared" si="438"/>
        <v>24110187.579999998</v>
      </c>
    </row>
    <row r="515" spans="4:60">
      <c r="D515" s="403" t="str">
        <f>D514</f>
        <v>GS</v>
      </c>
      <c r="E515" s="403" t="s">
        <v>1490</v>
      </c>
      <c r="F515" s="432">
        <f>SUMIFS(F$4:F$471,_12MonResults_RateClass,$D515,_12MonResults_Period,$E515)</f>
        <v>380595</v>
      </c>
      <c r="G515" s="432">
        <f>SUMIFS(G$4:G$471,_12MonResults_RateClass,$D515,_12MonResults_Period,$E515)</f>
        <v>0</v>
      </c>
      <c r="K515" s="431">
        <f>SUMIFS(K$4:K$471,_12MonResults_RateClass,$D515,_12MonResults_Period,$E515)</f>
        <v>386908563</v>
      </c>
      <c r="M515" s="597">
        <f t="shared" si="435"/>
        <v>0</v>
      </c>
      <c r="N515" s="597">
        <f t="shared" si="435"/>
        <v>0</v>
      </c>
      <c r="O515" s="597">
        <f t="shared" si="435"/>
        <v>0</v>
      </c>
      <c r="AG515" s="451">
        <f t="shared" si="436"/>
        <v>7611900</v>
      </c>
      <c r="AH515" s="451">
        <f t="shared" si="436"/>
        <v>35692314.939999998</v>
      </c>
      <c r="AI515" s="451">
        <f t="shared" si="436"/>
        <v>0</v>
      </c>
      <c r="AJ515" s="451">
        <f t="shared" si="436"/>
        <v>0</v>
      </c>
      <c r="AK515" s="451">
        <f t="shared" si="436"/>
        <v>0</v>
      </c>
      <c r="AL515" s="451">
        <f t="shared" si="436"/>
        <v>0</v>
      </c>
      <c r="AM515" s="451">
        <f t="shared" si="436"/>
        <v>0</v>
      </c>
      <c r="AN515" s="451">
        <f t="shared" si="436"/>
        <v>0</v>
      </c>
      <c r="AO515" s="451">
        <f t="shared" si="436"/>
        <v>0</v>
      </c>
      <c r="AP515" s="451">
        <f t="shared" si="436"/>
        <v>0</v>
      </c>
      <c r="AQ515" s="451">
        <f t="shared" si="437"/>
        <v>0</v>
      </c>
      <c r="AR515" s="451">
        <f t="shared" si="437"/>
        <v>0</v>
      </c>
      <c r="AS515" s="451">
        <f t="shared" si="437"/>
        <v>0</v>
      </c>
      <c r="AT515" s="451">
        <f t="shared" si="437"/>
        <v>0</v>
      </c>
      <c r="AU515" s="451">
        <f t="shared" si="437"/>
        <v>0</v>
      </c>
      <c r="AV515" s="451">
        <f t="shared" si="437"/>
        <v>43304214.93999999</v>
      </c>
      <c r="AW515" s="451">
        <f t="shared" si="437"/>
        <v>43304213</v>
      </c>
      <c r="AY515" s="451">
        <f t="shared" si="438"/>
        <v>565254</v>
      </c>
      <c r="AZ515" s="451">
        <f t="shared" si="438"/>
        <v>647582</v>
      </c>
      <c r="BA515" s="451">
        <f t="shared" si="438"/>
        <v>1289394</v>
      </c>
      <c r="BB515" s="451">
        <f t="shared" si="438"/>
        <v>0</v>
      </c>
      <c r="BC515" s="451">
        <f t="shared" si="438"/>
        <v>0</v>
      </c>
      <c r="BD515" s="451">
        <f t="shared" si="438"/>
        <v>45806443</v>
      </c>
      <c r="BE515" s="451">
        <f t="shared" si="438"/>
        <v>45806444.93999999</v>
      </c>
      <c r="BF515" s="451">
        <f t="shared" si="438"/>
        <v>-1.9399999985471368</v>
      </c>
      <c r="BG515" s="451">
        <f t="shared" si="438"/>
        <v>11189395.639999999</v>
      </c>
      <c r="BH515" s="451">
        <f t="shared" si="438"/>
        <v>24502919.300000001</v>
      </c>
    </row>
    <row r="516" spans="4:60">
      <c r="E516" s="403" t="s">
        <v>70</v>
      </c>
      <c r="F516" s="432">
        <f>F514-F515</f>
        <v>4065</v>
      </c>
      <c r="G516" s="432">
        <f>G514-G515</f>
        <v>0</v>
      </c>
      <c r="K516" s="431">
        <f>K514-K515</f>
        <v>-6245579</v>
      </c>
      <c r="L516" s="409"/>
      <c r="M516" s="965">
        <f>M514-M515</f>
        <v>668491.69999999995</v>
      </c>
      <c r="N516" s="965">
        <f>N514-N515</f>
        <v>0</v>
      </c>
      <c r="O516" s="965">
        <f>O514-O515</f>
        <v>0</v>
      </c>
      <c r="AG516" s="448">
        <f t="shared" ref="AG516:AW516" si="439">AG514-AG515</f>
        <v>81300</v>
      </c>
      <c r="AH516" s="448">
        <f t="shared" si="439"/>
        <v>-576154.63999998569</v>
      </c>
      <c r="AI516" s="448">
        <f t="shared" si="439"/>
        <v>0</v>
      </c>
      <c r="AJ516" s="448">
        <f t="shared" si="439"/>
        <v>0</v>
      </c>
      <c r="AK516" s="448">
        <f t="shared" si="439"/>
        <v>0</v>
      </c>
      <c r="AL516" s="448">
        <f t="shared" si="439"/>
        <v>0</v>
      </c>
      <c r="AM516" s="448">
        <f t="shared" si="439"/>
        <v>0</v>
      </c>
      <c r="AN516" s="448">
        <f t="shared" si="439"/>
        <v>0</v>
      </c>
      <c r="AO516" s="448">
        <f t="shared" si="439"/>
        <v>0</v>
      </c>
      <c r="AP516" s="448">
        <f t="shared" si="439"/>
        <v>74375.62</v>
      </c>
      <c r="AQ516" s="448">
        <f t="shared" si="439"/>
        <v>2800.77</v>
      </c>
      <c r="AR516" s="448">
        <f t="shared" si="439"/>
        <v>0</v>
      </c>
      <c r="AS516" s="448">
        <f t="shared" si="439"/>
        <v>0</v>
      </c>
      <c r="AT516" s="448">
        <f t="shared" si="439"/>
        <v>0</v>
      </c>
      <c r="AU516" s="448">
        <f t="shared" si="439"/>
        <v>0</v>
      </c>
      <c r="AV516" s="448">
        <f t="shared" si="439"/>
        <v>-417678.2499999851</v>
      </c>
      <c r="AW516" s="448">
        <f t="shared" si="439"/>
        <v>-417676.30999999493</v>
      </c>
      <c r="AY516" s="448">
        <f t="shared" ref="AY516:BH516" si="440">AY514-AY515</f>
        <v>418311.84000000008</v>
      </c>
      <c r="AZ516" s="448">
        <f t="shared" si="440"/>
        <v>422152.26</v>
      </c>
      <c r="BA516" s="448">
        <f t="shared" si="440"/>
        <v>101366</v>
      </c>
      <c r="BB516" s="448">
        <f t="shared" si="440"/>
        <v>-0.03</v>
      </c>
      <c r="BC516" s="448">
        <f t="shared" si="440"/>
        <v>0</v>
      </c>
      <c r="BD516" s="448">
        <f t="shared" si="440"/>
        <v>524153.75999999791</v>
      </c>
      <c r="BE516" s="448">
        <f t="shared" si="440"/>
        <v>524151.82000000775</v>
      </c>
      <c r="BF516" s="448">
        <f t="shared" si="440"/>
        <v>1.9399999985471368</v>
      </c>
      <c r="BG516" s="448">
        <f t="shared" si="440"/>
        <v>-180622.14999999665</v>
      </c>
      <c r="BH516" s="448">
        <f t="shared" si="440"/>
        <v>-392731.72000000253</v>
      </c>
    </row>
    <row r="518" spans="4:60">
      <c r="D518" s="410" t="s">
        <v>18</v>
      </c>
      <c r="E518" s="403" t="s">
        <v>692</v>
      </c>
      <c r="F518" s="432">
        <f>SUMIFS(F$4:F$471,_12MonResults_RateClass,$D518,_12MonResults_Period,$E518)</f>
        <v>106894</v>
      </c>
      <c r="G518" s="432">
        <f>SUMIFS(G$4:G$471,_12MonResults_RateClass,$D518,_12MonResults_Period,$E518)</f>
        <v>0</v>
      </c>
      <c r="J518" s="432"/>
      <c r="K518" s="431">
        <f>SUMIFS(K$4:K$471,_12MonResults_RateClass,$D518,_12MonResults_Period,$E518)</f>
        <v>525367758</v>
      </c>
      <c r="M518" s="597">
        <f t="shared" ref="M518:O519" si="441">SUMIFS(M$4:M$471,_12MonResults_RateClass,$D518,_12MonResults_Period,$E518)</f>
        <v>2179060.6999999997</v>
      </c>
      <c r="N518" s="597">
        <f t="shared" si="441"/>
        <v>0</v>
      </c>
      <c r="O518" s="597">
        <f t="shared" si="441"/>
        <v>0</v>
      </c>
      <c r="AG518" s="451">
        <f t="shared" ref="AG518:AP519" si="442">SUMIFS(AG$4:AG$471,_12MonResults_RateClass,$D518,_12MonResults_Period,$E518)</f>
        <v>3741290</v>
      </c>
      <c r="AH518" s="451">
        <f t="shared" si="442"/>
        <v>48465175.680000007</v>
      </c>
      <c r="AI518" s="451">
        <f t="shared" si="442"/>
        <v>0</v>
      </c>
      <c r="AJ518" s="451">
        <f t="shared" si="442"/>
        <v>0</v>
      </c>
      <c r="AK518" s="451">
        <f t="shared" si="442"/>
        <v>0</v>
      </c>
      <c r="AL518" s="451">
        <f t="shared" si="442"/>
        <v>0</v>
      </c>
      <c r="AM518" s="451">
        <f t="shared" si="442"/>
        <v>0</v>
      </c>
      <c r="AN518" s="451">
        <f t="shared" si="442"/>
        <v>0</v>
      </c>
      <c r="AO518" s="451">
        <f t="shared" si="442"/>
        <v>0</v>
      </c>
      <c r="AP518" s="451">
        <f t="shared" si="442"/>
        <v>-2411.83</v>
      </c>
      <c r="AQ518" s="451">
        <f t="shared" ref="AQ518:AW519" si="443">SUMIFS(AQ$4:AQ$471,_12MonResults_RateClass,$D518,_12MonResults_Period,$E518)</f>
        <v>-202.53</v>
      </c>
      <c r="AR518" s="451">
        <f t="shared" si="443"/>
        <v>0</v>
      </c>
      <c r="AS518" s="451">
        <f t="shared" si="443"/>
        <v>0</v>
      </c>
      <c r="AT518" s="451">
        <f t="shared" si="443"/>
        <v>0</v>
      </c>
      <c r="AU518" s="451">
        <f t="shared" si="443"/>
        <v>0</v>
      </c>
      <c r="AV518" s="451">
        <f t="shared" si="443"/>
        <v>52203851.319999993</v>
      </c>
      <c r="AW518" s="451">
        <f t="shared" si="443"/>
        <v>52203851.32</v>
      </c>
      <c r="AY518" s="451">
        <f t="shared" ref="AY518:BH519" si="444">SUMIFS(AY$4:AY$471,_12MonResults_RateClass,$D518,_12MonResults_Period,$E518)</f>
        <v>1350458.0099999998</v>
      </c>
      <c r="AZ518" s="451">
        <f t="shared" si="444"/>
        <v>1406239.7400000002</v>
      </c>
      <c r="BA518" s="451">
        <f t="shared" si="444"/>
        <v>1665432.41</v>
      </c>
      <c r="BB518" s="451">
        <f t="shared" si="444"/>
        <v>0</v>
      </c>
      <c r="BC518" s="451">
        <f t="shared" si="444"/>
        <v>0</v>
      </c>
      <c r="BD518" s="451">
        <f t="shared" si="444"/>
        <v>56625981.479999997</v>
      </c>
      <c r="BE518" s="451">
        <f t="shared" si="444"/>
        <v>56625981.479999997</v>
      </c>
      <c r="BF518" s="451">
        <f t="shared" si="444"/>
        <v>0</v>
      </c>
      <c r="BG518" s="451">
        <f t="shared" si="444"/>
        <v>15193635.560000001</v>
      </c>
      <c r="BH518" s="451">
        <f t="shared" si="444"/>
        <v>33271337.59</v>
      </c>
    </row>
    <row r="519" spans="4:60">
      <c r="D519" s="403" t="str">
        <f>D518</f>
        <v>GS3</v>
      </c>
      <c r="E519" s="403" t="s">
        <v>1490</v>
      </c>
      <c r="F519" s="432">
        <f>SUMIFS(F$4:F$471,_12MonResults_RateClass,$D519,_12MonResults_Period,$E519)</f>
        <v>111255</v>
      </c>
      <c r="G519" s="432">
        <f>SUMIFS(G$4:G$471,_12MonResults_RateClass,$D519,_12MonResults_Period,$E519)</f>
        <v>0</v>
      </c>
      <c r="K519" s="431">
        <f>SUMIFS(K$4:K$471,_12MonResults_RateClass,$D519,_12MonResults_Period,$E519)</f>
        <v>565957117</v>
      </c>
      <c r="M519" s="597">
        <f t="shared" si="441"/>
        <v>2263620.9800000004</v>
      </c>
      <c r="N519" s="597">
        <f t="shared" si="441"/>
        <v>0</v>
      </c>
      <c r="O519" s="597">
        <f t="shared" si="441"/>
        <v>0</v>
      </c>
      <c r="AG519" s="451">
        <f t="shared" si="442"/>
        <v>3893925</v>
      </c>
      <c r="AH519" s="451">
        <f t="shared" si="442"/>
        <v>52209544.050000004</v>
      </c>
      <c r="AI519" s="451">
        <f t="shared" si="442"/>
        <v>0</v>
      </c>
      <c r="AJ519" s="451">
        <f t="shared" si="442"/>
        <v>0</v>
      </c>
      <c r="AK519" s="451">
        <f t="shared" si="442"/>
        <v>0</v>
      </c>
      <c r="AL519" s="451">
        <f t="shared" si="442"/>
        <v>0</v>
      </c>
      <c r="AM519" s="451">
        <f t="shared" si="442"/>
        <v>0</v>
      </c>
      <c r="AN519" s="451">
        <f t="shared" si="442"/>
        <v>0</v>
      </c>
      <c r="AO519" s="451">
        <f t="shared" si="442"/>
        <v>0</v>
      </c>
      <c r="AP519" s="451">
        <f t="shared" si="442"/>
        <v>0</v>
      </c>
      <c r="AQ519" s="451">
        <f t="shared" si="443"/>
        <v>0</v>
      </c>
      <c r="AR519" s="451">
        <f t="shared" si="443"/>
        <v>0</v>
      </c>
      <c r="AS519" s="451">
        <f t="shared" si="443"/>
        <v>0</v>
      </c>
      <c r="AT519" s="451">
        <f t="shared" si="443"/>
        <v>0</v>
      </c>
      <c r="AU519" s="451">
        <f t="shared" si="443"/>
        <v>0</v>
      </c>
      <c r="AV519" s="451">
        <f t="shared" si="443"/>
        <v>56103469.050000004</v>
      </c>
      <c r="AW519" s="451">
        <f t="shared" si="443"/>
        <v>56103469</v>
      </c>
      <c r="AY519" s="451">
        <f t="shared" si="444"/>
        <v>828017</v>
      </c>
      <c r="AZ519" s="451">
        <f t="shared" si="444"/>
        <v>946878</v>
      </c>
      <c r="BA519" s="451">
        <f t="shared" si="444"/>
        <v>1885775</v>
      </c>
      <c r="BB519" s="451">
        <f t="shared" si="444"/>
        <v>0</v>
      </c>
      <c r="BC519" s="451">
        <f t="shared" si="444"/>
        <v>0</v>
      </c>
      <c r="BD519" s="451">
        <f t="shared" si="444"/>
        <v>59764139</v>
      </c>
      <c r="BE519" s="451">
        <f t="shared" si="444"/>
        <v>59764139.050000004</v>
      </c>
      <c r="BF519" s="451">
        <f t="shared" si="444"/>
        <v>-5.000000074505806E-2</v>
      </c>
      <c r="BG519" s="451">
        <f t="shared" si="444"/>
        <v>16367479.819999998</v>
      </c>
      <c r="BH519" s="451">
        <f t="shared" si="444"/>
        <v>35842064.229999997</v>
      </c>
    </row>
    <row r="520" spans="4:60">
      <c r="E520" s="403" t="s">
        <v>70</v>
      </c>
      <c r="F520" s="432">
        <f>F518-F519</f>
        <v>-4361</v>
      </c>
      <c r="G520" s="432">
        <f>G518-G519</f>
        <v>0</v>
      </c>
      <c r="K520" s="431">
        <f>K518-K519</f>
        <v>-40589359</v>
      </c>
      <c r="L520" s="409"/>
      <c r="M520" s="965">
        <f>M518-M519</f>
        <v>-84560.280000000726</v>
      </c>
      <c r="N520" s="965">
        <f>N518-N519</f>
        <v>0</v>
      </c>
      <c r="O520" s="965">
        <f>O518-O519</f>
        <v>0</v>
      </c>
      <c r="AG520" s="448">
        <f t="shared" ref="AG520:AW520" si="445">AG518-AG519</f>
        <v>-152635</v>
      </c>
      <c r="AH520" s="448">
        <f t="shared" si="445"/>
        <v>-3744368.3699999973</v>
      </c>
      <c r="AI520" s="448">
        <f t="shared" si="445"/>
        <v>0</v>
      </c>
      <c r="AJ520" s="448">
        <f t="shared" si="445"/>
        <v>0</v>
      </c>
      <c r="AK520" s="448">
        <f t="shared" si="445"/>
        <v>0</v>
      </c>
      <c r="AL520" s="448">
        <f t="shared" si="445"/>
        <v>0</v>
      </c>
      <c r="AM520" s="448">
        <f t="shared" si="445"/>
        <v>0</v>
      </c>
      <c r="AN520" s="448">
        <f t="shared" si="445"/>
        <v>0</v>
      </c>
      <c r="AO520" s="448">
        <f t="shared" si="445"/>
        <v>0</v>
      </c>
      <c r="AP520" s="448">
        <f t="shared" si="445"/>
        <v>-2411.83</v>
      </c>
      <c r="AQ520" s="448">
        <f t="shared" si="445"/>
        <v>-202.53</v>
      </c>
      <c r="AR520" s="448">
        <f t="shared" si="445"/>
        <v>0</v>
      </c>
      <c r="AS520" s="448">
        <f t="shared" si="445"/>
        <v>0</v>
      </c>
      <c r="AT520" s="448">
        <f t="shared" si="445"/>
        <v>0</v>
      </c>
      <c r="AU520" s="448">
        <f t="shared" si="445"/>
        <v>0</v>
      </c>
      <c r="AV520" s="448">
        <f t="shared" si="445"/>
        <v>-3899617.7300000116</v>
      </c>
      <c r="AW520" s="448">
        <f t="shared" si="445"/>
        <v>-3899617.6799999997</v>
      </c>
      <c r="AY520" s="448">
        <f t="shared" ref="AY520:BH520" si="446">AY518-AY519</f>
        <v>522441.00999999978</v>
      </c>
      <c r="AZ520" s="448">
        <f t="shared" si="446"/>
        <v>459361.74000000022</v>
      </c>
      <c r="BA520" s="448">
        <f t="shared" si="446"/>
        <v>-220342.59000000008</v>
      </c>
      <c r="BB520" s="448">
        <f t="shared" si="446"/>
        <v>0</v>
      </c>
      <c r="BC520" s="448">
        <f t="shared" si="446"/>
        <v>0</v>
      </c>
      <c r="BD520" s="448">
        <f t="shared" si="446"/>
        <v>-3138157.5200000033</v>
      </c>
      <c r="BE520" s="448">
        <f t="shared" si="446"/>
        <v>-3138157.5700000077</v>
      </c>
      <c r="BF520" s="448">
        <f t="shared" si="446"/>
        <v>5.000000074505806E-2</v>
      </c>
      <c r="BG520" s="448">
        <f t="shared" si="446"/>
        <v>-1173844.2599999979</v>
      </c>
      <c r="BH520" s="448">
        <f t="shared" si="446"/>
        <v>-2570726.6399999969</v>
      </c>
    </row>
    <row r="522" spans="4:60">
      <c r="D522" s="410" t="s">
        <v>219</v>
      </c>
      <c r="E522" s="403" t="s">
        <v>692</v>
      </c>
      <c r="F522" s="432">
        <f>SUMIFS(F$4:F$471,_12MonResults_RateClass,$D522,_12MonResults_Period,$E522)</f>
        <v>2137</v>
      </c>
      <c r="G522" s="432">
        <f>SUMIFS(G$4:G$471,_12MonResults_RateClass,$D522,_12MonResults_Period,$E522)</f>
        <v>43</v>
      </c>
      <c r="J522" s="432"/>
      <c r="K522" s="431">
        <f>SUMIFS(K$4:K$471,_12MonResults_RateClass,$D522,_12MonResults_Period,$E522)</f>
        <v>3555666</v>
      </c>
      <c r="M522" s="597">
        <f t="shared" ref="M522:O523" si="447">SUMIFS(M$4:M$471,_12MonResults_RateClass,$D522,_12MonResults_Period,$E522)</f>
        <v>20372.600000000002</v>
      </c>
      <c r="N522" s="597">
        <f t="shared" si="447"/>
        <v>0</v>
      </c>
      <c r="O522" s="597">
        <f t="shared" si="447"/>
        <v>0</v>
      </c>
      <c r="AG522" s="451">
        <f t="shared" ref="AG522:AP523" si="448">SUMIFS(AG$4:AG$471,_12MonResults_RateClass,$D522,_12MonResults_Period,$E522)</f>
        <v>43600</v>
      </c>
      <c r="AH522" s="451">
        <f t="shared" si="448"/>
        <v>264541.51999999996</v>
      </c>
      <c r="AI522" s="451">
        <f t="shared" si="448"/>
        <v>0</v>
      </c>
      <c r="AJ522" s="451">
        <f t="shared" si="448"/>
        <v>0</v>
      </c>
      <c r="AK522" s="451">
        <f t="shared" si="448"/>
        <v>0</v>
      </c>
      <c r="AL522" s="451">
        <f t="shared" si="448"/>
        <v>0</v>
      </c>
      <c r="AM522" s="451">
        <f t="shared" si="448"/>
        <v>0</v>
      </c>
      <c r="AN522" s="451">
        <f t="shared" si="448"/>
        <v>0</v>
      </c>
      <c r="AO522" s="451">
        <f t="shared" si="448"/>
        <v>0</v>
      </c>
      <c r="AP522" s="451">
        <f t="shared" si="448"/>
        <v>-352.20000000000005</v>
      </c>
      <c r="AQ522" s="451">
        <f t="shared" ref="AQ522:AW523" si="449">SUMIFS(AQ$4:AQ$471,_12MonResults_RateClass,$D522,_12MonResults_Period,$E522)</f>
        <v>0.33000000000000007</v>
      </c>
      <c r="AR522" s="451">
        <f t="shared" si="449"/>
        <v>0</v>
      </c>
      <c r="AS522" s="451">
        <f t="shared" si="449"/>
        <v>0</v>
      </c>
      <c r="AT522" s="451">
        <f t="shared" si="449"/>
        <v>0</v>
      </c>
      <c r="AU522" s="451">
        <f t="shared" si="449"/>
        <v>0</v>
      </c>
      <c r="AV522" s="451">
        <f t="shared" si="449"/>
        <v>307789.65000000002</v>
      </c>
      <c r="AW522" s="451">
        <f t="shared" si="449"/>
        <v>307789.65000000002</v>
      </c>
      <c r="AY522" s="451">
        <f t="shared" ref="AY522:BH523" si="450">SUMIFS(AY$4:AY$471,_12MonResults_RateClass,$D522,_12MonResults_Period,$E522)</f>
        <v>8579.68</v>
      </c>
      <c r="AZ522" s="451">
        <f t="shared" si="450"/>
        <v>3902.0699999999997</v>
      </c>
      <c r="BA522" s="451">
        <f t="shared" si="450"/>
        <v>7816.47</v>
      </c>
      <c r="BB522" s="451">
        <f t="shared" si="450"/>
        <v>0</v>
      </c>
      <c r="BC522" s="451">
        <f t="shared" si="450"/>
        <v>0</v>
      </c>
      <c r="BD522" s="451">
        <f t="shared" si="450"/>
        <v>328087.86999999994</v>
      </c>
      <c r="BE522" s="451">
        <f t="shared" si="450"/>
        <v>328087.87</v>
      </c>
      <c r="BF522" s="451">
        <f t="shared" si="450"/>
        <v>0</v>
      </c>
      <c r="BG522" s="451">
        <f t="shared" si="450"/>
        <v>102829.84000000001</v>
      </c>
      <c r="BH522" s="451">
        <f t="shared" si="450"/>
        <v>161712.01</v>
      </c>
    </row>
    <row r="523" spans="4:60">
      <c r="D523" s="403" t="str">
        <f>D522</f>
        <v>AES</v>
      </c>
      <c r="E523" s="403" t="s">
        <v>1490</v>
      </c>
      <c r="F523" s="432">
        <f>SUMIFS(F$4:F$471,_12MonResults_RateClass,$D523,_12MonResults_Period,$E523)</f>
        <v>2229</v>
      </c>
      <c r="G523" s="432">
        <f>SUMIFS(G$4:G$471,_12MonResults_RateClass,$D523,_12MonResults_Period,$E523)</f>
        <v>0</v>
      </c>
      <c r="K523" s="431">
        <f>SUMIFS(K$4:K$471,_12MonResults_RateClass,$D523,_12MonResults_Period,$E523)</f>
        <v>4021524</v>
      </c>
      <c r="M523" s="597">
        <f t="shared" si="447"/>
        <v>0</v>
      </c>
      <c r="N523" s="597">
        <f t="shared" si="447"/>
        <v>0</v>
      </c>
      <c r="O523" s="597">
        <f t="shared" si="447"/>
        <v>0</v>
      </c>
      <c r="AG523" s="451">
        <f t="shared" si="448"/>
        <v>44580</v>
      </c>
      <c r="AH523" s="451">
        <f t="shared" si="448"/>
        <v>299201.39</v>
      </c>
      <c r="AI523" s="451">
        <f t="shared" si="448"/>
        <v>0</v>
      </c>
      <c r="AJ523" s="451">
        <f t="shared" si="448"/>
        <v>0</v>
      </c>
      <c r="AK523" s="451">
        <f t="shared" si="448"/>
        <v>0</v>
      </c>
      <c r="AL523" s="451">
        <f t="shared" si="448"/>
        <v>0</v>
      </c>
      <c r="AM523" s="451">
        <f t="shared" si="448"/>
        <v>0</v>
      </c>
      <c r="AN523" s="451">
        <f t="shared" si="448"/>
        <v>0</v>
      </c>
      <c r="AO523" s="451">
        <f t="shared" si="448"/>
        <v>0</v>
      </c>
      <c r="AP523" s="451">
        <f t="shared" si="448"/>
        <v>0</v>
      </c>
      <c r="AQ523" s="451">
        <f t="shared" si="449"/>
        <v>0</v>
      </c>
      <c r="AR523" s="451">
        <f t="shared" si="449"/>
        <v>0</v>
      </c>
      <c r="AS523" s="451">
        <f t="shared" si="449"/>
        <v>0</v>
      </c>
      <c r="AT523" s="451">
        <f t="shared" si="449"/>
        <v>0</v>
      </c>
      <c r="AU523" s="451">
        <f t="shared" si="449"/>
        <v>0</v>
      </c>
      <c r="AV523" s="451">
        <f t="shared" si="449"/>
        <v>343781.38999999996</v>
      </c>
      <c r="AW523" s="451">
        <f t="shared" si="449"/>
        <v>343780</v>
      </c>
      <c r="AY523" s="451">
        <f t="shared" si="450"/>
        <v>6513</v>
      </c>
      <c r="AZ523" s="451">
        <f t="shared" si="450"/>
        <v>6686</v>
      </c>
      <c r="BA523" s="451">
        <f t="shared" si="450"/>
        <v>13505</v>
      </c>
      <c r="BB523" s="451">
        <f t="shared" si="450"/>
        <v>0</v>
      </c>
      <c r="BC523" s="451">
        <f t="shared" si="450"/>
        <v>0</v>
      </c>
      <c r="BD523" s="451">
        <f t="shared" si="450"/>
        <v>370484</v>
      </c>
      <c r="BE523" s="451">
        <f t="shared" si="450"/>
        <v>370485.38999999996</v>
      </c>
      <c r="BF523" s="451">
        <f t="shared" si="450"/>
        <v>-1.3899999999994179</v>
      </c>
      <c r="BG523" s="451">
        <f t="shared" si="450"/>
        <v>116302.45999999999</v>
      </c>
      <c r="BH523" s="451">
        <f t="shared" si="450"/>
        <v>182898.93</v>
      </c>
    </row>
    <row r="524" spans="4:60">
      <c r="E524" s="403" t="s">
        <v>70</v>
      </c>
      <c r="F524" s="432">
        <f>F522-F523</f>
        <v>-92</v>
      </c>
      <c r="G524" s="432">
        <f>G522-G523</f>
        <v>43</v>
      </c>
      <c r="K524" s="431">
        <f>K522-K523</f>
        <v>-465858</v>
      </c>
      <c r="L524" s="409"/>
      <c r="M524" s="965">
        <f>M522-M523</f>
        <v>20372.600000000002</v>
      </c>
      <c r="N524" s="965">
        <f>N522-N523</f>
        <v>0</v>
      </c>
      <c r="O524" s="965">
        <f>O522-O523</f>
        <v>0</v>
      </c>
      <c r="AG524" s="448">
        <f t="shared" ref="AG524:AW524" si="451">AG522-AG523</f>
        <v>-980</v>
      </c>
      <c r="AH524" s="448">
        <f t="shared" si="451"/>
        <v>-34659.870000000054</v>
      </c>
      <c r="AI524" s="448">
        <f t="shared" si="451"/>
        <v>0</v>
      </c>
      <c r="AJ524" s="448">
        <f t="shared" si="451"/>
        <v>0</v>
      </c>
      <c r="AK524" s="448">
        <f t="shared" si="451"/>
        <v>0</v>
      </c>
      <c r="AL524" s="448">
        <f t="shared" si="451"/>
        <v>0</v>
      </c>
      <c r="AM524" s="448">
        <f t="shared" si="451"/>
        <v>0</v>
      </c>
      <c r="AN524" s="448">
        <f t="shared" si="451"/>
        <v>0</v>
      </c>
      <c r="AO524" s="448">
        <f t="shared" si="451"/>
        <v>0</v>
      </c>
      <c r="AP524" s="448">
        <f t="shared" si="451"/>
        <v>-352.20000000000005</v>
      </c>
      <c r="AQ524" s="448">
        <f t="shared" si="451"/>
        <v>0.33000000000000007</v>
      </c>
      <c r="AR524" s="448">
        <f t="shared" si="451"/>
        <v>0</v>
      </c>
      <c r="AS524" s="448">
        <f t="shared" si="451"/>
        <v>0</v>
      </c>
      <c r="AT524" s="448">
        <f t="shared" si="451"/>
        <v>0</v>
      </c>
      <c r="AU524" s="448">
        <f t="shared" si="451"/>
        <v>0</v>
      </c>
      <c r="AV524" s="448">
        <f t="shared" si="451"/>
        <v>-35991.739999999932</v>
      </c>
      <c r="AW524" s="448">
        <f t="shared" si="451"/>
        <v>-35990.349999999977</v>
      </c>
      <c r="AY524" s="448">
        <f t="shared" ref="AY524:BH524" si="452">AY522-AY523</f>
        <v>2066.6800000000003</v>
      </c>
      <c r="AZ524" s="448">
        <f t="shared" si="452"/>
        <v>-2783.9300000000003</v>
      </c>
      <c r="BA524" s="448">
        <f t="shared" si="452"/>
        <v>-5688.53</v>
      </c>
      <c r="BB524" s="448">
        <f t="shared" si="452"/>
        <v>0</v>
      </c>
      <c r="BC524" s="448">
        <f t="shared" si="452"/>
        <v>0</v>
      </c>
      <c r="BD524" s="448">
        <f t="shared" si="452"/>
        <v>-42396.130000000063</v>
      </c>
      <c r="BE524" s="448">
        <f t="shared" si="452"/>
        <v>-42397.51999999996</v>
      </c>
      <c r="BF524" s="448">
        <f t="shared" si="452"/>
        <v>1.3899999999994179</v>
      </c>
      <c r="BG524" s="448">
        <f t="shared" si="452"/>
        <v>-13472.619999999981</v>
      </c>
      <c r="BH524" s="448">
        <f t="shared" si="452"/>
        <v>-21186.919999999984</v>
      </c>
    </row>
    <row r="526" spans="4:60">
      <c r="D526" s="410" t="s">
        <v>228</v>
      </c>
      <c r="E526" s="403" t="s">
        <v>692</v>
      </c>
      <c r="F526" s="432">
        <f>SUMIFS(F$4:F$471,_12MonResults_RateClass,$D526,_12MonResults_Period,$E526)</f>
        <v>1602</v>
      </c>
      <c r="G526" s="432">
        <f>SUMIFS(G$4:G$471,_12MonResults_RateClass,$D526,_12MonResults_Period,$E526)</f>
        <v>16</v>
      </c>
      <c r="J526" s="432"/>
      <c r="K526" s="431">
        <f>SUMIFS(K$4:K$471,_12MonResults_RateClass,$D526,_12MonResults_Period,$E526)</f>
        <v>67417534</v>
      </c>
      <c r="M526" s="597">
        <f t="shared" ref="M526:O527" si="453">SUMIFS(M$4:M$471,_12MonResults_RateClass,$D526,_12MonResults_Period,$E526)</f>
        <v>277110.90000000002</v>
      </c>
      <c r="N526" s="597">
        <f t="shared" si="453"/>
        <v>0</v>
      </c>
      <c r="O526" s="597">
        <f t="shared" si="453"/>
        <v>0</v>
      </c>
      <c r="AG526" s="451">
        <f t="shared" ref="AG526:AP527" si="454">SUMIFS(AG$4:AG$471,_12MonResults_RateClass,$D526,_12MonResults_Period,$E526)</f>
        <v>56630</v>
      </c>
      <c r="AH526" s="451">
        <f t="shared" si="454"/>
        <v>5015864.5599999996</v>
      </c>
      <c r="AI526" s="451">
        <f t="shared" si="454"/>
        <v>0</v>
      </c>
      <c r="AJ526" s="451">
        <f t="shared" si="454"/>
        <v>0</v>
      </c>
      <c r="AK526" s="451">
        <f t="shared" si="454"/>
        <v>0</v>
      </c>
      <c r="AL526" s="451">
        <f t="shared" si="454"/>
        <v>0</v>
      </c>
      <c r="AM526" s="451">
        <f t="shared" si="454"/>
        <v>0</v>
      </c>
      <c r="AN526" s="451">
        <f t="shared" si="454"/>
        <v>0</v>
      </c>
      <c r="AO526" s="451">
        <f t="shared" si="454"/>
        <v>0</v>
      </c>
      <c r="AP526" s="451">
        <f t="shared" si="454"/>
        <v>-419.68000000000006</v>
      </c>
      <c r="AQ526" s="451">
        <f t="shared" ref="AQ526:AW527" si="455">SUMIFS(AQ$4:AQ$471,_12MonResults_RateClass,$D526,_12MonResults_Period,$E526)</f>
        <v>-0.01</v>
      </c>
      <c r="AR526" s="451">
        <f t="shared" si="455"/>
        <v>0</v>
      </c>
      <c r="AS526" s="451">
        <f t="shared" si="455"/>
        <v>0</v>
      </c>
      <c r="AT526" s="451">
        <f t="shared" si="455"/>
        <v>0</v>
      </c>
      <c r="AU526" s="451">
        <f t="shared" si="455"/>
        <v>0</v>
      </c>
      <c r="AV526" s="451">
        <f t="shared" si="455"/>
        <v>5072074.870000001</v>
      </c>
      <c r="AW526" s="451">
        <f t="shared" si="455"/>
        <v>5072074.87</v>
      </c>
      <c r="AY526" s="451">
        <f t="shared" ref="AY526:BH527" si="456">SUMIFS(AY$4:AY$471,_12MonResults_RateClass,$D526,_12MonResults_Period,$E526)</f>
        <v>174231.72000000003</v>
      </c>
      <c r="AZ526" s="451">
        <f t="shared" si="456"/>
        <v>76663.53</v>
      </c>
      <c r="BA526" s="451">
        <f t="shared" si="456"/>
        <v>131429.12</v>
      </c>
      <c r="BB526" s="451">
        <f t="shared" si="456"/>
        <v>0</v>
      </c>
      <c r="BC526" s="451">
        <f t="shared" si="456"/>
        <v>0</v>
      </c>
      <c r="BD526" s="451">
        <f t="shared" si="456"/>
        <v>5454399.2400000012</v>
      </c>
      <c r="BE526" s="451">
        <f t="shared" si="456"/>
        <v>5454399.2400000002</v>
      </c>
      <c r="BF526" s="451">
        <f t="shared" si="456"/>
        <v>0</v>
      </c>
      <c r="BG526" s="451">
        <f t="shared" si="456"/>
        <v>1949715.09</v>
      </c>
      <c r="BH526" s="451">
        <f t="shared" si="456"/>
        <v>3066149.46</v>
      </c>
    </row>
    <row r="527" spans="4:60">
      <c r="D527" s="403" t="str">
        <f>D526</f>
        <v>AES3</v>
      </c>
      <c r="E527" s="403" t="s">
        <v>1490</v>
      </c>
      <c r="F527" s="432">
        <f>SUMIFS(F$4:F$471,_12MonResults_RateClass,$D527,_12MonResults_Period,$E527)</f>
        <v>1549</v>
      </c>
      <c r="G527" s="432">
        <f>SUMIFS(G$4:G$471,_12MonResults_RateClass,$D527,_12MonResults_Period,$E527)</f>
        <v>0</v>
      </c>
      <c r="K527" s="431">
        <f>SUMIFS(K$4:K$471,_12MonResults_RateClass,$D527,_12MonResults_Period,$E527)</f>
        <v>74537024</v>
      </c>
      <c r="M527" s="597">
        <f t="shared" si="453"/>
        <v>298341.48000000004</v>
      </c>
      <c r="N527" s="597">
        <f t="shared" si="453"/>
        <v>0</v>
      </c>
      <c r="O527" s="597">
        <f t="shared" si="453"/>
        <v>0</v>
      </c>
      <c r="AG527" s="451">
        <f t="shared" si="454"/>
        <v>54215</v>
      </c>
      <c r="AH527" s="451">
        <f t="shared" si="454"/>
        <v>5545554.5899999999</v>
      </c>
      <c r="AI527" s="451">
        <f t="shared" si="454"/>
        <v>0</v>
      </c>
      <c r="AJ527" s="451">
        <f t="shared" si="454"/>
        <v>0</v>
      </c>
      <c r="AK527" s="451">
        <f t="shared" si="454"/>
        <v>0</v>
      </c>
      <c r="AL527" s="451">
        <f t="shared" si="454"/>
        <v>0</v>
      </c>
      <c r="AM527" s="451">
        <f t="shared" si="454"/>
        <v>0</v>
      </c>
      <c r="AN527" s="451">
        <f t="shared" si="454"/>
        <v>0</v>
      </c>
      <c r="AO527" s="451">
        <f t="shared" si="454"/>
        <v>0</v>
      </c>
      <c r="AP527" s="451">
        <f t="shared" si="454"/>
        <v>0</v>
      </c>
      <c r="AQ527" s="451">
        <f t="shared" si="455"/>
        <v>0</v>
      </c>
      <c r="AR527" s="451">
        <f t="shared" si="455"/>
        <v>0</v>
      </c>
      <c r="AS527" s="451">
        <f t="shared" si="455"/>
        <v>0</v>
      </c>
      <c r="AT527" s="451">
        <f t="shared" si="455"/>
        <v>0</v>
      </c>
      <c r="AU527" s="451">
        <f t="shared" si="455"/>
        <v>0</v>
      </c>
      <c r="AV527" s="451">
        <f t="shared" si="455"/>
        <v>5599769.5899999999</v>
      </c>
      <c r="AW527" s="451">
        <f t="shared" si="455"/>
        <v>5599770</v>
      </c>
      <c r="AY527" s="451">
        <f t="shared" si="456"/>
        <v>120695</v>
      </c>
      <c r="AZ527" s="451">
        <f t="shared" si="456"/>
        <v>123921</v>
      </c>
      <c r="BA527" s="451">
        <f t="shared" si="456"/>
        <v>250306</v>
      </c>
      <c r="BB527" s="451">
        <f t="shared" si="456"/>
        <v>0</v>
      </c>
      <c r="BC527" s="451">
        <f t="shared" si="456"/>
        <v>0</v>
      </c>
      <c r="BD527" s="451">
        <f t="shared" si="456"/>
        <v>6094692</v>
      </c>
      <c r="BE527" s="451">
        <f t="shared" si="456"/>
        <v>6094691.5899999999</v>
      </c>
      <c r="BF527" s="451">
        <f t="shared" si="456"/>
        <v>0.40999999991618097</v>
      </c>
      <c r="BG527" s="451">
        <f t="shared" si="456"/>
        <v>2155610.73</v>
      </c>
      <c r="BH527" s="451">
        <f t="shared" si="456"/>
        <v>3389943.8600000003</v>
      </c>
    </row>
    <row r="528" spans="4:60">
      <c r="E528" s="403" t="s">
        <v>70</v>
      </c>
      <c r="F528" s="432">
        <f>F526-F527</f>
        <v>53</v>
      </c>
      <c r="G528" s="432">
        <f>G526-G527</f>
        <v>16</v>
      </c>
      <c r="K528" s="431">
        <f>K526-K527</f>
        <v>-7119490</v>
      </c>
      <c r="L528" s="409"/>
      <c r="M528" s="965">
        <f>M526-M527</f>
        <v>-21230.580000000016</v>
      </c>
      <c r="N528" s="965">
        <f>N526-N527</f>
        <v>0</v>
      </c>
      <c r="O528" s="965">
        <f>O526-O527</f>
        <v>0</v>
      </c>
      <c r="AG528" s="448">
        <f t="shared" ref="AG528:AW528" si="457">AG526-AG527</f>
        <v>2415</v>
      </c>
      <c r="AH528" s="448">
        <f t="shared" si="457"/>
        <v>-529690.03000000026</v>
      </c>
      <c r="AI528" s="448">
        <f t="shared" si="457"/>
        <v>0</v>
      </c>
      <c r="AJ528" s="448">
        <f t="shared" si="457"/>
        <v>0</v>
      </c>
      <c r="AK528" s="448">
        <f t="shared" si="457"/>
        <v>0</v>
      </c>
      <c r="AL528" s="448">
        <f t="shared" si="457"/>
        <v>0</v>
      </c>
      <c r="AM528" s="448">
        <f t="shared" si="457"/>
        <v>0</v>
      </c>
      <c r="AN528" s="448">
        <f t="shared" si="457"/>
        <v>0</v>
      </c>
      <c r="AO528" s="448">
        <f t="shared" si="457"/>
        <v>0</v>
      </c>
      <c r="AP528" s="448">
        <f t="shared" si="457"/>
        <v>-419.68000000000006</v>
      </c>
      <c r="AQ528" s="448">
        <f t="shared" si="457"/>
        <v>-0.01</v>
      </c>
      <c r="AR528" s="448">
        <f t="shared" si="457"/>
        <v>0</v>
      </c>
      <c r="AS528" s="448">
        <f t="shared" si="457"/>
        <v>0</v>
      </c>
      <c r="AT528" s="448">
        <f t="shared" si="457"/>
        <v>0</v>
      </c>
      <c r="AU528" s="448">
        <f t="shared" si="457"/>
        <v>0</v>
      </c>
      <c r="AV528" s="448">
        <f t="shared" si="457"/>
        <v>-527694.71999999881</v>
      </c>
      <c r="AW528" s="448">
        <f t="shared" si="457"/>
        <v>-527695.12999999989</v>
      </c>
      <c r="AY528" s="448">
        <f t="shared" ref="AY528:BH528" si="458">AY526-AY527</f>
        <v>53536.72000000003</v>
      </c>
      <c r="AZ528" s="448">
        <f t="shared" si="458"/>
        <v>-47257.47</v>
      </c>
      <c r="BA528" s="448">
        <f t="shared" si="458"/>
        <v>-118876.88</v>
      </c>
      <c r="BB528" s="448">
        <f t="shared" si="458"/>
        <v>0</v>
      </c>
      <c r="BC528" s="448">
        <f t="shared" si="458"/>
        <v>0</v>
      </c>
      <c r="BD528" s="448">
        <f t="shared" si="458"/>
        <v>-640292.75999999885</v>
      </c>
      <c r="BE528" s="448">
        <f t="shared" si="458"/>
        <v>-640292.34999999963</v>
      </c>
      <c r="BF528" s="448">
        <f t="shared" si="458"/>
        <v>-0.40999999991618097</v>
      </c>
      <c r="BG528" s="448">
        <f t="shared" si="458"/>
        <v>-205895.6399999999</v>
      </c>
      <c r="BH528" s="448">
        <f t="shared" si="458"/>
        <v>-323794.40000000037</v>
      </c>
    </row>
    <row r="532" spans="2:42">
      <c r="K532" s="409" t="s">
        <v>21</v>
      </c>
      <c r="L532" s="409"/>
      <c r="M532" s="403" t="s">
        <v>21</v>
      </c>
      <c r="N532" s="403" t="s">
        <v>20</v>
      </c>
      <c r="P532" s="403" t="s">
        <v>20</v>
      </c>
      <c r="AO532" s="409" t="s">
        <v>21</v>
      </c>
      <c r="AP532" s="403" t="s">
        <v>20</v>
      </c>
    </row>
    <row r="533" spans="2:42">
      <c r="B533" s="990" t="s">
        <v>1505</v>
      </c>
      <c r="C533" s="416" t="s">
        <v>21</v>
      </c>
      <c r="K533" s="510">
        <f>SUMIFS($K$4:$K$471,$B$4:$B$471,$B533,$C$4:$C$471,$C$533)</f>
        <v>0</v>
      </c>
      <c r="L533" s="510">
        <f>SUMIFS($L$4:$L$471,$B$4:$B$471,$B533,$C$4:$C$471,$C$533)</f>
        <v>0</v>
      </c>
      <c r="M533" s="409">
        <f>K533+L533</f>
        <v>0</v>
      </c>
      <c r="N533" s="510">
        <f>SUMIFS($K$4:$K$471,$B$4:$B$471,$B533,$C$4:$C$471,$C$534)</f>
        <v>0</v>
      </c>
      <c r="O533" s="510">
        <f>SUMIFS($L$4:$L$471,$B$4:$B$471,$B533,$C$4:$C$471,$C$534)</f>
        <v>0</v>
      </c>
      <c r="P533" s="409">
        <f>N533+O533</f>
        <v>0</v>
      </c>
      <c r="AO533" s="510">
        <f>SUMIFS(AV$4:AV$471,$B$4:$B$471,$B533,$C$4:$C$471,$C$533)</f>
        <v>0</v>
      </c>
      <c r="AP533" s="510">
        <f>SUMIFS(AW$4:AW$471,$B$4:$B$471,$B533,$C$4:$C$471,$C$534)</f>
        <v>0</v>
      </c>
    </row>
    <row r="534" spans="2:42">
      <c r="B534" s="991" t="s">
        <v>1506</v>
      </c>
      <c r="C534" s="416" t="s">
        <v>20</v>
      </c>
      <c r="K534" s="510">
        <f>SUMIFS($K$4:$K$471,$B$4:$B$471,$B534,$C$4:$C$471,$C$534)</f>
        <v>0</v>
      </c>
      <c r="L534" s="510">
        <f>SUMIFS($L$4:$L$471,$B$4:$B$471,$B534,$C$4:$C$471,$C$534)</f>
        <v>0</v>
      </c>
      <c r="M534" s="409">
        <f>K534+L534</f>
        <v>0</v>
      </c>
      <c r="N534" s="510">
        <f t="shared" ref="N534:N544" si="459">SUMIFS($K$4:$K$471,$B$4:$B$471,$B534,$C$4:$C$471,$C$534)</f>
        <v>0</v>
      </c>
      <c r="O534" s="510">
        <f t="shared" ref="O534:O544" si="460">SUMIFS($L$4:$L$471,$B$4:$B$471,$B534,$C$4:$C$471,$C$534)</f>
        <v>0</v>
      </c>
      <c r="P534" s="409">
        <f>N534+O534</f>
        <v>0</v>
      </c>
      <c r="AO534" s="510">
        <f t="shared" ref="AO534:AO544" si="461">SUMIFS(AV$4:AV$471,$B$4:$B$471,$B534,$C$4:$C$471,$C$533)</f>
        <v>0</v>
      </c>
      <c r="AP534" s="510">
        <f t="shared" ref="AP534:AP544" si="462">SUMIFS(AW$4:AW$471,$B$4:$B$471,$B534,$C$4:$C$471,$C$534)</f>
        <v>0</v>
      </c>
    </row>
    <row r="535" spans="2:42">
      <c r="B535" s="990" t="s">
        <v>1507</v>
      </c>
      <c r="K535" s="510">
        <f t="shared" ref="K535:K540" si="463">SUMIFS($K$4:$K$471,$B$4:$B$471,$B535,$C$4:$C$471,$C$533)</f>
        <v>109638</v>
      </c>
      <c r="L535" s="510">
        <f t="shared" ref="L535:L540" si="464">SUMIFS($L$4:$L$471,$B$4:$B$471,$B535,$C$4:$C$471,$C$533)</f>
        <v>0</v>
      </c>
      <c r="M535" s="409">
        <f t="shared" ref="M535:M540" si="465">K535+L535</f>
        <v>109638</v>
      </c>
      <c r="N535" s="510">
        <f t="shared" si="459"/>
        <v>16821</v>
      </c>
      <c r="O535" s="510">
        <f t="shared" si="460"/>
        <v>0</v>
      </c>
      <c r="P535" s="409">
        <f t="shared" ref="P535:P540" si="466">N535+O535</f>
        <v>16821</v>
      </c>
      <c r="AO535" s="510">
        <f t="shared" si="461"/>
        <v>11167.7</v>
      </c>
      <c r="AP535" s="510">
        <f t="shared" si="462"/>
        <v>1073.18</v>
      </c>
    </row>
    <row r="536" spans="2:42">
      <c r="B536" s="990" t="s">
        <v>1508</v>
      </c>
      <c r="K536" s="510">
        <f t="shared" si="463"/>
        <v>104790</v>
      </c>
      <c r="L536" s="510">
        <f t="shared" si="464"/>
        <v>0</v>
      </c>
      <c r="M536" s="409">
        <f t="shared" si="465"/>
        <v>104790</v>
      </c>
      <c r="N536" s="510">
        <f t="shared" si="459"/>
        <v>15505</v>
      </c>
      <c r="O536" s="510">
        <f t="shared" si="460"/>
        <v>0</v>
      </c>
      <c r="P536" s="409">
        <f t="shared" si="466"/>
        <v>15505</v>
      </c>
      <c r="AO536" s="510">
        <f t="shared" si="461"/>
        <v>10781.800000000001</v>
      </c>
      <c r="AP536" s="510">
        <f t="shared" si="462"/>
        <v>989.20999999999992</v>
      </c>
    </row>
    <row r="537" spans="2:42">
      <c r="B537" s="991" t="s">
        <v>1509</v>
      </c>
      <c r="K537" s="510">
        <f t="shared" si="463"/>
        <v>104112</v>
      </c>
      <c r="L537" s="510">
        <f t="shared" si="464"/>
        <v>0</v>
      </c>
      <c r="M537" s="409">
        <f t="shared" si="465"/>
        <v>104112</v>
      </c>
      <c r="N537" s="510">
        <f t="shared" si="459"/>
        <v>12593</v>
      </c>
      <c r="O537" s="510">
        <f t="shared" si="460"/>
        <v>0</v>
      </c>
      <c r="P537" s="409">
        <f t="shared" si="466"/>
        <v>12593</v>
      </c>
      <c r="AO537" s="510">
        <f t="shared" si="461"/>
        <v>10735.97</v>
      </c>
      <c r="AP537" s="510">
        <f t="shared" si="462"/>
        <v>803.43000000000006</v>
      </c>
    </row>
    <row r="538" spans="2:42">
      <c r="B538" s="991" t="s">
        <v>1510</v>
      </c>
      <c r="K538" s="510">
        <f t="shared" si="463"/>
        <v>105716</v>
      </c>
      <c r="L538" s="510">
        <f t="shared" si="464"/>
        <v>0</v>
      </c>
      <c r="M538" s="409">
        <f t="shared" si="465"/>
        <v>105716</v>
      </c>
      <c r="N538" s="510">
        <f t="shared" si="459"/>
        <v>12593</v>
      </c>
      <c r="O538" s="510">
        <f t="shared" si="460"/>
        <v>0</v>
      </c>
      <c r="P538" s="409">
        <f t="shared" si="466"/>
        <v>12593</v>
      </c>
      <c r="AO538" s="510">
        <f t="shared" si="461"/>
        <v>10870.58</v>
      </c>
      <c r="AP538" s="510">
        <f t="shared" si="462"/>
        <v>803.43</v>
      </c>
    </row>
    <row r="539" spans="2:42">
      <c r="B539" s="990" t="s">
        <v>1511</v>
      </c>
      <c r="K539" s="510">
        <f t="shared" si="463"/>
        <v>105180</v>
      </c>
      <c r="L539" s="510">
        <f t="shared" si="464"/>
        <v>0</v>
      </c>
      <c r="M539" s="409">
        <f t="shared" si="465"/>
        <v>105180</v>
      </c>
      <c r="N539" s="510">
        <f t="shared" si="459"/>
        <v>13434</v>
      </c>
      <c r="O539" s="510">
        <f t="shared" si="460"/>
        <v>0</v>
      </c>
      <c r="P539" s="409">
        <f t="shared" si="466"/>
        <v>13434</v>
      </c>
      <c r="AO539" s="510">
        <f t="shared" si="461"/>
        <v>10829.23</v>
      </c>
      <c r="AP539" s="510">
        <f t="shared" si="462"/>
        <v>857.08999999999992</v>
      </c>
    </row>
    <row r="540" spans="2:42">
      <c r="B540" s="991" t="s">
        <v>1512</v>
      </c>
      <c r="K540" s="510">
        <f t="shared" si="463"/>
        <v>115362</v>
      </c>
      <c r="L540" s="510">
        <f t="shared" si="464"/>
        <v>0</v>
      </c>
      <c r="M540" s="409">
        <f t="shared" si="465"/>
        <v>115362</v>
      </c>
      <c r="N540" s="510">
        <f t="shared" si="459"/>
        <v>13385</v>
      </c>
      <c r="O540" s="510">
        <f t="shared" si="460"/>
        <v>0</v>
      </c>
      <c r="P540" s="409">
        <f t="shared" si="466"/>
        <v>13385</v>
      </c>
      <c r="AO540" s="510">
        <f t="shared" si="461"/>
        <v>11644.610000000002</v>
      </c>
      <c r="AP540" s="510">
        <f t="shared" si="462"/>
        <v>853.96</v>
      </c>
    </row>
    <row r="541" spans="2:42">
      <c r="B541" s="991" t="s">
        <v>1513</v>
      </c>
      <c r="K541" s="510">
        <f>SUMIFS($K$4:$K$471,$B$4:$B$471,$B541,$C$4:$C$471,$C$534)</f>
        <v>0</v>
      </c>
      <c r="L541" s="510">
        <f>SUMIFS($L$4:$L$471,$B$4:$B$471,$B541,$C$4:$C$471,$C$534)</f>
        <v>0</v>
      </c>
      <c r="M541" s="409">
        <f>K541+L541</f>
        <v>0</v>
      </c>
      <c r="N541" s="510">
        <f t="shared" si="459"/>
        <v>0</v>
      </c>
      <c r="O541" s="510">
        <f t="shared" si="460"/>
        <v>0</v>
      </c>
      <c r="P541" s="409">
        <f>N541+O541</f>
        <v>0</v>
      </c>
      <c r="AO541" s="510">
        <f t="shared" si="461"/>
        <v>0</v>
      </c>
      <c r="AP541" s="510">
        <f t="shared" si="462"/>
        <v>0</v>
      </c>
    </row>
    <row r="542" spans="2:42">
      <c r="B542" s="991" t="s">
        <v>1514</v>
      </c>
      <c r="K542" s="510">
        <f>SUMIFS($K$4:$K$471,$B$4:$B$471,$B542,$C$4:$C$471,$C$534)</f>
        <v>0</v>
      </c>
      <c r="L542" s="510">
        <f>SUMIFS($L$4:$L$471,$B$4:$B$471,$B542,$C$4:$C$471,$C$534)</f>
        <v>0</v>
      </c>
      <c r="M542" s="409">
        <f>K542+L542</f>
        <v>0</v>
      </c>
      <c r="N542" s="510">
        <f t="shared" si="459"/>
        <v>0</v>
      </c>
      <c r="O542" s="510">
        <f t="shared" si="460"/>
        <v>0</v>
      </c>
      <c r="P542" s="409">
        <f>N542+O542</f>
        <v>0</v>
      </c>
      <c r="AO542" s="510">
        <f t="shared" si="461"/>
        <v>0</v>
      </c>
      <c r="AP542" s="510">
        <f t="shared" si="462"/>
        <v>0</v>
      </c>
    </row>
    <row r="543" spans="2:42">
      <c r="B543" s="991" t="s">
        <v>1515</v>
      </c>
      <c r="K543" s="510">
        <f>SUMIFS($K$4:$K$471,$B$4:$B$471,$B543,$C$4:$C$471,$C$534)</f>
        <v>0</v>
      </c>
      <c r="L543" s="510">
        <f>SUMIFS($L$4:$L$471,$B$4:$B$471,$B543,$C$4:$C$471,$C$534)</f>
        <v>0</v>
      </c>
      <c r="M543" s="409">
        <f>K543+L543</f>
        <v>0</v>
      </c>
      <c r="N543" s="510">
        <f t="shared" si="459"/>
        <v>0</v>
      </c>
      <c r="O543" s="510">
        <f t="shared" si="460"/>
        <v>0</v>
      </c>
      <c r="P543" s="409">
        <f>N543+O543</f>
        <v>0</v>
      </c>
      <c r="AO543" s="510">
        <f t="shared" si="461"/>
        <v>0</v>
      </c>
      <c r="AP543" s="510">
        <f t="shared" si="462"/>
        <v>0</v>
      </c>
    </row>
    <row r="544" spans="2:42">
      <c r="B544" s="991" t="s">
        <v>1516</v>
      </c>
      <c r="K544" s="510">
        <f>SUMIFS($K$4:$K$471,$B$4:$B$471,$B544,$C$4:$C$471,$C$534)</f>
        <v>0</v>
      </c>
      <c r="L544" s="510">
        <f>SUMIFS($L$4:$L$471,$B$4:$B$471,$B544,$C$4:$C$471,$C$534)</f>
        <v>0</v>
      </c>
      <c r="M544" s="409">
        <f>K544+L544</f>
        <v>0</v>
      </c>
      <c r="N544" s="510">
        <f t="shared" si="459"/>
        <v>0</v>
      </c>
      <c r="O544" s="510">
        <f t="shared" si="460"/>
        <v>0</v>
      </c>
      <c r="P544" s="409">
        <f>N544+O544</f>
        <v>0</v>
      </c>
      <c r="AO544" s="510">
        <f t="shared" si="461"/>
        <v>0</v>
      </c>
      <c r="AP544" s="510">
        <f t="shared" si="462"/>
        <v>0</v>
      </c>
    </row>
  </sheetData>
  <autoFilter ref="A3:BI471">
    <filterColumn colId="2">
      <filters>
        <filter val="PSP"/>
      </filters>
    </filterColumn>
  </autoFilter>
  <mergeCells count="1">
    <mergeCell ref="BM1:BO2"/>
  </mergeCells>
  <conditionalFormatting sqref="AX465:AX471 AX4:AX30 AX34:AX69 AX75:AX108 AX114:AX147 AX153:AX186 AX192:AX225 AX231:AX264 AX270:AX303 AX309:AX342 AX348:AX381 AX387:AX420 AX426:AX459">
    <cfRule type="cellIs" dxfId="5" priority="37" operator="notEqual">
      <formula>1</formula>
    </cfRule>
  </conditionalFormatting>
  <conditionalFormatting sqref="AX32:AX33">
    <cfRule type="cellIs" dxfId="4" priority="36" operator="notEqual">
      <formula>1</formula>
    </cfRule>
  </conditionalFormatting>
  <conditionalFormatting sqref="AX31:AX35">
    <cfRule type="cellIs" dxfId="3" priority="35" operator="notEqual">
      <formula>1</formula>
    </cfRule>
  </conditionalFormatting>
  <conditionalFormatting sqref="AX460:AX464 AX421:AX425 AX382:AX386 AX343:AX347 AX304:AX308 AX265:AX269 AX226:AX230 AX187:AX191 AX148:AX152 AX109:AX113 AX70:AX74">
    <cfRule type="cellIs" dxfId="2" priority="1" operator="notEqual">
      <formula>1</formula>
    </cfRule>
  </conditionalFormatting>
  <pageMargins left="0.7" right="0.7"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O1167"/>
  <sheetViews>
    <sheetView workbookViewId="0"/>
  </sheetViews>
  <sheetFormatPr defaultRowHeight="12"/>
  <cols>
    <col min="1" max="1" width="6.83203125" style="34" customWidth="1"/>
    <col min="2" max="2" width="12.33203125" style="978" bestFit="1" customWidth="1"/>
    <col min="3" max="3" width="9.5" style="978" bestFit="1" customWidth="1"/>
    <col min="4" max="4" width="15" style="978" bestFit="1" customWidth="1"/>
    <col min="5" max="5" width="12.1640625" style="979" customWidth="1"/>
    <col min="6" max="6" width="12.1640625" style="978" customWidth="1"/>
    <col min="7" max="8" width="16.5" style="978" customWidth="1"/>
    <col min="9" max="10" width="11.33203125" style="978" customWidth="1"/>
    <col min="11" max="11" width="16" style="978" customWidth="1"/>
    <col min="12" max="13" width="18.6640625" style="34" customWidth="1"/>
    <col min="14" max="15" width="15.1640625" style="34" bestFit="1" customWidth="1"/>
    <col min="16" max="18" width="14.1640625" style="34" bestFit="1" customWidth="1"/>
    <col min="19" max="19" width="13.33203125" style="34" customWidth="1"/>
    <col min="20" max="20" width="17.6640625" style="34" customWidth="1"/>
    <col min="21" max="21" width="17" style="34" customWidth="1"/>
    <col min="22" max="22" width="15.83203125" style="34" bestFit="1" customWidth="1"/>
    <col min="23" max="23" width="15.1640625" style="34" bestFit="1" customWidth="1"/>
    <col min="24" max="24" width="9.33203125" style="34"/>
    <col min="25" max="25" width="11.5" style="34" bestFit="1" customWidth="1"/>
    <col min="26" max="26" width="13.33203125" style="34" customWidth="1"/>
    <col min="27" max="29" width="9.33203125" style="34"/>
    <col min="30" max="30" width="10.1640625" style="978" bestFit="1" customWidth="1"/>
    <col min="31" max="31" width="21.6640625" style="978" bestFit="1" customWidth="1"/>
    <col min="32" max="32" width="18.6640625" style="34" bestFit="1" customWidth="1"/>
    <col min="33" max="33" width="9.33203125" style="980"/>
    <col min="34" max="36" width="9.33203125" style="34"/>
    <col min="37" max="37" width="11.33203125" style="34" bestFit="1" customWidth="1"/>
    <col min="38" max="38" width="9.33203125" style="34"/>
    <col min="39" max="39" width="9.5" style="34" bestFit="1" customWidth="1"/>
    <col min="40" max="16384" width="9.33203125" style="34"/>
  </cols>
  <sheetData>
    <row r="1" spans="1:41" s="975" customFormat="1" ht="50.25" customHeight="1">
      <c r="A1" s="969" t="s">
        <v>34</v>
      </c>
      <c r="B1" s="969" t="s">
        <v>77</v>
      </c>
      <c r="C1" s="969" t="s">
        <v>35</v>
      </c>
      <c r="D1" s="969" t="s">
        <v>51</v>
      </c>
      <c r="E1" s="970" t="s">
        <v>52</v>
      </c>
      <c r="F1" s="971" t="s">
        <v>1283</v>
      </c>
      <c r="G1" s="972" t="s">
        <v>36</v>
      </c>
      <c r="H1" s="971" t="s">
        <v>1284</v>
      </c>
      <c r="I1" s="972" t="s">
        <v>672</v>
      </c>
      <c r="J1" s="972" t="s">
        <v>1162</v>
      </c>
      <c r="K1" s="972" t="s">
        <v>673</v>
      </c>
      <c r="L1" s="971" t="s">
        <v>1285</v>
      </c>
      <c r="M1" s="971" t="s">
        <v>1286</v>
      </c>
      <c r="N1" s="972" t="s">
        <v>43</v>
      </c>
      <c r="O1" s="972" t="s">
        <v>44</v>
      </c>
      <c r="P1" s="973" t="s">
        <v>45</v>
      </c>
      <c r="Q1" s="969" t="s">
        <v>46</v>
      </c>
      <c r="R1" s="969" t="s">
        <v>47</v>
      </c>
      <c r="S1" s="969" t="s">
        <v>48</v>
      </c>
      <c r="T1" s="969" t="s">
        <v>49</v>
      </c>
      <c r="U1" s="974" t="s">
        <v>674</v>
      </c>
      <c r="V1" s="969" t="s">
        <v>666</v>
      </c>
      <c r="W1" s="969" t="s">
        <v>667</v>
      </c>
      <c r="Y1" s="975" t="s">
        <v>1095</v>
      </c>
      <c r="Z1" s="975" t="s">
        <v>1258</v>
      </c>
      <c r="AD1" s="34" t="s">
        <v>668</v>
      </c>
      <c r="AE1" s="34" t="s">
        <v>669</v>
      </c>
      <c r="AF1" s="34" t="s">
        <v>670</v>
      </c>
      <c r="AG1" s="976"/>
      <c r="AH1" s="975">
        <f>MiscData!$AB$115</f>
        <v>0</v>
      </c>
      <c r="AI1" s="975" t="s">
        <v>671</v>
      </c>
      <c r="AK1" s="975" t="s">
        <v>6</v>
      </c>
      <c r="AL1" s="975" t="s">
        <v>11</v>
      </c>
    </row>
    <row r="2" spans="1:41">
      <c r="A2" s="389">
        <v>1</v>
      </c>
      <c r="B2" s="395" t="str">
        <f t="shared" ref="B2:B65" si="0">TEXT(AD2,"mmm yyyy")</f>
        <v>Jan 2015</v>
      </c>
      <c r="C2" s="396" t="str">
        <f t="shared" ref="C2:C65" si="1">AL2</f>
        <v>LS</v>
      </c>
      <c r="D2" s="396" t="str">
        <f t="shared" ref="D2:D65" si="2">AK2</f>
        <v>KUUM_300</v>
      </c>
      <c r="E2" s="394">
        <f t="shared" ref="E2:E65" si="3">SUMIFS(_1055_Light_Count,_1055_RevMonth,$B2,_1055_RateCategory,$D2)</f>
        <v>0</v>
      </c>
      <c r="F2" s="397">
        <v>0</v>
      </c>
      <c r="G2" s="394">
        <f t="shared" ref="G2:G65" si="4">SUMIFS(_SBR_KWH,_SBR_Revenue_Month,$B2,_SBR_Rate_Category,$D2)</f>
        <v>0</v>
      </c>
      <c r="H2" s="394">
        <v>0</v>
      </c>
      <c r="I2" s="390">
        <f>SUMIF(_Lights_Tariff_Category,$AE2,_Lights_Rates)</f>
        <v>22.49</v>
      </c>
      <c r="J2" s="390">
        <f t="shared" ref="J2:J65" si="5">SUMIF(_Lights_Tariff_Category,$AE2,_Rates_Lights_BaseFAC)</f>
        <v>0.58000000000000185</v>
      </c>
      <c r="K2" s="391">
        <f>ROUND(($E2+$F2)*$I2,2)</f>
        <v>0</v>
      </c>
      <c r="L2" s="398">
        <v>0</v>
      </c>
      <c r="M2" s="398">
        <v>0</v>
      </c>
      <c r="N2" s="164">
        <f t="shared" ref="N2:N65" si="6">SUM(K2:M2)</f>
        <v>0</v>
      </c>
      <c r="O2" s="399">
        <f t="shared" ref="O2:O65" si="7">U2-SUM(Q2:T2)</f>
        <v>0</v>
      </c>
      <c r="P2" s="392">
        <f>IF(AND(N2=0,O2=0),1,IF(N2=0,0,ROUND(O2/N2,6)))</f>
        <v>1</v>
      </c>
      <c r="Q2" s="164">
        <f t="shared" ref="Q2:Q65" si="8">SUMIFS(_SBR_FAC,_SBR_Revenue_Month,$B2,_SBR_Rate_Category,$D2)</f>
        <v>0</v>
      </c>
      <c r="R2" s="164">
        <f t="shared" ref="R2:R65" si="9">SUMIFS(_SBR_DSM,_SBR_Revenue_Month,$B2,_SBR_Rate_Category,$D2)</f>
        <v>0</v>
      </c>
      <c r="S2" s="164">
        <f t="shared" ref="S2:S65" si="10">SUMIFS(_SBR_ECR,_SBR_Revenue_Month,$B2,_SBR_Rate_Category,$D2)</f>
        <v>0</v>
      </c>
      <c r="T2" s="164">
        <f t="shared" ref="T2:T65" si="11">SUMIFS(_SBR_MSR,_SBR_Revenue_Month,$B2,_SBR_Rate_Category,$D2)</f>
        <v>0</v>
      </c>
      <c r="U2" s="164">
        <f t="shared" ref="U2:U65" si="12">SUMIFS(_SBR_Revenue_Actual,_SBR_Revenue_Month,$B2,_SBR_Rate_Category,$D2)</f>
        <v>0</v>
      </c>
      <c r="V2" s="393">
        <f t="shared" ref="V2:V65" si="13">SUM(N2,Q2:T2)</f>
        <v>0</v>
      </c>
      <c r="W2" s="393">
        <f t="shared" ref="W2:W65" si="14">U2-V2</f>
        <v>0</v>
      </c>
      <c r="Y2" s="393">
        <f>ROUND(E2*J2,2)</f>
        <v>0</v>
      </c>
      <c r="Z2" s="393">
        <f>O2-Y2</f>
        <v>0</v>
      </c>
      <c r="AD2" s="977">
        <f>MiscData!$A$5</f>
        <v>42035</v>
      </c>
      <c r="AE2" s="389" t="str">
        <f t="shared" ref="AE2:AE65" si="15">CONCATENATE(AI2&amp;AK2)</f>
        <v>20140101KUUM_300</v>
      </c>
      <c r="AF2" s="437" t="str">
        <f t="shared" ref="AF2:AF65" si="16">CONCATENATE(AI2&amp;AL2)</f>
        <v>20140101LS</v>
      </c>
      <c r="AG2" s="438"/>
      <c r="AH2" s="34">
        <f>IF(AH1=MiscData!$AB$91,1,AH1+1)</f>
        <v>1</v>
      </c>
      <c r="AI2" s="34">
        <f>IF(AD2&lt;=MiscData!$B$23,MiscData!$C$23,IF(AD2&lt;=MiscData!$B$24,MiscData!$C$24,MiscData!$C$25))</f>
        <v>20140101</v>
      </c>
      <c r="AK2" s="439" t="str">
        <f>VLOOKUP(AM2,MiscData!$AB$4:$ACB$113,2,FALSE)</f>
        <v>KUUM_300</v>
      </c>
      <c r="AL2" s="439" t="str">
        <f>VLOOKUP(AM2,MiscData!$AB$4:$AE$115,4,FALSE)</f>
        <v>LS</v>
      </c>
      <c r="AM2" s="34">
        <v>1</v>
      </c>
      <c r="AN2" s="34" t="s">
        <v>732</v>
      </c>
      <c r="AO2" s="34">
        <f>MiscData!AB115</f>
        <v>0</v>
      </c>
    </row>
    <row r="3" spans="1:41">
      <c r="A3" s="389">
        <f>A2+1</f>
        <v>2</v>
      </c>
      <c r="B3" s="395" t="str">
        <f t="shared" si="0"/>
        <v>Jan 2015</v>
      </c>
      <c r="C3" s="396" t="str">
        <f t="shared" si="1"/>
        <v>LS</v>
      </c>
      <c r="D3" s="396" t="str">
        <f t="shared" si="2"/>
        <v>KUUM_301</v>
      </c>
      <c r="E3" s="394">
        <f t="shared" si="3"/>
        <v>0</v>
      </c>
      <c r="F3" s="397">
        <v>0</v>
      </c>
      <c r="G3" s="394">
        <f t="shared" si="4"/>
        <v>0</v>
      </c>
      <c r="H3" s="394">
        <v>0</v>
      </c>
      <c r="I3" s="390">
        <f t="shared" ref="I3:I65" si="17">SUMIF(_Lights_Tariff_Category,$AE3,_Lights_Rates)</f>
        <v>23.5</v>
      </c>
      <c r="J3" s="390">
        <f t="shared" si="5"/>
        <v>1.129999999999999</v>
      </c>
      <c r="K3" s="391">
        <f t="shared" ref="K3:K66" si="18">ROUND(($E3+$F3)*$I3,2)</f>
        <v>0</v>
      </c>
      <c r="L3" s="398">
        <v>0</v>
      </c>
      <c r="M3" s="398">
        <v>0</v>
      </c>
      <c r="N3" s="164">
        <f t="shared" si="6"/>
        <v>0</v>
      </c>
      <c r="O3" s="399">
        <f t="shared" si="7"/>
        <v>0</v>
      </c>
      <c r="P3" s="392">
        <f t="shared" ref="P3:P66" si="19">IF(AND(N3=0,O3=0),1,IF(N3=0,0,ROUND(O3/N3,6)))</f>
        <v>1</v>
      </c>
      <c r="Q3" s="164">
        <f t="shared" si="8"/>
        <v>0</v>
      </c>
      <c r="R3" s="164">
        <f t="shared" si="9"/>
        <v>0</v>
      </c>
      <c r="S3" s="164">
        <f t="shared" si="10"/>
        <v>0</v>
      </c>
      <c r="T3" s="164">
        <f t="shared" si="11"/>
        <v>0</v>
      </c>
      <c r="U3" s="164">
        <f t="shared" si="12"/>
        <v>0</v>
      </c>
      <c r="V3" s="393">
        <f t="shared" si="13"/>
        <v>0</v>
      </c>
      <c r="W3" s="393">
        <f t="shared" si="14"/>
        <v>0</v>
      </c>
      <c r="Y3" s="393">
        <f t="shared" ref="Y3:Y66" si="20">ROUND(E3*J3,2)</f>
        <v>0</v>
      </c>
      <c r="Z3" s="393">
        <f t="shared" ref="Z3:Z66" si="21">O3-Y3</f>
        <v>0</v>
      </c>
      <c r="AD3" s="395">
        <f>IF(AH3&gt;AH2,AD2,IF(AD2&lt;MiscData!$F$1,EOMONTH(AD2,1),EOMONTH(AD2,-11)))</f>
        <v>42035</v>
      </c>
      <c r="AE3" s="389" t="str">
        <f t="shared" si="15"/>
        <v>20140101KUUM_301</v>
      </c>
      <c r="AF3" s="437" t="str">
        <f t="shared" si="16"/>
        <v>20140101LS</v>
      </c>
      <c r="AG3" s="438"/>
      <c r="AH3" s="34">
        <f>IF(AH2=MiscData!$AB$91,1,AH2+1)</f>
        <v>2</v>
      </c>
      <c r="AI3" s="34">
        <f>IF(AD3&lt;=MiscData!$B$23,MiscData!$C$23,IF(AD3&lt;=MiscData!$B$24,MiscData!$C$24,MiscData!$C$25))</f>
        <v>20140101</v>
      </c>
      <c r="AK3" s="439" t="str">
        <f>VLOOKUP(AM3,MiscData!$AB$4:$ACB$113,2,FALSE)</f>
        <v>KUUM_301</v>
      </c>
      <c r="AL3" s="439" t="str">
        <f>VLOOKUP(AM3,MiscData!$AB$4:$AE$115,4,FALSE)</f>
        <v>LS</v>
      </c>
      <c r="AM3" s="34">
        <f>IF(AM2=MiscData!$AB$91,1,AM2+1)</f>
        <v>2</v>
      </c>
    </row>
    <row r="4" spans="1:41">
      <c r="A4" s="389">
        <f t="shared" ref="A4:A67" si="22">A3+1</f>
        <v>3</v>
      </c>
      <c r="B4" s="395" t="str">
        <f t="shared" si="0"/>
        <v>Jan 2015</v>
      </c>
      <c r="C4" s="396" t="str">
        <f t="shared" si="1"/>
        <v>LS</v>
      </c>
      <c r="D4" s="396" t="str">
        <f t="shared" si="2"/>
        <v>KUUM_360</v>
      </c>
      <c r="E4" s="394">
        <f t="shared" si="3"/>
        <v>172</v>
      </c>
      <c r="F4" s="397">
        <v>0</v>
      </c>
      <c r="G4" s="394">
        <f t="shared" si="4"/>
        <v>0</v>
      </c>
      <c r="H4" s="394">
        <v>0</v>
      </c>
      <c r="I4" s="390">
        <f t="shared" si="17"/>
        <v>55.33</v>
      </c>
      <c r="J4" s="390">
        <f t="shared" si="5"/>
        <v>1.75</v>
      </c>
      <c r="K4" s="391">
        <f t="shared" si="18"/>
        <v>9516.76</v>
      </c>
      <c r="L4" s="398">
        <v>0</v>
      </c>
      <c r="M4" s="398">
        <v>0</v>
      </c>
      <c r="N4" s="164">
        <f t="shared" si="6"/>
        <v>9516.76</v>
      </c>
      <c r="O4" s="399">
        <f t="shared" si="7"/>
        <v>0</v>
      </c>
      <c r="P4" s="392">
        <f t="shared" si="19"/>
        <v>0</v>
      </c>
      <c r="Q4" s="164">
        <f t="shared" si="8"/>
        <v>0</v>
      </c>
      <c r="R4" s="164">
        <f t="shared" si="9"/>
        <v>0</v>
      </c>
      <c r="S4" s="164">
        <f t="shared" si="10"/>
        <v>0</v>
      </c>
      <c r="T4" s="164">
        <f t="shared" si="11"/>
        <v>0</v>
      </c>
      <c r="U4" s="164">
        <f t="shared" si="12"/>
        <v>0</v>
      </c>
      <c r="V4" s="393">
        <f t="shared" si="13"/>
        <v>9516.76</v>
      </c>
      <c r="W4" s="393">
        <f t="shared" si="14"/>
        <v>-9516.76</v>
      </c>
      <c r="Y4" s="393">
        <f t="shared" si="20"/>
        <v>301</v>
      </c>
      <c r="Z4" s="393">
        <f t="shared" si="21"/>
        <v>-301</v>
      </c>
      <c r="AD4" s="395">
        <f>IF(AH4&gt;AH3,AD3,IF(AD3&lt;MiscData!$F$1,EOMONTH(AD3,1),EOMONTH(AD3,-11)))</f>
        <v>42035</v>
      </c>
      <c r="AE4" s="389" t="str">
        <f t="shared" si="15"/>
        <v>20140101KUUM_360</v>
      </c>
      <c r="AF4" s="437" t="str">
        <f t="shared" si="16"/>
        <v>20140101LS</v>
      </c>
      <c r="AG4" s="438"/>
      <c r="AH4" s="34">
        <f>IF(AH3=MiscData!$AB$91,1,AH3+1)</f>
        <v>3</v>
      </c>
      <c r="AI4" s="34">
        <f>IF(AD4&lt;=MiscData!$B$23,MiscData!$C$23,IF(AD4&lt;=MiscData!$B$24,MiscData!$C$24,MiscData!$C$25))</f>
        <v>20140101</v>
      </c>
      <c r="AK4" s="439" t="str">
        <f>VLOOKUP(AM4,MiscData!$AB$4:$ACB$113,2,FALSE)</f>
        <v>KUUM_360</v>
      </c>
      <c r="AL4" s="439" t="str">
        <f>VLOOKUP(AM4,MiscData!$AB$4:$AE$115,4,FALSE)</f>
        <v>LS</v>
      </c>
      <c r="AM4" s="34">
        <f>IF(AM3=MiscData!$AB$91,1,AM3+1)</f>
        <v>3</v>
      </c>
    </row>
    <row r="5" spans="1:41">
      <c r="A5" s="389">
        <f t="shared" si="22"/>
        <v>4</v>
      </c>
      <c r="B5" s="395" t="str">
        <f t="shared" si="0"/>
        <v>Jan 2015</v>
      </c>
      <c r="C5" s="396" t="str">
        <f t="shared" si="1"/>
        <v>LS</v>
      </c>
      <c r="D5" s="396" t="str">
        <f t="shared" si="2"/>
        <v>KUUM_361</v>
      </c>
      <c r="E5" s="394">
        <f t="shared" si="3"/>
        <v>26</v>
      </c>
      <c r="F5" s="397">
        <v>0</v>
      </c>
      <c r="G5" s="394">
        <f t="shared" si="4"/>
        <v>0</v>
      </c>
      <c r="H5" s="394">
        <v>0</v>
      </c>
      <c r="I5" s="390">
        <f t="shared" si="17"/>
        <v>83.16</v>
      </c>
      <c r="J5" s="390">
        <f t="shared" si="5"/>
        <v>1.75</v>
      </c>
      <c r="K5" s="391">
        <f t="shared" si="18"/>
        <v>2162.16</v>
      </c>
      <c r="L5" s="398">
        <v>0</v>
      </c>
      <c r="M5" s="398">
        <v>0</v>
      </c>
      <c r="N5" s="164">
        <f t="shared" si="6"/>
        <v>2162.16</v>
      </c>
      <c r="O5" s="399">
        <f t="shared" si="7"/>
        <v>0</v>
      </c>
      <c r="P5" s="392">
        <f t="shared" si="19"/>
        <v>0</v>
      </c>
      <c r="Q5" s="164">
        <f t="shared" si="8"/>
        <v>0</v>
      </c>
      <c r="R5" s="164">
        <f t="shared" si="9"/>
        <v>0</v>
      </c>
      <c r="S5" s="164">
        <f t="shared" si="10"/>
        <v>0</v>
      </c>
      <c r="T5" s="164">
        <f t="shared" si="11"/>
        <v>0</v>
      </c>
      <c r="U5" s="164">
        <f t="shared" si="12"/>
        <v>0</v>
      </c>
      <c r="V5" s="393">
        <f t="shared" si="13"/>
        <v>2162.16</v>
      </c>
      <c r="W5" s="393">
        <f t="shared" si="14"/>
        <v>-2162.16</v>
      </c>
      <c r="Y5" s="393">
        <f t="shared" si="20"/>
        <v>45.5</v>
      </c>
      <c r="Z5" s="393">
        <f t="shared" si="21"/>
        <v>-45.5</v>
      </c>
      <c r="AD5" s="395">
        <f>IF(AH5&gt;AH4,AD4,IF(AD4&lt;MiscData!$F$1,EOMONTH(AD4,1),EOMONTH(AD4,-11)))</f>
        <v>42035</v>
      </c>
      <c r="AE5" s="389" t="str">
        <f t="shared" si="15"/>
        <v>20140101KUUM_361</v>
      </c>
      <c r="AF5" s="437" t="str">
        <f t="shared" si="16"/>
        <v>20140101LS</v>
      </c>
      <c r="AG5" s="438"/>
      <c r="AH5" s="34">
        <f>IF(AH4=MiscData!$AB$91,1,AH4+1)</f>
        <v>4</v>
      </c>
      <c r="AI5" s="34">
        <f>IF(AD5&lt;=MiscData!$B$23,MiscData!$C$23,IF(AD5&lt;=MiscData!$B$24,MiscData!$C$24,MiscData!$C$25))</f>
        <v>20140101</v>
      </c>
      <c r="AK5" s="439" t="str">
        <f>VLOOKUP(AM5,MiscData!$AB$4:$ACB$113,2,FALSE)</f>
        <v>KUUM_361</v>
      </c>
      <c r="AL5" s="439" t="str">
        <f>VLOOKUP(AM5,MiscData!$AB$4:$AE$115,4,FALSE)</f>
        <v>LS</v>
      </c>
      <c r="AM5" s="34">
        <f>IF(AM4=MiscData!$AB$91,1,AM4+1)</f>
        <v>4</v>
      </c>
    </row>
    <row r="6" spans="1:41">
      <c r="A6" s="389">
        <f t="shared" si="22"/>
        <v>5</v>
      </c>
      <c r="B6" s="395" t="str">
        <f t="shared" si="0"/>
        <v>Jan 2015</v>
      </c>
      <c r="C6" s="396" t="str">
        <f t="shared" si="1"/>
        <v>LS</v>
      </c>
      <c r="D6" s="396" t="str">
        <f t="shared" si="2"/>
        <v>KUUM_362</v>
      </c>
      <c r="E6" s="394">
        <f t="shared" si="3"/>
        <v>44</v>
      </c>
      <c r="F6" s="397">
        <v>0</v>
      </c>
      <c r="G6" s="394">
        <f t="shared" si="4"/>
        <v>0</v>
      </c>
      <c r="H6" s="394">
        <v>0</v>
      </c>
      <c r="I6" s="390">
        <f t="shared" si="17"/>
        <v>59.78</v>
      </c>
      <c r="J6" s="390">
        <f t="shared" si="5"/>
        <v>1.75</v>
      </c>
      <c r="K6" s="391">
        <f t="shared" si="18"/>
        <v>2630.32</v>
      </c>
      <c r="L6" s="398">
        <v>0</v>
      </c>
      <c r="M6" s="398">
        <v>0</v>
      </c>
      <c r="N6" s="164">
        <f t="shared" si="6"/>
        <v>2630.32</v>
      </c>
      <c r="O6" s="399">
        <f t="shared" si="7"/>
        <v>0</v>
      </c>
      <c r="P6" s="392">
        <f t="shared" si="19"/>
        <v>0</v>
      </c>
      <c r="Q6" s="164">
        <f t="shared" si="8"/>
        <v>0</v>
      </c>
      <c r="R6" s="164">
        <f t="shared" si="9"/>
        <v>0</v>
      </c>
      <c r="S6" s="164">
        <f t="shared" si="10"/>
        <v>0</v>
      </c>
      <c r="T6" s="164">
        <f t="shared" si="11"/>
        <v>0</v>
      </c>
      <c r="U6" s="164">
        <f t="shared" si="12"/>
        <v>0</v>
      </c>
      <c r="V6" s="393">
        <f t="shared" si="13"/>
        <v>2630.32</v>
      </c>
      <c r="W6" s="393">
        <f t="shared" si="14"/>
        <v>-2630.32</v>
      </c>
      <c r="Y6" s="393">
        <f t="shared" si="20"/>
        <v>77</v>
      </c>
      <c r="Z6" s="393">
        <f t="shared" si="21"/>
        <v>-77</v>
      </c>
      <c r="AD6" s="395">
        <f>IF(AH6&gt;AH5,AD5,IF(AD5&lt;MiscData!$F$1,EOMONTH(AD5,1),EOMONTH(AD5,-11)))</f>
        <v>42035</v>
      </c>
      <c r="AE6" s="389" t="str">
        <f t="shared" si="15"/>
        <v>20140101KUUM_362</v>
      </c>
      <c r="AF6" s="437" t="str">
        <f t="shared" si="16"/>
        <v>20140101LS</v>
      </c>
      <c r="AG6" s="438"/>
      <c r="AH6" s="34">
        <f>IF(AH5=MiscData!$AB$91,1,AH5+1)</f>
        <v>5</v>
      </c>
      <c r="AI6" s="34">
        <f>IF(AD6&lt;=MiscData!$B$23,MiscData!$C$23,IF(AD6&lt;=MiscData!$B$24,MiscData!$C$24,MiscData!$C$25))</f>
        <v>20140101</v>
      </c>
      <c r="AK6" s="439" t="str">
        <f>VLOOKUP(AM6,MiscData!$AB$4:$ACB$113,2,FALSE)</f>
        <v>KUUM_362</v>
      </c>
      <c r="AL6" s="439" t="str">
        <f>VLOOKUP(AM6,MiscData!$AB$4:$AE$115,4,FALSE)</f>
        <v>LS</v>
      </c>
      <c r="AM6" s="34">
        <f>IF(AM5=MiscData!$AB$91,1,AM5+1)</f>
        <v>5</v>
      </c>
    </row>
    <row r="7" spans="1:41">
      <c r="A7" s="389">
        <f t="shared" si="22"/>
        <v>6</v>
      </c>
      <c r="B7" s="395" t="str">
        <f t="shared" si="0"/>
        <v>Jan 2015</v>
      </c>
      <c r="C7" s="396" t="str">
        <f t="shared" si="1"/>
        <v>LS</v>
      </c>
      <c r="D7" s="396" t="str">
        <f t="shared" si="2"/>
        <v>KUUM_363</v>
      </c>
      <c r="E7" s="394">
        <f t="shared" si="3"/>
        <v>5</v>
      </c>
      <c r="F7" s="397">
        <v>0</v>
      </c>
      <c r="G7" s="394">
        <f t="shared" si="4"/>
        <v>0</v>
      </c>
      <c r="H7" s="394">
        <v>0</v>
      </c>
      <c r="I7" s="390">
        <f t="shared" si="17"/>
        <v>61.75</v>
      </c>
      <c r="J7" s="390">
        <f t="shared" si="5"/>
        <v>1.75</v>
      </c>
      <c r="K7" s="391">
        <f t="shared" si="18"/>
        <v>308.75</v>
      </c>
      <c r="L7" s="398">
        <v>0</v>
      </c>
      <c r="M7" s="398">
        <v>0</v>
      </c>
      <c r="N7" s="164">
        <f t="shared" si="6"/>
        <v>308.75</v>
      </c>
      <c r="O7" s="399">
        <f t="shared" si="7"/>
        <v>0</v>
      </c>
      <c r="P7" s="392">
        <f t="shared" si="19"/>
        <v>0</v>
      </c>
      <c r="Q7" s="164">
        <f t="shared" si="8"/>
        <v>0</v>
      </c>
      <c r="R7" s="164">
        <f t="shared" si="9"/>
        <v>0</v>
      </c>
      <c r="S7" s="164">
        <f t="shared" si="10"/>
        <v>0</v>
      </c>
      <c r="T7" s="164">
        <f t="shared" si="11"/>
        <v>0</v>
      </c>
      <c r="U7" s="164">
        <f t="shared" si="12"/>
        <v>0</v>
      </c>
      <c r="V7" s="393">
        <f t="shared" si="13"/>
        <v>308.75</v>
      </c>
      <c r="W7" s="393">
        <f t="shared" si="14"/>
        <v>-308.75</v>
      </c>
      <c r="Y7" s="393">
        <f t="shared" si="20"/>
        <v>8.75</v>
      </c>
      <c r="Z7" s="393">
        <f t="shared" si="21"/>
        <v>-8.75</v>
      </c>
      <c r="AD7" s="395">
        <f>IF(AH7&gt;AH6,AD6,IF(AD6&lt;MiscData!$F$1,EOMONTH(AD6,1),EOMONTH(AD6,-11)))</f>
        <v>42035</v>
      </c>
      <c r="AE7" s="389" t="str">
        <f t="shared" si="15"/>
        <v>20140101KUUM_363</v>
      </c>
      <c r="AF7" s="437" t="str">
        <f t="shared" si="16"/>
        <v>20140101LS</v>
      </c>
      <c r="AG7" s="438"/>
      <c r="AH7" s="34">
        <f>IF(AH6=MiscData!$AB$91,1,AH6+1)</f>
        <v>6</v>
      </c>
      <c r="AI7" s="34">
        <f>IF(AD7&lt;=MiscData!$B$23,MiscData!$C$23,IF(AD7&lt;=MiscData!$B$24,MiscData!$C$24,MiscData!$C$25))</f>
        <v>20140101</v>
      </c>
      <c r="AK7" s="439" t="str">
        <f>VLOOKUP(AM7,MiscData!$AB$4:$ACB$113,2,FALSE)</f>
        <v>KUUM_363</v>
      </c>
      <c r="AL7" s="439" t="str">
        <f>VLOOKUP(AM7,MiscData!$AB$4:$AE$115,4,FALSE)</f>
        <v>LS</v>
      </c>
      <c r="AM7" s="34">
        <f>IF(AM6=MiscData!$AB$91,1,AM6+1)</f>
        <v>6</v>
      </c>
    </row>
    <row r="8" spans="1:41">
      <c r="A8" s="389">
        <f t="shared" si="22"/>
        <v>7</v>
      </c>
      <c r="B8" s="395" t="str">
        <f t="shared" si="0"/>
        <v>Jan 2015</v>
      </c>
      <c r="C8" s="396" t="str">
        <f t="shared" si="1"/>
        <v>LS</v>
      </c>
      <c r="D8" s="396" t="str">
        <f t="shared" si="2"/>
        <v>KUUM_364</v>
      </c>
      <c r="E8" s="394">
        <f t="shared" si="3"/>
        <v>1</v>
      </c>
      <c r="F8" s="397">
        <v>0</v>
      </c>
      <c r="G8" s="394">
        <f t="shared" si="4"/>
        <v>0</v>
      </c>
      <c r="H8" s="394">
        <v>0</v>
      </c>
      <c r="I8" s="390">
        <f t="shared" si="17"/>
        <v>63.11</v>
      </c>
      <c r="J8" s="390">
        <f t="shared" si="5"/>
        <v>1.75</v>
      </c>
      <c r="K8" s="391">
        <f t="shared" si="18"/>
        <v>63.11</v>
      </c>
      <c r="L8" s="398">
        <v>0</v>
      </c>
      <c r="M8" s="398">
        <v>0</v>
      </c>
      <c r="N8" s="164">
        <f t="shared" si="6"/>
        <v>63.11</v>
      </c>
      <c r="O8" s="399">
        <f t="shared" si="7"/>
        <v>0</v>
      </c>
      <c r="P8" s="392">
        <f t="shared" si="19"/>
        <v>0</v>
      </c>
      <c r="Q8" s="164">
        <f t="shared" si="8"/>
        <v>0</v>
      </c>
      <c r="R8" s="164">
        <f t="shared" si="9"/>
        <v>0</v>
      </c>
      <c r="S8" s="164">
        <f t="shared" si="10"/>
        <v>0</v>
      </c>
      <c r="T8" s="164">
        <f t="shared" si="11"/>
        <v>0</v>
      </c>
      <c r="U8" s="164">
        <f t="shared" si="12"/>
        <v>0</v>
      </c>
      <c r="V8" s="393">
        <f t="shared" si="13"/>
        <v>63.11</v>
      </c>
      <c r="W8" s="393">
        <f t="shared" si="14"/>
        <v>-63.11</v>
      </c>
      <c r="Y8" s="393">
        <f t="shared" si="20"/>
        <v>1.75</v>
      </c>
      <c r="Z8" s="393">
        <f t="shared" si="21"/>
        <v>-1.75</v>
      </c>
      <c r="AD8" s="395">
        <f>IF(AH8&gt;AH7,AD7,IF(AD7&lt;MiscData!$F$1,EOMONTH(AD7,1),EOMONTH(AD7,-11)))</f>
        <v>42035</v>
      </c>
      <c r="AE8" s="389" t="str">
        <f t="shared" si="15"/>
        <v>20140101KUUM_364</v>
      </c>
      <c r="AF8" s="437" t="str">
        <f t="shared" si="16"/>
        <v>20140101LS</v>
      </c>
      <c r="AG8" s="438"/>
      <c r="AH8" s="34">
        <f>IF(AH7=MiscData!$AB$91,1,AH7+1)</f>
        <v>7</v>
      </c>
      <c r="AI8" s="34">
        <f>IF(AD8&lt;=MiscData!$B$23,MiscData!$C$23,IF(AD8&lt;=MiscData!$B$24,MiscData!$C$24,MiscData!$C$25))</f>
        <v>20140101</v>
      </c>
      <c r="AK8" s="439" t="str">
        <f>VLOOKUP(AM8,MiscData!$AB$4:$ACB$113,2,FALSE)</f>
        <v>KUUM_364</v>
      </c>
      <c r="AL8" s="439" t="str">
        <f>VLOOKUP(AM8,MiscData!$AB$4:$AE$115,4,FALSE)</f>
        <v>LS</v>
      </c>
      <c r="AM8" s="34">
        <f>IF(AM7=MiscData!$AB$91,1,AM7+1)</f>
        <v>7</v>
      </c>
    </row>
    <row r="9" spans="1:41">
      <c r="A9" s="389">
        <f t="shared" si="22"/>
        <v>8</v>
      </c>
      <c r="B9" s="395" t="str">
        <f t="shared" si="0"/>
        <v>Jan 2015</v>
      </c>
      <c r="C9" s="396" t="str">
        <f t="shared" si="1"/>
        <v>LS</v>
      </c>
      <c r="D9" s="396" t="str">
        <f t="shared" si="2"/>
        <v>KUUM_365</v>
      </c>
      <c r="E9" s="394">
        <f t="shared" si="3"/>
        <v>5</v>
      </c>
      <c r="F9" s="397">
        <v>0</v>
      </c>
      <c r="G9" s="394">
        <f t="shared" si="4"/>
        <v>0</v>
      </c>
      <c r="H9" s="394">
        <v>0</v>
      </c>
      <c r="I9" s="390">
        <f t="shared" si="17"/>
        <v>80.94</v>
      </c>
      <c r="J9" s="390">
        <f t="shared" si="5"/>
        <v>1.75</v>
      </c>
      <c r="K9" s="391">
        <f t="shared" si="18"/>
        <v>404.7</v>
      </c>
      <c r="L9" s="398">
        <v>0</v>
      </c>
      <c r="M9" s="398">
        <v>0</v>
      </c>
      <c r="N9" s="164">
        <f t="shared" si="6"/>
        <v>404.7</v>
      </c>
      <c r="O9" s="399">
        <f t="shared" si="7"/>
        <v>0</v>
      </c>
      <c r="P9" s="392">
        <f t="shared" si="19"/>
        <v>0</v>
      </c>
      <c r="Q9" s="164">
        <f t="shared" si="8"/>
        <v>0</v>
      </c>
      <c r="R9" s="164">
        <f t="shared" si="9"/>
        <v>0</v>
      </c>
      <c r="S9" s="164">
        <f t="shared" si="10"/>
        <v>0</v>
      </c>
      <c r="T9" s="164">
        <f t="shared" si="11"/>
        <v>0</v>
      </c>
      <c r="U9" s="164">
        <f t="shared" si="12"/>
        <v>0</v>
      </c>
      <c r="V9" s="393">
        <f t="shared" si="13"/>
        <v>404.7</v>
      </c>
      <c r="W9" s="393">
        <f t="shared" si="14"/>
        <v>-404.7</v>
      </c>
      <c r="Y9" s="393">
        <f t="shared" si="20"/>
        <v>8.75</v>
      </c>
      <c r="Z9" s="393">
        <f t="shared" si="21"/>
        <v>-8.75</v>
      </c>
      <c r="AD9" s="395">
        <f>IF(AH9&gt;AH8,AD8,IF(AD8&lt;MiscData!$F$1,EOMONTH(AD8,1),EOMONTH(AD8,-11)))</f>
        <v>42035</v>
      </c>
      <c r="AE9" s="389" t="str">
        <f t="shared" si="15"/>
        <v>20140101KUUM_365</v>
      </c>
      <c r="AF9" s="437" t="str">
        <f t="shared" si="16"/>
        <v>20140101LS</v>
      </c>
      <c r="AG9" s="438"/>
      <c r="AH9" s="34">
        <f>IF(AH8=MiscData!$AB$91,1,AH8+1)</f>
        <v>8</v>
      </c>
      <c r="AI9" s="34">
        <f>IF(AD9&lt;=MiscData!$B$23,MiscData!$C$23,IF(AD9&lt;=MiscData!$B$24,MiscData!$C$24,MiscData!$C$25))</f>
        <v>20140101</v>
      </c>
      <c r="AK9" s="439" t="str">
        <f>VLOOKUP(AM9,MiscData!$AB$4:$ACB$113,2,FALSE)</f>
        <v>KUUM_365</v>
      </c>
      <c r="AL9" s="439" t="str">
        <f>VLOOKUP(AM9,MiscData!$AB$4:$AE$115,4,FALSE)</f>
        <v>LS</v>
      </c>
      <c r="AM9" s="34">
        <f>IF(AM8=MiscData!$AB$91,1,AM8+1)</f>
        <v>8</v>
      </c>
    </row>
    <row r="10" spans="1:41">
      <c r="A10" s="389">
        <f t="shared" si="22"/>
        <v>9</v>
      </c>
      <c r="B10" s="395" t="str">
        <f t="shared" si="0"/>
        <v>Jan 2015</v>
      </c>
      <c r="C10" s="396" t="str">
        <f t="shared" si="1"/>
        <v>LS</v>
      </c>
      <c r="D10" s="396" t="str">
        <f t="shared" si="2"/>
        <v>KUUM_366</v>
      </c>
      <c r="E10" s="394">
        <f t="shared" si="3"/>
        <v>10</v>
      </c>
      <c r="F10" s="397">
        <v>0</v>
      </c>
      <c r="G10" s="394">
        <f t="shared" si="4"/>
        <v>0</v>
      </c>
      <c r="H10" s="394">
        <v>0</v>
      </c>
      <c r="I10" s="390">
        <f t="shared" si="17"/>
        <v>78.97</v>
      </c>
      <c r="J10" s="390">
        <f t="shared" si="5"/>
        <v>1.75</v>
      </c>
      <c r="K10" s="391">
        <f t="shared" si="18"/>
        <v>789.7</v>
      </c>
      <c r="L10" s="398">
        <v>0</v>
      </c>
      <c r="M10" s="398">
        <v>0</v>
      </c>
      <c r="N10" s="164">
        <f t="shared" si="6"/>
        <v>789.7</v>
      </c>
      <c r="O10" s="399">
        <f t="shared" si="7"/>
        <v>0</v>
      </c>
      <c r="P10" s="392">
        <f t="shared" si="19"/>
        <v>0</v>
      </c>
      <c r="Q10" s="164">
        <f t="shared" si="8"/>
        <v>0</v>
      </c>
      <c r="R10" s="164">
        <f t="shared" si="9"/>
        <v>0</v>
      </c>
      <c r="S10" s="164">
        <f t="shared" si="10"/>
        <v>0</v>
      </c>
      <c r="T10" s="164">
        <f t="shared" si="11"/>
        <v>0</v>
      </c>
      <c r="U10" s="164">
        <f t="shared" si="12"/>
        <v>0</v>
      </c>
      <c r="V10" s="393">
        <f t="shared" si="13"/>
        <v>789.7</v>
      </c>
      <c r="W10" s="393">
        <f t="shared" si="14"/>
        <v>-789.7</v>
      </c>
      <c r="Y10" s="393">
        <f t="shared" si="20"/>
        <v>17.5</v>
      </c>
      <c r="Z10" s="393">
        <f t="shared" si="21"/>
        <v>-17.5</v>
      </c>
      <c r="AD10" s="395">
        <f>IF(AH10&gt;AH9,AD9,IF(AD9&lt;MiscData!$F$1,EOMONTH(AD9,1),EOMONTH(AD9,-11)))</f>
        <v>42035</v>
      </c>
      <c r="AE10" s="389" t="str">
        <f t="shared" si="15"/>
        <v>20140101KUUM_366</v>
      </c>
      <c r="AF10" s="437" t="str">
        <f t="shared" si="16"/>
        <v>20140101LS</v>
      </c>
      <c r="AG10" s="438"/>
      <c r="AH10" s="34">
        <f>IF(AH9=MiscData!$AB$91,1,AH9+1)</f>
        <v>9</v>
      </c>
      <c r="AI10" s="34">
        <f>IF(AD10&lt;=MiscData!$B$23,MiscData!$C$23,IF(AD10&lt;=MiscData!$B$24,MiscData!$C$24,MiscData!$C$25))</f>
        <v>20140101</v>
      </c>
      <c r="AK10" s="439" t="str">
        <f>VLOOKUP(AM10,MiscData!$AB$4:$ACB$113,2,FALSE)</f>
        <v>KUUM_366</v>
      </c>
      <c r="AL10" s="439" t="str">
        <f>VLOOKUP(AM10,MiscData!$AB$4:$AE$115,4,FALSE)</f>
        <v>LS</v>
      </c>
      <c r="AM10" s="34">
        <f>IF(AM9=MiscData!$AB$91,1,AM9+1)</f>
        <v>9</v>
      </c>
    </row>
    <row r="11" spans="1:41">
      <c r="A11" s="389">
        <f t="shared" si="22"/>
        <v>10</v>
      </c>
      <c r="B11" s="395" t="str">
        <f t="shared" si="0"/>
        <v>Jan 2015</v>
      </c>
      <c r="C11" s="396" t="str">
        <f t="shared" si="1"/>
        <v>LS</v>
      </c>
      <c r="D11" s="396" t="str">
        <f t="shared" si="2"/>
        <v>KUUM_367</v>
      </c>
      <c r="E11" s="394">
        <f t="shared" si="3"/>
        <v>24</v>
      </c>
      <c r="F11" s="397">
        <v>0</v>
      </c>
      <c r="G11" s="394">
        <f t="shared" si="4"/>
        <v>0</v>
      </c>
      <c r="H11" s="394">
        <v>0</v>
      </c>
      <c r="I11" s="390">
        <f t="shared" si="17"/>
        <v>61.230000000000004</v>
      </c>
      <c r="J11" s="390">
        <f t="shared" si="5"/>
        <v>1.75</v>
      </c>
      <c r="K11" s="391">
        <f t="shared" si="18"/>
        <v>1469.52</v>
      </c>
      <c r="L11" s="398">
        <v>0</v>
      </c>
      <c r="M11" s="398">
        <v>0</v>
      </c>
      <c r="N11" s="164">
        <f t="shared" si="6"/>
        <v>1469.52</v>
      </c>
      <c r="O11" s="399">
        <f t="shared" si="7"/>
        <v>0</v>
      </c>
      <c r="P11" s="392">
        <f t="shared" si="19"/>
        <v>0</v>
      </c>
      <c r="Q11" s="164">
        <f t="shared" si="8"/>
        <v>0</v>
      </c>
      <c r="R11" s="164">
        <f t="shared" si="9"/>
        <v>0</v>
      </c>
      <c r="S11" s="164">
        <f t="shared" si="10"/>
        <v>0</v>
      </c>
      <c r="T11" s="164">
        <f t="shared" si="11"/>
        <v>0</v>
      </c>
      <c r="U11" s="164">
        <f t="shared" si="12"/>
        <v>0</v>
      </c>
      <c r="V11" s="393">
        <f t="shared" si="13"/>
        <v>1469.52</v>
      </c>
      <c r="W11" s="393">
        <f t="shared" si="14"/>
        <v>-1469.52</v>
      </c>
      <c r="Y11" s="393">
        <f t="shared" si="20"/>
        <v>42</v>
      </c>
      <c r="Z11" s="393">
        <f t="shared" si="21"/>
        <v>-42</v>
      </c>
      <c r="AD11" s="395">
        <f>IF(AH11&gt;AH10,AD10,IF(AD10&lt;MiscData!$F$1,EOMONTH(AD10,1),EOMONTH(AD10,-11)))</f>
        <v>42035</v>
      </c>
      <c r="AE11" s="389" t="str">
        <f t="shared" si="15"/>
        <v>20140101KUUM_367</v>
      </c>
      <c r="AF11" s="437" t="str">
        <f t="shared" si="16"/>
        <v>20140101LS</v>
      </c>
      <c r="AG11" s="438"/>
      <c r="AH11" s="34">
        <f>IF(AH10=MiscData!$AB$91,1,AH10+1)</f>
        <v>10</v>
      </c>
      <c r="AI11" s="34">
        <f>IF(AD11&lt;=MiscData!$B$23,MiscData!$C$23,IF(AD11&lt;=MiscData!$B$24,MiscData!$C$24,MiscData!$C$25))</f>
        <v>20140101</v>
      </c>
      <c r="AK11" s="439" t="str">
        <f>VLOOKUP(AM11,MiscData!$AB$4:$ACB$113,2,FALSE)</f>
        <v>KUUM_367</v>
      </c>
      <c r="AL11" s="439" t="str">
        <f>VLOOKUP(AM11,MiscData!$AB$4:$AE$115,4,FALSE)</f>
        <v>LS</v>
      </c>
      <c r="AM11" s="34">
        <f>IF(AM10=MiscData!$AB$91,1,AM10+1)</f>
        <v>10</v>
      </c>
    </row>
    <row r="12" spans="1:41">
      <c r="A12" s="389">
        <f t="shared" si="22"/>
        <v>11</v>
      </c>
      <c r="B12" s="395" t="str">
        <f t="shared" si="0"/>
        <v>Jan 2015</v>
      </c>
      <c r="C12" s="396" t="str">
        <f t="shared" si="1"/>
        <v>LS</v>
      </c>
      <c r="D12" s="396" t="str">
        <f t="shared" si="2"/>
        <v>KUUM_368</v>
      </c>
      <c r="E12" s="394">
        <f t="shared" si="3"/>
        <v>1</v>
      </c>
      <c r="F12" s="397">
        <v>0</v>
      </c>
      <c r="G12" s="394">
        <f t="shared" si="4"/>
        <v>0</v>
      </c>
      <c r="H12" s="394">
        <v>0</v>
      </c>
      <c r="I12" s="390">
        <f t="shared" si="17"/>
        <v>56.69</v>
      </c>
      <c r="J12" s="390">
        <f t="shared" si="5"/>
        <v>1.75</v>
      </c>
      <c r="K12" s="391">
        <f t="shared" si="18"/>
        <v>56.69</v>
      </c>
      <c r="L12" s="398">
        <v>0</v>
      </c>
      <c r="M12" s="398">
        <v>0</v>
      </c>
      <c r="N12" s="164">
        <f t="shared" si="6"/>
        <v>56.69</v>
      </c>
      <c r="O12" s="399">
        <f t="shared" si="7"/>
        <v>0</v>
      </c>
      <c r="P12" s="392">
        <f t="shared" si="19"/>
        <v>0</v>
      </c>
      <c r="Q12" s="164">
        <f t="shared" si="8"/>
        <v>0</v>
      </c>
      <c r="R12" s="164">
        <f t="shared" si="9"/>
        <v>0</v>
      </c>
      <c r="S12" s="164">
        <f t="shared" si="10"/>
        <v>0</v>
      </c>
      <c r="T12" s="164">
        <f t="shared" si="11"/>
        <v>0</v>
      </c>
      <c r="U12" s="164">
        <f t="shared" si="12"/>
        <v>0</v>
      </c>
      <c r="V12" s="393">
        <f t="shared" si="13"/>
        <v>56.69</v>
      </c>
      <c r="W12" s="393">
        <f t="shared" si="14"/>
        <v>-56.69</v>
      </c>
      <c r="Y12" s="393">
        <f t="shared" si="20"/>
        <v>1.75</v>
      </c>
      <c r="Z12" s="393">
        <f t="shared" si="21"/>
        <v>-1.75</v>
      </c>
      <c r="AD12" s="395">
        <f>IF(AH12&gt;AH11,AD11,IF(AD11&lt;MiscData!$F$1,EOMONTH(AD11,1),EOMONTH(AD11,-11)))</f>
        <v>42035</v>
      </c>
      <c r="AE12" s="389" t="str">
        <f t="shared" si="15"/>
        <v>20140101KUUM_368</v>
      </c>
      <c r="AF12" s="437" t="str">
        <f t="shared" si="16"/>
        <v>20140101LS</v>
      </c>
      <c r="AG12" s="438"/>
      <c r="AH12" s="34">
        <f>IF(AH11=MiscData!$AB$91,1,AH11+1)</f>
        <v>11</v>
      </c>
      <c r="AI12" s="34">
        <f>IF(AD12&lt;=MiscData!$B$23,MiscData!$C$23,IF(AD12&lt;=MiscData!$B$24,MiscData!$C$24,MiscData!$C$25))</f>
        <v>20140101</v>
      </c>
      <c r="AK12" s="439" t="str">
        <f>VLOOKUP(AM12,MiscData!$AB$4:$ACB$113,2,FALSE)</f>
        <v>KUUM_368</v>
      </c>
      <c r="AL12" s="439" t="str">
        <f>VLOOKUP(AM12,MiscData!$AB$4:$AE$115,4,FALSE)</f>
        <v>LS</v>
      </c>
      <c r="AM12" s="34">
        <f>IF(AM11=MiscData!$AB$91,1,AM11+1)</f>
        <v>11</v>
      </c>
    </row>
    <row r="13" spans="1:41">
      <c r="A13" s="389">
        <f t="shared" si="22"/>
        <v>12</v>
      </c>
      <c r="B13" s="395" t="str">
        <f t="shared" si="0"/>
        <v>Jan 2015</v>
      </c>
      <c r="C13" s="396" t="str">
        <f t="shared" si="1"/>
        <v>LS</v>
      </c>
      <c r="D13" s="396" t="str">
        <f t="shared" si="2"/>
        <v>KUUM_370</v>
      </c>
      <c r="E13" s="394">
        <f t="shared" si="3"/>
        <v>16</v>
      </c>
      <c r="F13" s="397">
        <v>0</v>
      </c>
      <c r="G13" s="394">
        <f t="shared" si="4"/>
        <v>0</v>
      </c>
      <c r="H13" s="394">
        <v>0</v>
      </c>
      <c r="I13" s="390">
        <f t="shared" si="17"/>
        <v>74.52</v>
      </c>
      <c r="J13" s="390">
        <f t="shared" si="5"/>
        <v>1.75</v>
      </c>
      <c r="K13" s="391">
        <f t="shared" si="18"/>
        <v>1192.32</v>
      </c>
      <c r="L13" s="398">
        <v>0</v>
      </c>
      <c r="M13" s="398">
        <v>0</v>
      </c>
      <c r="N13" s="164">
        <f t="shared" si="6"/>
        <v>1192.32</v>
      </c>
      <c r="O13" s="399">
        <f t="shared" si="7"/>
        <v>0</v>
      </c>
      <c r="P13" s="392">
        <f t="shared" si="19"/>
        <v>0</v>
      </c>
      <c r="Q13" s="164">
        <f t="shared" si="8"/>
        <v>0</v>
      </c>
      <c r="R13" s="164">
        <f t="shared" si="9"/>
        <v>0</v>
      </c>
      <c r="S13" s="164">
        <f t="shared" si="10"/>
        <v>0</v>
      </c>
      <c r="T13" s="164">
        <f t="shared" si="11"/>
        <v>0</v>
      </c>
      <c r="U13" s="164">
        <f t="shared" si="12"/>
        <v>0</v>
      </c>
      <c r="V13" s="393">
        <f t="shared" si="13"/>
        <v>1192.32</v>
      </c>
      <c r="W13" s="393">
        <f t="shared" si="14"/>
        <v>-1192.32</v>
      </c>
      <c r="Y13" s="393">
        <f t="shared" si="20"/>
        <v>28</v>
      </c>
      <c r="Z13" s="393">
        <f t="shared" si="21"/>
        <v>-28</v>
      </c>
      <c r="AD13" s="395">
        <f>IF(AH13&gt;AH12,AD12,IF(AD12&lt;MiscData!$F$1,EOMONTH(AD12,1),EOMONTH(AD12,-11)))</f>
        <v>42035</v>
      </c>
      <c r="AE13" s="389" t="str">
        <f t="shared" si="15"/>
        <v>20140101KUUM_370</v>
      </c>
      <c r="AF13" s="437" t="str">
        <f t="shared" si="16"/>
        <v>20140101LS</v>
      </c>
      <c r="AG13" s="438"/>
      <c r="AH13" s="34">
        <f>IF(AH12=MiscData!$AB$91,1,AH12+1)</f>
        <v>12</v>
      </c>
      <c r="AI13" s="34">
        <f>IF(AD13&lt;=MiscData!$B$23,MiscData!$C$23,IF(AD13&lt;=MiscData!$B$24,MiscData!$C$24,MiscData!$C$25))</f>
        <v>20140101</v>
      </c>
      <c r="AK13" s="439" t="str">
        <f>VLOOKUP(AM13,MiscData!$AB$4:$ACB$113,2,FALSE)</f>
        <v>KUUM_370</v>
      </c>
      <c r="AL13" s="439" t="str">
        <f>VLOOKUP(AM13,MiscData!$AB$4:$AE$115,4,FALSE)</f>
        <v>LS</v>
      </c>
      <c r="AM13" s="34">
        <f>IF(AM12=MiscData!$AB$91,1,AM12+1)</f>
        <v>12</v>
      </c>
    </row>
    <row r="14" spans="1:41">
      <c r="A14" s="389">
        <f t="shared" si="22"/>
        <v>13</v>
      </c>
      <c r="B14" s="395" t="str">
        <f t="shared" si="0"/>
        <v>Jan 2015</v>
      </c>
      <c r="C14" s="396" t="str">
        <f t="shared" si="1"/>
        <v>LS</v>
      </c>
      <c r="D14" s="396" t="str">
        <f t="shared" si="2"/>
        <v>KUUM_372</v>
      </c>
      <c r="E14" s="394">
        <f t="shared" si="3"/>
        <v>1</v>
      </c>
      <c r="F14" s="397">
        <v>0</v>
      </c>
      <c r="G14" s="394">
        <f t="shared" si="4"/>
        <v>0</v>
      </c>
      <c r="H14" s="394">
        <v>0</v>
      </c>
      <c r="I14" s="390">
        <f t="shared" si="17"/>
        <v>82.3</v>
      </c>
      <c r="J14" s="390">
        <f t="shared" si="5"/>
        <v>1.75</v>
      </c>
      <c r="K14" s="391">
        <f t="shared" si="18"/>
        <v>82.3</v>
      </c>
      <c r="L14" s="398">
        <v>0</v>
      </c>
      <c r="M14" s="398">
        <v>0</v>
      </c>
      <c r="N14" s="164">
        <f t="shared" si="6"/>
        <v>82.3</v>
      </c>
      <c r="O14" s="399">
        <f t="shared" si="7"/>
        <v>0</v>
      </c>
      <c r="P14" s="392">
        <f t="shared" si="19"/>
        <v>0</v>
      </c>
      <c r="Q14" s="164">
        <f t="shared" si="8"/>
        <v>0</v>
      </c>
      <c r="R14" s="164">
        <f t="shared" si="9"/>
        <v>0</v>
      </c>
      <c r="S14" s="164">
        <f t="shared" si="10"/>
        <v>0</v>
      </c>
      <c r="T14" s="164">
        <f t="shared" si="11"/>
        <v>0</v>
      </c>
      <c r="U14" s="164">
        <f t="shared" si="12"/>
        <v>0</v>
      </c>
      <c r="V14" s="393">
        <f t="shared" si="13"/>
        <v>82.3</v>
      </c>
      <c r="W14" s="393">
        <f t="shared" si="14"/>
        <v>-82.3</v>
      </c>
      <c r="Y14" s="393">
        <f t="shared" si="20"/>
        <v>1.75</v>
      </c>
      <c r="Z14" s="393">
        <f t="shared" si="21"/>
        <v>-1.75</v>
      </c>
      <c r="AD14" s="395">
        <f>IF(AH14&gt;AH13,AD13,IF(AD13&lt;MiscData!$F$1,EOMONTH(AD13,1),EOMONTH(AD13,-11)))</f>
        <v>42035</v>
      </c>
      <c r="AE14" s="389" t="str">
        <f t="shared" si="15"/>
        <v>20140101KUUM_372</v>
      </c>
      <c r="AF14" s="437" t="str">
        <f t="shared" si="16"/>
        <v>20140101LS</v>
      </c>
      <c r="AG14" s="438"/>
      <c r="AH14" s="34">
        <f>IF(AH13=MiscData!$AB$91,1,AH13+1)</f>
        <v>13</v>
      </c>
      <c r="AI14" s="34">
        <f>IF(AD14&lt;=MiscData!$B$23,MiscData!$C$23,IF(AD14&lt;=MiscData!$B$24,MiscData!$C$24,MiscData!$C$25))</f>
        <v>20140101</v>
      </c>
      <c r="AK14" s="439" t="str">
        <f>VLOOKUP(AM14,MiscData!$AB$4:$ACB$113,2,FALSE)</f>
        <v>KUUM_372</v>
      </c>
      <c r="AL14" s="439" t="str">
        <f>VLOOKUP(AM14,MiscData!$AB$4:$AE$115,4,FALSE)</f>
        <v>LS</v>
      </c>
      <c r="AM14" s="34">
        <f>IF(AM13=MiscData!$AB$91,1,AM13+1)</f>
        <v>13</v>
      </c>
    </row>
    <row r="15" spans="1:41">
      <c r="A15" s="389">
        <f t="shared" si="22"/>
        <v>14</v>
      </c>
      <c r="B15" s="395" t="str">
        <f t="shared" si="0"/>
        <v>Jan 2015</v>
      </c>
      <c r="C15" s="396" t="str">
        <f t="shared" si="1"/>
        <v>LS</v>
      </c>
      <c r="D15" s="396" t="str">
        <f t="shared" si="2"/>
        <v>KUUM_373</v>
      </c>
      <c r="E15" s="394">
        <f t="shared" si="3"/>
        <v>19</v>
      </c>
      <c r="F15" s="397">
        <v>0</v>
      </c>
      <c r="G15" s="394">
        <f t="shared" si="4"/>
        <v>0</v>
      </c>
      <c r="H15" s="394">
        <v>0</v>
      </c>
      <c r="I15" s="390">
        <f t="shared" si="17"/>
        <v>74.52</v>
      </c>
      <c r="J15" s="390">
        <f t="shared" si="5"/>
        <v>1.75</v>
      </c>
      <c r="K15" s="391">
        <f t="shared" si="18"/>
        <v>1415.88</v>
      </c>
      <c r="L15" s="398">
        <v>0</v>
      </c>
      <c r="M15" s="398">
        <v>0</v>
      </c>
      <c r="N15" s="164">
        <f t="shared" si="6"/>
        <v>1415.88</v>
      </c>
      <c r="O15" s="399">
        <f t="shared" si="7"/>
        <v>0</v>
      </c>
      <c r="P15" s="392">
        <f t="shared" si="19"/>
        <v>0</v>
      </c>
      <c r="Q15" s="164">
        <f t="shared" si="8"/>
        <v>0</v>
      </c>
      <c r="R15" s="164">
        <f t="shared" si="9"/>
        <v>0</v>
      </c>
      <c r="S15" s="164">
        <f t="shared" si="10"/>
        <v>0</v>
      </c>
      <c r="T15" s="164">
        <f t="shared" si="11"/>
        <v>0</v>
      </c>
      <c r="U15" s="164">
        <f t="shared" si="12"/>
        <v>0</v>
      </c>
      <c r="V15" s="393">
        <f t="shared" si="13"/>
        <v>1415.88</v>
      </c>
      <c r="W15" s="393">
        <f t="shared" si="14"/>
        <v>-1415.88</v>
      </c>
      <c r="Y15" s="393">
        <f t="shared" si="20"/>
        <v>33.25</v>
      </c>
      <c r="Z15" s="393">
        <f t="shared" si="21"/>
        <v>-33.25</v>
      </c>
      <c r="AD15" s="395">
        <f>IF(AH15&gt;AH14,AD14,IF(AD14&lt;MiscData!$F$1,EOMONTH(AD14,1),EOMONTH(AD14,-11)))</f>
        <v>42035</v>
      </c>
      <c r="AE15" s="389" t="str">
        <f t="shared" si="15"/>
        <v>20140101KUUM_373</v>
      </c>
      <c r="AF15" s="437" t="str">
        <f t="shared" si="16"/>
        <v>20140101LS</v>
      </c>
      <c r="AG15" s="438"/>
      <c r="AH15" s="34">
        <f>IF(AH14=MiscData!$AB$91,1,AH14+1)</f>
        <v>14</v>
      </c>
      <c r="AI15" s="34">
        <f>IF(AD15&lt;=MiscData!$B$23,MiscData!$C$23,IF(AD15&lt;=MiscData!$B$24,MiscData!$C$24,MiscData!$C$25))</f>
        <v>20140101</v>
      </c>
      <c r="AK15" s="439" t="str">
        <f>VLOOKUP(AM15,MiscData!$AB$4:$ACB$113,2,FALSE)</f>
        <v>KUUM_373</v>
      </c>
      <c r="AL15" s="439" t="str">
        <f>VLOOKUP(AM15,MiscData!$AB$4:$AE$115,4,FALSE)</f>
        <v>LS</v>
      </c>
      <c r="AM15" s="34">
        <f>IF(AM14=MiscData!$AB$91,1,AM14+1)</f>
        <v>14</v>
      </c>
    </row>
    <row r="16" spans="1:41">
      <c r="A16" s="389">
        <f t="shared" si="22"/>
        <v>15</v>
      </c>
      <c r="B16" s="395" t="str">
        <f t="shared" si="0"/>
        <v>Jan 2015</v>
      </c>
      <c r="C16" s="396" t="str">
        <f t="shared" si="1"/>
        <v>LS</v>
      </c>
      <c r="D16" s="396" t="str">
        <f t="shared" si="2"/>
        <v>KUUM_374</v>
      </c>
      <c r="E16" s="394">
        <f t="shared" si="3"/>
        <v>4</v>
      </c>
      <c r="F16" s="397">
        <v>0</v>
      </c>
      <c r="G16" s="394">
        <f t="shared" si="4"/>
        <v>0</v>
      </c>
      <c r="H16" s="394">
        <v>0</v>
      </c>
      <c r="I16" s="390">
        <f t="shared" si="17"/>
        <v>75.88</v>
      </c>
      <c r="J16" s="390">
        <f t="shared" si="5"/>
        <v>1.75</v>
      </c>
      <c r="K16" s="391">
        <f t="shared" si="18"/>
        <v>303.52</v>
      </c>
      <c r="L16" s="398">
        <v>0</v>
      </c>
      <c r="M16" s="398">
        <v>0</v>
      </c>
      <c r="N16" s="164">
        <f t="shared" si="6"/>
        <v>303.52</v>
      </c>
      <c r="O16" s="399">
        <f t="shared" si="7"/>
        <v>0</v>
      </c>
      <c r="P16" s="392">
        <f t="shared" si="19"/>
        <v>0</v>
      </c>
      <c r="Q16" s="164">
        <f t="shared" si="8"/>
        <v>0</v>
      </c>
      <c r="R16" s="164">
        <f t="shared" si="9"/>
        <v>0</v>
      </c>
      <c r="S16" s="164">
        <f t="shared" si="10"/>
        <v>0</v>
      </c>
      <c r="T16" s="164">
        <f t="shared" si="11"/>
        <v>0</v>
      </c>
      <c r="U16" s="164">
        <f t="shared" si="12"/>
        <v>0</v>
      </c>
      <c r="V16" s="393">
        <f t="shared" si="13"/>
        <v>303.52</v>
      </c>
      <c r="W16" s="393">
        <f t="shared" si="14"/>
        <v>-303.52</v>
      </c>
      <c r="Y16" s="393">
        <f t="shared" si="20"/>
        <v>7</v>
      </c>
      <c r="Z16" s="393">
        <f t="shared" si="21"/>
        <v>-7</v>
      </c>
      <c r="AD16" s="395">
        <f>IF(AH16&gt;AH15,AD15,IF(AD15&lt;MiscData!$F$1,EOMONTH(AD15,1),EOMONTH(AD15,-11)))</f>
        <v>42035</v>
      </c>
      <c r="AE16" s="389" t="str">
        <f t="shared" si="15"/>
        <v>20140101KUUM_374</v>
      </c>
      <c r="AF16" s="437" t="str">
        <f t="shared" si="16"/>
        <v>20140101LS</v>
      </c>
      <c r="AG16" s="438"/>
      <c r="AH16" s="34">
        <f>IF(AH15=MiscData!$AB$91,1,AH15+1)</f>
        <v>15</v>
      </c>
      <c r="AI16" s="34">
        <f>IF(AD16&lt;=MiscData!$B$23,MiscData!$C$23,IF(AD16&lt;=MiscData!$B$24,MiscData!$C$24,MiscData!$C$25))</f>
        <v>20140101</v>
      </c>
      <c r="AK16" s="439" t="str">
        <f>VLOOKUP(AM16,MiscData!$AB$4:$ACB$113,2,FALSE)</f>
        <v>KUUM_374</v>
      </c>
      <c r="AL16" s="439" t="str">
        <f>VLOOKUP(AM16,MiscData!$AB$4:$AE$115,4,FALSE)</f>
        <v>LS</v>
      </c>
      <c r="AM16" s="34">
        <f>IF(AM15=MiscData!$AB$91,1,AM15+1)</f>
        <v>15</v>
      </c>
    </row>
    <row r="17" spans="1:39">
      <c r="A17" s="389">
        <f t="shared" si="22"/>
        <v>16</v>
      </c>
      <c r="B17" s="395" t="str">
        <f t="shared" si="0"/>
        <v>Jan 2015</v>
      </c>
      <c r="C17" s="396" t="str">
        <f t="shared" si="1"/>
        <v>LS</v>
      </c>
      <c r="D17" s="396" t="str">
        <f t="shared" si="2"/>
        <v>KUUM_375</v>
      </c>
      <c r="E17" s="394">
        <f t="shared" si="3"/>
        <v>3</v>
      </c>
      <c r="F17" s="397">
        <v>0</v>
      </c>
      <c r="G17" s="394">
        <f t="shared" si="4"/>
        <v>0</v>
      </c>
      <c r="H17" s="394">
        <v>0</v>
      </c>
      <c r="I17" s="390">
        <f t="shared" si="17"/>
        <v>78.97</v>
      </c>
      <c r="J17" s="390">
        <f t="shared" si="5"/>
        <v>1.75</v>
      </c>
      <c r="K17" s="391">
        <f t="shared" si="18"/>
        <v>236.91</v>
      </c>
      <c r="L17" s="398">
        <v>0</v>
      </c>
      <c r="M17" s="398">
        <v>0</v>
      </c>
      <c r="N17" s="164">
        <f t="shared" si="6"/>
        <v>236.91</v>
      </c>
      <c r="O17" s="399">
        <f t="shared" si="7"/>
        <v>0</v>
      </c>
      <c r="P17" s="392">
        <f t="shared" si="19"/>
        <v>0</v>
      </c>
      <c r="Q17" s="164">
        <f t="shared" si="8"/>
        <v>0</v>
      </c>
      <c r="R17" s="164">
        <f t="shared" si="9"/>
        <v>0</v>
      </c>
      <c r="S17" s="164">
        <f t="shared" si="10"/>
        <v>0</v>
      </c>
      <c r="T17" s="164">
        <f t="shared" si="11"/>
        <v>0</v>
      </c>
      <c r="U17" s="164">
        <f t="shared" si="12"/>
        <v>0</v>
      </c>
      <c r="V17" s="393">
        <f t="shared" si="13"/>
        <v>236.91</v>
      </c>
      <c r="W17" s="393">
        <f t="shared" si="14"/>
        <v>-236.91</v>
      </c>
      <c r="Y17" s="393">
        <f t="shared" si="20"/>
        <v>5.25</v>
      </c>
      <c r="Z17" s="393">
        <f t="shared" si="21"/>
        <v>-5.25</v>
      </c>
      <c r="AD17" s="395">
        <f>IF(AH17&gt;AH16,AD16,IF(AD16&lt;MiscData!$F$1,EOMONTH(AD16,1),EOMONTH(AD16,-11)))</f>
        <v>42035</v>
      </c>
      <c r="AE17" s="389" t="str">
        <f t="shared" si="15"/>
        <v>20140101KUUM_375</v>
      </c>
      <c r="AF17" s="437" t="str">
        <f t="shared" si="16"/>
        <v>20140101LS</v>
      </c>
      <c r="AG17" s="438"/>
      <c r="AH17" s="34">
        <f>IF(AH16=MiscData!$AB$91,1,AH16+1)</f>
        <v>16</v>
      </c>
      <c r="AI17" s="34">
        <f>IF(AD17&lt;=MiscData!$B$23,MiscData!$C$23,IF(AD17&lt;=MiscData!$B$24,MiscData!$C$24,MiscData!$C$25))</f>
        <v>20140101</v>
      </c>
      <c r="AK17" s="439" t="str">
        <f>VLOOKUP(AM17,MiscData!$AB$4:$ACB$113,2,FALSE)</f>
        <v>KUUM_375</v>
      </c>
      <c r="AL17" s="439" t="str">
        <f>VLOOKUP(AM17,MiscData!$AB$4:$AE$115,4,FALSE)</f>
        <v>LS</v>
      </c>
      <c r="AM17" s="34">
        <f>IF(AM16=MiscData!$AB$91,1,AM16+1)</f>
        <v>16</v>
      </c>
    </row>
    <row r="18" spans="1:39">
      <c r="A18" s="389">
        <f t="shared" si="22"/>
        <v>17</v>
      </c>
      <c r="B18" s="395" t="str">
        <f t="shared" si="0"/>
        <v>Jan 2015</v>
      </c>
      <c r="C18" s="396" t="str">
        <f t="shared" si="1"/>
        <v>LS</v>
      </c>
      <c r="D18" s="396" t="str">
        <f t="shared" si="2"/>
        <v>KUUM_376</v>
      </c>
      <c r="E18" s="394">
        <f t="shared" si="3"/>
        <v>2</v>
      </c>
      <c r="F18" s="397">
        <v>0</v>
      </c>
      <c r="G18" s="394">
        <f t="shared" si="4"/>
        <v>0</v>
      </c>
      <c r="H18" s="394">
        <v>0</v>
      </c>
      <c r="I18" s="390">
        <f t="shared" si="17"/>
        <v>77.259999999999991</v>
      </c>
      <c r="J18" s="390">
        <f t="shared" si="5"/>
        <v>1.75</v>
      </c>
      <c r="K18" s="391">
        <f t="shared" si="18"/>
        <v>154.52000000000001</v>
      </c>
      <c r="L18" s="398">
        <v>0</v>
      </c>
      <c r="M18" s="398">
        <v>0</v>
      </c>
      <c r="N18" s="164">
        <f t="shared" si="6"/>
        <v>154.52000000000001</v>
      </c>
      <c r="O18" s="399">
        <f t="shared" si="7"/>
        <v>0</v>
      </c>
      <c r="P18" s="392">
        <f t="shared" si="19"/>
        <v>0</v>
      </c>
      <c r="Q18" s="164">
        <f t="shared" si="8"/>
        <v>0</v>
      </c>
      <c r="R18" s="164">
        <f t="shared" si="9"/>
        <v>0</v>
      </c>
      <c r="S18" s="164">
        <f t="shared" si="10"/>
        <v>0</v>
      </c>
      <c r="T18" s="164">
        <f t="shared" si="11"/>
        <v>0</v>
      </c>
      <c r="U18" s="164">
        <f t="shared" si="12"/>
        <v>0</v>
      </c>
      <c r="V18" s="393">
        <f t="shared" si="13"/>
        <v>154.52000000000001</v>
      </c>
      <c r="W18" s="393">
        <f t="shared" si="14"/>
        <v>-154.52000000000001</v>
      </c>
      <c r="Y18" s="393">
        <f t="shared" si="20"/>
        <v>3.5</v>
      </c>
      <c r="Z18" s="393">
        <f t="shared" si="21"/>
        <v>-3.5</v>
      </c>
      <c r="AD18" s="395">
        <f>IF(AH18&gt;AH17,AD17,IF(AD17&lt;MiscData!$F$1,EOMONTH(AD17,1),EOMONTH(AD17,-11)))</f>
        <v>42035</v>
      </c>
      <c r="AE18" s="389" t="str">
        <f t="shared" si="15"/>
        <v>20140101KUUM_376</v>
      </c>
      <c r="AF18" s="437" t="str">
        <f t="shared" si="16"/>
        <v>20140101LS</v>
      </c>
      <c r="AG18" s="438"/>
      <c r="AH18" s="34">
        <f>IF(AH17=MiscData!$AB$91,1,AH17+1)</f>
        <v>17</v>
      </c>
      <c r="AI18" s="34">
        <f>IF(AD18&lt;=MiscData!$B$23,MiscData!$C$23,IF(AD18&lt;=MiscData!$B$24,MiscData!$C$24,MiscData!$C$25))</f>
        <v>20140101</v>
      </c>
      <c r="AK18" s="439" t="str">
        <f>VLOOKUP(AM18,MiscData!$AB$4:$ACB$113,2,FALSE)</f>
        <v>KUUM_376</v>
      </c>
      <c r="AL18" s="439" t="str">
        <f>VLOOKUP(AM18,MiscData!$AB$4:$AE$115,4,FALSE)</f>
        <v>LS</v>
      </c>
      <c r="AM18" s="34">
        <f>IF(AM17=MiscData!$AB$91,1,AM17+1)</f>
        <v>17</v>
      </c>
    </row>
    <row r="19" spans="1:39">
      <c r="A19" s="389">
        <f t="shared" si="22"/>
        <v>18</v>
      </c>
      <c r="B19" s="395" t="str">
        <f t="shared" si="0"/>
        <v>Jan 2015</v>
      </c>
      <c r="C19" s="396" t="str">
        <f t="shared" si="1"/>
        <v>LS</v>
      </c>
      <c r="D19" s="396" t="str">
        <f t="shared" si="2"/>
        <v>KUUM_377</v>
      </c>
      <c r="E19" s="394">
        <f t="shared" si="3"/>
        <v>49</v>
      </c>
      <c r="F19" s="397">
        <v>0</v>
      </c>
      <c r="G19" s="394">
        <f t="shared" si="4"/>
        <v>0</v>
      </c>
      <c r="H19" s="394">
        <v>0</v>
      </c>
      <c r="I19" s="390">
        <f t="shared" si="17"/>
        <v>64.19</v>
      </c>
      <c r="J19" s="390">
        <f t="shared" si="5"/>
        <v>1.75</v>
      </c>
      <c r="K19" s="391">
        <f t="shared" si="18"/>
        <v>3145.31</v>
      </c>
      <c r="L19" s="398">
        <v>0</v>
      </c>
      <c r="M19" s="398">
        <v>0</v>
      </c>
      <c r="N19" s="164">
        <f t="shared" si="6"/>
        <v>3145.31</v>
      </c>
      <c r="O19" s="399">
        <f t="shared" si="7"/>
        <v>0</v>
      </c>
      <c r="P19" s="392">
        <f t="shared" si="19"/>
        <v>0</v>
      </c>
      <c r="Q19" s="164">
        <f t="shared" si="8"/>
        <v>0</v>
      </c>
      <c r="R19" s="164">
        <f t="shared" si="9"/>
        <v>0</v>
      </c>
      <c r="S19" s="164">
        <f t="shared" si="10"/>
        <v>0</v>
      </c>
      <c r="T19" s="164">
        <f t="shared" si="11"/>
        <v>0</v>
      </c>
      <c r="U19" s="164">
        <f t="shared" si="12"/>
        <v>0</v>
      </c>
      <c r="V19" s="393">
        <f t="shared" si="13"/>
        <v>3145.31</v>
      </c>
      <c r="W19" s="393">
        <f t="shared" si="14"/>
        <v>-3145.31</v>
      </c>
      <c r="Y19" s="393">
        <f t="shared" si="20"/>
        <v>85.75</v>
      </c>
      <c r="Z19" s="393">
        <f t="shared" si="21"/>
        <v>-85.75</v>
      </c>
      <c r="AD19" s="395">
        <f>IF(AH19&gt;AH18,AD18,IF(AD18&lt;MiscData!$F$1,EOMONTH(AD18,1),EOMONTH(AD18,-11)))</f>
        <v>42035</v>
      </c>
      <c r="AE19" s="389" t="str">
        <f t="shared" si="15"/>
        <v>20140101KUUM_377</v>
      </c>
      <c r="AF19" s="437" t="str">
        <f t="shared" si="16"/>
        <v>20140101LS</v>
      </c>
      <c r="AG19" s="438"/>
      <c r="AH19" s="34">
        <f>IF(AH18=MiscData!$AB$91,1,AH18+1)</f>
        <v>18</v>
      </c>
      <c r="AI19" s="34">
        <f>IF(AD19&lt;=MiscData!$B$23,MiscData!$C$23,IF(AD19&lt;=MiscData!$B$24,MiscData!$C$24,MiscData!$C$25))</f>
        <v>20140101</v>
      </c>
      <c r="AK19" s="439" t="str">
        <f>VLOOKUP(AM19,MiscData!$AB$4:$ACB$113,2,FALSE)</f>
        <v>KUUM_377</v>
      </c>
      <c r="AL19" s="439" t="str">
        <f>VLOOKUP(AM19,MiscData!$AB$4:$AE$115,4,FALSE)</f>
        <v>LS</v>
      </c>
      <c r="AM19" s="34">
        <f>IF(AM18=MiscData!$AB$91,1,AM18+1)</f>
        <v>18</v>
      </c>
    </row>
    <row r="20" spans="1:39">
      <c r="A20" s="389">
        <f t="shared" si="22"/>
        <v>19</v>
      </c>
      <c r="B20" s="395" t="str">
        <f t="shared" si="0"/>
        <v>Jan 2015</v>
      </c>
      <c r="C20" s="396" t="str">
        <f t="shared" si="1"/>
        <v>LS</v>
      </c>
      <c r="D20" s="396" t="str">
        <f t="shared" si="2"/>
        <v>KUUM_378</v>
      </c>
      <c r="E20" s="394">
        <f t="shared" si="3"/>
        <v>2</v>
      </c>
      <c r="F20" s="397">
        <v>0</v>
      </c>
      <c r="G20" s="394">
        <f t="shared" si="4"/>
        <v>0</v>
      </c>
      <c r="H20" s="394">
        <v>0</v>
      </c>
      <c r="I20" s="390">
        <f t="shared" si="17"/>
        <v>75.899999999999991</v>
      </c>
      <c r="J20" s="390">
        <f t="shared" si="5"/>
        <v>1.75</v>
      </c>
      <c r="K20" s="391">
        <f t="shared" si="18"/>
        <v>151.80000000000001</v>
      </c>
      <c r="L20" s="398">
        <v>0</v>
      </c>
      <c r="M20" s="398">
        <v>0</v>
      </c>
      <c r="N20" s="164">
        <f t="shared" si="6"/>
        <v>151.80000000000001</v>
      </c>
      <c r="O20" s="399">
        <f t="shared" si="7"/>
        <v>0</v>
      </c>
      <c r="P20" s="392">
        <f t="shared" si="19"/>
        <v>0</v>
      </c>
      <c r="Q20" s="164">
        <f t="shared" si="8"/>
        <v>0</v>
      </c>
      <c r="R20" s="164">
        <f t="shared" si="9"/>
        <v>0</v>
      </c>
      <c r="S20" s="164">
        <f t="shared" si="10"/>
        <v>0</v>
      </c>
      <c r="T20" s="164">
        <f t="shared" si="11"/>
        <v>0</v>
      </c>
      <c r="U20" s="164">
        <f t="shared" si="12"/>
        <v>0</v>
      </c>
      <c r="V20" s="393">
        <f t="shared" si="13"/>
        <v>151.80000000000001</v>
      </c>
      <c r="W20" s="393">
        <f t="shared" si="14"/>
        <v>-151.80000000000001</v>
      </c>
      <c r="Y20" s="393">
        <f t="shared" si="20"/>
        <v>3.5</v>
      </c>
      <c r="Z20" s="393">
        <f t="shared" si="21"/>
        <v>-3.5</v>
      </c>
      <c r="AD20" s="395">
        <f>IF(AH20&gt;AH19,AD19,IF(AD19&lt;MiscData!$F$1,EOMONTH(AD19,1),EOMONTH(AD19,-11)))</f>
        <v>42035</v>
      </c>
      <c r="AE20" s="389" t="str">
        <f t="shared" si="15"/>
        <v>20140101KUUM_378</v>
      </c>
      <c r="AF20" s="437" t="str">
        <f t="shared" si="16"/>
        <v>20140101LS</v>
      </c>
      <c r="AG20" s="438"/>
      <c r="AH20" s="34">
        <f>IF(AH19=MiscData!$AB$91,1,AH19+1)</f>
        <v>19</v>
      </c>
      <c r="AI20" s="34">
        <f>IF(AD20&lt;=MiscData!$B$23,MiscData!$C$23,IF(AD20&lt;=MiscData!$B$24,MiscData!$C$24,MiscData!$C$25))</f>
        <v>20140101</v>
      </c>
      <c r="AK20" s="439" t="str">
        <f>VLOOKUP(AM20,MiscData!$AB$4:$ACB$113,2,FALSE)</f>
        <v>KUUM_378</v>
      </c>
      <c r="AL20" s="439" t="str">
        <f>VLOOKUP(AM20,MiscData!$AB$4:$AE$115,4,FALSE)</f>
        <v>LS</v>
      </c>
      <c r="AM20" s="34">
        <f>IF(AM19=MiscData!$AB$91,1,AM19+1)</f>
        <v>19</v>
      </c>
    </row>
    <row r="21" spans="1:39">
      <c r="A21" s="389">
        <f t="shared" si="22"/>
        <v>20</v>
      </c>
      <c r="B21" s="395" t="str">
        <f t="shared" si="0"/>
        <v>Jan 2015</v>
      </c>
      <c r="C21" s="396" t="str">
        <f t="shared" si="1"/>
        <v>LS</v>
      </c>
      <c r="D21" s="396" t="str">
        <f t="shared" si="2"/>
        <v>KUUM_401</v>
      </c>
      <c r="E21" s="394">
        <f t="shared" si="3"/>
        <v>52</v>
      </c>
      <c r="F21" s="397">
        <v>0</v>
      </c>
      <c r="G21" s="394">
        <f t="shared" si="4"/>
        <v>0</v>
      </c>
      <c r="H21" s="394">
        <v>0</v>
      </c>
      <c r="I21" s="390">
        <f t="shared" si="17"/>
        <v>14.860000000000001</v>
      </c>
      <c r="J21" s="390">
        <f t="shared" si="5"/>
        <v>0.80000000000000071</v>
      </c>
      <c r="K21" s="391">
        <f t="shared" si="18"/>
        <v>772.72</v>
      </c>
      <c r="L21" s="398">
        <v>0</v>
      </c>
      <c r="M21" s="398">
        <v>0</v>
      </c>
      <c r="N21" s="164">
        <f t="shared" si="6"/>
        <v>772.72</v>
      </c>
      <c r="O21" s="399">
        <f t="shared" si="7"/>
        <v>0</v>
      </c>
      <c r="P21" s="392">
        <f t="shared" si="19"/>
        <v>0</v>
      </c>
      <c r="Q21" s="164">
        <f t="shared" si="8"/>
        <v>0</v>
      </c>
      <c r="R21" s="164">
        <f t="shared" si="9"/>
        <v>0</v>
      </c>
      <c r="S21" s="164">
        <f t="shared" si="10"/>
        <v>0</v>
      </c>
      <c r="T21" s="164">
        <f t="shared" si="11"/>
        <v>0</v>
      </c>
      <c r="U21" s="164">
        <f t="shared" si="12"/>
        <v>0</v>
      </c>
      <c r="V21" s="393">
        <f t="shared" si="13"/>
        <v>772.72</v>
      </c>
      <c r="W21" s="393">
        <f t="shared" si="14"/>
        <v>-772.72</v>
      </c>
      <c r="Y21" s="393">
        <f t="shared" si="20"/>
        <v>41.6</v>
      </c>
      <c r="Z21" s="393">
        <f t="shared" si="21"/>
        <v>-41.6</v>
      </c>
      <c r="AD21" s="395">
        <f>IF(AH21&gt;AH20,AD20,IF(AD20&lt;MiscData!$F$1,EOMONTH(AD20,1),EOMONTH(AD20,-11)))</f>
        <v>42035</v>
      </c>
      <c r="AE21" s="389" t="str">
        <f t="shared" si="15"/>
        <v>20140101KUUM_401</v>
      </c>
      <c r="AF21" s="437" t="str">
        <f t="shared" si="16"/>
        <v>20140101LS</v>
      </c>
      <c r="AG21" s="438"/>
      <c r="AH21" s="34">
        <f>IF(AH20=MiscData!$AB$91,1,AH20+1)</f>
        <v>20</v>
      </c>
      <c r="AI21" s="34">
        <f>IF(AD21&lt;=MiscData!$B$23,MiscData!$C$23,IF(AD21&lt;=MiscData!$B$24,MiscData!$C$24,MiscData!$C$25))</f>
        <v>20140101</v>
      </c>
      <c r="AK21" s="439" t="str">
        <f>VLOOKUP(AM21,MiscData!$AB$4:$ACB$113,2,FALSE)</f>
        <v>KUUM_401</v>
      </c>
      <c r="AL21" s="439" t="str">
        <f>VLOOKUP(AM21,MiscData!$AB$4:$AE$115,4,FALSE)</f>
        <v>LS</v>
      </c>
      <c r="AM21" s="34">
        <f>IF(AM20=MiscData!$AB$91,1,AM20+1)</f>
        <v>20</v>
      </c>
    </row>
    <row r="22" spans="1:39">
      <c r="A22" s="389">
        <f t="shared" si="22"/>
        <v>21</v>
      </c>
      <c r="B22" s="395" t="str">
        <f t="shared" si="0"/>
        <v>Jan 2015</v>
      </c>
      <c r="C22" s="396" t="str">
        <f t="shared" si="1"/>
        <v>RLS</v>
      </c>
      <c r="D22" s="396" t="str">
        <f t="shared" si="2"/>
        <v>KUUM_404</v>
      </c>
      <c r="E22" s="394">
        <f t="shared" si="3"/>
        <v>7293</v>
      </c>
      <c r="F22" s="397">
        <v>0</v>
      </c>
      <c r="G22" s="394">
        <f t="shared" si="4"/>
        <v>0</v>
      </c>
      <c r="H22" s="394">
        <v>0</v>
      </c>
      <c r="I22" s="390">
        <f t="shared" si="17"/>
        <v>10.570000000000002</v>
      </c>
      <c r="J22" s="390">
        <f t="shared" si="5"/>
        <v>1.9900000000000002</v>
      </c>
      <c r="K22" s="391">
        <f t="shared" si="18"/>
        <v>77087.009999999995</v>
      </c>
      <c r="L22" s="398">
        <v>0</v>
      </c>
      <c r="M22" s="398">
        <v>0</v>
      </c>
      <c r="N22" s="164">
        <f t="shared" si="6"/>
        <v>77087.009999999995</v>
      </c>
      <c r="O22" s="399">
        <f t="shared" si="7"/>
        <v>0</v>
      </c>
      <c r="P22" s="392">
        <f t="shared" si="19"/>
        <v>0</v>
      </c>
      <c r="Q22" s="164">
        <f t="shared" si="8"/>
        <v>0</v>
      </c>
      <c r="R22" s="164">
        <f t="shared" si="9"/>
        <v>0</v>
      </c>
      <c r="S22" s="164">
        <f t="shared" si="10"/>
        <v>0</v>
      </c>
      <c r="T22" s="164">
        <f t="shared" si="11"/>
        <v>0</v>
      </c>
      <c r="U22" s="164">
        <f t="shared" si="12"/>
        <v>0</v>
      </c>
      <c r="V22" s="393">
        <f t="shared" si="13"/>
        <v>77087.009999999995</v>
      </c>
      <c r="W22" s="393">
        <f t="shared" si="14"/>
        <v>-77087.009999999995</v>
      </c>
      <c r="Y22" s="393">
        <f t="shared" si="20"/>
        <v>14513.07</v>
      </c>
      <c r="Z22" s="393">
        <f t="shared" si="21"/>
        <v>-14513.07</v>
      </c>
      <c r="AD22" s="395">
        <f>IF(AH22&gt;AH21,AD21,IF(AD21&lt;MiscData!$F$1,EOMONTH(AD21,1),EOMONTH(AD21,-11)))</f>
        <v>42035</v>
      </c>
      <c r="AE22" s="389" t="str">
        <f t="shared" si="15"/>
        <v>20140101KUUM_404</v>
      </c>
      <c r="AF22" s="437" t="str">
        <f t="shared" si="16"/>
        <v>20140101RLS</v>
      </c>
      <c r="AG22" s="438"/>
      <c r="AH22" s="34">
        <f>IF(AH21=MiscData!$AB$91,1,AH21+1)</f>
        <v>21</v>
      </c>
      <c r="AI22" s="34">
        <f>IF(AD22&lt;=MiscData!$B$23,MiscData!$C$23,IF(AD22&lt;=MiscData!$B$24,MiscData!$C$24,MiscData!$C$25))</f>
        <v>20140101</v>
      </c>
      <c r="AK22" s="439" t="str">
        <f>VLOOKUP(AM22,MiscData!$AB$4:$ACB$113,2,FALSE)</f>
        <v>KUUM_404</v>
      </c>
      <c r="AL22" s="439" t="str">
        <f>VLOOKUP(AM22,MiscData!$AB$4:$AE$115,4,FALSE)</f>
        <v>RLS</v>
      </c>
      <c r="AM22" s="34">
        <f>IF(AM21=MiscData!$AB$91,1,AM21+1)</f>
        <v>21</v>
      </c>
    </row>
    <row r="23" spans="1:39">
      <c r="A23" s="389">
        <f t="shared" si="22"/>
        <v>22</v>
      </c>
      <c r="B23" s="395" t="str">
        <f t="shared" si="0"/>
        <v>Jan 2015</v>
      </c>
      <c r="C23" s="396" t="str">
        <f t="shared" si="1"/>
        <v>RLS</v>
      </c>
      <c r="D23" s="396" t="str">
        <f t="shared" si="2"/>
        <v>KUUM_405</v>
      </c>
      <c r="E23" s="394">
        <f t="shared" si="3"/>
        <v>0</v>
      </c>
      <c r="F23" s="397">
        <v>0</v>
      </c>
      <c r="G23" s="394">
        <f t="shared" si="4"/>
        <v>0</v>
      </c>
      <c r="H23" s="394">
        <v>0</v>
      </c>
      <c r="I23" s="390">
        <f t="shared" si="17"/>
        <v>0</v>
      </c>
      <c r="J23" s="390">
        <f t="shared" si="5"/>
        <v>0</v>
      </c>
      <c r="K23" s="391">
        <f t="shared" si="18"/>
        <v>0</v>
      </c>
      <c r="L23" s="398">
        <v>0</v>
      </c>
      <c r="M23" s="398">
        <v>0</v>
      </c>
      <c r="N23" s="164">
        <f t="shared" si="6"/>
        <v>0</v>
      </c>
      <c r="O23" s="399">
        <f t="shared" si="7"/>
        <v>0</v>
      </c>
      <c r="P23" s="392">
        <f t="shared" si="19"/>
        <v>1</v>
      </c>
      <c r="Q23" s="164">
        <f t="shared" si="8"/>
        <v>0</v>
      </c>
      <c r="R23" s="164">
        <f t="shared" si="9"/>
        <v>0</v>
      </c>
      <c r="S23" s="164">
        <f t="shared" si="10"/>
        <v>0</v>
      </c>
      <c r="T23" s="164">
        <f t="shared" si="11"/>
        <v>0</v>
      </c>
      <c r="U23" s="164">
        <f t="shared" si="12"/>
        <v>0</v>
      </c>
      <c r="V23" s="393">
        <f t="shared" si="13"/>
        <v>0</v>
      </c>
      <c r="W23" s="393">
        <f t="shared" si="14"/>
        <v>0</v>
      </c>
      <c r="Y23" s="393">
        <f t="shared" si="20"/>
        <v>0</v>
      </c>
      <c r="Z23" s="393">
        <f t="shared" si="21"/>
        <v>0</v>
      </c>
      <c r="AD23" s="395">
        <f>IF(AH23&gt;AH22,AD22,IF(AD22&lt;MiscData!$F$1,EOMONTH(AD22,1),EOMONTH(AD22,-11)))</f>
        <v>42035</v>
      </c>
      <c r="AE23" s="389" t="str">
        <f t="shared" si="15"/>
        <v>20140101KUUM_405</v>
      </c>
      <c r="AF23" s="437" t="str">
        <f t="shared" si="16"/>
        <v>20140101RLS</v>
      </c>
      <c r="AG23" s="438"/>
      <c r="AH23" s="34">
        <f>IF(AH22=MiscData!$AB$91,1,AH22+1)</f>
        <v>22</v>
      </c>
      <c r="AI23" s="34">
        <f>IF(AD23&lt;=MiscData!$B$23,MiscData!$C$23,IF(AD23&lt;=MiscData!$B$24,MiscData!$C$24,MiscData!$C$25))</f>
        <v>20140101</v>
      </c>
      <c r="AK23" s="439" t="str">
        <f>VLOOKUP(AM23,MiscData!$AB$4:$ACB$113,2,FALSE)</f>
        <v>KUUM_405</v>
      </c>
      <c r="AL23" s="439" t="str">
        <f>VLOOKUP(AM23,MiscData!$AB$4:$AE$115,4,FALSE)</f>
        <v>RLS</v>
      </c>
      <c r="AM23" s="34">
        <f>IF(AM22=MiscData!$AB$91,1,AM22+1)</f>
        <v>22</v>
      </c>
    </row>
    <row r="24" spans="1:39">
      <c r="A24" s="389">
        <f t="shared" si="22"/>
        <v>23</v>
      </c>
      <c r="B24" s="395" t="str">
        <f t="shared" si="0"/>
        <v>Jan 2015</v>
      </c>
      <c r="C24" s="396" t="str">
        <f t="shared" si="1"/>
        <v>LS</v>
      </c>
      <c r="D24" s="396" t="str">
        <f t="shared" si="2"/>
        <v>KUUM_407</v>
      </c>
      <c r="E24" s="394">
        <f t="shared" si="3"/>
        <v>0</v>
      </c>
      <c r="F24" s="397">
        <v>0</v>
      </c>
      <c r="G24" s="394">
        <f t="shared" si="4"/>
        <v>0</v>
      </c>
      <c r="H24" s="394">
        <v>0</v>
      </c>
      <c r="I24" s="390">
        <f t="shared" si="17"/>
        <v>0</v>
      </c>
      <c r="J24" s="390">
        <f t="shared" si="5"/>
        <v>0</v>
      </c>
      <c r="K24" s="391">
        <f t="shared" si="18"/>
        <v>0</v>
      </c>
      <c r="L24" s="398">
        <v>0</v>
      </c>
      <c r="M24" s="398">
        <v>0</v>
      </c>
      <c r="N24" s="164">
        <f t="shared" si="6"/>
        <v>0</v>
      </c>
      <c r="O24" s="399">
        <f t="shared" si="7"/>
        <v>0</v>
      </c>
      <c r="P24" s="392">
        <f t="shared" si="19"/>
        <v>1</v>
      </c>
      <c r="Q24" s="164">
        <f t="shared" si="8"/>
        <v>0</v>
      </c>
      <c r="R24" s="164">
        <f t="shared" si="9"/>
        <v>0</v>
      </c>
      <c r="S24" s="164">
        <f t="shared" si="10"/>
        <v>0</v>
      </c>
      <c r="T24" s="164">
        <f t="shared" si="11"/>
        <v>0</v>
      </c>
      <c r="U24" s="164">
        <f t="shared" si="12"/>
        <v>0</v>
      </c>
      <c r="V24" s="393">
        <f t="shared" si="13"/>
        <v>0</v>
      </c>
      <c r="W24" s="393">
        <f t="shared" si="14"/>
        <v>0</v>
      </c>
      <c r="Y24" s="393">
        <f t="shared" si="20"/>
        <v>0</v>
      </c>
      <c r="Z24" s="393">
        <f t="shared" si="21"/>
        <v>0</v>
      </c>
      <c r="AD24" s="395">
        <f>IF(AH24&gt;AH23,AD23,IF(AD23&lt;MiscData!$F$1,EOMONTH(AD23,1),EOMONTH(AD23,-11)))</f>
        <v>42035</v>
      </c>
      <c r="AE24" s="389" t="str">
        <f t="shared" si="15"/>
        <v>20140101KUUM_407</v>
      </c>
      <c r="AF24" s="437" t="str">
        <f t="shared" si="16"/>
        <v>20140101LS</v>
      </c>
      <c r="AG24" s="438"/>
      <c r="AH24" s="34">
        <f>IF(AH23=MiscData!$AB$91,1,AH23+1)</f>
        <v>23</v>
      </c>
      <c r="AI24" s="34">
        <f>IF(AD24&lt;=MiscData!$B$23,MiscData!$C$23,IF(AD24&lt;=MiscData!$B$24,MiscData!$C$24,MiscData!$C$25))</f>
        <v>20140101</v>
      </c>
      <c r="AK24" s="439" t="str">
        <f>VLOOKUP(AM24,MiscData!$AB$4:$ACB$113,2,FALSE)</f>
        <v>KUUM_407</v>
      </c>
      <c r="AL24" s="439" t="str">
        <f>VLOOKUP(AM24,MiscData!$AB$4:$AE$115,4,FALSE)</f>
        <v>LS</v>
      </c>
      <c r="AM24" s="34">
        <f>IF(AM23=MiscData!$AB$91,1,AM23+1)</f>
        <v>23</v>
      </c>
    </row>
    <row r="25" spans="1:39">
      <c r="A25" s="389">
        <f t="shared" si="22"/>
        <v>24</v>
      </c>
      <c r="B25" s="395" t="str">
        <f t="shared" si="0"/>
        <v>Jan 2015</v>
      </c>
      <c r="C25" s="396" t="str">
        <f t="shared" si="1"/>
        <v>RLS</v>
      </c>
      <c r="D25" s="396" t="str">
        <f t="shared" si="2"/>
        <v>KUUM_409</v>
      </c>
      <c r="E25" s="394">
        <f t="shared" si="3"/>
        <v>147</v>
      </c>
      <c r="F25" s="397">
        <v>0</v>
      </c>
      <c r="G25" s="394">
        <f t="shared" si="4"/>
        <v>0</v>
      </c>
      <c r="H25" s="394">
        <v>0</v>
      </c>
      <c r="I25" s="390">
        <f t="shared" si="17"/>
        <v>11.71</v>
      </c>
      <c r="J25" s="390">
        <f t="shared" si="5"/>
        <v>4.5299999999999994</v>
      </c>
      <c r="K25" s="391">
        <f t="shared" si="18"/>
        <v>1721.37</v>
      </c>
      <c r="L25" s="398">
        <v>0</v>
      </c>
      <c r="M25" s="398">
        <v>0</v>
      </c>
      <c r="N25" s="164">
        <f t="shared" si="6"/>
        <v>1721.37</v>
      </c>
      <c r="O25" s="399">
        <f t="shared" si="7"/>
        <v>0</v>
      </c>
      <c r="P25" s="392">
        <f t="shared" si="19"/>
        <v>0</v>
      </c>
      <c r="Q25" s="164">
        <f t="shared" si="8"/>
        <v>0</v>
      </c>
      <c r="R25" s="164">
        <f t="shared" si="9"/>
        <v>0</v>
      </c>
      <c r="S25" s="164">
        <f t="shared" si="10"/>
        <v>0</v>
      </c>
      <c r="T25" s="164">
        <f t="shared" si="11"/>
        <v>0</v>
      </c>
      <c r="U25" s="164">
        <f t="shared" si="12"/>
        <v>0</v>
      </c>
      <c r="V25" s="393">
        <f t="shared" si="13"/>
        <v>1721.37</v>
      </c>
      <c r="W25" s="393">
        <f t="shared" si="14"/>
        <v>-1721.37</v>
      </c>
      <c r="Y25" s="393">
        <f t="shared" si="20"/>
        <v>665.91</v>
      </c>
      <c r="Z25" s="393">
        <f t="shared" si="21"/>
        <v>-665.91</v>
      </c>
      <c r="AD25" s="395">
        <f>IF(AH25&gt;AH24,AD24,IF(AD24&lt;MiscData!$F$1,EOMONTH(AD24,1),EOMONTH(AD24,-11)))</f>
        <v>42035</v>
      </c>
      <c r="AE25" s="389" t="str">
        <f t="shared" si="15"/>
        <v>20140101KUUM_409</v>
      </c>
      <c r="AF25" s="437" t="str">
        <f t="shared" si="16"/>
        <v>20140101RLS</v>
      </c>
      <c r="AG25" s="438"/>
      <c r="AH25" s="34">
        <f>IF(AH24=MiscData!$AB$91,1,AH24+1)</f>
        <v>24</v>
      </c>
      <c r="AI25" s="34">
        <f>IF(AD25&lt;=MiscData!$B$23,MiscData!$C$23,IF(AD25&lt;=MiscData!$B$24,MiscData!$C$24,MiscData!$C$25))</f>
        <v>20140101</v>
      </c>
      <c r="AK25" s="439" t="str">
        <f>VLOOKUP(AM25,MiscData!$AB$4:$ACB$113,2,FALSE)</f>
        <v>KUUM_409</v>
      </c>
      <c r="AL25" s="439" t="str">
        <f>VLOOKUP(AM25,MiscData!$AB$4:$AE$115,4,FALSE)</f>
        <v>RLS</v>
      </c>
      <c r="AM25" s="34">
        <f>IF(AM24=MiscData!$AB$91,1,AM24+1)</f>
        <v>24</v>
      </c>
    </row>
    <row r="26" spans="1:39">
      <c r="A26" s="389">
        <f t="shared" si="22"/>
        <v>25</v>
      </c>
      <c r="B26" s="395" t="str">
        <f t="shared" si="0"/>
        <v>Jan 2015</v>
      </c>
      <c r="C26" s="396" t="str">
        <f t="shared" si="1"/>
        <v>RLS</v>
      </c>
      <c r="D26" s="396" t="str">
        <f t="shared" si="2"/>
        <v>KUUM_410</v>
      </c>
      <c r="E26" s="394">
        <f t="shared" si="3"/>
        <v>240</v>
      </c>
      <c r="F26" s="397">
        <v>0</v>
      </c>
      <c r="G26" s="394">
        <f t="shared" si="4"/>
        <v>0</v>
      </c>
      <c r="H26" s="394">
        <v>0</v>
      </c>
      <c r="I26" s="390">
        <f t="shared" si="17"/>
        <v>20.259999999999998</v>
      </c>
      <c r="J26" s="390">
        <f t="shared" si="5"/>
        <v>0.57000000000000028</v>
      </c>
      <c r="K26" s="391">
        <f t="shared" si="18"/>
        <v>4862.3999999999996</v>
      </c>
      <c r="L26" s="398">
        <v>0</v>
      </c>
      <c r="M26" s="398">
        <v>0</v>
      </c>
      <c r="N26" s="164">
        <f t="shared" si="6"/>
        <v>4862.3999999999996</v>
      </c>
      <c r="O26" s="399">
        <f t="shared" si="7"/>
        <v>0</v>
      </c>
      <c r="P26" s="392">
        <f t="shared" si="19"/>
        <v>0</v>
      </c>
      <c r="Q26" s="164">
        <f t="shared" si="8"/>
        <v>0</v>
      </c>
      <c r="R26" s="164">
        <f t="shared" si="9"/>
        <v>0</v>
      </c>
      <c r="S26" s="164">
        <f t="shared" si="10"/>
        <v>0</v>
      </c>
      <c r="T26" s="164">
        <f t="shared" si="11"/>
        <v>0</v>
      </c>
      <c r="U26" s="164">
        <f t="shared" si="12"/>
        <v>0</v>
      </c>
      <c r="V26" s="393">
        <f t="shared" si="13"/>
        <v>4862.3999999999996</v>
      </c>
      <c r="W26" s="393">
        <f t="shared" si="14"/>
        <v>-4862.3999999999996</v>
      </c>
      <c r="Y26" s="393">
        <f t="shared" si="20"/>
        <v>136.80000000000001</v>
      </c>
      <c r="Z26" s="393">
        <f t="shared" si="21"/>
        <v>-136.80000000000001</v>
      </c>
      <c r="AD26" s="395">
        <f>IF(AH26&gt;AH25,AD25,IF(AD25&lt;MiscData!$F$1,EOMONTH(AD25,1),EOMONTH(AD25,-11)))</f>
        <v>42035</v>
      </c>
      <c r="AE26" s="389" t="str">
        <f t="shared" si="15"/>
        <v>20140101KUUM_410</v>
      </c>
      <c r="AF26" s="437" t="str">
        <f t="shared" si="16"/>
        <v>20140101RLS</v>
      </c>
      <c r="AG26" s="438"/>
      <c r="AH26" s="34">
        <f>IF(AH25=MiscData!$AB$91,1,AH25+1)</f>
        <v>25</v>
      </c>
      <c r="AI26" s="34">
        <f>IF(AD26&lt;=MiscData!$B$23,MiscData!$C$23,IF(AD26&lt;=MiscData!$B$24,MiscData!$C$24,MiscData!$C$25))</f>
        <v>20140101</v>
      </c>
      <c r="AK26" s="439" t="str">
        <f>VLOOKUP(AM26,MiscData!$AB$4:$ACB$113,2,FALSE)</f>
        <v>KUUM_410</v>
      </c>
      <c r="AL26" s="439" t="str">
        <f>VLOOKUP(AM26,MiscData!$AB$4:$AE$115,4,FALSE)</f>
        <v>RLS</v>
      </c>
      <c r="AM26" s="34">
        <f>IF(AM25=MiscData!$AB$91,1,AM25+1)</f>
        <v>25</v>
      </c>
    </row>
    <row r="27" spans="1:39">
      <c r="A27" s="389">
        <f t="shared" si="22"/>
        <v>26</v>
      </c>
      <c r="B27" s="395" t="str">
        <f t="shared" si="0"/>
        <v>Jan 2015</v>
      </c>
      <c r="C27" s="396" t="str">
        <f t="shared" si="1"/>
        <v>LS</v>
      </c>
      <c r="D27" s="396" t="str">
        <f t="shared" si="2"/>
        <v>KUUM_411</v>
      </c>
      <c r="E27" s="394">
        <f t="shared" si="3"/>
        <v>145</v>
      </c>
      <c r="F27" s="397">
        <v>0</v>
      </c>
      <c r="G27" s="394">
        <f t="shared" si="4"/>
        <v>0</v>
      </c>
      <c r="H27" s="394">
        <v>0</v>
      </c>
      <c r="I27" s="390">
        <f t="shared" si="17"/>
        <v>21.38</v>
      </c>
      <c r="J27" s="390">
        <f t="shared" si="5"/>
        <v>0.79999999999999716</v>
      </c>
      <c r="K27" s="391">
        <f t="shared" si="18"/>
        <v>3100.1</v>
      </c>
      <c r="L27" s="398">
        <v>0</v>
      </c>
      <c r="M27" s="398">
        <v>0</v>
      </c>
      <c r="N27" s="164">
        <f t="shared" si="6"/>
        <v>3100.1</v>
      </c>
      <c r="O27" s="399">
        <f t="shared" si="7"/>
        <v>0</v>
      </c>
      <c r="P27" s="392">
        <f t="shared" si="19"/>
        <v>0</v>
      </c>
      <c r="Q27" s="164">
        <f t="shared" si="8"/>
        <v>0</v>
      </c>
      <c r="R27" s="164">
        <f t="shared" si="9"/>
        <v>0</v>
      </c>
      <c r="S27" s="164">
        <f t="shared" si="10"/>
        <v>0</v>
      </c>
      <c r="T27" s="164">
        <f t="shared" si="11"/>
        <v>0</v>
      </c>
      <c r="U27" s="164">
        <f t="shared" si="12"/>
        <v>0</v>
      </c>
      <c r="V27" s="393">
        <f t="shared" si="13"/>
        <v>3100.1</v>
      </c>
      <c r="W27" s="393">
        <f t="shared" si="14"/>
        <v>-3100.1</v>
      </c>
      <c r="Y27" s="393">
        <f t="shared" si="20"/>
        <v>116</v>
      </c>
      <c r="Z27" s="393">
        <f t="shared" si="21"/>
        <v>-116</v>
      </c>
      <c r="AD27" s="395">
        <f>IF(AH27&gt;AH26,AD26,IF(AD26&lt;MiscData!$F$1,EOMONTH(AD26,1),EOMONTH(AD26,-11)))</f>
        <v>42035</v>
      </c>
      <c r="AE27" s="389" t="str">
        <f t="shared" si="15"/>
        <v>20140101KUUM_411</v>
      </c>
      <c r="AF27" s="437" t="str">
        <f t="shared" si="16"/>
        <v>20140101LS</v>
      </c>
      <c r="AG27" s="438"/>
      <c r="AH27" s="34">
        <f>IF(AH26=MiscData!$AB$91,1,AH26+1)</f>
        <v>26</v>
      </c>
      <c r="AI27" s="34">
        <f>IF(AD27&lt;=MiscData!$B$23,MiscData!$C$23,IF(AD27&lt;=MiscData!$B$24,MiscData!$C$24,MiscData!$C$25))</f>
        <v>20140101</v>
      </c>
      <c r="AK27" s="439" t="str">
        <f>VLOOKUP(AM27,MiscData!$AB$4:$ACB$113,2,FALSE)</f>
        <v>KUUM_411</v>
      </c>
      <c r="AL27" s="439" t="str">
        <f>VLOOKUP(AM27,MiscData!$AB$4:$AE$115,4,FALSE)</f>
        <v>LS</v>
      </c>
      <c r="AM27" s="34">
        <f>IF(AM26=MiscData!$AB$91,1,AM26+1)</f>
        <v>26</v>
      </c>
    </row>
    <row r="28" spans="1:39">
      <c r="A28" s="389">
        <f t="shared" si="22"/>
        <v>27</v>
      </c>
      <c r="B28" s="395" t="str">
        <f t="shared" si="0"/>
        <v>Jan 2015</v>
      </c>
      <c r="C28" s="396" t="str">
        <f t="shared" si="1"/>
        <v>RLS</v>
      </c>
      <c r="D28" s="396" t="str">
        <f t="shared" si="2"/>
        <v>KUUM_412</v>
      </c>
      <c r="E28" s="394">
        <f t="shared" si="3"/>
        <v>28</v>
      </c>
      <c r="F28" s="397">
        <v>0</v>
      </c>
      <c r="G28" s="394">
        <f t="shared" si="4"/>
        <v>0</v>
      </c>
      <c r="H28" s="394">
        <v>0</v>
      </c>
      <c r="I28" s="390">
        <f t="shared" si="17"/>
        <v>30.84</v>
      </c>
      <c r="J28" s="390">
        <f t="shared" si="5"/>
        <v>0.79999999999999716</v>
      </c>
      <c r="K28" s="391">
        <f t="shared" si="18"/>
        <v>863.52</v>
      </c>
      <c r="L28" s="398">
        <v>0</v>
      </c>
      <c r="M28" s="398">
        <v>0</v>
      </c>
      <c r="N28" s="164">
        <f t="shared" si="6"/>
        <v>863.52</v>
      </c>
      <c r="O28" s="399">
        <f t="shared" si="7"/>
        <v>0</v>
      </c>
      <c r="P28" s="392">
        <f t="shared" si="19"/>
        <v>0</v>
      </c>
      <c r="Q28" s="164">
        <f t="shared" si="8"/>
        <v>0</v>
      </c>
      <c r="R28" s="164">
        <f t="shared" si="9"/>
        <v>0</v>
      </c>
      <c r="S28" s="164">
        <f t="shared" si="10"/>
        <v>0</v>
      </c>
      <c r="T28" s="164">
        <f t="shared" si="11"/>
        <v>0</v>
      </c>
      <c r="U28" s="164">
        <f t="shared" si="12"/>
        <v>0</v>
      </c>
      <c r="V28" s="393">
        <f t="shared" si="13"/>
        <v>863.52</v>
      </c>
      <c r="W28" s="393">
        <f t="shared" si="14"/>
        <v>-863.52</v>
      </c>
      <c r="Y28" s="393">
        <f t="shared" si="20"/>
        <v>22.4</v>
      </c>
      <c r="Z28" s="393">
        <f t="shared" si="21"/>
        <v>-22.4</v>
      </c>
      <c r="AD28" s="395">
        <f>IF(AH28&gt;AH27,AD27,IF(AD27&lt;MiscData!$F$1,EOMONTH(AD27,1),EOMONTH(AD27,-11)))</f>
        <v>42035</v>
      </c>
      <c r="AE28" s="389" t="str">
        <f t="shared" si="15"/>
        <v>20140101KUUM_412</v>
      </c>
      <c r="AF28" s="437" t="str">
        <f t="shared" si="16"/>
        <v>20140101RLS</v>
      </c>
      <c r="AG28" s="438"/>
      <c r="AH28" s="34">
        <f>IF(AH27=MiscData!$AB$91,1,AH27+1)</f>
        <v>27</v>
      </c>
      <c r="AI28" s="34">
        <f>IF(AD28&lt;=MiscData!$B$23,MiscData!$C$23,IF(AD28&lt;=MiscData!$B$24,MiscData!$C$24,MiscData!$C$25))</f>
        <v>20140101</v>
      </c>
      <c r="AK28" s="439" t="str">
        <f>VLOOKUP(AM28,MiscData!$AB$4:$ACB$113,2,FALSE)</f>
        <v>KUUM_412</v>
      </c>
      <c r="AL28" s="439" t="str">
        <f>VLOOKUP(AM28,MiscData!$AB$4:$AE$115,4,FALSE)</f>
        <v>RLS</v>
      </c>
      <c r="AM28" s="34">
        <f>IF(AM27=MiscData!$AB$91,1,AM27+1)</f>
        <v>27</v>
      </c>
    </row>
    <row r="29" spans="1:39">
      <c r="A29" s="389">
        <f t="shared" si="22"/>
        <v>28</v>
      </c>
      <c r="B29" s="395" t="str">
        <f t="shared" si="0"/>
        <v>Jan 2015</v>
      </c>
      <c r="C29" s="396" t="str">
        <f t="shared" si="1"/>
        <v>RLS</v>
      </c>
      <c r="D29" s="396" t="str">
        <f t="shared" si="2"/>
        <v>KUUM_413</v>
      </c>
      <c r="E29" s="394">
        <f t="shared" si="3"/>
        <v>96</v>
      </c>
      <c r="F29" s="397">
        <v>0</v>
      </c>
      <c r="G29" s="394">
        <f t="shared" si="4"/>
        <v>0</v>
      </c>
      <c r="H29" s="394">
        <v>0</v>
      </c>
      <c r="I29" s="390">
        <f t="shared" si="17"/>
        <v>31.22</v>
      </c>
      <c r="J29" s="390">
        <f t="shared" si="5"/>
        <v>1.129999999999999</v>
      </c>
      <c r="K29" s="391">
        <f t="shared" si="18"/>
        <v>2997.12</v>
      </c>
      <c r="L29" s="398">
        <v>0</v>
      </c>
      <c r="M29" s="398">
        <v>0</v>
      </c>
      <c r="N29" s="164">
        <f t="shared" si="6"/>
        <v>2997.12</v>
      </c>
      <c r="O29" s="399">
        <f t="shared" si="7"/>
        <v>0</v>
      </c>
      <c r="P29" s="392">
        <f t="shared" si="19"/>
        <v>0</v>
      </c>
      <c r="Q29" s="164">
        <f t="shared" si="8"/>
        <v>0</v>
      </c>
      <c r="R29" s="164">
        <f t="shared" si="9"/>
        <v>0</v>
      </c>
      <c r="S29" s="164">
        <f t="shared" si="10"/>
        <v>0</v>
      </c>
      <c r="T29" s="164">
        <f t="shared" si="11"/>
        <v>0</v>
      </c>
      <c r="U29" s="164">
        <f t="shared" si="12"/>
        <v>0</v>
      </c>
      <c r="V29" s="393">
        <f t="shared" si="13"/>
        <v>2997.12</v>
      </c>
      <c r="W29" s="393">
        <f t="shared" si="14"/>
        <v>-2997.12</v>
      </c>
      <c r="Y29" s="393">
        <f t="shared" si="20"/>
        <v>108.48</v>
      </c>
      <c r="Z29" s="393">
        <f t="shared" si="21"/>
        <v>-108.48</v>
      </c>
      <c r="AD29" s="395">
        <f>IF(AH29&gt;AH28,AD28,IF(AD28&lt;MiscData!$F$1,EOMONTH(AD28,1),EOMONTH(AD28,-11)))</f>
        <v>42035</v>
      </c>
      <c r="AE29" s="389" t="str">
        <f t="shared" si="15"/>
        <v>20140101KUUM_413</v>
      </c>
      <c r="AF29" s="437" t="str">
        <f t="shared" si="16"/>
        <v>20140101RLS</v>
      </c>
      <c r="AG29" s="438"/>
      <c r="AH29" s="34">
        <f>IF(AH28=MiscData!$AB$91,1,AH28+1)</f>
        <v>28</v>
      </c>
      <c r="AI29" s="34">
        <f>IF(AD29&lt;=MiscData!$B$23,MiscData!$C$23,IF(AD29&lt;=MiscData!$B$24,MiscData!$C$24,MiscData!$C$25))</f>
        <v>20140101</v>
      </c>
      <c r="AK29" s="439" t="str">
        <f>VLOOKUP(AM29,MiscData!$AB$4:$ACB$113,2,FALSE)</f>
        <v>KUUM_413</v>
      </c>
      <c r="AL29" s="439" t="str">
        <f>VLOOKUP(AM29,MiscData!$AB$4:$AE$115,4,FALSE)</f>
        <v>RLS</v>
      </c>
      <c r="AM29" s="34">
        <f>IF(AM28=MiscData!$AB$91,1,AM28+1)</f>
        <v>28</v>
      </c>
    </row>
    <row r="30" spans="1:39">
      <c r="A30" s="389">
        <f t="shared" si="22"/>
        <v>29</v>
      </c>
      <c r="B30" s="395" t="str">
        <f t="shared" si="0"/>
        <v>Jan 2015</v>
      </c>
      <c r="C30" s="396" t="str">
        <f t="shared" si="1"/>
        <v>LS</v>
      </c>
      <c r="D30" s="396" t="str">
        <f t="shared" si="2"/>
        <v>KUUM_414</v>
      </c>
      <c r="E30" s="394">
        <f t="shared" si="3"/>
        <v>21</v>
      </c>
      <c r="F30" s="397">
        <v>0</v>
      </c>
      <c r="G30" s="394">
        <f t="shared" si="4"/>
        <v>0</v>
      </c>
      <c r="H30" s="394">
        <v>0</v>
      </c>
      <c r="I30" s="390">
        <f t="shared" si="17"/>
        <v>30.84</v>
      </c>
      <c r="J30" s="390">
        <f t="shared" si="5"/>
        <v>0.79999999999999716</v>
      </c>
      <c r="K30" s="391">
        <f t="shared" si="18"/>
        <v>647.64</v>
      </c>
      <c r="L30" s="398">
        <v>0</v>
      </c>
      <c r="M30" s="398">
        <v>0</v>
      </c>
      <c r="N30" s="164">
        <f t="shared" si="6"/>
        <v>647.64</v>
      </c>
      <c r="O30" s="399">
        <f t="shared" si="7"/>
        <v>0</v>
      </c>
      <c r="P30" s="392">
        <f t="shared" si="19"/>
        <v>0</v>
      </c>
      <c r="Q30" s="164">
        <f t="shared" si="8"/>
        <v>0</v>
      </c>
      <c r="R30" s="164">
        <f t="shared" si="9"/>
        <v>0</v>
      </c>
      <c r="S30" s="164">
        <f t="shared" si="10"/>
        <v>0</v>
      </c>
      <c r="T30" s="164">
        <f t="shared" si="11"/>
        <v>0</v>
      </c>
      <c r="U30" s="164">
        <f t="shared" si="12"/>
        <v>0</v>
      </c>
      <c r="V30" s="393">
        <f t="shared" si="13"/>
        <v>647.64</v>
      </c>
      <c r="W30" s="393">
        <f t="shared" si="14"/>
        <v>-647.64</v>
      </c>
      <c r="Y30" s="393">
        <f t="shared" si="20"/>
        <v>16.8</v>
      </c>
      <c r="Z30" s="393">
        <f t="shared" si="21"/>
        <v>-16.8</v>
      </c>
      <c r="AD30" s="395">
        <f>IF(AH30&gt;AH29,AD29,IF(AD29&lt;MiscData!$F$1,EOMONTH(AD29,1),EOMONTH(AD29,-11)))</f>
        <v>42035</v>
      </c>
      <c r="AE30" s="389" t="str">
        <f t="shared" si="15"/>
        <v>20140101KUUM_414</v>
      </c>
      <c r="AF30" s="437" t="str">
        <f t="shared" si="16"/>
        <v>20140101LS</v>
      </c>
      <c r="AG30" s="438"/>
      <c r="AH30" s="34">
        <f>IF(AH29=MiscData!$AB$91,1,AH29+1)</f>
        <v>29</v>
      </c>
      <c r="AI30" s="34">
        <f>IF(AD30&lt;=MiscData!$B$23,MiscData!$C$23,IF(AD30&lt;=MiscData!$B$24,MiscData!$C$24,MiscData!$C$25))</f>
        <v>20140101</v>
      </c>
      <c r="AK30" s="439" t="str">
        <f>VLOOKUP(AM30,MiscData!$AB$4:$ACB$113,2,FALSE)</f>
        <v>KUUM_414</v>
      </c>
      <c r="AL30" s="439" t="str">
        <f>VLOOKUP(AM30,MiscData!$AB$4:$AE$115,4,FALSE)</f>
        <v>LS</v>
      </c>
      <c r="AM30" s="34">
        <f>IF(AM29=MiscData!$AB$91,1,AM29+1)</f>
        <v>29</v>
      </c>
    </row>
    <row r="31" spans="1:39">
      <c r="A31" s="389">
        <f t="shared" si="22"/>
        <v>30</v>
      </c>
      <c r="B31" s="395" t="str">
        <f t="shared" si="0"/>
        <v>Jan 2015</v>
      </c>
      <c r="C31" s="396" t="str">
        <f t="shared" si="1"/>
        <v>LS</v>
      </c>
      <c r="D31" s="396" t="str">
        <f t="shared" si="2"/>
        <v>KUUM_415</v>
      </c>
      <c r="E31" s="394">
        <f t="shared" si="3"/>
        <v>10</v>
      </c>
      <c r="F31" s="397">
        <v>0</v>
      </c>
      <c r="G31" s="394">
        <f t="shared" si="4"/>
        <v>0</v>
      </c>
      <c r="H31" s="394">
        <v>0</v>
      </c>
      <c r="I31" s="390">
        <f t="shared" si="17"/>
        <v>31.22</v>
      </c>
      <c r="J31" s="390">
        <f t="shared" si="5"/>
        <v>1.129999999999999</v>
      </c>
      <c r="K31" s="391">
        <f t="shared" si="18"/>
        <v>312.2</v>
      </c>
      <c r="L31" s="398">
        <v>0</v>
      </c>
      <c r="M31" s="398">
        <v>0</v>
      </c>
      <c r="N31" s="164">
        <f t="shared" si="6"/>
        <v>312.2</v>
      </c>
      <c r="O31" s="399">
        <f t="shared" si="7"/>
        <v>0</v>
      </c>
      <c r="P31" s="392">
        <f t="shared" si="19"/>
        <v>0</v>
      </c>
      <c r="Q31" s="164">
        <f t="shared" si="8"/>
        <v>0</v>
      </c>
      <c r="R31" s="164">
        <f t="shared" si="9"/>
        <v>0</v>
      </c>
      <c r="S31" s="164">
        <f t="shared" si="10"/>
        <v>0</v>
      </c>
      <c r="T31" s="164">
        <f t="shared" si="11"/>
        <v>0</v>
      </c>
      <c r="U31" s="164">
        <f t="shared" si="12"/>
        <v>0</v>
      </c>
      <c r="V31" s="393">
        <f t="shared" si="13"/>
        <v>312.2</v>
      </c>
      <c r="W31" s="393">
        <f t="shared" si="14"/>
        <v>-312.2</v>
      </c>
      <c r="Y31" s="393">
        <f t="shared" si="20"/>
        <v>11.3</v>
      </c>
      <c r="Z31" s="393">
        <f t="shared" si="21"/>
        <v>-11.3</v>
      </c>
      <c r="AD31" s="395">
        <f>IF(AH31&gt;AH30,AD30,IF(AD30&lt;MiscData!$F$1,EOMONTH(AD30,1),EOMONTH(AD30,-11)))</f>
        <v>42035</v>
      </c>
      <c r="AE31" s="389" t="str">
        <f t="shared" si="15"/>
        <v>20140101KUUM_415</v>
      </c>
      <c r="AF31" s="437" t="str">
        <f t="shared" si="16"/>
        <v>20140101LS</v>
      </c>
      <c r="AG31" s="438"/>
      <c r="AH31" s="34">
        <f>IF(AH30=MiscData!$AB$91,1,AH30+1)</f>
        <v>30</v>
      </c>
      <c r="AI31" s="34">
        <f>IF(AD31&lt;=MiscData!$B$23,MiscData!$C$23,IF(AD31&lt;=MiscData!$B$24,MiscData!$C$24,MiscData!$C$25))</f>
        <v>20140101</v>
      </c>
      <c r="AK31" s="439" t="str">
        <f>VLOOKUP(AM31,MiscData!$AB$4:$ACB$113,2,FALSE)</f>
        <v>KUUM_415</v>
      </c>
      <c r="AL31" s="439" t="str">
        <f>VLOOKUP(AM31,MiscData!$AB$4:$AE$115,4,FALSE)</f>
        <v>LS</v>
      </c>
      <c r="AM31" s="34">
        <f>IF(AM30=MiscData!$AB$91,1,AM30+1)</f>
        <v>30</v>
      </c>
    </row>
    <row r="32" spans="1:39">
      <c r="A32" s="389">
        <f t="shared" si="22"/>
        <v>31</v>
      </c>
      <c r="B32" s="395" t="str">
        <f t="shared" si="0"/>
        <v>Jan 2015</v>
      </c>
      <c r="C32" s="396" t="str">
        <f t="shared" si="1"/>
        <v>LS</v>
      </c>
      <c r="D32" s="396" t="str">
        <f t="shared" si="2"/>
        <v>KUUM_420</v>
      </c>
      <c r="E32" s="394">
        <f t="shared" si="3"/>
        <v>454</v>
      </c>
      <c r="F32" s="397">
        <v>0</v>
      </c>
      <c r="G32" s="394">
        <f t="shared" si="4"/>
        <v>0</v>
      </c>
      <c r="H32" s="394">
        <v>0</v>
      </c>
      <c r="I32" s="390">
        <f t="shared" si="17"/>
        <v>15.360000000000001</v>
      </c>
      <c r="J32" s="390">
        <f t="shared" si="5"/>
        <v>1.1300000000000008</v>
      </c>
      <c r="K32" s="391">
        <f t="shared" si="18"/>
        <v>6973.44</v>
      </c>
      <c r="L32" s="398">
        <v>0</v>
      </c>
      <c r="M32" s="398">
        <v>0</v>
      </c>
      <c r="N32" s="164">
        <f t="shared" si="6"/>
        <v>6973.44</v>
      </c>
      <c r="O32" s="399">
        <f t="shared" si="7"/>
        <v>0</v>
      </c>
      <c r="P32" s="392">
        <f t="shared" si="19"/>
        <v>0</v>
      </c>
      <c r="Q32" s="164">
        <f t="shared" si="8"/>
        <v>0</v>
      </c>
      <c r="R32" s="164">
        <f t="shared" si="9"/>
        <v>0</v>
      </c>
      <c r="S32" s="164">
        <f t="shared" si="10"/>
        <v>0</v>
      </c>
      <c r="T32" s="164">
        <f t="shared" si="11"/>
        <v>0</v>
      </c>
      <c r="U32" s="164">
        <f t="shared" si="12"/>
        <v>0</v>
      </c>
      <c r="V32" s="393">
        <f t="shared" si="13"/>
        <v>6973.44</v>
      </c>
      <c r="W32" s="393">
        <f t="shared" si="14"/>
        <v>-6973.44</v>
      </c>
      <c r="Y32" s="393">
        <f t="shared" si="20"/>
        <v>513.02</v>
      </c>
      <c r="Z32" s="393">
        <f t="shared" si="21"/>
        <v>-513.02</v>
      </c>
      <c r="AD32" s="395">
        <f>IF(AH32&gt;AH31,AD31,IF(AD31&lt;MiscData!$F$1,EOMONTH(AD31,1),EOMONTH(AD31,-11)))</f>
        <v>42035</v>
      </c>
      <c r="AE32" s="389" t="str">
        <f t="shared" si="15"/>
        <v>20140101KUUM_420</v>
      </c>
      <c r="AF32" s="437" t="str">
        <f t="shared" si="16"/>
        <v>20140101LS</v>
      </c>
      <c r="AG32" s="438"/>
      <c r="AH32" s="34">
        <f>IF(AH31=MiscData!$AB$91,1,AH31+1)</f>
        <v>31</v>
      </c>
      <c r="AI32" s="34">
        <f>IF(AD32&lt;=MiscData!$B$23,MiscData!$C$23,IF(AD32&lt;=MiscData!$B$24,MiscData!$C$24,MiscData!$C$25))</f>
        <v>20140101</v>
      </c>
      <c r="AK32" s="439" t="str">
        <f>VLOOKUP(AM32,MiscData!$AB$4:$ACB$113,2,FALSE)</f>
        <v>KUUM_420</v>
      </c>
      <c r="AL32" s="439" t="str">
        <f>VLOOKUP(AM32,MiscData!$AB$4:$AE$115,4,FALSE)</f>
        <v>LS</v>
      </c>
      <c r="AM32" s="34">
        <f>IF(AM31=MiscData!$AB$91,1,AM31+1)</f>
        <v>31</v>
      </c>
    </row>
    <row r="33" spans="1:39">
      <c r="A33" s="389">
        <f t="shared" si="22"/>
        <v>32</v>
      </c>
      <c r="B33" s="395" t="str">
        <f t="shared" si="0"/>
        <v>Jan 2015</v>
      </c>
      <c r="C33" s="396" t="str">
        <f t="shared" si="1"/>
        <v>RLS</v>
      </c>
      <c r="D33" s="396" t="str">
        <f t="shared" si="2"/>
        <v>KUUM_421</v>
      </c>
      <c r="E33" s="394">
        <f t="shared" si="3"/>
        <v>5</v>
      </c>
      <c r="F33" s="397">
        <v>0</v>
      </c>
      <c r="G33" s="394">
        <f t="shared" si="4"/>
        <v>0</v>
      </c>
      <c r="H33" s="394">
        <v>0</v>
      </c>
      <c r="I33" s="390">
        <f t="shared" si="17"/>
        <v>3.39</v>
      </c>
      <c r="J33" s="390">
        <f t="shared" si="5"/>
        <v>0.98999999999999977</v>
      </c>
      <c r="K33" s="391">
        <f t="shared" si="18"/>
        <v>16.95</v>
      </c>
      <c r="L33" s="398">
        <v>0</v>
      </c>
      <c r="M33" s="398">
        <v>0</v>
      </c>
      <c r="N33" s="164">
        <f t="shared" si="6"/>
        <v>16.95</v>
      </c>
      <c r="O33" s="399">
        <f t="shared" si="7"/>
        <v>0</v>
      </c>
      <c r="P33" s="392">
        <f t="shared" si="19"/>
        <v>0</v>
      </c>
      <c r="Q33" s="164">
        <f t="shared" si="8"/>
        <v>0</v>
      </c>
      <c r="R33" s="164">
        <f t="shared" si="9"/>
        <v>0</v>
      </c>
      <c r="S33" s="164">
        <f t="shared" si="10"/>
        <v>0</v>
      </c>
      <c r="T33" s="164">
        <f t="shared" si="11"/>
        <v>0</v>
      </c>
      <c r="U33" s="164">
        <f t="shared" si="12"/>
        <v>0</v>
      </c>
      <c r="V33" s="393">
        <f t="shared" si="13"/>
        <v>16.95</v>
      </c>
      <c r="W33" s="393">
        <f t="shared" si="14"/>
        <v>-16.95</v>
      </c>
      <c r="Y33" s="393">
        <f t="shared" si="20"/>
        <v>4.95</v>
      </c>
      <c r="Z33" s="393">
        <f t="shared" si="21"/>
        <v>-4.95</v>
      </c>
      <c r="AD33" s="395">
        <f>IF(AH33&gt;AH32,AD32,IF(AD32&lt;MiscData!$F$1,EOMONTH(AD32,1),EOMONTH(AD32,-11)))</f>
        <v>42035</v>
      </c>
      <c r="AE33" s="389" t="str">
        <f t="shared" si="15"/>
        <v>20140101KUUM_421</v>
      </c>
      <c r="AF33" s="437" t="str">
        <f t="shared" si="16"/>
        <v>20140101RLS</v>
      </c>
      <c r="AG33" s="438"/>
      <c r="AH33" s="34">
        <f>IF(AH32=MiscData!$AB$91,1,AH32+1)</f>
        <v>32</v>
      </c>
      <c r="AI33" s="34">
        <f>IF(AD33&lt;=MiscData!$B$23,MiscData!$C$23,IF(AD33&lt;=MiscData!$B$24,MiscData!$C$24,MiscData!$C$25))</f>
        <v>20140101</v>
      </c>
      <c r="AK33" s="439" t="str">
        <f>VLOOKUP(AM33,MiscData!$AB$4:$ACB$113,2,FALSE)</f>
        <v>KUUM_421</v>
      </c>
      <c r="AL33" s="439" t="str">
        <f>VLOOKUP(AM33,MiscData!$AB$4:$AE$115,4,FALSE)</f>
        <v>RLS</v>
      </c>
      <c r="AM33" s="34">
        <f>IF(AM32=MiscData!$AB$91,1,AM32+1)</f>
        <v>32</v>
      </c>
    </row>
    <row r="34" spans="1:39">
      <c r="A34" s="389">
        <f t="shared" si="22"/>
        <v>33</v>
      </c>
      <c r="B34" s="395" t="str">
        <f t="shared" si="0"/>
        <v>Jan 2015</v>
      </c>
      <c r="C34" s="396" t="str">
        <f t="shared" si="1"/>
        <v>RLS</v>
      </c>
      <c r="D34" s="396" t="str">
        <f t="shared" si="2"/>
        <v>KUUM_422</v>
      </c>
      <c r="E34" s="394">
        <f t="shared" si="3"/>
        <v>684</v>
      </c>
      <c r="F34" s="397">
        <v>0</v>
      </c>
      <c r="G34" s="394">
        <f t="shared" si="4"/>
        <v>0</v>
      </c>
      <c r="H34" s="394">
        <v>0</v>
      </c>
      <c r="I34" s="390">
        <f t="shared" si="17"/>
        <v>4.5400000000000009</v>
      </c>
      <c r="J34" s="390">
        <f t="shared" si="5"/>
        <v>1.9400000000000004</v>
      </c>
      <c r="K34" s="391">
        <f t="shared" si="18"/>
        <v>3105.36</v>
      </c>
      <c r="L34" s="398">
        <v>0</v>
      </c>
      <c r="M34" s="398">
        <v>0</v>
      </c>
      <c r="N34" s="164">
        <f t="shared" si="6"/>
        <v>3105.36</v>
      </c>
      <c r="O34" s="399">
        <f t="shared" si="7"/>
        <v>0</v>
      </c>
      <c r="P34" s="392">
        <f t="shared" si="19"/>
        <v>0</v>
      </c>
      <c r="Q34" s="164">
        <f t="shared" si="8"/>
        <v>0</v>
      </c>
      <c r="R34" s="164">
        <f t="shared" si="9"/>
        <v>0</v>
      </c>
      <c r="S34" s="164">
        <f t="shared" si="10"/>
        <v>0</v>
      </c>
      <c r="T34" s="164">
        <f t="shared" si="11"/>
        <v>0</v>
      </c>
      <c r="U34" s="164">
        <f t="shared" si="12"/>
        <v>0</v>
      </c>
      <c r="V34" s="393">
        <f t="shared" si="13"/>
        <v>3105.36</v>
      </c>
      <c r="W34" s="393">
        <f t="shared" si="14"/>
        <v>-3105.36</v>
      </c>
      <c r="Y34" s="393">
        <f t="shared" si="20"/>
        <v>1326.96</v>
      </c>
      <c r="Z34" s="393">
        <f t="shared" si="21"/>
        <v>-1326.96</v>
      </c>
      <c r="AD34" s="395">
        <f>IF(AH34&gt;AH33,AD33,IF(AD33&lt;MiscData!$F$1,EOMONTH(AD33,1),EOMONTH(AD33,-11)))</f>
        <v>42035</v>
      </c>
      <c r="AE34" s="389" t="str">
        <f t="shared" si="15"/>
        <v>20140101KUUM_422</v>
      </c>
      <c r="AF34" s="437" t="str">
        <f t="shared" si="16"/>
        <v>20140101RLS</v>
      </c>
      <c r="AG34" s="438"/>
      <c r="AH34" s="34">
        <f>IF(AH33=MiscData!$AB$91,1,AH33+1)</f>
        <v>33</v>
      </c>
      <c r="AI34" s="34">
        <f>IF(AD34&lt;=MiscData!$B$23,MiscData!$C$23,IF(AD34&lt;=MiscData!$B$24,MiscData!$C$24,MiscData!$C$25))</f>
        <v>20140101</v>
      </c>
      <c r="AK34" s="439" t="str">
        <f>VLOOKUP(AM34,MiscData!$AB$4:$ACB$113,2,FALSE)</f>
        <v>KUUM_422</v>
      </c>
      <c r="AL34" s="439" t="str">
        <f>VLOOKUP(AM34,MiscData!$AB$4:$AE$115,4,FALSE)</f>
        <v>RLS</v>
      </c>
      <c r="AM34" s="34">
        <f>IF(AM33=MiscData!$AB$91,1,AM33+1)</f>
        <v>33</v>
      </c>
    </row>
    <row r="35" spans="1:39">
      <c r="A35" s="389">
        <f t="shared" si="22"/>
        <v>34</v>
      </c>
      <c r="B35" s="395" t="str">
        <f t="shared" si="0"/>
        <v>Jan 2015</v>
      </c>
      <c r="C35" s="396" t="str">
        <f t="shared" si="1"/>
        <v>RLS</v>
      </c>
      <c r="D35" s="396" t="str">
        <f t="shared" si="2"/>
        <v>KUUM_424</v>
      </c>
      <c r="E35" s="394">
        <f t="shared" si="3"/>
        <v>92</v>
      </c>
      <c r="F35" s="397">
        <v>0</v>
      </c>
      <c r="G35" s="394">
        <f t="shared" si="4"/>
        <v>0</v>
      </c>
      <c r="H35" s="394">
        <v>0</v>
      </c>
      <c r="I35" s="390">
        <f t="shared" si="17"/>
        <v>6.78</v>
      </c>
      <c r="J35" s="390">
        <f t="shared" si="5"/>
        <v>0.69999999999999929</v>
      </c>
      <c r="K35" s="391">
        <f t="shared" si="18"/>
        <v>623.76</v>
      </c>
      <c r="L35" s="398">
        <v>0</v>
      </c>
      <c r="M35" s="398">
        <v>0</v>
      </c>
      <c r="N35" s="164">
        <f t="shared" si="6"/>
        <v>623.76</v>
      </c>
      <c r="O35" s="399">
        <f t="shared" si="7"/>
        <v>0</v>
      </c>
      <c r="P35" s="392">
        <f t="shared" si="19"/>
        <v>0</v>
      </c>
      <c r="Q35" s="164">
        <f t="shared" si="8"/>
        <v>0</v>
      </c>
      <c r="R35" s="164">
        <f t="shared" si="9"/>
        <v>0</v>
      </c>
      <c r="S35" s="164">
        <f t="shared" si="10"/>
        <v>0</v>
      </c>
      <c r="T35" s="164">
        <f t="shared" si="11"/>
        <v>0</v>
      </c>
      <c r="U35" s="164">
        <f t="shared" si="12"/>
        <v>0</v>
      </c>
      <c r="V35" s="393">
        <f t="shared" si="13"/>
        <v>623.76</v>
      </c>
      <c r="W35" s="393">
        <f t="shared" si="14"/>
        <v>-623.76</v>
      </c>
      <c r="Y35" s="393">
        <f t="shared" si="20"/>
        <v>64.400000000000006</v>
      </c>
      <c r="Z35" s="393">
        <f t="shared" si="21"/>
        <v>-64.400000000000006</v>
      </c>
      <c r="AD35" s="395">
        <f>IF(AH35&gt;AH34,AD34,IF(AD34&lt;MiscData!$F$1,EOMONTH(AD34,1),EOMONTH(AD34,-11)))</f>
        <v>42035</v>
      </c>
      <c r="AE35" s="389" t="str">
        <f t="shared" si="15"/>
        <v>20140101KUUM_424</v>
      </c>
      <c r="AF35" s="437" t="str">
        <f t="shared" si="16"/>
        <v>20140101RLS</v>
      </c>
      <c r="AG35" s="438"/>
      <c r="AH35" s="34">
        <f>IF(AH34=MiscData!$AB$91,1,AH34+1)</f>
        <v>34</v>
      </c>
      <c r="AI35" s="34">
        <f>IF(AD35&lt;=MiscData!$B$23,MiscData!$C$23,IF(AD35&lt;=MiscData!$B$24,MiscData!$C$24,MiscData!$C$25))</f>
        <v>20140101</v>
      </c>
      <c r="AK35" s="439" t="str">
        <f>VLOOKUP(AM35,MiscData!$AB$4:$ACB$113,2,FALSE)</f>
        <v>KUUM_424</v>
      </c>
      <c r="AL35" s="439" t="str">
        <f>VLOOKUP(AM35,MiscData!$AB$4:$AE$115,4,FALSE)</f>
        <v>RLS</v>
      </c>
      <c r="AM35" s="34">
        <f>IF(AM34=MiscData!$AB$91,1,AM34+1)</f>
        <v>34</v>
      </c>
    </row>
    <row r="36" spans="1:39">
      <c r="A36" s="389">
        <f t="shared" si="22"/>
        <v>35</v>
      </c>
      <c r="B36" s="395" t="str">
        <f t="shared" si="0"/>
        <v>Jan 2015</v>
      </c>
      <c r="C36" s="396" t="str">
        <f t="shared" si="1"/>
        <v>RLS</v>
      </c>
      <c r="D36" s="396" t="str">
        <f t="shared" si="2"/>
        <v>KUUM_425</v>
      </c>
      <c r="E36" s="394">
        <f t="shared" si="3"/>
        <v>2</v>
      </c>
      <c r="F36" s="397">
        <v>0</v>
      </c>
      <c r="G36" s="394">
        <f t="shared" si="4"/>
        <v>0</v>
      </c>
      <c r="H36" s="394">
        <v>0</v>
      </c>
      <c r="I36" s="390">
        <f t="shared" si="17"/>
        <v>9.06</v>
      </c>
      <c r="J36" s="390">
        <f t="shared" si="5"/>
        <v>4.3000000000000007</v>
      </c>
      <c r="K36" s="391">
        <f t="shared" si="18"/>
        <v>18.12</v>
      </c>
      <c r="L36" s="398">
        <v>0</v>
      </c>
      <c r="M36" s="398">
        <v>0</v>
      </c>
      <c r="N36" s="164">
        <f t="shared" si="6"/>
        <v>18.12</v>
      </c>
      <c r="O36" s="399">
        <f t="shared" si="7"/>
        <v>0</v>
      </c>
      <c r="P36" s="392">
        <f t="shared" si="19"/>
        <v>0</v>
      </c>
      <c r="Q36" s="164">
        <f t="shared" si="8"/>
        <v>0</v>
      </c>
      <c r="R36" s="164">
        <f t="shared" si="9"/>
        <v>0</v>
      </c>
      <c r="S36" s="164">
        <f t="shared" si="10"/>
        <v>0</v>
      </c>
      <c r="T36" s="164">
        <f t="shared" si="11"/>
        <v>0</v>
      </c>
      <c r="U36" s="164">
        <f t="shared" si="12"/>
        <v>0</v>
      </c>
      <c r="V36" s="393">
        <f t="shared" si="13"/>
        <v>18.12</v>
      </c>
      <c r="W36" s="393">
        <f t="shared" si="14"/>
        <v>-18.12</v>
      </c>
      <c r="Y36" s="393">
        <f t="shared" si="20"/>
        <v>8.6</v>
      </c>
      <c r="Z36" s="393">
        <f t="shared" si="21"/>
        <v>-8.6</v>
      </c>
      <c r="AD36" s="395">
        <f>IF(AH36&gt;AH35,AD35,IF(AD35&lt;MiscData!$F$1,EOMONTH(AD35,1),EOMONTH(AD35,-11)))</f>
        <v>42035</v>
      </c>
      <c r="AE36" s="389" t="str">
        <f t="shared" si="15"/>
        <v>20140101KUUM_425</v>
      </c>
      <c r="AF36" s="437" t="str">
        <f t="shared" si="16"/>
        <v>20140101RLS</v>
      </c>
      <c r="AG36" s="438"/>
      <c r="AH36" s="34">
        <f>IF(AH35=MiscData!$AB$91,1,AH35+1)</f>
        <v>35</v>
      </c>
      <c r="AI36" s="34">
        <f>IF(AD36&lt;=MiscData!$B$23,MiscData!$C$23,IF(AD36&lt;=MiscData!$B$24,MiscData!$C$24,MiscData!$C$25))</f>
        <v>20140101</v>
      </c>
      <c r="AK36" s="439" t="str">
        <f>VLOOKUP(AM36,MiscData!$AB$4:$ACB$113,2,FALSE)</f>
        <v>KUUM_425</v>
      </c>
      <c r="AL36" s="439" t="str">
        <f>VLOOKUP(AM36,MiscData!$AB$4:$AE$115,4,FALSE)</f>
        <v>RLS</v>
      </c>
      <c r="AM36" s="34">
        <f>IF(AM35=MiscData!$AB$91,1,AM35+1)</f>
        <v>35</v>
      </c>
    </row>
    <row r="37" spans="1:39">
      <c r="A37" s="389">
        <f t="shared" si="22"/>
        <v>36</v>
      </c>
      <c r="B37" s="395" t="str">
        <f t="shared" si="0"/>
        <v>Jan 2015</v>
      </c>
      <c r="C37" s="396" t="str">
        <f t="shared" si="1"/>
        <v>RLS</v>
      </c>
      <c r="D37" s="396" t="str">
        <f t="shared" si="2"/>
        <v>KUUM_426</v>
      </c>
      <c r="E37" s="394">
        <f t="shared" si="3"/>
        <v>171</v>
      </c>
      <c r="F37" s="397">
        <v>0</v>
      </c>
      <c r="G37" s="394">
        <f t="shared" si="4"/>
        <v>0</v>
      </c>
      <c r="H37" s="394">
        <v>0</v>
      </c>
      <c r="I37" s="390">
        <f t="shared" si="17"/>
        <v>7.4399999999999995</v>
      </c>
      <c r="J37" s="390">
        <f t="shared" si="5"/>
        <v>0.79999999999999982</v>
      </c>
      <c r="K37" s="391">
        <f t="shared" si="18"/>
        <v>1272.24</v>
      </c>
      <c r="L37" s="398">
        <v>0</v>
      </c>
      <c r="M37" s="398">
        <v>0</v>
      </c>
      <c r="N37" s="164">
        <f t="shared" si="6"/>
        <v>1272.24</v>
      </c>
      <c r="O37" s="399">
        <f t="shared" si="7"/>
        <v>0</v>
      </c>
      <c r="P37" s="392">
        <f t="shared" si="19"/>
        <v>0</v>
      </c>
      <c r="Q37" s="164">
        <f t="shared" si="8"/>
        <v>0</v>
      </c>
      <c r="R37" s="164">
        <f t="shared" si="9"/>
        <v>0</v>
      </c>
      <c r="S37" s="164">
        <f t="shared" si="10"/>
        <v>0</v>
      </c>
      <c r="T37" s="164">
        <f t="shared" si="11"/>
        <v>0</v>
      </c>
      <c r="U37" s="164">
        <f t="shared" si="12"/>
        <v>0</v>
      </c>
      <c r="V37" s="393">
        <f t="shared" si="13"/>
        <v>1272.24</v>
      </c>
      <c r="W37" s="393">
        <f t="shared" si="14"/>
        <v>-1272.24</v>
      </c>
      <c r="Y37" s="393">
        <f t="shared" si="20"/>
        <v>136.80000000000001</v>
      </c>
      <c r="Z37" s="393">
        <f t="shared" si="21"/>
        <v>-136.80000000000001</v>
      </c>
      <c r="AD37" s="395">
        <f>IF(AH37&gt;AH36,AD36,IF(AD36&lt;MiscData!$F$1,EOMONTH(AD36,1),EOMONTH(AD36,-11)))</f>
        <v>42035</v>
      </c>
      <c r="AE37" s="389" t="str">
        <f t="shared" si="15"/>
        <v>20140101KUUM_426</v>
      </c>
      <c r="AF37" s="437" t="str">
        <f t="shared" si="16"/>
        <v>20140101RLS</v>
      </c>
      <c r="AG37" s="438"/>
      <c r="AH37" s="34">
        <f>IF(AH36=MiscData!$AB$91,1,AH36+1)</f>
        <v>36</v>
      </c>
      <c r="AI37" s="34">
        <f>IF(AD37&lt;=MiscData!$B$23,MiscData!$C$23,IF(AD37&lt;=MiscData!$B$24,MiscData!$C$24,MiscData!$C$25))</f>
        <v>20140101</v>
      </c>
      <c r="AK37" s="439" t="str">
        <f>VLOOKUP(AM37,MiscData!$AB$4:$ACB$113,2,FALSE)</f>
        <v>KUUM_426</v>
      </c>
      <c r="AL37" s="439" t="str">
        <f>VLOOKUP(AM37,MiscData!$AB$4:$AE$115,4,FALSE)</f>
        <v>RLS</v>
      </c>
      <c r="AM37" s="34">
        <f>IF(AM36=MiscData!$AB$91,1,AM36+1)</f>
        <v>36</v>
      </c>
    </row>
    <row r="38" spans="1:39">
      <c r="A38" s="389">
        <f t="shared" si="22"/>
        <v>37</v>
      </c>
      <c r="B38" s="395" t="str">
        <f t="shared" si="0"/>
        <v>Jan 2015</v>
      </c>
      <c r="C38" s="396" t="str">
        <f t="shared" si="1"/>
        <v>LS</v>
      </c>
      <c r="D38" s="396" t="str">
        <f t="shared" si="2"/>
        <v>KUUM_428</v>
      </c>
      <c r="E38" s="394">
        <f t="shared" si="3"/>
        <v>36283</v>
      </c>
      <c r="F38" s="397">
        <v>0</v>
      </c>
      <c r="G38" s="394">
        <f t="shared" si="4"/>
        <v>0</v>
      </c>
      <c r="H38" s="394">
        <v>0</v>
      </c>
      <c r="I38" s="390">
        <f t="shared" si="17"/>
        <v>7.84</v>
      </c>
      <c r="J38" s="390">
        <f t="shared" si="5"/>
        <v>1.1299999999999999</v>
      </c>
      <c r="K38" s="391">
        <f t="shared" si="18"/>
        <v>284458.71999999997</v>
      </c>
      <c r="L38" s="398">
        <v>0</v>
      </c>
      <c r="M38" s="398">
        <v>0</v>
      </c>
      <c r="N38" s="164">
        <f t="shared" si="6"/>
        <v>284458.71999999997</v>
      </c>
      <c r="O38" s="399">
        <f t="shared" si="7"/>
        <v>0</v>
      </c>
      <c r="P38" s="392">
        <f t="shared" si="19"/>
        <v>0</v>
      </c>
      <c r="Q38" s="164">
        <f t="shared" si="8"/>
        <v>0</v>
      </c>
      <c r="R38" s="164">
        <f t="shared" si="9"/>
        <v>0</v>
      </c>
      <c r="S38" s="164">
        <f t="shared" si="10"/>
        <v>0</v>
      </c>
      <c r="T38" s="164">
        <f t="shared" si="11"/>
        <v>0</v>
      </c>
      <c r="U38" s="164">
        <f t="shared" si="12"/>
        <v>0</v>
      </c>
      <c r="V38" s="393">
        <f t="shared" si="13"/>
        <v>284458.71999999997</v>
      </c>
      <c r="W38" s="393">
        <f t="shared" si="14"/>
        <v>-284458.71999999997</v>
      </c>
      <c r="Y38" s="393">
        <f t="shared" si="20"/>
        <v>40999.79</v>
      </c>
      <c r="Z38" s="393">
        <f t="shared" si="21"/>
        <v>-40999.79</v>
      </c>
      <c r="AD38" s="395">
        <f>IF(AH38&gt;AH37,AD37,IF(AD37&lt;MiscData!$F$1,EOMONTH(AD37,1),EOMONTH(AD37,-11)))</f>
        <v>42035</v>
      </c>
      <c r="AE38" s="389" t="str">
        <f t="shared" si="15"/>
        <v>20140101KUUM_428</v>
      </c>
      <c r="AF38" s="437" t="str">
        <f t="shared" si="16"/>
        <v>20140101LS</v>
      </c>
      <c r="AG38" s="438"/>
      <c r="AH38" s="34">
        <f>IF(AH37=MiscData!$AB$91,1,AH37+1)</f>
        <v>37</v>
      </c>
      <c r="AI38" s="34">
        <f>IF(AD38&lt;=MiscData!$B$23,MiscData!$C$23,IF(AD38&lt;=MiscData!$B$24,MiscData!$C$24,MiscData!$C$25))</f>
        <v>20140101</v>
      </c>
      <c r="AK38" s="439" t="str">
        <f>VLOOKUP(AM38,MiscData!$AB$4:$ACB$113,2,FALSE)</f>
        <v>KUUM_428</v>
      </c>
      <c r="AL38" s="439" t="str">
        <f>VLOOKUP(AM38,MiscData!$AB$4:$AE$115,4,FALSE)</f>
        <v>LS</v>
      </c>
      <c r="AM38" s="34">
        <f>IF(AM37=MiscData!$AB$91,1,AM37+1)</f>
        <v>37</v>
      </c>
    </row>
    <row r="39" spans="1:39">
      <c r="A39" s="389">
        <f t="shared" si="22"/>
        <v>38</v>
      </c>
      <c r="B39" s="395" t="str">
        <f t="shared" si="0"/>
        <v>Jan 2015</v>
      </c>
      <c r="C39" s="396" t="str">
        <f t="shared" si="1"/>
        <v>LS</v>
      </c>
      <c r="D39" s="396" t="str">
        <f t="shared" si="2"/>
        <v>KUUM_429</v>
      </c>
      <c r="E39" s="394">
        <f t="shared" si="3"/>
        <v>0</v>
      </c>
      <c r="F39" s="397">
        <v>0</v>
      </c>
      <c r="G39" s="394">
        <f t="shared" si="4"/>
        <v>0</v>
      </c>
      <c r="H39" s="394">
        <v>0</v>
      </c>
      <c r="I39" s="390">
        <f t="shared" si="17"/>
        <v>0</v>
      </c>
      <c r="J39" s="390">
        <f t="shared" si="5"/>
        <v>0</v>
      </c>
      <c r="K39" s="391">
        <f t="shared" si="18"/>
        <v>0</v>
      </c>
      <c r="L39" s="398">
        <v>0</v>
      </c>
      <c r="M39" s="398">
        <v>0</v>
      </c>
      <c r="N39" s="164">
        <f t="shared" si="6"/>
        <v>0</v>
      </c>
      <c r="O39" s="399">
        <f t="shared" si="7"/>
        <v>0</v>
      </c>
      <c r="P39" s="392">
        <f t="shared" si="19"/>
        <v>1</v>
      </c>
      <c r="Q39" s="164">
        <f t="shared" si="8"/>
        <v>0</v>
      </c>
      <c r="R39" s="164">
        <f t="shared" si="9"/>
        <v>0</v>
      </c>
      <c r="S39" s="164">
        <f t="shared" si="10"/>
        <v>0</v>
      </c>
      <c r="T39" s="164">
        <f t="shared" si="11"/>
        <v>0</v>
      </c>
      <c r="U39" s="164">
        <f t="shared" si="12"/>
        <v>0</v>
      </c>
      <c r="V39" s="393">
        <f t="shared" si="13"/>
        <v>0</v>
      </c>
      <c r="W39" s="393">
        <f t="shared" si="14"/>
        <v>0</v>
      </c>
      <c r="Y39" s="393">
        <f t="shared" si="20"/>
        <v>0</v>
      </c>
      <c r="Z39" s="393">
        <f t="shared" si="21"/>
        <v>0</v>
      </c>
      <c r="AD39" s="395">
        <f>IF(AH39&gt;AH38,AD38,IF(AD38&lt;MiscData!$F$1,EOMONTH(AD38,1),EOMONTH(AD38,-11)))</f>
        <v>42035</v>
      </c>
      <c r="AE39" s="389" t="str">
        <f t="shared" si="15"/>
        <v>20140101KUUM_429</v>
      </c>
      <c r="AF39" s="437" t="str">
        <f t="shared" si="16"/>
        <v>20140101LS</v>
      </c>
      <c r="AG39" s="438"/>
      <c r="AH39" s="34">
        <f>IF(AH38=MiscData!$AB$91,1,AH38+1)</f>
        <v>38</v>
      </c>
      <c r="AI39" s="34">
        <f>IF(AD39&lt;=MiscData!$B$23,MiscData!$C$23,IF(AD39&lt;=MiscData!$B$24,MiscData!$C$24,MiscData!$C$25))</f>
        <v>20140101</v>
      </c>
      <c r="AK39" s="439" t="str">
        <f>VLOOKUP(AM39,MiscData!$AB$4:$ACB$113,2,FALSE)</f>
        <v>KUUM_429</v>
      </c>
      <c r="AL39" s="439" t="str">
        <f>VLOOKUP(AM39,MiscData!$AB$4:$AE$115,4,FALSE)</f>
        <v>LS</v>
      </c>
      <c r="AM39" s="34">
        <f>IF(AM38=MiscData!$AB$91,1,AM38+1)</f>
        <v>38</v>
      </c>
    </row>
    <row r="40" spans="1:39">
      <c r="A40" s="389">
        <f t="shared" si="22"/>
        <v>39</v>
      </c>
      <c r="B40" s="395" t="str">
        <f t="shared" si="0"/>
        <v>Jan 2015</v>
      </c>
      <c r="C40" s="396" t="str">
        <f t="shared" si="1"/>
        <v>LS</v>
      </c>
      <c r="D40" s="396" t="str">
        <f t="shared" si="2"/>
        <v>KUUM_430</v>
      </c>
      <c r="E40" s="394">
        <f t="shared" si="3"/>
        <v>1166</v>
      </c>
      <c r="F40" s="397">
        <v>0</v>
      </c>
      <c r="G40" s="394">
        <f t="shared" si="4"/>
        <v>0</v>
      </c>
      <c r="H40" s="394">
        <v>0</v>
      </c>
      <c r="I40" s="390">
        <f t="shared" si="17"/>
        <v>22</v>
      </c>
      <c r="J40" s="390">
        <f t="shared" si="5"/>
        <v>1.129999999999999</v>
      </c>
      <c r="K40" s="391">
        <f t="shared" si="18"/>
        <v>25652</v>
      </c>
      <c r="L40" s="398">
        <v>0</v>
      </c>
      <c r="M40" s="398">
        <v>0</v>
      </c>
      <c r="N40" s="164">
        <f t="shared" si="6"/>
        <v>25652</v>
      </c>
      <c r="O40" s="399">
        <f t="shared" si="7"/>
        <v>0</v>
      </c>
      <c r="P40" s="392">
        <f t="shared" si="19"/>
        <v>0</v>
      </c>
      <c r="Q40" s="164">
        <f t="shared" si="8"/>
        <v>0</v>
      </c>
      <c r="R40" s="164">
        <f t="shared" si="9"/>
        <v>0</v>
      </c>
      <c r="S40" s="164">
        <f t="shared" si="10"/>
        <v>0</v>
      </c>
      <c r="T40" s="164">
        <f t="shared" si="11"/>
        <v>0</v>
      </c>
      <c r="U40" s="164">
        <f t="shared" si="12"/>
        <v>0</v>
      </c>
      <c r="V40" s="393">
        <f t="shared" si="13"/>
        <v>25652</v>
      </c>
      <c r="W40" s="393">
        <f t="shared" si="14"/>
        <v>-25652</v>
      </c>
      <c r="Y40" s="393">
        <f t="shared" si="20"/>
        <v>1317.58</v>
      </c>
      <c r="Z40" s="393">
        <f t="shared" si="21"/>
        <v>-1317.58</v>
      </c>
      <c r="AD40" s="395">
        <f>IF(AH40&gt;AH39,AD39,IF(AD39&lt;MiscData!$F$1,EOMONTH(AD39,1),EOMONTH(AD39,-11)))</f>
        <v>42035</v>
      </c>
      <c r="AE40" s="389" t="str">
        <f t="shared" si="15"/>
        <v>20140101KUUM_430</v>
      </c>
      <c r="AF40" s="437" t="str">
        <f t="shared" si="16"/>
        <v>20140101LS</v>
      </c>
      <c r="AG40" s="438"/>
      <c r="AH40" s="34">
        <f>IF(AH39=MiscData!$AB$91,1,AH39+1)</f>
        <v>39</v>
      </c>
      <c r="AI40" s="34">
        <f>IF(AD40&lt;=MiscData!$B$23,MiscData!$C$23,IF(AD40&lt;=MiscData!$B$24,MiscData!$C$24,MiscData!$C$25))</f>
        <v>20140101</v>
      </c>
      <c r="AK40" s="439" t="str">
        <f>VLOOKUP(AM40,MiscData!$AB$4:$ACB$113,2,FALSE)</f>
        <v>KUUM_430</v>
      </c>
      <c r="AL40" s="439" t="str">
        <f>VLOOKUP(AM40,MiscData!$AB$4:$AE$115,4,FALSE)</f>
        <v>LS</v>
      </c>
      <c r="AM40" s="34">
        <f>IF(AM39=MiscData!$AB$91,1,AM39+1)</f>
        <v>39</v>
      </c>
    </row>
    <row r="41" spans="1:39">
      <c r="A41" s="389">
        <f t="shared" si="22"/>
        <v>40</v>
      </c>
      <c r="B41" s="395" t="str">
        <f t="shared" si="0"/>
        <v>Jan 2015</v>
      </c>
      <c r="C41" s="396" t="str">
        <f t="shared" si="1"/>
        <v>RLS</v>
      </c>
      <c r="D41" s="396" t="str">
        <f t="shared" si="2"/>
        <v>KUUM_434</v>
      </c>
      <c r="E41" s="394">
        <f t="shared" si="3"/>
        <v>6</v>
      </c>
      <c r="F41" s="397">
        <v>0</v>
      </c>
      <c r="G41" s="394">
        <f t="shared" si="4"/>
        <v>0</v>
      </c>
      <c r="H41" s="394">
        <v>0</v>
      </c>
      <c r="I41" s="390">
        <f t="shared" si="17"/>
        <v>7.74</v>
      </c>
      <c r="J41" s="390">
        <f t="shared" si="5"/>
        <v>0.69999999999999929</v>
      </c>
      <c r="K41" s="391">
        <f t="shared" si="18"/>
        <v>46.44</v>
      </c>
      <c r="L41" s="398">
        <v>0</v>
      </c>
      <c r="M41" s="398">
        <v>0</v>
      </c>
      <c r="N41" s="164">
        <f t="shared" si="6"/>
        <v>46.44</v>
      </c>
      <c r="O41" s="399">
        <f t="shared" si="7"/>
        <v>0</v>
      </c>
      <c r="P41" s="392">
        <f t="shared" si="19"/>
        <v>0</v>
      </c>
      <c r="Q41" s="164">
        <f t="shared" si="8"/>
        <v>0</v>
      </c>
      <c r="R41" s="164">
        <f t="shared" si="9"/>
        <v>0</v>
      </c>
      <c r="S41" s="164">
        <f t="shared" si="10"/>
        <v>0</v>
      </c>
      <c r="T41" s="164">
        <f t="shared" si="11"/>
        <v>0</v>
      </c>
      <c r="U41" s="164">
        <f t="shared" si="12"/>
        <v>0</v>
      </c>
      <c r="V41" s="393">
        <f t="shared" si="13"/>
        <v>46.44</v>
      </c>
      <c r="W41" s="393">
        <f t="shared" si="14"/>
        <v>-46.44</v>
      </c>
      <c r="Y41" s="393">
        <f t="shared" si="20"/>
        <v>4.2</v>
      </c>
      <c r="Z41" s="393">
        <f t="shared" si="21"/>
        <v>-4.2</v>
      </c>
      <c r="AD41" s="395">
        <f>IF(AH41&gt;AH40,AD40,IF(AD40&lt;MiscData!$F$1,EOMONTH(AD40,1),EOMONTH(AD40,-11)))</f>
        <v>42035</v>
      </c>
      <c r="AE41" s="389" t="str">
        <f t="shared" si="15"/>
        <v>20140101KUUM_434</v>
      </c>
      <c r="AF41" s="437" t="str">
        <f t="shared" si="16"/>
        <v>20140101RLS</v>
      </c>
      <c r="AG41" s="438"/>
      <c r="AH41" s="34">
        <f>IF(AH40=MiscData!$AB$91,1,AH40+1)</f>
        <v>40</v>
      </c>
      <c r="AI41" s="34">
        <f>IF(AD41&lt;=MiscData!$B$23,MiscData!$C$23,IF(AD41&lt;=MiscData!$B$24,MiscData!$C$24,MiscData!$C$25))</f>
        <v>20140101</v>
      </c>
      <c r="AK41" s="439" t="str">
        <f>VLOOKUP(AM41,MiscData!$AB$4:$ACB$113,2,FALSE)</f>
        <v>KUUM_434</v>
      </c>
      <c r="AL41" s="439" t="str">
        <f>VLOOKUP(AM41,MiscData!$AB$4:$AE$115,4,FALSE)</f>
        <v>RLS</v>
      </c>
      <c r="AM41" s="34">
        <f>IF(AM40=MiscData!$AB$91,1,AM40+1)</f>
        <v>40</v>
      </c>
    </row>
    <row r="42" spans="1:39">
      <c r="A42" s="389">
        <f t="shared" si="22"/>
        <v>41</v>
      </c>
      <c r="B42" s="395" t="str">
        <f t="shared" si="0"/>
        <v>Jan 2015</v>
      </c>
      <c r="C42" s="396" t="str">
        <f t="shared" si="1"/>
        <v>RLS</v>
      </c>
      <c r="D42" s="396" t="str">
        <f t="shared" si="2"/>
        <v>KUUM_440</v>
      </c>
      <c r="E42" s="394">
        <f t="shared" si="3"/>
        <v>2</v>
      </c>
      <c r="F42" s="397">
        <v>0</v>
      </c>
      <c r="G42" s="394">
        <f t="shared" si="4"/>
        <v>0</v>
      </c>
      <c r="H42" s="394">
        <v>0</v>
      </c>
      <c r="I42" s="390">
        <f t="shared" si="17"/>
        <v>13.610000000000001</v>
      </c>
      <c r="J42" s="390">
        <f t="shared" si="5"/>
        <v>0.57000000000000028</v>
      </c>
      <c r="K42" s="391">
        <f t="shared" si="18"/>
        <v>27.22</v>
      </c>
      <c r="L42" s="398">
        <v>0</v>
      </c>
      <c r="M42" s="398">
        <v>0</v>
      </c>
      <c r="N42" s="164">
        <f t="shared" si="6"/>
        <v>27.22</v>
      </c>
      <c r="O42" s="399">
        <f t="shared" si="7"/>
        <v>0</v>
      </c>
      <c r="P42" s="392">
        <f t="shared" si="19"/>
        <v>0</v>
      </c>
      <c r="Q42" s="164">
        <f t="shared" si="8"/>
        <v>0</v>
      </c>
      <c r="R42" s="164">
        <f t="shared" si="9"/>
        <v>0</v>
      </c>
      <c r="S42" s="164">
        <f t="shared" si="10"/>
        <v>0</v>
      </c>
      <c r="T42" s="164">
        <f t="shared" si="11"/>
        <v>0</v>
      </c>
      <c r="U42" s="164">
        <f t="shared" si="12"/>
        <v>0</v>
      </c>
      <c r="V42" s="393">
        <f t="shared" si="13"/>
        <v>27.22</v>
      </c>
      <c r="W42" s="393">
        <f t="shared" si="14"/>
        <v>-27.22</v>
      </c>
      <c r="Y42" s="393">
        <f t="shared" si="20"/>
        <v>1.1399999999999999</v>
      </c>
      <c r="Z42" s="393">
        <f t="shared" si="21"/>
        <v>-1.1399999999999999</v>
      </c>
      <c r="AD42" s="395">
        <f>IF(AH42&gt;AH41,AD41,IF(AD41&lt;MiscData!$F$1,EOMONTH(AD41,1),EOMONTH(AD41,-11)))</f>
        <v>42035</v>
      </c>
      <c r="AE42" s="389" t="str">
        <f t="shared" si="15"/>
        <v>20140101KUUM_440</v>
      </c>
      <c r="AF42" s="437" t="str">
        <f t="shared" si="16"/>
        <v>20140101RLS</v>
      </c>
      <c r="AG42" s="438"/>
      <c r="AH42" s="34">
        <f>IF(AH41=MiscData!$AB$91,1,AH41+1)</f>
        <v>41</v>
      </c>
      <c r="AI42" s="34">
        <f>IF(AD42&lt;=MiscData!$B$23,MiscData!$C$23,IF(AD42&lt;=MiscData!$B$24,MiscData!$C$24,MiscData!$C$25))</f>
        <v>20140101</v>
      </c>
      <c r="AK42" s="439" t="str">
        <f>VLOOKUP(AM42,MiscData!$AB$4:$ACB$113,2,FALSE)</f>
        <v>KUUM_440</v>
      </c>
      <c r="AL42" s="439" t="str">
        <f>VLOOKUP(AM42,MiscData!$AB$4:$AE$115,4,FALSE)</f>
        <v>RLS</v>
      </c>
      <c r="AM42" s="34">
        <f>IF(AM41=MiscData!$AB$91,1,AM41+1)</f>
        <v>41</v>
      </c>
    </row>
    <row r="43" spans="1:39">
      <c r="A43" s="389">
        <f t="shared" si="22"/>
        <v>42</v>
      </c>
      <c r="B43" s="395" t="str">
        <f t="shared" si="0"/>
        <v>Jan 2015</v>
      </c>
      <c r="C43" s="396" t="str">
        <f t="shared" si="1"/>
        <v>RLS</v>
      </c>
      <c r="D43" s="396" t="str">
        <f t="shared" si="2"/>
        <v>KUUM_446</v>
      </c>
      <c r="E43" s="394">
        <f t="shared" si="3"/>
        <v>1080</v>
      </c>
      <c r="F43" s="397">
        <v>0</v>
      </c>
      <c r="G43" s="394">
        <f t="shared" si="4"/>
        <v>0</v>
      </c>
      <c r="H43" s="394">
        <v>0</v>
      </c>
      <c r="I43" s="390">
        <f t="shared" si="17"/>
        <v>9.5600000000000023</v>
      </c>
      <c r="J43" s="390">
        <f t="shared" si="5"/>
        <v>1.9900000000000002</v>
      </c>
      <c r="K43" s="391">
        <f t="shared" si="18"/>
        <v>10324.799999999999</v>
      </c>
      <c r="L43" s="398">
        <v>0</v>
      </c>
      <c r="M43" s="398">
        <v>0</v>
      </c>
      <c r="N43" s="164">
        <f t="shared" si="6"/>
        <v>10324.799999999999</v>
      </c>
      <c r="O43" s="399">
        <f t="shared" si="7"/>
        <v>0</v>
      </c>
      <c r="P43" s="392">
        <f t="shared" si="19"/>
        <v>0</v>
      </c>
      <c r="Q43" s="164">
        <f t="shared" si="8"/>
        <v>0</v>
      </c>
      <c r="R43" s="164">
        <f t="shared" si="9"/>
        <v>0</v>
      </c>
      <c r="S43" s="164">
        <f t="shared" si="10"/>
        <v>0</v>
      </c>
      <c r="T43" s="164">
        <f t="shared" si="11"/>
        <v>0</v>
      </c>
      <c r="U43" s="164">
        <f t="shared" si="12"/>
        <v>0</v>
      </c>
      <c r="V43" s="393">
        <f t="shared" si="13"/>
        <v>10324.799999999999</v>
      </c>
      <c r="W43" s="393">
        <f t="shared" si="14"/>
        <v>-10324.799999999999</v>
      </c>
      <c r="Y43" s="393">
        <f t="shared" si="20"/>
        <v>2149.1999999999998</v>
      </c>
      <c r="Z43" s="393">
        <f t="shared" si="21"/>
        <v>-2149.1999999999998</v>
      </c>
      <c r="AD43" s="395">
        <f>IF(AH43&gt;AH42,AD42,IF(AD42&lt;MiscData!$F$1,EOMONTH(AD42,1),EOMONTH(AD42,-11)))</f>
        <v>42035</v>
      </c>
      <c r="AE43" s="389" t="str">
        <f t="shared" si="15"/>
        <v>20140101KUUM_446</v>
      </c>
      <c r="AF43" s="437" t="str">
        <f t="shared" si="16"/>
        <v>20140101RLS</v>
      </c>
      <c r="AG43" s="438"/>
      <c r="AH43" s="34">
        <f>IF(AH42=MiscData!$AB$91,1,AH42+1)</f>
        <v>42</v>
      </c>
      <c r="AI43" s="34">
        <f>IF(AD43&lt;=MiscData!$B$23,MiscData!$C$23,IF(AD43&lt;=MiscData!$B$24,MiscData!$C$24,MiscData!$C$25))</f>
        <v>20140101</v>
      </c>
      <c r="AK43" s="439" t="str">
        <f>VLOOKUP(AM43,MiscData!$AB$4:$ACB$113,2,FALSE)</f>
        <v>KUUM_446</v>
      </c>
      <c r="AL43" s="439" t="str">
        <f>VLOOKUP(AM43,MiscData!$AB$4:$AE$115,4,FALSE)</f>
        <v>RLS</v>
      </c>
      <c r="AM43" s="34">
        <f>IF(AM42=MiscData!$AB$91,1,AM42+1)</f>
        <v>42</v>
      </c>
    </row>
    <row r="44" spans="1:39">
      <c r="A44" s="389">
        <f t="shared" si="22"/>
        <v>43</v>
      </c>
      <c r="B44" s="395" t="str">
        <f t="shared" si="0"/>
        <v>Jan 2015</v>
      </c>
      <c r="C44" s="396" t="str">
        <f t="shared" si="1"/>
        <v>RLS</v>
      </c>
      <c r="D44" s="396" t="str">
        <f t="shared" si="2"/>
        <v>KUUM_447</v>
      </c>
      <c r="E44" s="394">
        <f t="shared" si="3"/>
        <v>728</v>
      </c>
      <c r="F44" s="397">
        <v>0</v>
      </c>
      <c r="G44" s="394">
        <f t="shared" si="4"/>
        <v>0</v>
      </c>
      <c r="H44" s="394">
        <v>0</v>
      </c>
      <c r="I44" s="390">
        <f t="shared" si="17"/>
        <v>11.32</v>
      </c>
      <c r="J44" s="390">
        <f t="shared" si="5"/>
        <v>2.8400000000000016</v>
      </c>
      <c r="K44" s="391">
        <f t="shared" si="18"/>
        <v>8240.9599999999991</v>
      </c>
      <c r="L44" s="398">
        <v>0</v>
      </c>
      <c r="M44" s="398">
        <v>0</v>
      </c>
      <c r="N44" s="164">
        <f t="shared" si="6"/>
        <v>8240.9599999999991</v>
      </c>
      <c r="O44" s="399">
        <f t="shared" si="7"/>
        <v>0</v>
      </c>
      <c r="P44" s="392">
        <f t="shared" si="19"/>
        <v>0</v>
      </c>
      <c r="Q44" s="164">
        <f t="shared" si="8"/>
        <v>0</v>
      </c>
      <c r="R44" s="164">
        <f t="shared" si="9"/>
        <v>0</v>
      </c>
      <c r="S44" s="164">
        <f t="shared" si="10"/>
        <v>0</v>
      </c>
      <c r="T44" s="164">
        <f t="shared" si="11"/>
        <v>0</v>
      </c>
      <c r="U44" s="164">
        <f t="shared" si="12"/>
        <v>0</v>
      </c>
      <c r="V44" s="393">
        <f t="shared" si="13"/>
        <v>8240.9599999999991</v>
      </c>
      <c r="W44" s="393">
        <f t="shared" si="14"/>
        <v>-8240.9599999999991</v>
      </c>
      <c r="Y44" s="393">
        <f t="shared" si="20"/>
        <v>2067.52</v>
      </c>
      <c r="Z44" s="393">
        <f t="shared" si="21"/>
        <v>-2067.52</v>
      </c>
      <c r="AD44" s="395">
        <f>IF(AH44&gt;AH43,AD43,IF(AD43&lt;MiscData!$F$1,EOMONTH(AD43,1),EOMONTH(AD43,-11)))</f>
        <v>42035</v>
      </c>
      <c r="AE44" s="389" t="str">
        <f t="shared" si="15"/>
        <v>20140101KUUM_447</v>
      </c>
      <c r="AF44" s="437" t="str">
        <f t="shared" si="16"/>
        <v>20140101RLS</v>
      </c>
      <c r="AG44" s="438"/>
      <c r="AH44" s="34">
        <f>IF(AH43=MiscData!$AB$91,1,AH43+1)</f>
        <v>43</v>
      </c>
      <c r="AI44" s="34">
        <f>IF(AD44&lt;=MiscData!$B$23,MiscData!$C$23,IF(AD44&lt;=MiscData!$B$24,MiscData!$C$24,MiscData!$C$25))</f>
        <v>20140101</v>
      </c>
      <c r="AK44" s="439" t="str">
        <f>VLOOKUP(AM44,MiscData!$AB$4:$ACB$113,2,FALSE)</f>
        <v>KUUM_447</v>
      </c>
      <c r="AL44" s="439" t="str">
        <f>VLOOKUP(AM44,MiscData!$AB$4:$AE$115,4,FALSE)</f>
        <v>RLS</v>
      </c>
      <c r="AM44" s="34">
        <f>IF(AM43=MiscData!$AB$91,1,AM43+1)</f>
        <v>43</v>
      </c>
    </row>
    <row r="45" spans="1:39">
      <c r="A45" s="389">
        <f t="shared" si="22"/>
        <v>44</v>
      </c>
      <c r="B45" s="395" t="str">
        <f t="shared" si="0"/>
        <v>Jan 2015</v>
      </c>
      <c r="C45" s="396" t="str">
        <f t="shared" si="1"/>
        <v>RLS</v>
      </c>
      <c r="D45" s="396" t="str">
        <f t="shared" si="2"/>
        <v>KUUM_448</v>
      </c>
      <c r="E45" s="394">
        <f t="shared" si="3"/>
        <v>1476</v>
      </c>
      <c r="F45" s="397">
        <v>0</v>
      </c>
      <c r="G45" s="394">
        <f t="shared" si="4"/>
        <v>0</v>
      </c>
      <c r="H45" s="394">
        <v>0</v>
      </c>
      <c r="I45" s="390">
        <f t="shared" si="17"/>
        <v>12.809999999999999</v>
      </c>
      <c r="J45" s="390">
        <f t="shared" si="5"/>
        <v>4.37</v>
      </c>
      <c r="K45" s="391">
        <f t="shared" si="18"/>
        <v>18907.560000000001</v>
      </c>
      <c r="L45" s="398">
        <v>0</v>
      </c>
      <c r="M45" s="398">
        <v>0</v>
      </c>
      <c r="N45" s="164">
        <f t="shared" si="6"/>
        <v>18907.560000000001</v>
      </c>
      <c r="O45" s="399">
        <f t="shared" si="7"/>
        <v>0</v>
      </c>
      <c r="P45" s="392">
        <f t="shared" si="19"/>
        <v>0</v>
      </c>
      <c r="Q45" s="164">
        <f t="shared" si="8"/>
        <v>0</v>
      </c>
      <c r="R45" s="164">
        <f t="shared" si="9"/>
        <v>0</v>
      </c>
      <c r="S45" s="164">
        <f t="shared" si="10"/>
        <v>0</v>
      </c>
      <c r="T45" s="164">
        <f t="shared" si="11"/>
        <v>0</v>
      </c>
      <c r="U45" s="164">
        <f t="shared" si="12"/>
        <v>0</v>
      </c>
      <c r="V45" s="393">
        <f t="shared" si="13"/>
        <v>18907.560000000001</v>
      </c>
      <c r="W45" s="393">
        <f t="shared" si="14"/>
        <v>-18907.560000000001</v>
      </c>
      <c r="Y45" s="393">
        <f t="shared" si="20"/>
        <v>6450.12</v>
      </c>
      <c r="Z45" s="393">
        <f t="shared" si="21"/>
        <v>-6450.12</v>
      </c>
      <c r="AD45" s="395">
        <f>IF(AH45&gt;AH44,AD44,IF(AD44&lt;MiscData!$F$1,EOMONTH(AD44,1),EOMONTH(AD44,-11)))</f>
        <v>42035</v>
      </c>
      <c r="AE45" s="389" t="str">
        <f t="shared" si="15"/>
        <v>20140101KUUM_448</v>
      </c>
      <c r="AF45" s="437" t="str">
        <f t="shared" si="16"/>
        <v>20140101RLS</v>
      </c>
      <c r="AG45" s="438"/>
      <c r="AH45" s="34">
        <f>IF(AH44=MiscData!$AB$91,1,AH44+1)</f>
        <v>44</v>
      </c>
      <c r="AI45" s="34">
        <f>IF(AD45&lt;=MiscData!$B$23,MiscData!$C$23,IF(AD45&lt;=MiscData!$B$24,MiscData!$C$24,MiscData!$C$25))</f>
        <v>20140101</v>
      </c>
      <c r="AK45" s="439" t="str">
        <f>VLOOKUP(AM45,MiscData!$AB$4:$ACB$113,2,FALSE)</f>
        <v>KUUM_448</v>
      </c>
      <c r="AL45" s="439" t="str">
        <f>VLOOKUP(AM45,MiscData!$AB$4:$AE$115,4,FALSE)</f>
        <v>RLS</v>
      </c>
      <c r="AM45" s="34">
        <f>IF(AM44=MiscData!$AB$91,1,AM44+1)</f>
        <v>44</v>
      </c>
    </row>
    <row r="46" spans="1:39">
      <c r="A46" s="389">
        <f t="shared" si="22"/>
        <v>45</v>
      </c>
      <c r="B46" s="395" t="str">
        <f t="shared" si="0"/>
        <v>Jan 2015</v>
      </c>
      <c r="C46" s="396" t="str">
        <f t="shared" si="1"/>
        <v>LS</v>
      </c>
      <c r="D46" s="396" t="str">
        <f t="shared" si="2"/>
        <v>KUUM_450</v>
      </c>
      <c r="E46" s="394">
        <f t="shared" si="3"/>
        <v>646</v>
      </c>
      <c r="F46" s="397">
        <v>0</v>
      </c>
      <c r="G46" s="394">
        <f t="shared" si="4"/>
        <v>0</v>
      </c>
      <c r="H46" s="394">
        <v>0</v>
      </c>
      <c r="I46" s="390">
        <f t="shared" si="17"/>
        <v>14.25</v>
      </c>
      <c r="J46" s="390">
        <f t="shared" si="5"/>
        <v>1.9699999999999989</v>
      </c>
      <c r="K46" s="391">
        <f t="shared" si="18"/>
        <v>9205.5</v>
      </c>
      <c r="L46" s="398">
        <v>0</v>
      </c>
      <c r="M46" s="398">
        <v>0</v>
      </c>
      <c r="N46" s="164">
        <f t="shared" si="6"/>
        <v>9205.5</v>
      </c>
      <c r="O46" s="399">
        <f t="shared" si="7"/>
        <v>0</v>
      </c>
      <c r="P46" s="392">
        <f t="shared" si="19"/>
        <v>0</v>
      </c>
      <c r="Q46" s="164">
        <f t="shared" si="8"/>
        <v>0</v>
      </c>
      <c r="R46" s="164">
        <f t="shared" si="9"/>
        <v>0</v>
      </c>
      <c r="S46" s="164">
        <f t="shared" si="10"/>
        <v>0</v>
      </c>
      <c r="T46" s="164">
        <f t="shared" si="11"/>
        <v>0</v>
      </c>
      <c r="U46" s="164">
        <f t="shared" si="12"/>
        <v>0</v>
      </c>
      <c r="V46" s="393">
        <f t="shared" si="13"/>
        <v>9205.5</v>
      </c>
      <c r="W46" s="393">
        <f t="shared" si="14"/>
        <v>-9205.5</v>
      </c>
      <c r="Y46" s="393">
        <f t="shared" si="20"/>
        <v>1272.6199999999999</v>
      </c>
      <c r="Z46" s="393">
        <f t="shared" si="21"/>
        <v>-1272.6199999999999</v>
      </c>
      <c r="AD46" s="395">
        <f>IF(AH46&gt;AH45,AD45,IF(AD45&lt;MiscData!$F$1,EOMONTH(AD45,1),EOMONTH(AD45,-11)))</f>
        <v>42035</v>
      </c>
      <c r="AE46" s="389" t="str">
        <f t="shared" si="15"/>
        <v>20140101KUUM_450</v>
      </c>
      <c r="AF46" s="437" t="str">
        <f t="shared" si="16"/>
        <v>20140101LS</v>
      </c>
      <c r="AG46" s="438"/>
      <c r="AH46" s="34">
        <f>IF(AH45=MiscData!$AB$91,1,AH45+1)</f>
        <v>45</v>
      </c>
      <c r="AI46" s="34">
        <f>IF(AD46&lt;=MiscData!$B$23,MiscData!$C$23,IF(AD46&lt;=MiscData!$B$24,MiscData!$C$24,MiscData!$C$25))</f>
        <v>20140101</v>
      </c>
      <c r="AK46" s="439" t="str">
        <f>VLOOKUP(AM46,MiscData!$AB$4:$ACB$113,2,FALSE)</f>
        <v>KUUM_450</v>
      </c>
      <c r="AL46" s="439" t="str">
        <f>VLOOKUP(AM46,MiscData!$AB$4:$AE$115,4,FALSE)</f>
        <v>LS</v>
      </c>
      <c r="AM46" s="34">
        <f>IF(AM45=MiscData!$AB$91,1,AM45+1)</f>
        <v>45</v>
      </c>
    </row>
    <row r="47" spans="1:39">
      <c r="A47" s="389">
        <f t="shared" si="22"/>
        <v>46</v>
      </c>
      <c r="B47" s="395" t="str">
        <f t="shared" si="0"/>
        <v>Jan 2015</v>
      </c>
      <c r="C47" s="396" t="str">
        <f t="shared" si="1"/>
        <v>LS</v>
      </c>
      <c r="D47" s="396" t="str">
        <f t="shared" si="2"/>
        <v>KUUM_451</v>
      </c>
      <c r="E47" s="394">
        <f t="shared" si="3"/>
        <v>5134</v>
      </c>
      <c r="F47" s="397">
        <v>0</v>
      </c>
      <c r="G47" s="394">
        <f t="shared" si="4"/>
        <v>0</v>
      </c>
      <c r="H47" s="394">
        <v>0</v>
      </c>
      <c r="I47" s="390">
        <f t="shared" si="17"/>
        <v>20.200000000000003</v>
      </c>
      <c r="J47" s="390">
        <f t="shared" si="5"/>
        <v>4.2900000000000027</v>
      </c>
      <c r="K47" s="391">
        <f t="shared" si="18"/>
        <v>103706.8</v>
      </c>
      <c r="L47" s="398">
        <v>0</v>
      </c>
      <c r="M47" s="398">
        <v>0</v>
      </c>
      <c r="N47" s="164">
        <f t="shared" si="6"/>
        <v>103706.8</v>
      </c>
      <c r="O47" s="399">
        <f t="shared" si="7"/>
        <v>0</v>
      </c>
      <c r="P47" s="392">
        <f t="shared" si="19"/>
        <v>0</v>
      </c>
      <c r="Q47" s="164">
        <f t="shared" si="8"/>
        <v>0</v>
      </c>
      <c r="R47" s="164">
        <f t="shared" si="9"/>
        <v>0</v>
      </c>
      <c r="S47" s="164">
        <f t="shared" si="10"/>
        <v>0</v>
      </c>
      <c r="T47" s="164">
        <f t="shared" si="11"/>
        <v>0</v>
      </c>
      <c r="U47" s="164">
        <f t="shared" si="12"/>
        <v>0</v>
      </c>
      <c r="V47" s="393">
        <f t="shared" si="13"/>
        <v>103706.8</v>
      </c>
      <c r="W47" s="393">
        <f t="shared" si="14"/>
        <v>-103706.8</v>
      </c>
      <c r="Y47" s="393">
        <f t="shared" si="20"/>
        <v>22024.86</v>
      </c>
      <c r="Z47" s="393">
        <f t="shared" si="21"/>
        <v>-22024.86</v>
      </c>
      <c r="AD47" s="395">
        <f>IF(AH47&gt;AH46,AD46,IF(AD46&lt;MiscData!$F$1,EOMONTH(AD46,1),EOMONTH(AD46,-11)))</f>
        <v>42035</v>
      </c>
      <c r="AE47" s="389" t="str">
        <f t="shared" si="15"/>
        <v>20140101KUUM_451</v>
      </c>
      <c r="AF47" s="437" t="str">
        <f t="shared" si="16"/>
        <v>20140101LS</v>
      </c>
      <c r="AG47" s="438"/>
      <c r="AH47" s="34">
        <f>IF(AH46=MiscData!$AB$91,1,AH46+1)</f>
        <v>46</v>
      </c>
      <c r="AI47" s="34">
        <f>IF(AD47&lt;=MiscData!$B$23,MiscData!$C$23,IF(AD47&lt;=MiscData!$B$24,MiscData!$C$24,MiscData!$C$25))</f>
        <v>20140101</v>
      </c>
      <c r="AK47" s="439" t="str">
        <f>VLOOKUP(AM47,MiscData!$AB$4:$ACB$113,2,FALSE)</f>
        <v>KUUM_451</v>
      </c>
      <c r="AL47" s="439" t="str">
        <f>VLOOKUP(AM47,MiscData!$AB$4:$AE$115,4,FALSE)</f>
        <v>LS</v>
      </c>
      <c r="AM47" s="34">
        <f>IF(AM46=MiscData!$AB$91,1,AM46+1)</f>
        <v>46</v>
      </c>
    </row>
    <row r="48" spans="1:39">
      <c r="A48" s="389">
        <f t="shared" si="22"/>
        <v>47</v>
      </c>
      <c r="B48" s="395" t="str">
        <f t="shared" si="0"/>
        <v>Jan 2015</v>
      </c>
      <c r="C48" s="396" t="str">
        <f t="shared" si="1"/>
        <v>LS</v>
      </c>
      <c r="D48" s="396" t="str">
        <f t="shared" si="2"/>
        <v>KUUM_452</v>
      </c>
      <c r="E48" s="394">
        <f t="shared" si="3"/>
        <v>1057</v>
      </c>
      <c r="F48" s="397">
        <v>0</v>
      </c>
      <c r="G48" s="394">
        <f t="shared" si="4"/>
        <v>0</v>
      </c>
      <c r="H48" s="394">
        <v>0</v>
      </c>
      <c r="I48" s="390">
        <f t="shared" si="17"/>
        <v>42.350000000000009</v>
      </c>
      <c r="J48" s="390">
        <f t="shared" si="5"/>
        <v>10.410000000000004</v>
      </c>
      <c r="K48" s="391">
        <f t="shared" si="18"/>
        <v>44763.95</v>
      </c>
      <c r="L48" s="398">
        <v>0</v>
      </c>
      <c r="M48" s="398">
        <v>0</v>
      </c>
      <c r="N48" s="164">
        <f t="shared" si="6"/>
        <v>44763.95</v>
      </c>
      <c r="O48" s="399">
        <f t="shared" si="7"/>
        <v>0</v>
      </c>
      <c r="P48" s="392">
        <f t="shared" si="19"/>
        <v>0</v>
      </c>
      <c r="Q48" s="164">
        <f t="shared" si="8"/>
        <v>0</v>
      </c>
      <c r="R48" s="164">
        <f t="shared" si="9"/>
        <v>0</v>
      </c>
      <c r="S48" s="164">
        <f t="shared" si="10"/>
        <v>0</v>
      </c>
      <c r="T48" s="164">
        <f t="shared" si="11"/>
        <v>0</v>
      </c>
      <c r="U48" s="164">
        <f t="shared" si="12"/>
        <v>0</v>
      </c>
      <c r="V48" s="393">
        <f t="shared" si="13"/>
        <v>44763.95</v>
      </c>
      <c r="W48" s="393">
        <f t="shared" si="14"/>
        <v>-44763.95</v>
      </c>
      <c r="Y48" s="393">
        <f t="shared" si="20"/>
        <v>11003.37</v>
      </c>
      <c r="Z48" s="393">
        <f t="shared" si="21"/>
        <v>-11003.37</v>
      </c>
      <c r="AD48" s="395">
        <f>IF(AH48&gt;AH47,AD47,IF(AD47&lt;MiscData!$F$1,EOMONTH(AD47,1),EOMONTH(AD47,-11)))</f>
        <v>42035</v>
      </c>
      <c r="AE48" s="389" t="str">
        <f t="shared" si="15"/>
        <v>20140101KUUM_452</v>
      </c>
      <c r="AF48" s="437" t="str">
        <f t="shared" si="16"/>
        <v>20140101LS</v>
      </c>
      <c r="AG48" s="438"/>
      <c r="AH48" s="34">
        <f>IF(AH47=MiscData!$AB$91,1,AH47+1)</f>
        <v>47</v>
      </c>
      <c r="AI48" s="34">
        <f>IF(AD48&lt;=MiscData!$B$23,MiscData!$C$23,IF(AD48&lt;=MiscData!$B$24,MiscData!$C$24,MiscData!$C$25))</f>
        <v>20140101</v>
      </c>
      <c r="AK48" s="439" t="str">
        <f>VLOOKUP(AM48,MiscData!$AB$4:$ACB$113,2,FALSE)</f>
        <v>KUUM_452</v>
      </c>
      <c r="AL48" s="439" t="str">
        <f>VLOOKUP(AM48,MiscData!$AB$4:$AE$115,4,FALSE)</f>
        <v>LS</v>
      </c>
      <c r="AM48" s="34">
        <f>IF(AM47=MiscData!$AB$91,1,AM47+1)</f>
        <v>47</v>
      </c>
    </row>
    <row r="49" spans="1:39">
      <c r="A49" s="389">
        <f t="shared" si="22"/>
        <v>48</v>
      </c>
      <c r="B49" s="395" t="str">
        <f t="shared" si="0"/>
        <v>Jan 2015</v>
      </c>
      <c r="C49" s="396" t="str">
        <f t="shared" si="1"/>
        <v>RLS</v>
      </c>
      <c r="D49" s="396" t="str">
        <f t="shared" si="2"/>
        <v>KUUM_454</v>
      </c>
      <c r="E49" s="394">
        <f t="shared" si="3"/>
        <v>150</v>
      </c>
      <c r="F49" s="397">
        <v>0</v>
      </c>
      <c r="G49" s="394">
        <f t="shared" si="4"/>
        <v>0</v>
      </c>
      <c r="H49" s="394">
        <v>0</v>
      </c>
      <c r="I49" s="390">
        <f t="shared" si="17"/>
        <v>18.649999999999999</v>
      </c>
      <c r="J49" s="390">
        <f t="shared" si="5"/>
        <v>1.9699999999999989</v>
      </c>
      <c r="K49" s="391">
        <f t="shared" si="18"/>
        <v>2797.5</v>
      </c>
      <c r="L49" s="398">
        <v>0</v>
      </c>
      <c r="M49" s="398">
        <v>0</v>
      </c>
      <c r="N49" s="164">
        <f t="shared" si="6"/>
        <v>2797.5</v>
      </c>
      <c r="O49" s="399">
        <f t="shared" si="7"/>
        <v>0</v>
      </c>
      <c r="P49" s="392">
        <f t="shared" si="19"/>
        <v>0</v>
      </c>
      <c r="Q49" s="164">
        <f t="shared" si="8"/>
        <v>0</v>
      </c>
      <c r="R49" s="164">
        <f t="shared" si="9"/>
        <v>0</v>
      </c>
      <c r="S49" s="164">
        <f t="shared" si="10"/>
        <v>0</v>
      </c>
      <c r="T49" s="164">
        <f t="shared" si="11"/>
        <v>0</v>
      </c>
      <c r="U49" s="164">
        <f t="shared" si="12"/>
        <v>0</v>
      </c>
      <c r="V49" s="393">
        <f t="shared" si="13"/>
        <v>2797.5</v>
      </c>
      <c r="W49" s="393">
        <f t="shared" si="14"/>
        <v>-2797.5</v>
      </c>
      <c r="Y49" s="393">
        <f t="shared" si="20"/>
        <v>295.5</v>
      </c>
      <c r="Z49" s="393">
        <f t="shared" si="21"/>
        <v>-295.5</v>
      </c>
      <c r="AD49" s="395">
        <f>IF(AH49&gt;AH48,AD48,IF(AD48&lt;MiscData!$F$1,EOMONTH(AD48,1),EOMONTH(AD48,-11)))</f>
        <v>42035</v>
      </c>
      <c r="AE49" s="389" t="str">
        <f t="shared" si="15"/>
        <v>20140101KUUM_454</v>
      </c>
      <c r="AF49" s="437" t="str">
        <f t="shared" si="16"/>
        <v>20140101RLS</v>
      </c>
      <c r="AG49" s="438"/>
      <c r="AH49" s="34">
        <f>IF(AH48=MiscData!$AB$91,1,AH48+1)</f>
        <v>48</v>
      </c>
      <c r="AI49" s="34">
        <f>IF(AD49&lt;=MiscData!$B$23,MiscData!$C$23,IF(AD49&lt;=MiscData!$B$24,MiscData!$C$24,MiscData!$C$25))</f>
        <v>20140101</v>
      </c>
      <c r="AK49" s="439" t="str">
        <f>VLOOKUP(AM49,MiscData!$AB$4:$ACB$113,2,FALSE)</f>
        <v>KUUM_454</v>
      </c>
      <c r="AL49" s="439" t="str">
        <f>VLOOKUP(AM49,MiscData!$AB$4:$AE$115,4,FALSE)</f>
        <v>RLS</v>
      </c>
      <c r="AM49" s="34">
        <f>IF(AM48=MiscData!$AB$91,1,AM48+1)</f>
        <v>48</v>
      </c>
    </row>
    <row r="50" spans="1:39">
      <c r="A50" s="389">
        <f t="shared" si="22"/>
        <v>49</v>
      </c>
      <c r="B50" s="395" t="str">
        <f t="shared" si="0"/>
        <v>Jan 2015</v>
      </c>
      <c r="C50" s="396" t="str">
        <f t="shared" si="1"/>
        <v>RLS</v>
      </c>
      <c r="D50" s="396" t="str">
        <f t="shared" si="2"/>
        <v>KUUM_455</v>
      </c>
      <c r="E50" s="394">
        <f t="shared" si="3"/>
        <v>1024</v>
      </c>
      <c r="F50" s="397">
        <v>0</v>
      </c>
      <c r="G50" s="394">
        <f t="shared" si="4"/>
        <v>0</v>
      </c>
      <c r="H50" s="394">
        <v>0</v>
      </c>
      <c r="I50" s="390">
        <f t="shared" si="17"/>
        <v>24.59</v>
      </c>
      <c r="J50" s="390">
        <f t="shared" si="5"/>
        <v>4.2899999999999991</v>
      </c>
      <c r="K50" s="391">
        <f t="shared" si="18"/>
        <v>25180.16</v>
      </c>
      <c r="L50" s="398">
        <v>0</v>
      </c>
      <c r="M50" s="398">
        <v>0</v>
      </c>
      <c r="N50" s="164">
        <f t="shared" si="6"/>
        <v>25180.16</v>
      </c>
      <c r="O50" s="399">
        <f t="shared" si="7"/>
        <v>0</v>
      </c>
      <c r="P50" s="392">
        <f t="shared" si="19"/>
        <v>0</v>
      </c>
      <c r="Q50" s="164">
        <f t="shared" si="8"/>
        <v>0</v>
      </c>
      <c r="R50" s="164">
        <f t="shared" si="9"/>
        <v>0</v>
      </c>
      <c r="S50" s="164">
        <f t="shared" si="10"/>
        <v>0</v>
      </c>
      <c r="T50" s="164">
        <f t="shared" si="11"/>
        <v>0</v>
      </c>
      <c r="U50" s="164">
        <f t="shared" si="12"/>
        <v>0</v>
      </c>
      <c r="V50" s="393">
        <f t="shared" si="13"/>
        <v>25180.16</v>
      </c>
      <c r="W50" s="393">
        <f t="shared" si="14"/>
        <v>-25180.16</v>
      </c>
      <c r="Y50" s="393">
        <f t="shared" si="20"/>
        <v>4392.96</v>
      </c>
      <c r="Z50" s="393">
        <f t="shared" si="21"/>
        <v>-4392.96</v>
      </c>
      <c r="AD50" s="395">
        <f>IF(AH50&gt;AH49,AD49,IF(AD49&lt;MiscData!$F$1,EOMONTH(AD49,1),EOMONTH(AD49,-11)))</f>
        <v>42035</v>
      </c>
      <c r="AE50" s="389" t="str">
        <f t="shared" si="15"/>
        <v>20140101KUUM_455</v>
      </c>
      <c r="AF50" s="437" t="str">
        <f t="shared" si="16"/>
        <v>20140101RLS</v>
      </c>
      <c r="AG50" s="438"/>
      <c r="AH50" s="34">
        <f>IF(AH49=MiscData!$AB$91,1,AH49+1)</f>
        <v>49</v>
      </c>
      <c r="AI50" s="34">
        <f>IF(AD50&lt;=MiscData!$B$23,MiscData!$C$23,IF(AD50&lt;=MiscData!$B$24,MiscData!$C$24,MiscData!$C$25))</f>
        <v>20140101</v>
      </c>
      <c r="AK50" s="439" t="str">
        <f>VLOOKUP(AM50,MiscData!$AB$4:$ACB$113,2,FALSE)</f>
        <v>KUUM_455</v>
      </c>
      <c r="AL50" s="439" t="str">
        <f>VLOOKUP(AM50,MiscData!$AB$4:$AE$115,4,FALSE)</f>
        <v>RLS</v>
      </c>
      <c r="AM50" s="34">
        <f>IF(AM49=MiscData!$AB$91,1,AM49+1)</f>
        <v>49</v>
      </c>
    </row>
    <row r="51" spans="1:39">
      <c r="A51" s="389">
        <f t="shared" si="22"/>
        <v>50</v>
      </c>
      <c r="B51" s="395" t="str">
        <f t="shared" si="0"/>
        <v>Jan 2015</v>
      </c>
      <c r="C51" s="396" t="str">
        <f t="shared" si="1"/>
        <v>RLS</v>
      </c>
      <c r="D51" s="396" t="str">
        <f t="shared" si="2"/>
        <v>KUUM_456</v>
      </c>
      <c r="E51" s="394">
        <f t="shared" si="3"/>
        <v>139</v>
      </c>
      <c r="F51" s="397">
        <v>0</v>
      </c>
      <c r="G51" s="394">
        <f t="shared" si="4"/>
        <v>0</v>
      </c>
      <c r="H51" s="394">
        <v>0</v>
      </c>
      <c r="I51" s="390">
        <f t="shared" si="17"/>
        <v>11.870000000000001</v>
      </c>
      <c r="J51" s="390">
        <f t="shared" si="5"/>
        <v>1.9900000000000002</v>
      </c>
      <c r="K51" s="391">
        <f t="shared" si="18"/>
        <v>1649.93</v>
      </c>
      <c r="L51" s="398">
        <v>0</v>
      </c>
      <c r="M51" s="398">
        <v>0</v>
      </c>
      <c r="N51" s="164">
        <f t="shared" si="6"/>
        <v>1649.93</v>
      </c>
      <c r="O51" s="399">
        <f t="shared" si="7"/>
        <v>0</v>
      </c>
      <c r="P51" s="392">
        <f t="shared" si="19"/>
        <v>0</v>
      </c>
      <c r="Q51" s="164">
        <f t="shared" si="8"/>
        <v>0</v>
      </c>
      <c r="R51" s="164">
        <f t="shared" si="9"/>
        <v>0</v>
      </c>
      <c r="S51" s="164">
        <f t="shared" si="10"/>
        <v>0</v>
      </c>
      <c r="T51" s="164">
        <f t="shared" si="11"/>
        <v>0</v>
      </c>
      <c r="U51" s="164">
        <f t="shared" si="12"/>
        <v>0</v>
      </c>
      <c r="V51" s="393">
        <f t="shared" si="13"/>
        <v>1649.93</v>
      </c>
      <c r="W51" s="393">
        <f t="shared" si="14"/>
        <v>-1649.93</v>
      </c>
      <c r="Y51" s="393">
        <f t="shared" si="20"/>
        <v>276.61</v>
      </c>
      <c r="Z51" s="393">
        <f t="shared" si="21"/>
        <v>-276.61</v>
      </c>
      <c r="AD51" s="395">
        <f>IF(AH51&gt;AH50,AD50,IF(AD50&lt;MiscData!$F$1,EOMONTH(AD50,1),EOMONTH(AD50,-11)))</f>
        <v>42035</v>
      </c>
      <c r="AE51" s="389" t="str">
        <f t="shared" si="15"/>
        <v>20140101KUUM_456</v>
      </c>
      <c r="AF51" s="437" t="str">
        <f t="shared" si="16"/>
        <v>20140101RLS</v>
      </c>
      <c r="AG51" s="438"/>
      <c r="AH51" s="34">
        <f>IF(AH50=MiscData!$AB$91,1,AH50+1)</f>
        <v>50</v>
      </c>
      <c r="AI51" s="34">
        <f>IF(AD51&lt;=MiscData!$B$23,MiscData!$C$23,IF(AD51&lt;=MiscData!$B$24,MiscData!$C$24,MiscData!$C$25))</f>
        <v>20140101</v>
      </c>
      <c r="AK51" s="439" t="str">
        <f>VLOOKUP(AM51,MiscData!$AB$4:$ACB$113,2,FALSE)</f>
        <v>KUUM_456</v>
      </c>
      <c r="AL51" s="439" t="str">
        <f>VLOOKUP(AM51,MiscData!$AB$4:$AE$115,4,FALSE)</f>
        <v>RLS</v>
      </c>
      <c r="AM51" s="34">
        <f>IF(AM50=MiscData!$AB$91,1,AM50+1)</f>
        <v>50</v>
      </c>
    </row>
    <row r="52" spans="1:39">
      <c r="A52" s="389">
        <f t="shared" si="22"/>
        <v>51</v>
      </c>
      <c r="B52" s="395" t="str">
        <f t="shared" si="0"/>
        <v>Jan 2015</v>
      </c>
      <c r="C52" s="396" t="str">
        <f t="shared" si="1"/>
        <v>RLS</v>
      </c>
      <c r="D52" s="396" t="str">
        <f t="shared" si="2"/>
        <v>KUUM_457</v>
      </c>
      <c r="E52" s="394">
        <f t="shared" si="3"/>
        <v>439</v>
      </c>
      <c r="F52" s="397">
        <v>0</v>
      </c>
      <c r="G52" s="394">
        <f t="shared" si="4"/>
        <v>0</v>
      </c>
      <c r="H52" s="394">
        <v>0</v>
      </c>
      <c r="I52" s="390">
        <f t="shared" si="17"/>
        <v>13.360000000000001</v>
      </c>
      <c r="J52" s="390">
        <f t="shared" si="5"/>
        <v>2.84</v>
      </c>
      <c r="K52" s="391">
        <f t="shared" si="18"/>
        <v>5865.04</v>
      </c>
      <c r="L52" s="398">
        <v>0</v>
      </c>
      <c r="M52" s="398">
        <v>0</v>
      </c>
      <c r="N52" s="164">
        <f t="shared" si="6"/>
        <v>5865.04</v>
      </c>
      <c r="O52" s="399">
        <f t="shared" si="7"/>
        <v>0</v>
      </c>
      <c r="P52" s="392">
        <f t="shared" si="19"/>
        <v>0</v>
      </c>
      <c r="Q52" s="164">
        <f t="shared" si="8"/>
        <v>0</v>
      </c>
      <c r="R52" s="164">
        <f t="shared" si="9"/>
        <v>0</v>
      </c>
      <c r="S52" s="164">
        <f t="shared" si="10"/>
        <v>0</v>
      </c>
      <c r="T52" s="164">
        <f t="shared" si="11"/>
        <v>0</v>
      </c>
      <c r="U52" s="164">
        <f t="shared" si="12"/>
        <v>0</v>
      </c>
      <c r="V52" s="393">
        <f t="shared" si="13"/>
        <v>5865.04</v>
      </c>
      <c r="W52" s="393">
        <f t="shared" si="14"/>
        <v>-5865.04</v>
      </c>
      <c r="Y52" s="393">
        <f t="shared" si="20"/>
        <v>1246.76</v>
      </c>
      <c r="Z52" s="393">
        <f t="shared" si="21"/>
        <v>-1246.76</v>
      </c>
      <c r="AD52" s="395">
        <f>IF(AH52&gt;AH51,AD51,IF(AD51&lt;MiscData!$F$1,EOMONTH(AD51,1),EOMONTH(AD51,-11)))</f>
        <v>42035</v>
      </c>
      <c r="AE52" s="389" t="str">
        <f t="shared" si="15"/>
        <v>20140101KUUM_457</v>
      </c>
      <c r="AF52" s="437" t="str">
        <f t="shared" si="16"/>
        <v>20140101RLS</v>
      </c>
      <c r="AG52" s="438"/>
      <c r="AH52" s="34">
        <f>IF(AH51=MiscData!$AB$91,1,AH51+1)</f>
        <v>51</v>
      </c>
      <c r="AI52" s="34">
        <f>IF(AD52&lt;=MiscData!$B$23,MiscData!$C$23,IF(AD52&lt;=MiscData!$B$24,MiscData!$C$24,MiscData!$C$25))</f>
        <v>20140101</v>
      </c>
      <c r="AK52" s="439" t="str">
        <f>VLOOKUP(AM52,MiscData!$AB$4:$ACB$113,2,FALSE)</f>
        <v>KUUM_457</v>
      </c>
      <c r="AL52" s="439" t="str">
        <f>VLOOKUP(AM52,MiscData!$AB$4:$AE$115,4,FALSE)</f>
        <v>RLS</v>
      </c>
      <c r="AM52" s="34">
        <f>IF(AM51=MiscData!$AB$91,1,AM51+1)</f>
        <v>51</v>
      </c>
    </row>
    <row r="53" spans="1:39">
      <c r="A53" s="389">
        <f t="shared" si="22"/>
        <v>52</v>
      </c>
      <c r="B53" s="395" t="str">
        <f t="shared" si="0"/>
        <v>Jan 2015</v>
      </c>
      <c r="C53" s="396" t="str">
        <f t="shared" si="1"/>
        <v>RLS</v>
      </c>
      <c r="D53" s="396" t="str">
        <f t="shared" si="2"/>
        <v>KUUM_458</v>
      </c>
      <c r="E53" s="394">
        <f t="shared" si="3"/>
        <v>1471</v>
      </c>
      <c r="F53" s="397">
        <v>0</v>
      </c>
      <c r="G53" s="394">
        <f t="shared" si="4"/>
        <v>0</v>
      </c>
      <c r="H53" s="394">
        <v>0</v>
      </c>
      <c r="I53" s="390">
        <f t="shared" si="17"/>
        <v>15.079999999999998</v>
      </c>
      <c r="J53" s="390">
        <f t="shared" si="5"/>
        <v>4.3699999999999992</v>
      </c>
      <c r="K53" s="391">
        <f t="shared" si="18"/>
        <v>22182.68</v>
      </c>
      <c r="L53" s="398">
        <v>0</v>
      </c>
      <c r="M53" s="398">
        <v>0</v>
      </c>
      <c r="N53" s="164">
        <f t="shared" si="6"/>
        <v>22182.68</v>
      </c>
      <c r="O53" s="399">
        <f t="shared" si="7"/>
        <v>0</v>
      </c>
      <c r="P53" s="392">
        <f t="shared" si="19"/>
        <v>0</v>
      </c>
      <c r="Q53" s="164">
        <f t="shared" si="8"/>
        <v>0</v>
      </c>
      <c r="R53" s="164">
        <f t="shared" si="9"/>
        <v>0</v>
      </c>
      <c r="S53" s="164">
        <f t="shared" si="10"/>
        <v>0</v>
      </c>
      <c r="T53" s="164">
        <f t="shared" si="11"/>
        <v>0</v>
      </c>
      <c r="U53" s="164">
        <f t="shared" si="12"/>
        <v>0</v>
      </c>
      <c r="V53" s="393">
        <f t="shared" si="13"/>
        <v>22182.68</v>
      </c>
      <c r="W53" s="393">
        <f t="shared" si="14"/>
        <v>-22182.68</v>
      </c>
      <c r="Y53" s="393">
        <f t="shared" si="20"/>
        <v>6428.27</v>
      </c>
      <c r="Z53" s="393">
        <f t="shared" si="21"/>
        <v>-6428.27</v>
      </c>
      <c r="AD53" s="395">
        <f>IF(AH53&gt;AH52,AD52,IF(AD52&lt;MiscData!$F$1,EOMONTH(AD52,1),EOMONTH(AD52,-11)))</f>
        <v>42035</v>
      </c>
      <c r="AE53" s="389" t="str">
        <f t="shared" si="15"/>
        <v>20140101KUUM_458</v>
      </c>
      <c r="AF53" s="437" t="str">
        <f t="shared" si="16"/>
        <v>20140101RLS</v>
      </c>
      <c r="AG53" s="438"/>
      <c r="AH53" s="34">
        <f>IF(AH52=MiscData!$AB$91,1,AH52+1)</f>
        <v>52</v>
      </c>
      <c r="AI53" s="34">
        <f>IF(AD53&lt;=MiscData!$B$23,MiscData!$C$23,IF(AD53&lt;=MiscData!$B$24,MiscData!$C$24,MiscData!$C$25))</f>
        <v>20140101</v>
      </c>
      <c r="AK53" s="439" t="str">
        <f>VLOOKUP(AM53,MiscData!$AB$4:$ACB$113,2,FALSE)</f>
        <v>KUUM_458</v>
      </c>
      <c r="AL53" s="439" t="str">
        <f>VLOOKUP(AM53,MiscData!$AB$4:$AE$115,4,FALSE)</f>
        <v>RLS</v>
      </c>
      <c r="AM53" s="34">
        <f>IF(AM52=MiscData!$AB$91,1,AM52+1)</f>
        <v>52</v>
      </c>
    </row>
    <row r="54" spans="1:39">
      <c r="A54" s="389">
        <f t="shared" si="22"/>
        <v>53</v>
      </c>
      <c r="B54" s="395" t="str">
        <f t="shared" si="0"/>
        <v>Jan 2015</v>
      </c>
      <c r="C54" s="396" t="str">
        <f t="shared" si="1"/>
        <v>RLS</v>
      </c>
      <c r="D54" s="396" t="str">
        <f t="shared" si="2"/>
        <v>KUUM_459</v>
      </c>
      <c r="E54" s="394">
        <f t="shared" si="3"/>
        <v>231</v>
      </c>
      <c r="F54" s="397">
        <v>0</v>
      </c>
      <c r="G54" s="394">
        <f t="shared" si="4"/>
        <v>0</v>
      </c>
      <c r="H54" s="394">
        <v>0</v>
      </c>
      <c r="I54" s="390">
        <f t="shared" si="17"/>
        <v>46.740000000000009</v>
      </c>
      <c r="J54" s="390">
        <f t="shared" si="5"/>
        <v>10.410000000000004</v>
      </c>
      <c r="K54" s="391">
        <f t="shared" si="18"/>
        <v>10796.94</v>
      </c>
      <c r="L54" s="398">
        <v>0</v>
      </c>
      <c r="M54" s="398">
        <v>0</v>
      </c>
      <c r="N54" s="164">
        <f t="shared" si="6"/>
        <v>10796.94</v>
      </c>
      <c r="O54" s="399">
        <f t="shared" si="7"/>
        <v>0</v>
      </c>
      <c r="P54" s="392">
        <f t="shared" si="19"/>
        <v>0</v>
      </c>
      <c r="Q54" s="164">
        <f t="shared" si="8"/>
        <v>0</v>
      </c>
      <c r="R54" s="164">
        <f t="shared" si="9"/>
        <v>0</v>
      </c>
      <c r="S54" s="164">
        <f t="shared" si="10"/>
        <v>0</v>
      </c>
      <c r="T54" s="164">
        <f t="shared" si="11"/>
        <v>0</v>
      </c>
      <c r="U54" s="164">
        <f t="shared" si="12"/>
        <v>0</v>
      </c>
      <c r="V54" s="393">
        <f t="shared" si="13"/>
        <v>10796.94</v>
      </c>
      <c r="W54" s="393">
        <f t="shared" si="14"/>
        <v>-10796.94</v>
      </c>
      <c r="Y54" s="393">
        <f t="shared" si="20"/>
        <v>2404.71</v>
      </c>
      <c r="Z54" s="393">
        <f t="shared" si="21"/>
        <v>-2404.71</v>
      </c>
      <c r="AD54" s="395">
        <f>IF(AH54&gt;AH53,AD53,IF(AD53&lt;MiscData!$F$1,EOMONTH(AD53,1),EOMONTH(AD53,-11)))</f>
        <v>42035</v>
      </c>
      <c r="AE54" s="389" t="str">
        <f t="shared" si="15"/>
        <v>20140101KUUM_459</v>
      </c>
      <c r="AF54" s="437" t="str">
        <f t="shared" si="16"/>
        <v>20140101RLS</v>
      </c>
      <c r="AG54" s="438"/>
      <c r="AH54" s="34">
        <f>IF(AH53=MiscData!$AB$91,1,AH53+1)</f>
        <v>53</v>
      </c>
      <c r="AI54" s="34">
        <f>IF(AD54&lt;=MiscData!$B$23,MiscData!$C$23,IF(AD54&lt;=MiscData!$B$24,MiscData!$C$24,MiscData!$C$25))</f>
        <v>20140101</v>
      </c>
      <c r="AK54" s="439" t="str">
        <f>VLOOKUP(AM54,MiscData!$AB$4:$ACB$113,2,FALSE)</f>
        <v>KUUM_459</v>
      </c>
      <c r="AL54" s="439" t="str">
        <f>VLOOKUP(AM54,MiscData!$AB$4:$AE$115,4,FALSE)</f>
        <v>RLS</v>
      </c>
      <c r="AM54" s="34">
        <f>IF(AM53=MiscData!$AB$91,1,AM53+1)</f>
        <v>53</v>
      </c>
    </row>
    <row r="55" spans="1:39">
      <c r="A55" s="389">
        <f t="shared" si="22"/>
        <v>54</v>
      </c>
      <c r="B55" s="395" t="str">
        <f t="shared" si="0"/>
        <v>Jan 2015</v>
      </c>
      <c r="C55" s="396" t="str">
        <f t="shared" si="1"/>
        <v>RLS</v>
      </c>
      <c r="D55" s="396" t="str">
        <f t="shared" si="2"/>
        <v>KUUM_460</v>
      </c>
      <c r="E55" s="394">
        <f t="shared" si="3"/>
        <v>27</v>
      </c>
      <c r="F55" s="397">
        <v>0</v>
      </c>
      <c r="G55" s="394">
        <f t="shared" si="4"/>
        <v>0</v>
      </c>
      <c r="H55" s="394">
        <v>0</v>
      </c>
      <c r="I55" s="390">
        <f t="shared" si="17"/>
        <v>27.15</v>
      </c>
      <c r="J55" s="390">
        <f t="shared" si="5"/>
        <v>1.9699999999999989</v>
      </c>
      <c r="K55" s="391">
        <f t="shared" si="18"/>
        <v>733.05</v>
      </c>
      <c r="L55" s="398">
        <v>0</v>
      </c>
      <c r="M55" s="398">
        <v>0</v>
      </c>
      <c r="N55" s="164">
        <f t="shared" si="6"/>
        <v>733.05</v>
      </c>
      <c r="O55" s="399">
        <f t="shared" si="7"/>
        <v>0</v>
      </c>
      <c r="P55" s="392">
        <f t="shared" si="19"/>
        <v>0</v>
      </c>
      <c r="Q55" s="164">
        <f t="shared" si="8"/>
        <v>0</v>
      </c>
      <c r="R55" s="164">
        <f t="shared" si="9"/>
        <v>0</v>
      </c>
      <c r="S55" s="164">
        <f t="shared" si="10"/>
        <v>0</v>
      </c>
      <c r="T55" s="164">
        <f t="shared" si="11"/>
        <v>0</v>
      </c>
      <c r="U55" s="164">
        <f t="shared" si="12"/>
        <v>0</v>
      </c>
      <c r="V55" s="393">
        <f t="shared" si="13"/>
        <v>733.05</v>
      </c>
      <c r="W55" s="393">
        <f t="shared" si="14"/>
        <v>-733.05</v>
      </c>
      <c r="Y55" s="393">
        <f t="shared" si="20"/>
        <v>53.19</v>
      </c>
      <c r="Z55" s="393">
        <f t="shared" si="21"/>
        <v>-53.19</v>
      </c>
      <c r="AD55" s="395">
        <f>IF(AH55&gt;AH54,AD54,IF(AD54&lt;MiscData!$F$1,EOMONTH(AD54,1),EOMONTH(AD54,-11)))</f>
        <v>42035</v>
      </c>
      <c r="AE55" s="389" t="str">
        <f t="shared" si="15"/>
        <v>20140101KUUM_460</v>
      </c>
      <c r="AF55" s="437" t="str">
        <f t="shared" si="16"/>
        <v>20140101RLS</v>
      </c>
      <c r="AG55" s="438"/>
      <c r="AH55" s="34">
        <f>IF(AH54=MiscData!$AB$91,1,AH54+1)</f>
        <v>54</v>
      </c>
      <c r="AI55" s="34">
        <f>IF(AD55&lt;=MiscData!$B$23,MiscData!$C$23,IF(AD55&lt;=MiscData!$B$24,MiscData!$C$24,MiscData!$C$25))</f>
        <v>20140101</v>
      </c>
      <c r="AK55" s="439" t="str">
        <f>VLOOKUP(AM55,MiscData!$AB$4:$ACB$113,2,FALSE)</f>
        <v>KUUM_460</v>
      </c>
      <c r="AL55" s="439" t="str">
        <f>VLOOKUP(AM55,MiscData!$AB$4:$AE$115,4,FALSE)</f>
        <v>RLS</v>
      </c>
      <c r="AM55" s="34">
        <f>IF(AM54=MiscData!$AB$91,1,AM54+1)</f>
        <v>54</v>
      </c>
    </row>
    <row r="56" spans="1:39">
      <c r="A56" s="389">
        <f t="shared" si="22"/>
        <v>55</v>
      </c>
      <c r="B56" s="395" t="str">
        <f t="shared" si="0"/>
        <v>Jan 2015</v>
      </c>
      <c r="C56" s="396" t="str">
        <f t="shared" si="1"/>
        <v>RLS</v>
      </c>
      <c r="D56" s="396" t="str">
        <f t="shared" si="2"/>
        <v>KUUM_461</v>
      </c>
      <c r="E56" s="394">
        <f t="shared" si="3"/>
        <v>7211</v>
      </c>
      <c r="F56" s="397">
        <v>0</v>
      </c>
      <c r="G56" s="394">
        <f t="shared" si="4"/>
        <v>0</v>
      </c>
      <c r="H56" s="394">
        <v>0</v>
      </c>
      <c r="I56" s="390">
        <f t="shared" si="17"/>
        <v>7.54</v>
      </c>
      <c r="J56" s="390">
        <f t="shared" si="5"/>
        <v>0.57000000000000028</v>
      </c>
      <c r="K56" s="391">
        <f t="shared" si="18"/>
        <v>54370.94</v>
      </c>
      <c r="L56" s="398">
        <v>0</v>
      </c>
      <c r="M56" s="398">
        <v>0</v>
      </c>
      <c r="N56" s="164">
        <f t="shared" si="6"/>
        <v>54370.94</v>
      </c>
      <c r="O56" s="399">
        <f t="shared" si="7"/>
        <v>0</v>
      </c>
      <c r="P56" s="392">
        <f t="shared" si="19"/>
        <v>0</v>
      </c>
      <c r="Q56" s="164">
        <f t="shared" si="8"/>
        <v>0</v>
      </c>
      <c r="R56" s="164">
        <f t="shared" si="9"/>
        <v>0</v>
      </c>
      <c r="S56" s="164">
        <f t="shared" si="10"/>
        <v>0</v>
      </c>
      <c r="T56" s="164">
        <f t="shared" si="11"/>
        <v>0</v>
      </c>
      <c r="U56" s="164">
        <f t="shared" si="12"/>
        <v>0</v>
      </c>
      <c r="V56" s="393">
        <f t="shared" si="13"/>
        <v>54370.94</v>
      </c>
      <c r="W56" s="393">
        <f t="shared" si="14"/>
        <v>-54370.94</v>
      </c>
      <c r="Y56" s="393">
        <f t="shared" si="20"/>
        <v>4110.2700000000004</v>
      </c>
      <c r="Z56" s="393">
        <f t="shared" si="21"/>
        <v>-4110.2700000000004</v>
      </c>
      <c r="AD56" s="395">
        <f>IF(AH56&gt;AH55,AD55,IF(AD55&lt;MiscData!$F$1,EOMONTH(AD55,1),EOMONTH(AD55,-11)))</f>
        <v>42035</v>
      </c>
      <c r="AE56" s="389" t="str">
        <f t="shared" si="15"/>
        <v>20140101KUUM_461</v>
      </c>
      <c r="AF56" s="437" t="str">
        <f t="shared" si="16"/>
        <v>20140101RLS</v>
      </c>
      <c r="AG56" s="438"/>
      <c r="AH56" s="34">
        <f>IF(AH55=MiscData!$AB$91,1,AH55+1)</f>
        <v>55</v>
      </c>
      <c r="AI56" s="34">
        <f>IF(AD56&lt;=MiscData!$B$23,MiscData!$C$23,IF(AD56&lt;=MiscData!$B$24,MiscData!$C$24,MiscData!$C$25))</f>
        <v>20140101</v>
      </c>
      <c r="AK56" s="439" t="str">
        <f>VLOOKUP(AM56,MiscData!$AB$4:$ACB$113,2,FALSE)</f>
        <v>KUUM_461</v>
      </c>
      <c r="AL56" s="439" t="str">
        <f>VLOOKUP(AM56,MiscData!$AB$4:$AE$115,4,FALSE)</f>
        <v>RLS</v>
      </c>
      <c r="AM56" s="34">
        <f>IF(AM55=MiscData!$AB$91,1,AM55+1)</f>
        <v>55</v>
      </c>
    </row>
    <row r="57" spans="1:39">
      <c r="A57" s="389">
        <f t="shared" si="22"/>
        <v>56</v>
      </c>
      <c r="B57" s="395" t="str">
        <f t="shared" si="0"/>
        <v>Jan 2015</v>
      </c>
      <c r="C57" s="396" t="str">
        <f t="shared" si="1"/>
        <v>LS</v>
      </c>
      <c r="D57" s="396" t="str">
        <f t="shared" si="2"/>
        <v>KUUM_462</v>
      </c>
      <c r="E57" s="394">
        <f t="shared" si="3"/>
        <v>8738</v>
      </c>
      <c r="F57" s="397">
        <v>0</v>
      </c>
      <c r="G57" s="394">
        <f t="shared" si="4"/>
        <v>0</v>
      </c>
      <c r="H57" s="394">
        <v>0</v>
      </c>
      <c r="I57" s="390">
        <f t="shared" si="17"/>
        <v>8.66</v>
      </c>
      <c r="J57" s="390">
        <f t="shared" si="5"/>
        <v>0.79999999999999893</v>
      </c>
      <c r="K57" s="391">
        <f t="shared" si="18"/>
        <v>75671.08</v>
      </c>
      <c r="L57" s="398">
        <v>0</v>
      </c>
      <c r="M57" s="398">
        <v>0</v>
      </c>
      <c r="N57" s="164">
        <f t="shared" si="6"/>
        <v>75671.08</v>
      </c>
      <c r="O57" s="399">
        <f t="shared" si="7"/>
        <v>0</v>
      </c>
      <c r="P57" s="392">
        <f t="shared" si="19"/>
        <v>0</v>
      </c>
      <c r="Q57" s="164">
        <f t="shared" si="8"/>
        <v>0</v>
      </c>
      <c r="R57" s="164">
        <f t="shared" si="9"/>
        <v>0</v>
      </c>
      <c r="S57" s="164">
        <f t="shared" si="10"/>
        <v>0</v>
      </c>
      <c r="T57" s="164">
        <f t="shared" si="11"/>
        <v>0</v>
      </c>
      <c r="U57" s="164">
        <f t="shared" si="12"/>
        <v>0</v>
      </c>
      <c r="V57" s="393">
        <f t="shared" si="13"/>
        <v>75671.08</v>
      </c>
      <c r="W57" s="393">
        <f t="shared" si="14"/>
        <v>-75671.08</v>
      </c>
      <c r="Y57" s="393">
        <f t="shared" si="20"/>
        <v>6990.4</v>
      </c>
      <c r="Z57" s="393">
        <f t="shared" si="21"/>
        <v>-6990.4</v>
      </c>
      <c r="AD57" s="395">
        <f>IF(AH57&gt;AH56,AD56,IF(AD56&lt;MiscData!$F$1,EOMONTH(AD56,1),EOMONTH(AD56,-11)))</f>
        <v>42035</v>
      </c>
      <c r="AE57" s="389" t="str">
        <f t="shared" si="15"/>
        <v>20140101KUUM_462</v>
      </c>
      <c r="AF57" s="437" t="str">
        <f t="shared" si="16"/>
        <v>20140101LS</v>
      </c>
      <c r="AG57" s="438"/>
      <c r="AH57" s="34">
        <f>IF(AH56=MiscData!$AB$91,1,AH56+1)</f>
        <v>56</v>
      </c>
      <c r="AI57" s="34">
        <f>IF(AD57&lt;=MiscData!$B$23,MiscData!$C$23,IF(AD57&lt;=MiscData!$B$24,MiscData!$C$24,MiscData!$C$25))</f>
        <v>20140101</v>
      </c>
      <c r="AK57" s="439" t="str">
        <f>VLOOKUP(AM57,MiscData!$AB$4:$ACB$113,2,FALSE)</f>
        <v>KUUM_462</v>
      </c>
      <c r="AL57" s="439" t="str">
        <f>VLOOKUP(AM57,MiscData!$AB$4:$AE$115,4,FALSE)</f>
        <v>LS</v>
      </c>
      <c r="AM57" s="34">
        <f>IF(AM56=MiscData!$AB$91,1,AM56+1)</f>
        <v>56</v>
      </c>
    </row>
    <row r="58" spans="1:39">
      <c r="A58" s="389">
        <f t="shared" si="22"/>
        <v>57</v>
      </c>
      <c r="B58" s="395" t="str">
        <f t="shared" si="0"/>
        <v>Jan 2015</v>
      </c>
      <c r="C58" s="396" t="str">
        <f t="shared" si="1"/>
        <v>LS</v>
      </c>
      <c r="D58" s="396" t="str">
        <f t="shared" si="2"/>
        <v>KUUM_463</v>
      </c>
      <c r="E58" s="394">
        <f t="shared" si="3"/>
        <v>20839</v>
      </c>
      <c r="F58" s="397">
        <v>0</v>
      </c>
      <c r="G58" s="394">
        <f t="shared" si="4"/>
        <v>0</v>
      </c>
      <c r="H58" s="394">
        <v>0</v>
      </c>
      <c r="I58" s="390">
        <f t="shared" si="17"/>
        <v>9.14</v>
      </c>
      <c r="J58" s="390">
        <f t="shared" si="5"/>
        <v>1.1299999999999999</v>
      </c>
      <c r="K58" s="391">
        <f t="shared" si="18"/>
        <v>190468.46</v>
      </c>
      <c r="L58" s="398">
        <v>0</v>
      </c>
      <c r="M58" s="398">
        <v>0</v>
      </c>
      <c r="N58" s="164">
        <f t="shared" si="6"/>
        <v>190468.46</v>
      </c>
      <c r="O58" s="399">
        <f t="shared" si="7"/>
        <v>0</v>
      </c>
      <c r="P58" s="392">
        <f t="shared" si="19"/>
        <v>0</v>
      </c>
      <c r="Q58" s="164">
        <f t="shared" si="8"/>
        <v>0</v>
      </c>
      <c r="R58" s="164">
        <f t="shared" si="9"/>
        <v>0</v>
      </c>
      <c r="S58" s="164">
        <f t="shared" si="10"/>
        <v>0</v>
      </c>
      <c r="T58" s="164">
        <f t="shared" si="11"/>
        <v>0</v>
      </c>
      <c r="U58" s="164">
        <f t="shared" si="12"/>
        <v>0</v>
      </c>
      <c r="V58" s="393">
        <f t="shared" si="13"/>
        <v>190468.46</v>
      </c>
      <c r="W58" s="393">
        <f t="shared" si="14"/>
        <v>-190468.46</v>
      </c>
      <c r="Y58" s="393">
        <f t="shared" si="20"/>
        <v>23548.07</v>
      </c>
      <c r="Z58" s="393">
        <f t="shared" si="21"/>
        <v>-23548.07</v>
      </c>
      <c r="AD58" s="395">
        <f>IF(AH58&gt;AH57,AD57,IF(AD57&lt;MiscData!$F$1,EOMONTH(AD57,1),EOMONTH(AD57,-11)))</f>
        <v>42035</v>
      </c>
      <c r="AE58" s="389" t="str">
        <f t="shared" si="15"/>
        <v>20140101KUUM_463</v>
      </c>
      <c r="AF58" s="437" t="str">
        <f t="shared" si="16"/>
        <v>20140101LS</v>
      </c>
      <c r="AG58" s="438"/>
      <c r="AH58" s="34">
        <f>IF(AH57=MiscData!$AB$91,1,AH57+1)</f>
        <v>57</v>
      </c>
      <c r="AI58" s="34">
        <f>IF(AD58&lt;=MiscData!$B$23,MiscData!$C$23,IF(AD58&lt;=MiscData!$B$24,MiscData!$C$24,MiscData!$C$25))</f>
        <v>20140101</v>
      </c>
      <c r="AK58" s="439" t="str">
        <f>VLOOKUP(AM58,MiscData!$AB$4:$ACB$113,2,FALSE)</f>
        <v>KUUM_463</v>
      </c>
      <c r="AL58" s="439" t="str">
        <f>VLOOKUP(AM58,MiscData!$AB$4:$AE$115,4,FALSE)</f>
        <v>LS</v>
      </c>
      <c r="AM58" s="34">
        <f>IF(AM57=MiscData!$AB$91,1,AM57+1)</f>
        <v>57</v>
      </c>
    </row>
    <row r="59" spans="1:39">
      <c r="A59" s="389">
        <f t="shared" si="22"/>
        <v>58</v>
      </c>
      <c r="B59" s="395" t="str">
        <f t="shared" si="0"/>
        <v>Jan 2015</v>
      </c>
      <c r="C59" s="396" t="str">
        <f t="shared" si="1"/>
        <v>LS</v>
      </c>
      <c r="D59" s="396" t="str">
        <f t="shared" si="2"/>
        <v>KUUM_464</v>
      </c>
      <c r="E59" s="394">
        <f t="shared" si="3"/>
        <v>7628</v>
      </c>
      <c r="F59" s="397">
        <v>0</v>
      </c>
      <c r="G59" s="394">
        <f t="shared" si="4"/>
        <v>0</v>
      </c>
      <c r="H59" s="394">
        <v>0</v>
      </c>
      <c r="I59" s="390">
        <f t="shared" si="17"/>
        <v>14.25</v>
      </c>
      <c r="J59" s="390">
        <f t="shared" si="5"/>
        <v>2.33</v>
      </c>
      <c r="K59" s="391">
        <f t="shared" si="18"/>
        <v>108699</v>
      </c>
      <c r="L59" s="398">
        <v>0</v>
      </c>
      <c r="M59" s="398">
        <v>0</v>
      </c>
      <c r="N59" s="164">
        <f t="shared" si="6"/>
        <v>108699</v>
      </c>
      <c r="O59" s="399">
        <f t="shared" si="7"/>
        <v>0</v>
      </c>
      <c r="P59" s="392">
        <f t="shared" si="19"/>
        <v>0</v>
      </c>
      <c r="Q59" s="164">
        <f t="shared" si="8"/>
        <v>0</v>
      </c>
      <c r="R59" s="164">
        <f t="shared" si="9"/>
        <v>0</v>
      </c>
      <c r="S59" s="164">
        <f t="shared" si="10"/>
        <v>0</v>
      </c>
      <c r="T59" s="164">
        <f t="shared" si="11"/>
        <v>0</v>
      </c>
      <c r="U59" s="164">
        <f t="shared" si="12"/>
        <v>0</v>
      </c>
      <c r="V59" s="393">
        <f t="shared" si="13"/>
        <v>108699</v>
      </c>
      <c r="W59" s="393">
        <f t="shared" si="14"/>
        <v>-108699</v>
      </c>
      <c r="Y59" s="393">
        <f t="shared" si="20"/>
        <v>17773.240000000002</v>
      </c>
      <c r="Z59" s="393">
        <f t="shared" si="21"/>
        <v>-17773.240000000002</v>
      </c>
      <c r="AD59" s="395">
        <f>IF(AH59&gt;AH58,AD58,IF(AD58&lt;MiscData!$F$1,EOMONTH(AD58,1),EOMONTH(AD58,-11)))</f>
        <v>42035</v>
      </c>
      <c r="AE59" s="389" t="str">
        <f t="shared" si="15"/>
        <v>20140101KUUM_464</v>
      </c>
      <c r="AF59" s="437" t="str">
        <f t="shared" si="16"/>
        <v>20140101LS</v>
      </c>
      <c r="AG59" s="438"/>
      <c r="AH59" s="34">
        <f>IF(AH58=MiscData!$AB$91,1,AH58+1)</f>
        <v>58</v>
      </c>
      <c r="AI59" s="34">
        <f>IF(AD59&lt;=MiscData!$B$23,MiscData!$C$23,IF(AD59&lt;=MiscData!$B$24,MiscData!$C$24,MiscData!$C$25))</f>
        <v>20140101</v>
      </c>
      <c r="AK59" s="439" t="str">
        <f>VLOOKUP(AM59,MiscData!$AB$4:$ACB$113,2,FALSE)</f>
        <v>KUUM_464</v>
      </c>
      <c r="AL59" s="439" t="str">
        <f>VLOOKUP(AM59,MiscData!$AB$4:$AE$115,4,FALSE)</f>
        <v>LS</v>
      </c>
      <c r="AM59" s="34">
        <f>IF(AM58=MiscData!$AB$91,1,AM58+1)</f>
        <v>58</v>
      </c>
    </row>
    <row r="60" spans="1:39">
      <c r="A60" s="389">
        <f t="shared" si="22"/>
        <v>59</v>
      </c>
      <c r="B60" s="395" t="str">
        <f t="shared" si="0"/>
        <v>Jan 2015</v>
      </c>
      <c r="C60" s="396" t="str">
        <f t="shared" si="1"/>
        <v>LS</v>
      </c>
      <c r="D60" s="396" t="str">
        <f t="shared" si="2"/>
        <v>KUUM_465</v>
      </c>
      <c r="E60" s="394">
        <f t="shared" si="3"/>
        <v>2804</v>
      </c>
      <c r="F60" s="397">
        <v>0</v>
      </c>
      <c r="G60" s="394">
        <f t="shared" si="4"/>
        <v>0</v>
      </c>
      <c r="H60" s="394">
        <v>0</v>
      </c>
      <c r="I60" s="390">
        <f t="shared" si="17"/>
        <v>22.84</v>
      </c>
      <c r="J60" s="390">
        <f t="shared" si="5"/>
        <v>4.5299999999999976</v>
      </c>
      <c r="K60" s="391">
        <f t="shared" si="18"/>
        <v>64043.360000000001</v>
      </c>
      <c r="L60" s="398">
        <v>0</v>
      </c>
      <c r="M60" s="398">
        <v>0</v>
      </c>
      <c r="N60" s="164">
        <f t="shared" si="6"/>
        <v>64043.360000000001</v>
      </c>
      <c r="O60" s="399">
        <f t="shared" si="7"/>
        <v>0</v>
      </c>
      <c r="P60" s="392">
        <f t="shared" si="19"/>
        <v>0</v>
      </c>
      <c r="Q60" s="164">
        <f t="shared" si="8"/>
        <v>0</v>
      </c>
      <c r="R60" s="164">
        <f t="shared" si="9"/>
        <v>0</v>
      </c>
      <c r="S60" s="164">
        <f t="shared" si="10"/>
        <v>0</v>
      </c>
      <c r="T60" s="164">
        <f t="shared" si="11"/>
        <v>0</v>
      </c>
      <c r="U60" s="164">
        <f t="shared" si="12"/>
        <v>0</v>
      </c>
      <c r="V60" s="393">
        <f t="shared" si="13"/>
        <v>64043.360000000001</v>
      </c>
      <c r="W60" s="393">
        <f t="shared" si="14"/>
        <v>-64043.360000000001</v>
      </c>
      <c r="Y60" s="393">
        <f t="shared" si="20"/>
        <v>12702.12</v>
      </c>
      <c r="Z60" s="393">
        <f t="shared" si="21"/>
        <v>-12702.12</v>
      </c>
      <c r="AD60" s="395">
        <f>IF(AH60&gt;AH59,AD59,IF(AD59&lt;MiscData!$F$1,EOMONTH(AD59,1),EOMONTH(AD59,-11)))</f>
        <v>42035</v>
      </c>
      <c r="AE60" s="389" t="str">
        <f t="shared" si="15"/>
        <v>20140101KUUM_465</v>
      </c>
      <c r="AF60" s="437" t="str">
        <f t="shared" si="16"/>
        <v>20140101LS</v>
      </c>
      <c r="AG60" s="438"/>
      <c r="AH60" s="34">
        <f>IF(AH59=MiscData!$AB$91,1,AH59+1)</f>
        <v>59</v>
      </c>
      <c r="AI60" s="34">
        <f>IF(AD60&lt;=MiscData!$B$23,MiscData!$C$23,IF(AD60&lt;=MiscData!$B$24,MiscData!$C$24,MiscData!$C$25))</f>
        <v>20140101</v>
      </c>
      <c r="AK60" s="439" t="str">
        <f>VLOOKUP(AM60,MiscData!$AB$4:$ACB$113,2,FALSE)</f>
        <v>KUUM_465</v>
      </c>
      <c r="AL60" s="439" t="str">
        <f>VLOOKUP(AM60,MiscData!$AB$4:$AE$115,4,FALSE)</f>
        <v>LS</v>
      </c>
      <c r="AM60" s="34">
        <f>IF(AM59=MiscData!$AB$91,1,AM59+1)</f>
        <v>59</v>
      </c>
    </row>
    <row r="61" spans="1:39">
      <c r="A61" s="389">
        <f t="shared" si="22"/>
        <v>60</v>
      </c>
      <c r="B61" s="395" t="str">
        <f t="shared" si="0"/>
        <v>Jan 2015</v>
      </c>
      <c r="C61" s="396" t="str">
        <f t="shared" si="1"/>
        <v>RLS</v>
      </c>
      <c r="D61" s="396" t="str">
        <f t="shared" si="2"/>
        <v>KUUM_466</v>
      </c>
      <c r="E61" s="394">
        <f t="shared" si="3"/>
        <v>855</v>
      </c>
      <c r="F61" s="397">
        <v>0</v>
      </c>
      <c r="G61" s="394">
        <f t="shared" si="4"/>
        <v>0</v>
      </c>
      <c r="H61" s="394">
        <v>0</v>
      </c>
      <c r="I61" s="390">
        <f t="shared" si="17"/>
        <v>9.620000000000001</v>
      </c>
      <c r="J61" s="390">
        <f t="shared" si="5"/>
        <v>0.57000000000000028</v>
      </c>
      <c r="K61" s="391">
        <f t="shared" si="18"/>
        <v>8225.1</v>
      </c>
      <c r="L61" s="398">
        <v>0</v>
      </c>
      <c r="M61" s="398">
        <v>0</v>
      </c>
      <c r="N61" s="164">
        <f t="shared" si="6"/>
        <v>8225.1</v>
      </c>
      <c r="O61" s="399">
        <f t="shared" si="7"/>
        <v>0</v>
      </c>
      <c r="P61" s="392">
        <f t="shared" si="19"/>
        <v>0</v>
      </c>
      <c r="Q61" s="164">
        <f t="shared" si="8"/>
        <v>0</v>
      </c>
      <c r="R61" s="164">
        <f t="shared" si="9"/>
        <v>0</v>
      </c>
      <c r="S61" s="164">
        <f t="shared" si="10"/>
        <v>0</v>
      </c>
      <c r="T61" s="164">
        <f t="shared" si="11"/>
        <v>0</v>
      </c>
      <c r="U61" s="164">
        <f t="shared" si="12"/>
        <v>0</v>
      </c>
      <c r="V61" s="393">
        <f t="shared" si="13"/>
        <v>8225.1</v>
      </c>
      <c r="W61" s="393">
        <f t="shared" si="14"/>
        <v>-8225.1</v>
      </c>
      <c r="Y61" s="393">
        <f t="shared" si="20"/>
        <v>487.35</v>
      </c>
      <c r="Z61" s="393">
        <f t="shared" si="21"/>
        <v>-487.35</v>
      </c>
      <c r="AD61" s="395">
        <f>IF(AH61&gt;AH60,AD60,IF(AD60&lt;MiscData!$F$1,EOMONTH(AD60,1),EOMONTH(AD60,-11)))</f>
        <v>42035</v>
      </c>
      <c r="AE61" s="389" t="str">
        <f t="shared" si="15"/>
        <v>20140101KUUM_466</v>
      </c>
      <c r="AF61" s="437" t="str">
        <f t="shared" si="16"/>
        <v>20140101RLS</v>
      </c>
      <c r="AG61" s="438"/>
      <c r="AH61" s="34">
        <f>IF(AH60=MiscData!$AB$91,1,AH60+1)</f>
        <v>60</v>
      </c>
      <c r="AI61" s="34">
        <f>IF(AD61&lt;=MiscData!$B$23,MiscData!$C$23,IF(AD61&lt;=MiscData!$B$24,MiscData!$C$24,MiscData!$C$25))</f>
        <v>20140101</v>
      </c>
      <c r="AK61" s="439" t="str">
        <f>VLOOKUP(AM61,MiscData!$AB$4:$ACB$113,2,FALSE)</f>
        <v>KUUM_466</v>
      </c>
      <c r="AL61" s="439" t="str">
        <f>VLOOKUP(AM61,MiscData!$AB$4:$AE$115,4,FALSE)</f>
        <v>RLS</v>
      </c>
      <c r="AM61" s="34">
        <f>IF(AM60=MiscData!$AB$91,1,AM60+1)</f>
        <v>60</v>
      </c>
    </row>
    <row r="62" spans="1:39">
      <c r="A62" s="389">
        <f t="shared" si="22"/>
        <v>61</v>
      </c>
      <c r="B62" s="395" t="str">
        <f t="shared" si="0"/>
        <v>Jan 2015</v>
      </c>
      <c r="C62" s="396" t="str">
        <f t="shared" si="1"/>
        <v>LS</v>
      </c>
      <c r="D62" s="396" t="str">
        <f t="shared" si="2"/>
        <v>KUUM_467</v>
      </c>
      <c r="E62" s="394">
        <f t="shared" si="3"/>
        <v>1353</v>
      </c>
      <c r="F62" s="397">
        <v>0</v>
      </c>
      <c r="G62" s="394">
        <f t="shared" si="4"/>
        <v>0</v>
      </c>
      <c r="H62" s="394">
        <v>0</v>
      </c>
      <c r="I62" s="390">
        <f t="shared" si="17"/>
        <v>10.770000000000001</v>
      </c>
      <c r="J62" s="390">
        <f t="shared" si="5"/>
        <v>0.80000000000000071</v>
      </c>
      <c r="K62" s="391">
        <f t="shared" si="18"/>
        <v>14571.81</v>
      </c>
      <c r="L62" s="398">
        <v>0</v>
      </c>
      <c r="M62" s="398">
        <v>0</v>
      </c>
      <c r="N62" s="164">
        <f t="shared" si="6"/>
        <v>14571.81</v>
      </c>
      <c r="O62" s="399">
        <f t="shared" si="7"/>
        <v>0</v>
      </c>
      <c r="P62" s="392">
        <f t="shared" si="19"/>
        <v>0</v>
      </c>
      <c r="Q62" s="164">
        <f t="shared" si="8"/>
        <v>0</v>
      </c>
      <c r="R62" s="164">
        <f t="shared" si="9"/>
        <v>0</v>
      </c>
      <c r="S62" s="164">
        <f t="shared" si="10"/>
        <v>0</v>
      </c>
      <c r="T62" s="164">
        <f t="shared" si="11"/>
        <v>0</v>
      </c>
      <c r="U62" s="164">
        <f t="shared" si="12"/>
        <v>0</v>
      </c>
      <c r="V62" s="393">
        <f t="shared" si="13"/>
        <v>14571.81</v>
      </c>
      <c r="W62" s="393">
        <f t="shared" si="14"/>
        <v>-14571.81</v>
      </c>
      <c r="Y62" s="393">
        <f t="shared" si="20"/>
        <v>1082.4000000000001</v>
      </c>
      <c r="Z62" s="393">
        <f t="shared" si="21"/>
        <v>-1082.4000000000001</v>
      </c>
      <c r="AD62" s="395">
        <f>IF(AH62&gt;AH61,AD61,IF(AD61&lt;MiscData!$F$1,EOMONTH(AD61,1),EOMONTH(AD61,-11)))</f>
        <v>42035</v>
      </c>
      <c r="AE62" s="389" t="str">
        <f t="shared" si="15"/>
        <v>20140101KUUM_467</v>
      </c>
      <c r="AF62" s="437" t="str">
        <f t="shared" si="16"/>
        <v>20140101LS</v>
      </c>
      <c r="AG62" s="438"/>
      <c r="AH62" s="34">
        <f>IF(AH61=MiscData!$AB$91,1,AH61+1)</f>
        <v>61</v>
      </c>
      <c r="AI62" s="34">
        <f>IF(AD62&lt;=MiscData!$B$23,MiscData!$C$23,IF(AD62&lt;=MiscData!$B$24,MiscData!$C$24,MiscData!$C$25))</f>
        <v>20140101</v>
      </c>
      <c r="AK62" s="439" t="str">
        <f>VLOOKUP(AM62,MiscData!$AB$4:$ACB$113,2,FALSE)</f>
        <v>KUUM_467</v>
      </c>
      <c r="AL62" s="439" t="str">
        <f>VLOOKUP(AM62,MiscData!$AB$4:$AE$115,4,FALSE)</f>
        <v>LS</v>
      </c>
      <c r="AM62" s="34">
        <f>IF(AM61=MiscData!$AB$91,1,AM61+1)</f>
        <v>61</v>
      </c>
    </row>
    <row r="63" spans="1:39">
      <c r="A63" s="389">
        <f t="shared" si="22"/>
        <v>62</v>
      </c>
      <c r="B63" s="395" t="str">
        <f t="shared" si="0"/>
        <v>Jan 2015</v>
      </c>
      <c r="C63" s="396" t="str">
        <f t="shared" si="1"/>
        <v>LS</v>
      </c>
      <c r="D63" s="396" t="str">
        <f t="shared" si="2"/>
        <v>KUUM_468</v>
      </c>
      <c r="E63" s="394">
        <f t="shared" si="3"/>
        <v>4050</v>
      </c>
      <c r="F63" s="397">
        <v>0</v>
      </c>
      <c r="G63" s="394">
        <f t="shared" si="4"/>
        <v>0</v>
      </c>
      <c r="H63" s="394">
        <v>0</v>
      </c>
      <c r="I63" s="390">
        <f t="shared" si="17"/>
        <v>11.16</v>
      </c>
      <c r="J63" s="390">
        <f t="shared" si="5"/>
        <v>1.129999999999999</v>
      </c>
      <c r="K63" s="391">
        <f t="shared" si="18"/>
        <v>45198</v>
      </c>
      <c r="L63" s="398">
        <v>0</v>
      </c>
      <c r="M63" s="398">
        <v>0</v>
      </c>
      <c r="N63" s="164">
        <f t="shared" si="6"/>
        <v>45198</v>
      </c>
      <c r="O63" s="399">
        <f t="shared" si="7"/>
        <v>0</v>
      </c>
      <c r="P63" s="392">
        <f t="shared" si="19"/>
        <v>0</v>
      </c>
      <c r="Q63" s="164">
        <f t="shared" si="8"/>
        <v>0</v>
      </c>
      <c r="R63" s="164">
        <f t="shared" si="9"/>
        <v>0</v>
      </c>
      <c r="S63" s="164">
        <f t="shared" si="10"/>
        <v>0</v>
      </c>
      <c r="T63" s="164">
        <f t="shared" si="11"/>
        <v>0</v>
      </c>
      <c r="U63" s="164">
        <f t="shared" si="12"/>
        <v>0</v>
      </c>
      <c r="V63" s="393">
        <f t="shared" si="13"/>
        <v>45198</v>
      </c>
      <c r="W63" s="393">
        <f t="shared" si="14"/>
        <v>-45198</v>
      </c>
      <c r="Y63" s="393">
        <f t="shared" si="20"/>
        <v>4576.5</v>
      </c>
      <c r="Z63" s="393">
        <f t="shared" si="21"/>
        <v>-4576.5</v>
      </c>
      <c r="AD63" s="395">
        <f>IF(AH63&gt;AH62,AD62,IF(AD62&lt;MiscData!$F$1,EOMONTH(AD62,1),EOMONTH(AD62,-11)))</f>
        <v>42035</v>
      </c>
      <c r="AE63" s="389" t="str">
        <f t="shared" si="15"/>
        <v>20140101KUUM_468</v>
      </c>
      <c r="AF63" s="437" t="str">
        <f t="shared" si="16"/>
        <v>20140101LS</v>
      </c>
      <c r="AG63" s="438"/>
      <c r="AH63" s="34">
        <f>IF(AH62=MiscData!$AB$91,1,AH62+1)</f>
        <v>62</v>
      </c>
      <c r="AI63" s="34">
        <f>IF(AD63&lt;=MiscData!$B$23,MiscData!$C$23,IF(AD63&lt;=MiscData!$B$24,MiscData!$C$24,MiscData!$C$25))</f>
        <v>20140101</v>
      </c>
      <c r="AK63" s="439" t="str">
        <f>VLOOKUP(AM63,MiscData!$AB$4:$ACB$113,2,FALSE)</f>
        <v>KUUM_468</v>
      </c>
      <c r="AL63" s="439" t="str">
        <f>VLOOKUP(AM63,MiscData!$AB$4:$AE$115,4,FALSE)</f>
        <v>LS</v>
      </c>
      <c r="AM63" s="34">
        <f>IF(AM62=MiscData!$AB$91,1,AM62+1)</f>
        <v>62</v>
      </c>
    </row>
    <row r="64" spans="1:39">
      <c r="A64" s="389">
        <f t="shared" si="22"/>
        <v>63</v>
      </c>
      <c r="B64" s="395" t="str">
        <f t="shared" si="0"/>
        <v>Jan 2015</v>
      </c>
      <c r="C64" s="396" t="str">
        <f t="shared" si="1"/>
        <v>RLS</v>
      </c>
      <c r="D64" s="396" t="str">
        <f t="shared" si="2"/>
        <v>KUUM_469</v>
      </c>
      <c r="E64" s="394">
        <f t="shared" si="3"/>
        <v>293</v>
      </c>
      <c r="F64" s="397">
        <v>0</v>
      </c>
      <c r="G64" s="394">
        <f t="shared" si="4"/>
        <v>0</v>
      </c>
      <c r="H64" s="394">
        <v>0</v>
      </c>
      <c r="I64" s="390">
        <f t="shared" si="17"/>
        <v>33.100000000000009</v>
      </c>
      <c r="J64" s="390">
        <f t="shared" si="5"/>
        <v>4.2900000000000063</v>
      </c>
      <c r="K64" s="391">
        <f t="shared" si="18"/>
        <v>9698.2999999999993</v>
      </c>
      <c r="L64" s="398">
        <v>0</v>
      </c>
      <c r="M64" s="398">
        <v>0</v>
      </c>
      <c r="N64" s="164">
        <f t="shared" si="6"/>
        <v>9698.2999999999993</v>
      </c>
      <c r="O64" s="399">
        <f t="shared" si="7"/>
        <v>0</v>
      </c>
      <c r="P64" s="392">
        <f t="shared" si="19"/>
        <v>0</v>
      </c>
      <c r="Q64" s="164">
        <f t="shared" si="8"/>
        <v>0</v>
      </c>
      <c r="R64" s="164">
        <f t="shared" si="9"/>
        <v>0</v>
      </c>
      <c r="S64" s="164">
        <f t="shared" si="10"/>
        <v>0</v>
      </c>
      <c r="T64" s="164">
        <f t="shared" si="11"/>
        <v>0</v>
      </c>
      <c r="U64" s="164">
        <f t="shared" si="12"/>
        <v>0</v>
      </c>
      <c r="V64" s="393">
        <f t="shared" si="13"/>
        <v>9698.2999999999993</v>
      </c>
      <c r="W64" s="393">
        <f t="shared" si="14"/>
        <v>-9698.2999999999993</v>
      </c>
      <c r="Y64" s="393">
        <f t="shared" si="20"/>
        <v>1256.97</v>
      </c>
      <c r="Z64" s="393">
        <f t="shared" si="21"/>
        <v>-1256.97</v>
      </c>
      <c r="AD64" s="395">
        <f>IF(AH64&gt;AH63,AD63,IF(AD63&lt;MiscData!$F$1,EOMONTH(AD63,1),EOMONTH(AD63,-11)))</f>
        <v>42035</v>
      </c>
      <c r="AE64" s="389" t="str">
        <f t="shared" si="15"/>
        <v>20140101KUUM_469</v>
      </c>
      <c r="AF64" s="437" t="str">
        <f t="shared" si="16"/>
        <v>20140101RLS</v>
      </c>
      <c r="AG64" s="438"/>
      <c r="AH64" s="34">
        <f>IF(AH63=MiscData!$AB$91,1,AH63+1)</f>
        <v>63</v>
      </c>
      <c r="AI64" s="34">
        <f>IF(AD64&lt;=MiscData!$B$23,MiscData!$C$23,IF(AD64&lt;=MiscData!$B$24,MiscData!$C$24,MiscData!$C$25))</f>
        <v>20140101</v>
      </c>
      <c r="AK64" s="439" t="str">
        <f>VLOOKUP(AM64,MiscData!$AB$4:$ACB$113,2,FALSE)</f>
        <v>KUUM_469</v>
      </c>
      <c r="AL64" s="439" t="str">
        <f>VLOOKUP(AM64,MiscData!$AB$4:$AE$115,4,FALSE)</f>
        <v>RLS</v>
      </c>
      <c r="AM64" s="34">
        <f>IF(AM63=MiscData!$AB$91,1,AM63+1)</f>
        <v>63</v>
      </c>
    </row>
    <row r="65" spans="1:39">
      <c r="A65" s="389">
        <f t="shared" si="22"/>
        <v>64</v>
      </c>
      <c r="B65" s="395" t="str">
        <f t="shared" si="0"/>
        <v>Jan 2015</v>
      </c>
      <c r="C65" s="396" t="str">
        <f t="shared" si="1"/>
        <v>RLS</v>
      </c>
      <c r="D65" s="396" t="str">
        <f t="shared" si="2"/>
        <v>KUUM_470</v>
      </c>
      <c r="E65" s="394">
        <f t="shared" si="3"/>
        <v>61</v>
      </c>
      <c r="F65" s="397">
        <v>0</v>
      </c>
      <c r="G65" s="394">
        <f t="shared" si="4"/>
        <v>0</v>
      </c>
      <c r="H65" s="394">
        <v>0</v>
      </c>
      <c r="I65" s="390">
        <f t="shared" si="17"/>
        <v>55.250000000000007</v>
      </c>
      <c r="J65" s="390">
        <f t="shared" si="5"/>
        <v>10.410000000000004</v>
      </c>
      <c r="K65" s="391">
        <f t="shared" si="18"/>
        <v>3370.25</v>
      </c>
      <c r="L65" s="398">
        <v>0</v>
      </c>
      <c r="M65" s="398">
        <v>0</v>
      </c>
      <c r="N65" s="164">
        <f t="shared" si="6"/>
        <v>3370.25</v>
      </c>
      <c r="O65" s="399">
        <f t="shared" si="7"/>
        <v>0</v>
      </c>
      <c r="P65" s="392">
        <f t="shared" si="19"/>
        <v>0</v>
      </c>
      <c r="Q65" s="164">
        <f t="shared" si="8"/>
        <v>0</v>
      </c>
      <c r="R65" s="164">
        <f t="shared" si="9"/>
        <v>0</v>
      </c>
      <c r="S65" s="164">
        <f t="shared" si="10"/>
        <v>0</v>
      </c>
      <c r="T65" s="164">
        <f t="shared" si="11"/>
        <v>0</v>
      </c>
      <c r="U65" s="164">
        <f t="shared" si="12"/>
        <v>0</v>
      </c>
      <c r="V65" s="393">
        <f t="shared" si="13"/>
        <v>3370.25</v>
      </c>
      <c r="W65" s="393">
        <f t="shared" si="14"/>
        <v>-3370.25</v>
      </c>
      <c r="Y65" s="393">
        <f t="shared" si="20"/>
        <v>635.01</v>
      </c>
      <c r="Z65" s="393">
        <f t="shared" si="21"/>
        <v>-635.01</v>
      </c>
      <c r="AD65" s="395">
        <f>IF(AH65&gt;AH64,AD64,IF(AD64&lt;MiscData!$F$1,EOMONTH(AD64,1),EOMONTH(AD64,-11)))</f>
        <v>42035</v>
      </c>
      <c r="AE65" s="389" t="str">
        <f t="shared" si="15"/>
        <v>20140101KUUM_470</v>
      </c>
      <c r="AF65" s="437" t="str">
        <f t="shared" si="16"/>
        <v>20140101RLS</v>
      </c>
      <c r="AG65" s="438"/>
      <c r="AH65" s="34">
        <f>IF(AH64=MiscData!$AB$91,1,AH64+1)</f>
        <v>64</v>
      </c>
      <c r="AI65" s="34">
        <f>IF(AD65&lt;=MiscData!$B$23,MiscData!$C$23,IF(AD65&lt;=MiscData!$B$24,MiscData!$C$24,MiscData!$C$25))</f>
        <v>20140101</v>
      </c>
      <c r="AK65" s="439" t="str">
        <f>VLOOKUP(AM65,MiscData!$AB$4:$ACB$113,2,FALSE)</f>
        <v>KUUM_470</v>
      </c>
      <c r="AL65" s="439" t="str">
        <f>VLOOKUP(AM65,MiscData!$AB$4:$AE$115,4,FALSE)</f>
        <v>RLS</v>
      </c>
      <c r="AM65" s="34">
        <f>IF(AM64=MiscData!$AB$91,1,AM64+1)</f>
        <v>64</v>
      </c>
    </row>
    <row r="66" spans="1:39">
      <c r="A66" s="389">
        <f t="shared" si="22"/>
        <v>65</v>
      </c>
      <c r="B66" s="395" t="str">
        <f t="shared" ref="B66:B129" si="23">TEXT(AD66,"mmm yyyy")</f>
        <v>Jan 2015</v>
      </c>
      <c r="C66" s="396" t="str">
        <f t="shared" ref="C66:C129" si="24">AL66</f>
        <v>RLS</v>
      </c>
      <c r="D66" s="396" t="str">
        <f t="shared" ref="D66:D129" si="25">AK66</f>
        <v>KUUM_471</v>
      </c>
      <c r="E66" s="394">
        <f t="shared" ref="E66:E129" si="26">SUMIFS(_1055_Light_Count,_1055_RevMonth,$B66,_1055_RateCategory,$D66)</f>
        <v>3569</v>
      </c>
      <c r="F66" s="397">
        <v>0</v>
      </c>
      <c r="G66" s="394">
        <f t="shared" ref="G66:G129" si="27">SUMIFS(_SBR_KWH,_SBR_Revenue_Month,$B66,_SBR_Rate_Category,$D66)</f>
        <v>0</v>
      </c>
      <c r="H66" s="394">
        <v>0</v>
      </c>
      <c r="I66" s="390">
        <f t="shared" ref="I66:I129" si="28">SUMIF(_Lights_Tariff_Category,$AE66,_Lights_Rates)</f>
        <v>10.49</v>
      </c>
      <c r="J66" s="390">
        <f t="shared" ref="J66:J129" si="29">SUMIF(_Lights_Tariff_Category,$AE66,_Rates_Lights_BaseFAC)</f>
        <v>0.56999999999999851</v>
      </c>
      <c r="K66" s="391">
        <f t="shared" si="18"/>
        <v>37438.81</v>
      </c>
      <c r="L66" s="398">
        <v>0</v>
      </c>
      <c r="M66" s="398">
        <v>0</v>
      </c>
      <c r="N66" s="164">
        <f t="shared" ref="N66:N129" si="30">SUM(K66:M66)</f>
        <v>37438.81</v>
      </c>
      <c r="O66" s="399">
        <f t="shared" ref="O66:O129" si="31">U66-SUM(Q66:T66)</f>
        <v>0</v>
      </c>
      <c r="P66" s="392">
        <f t="shared" si="19"/>
        <v>0</v>
      </c>
      <c r="Q66" s="164">
        <f t="shared" ref="Q66:Q129" si="32">SUMIFS(_SBR_FAC,_SBR_Revenue_Month,$B66,_SBR_Rate_Category,$D66)</f>
        <v>0</v>
      </c>
      <c r="R66" s="164">
        <f t="shared" ref="R66:R129" si="33">SUMIFS(_SBR_DSM,_SBR_Revenue_Month,$B66,_SBR_Rate_Category,$D66)</f>
        <v>0</v>
      </c>
      <c r="S66" s="164">
        <f t="shared" ref="S66:S129" si="34">SUMIFS(_SBR_ECR,_SBR_Revenue_Month,$B66,_SBR_Rate_Category,$D66)</f>
        <v>0</v>
      </c>
      <c r="T66" s="164">
        <f t="shared" ref="T66:T129" si="35">SUMIFS(_SBR_MSR,_SBR_Revenue_Month,$B66,_SBR_Rate_Category,$D66)</f>
        <v>0</v>
      </c>
      <c r="U66" s="164">
        <f t="shared" ref="U66:U129" si="36">SUMIFS(_SBR_Revenue_Actual,_SBR_Revenue_Month,$B66,_SBR_Rate_Category,$D66)</f>
        <v>0</v>
      </c>
      <c r="V66" s="393">
        <f t="shared" ref="V66:V129" si="37">SUM(N66,Q66:T66)</f>
        <v>37438.81</v>
      </c>
      <c r="W66" s="393">
        <f t="shared" ref="W66:W129" si="38">U66-V66</f>
        <v>-37438.81</v>
      </c>
      <c r="Y66" s="393">
        <f t="shared" si="20"/>
        <v>2034.33</v>
      </c>
      <c r="Z66" s="393">
        <f t="shared" si="21"/>
        <v>-2034.33</v>
      </c>
      <c r="AD66" s="395">
        <f>IF(AH66&gt;AH65,AD65,IF(AD65&lt;MiscData!$F$1,EOMONTH(AD65,1),EOMONTH(AD65,-11)))</f>
        <v>42035</v>
      </c>
      <c r="AE66" s="389" t="str">
        <f t="shared" ref="AE66:AE129" si="39">CONCATENATE(AI66&amp;AK66)</f>
        <v>20140101KUUM_471</v>
      </c>
      <c r="AF66" s="437" t="str">
        <f t="shared" ref="AF66:AF129" si="40">CONCATENATE(AI66&amp;AL66)</f>
        <v>20140101RLS</v>
      </c>
      <c r="AG66" s="438"/>
      <c r="AH66" s="34">
        <f>IF(AH65=MiscData!$AB$91,1,AH65+1)</f>
        <v>65</v>
      </c>
      <c r="AI66" s="34">
        <f>IF(AD66&lt;=MiscData!$B$23,MiscData!$C$23,IF(AD66&lt;=MiscData!$B$24,MiscData!$C$24,MiscData!$C$25))</f>
        <v>20140101</v>
      </c>
      <c r="AK66" s="439" t="str">
        <f>VLOOKUP(AM66,MiscData!$AB$4:$ACB$113,2,FALSE)</f>
        <v>KUUM_471</v>
      </c>
      <c r="AL66" s="439" t="str">
        <f>VLOOKUP(AM66,MiscData!$AB$4:$AE$115,4,FALSE)</f>
        <v>RLS</v>
      </c>
      <c r="AM66" s="34">
        <f>IF(AM65=MiscData!$AB$91,1,AM65+1)</f>
        <v>65</v>
      </c>
    </row>
    <row r="67" spans="1:39">
      <c r="A67" s="389">
        <f t="shared" si="22"/>
        <v>66</v>
      </c>
      <c r="B67" s="395" t="str">
        <f t="shared" si="23"/>
        <v>Jan 2015</v>
      </c>
      <c r="C67" s="396" t="str">
        <f t="shared" si="24"/>
        <v>LS</v>
      </c>
      <c r="D67" s="396" t="str">
        <f t="shared" si="25"/>
        <v>KUUM_472</v>
      </c>
      <c r="E67" s="394">
        <f t="shared" si="26"/>
        <v>8447</v>
      </c>
      <c r="F67" s="397">
        <v>0</v>
      </c>
      <c r="G67" s="394">
        <f t="shared" si="27"/>
        <v>0</v>
      </c>
      <c r="H67" s="394">
        <v>0</v>
      </c>
      <c r="I67" s="390">
        <f t="shared" si="28"/>
        <v>11.600000000000001</v>
      </c>
      <c r="J67" s="390">
        <f t="shared" si="29"/>
        <v>0.80000000000000071</v>
      </c>
      <c r="K67" s="391">
        <f t="shared" ref="K67:K130" si="41">ROUND(($E67+$F67)*$I67,2)</f>
        <v>97985.2</v>
      </c>
      <c r="L67" s="398">
        <v>0</v>
      </c>
      <c r="M67" s="398">
        <v>0</v>
      </c>
      <c r="N67" s="164">
        <f t="shared" si="30"/>
        <v>97985.2</v>
      </c>
      <c r="O67" s="399">
        <f t="shared" si="31"/>
        <v>0</v>
      </c>
      <c r="P67" s="392">
        <f t="shared" ref="P67:P130" si="42">IF(AND(N67=0,O67=0),1,IF(N67=0,0,ROUND(O67/N67,6)))</f>
        <v>0</v>
      </c>
      <c r="Q67" s="164">
        <f t="shared" si="32"/>
        <v>0</v>
      </c>
      <c r="R67" s="164">
        <f t="shared" si="33"/>
        <v>0</v>
      </c>
      <c r="S67" s="164">
        <f t="shared" si="34"/>
        <v>0</v>
      </c>
      <c r="T67" s="164">
        <f t="shared" si="35"/>
        <v>0</v>
      </c>
      <c r="U67" s="164">
        <f t="shared" si="36"/>
        <v>0</v>
      </c>
      <c r="V67" s="393">
        <f t="shared" si="37"/>
        <v>97985.2</v>
      </c>
      <c r="W67" s="393">
        <f t="shared" si="38"/>
        <v>-97985.2</v>
      </c>
      <c r="Y67" s="393">
        <f t="shared" ref="Y67:Y130" si="43">ROUND(E67*J67,2)</f>
        <v>6757.6</v>
      </c>
      <c r="Z67" s="393">
        <f t="shared" ref="Z67:Z130" si="44">O67-Y67</f>
        <v>-6757.6</v>
      </c>
      <c r="AD67" s="395">
        <f>IF(AH67&gt;AH66,AD66,IF(AD66&lt;MiscData!$F$1,EOMONTH(AD66,1),EOMONTH(AD66,-11)))</f>
        <v>42035</v>
      </c>
      <c r="AE67" s="389" t="str">
        <f t="shared" si="39"/>
        <v>20140101KUUM_472</v>
      </c>
      <c r="AF67" s="437" t="str">
        <f t="shared" si="40"/>
        <v>20140101LS</v>
      </c>
      <c r="AG67" s="438"/>
      <c r="AH67" s="34">
        <f>IF(AH66=MiscData!$AB$91,1,AH66+1)</f>
        <v>66</v>
      </c>
      <c r="AI67" s="34">
        <f>IF(AD67&lt;=MiscData!$B$23,MiscData!$C$23,IF(AD67&lt;=MiscData!$B$24,MiscData!$C$24,MiscData!$C$25))</f>
        <v>20140101</v>
      </c>
      <c r="AK67" s="439" t="str">
        <f>VLOOKUP(AM67,MiscData!$AB$4:$ACB$113,2,FALSE)</f>
        <v>KUUM_472</v>
      </c>
      <c r="AL67" s="439" t="str">
        <f>VLOOKUP(AM67,MiscData!$AB$4:$AE$115,4,FALSE)</f>
        <v>LS</v>
      </c>
      <c r="AM67" s="34">
        <f>IF(AM66=MiscData!$AB$91,1,AM66+1)</f>
        <v>66</v>
      </c>
    </row>
    <row r="68" spans="1:39">
      <c r="A68" s="389">
        <f t="shared" ref="A68:A131" si="45">A67+1</f>
        <v>67</v>
      </c>
      <c r="B68" s="395" t="str">
        <f t="shared" si="23"/>
        <v>Jan 2015</v>
      </c>
      <c r="C68" s="396" t="str">
        <f t="shared" si="24"/>
        <v>LS</v>
      </c>
      <c r="D68" s="396" t="str">
        <f t="shared" si="25"/>
        <v>KUUM_473</v>
      </c>
      <c r="E68" s="394">
        <f t="shared" si="26"/>
        <v>3345</v>
      </c>
      <c r="F68" s="397">
        <v>0</v>
      </c>
      <c r="G68" s="394">
        <f t="shared" si="27"/>
        <v>0</v>
      </c>
      <c r="H68" s="394">
        <v>0</v>
      </c>
      <c r="I68" s="390">
        <f t="shared" si="28"/>
        <v>12.3</v>
      </c>
      <c r="J68" s="390">
        <f t="shared" si="29"/>
        <v>1.129999999999999</v>
      </c>
      <c r="K68" s="391">
        <f t="shared" si="41"/>
        <v>41143.5</v>
      </c>
      <c r="L68" s="398">
        <v>0</v>
      </c>
      <c r="M68" s="398">
        <v>0</v>
      </c>
      <c r="N68" s="164">
        <f t="shared" si="30"/>
        <v>41143.5</v>
      </c>
      <c r="O68" s="399">
        <f t="shared" si="31"/>
        <v>0</v>
      </c>
      <c r="P68" s="392">
        <f t="shared" si="42"/>
        <v>0</v>
      </c>
      <c r="Q68" s="164">
        <f t="shared" si="32"/>
        <v>0</v>
      </c>
      <c r="R68" s="164">
        <f t="shared" si="33"/>
        <v>0</v>
      </c>
      <c r="S68" s="164">
        <f t="shared" si="34"/>
        <v>0</v>
      </c>
      <c r="T68" s="164">
        <f t="shared" si="35"/>
        <v>0</v>
      </c>
      <c r="U68" s="164">
        <f t="shared" si="36"/>
        <v>0</v>
      </c>
      <c r="V68" s="393">
        <f t="shared" si="37"/>
        <v>41143.5</v>
      </c>
      <c r="W68" s="393">
        <f t="shared" si="38"/>
        <v>-41143.5</v>
      </c>
      <c r="Y68" s="393">
        <f t="shared" si="43"/>
        <v>3779.85</v>
      </c>
      <c r="Z68" s="393">
        <f t="shared" si="44"/>
        <v>-3779.85</v>
      </c>
      <c r="AD68" s="395">
        <f>IF(AH68&gt;AH67,AD67,IF(AD67&lt;MiscData!$F$1,EOMONTH(AD67,1),EOMONTH(AD67,-11)))</f>
        <v>42035</v>
      </c>
      <c r="AE68" s="389" t="str">
        <f t="shared" si="39"/>
        <v>20140101KUUM_473</v>
      </c>
      <c r="AF68" s="437" t="str">
        <f t="shared" si="40"/>
        <v>20140101LS</v>
      </c>
      <c r="AG68" s="438"/>
      <c r="AH68" s="34">
        <f>IF(AH67=MiscData!$AB$91,1,AH67+1)</f>
        <v>67</v>
      </c>
      <c r="AI68" s="34">
        <f>IF(AD68&lt;=MiscData!$B$23,MiscData!$C$23,IF(AD68&lt;=MiscData!$B$24,MiscData!$C$24,MiscData!$C$25))</f>
        <v>20140101</v>
      </c>
      <c r="AK68" s="439" t="str">
        <f>VLOOKUP(AM68,MiscData!$AB$4:$ACB$113,2,FALSE)</f>
        <v>KUUM_473</v>
      </c>
      <c r="AL68" s="439" t="str">
        <f>VLOOKUP(AM68,MiscData!$AB$4:$AE$115,4,FALSE)</f>
        <v>LS</v>
      </c>
      <c r="AM68" s="34">
        <f>IF(AM67=MiscData!$AB$91,1,AM67+1)</f>
        <v>67</v>
      </c>
    </row>
    <row r="69" spans="1:39">
      <c r="A69" s="389">
        <f t="shared" si="45"/>
        <v>68</v>
      </c>
      <c r="B69" s="395" t="str">
        <f t="shared" si="23"/>
        <v>Jan 2015</v>
      </c>
      <c r="C69" s="396" t="str">
        <f t="shared" si="24"/>
        <v>LS</v>
      </c>
      <c r="D69" s="396" t="str">
        <f t="shared" si="25"/>
        <v>KUUM_474</v>
      </c>
      <c r="E69" s="394">
        <f t="shared" si="26"/>
        <v>5074</v>
      </c>
      <c r="F69" s="397">
        <v>0</v>
      </c>
      <c r="G69" s="394">
        <f t="shared" si="27"/>
        <v>0</v>
      </c>
      <c r="H69" s="394">
        <v>0</v>
      </c>
      <c r="I69" s="390">
        <f t="shared" si="28"/>
        <v>17.41</v>
      </c>
      <c r="J69" s="390">
        <f t="shared" si="29"/>
        <v>2.33</v>
      </c>
      <c r="K69" s="391">
        <f t="shared" si="41"/>
        <v>88338.34</v>
      </c>
      <c r="L69" s="398">
        <v>0</v>
      </c>
      <c r="M69" s="398">
        <v>0</v>
      </c>
      <c r="N69" s="164">
        <f t="shared" si="30"/>
        <v>88338.34</v>
      </c>
      <c r="O69" s="399">
        <f t="shared" si="31"/>
        <v>0</v>
      </c>
      <c r="P69" s="392">
        <f t="shared" si="42"/>
        <v>0</v>
      </c>
      <c r="Q69" s="164">
        <f t="shared" si="32"/>
        <v>0</v>
      </c>
      <c r="R69" s="164">
        <f t="shared" si="33"/>
        <v>0</v>
      </c>
      <c r="S69" s="164">
        <f t="shared" si="34"/>
        <v>0</v>
      </c>
      <c r="T69" s="164">
        <f t="shared" si="35"/>
        <v>0</v>
      </c>
      <c r="U69" s="164">
        <f t="shared" si="36"/>
        <v>0</v>
      </c>
      <c r="V69" s="393">
        <f t="shared" si="37"/>
        <v>88338.34</v>
      </c>
      <c r="W69" s="393">
        <f t="shared" si="38"/>
        <v>-88338.34</v>
      </c>
      <c r="Y69" s="393">
        <f t="shared" si="43"/>
        <v>11822.42</v>
      </c>
      <c r="Z69" s="393">
        <f t="shared" si="44"/>
        <v>-11822.42</v>
      </c>
      <c r="AD69" s="395">
        <f>IF(AH69&gt;AH68,AD68,IF(AD68&lt;MiscData!$F$1,EOMONTH(AD68,1),EOMONTH(AD68,-11)))</f>
        <v>42035</v>
      </c>
      <c r="AE69" s="389" t="str">
        <f t="shared" si="39"/>
        <v>20140101KUUM_474</v>
      </c>
      <c r="AF69" s="437" t="str">
        <f t="shared" si="40"/>
        <v>20140101LS</v>
      </c>
      <c r="AG69" s="438"/>
      <c r="AH69" s="34">
        <f>IF(AH68=MiscData!$AB$91,1,AH68+1)</f>
        <v>68</v>
      </c>
      <c r="AI69" s="34">
        <f>IF(AD69&lt;=MiscData!$B$23,MiscData!$C$23,IF(AD69&lt;=MiscData!$B$24,MiscData!$C$24,MiscData!$C$25))</f>
        <v>20140101</v>
      </c>
      <c r="AK69" s="439" t="str">
        <f>VLOOKUP(AM69,MiscData!$AB$4:$ACB$113,2,FALSE)</f>
        <v>KUUM_474</v>
      </c>
      <c r="AL69" s="439" t="str">
        <f>VLOOKUP(AM69,MiscData!$AB$4:$AE$115,4,FALSE)</f>
        <v>LS</v>
      </c>
      <c r="AM69" s="34">
        <f>IF(AM68=MiscData!$AB$91,1,AM68+1)</f>
        <v>68</v>
      </c>
    </row>
    <row r="70" spans="1:39">
      <c r="A70" s="389">
        <f t="shared" si="45"/>
        <v>69</v>
      </c>
      <c r="B70" s="395" t="str">
        <f t="shared" si="23"/>
        <v>Jan 2015</v>
      </c>
      <c r="C70" s="396" t="str">
        <f t="shared" si="24"/>
        <v>LS</v>
      </c>
      <c r="D70" s="396" t="str">
        <f t="shared" si="25"/>
        <v>KUUM_475</v>
      </c>
      <c r="E70" s="394">
        <f t="shared" si="26"/>
        <v>506</v>
      </c>
      <c r="F70" s="397">
        <v>0</v>
      </c>
      <c r="G70" s="394">
        <f t="shared" si="27"/>
        <v>0</v>
      </c>
      <c r="H70" s="394">
        <v>0</v>
      </c>
      <c r="I70" s="390">
        <f t="shared" si="28"/>
        <v>24.46</v>
      </c>
      <c r="J70" s="390">
        <f t="shared" si="29"/>
        <v>4.5300000000000011</v>
      </c>
      <c r="K70" s="391">
        <f t="shared" si="41"/>
        <v>12376.76</v>
      </c>
      <c r="L70" s="398">
        <v>0</v>
      </c>
      <c r="M70" s="398">
        <v>0</v>
      </c>
      <c r="N70" s="164">
        <f t="shared" si="30"/>
        <v>12376.76</v>
      </c>
      <c r="O70" s="399">
        <f t="shared" si="31"/>
        <v>0</v>
      </c>
      <c r="P70" s="392">
        <f t="shared" si="42"/>
        <v>0</v>
      </c>
      <c r="Q70" s="164">
        <f t="shared" si="32"/>
        <v>0</v>
      </c>
      <c r="R70" s="164">
        <f t="shared" si="33"/>
        <v>0</v>
      </c>
      <c r="S70" s="164">
        <f t="shared" si="34"/>
        <v>0</v>
      </c>
      <c r="T70" s="164">
        <f t="shared" si="35"/>
        <v>0</v>
      </c>
      <c r="U70" s="164">
        <f t="shared" si="36"/>
        <v>0</v>
      </c>
      <c r="V70" s="393">
        <f t="shared" si="37"/>
        <v>12376.76</v>
      </c>
      <c r="W70" s="393">
        <f t="shared" si="38"/>
        <v>-12376.76</v>
      </c>
      <c r="Y70" s="393">
        <f t="shared" si="43"/>
        <v>2292.1799999999998</v>
      </c>
      <c r="Z70" s="393">
        <f t="shared" si="44"/>
        <v>-2292.1799999999998</v>
      </c>
      <c r="AD70" s="395">
        <f>IF(AH70&gt;AH69,AD69,IF(AD69&lt;MiscData!$F$1,EOMONTH(AD69,1),EOMONTH(AD69,-11)))</f>
        <v>42035</v>
      </c>
      <c r="AE70" s="389" t="str">
        <f t="shared" si="39"/>
        <v>20140101KUUM_475</v>
      </c>
      <c r="AF70" s="437" t="str">
        <f t="shared" si="40"/>
        <v>20140101LS</v>
      </c>
      <c r="AG70" s="438"/>
      <c r="AH70" s="34">
        <f>IF(AH69=MiscData!$AB$91,1,AH69+1)</f>
        <v>69</v>
      </c>
      <c r="AI70" s="34">
        <f>IF(AD70&lt;=MiscData!$B$23,MiscData!$C$23,IF(AD70&lt;=MiscData!$B$24,MiscData!$C$24,MiscData!$C$25))</f>
        <v>20140101</v>
      </c>
      <c r="AK70" s="439" t="str">
        <f>VLOOKUP(AM70,MiscData!$AB$4:$ACB$113,2,FALSE)</f>
        <v>KUUM_475</v>
      </c>
      <c r="AL70" s="439" t="str">
        <f>VLOOKUP(AM70,MiscData!$AB$4:$AE$115,4,FALSE)</f>
        <v>LS</v>
      </c>
      <c r="AM70" s="34">
        <f>IF(AM69=MiscData!$AB$91,1,AM69+1)</f>
        <v>69</v>
      </c>
    </row>
    <row r="71" spans="1:39">
      <c r="A71" s="389">
        <f t="shared" si="45"/>
        <v>70</v>
      </c>
      <c r="B71" s="395" t="str">
        <f t="shared" si="23"/>
        <v>Jan 2015</v>
      </c>
      <c r="C71" s="396" t="str">
        <f t="shared" si="24"/>
        <v>LS</v>
      </c>
      <c r="D71" s="396" t="str">
        <f t="shared" si="25"/>
        <v>KUUM_476</v>
      </c>
      <c r="E71" s="394">
        <f t="shared" si="26"/>
        <v>4464</v>
      </c>
      <c r="F71" s="397">
        <v>0</v>
      </c>
      <c r="G71" s="394">
        <f t="shared" si="27"/>
        <v>0</v>
      </c>
      <c r="H71" s="394">
        <v>0</v>
      </c>
      <c r="I71" s="390">
        <f t="shared" si="28"/>
        <v>16.79</v>
      </c>
      <c r="J71" s="390">
        <f t="shared" si="29"/>
        <v>0.79999999999999893</v>
      </c>
      <c r="K71" s="391">
        <f t="shared" si="41"/>
        <v>74950.559999999998</v>
      </c>
      <c r="L71" s="398">
        <v>0</v>
      </c>
      <c r="M71" s="398">
        <v>0</v>
      </c>
      <c r="N71" s="164">
        <f t="shared" si="30"/>
        <v>74950.559999999998</v>
      </c>
      <c r="O71" s="399">
        <f t="shared" si="31"/>
        <v>0</v>
      </c>
      <c r="P71" s="392">
        <f t="shared" si="42"/>
        <v>0</v>
      </c>
      <c r="Q71" s="164">
        <f t="shared" si="32"/>
        <v>0</v>
      </c>
      <c r="R71" s="164">
        <f t="shared" si="33"/>
        <v>0</v>
      </c>
      <c r="S71" s="164">
        <f t="shared" si="34"/>
        <v>0</v>
      </c>
      <c r="T71" s="164">
        <f t="shared" si="35"/>
        <v>0</v>
      </c>
      <c r="U71" s="164">
        <f t="shared" si="36"/>
        <v>0</v>
      </c>
      <c r="V71" s="393">
        <f t="shared" si="37"/>
        <v>74950.559999999998</v>
      </c>
      <c r="W71" s="393">
        <f t="shared" si="38"/>
        <v>-74950.559999999998</v>
      </c>
      <c r="Y71" s="393">
        <f t="shared" si="43"/>
        <v>3571.2</v>
      </c>
      <c r="Z71" s="393">
        <f t="shared" si="44"/>
        <v>-3571.2</v>
      </c>
      <c r="AD71" s="395">
        <f>IF(AH71&gt;AH70,AD70,IF(AD70&lt;MiscData!$F$1,EOMONTH(AD70,1),EOMONTH(AD70,-11)))</f>
        <v>42035</v>
      </c>
      <c r="AE71" s="389" t="str">
        <f t="shared" si="39"/>
        <v>20140101KUUM_476</v>
      </c>
      <c r="AF71" s="437" t="str">
        <f t="shared" si="40"/>
        <v>20140101LS</v>
      </c>
      <c r="AG71" s="438"/>
      <c r="AH71" s="34">
        <f>IF(AH70=MiscData!$AB$91,1,AH70+1)</f>
        <v>70</v>
      </c>
      <c r="AI71" s="34">
        <f>IF(AD71&lt;=MiscData!$B$23,MiscData!$C$23,IF(AD71&lt;=MiscData!$B$24,MiscData!$C$24,MiscData!$C$25))</f>
        <v>20140101</v>
      </c>
      <c r="AK71" s="439" t="str">
        <f>VLOOKUP(AM71,MiscData!$AB$4:$ACB$113,2,FALSE)</f>
        <v>KUUM_476</v>
      </c>
      <c r="AL71" s="439" t="str">
        <f>VLOOKUP(AM71,MiscData!$AB$4:$AE$115,4,FALSE)</f>
        <v>LS</v>
      </c>
      <c r="AM71" s="34">
        <f>IF(AM70=MiscData!$AB$91,1,AM70+1)</f>
        <v>70</v>
      </c>
    </row>
    <row r="72" spans="1:39">
      <c r="A72" s="389">
        <f t="shared" si="45"/>
        <v>71</v>
      </c>
      <c r="B72" s="395" t="str">
        <f t="shared" si="23"/>
        <v>Jan 2015</v>
      </c>
      <c r="C72" s="396" t="str">
        <f t="shared" si="24"/>
        <v>LS</v>
      </c>
      <c r="D72" s="396" t="str">
        <f t="shared" si="25"/>
        <v>KUUM_477</v>
      </c>
      <c r="E72" s="394">
        <f t="shared" si="26"/>
        <v>1061</v>
      </c>
      <c r="F72" s="397">
        <v>0</v>
      </c>
      <c r="G72" s="394">
        <f t="shared" si="27"/>
        <v>0</v>
      </c>
      <c r="H72" s="394">
        <v>0</v>
      </c>
      <c r="I72" s="390">
        <f t="shared" si="28"/>
        <v>20.97</v>
      </c>
      <c r="J72" s="390">
        <f t="shared" si="29"/>
        <v>1.129999999999999</v>
      </c>
      <c r="K72" s="391">
        <f t="shared" si="41"/>
        <v>22249.17</v>
      </c>
      <c r="L72" s="398">
        <v>0</v>
      </c>
      <c r="M72" s="398">
        <v>0</v>
      </c>
      <c r="N72" s="164">
        <f t="shared" si="30"/>
        <v>22249.17</v>
      </c>
      <c r="O72" s="399">
        <f t="shared" si="31"/>
        <v>0</v>
      </c>
      <c r="P72" s="392">
        <f t="shared" si="42"/>
        <v>0</v>
      </c>
      <c r="Q72" s="164">
        <f t="shared" si="32"/>
        <v>0</v>
      </c>
      <c r="R72" s="164">
        <f t="shared" si="33"/>
        <v>0</v>
      </c>
      <c r="S72" s="164">
        <f t="shared" si="34"/>
        <v>0</v>
      </c>
      <c r="T72" s="164">
        <f t="shared" si="35"/>
        <v>0</v>
      </c>
      <c r="U72" s="164">
        <f t="shared" si="36"/>
        <v>0</v>
      </c>
      <c r="V72" s="393">
        <f t="shared" si="37"/>
        <v>22249.17</v>
      </c>
      <c r="W72" s="393">
        <f t="shared" si="38"/>
        <v>-22249.17</v>
      </c>
      <c r="Y72" s="393">
        <f t="shared" si="43"/>
        <v>1198.93</v>
      </c>
      <c r="Z72" s="393">
        <f t="shared" si="44"/>
        <v>-1198.93</v>
      </c>
      <c r="AD72" s="395">
        <f>IF(AH72&gt;AH71,AD71,IF(AD71&lt;MiscData!$F$1,EOMONTH(AD71,1),EOMONTH(AD71,-11)))</f>
        <v>42035</v>
      </c>
      <c r="AE72" s="389" t="str">
        <f t="shared" si="39"/>
        <v>20140101KUUM_477</v>
      </c>
      <c r="AF72" s="437" t="str">
        <f t="shared" si="40"/>
        <v>20140101LS</v>
      </c>
      <c r="AG72" s="438"/>
      <c r="AH72" s="34">
        <f>IF(AH71=MiscData!$AB$91,1,AH71+1)</f>
        <v>71</v>
      </c>
      <c r="AI72" s="34">
        <f>IF(AD72&lt;=MiscData!$B$23,MiscData!$C$23,IF(AD72&lt;=MiscData!$B$24,MiscData!$C$24,MiscData!$C$25))</f>
        <v>20140101</v>
      </c>
      <c r="AK72" s="439" t="str">
        <f>VLOOKUP(AM72,MiscData!$AB$4:$ACB$113,2,FALSE)</f>
        <v>KUUM_477</v>
      </c>
      <c r="AL72" s="439" t="str">
        <f>VLOOKUP(AM72,MiscData!$AB$4:$AE$115,4,FALSE)</f>
        <v>LS</v>
      </c>
      <c r="AM72" s="34">
        <f>IF(AM71=MiscData!$AB$91,1,AM71+1)</f>
        <v>71</v>
      </c>
    </row>
    <row r="73" spans="1:39">
      <c r="A73" s="389">
        <f t="shared" si="45"/>
        <v>72</v>
      </c>
      <c r="B73" s="395" t="str">
        <f t="shared" si="23"/>
        <v>Jan 2015</v>
      </c>
      <c r="C73" s="396" t="str">
        <f t="shared" si="24"/>
        <v>LS</v>
      </c>
      <c r="D73" s="396" t="str">
        <f t="shared" si="25"/>
        <v>KUUM_478</v>
      </c>
      <c r="E73" s="394">
        <f t="shared" si="26"/>
        <v>1421</v>
      </c>
      <c r="F73" s="397">
        <v>0</v>
      </c>
      <c r="G73" s="394">
        <f t="shared" si="27"/>
        <v>0</v>
      </c>
      <c r="H73" s="394">
        <v>0</v>
      </c>
      <c r="I73" s="390">
        <f t="shared" si="28"/>
        <v>26.86</v>
      </c>
      <c r="J73" s="390">
        <f t="shared" si="29"/>
        <v>2.3299999999999983</v>
      </c>
      <c r="K73" s="391">
        <f t="shared" si="41"/>
        <v>38168.06</v>
      </c>
      <c r="L73" s="398">
        <v>0</v>
      </c>
      <c r="M73" s="398">
        <v>0</v>
      </c>
      <c r="N73" s="164">
        <f t="shared" si="30"/>
        <v>38168.06</v>
      </c>
      <c r="O73" s="399">
        <f t="shared" si="31"/>
        <v>0</v>
      </c>
      <c r="P73" s="392">
        <f t="shared" si="42"/>
        <v>0</v>
      </c>
      <c r="Q73" s="164">
        <f t="shared" si="32"/>
        <v>0</v>
      </c>
      <c r="R73" s="164">
        <f t="shared" si="33"/>
        <v>0</v>
      </c>
      <c r="S73" s="164">
        <f t="shared" si="34"/>
        <v>0</v>
      </c>
      <c r="T73" s="164">
        <f t="shared" si="35"/>
        <v>0</v>
      </c>
      <c r="U73" s="164">
        <f t="shared" si="36"/>
        <v>0</v>
      </c>
      <c r="V73" s="393">
        <f t="shared" si="37"/>
        <v>38168.06</v>
      </c>
      <c r="W73" s="393">
        <f t="shared" si="38"/>
        <v>-38168.06</v>
      </c>
      <c r="Y73" s="393">
        <f t="shared" si="43"/>
        <v>3310.93</v>
      </c>
      <c r="Z73" s="393">
        <f t="shared" si="44"/>
        <v>-3310.93</v>
      </c>
      <c r="AD73" s="395">
        <f>IF(AH73&gt;AH72,AD72,IF(AD72&lt;MiscData!$F$1,EOMONTH(AD72,1),EOMONTH(AD72,-11)))</f>
        <v>42035</v>
      </c>
      <c r="AE73" s="389" t="str">
        <f t="shared" si="39"/>
        <v>20140101KUUM_478</v>
      </c>
      <c r="AF73" s="437" t="str">
        <f t="shared" si="40"/>
        <v>20140101LS</v>
      </c>
      <c r="AG73" s="438"/>
      <c r="AH73" s="34">
        <f>IF(AH72=MiscData!$AB$91,1,AH72+1)</f>
        <v>72</v>
      </c>
      <c r="AI73" s="34">
        <f>IF(AD73&lt;=MiscData!$B$23,MiscData!$C$23,IF(AD73&lt;=MiscData!$B$24,MiscData!$C$24,MiscData!$C$25))</f>
        <v>20140101</v>
      </c>
      <c r="AK73" s="439" t="str">
        <f>VLOOKUP(AM73,MiscData!$AB$4:$ACB$113,2,FALSE)</f>
        <v>KUUM_478</v>
      </c>
      <c r="AL73" s="439" t="str">
        <f>VLOOKUP(AM73,MiscData!$AB$4:$AE$115,4,FALSE)</f>
        <v>LS</v>
      </c>
      <c r="AM73" s="34">
        <f>IF(AM72=MiscData!$AB$91,1,AM72+1)</f>
        <v>72</v>
      </c>
    </row>
    <row r="74" spans="1:39">
      <c r="A74" s="389">
        <f t="shared" si="45"/>
        <v>73</v>
      </c>
      <c r="B74" s="395" t="str">
        <f t="shared" si="23"/>
        <v>Jan 2015</v>
      </c>
      <c r="C74" s="396" t="str">
        <f t="shared" si="24"/>
        <v>LS</v>
      </c>
      <c r="D74" s="396" t="str">
        <f t="shared" si="25"/>
        <v>KUUM_479</v>
      </c>
      <c r="E74" s="394">
        <f t="shared" si="26"/>
        <v>962</v>
      </c>
      <c r="F74" s="397">
        <v>0</v>
      </c>
      <c r="G74" s="394">
        <f t="shared" si="27"/>
        <v>0</v>
      </c>
      <c r="H74" s="394">
        <v>0</v>
      </c>
      <c r="I74" s="390">
        <f t="shared" si="28"/>
        <v>33.119999999999997</v>
      </c>
      <c r="J74" s="390">
        <f t="shared" si="29"/>
        <v>4.529999999999994</v>
      </c>
      <c r="K74" s="391">
        <f t="shared" si="41"/>
        <v>31861.439999999999</v>
      </c>
      <c r="L74" s="398">
        <v>0</v>
      </c>
      <c r="M74" s="398">
        <v>0</v>
      </c>
      <c r="N74" s="164">
        <f t="shared" si="30"/>
        <v>31861.439999999999</v>
      </c>
      <c r="O74" s="399">
        <f t="shared" si="31"/>
        <v>0</v>
      </c>
      <c r="P74" s="392">
        <f t="shared" si="42"/>
        <v>0</v>
      </c>
      <c r="Q74" s="164">
        <f t="shared" si="32"/>
        <v>0</v>
      </c>
      <c r="R74" s="164">
        <f t="shared" si="33"/>
        <v>0</v>
      </c>
      <c r="S74" s="164">
        <f t="shared" si="34"/>
        <v>0</v>
      </c>
      <c r="T74" s="164">
        <f t="shared" si="35"/>
        <v>0</v>
      </c>
      <c r="U74" s="164">
        <f t="shared" si="36"/>
        <v>0</v>
      </c>
      <c r="V74" s="393">
        <f t="shared" si="37"/>
        <v>31861.439999999999</v>
      </c>
      <c r="W74" s="393">
        <f t="shared" si="38"/>
        <v>-31861.439999999999</v>
      </c>
      <c r="Y74" s="393">
        <f t="shared" si="43"/>
        <v>4357.8599999999997</v>
      </c>
      <c r="Z74" s="393">
        <f t="shared" si="44"/>
        <v>-4357.8599999999997</v>
      </c>
      <c r="AD74" s="395">
        <f>IF(AH74&gt;AH73,AD73,IF(AD73&lt;MiscData!$F$1,EOMONTH(AD73,1),EOMONTH(AD73,-11)))</f>
        <v>42035</v>
      </c>
      <c r="AE74" s="389" t="str">
        <f t="shared" si="39"/>
        <v>20140101KUUM_479</v>
      </c>
      <c r="AF74" s="437" t="str">
        <f t="shared" si="40"/>
        <v>20140101LS</v>
      </c>
      <c r="AG74" s="438"/>
      <c r="AH74" s="34">
        <f>IF(AH73=MiscData!$AB$91,1,AH73+1)</f>
        <v>73</v>
      </c>
      <c r="AI74" s="34">
        <f>IF(AD74&lt;=MiscData!$B$23,MiscData!$C$23,IF(AD74&lt;=MiscData!$B$24,MiscData!$C$24,MiscData!$C$25))</f>
        <v>20140101</v>
      </c>
      <c r="AK74" s="439" t="str">
        <f>VLOOKUP(AM74,MiscData!$AB$4:$ACB$113,2,FALSE)</f>
        <v>KUUM_479</v>
      </c>
      <c r="AL74" s="439" t="str">
        <f>VLOOKUP(AM74,MiscData!$AB$4:$AE$115,4,FALSE)</f>
        <v>LS</v>
      </c>
      <c r="AM74" s="34">
        <f>IF(AM73=MiscData!$AB$91,1,AM73+1)</f>
        <v>73</v>
      </c>
    </row>
    <row r="75" spans="1:39">
      <c r="A75" s="389">
        <f t="shared" si="45"/>
        <v>74</v>
      </c>
      <c r="B75" s="395" t="str">
        <f t="shared" si="23"/>
        <v>Jan 2015</v>
      </c>
      <c r="C75" s="396" t="str">
        <f t="shared" si="24"/>
        <v>LS</v>
      </c>
      <c r="D75" s="396" t="str">
        <f t="shared" si="25"/>
        <v>KUUM_486</v>
      </c>
      <c r="E75" s="394">
        <f t="shared" si="26"/>
        <v>0</v>
      </c>
      <c r="F75" s="397">
        <v>0</v>
      </c>
      <c r="G75" s="394">
        <f t="shared" si="27"/>
        <v>0</v>
      </c>
      <c r="H75" s="394">
        <v>0</v>
      </c>
      <c r="I75" s="390">
        <f t="shared" si="28"/>
        <v>0</v>
      </c>
      <c r="J75" s="390">
        <f t="shared" si="29"/>
        <v>0</v>
      </c>
      <c r="K75" s="391">
        <f t="shared" si="41"/>
        <v>0</v>
      </c>
      <c r="L75" s="398">
        <v>0</v>
      </c>
      <c r="M75" s="398">
        <v>0</v>
      </c>
      <c r="N75" s="164">
        <f t="shared" si="30"/>
        <v>0</v>
      </c>
      <c r="O75" s="399">
        <f t="shared" si="31"/>
        <v>0</v>
      </c>
      <c r="P75" s="392">
        <f t="shared" si="42"/>
        <v>1</v>
      </c>
      <c r="Q75" s="164">
        <f t="shared" si="32"/>
        <v>0</v>
      </c>
      <c r="R75" s="164">
        <f t="shared" si="33"/>
        <v>0</v>
      </c>
      <c r="S75" s="164">
        <f t="shared" si="34"/>
        <v>0</v>
      </c>
      <c r="T75" s="164">
        <f t="shared" si="35"/>
        <v>0</v>
      </c>
      <c r="U75" s="164">
        <f t="shared" si="36"/>
        <v>0</v>
      </c>
      <c r="V75" s="393">
        <f t="shared" si="37"/>
        <v>0</v>
      </c>
      <c r="W75" s="393">
        <f t="shared" si="38"/>
        <v>0</v>
      </c>
      <c r="Y75" s="393">
        <f t="shared" si="43"/>
        <v>0</v>
      </c>
      <c r="Z75" s="393">
        <f t="shared" si="44"/>
        <v>0</v>
      </c>
      <c r="AD75" s="395">
        <f>IF(AH75&gt;AH74,AD74,IF(AD74&lt;MiscData!$F$1,EOMONTH(AD74,1),EOMONTH(AD74,-11)))</f>
        <v>42035</v>
      </c>
      <c r="AE75" s="389" t="str">
        <f t="shared" si="39"/>
        <v>20140101KUUM_486</v>
      </c>
      <c r="AF75" s="437" t="str">
        <f t="shared" si="40"/>
        <v>20140101LS</v>
      </c>
      <c r="AG75" s="438"/>
      <c r="AH75" s="34">
        <f>IF(AH74=MiscData!$AB$91,1,AH74+1)</f>
        <v>74</v>
      </c>
      <c r="AI75" s="34">
        <f>IF(AD75&lt;=MiscData!$B$23,MiscData!$C$23,IF(AD75&lt;=MiscData!$B$24,MiscData!$C$24,MiscData!$C$25))</f>
        <v>20140101</v>
      </c>
      <c r="AK75" s="439" t="str">
        <f>VLOOKUP(AM75,MiscData!$AB$4:$ACB$113,2,FALSE)</f>
        <v>KUUM_486</v>
      </c>
      <c r="AL75" s="439" t="str">
        <f>VLOOKUP(AM75,MiscData!$AB$4:$AE$115,4,FALSE)</f>
        <v>LS</v>
      </c>
      <c r="AM75" s="34">
        <f>IF(AM74=MiscData!$AB$91,1,AM74+1)</f>
        <v>74</v>
      </c>
    </row>
    <row r="76" spans="1:39">
      <c r="A76" s="389">
        <f t="shared" si="45"/>
        <v>75</v>
      </c>
      <c r="B76" s="395" t="str">
        <f t="shared" si="23"/>
        <v>Jan 2015</v>
      </c>
      <c r="C76" s="396" t="str">
        <f t="shared" si="24"/>
        <v>LS</v>
      </c>
      <c r="D76" s="396" t="str">
        <f t="shared" si="25"/>
        <v>KUUM_487</v>
      </c>
      <c r="E76" s="394">
        <f t="shared" si="26"/>
        <v>11100</v>
      </c>
      <c r="F76" s="397">
        <v>0</v>
      </c>
      <c r="G76" s="394">
        <f t="shared" si="27"/>
        <v>0</v>
      </c>
      <c r="H76" s="394">
        <v>0</v>
      </c>
      <c r="I76" s="390">
        <f t="shared" si="28"/>
        <v>9</v>
      </c>
      <c r="J76" s="390">
        <f t="shared" si="29"/>
        <v>1.1299999999999999</v>
      </c>
      <c r="K76" s="391">
        <f t="shared" si="41"/>
        <v>99900</v>
      </c>
      <c r="L76" s="398">
        <v>0</v>
      </c>
      <c r="M76" s="398">
        <v>0</v>
      </c>
      <c r="N76" s="164">
        <f t="shared" si="30"/>
        <v>99900</v>
      </c>
      <c r="O76" s="399">
        <f t="shared" si="31"/>
        <v>0</v>
      </c>
      <c r="P76" s="392">
        <f t="shared" si="42"/>
        <v>0</v>
      </c>
      <c r="Q76" s="164">
        <f t="shared" si="32"/>
        <v>0</v>
      </c>
      <c r="R76" s="164">
        <f t="shared" si="33"/>
        <v>0</v>
      </c>
      <c r="S76" s="164">
        <f t="shared" si="34"/>
        <v>0</v>
      </c>
      <c r="T76" s="164">
        <f t="shared" si="35"/>
        <v>0</v>
      </c>
      <c r="U76" s="164">
        <f t="shared" si="36"/>
        <v>0</v>
      </c>
      <c r="V76" s="393">
        <f t="shared" si="37"/>
        <v>99900</v>
      </c>
      <c r="W76" s="393">
        <f t="shared" si="38"/>
        <v>-99900</v>
      </c>
      <c r="Y76" s="393">
        <f t="shared" si="43"/>
        <v>12543</v>
      </c>
      <c r="Z76" s="393">
        <f t="shared" si="44"/>
        <v>-12543</v>
      </c>
      <c r="AD76" s="395">
        <f>IF(AH76&gt;AH75,AD75,IF(AD75&lt;MiscData!$F$1,EOMONTH(AD75,1),EOMONTH(AD75,-11)))</f>
        <v>42035</v>
      </c>
      <c r="AE76" s="389" t="str">
        <f t="shared" si="39"/>
        <v>20140101KUUM_487</v>
      </c>
      <c r="AF76" s="437" t="str">
        <f t="shared" si="40"/>
        <v>20140101LS</v>
      </c>
      <c r="AG76" s="438"/>
      <c r="AH76" s="34">
        <f>IF(AH75=MiscData!$AB$91,1,AH75+1)</f>
        <v>75</v>
      </c>
      <c r="AI76" s="34">
        <f>IF(AD76&lt;=MiscData!$B$23,MiscData!$C$23,IF(AD76&lt;=MiscData!$B$24,MiscData!$C$24,MiscData!$C$25))</f>
        <v>20140101</v>
      </c>
      <c r="AK76" s="439" t="str">
        <f>VLOOKUP(AM76,MiscData!$AB$4:$ACB$113,2,FALSE)</f>
        <v>KUUM_487</v>
      </c>
      <c r="AL76" s="439" t="str">
        <f>VLOOKUP(AM76,MiscData!$AB$4:$AE$115,4,FALSE)</f>
        <v>LS</v>
      </c>
      <c r="AM76" s="34">
        <f>IF(AM75=MiscData!$AB$91,1,AM75+1)</f>
        <v>75</v>
      </c>
    </row>
    <row r="77" spans="1:39">
      <c r="A77" s="389">
        <f t="shared" si="45"/>
        <v>76</v>
      </c>
      <c r="B77" s="395" t="str">
        <f t="shared" si="23"/>
        <v>Jan 2015</v>
      </c>
      <c r="C77" s="396" t="str">
        <f t="shared" si="24"/>
        <v>LS</v>
      </c>
      <c r="D77" s="396" t="str">
        <f t="shared" si="25"/>
        <v>KUUM_488</v>
      </c>
      <c r="E77" s="394">
        <f t="shared" si="26"/>
        <v>6584</v>
      </c>
      <c r="F77" s="397">
        <v>0</v>
      </c>
      <c r="G77" s="394">
        <f t="shared" si="27"/>
        <v>0</v>
      </c>
      <c r="H77" s="394">
        <v>0</v>
      </c>
      <c r="I77" s="390">
        <f t="shared" si="28"/>
        <v>13.639999999999999</v>
      </c>
      <c r="J77" s="390">
        <f t="shared" si="29"/>
        <v>2.33</v>
      </c>
      <c r="K77" s="391">
        <f t="shared" si="41"/>
        <v>89805.759999999995</v>
      </c>
      <c r="L77" s="398">
        <v>0</v>
      </c>
      <c r="M77" s="398">
        <v>0</v>
      </c>
      <c r="N77" s="164">
        <f t="shared" si="30"/>
        <v>89805.759999999995</v>
      </c>
      <c r="O77" s="399">
        <f t="shared" si="31"/>
        <v>0</v>
      </c>
      <c r="P77" s="392">
        <f t="shared" si="42"/>
        <v>0</v>
      </c>
      <c r="Q77" s="164">
        <f t="shared" si="32"/>
        <v>0</v>
      </c>
      <c r="R77" s="164">
        <f t="shared" si="33"/>
        <v>0</v>
      </c>
      <c r="S77" s="164">
        <f t="shared" si="34"/>
        <v>0</v>
      </c>
      <c r="T77" s="164">
        <f t="shared" si="35"/>
        <v>0</v>
      </c>
      <c r="U77" s="164">
        <f t="shared" si="36"/>
        <v>0</v>
      </c>
      <c r="V77" s="393">
        <f t="shared" si="37"/>
        <v>89805.759999999995</v>
      </c>
      <c r="W77" s="393">
        <f t="shared" si="38"/>
        <v>-89805.759999999995</v>
      </c>
      <c r="Y77" s="393">
        <f t="shared" si="43"/>
        <v>15340.72</v>
      </c>
      <c r="Z77" s="393">
        <f t="shared" si="44"/>
        <v>-15340.72</v>
      </c>
      <c r="AD77" s="395">
        <f>IF(AH77&gt;AH76,AD76,IF(AD76&lt;MiscData!$F$1,EOMONTH(AD76,1),EOMONTH(AD76,-11)))</f>
        <v>42035</v>
      </c>
      <c r="AE77" s="389" t="str">
        <f t="shared" si="39"/>
        <v>20140101KUUM_488</v>
      </c>
      <c r="AF77" s="437" t="str">
        <f t="shared" si="40"/>
        <v>20140101LS</v>
      </c>
      <c r="AG77" s="438"/>
      <c r="AH77" s="34">
        <f>IF(AH76=MiscData!$AB$91,1,AH76+1)</f>
        <v>76</v>
      </c>
      <c r="AI77" s="34">
        <f>IF(AD77&lt;=MiscData!$B$23,MiscData!$C$23,IF(AD77&lt;=MiscData!$B$24,MiscData!$C$24,MiscData!$C$25))</f>
        <v>20140101</v>
      </c>
      <c r="AK77" s="439" t="str">
        <f>VLOOKUP(AM77,MiscData!$AB$4:$ACB$113,2,FALSE)</f>
        <v>KUUM_488</v>
      </c>
      <c r="AL77" s="439" t="str">
        <f>VLOOKUP(AM77,MiscData!$AB$4:$AE$115,4,FALSE)</f>
        <v>LS</v>
      </c>
      <c r="AM77" s="34">
        <f>IF(AM76=MiscData!$AB$91,1,AM76+1)</f>
        <v>76</v>
      </c>
    </row>
    <row r="78" spans="1:39">
      <c r="A78" s="389">
        <f t="shared" si="45"/>
        <v>77</v>
      </c>
      <c r="B78" s="395" t="str">
        <f t="shared" si="23"/>
        <v>Jan 2015</v>
      </c>
      <c r="C78" s="396" t="str">
        <f t="shared" si="24"/>
        <v>LS</v>
      </c>
      <c r="D78" s="396" t="str">
        <f t="shared" si="25"/>
        <v>KUUM_489</v>
      </c>
      <c r="E78" s="394">
        <f t="shared" si="26"/>
        <v>8363</v>
      </c>
      <c r="F78" s="397">
        <v>0</v>
      </c>
      <c r="G78" s="394">
        <f t="shared" si="27"/>
        <v>0</v>
      </c>
      <c r="H78" s="394">
        <v>0</v>
      </c>
      <c r="I78" s="390">
        <f t="shared" si="28"/>
        <v>19.46</v>
      </c>
      <c r="J78" s="390">
        <f t="shared" si="29"/>
        <v>4.5300000000000011</v>
      </c>
      <c r="K78" s="391">
        <f t="shared" si="41"/>
        <v>162743.98000000001</v>
      </c>
      <c r="L78" s="398">
        <v>0</v>
      </c>
      <c r="M78" s="398">
        <v>0</v>
      </c>
      <c r="N78" s="164">
        <f t="shared" si="30"/>
        <v>162743.98000000001</v>
      </c>
      <c r="O78" s="399">
        <f t="shared" si="31"/>
        <v>0</v>
      </c>
      <c r="P78" s="392">
        <f t="shared" si="42"/>
        <v>0</v>
      </c>
      <c r="Q78" s="164">
        <f t="shared" si="32"/>
        <v>0</v>
      </c>
      <c r="R78" s="164">
        <f t="shared" si="33"/>
        <v>0</v>
      </c>
      <c r="S78" s="164">
        <f t="shared" si="34"/>
        <v>0</v>
      </c>
      <c r="T78" s="164">
        <f t="shared" si="35"/>
        <v>0</v>
      </c>
      <c r="U78" s="164">
        <f t="shared" si="36"/>
        <v>0</v>
      </c>
      <c r="V78" s="393">
        <f t="shared" si="37"/>
        <v>162743.98000000001</v>
      </c>
      <c r="W78" s="393">
        <f t="shared" si="38"/>
        <v>-162743.98000000001</v>
      </c>
      <c r="Y78" s="393">
        <f t="shared" si="43"/>
        <v>37884.39</v>
      </c>
      <c r="Z78" s="393">
        <f t="shared" si="44"/>
        <v>-37884.39</v>
      </c>
      <c r="AD78" s="395">
        <f>IF(AH78&gt;AH77,AD77,IF(AD77&lt;MiscData!$F$1,EOMONTH(AD77,1),EOMONTH(AD77,-11)))</f>
        <v>42035</v>
      </c>
      <c r="AE78" s="389" t="str">
        <f t="shared" si="39"/>
        <v>20140101KUUM_489</v>
      </c>
      <c r="AF78" s="437" t="str">
        <f t="shared" si="40"/>
        <v>20140101LS</v>
      </c>
      <c r="AG78" s="438"/>
      <c r="AH78" s="34">
        <f>IF(AH77=MiscData!$AB$91,1,AH77+1)</f>
        <v>77</v>
      </c>
      <c r="AI78" s="34">
        <f>IF(AD78&lt;=MiscData!$B$23,MiscData!$C$23,IF(AD78&lt;=MiscData!$B$24,MiscData!$C$24,MiscData!$C$25))</f>
        <v>20140101</v>
      </c>
      <c r="AK78" s="439" t="str">
        <f>VLOOKUP(AM78,MiscData!$AB$4:$ACB$113,2,FALSE)</f>
        <v>KUUM_489</v>
      </c>
      <c r="AL78" s="439" t="str">
        <f>VLOOKUP(AM78,MiscData!$AB$4:$AE$115,4,FALSE)</f>
        <v>LS</v>
      </c>
      <c r="AM78" s="34">
        <f>IF(AM77=MiscData!$AB$91,1,AM77+1)</f>
        <v>77</v>
      </c>
    </row>
    <row r="79" spans="1:39">
      <c r="A79" s="389">
        <f t="shared" si="45"/>
        <v>78</v>
      </c>
      <c r="B79" s="395" t="str">
        <f t="shared" si="23"/>
        <v>Jan 2015</v>
      </c>
      <c r="C79" s="396" t="str">
        <f t="shared" si="24"/>
        <v>LS</v>
      </c>
      <c r="D79" s="396" t="str">
        <f t="shared" si="25"/>
        <v>KUUM_490</v>
      </c>
      <c r="E79" s="394">
        <f t="shared" si="26"/>
        <v>58</v>
      </c>
      <c r="F79" s="397">
        <v>0</v>
      </c>
      <c r="G79" s="394">
        <f t="shared" si="27"/>
        <v>0</v>
      </c>
      <c r="H79" s="394">
        <v>0</v>
      </c>
      <c r="I79" s="390">
        <f t="shared" si="28"/>
        <v>15.47</v>
      </c>
      <c r="J79" s="390">
        <f t="shared" si="29"/>
        <v>1.9700000000000006</v>
      </c>
      <c r="K79" s="391">
        <f t="shared" si="41"/>
        <v>897.26</v>
      </c>
      <c r="L79" s="398">
        <v>0</v>
      </c>
      <c r="M79" s="398">
        <v>0</v>
      </c>
      <c r="N79" s="164">
        <f t="shared" si="30"/>
        <v>897.26</v>
      </c>
      <c r="O79" s="399">
        <f t="shared" si="31"/>
        <v>0</v>
      </c>
      <c r="P79" s="392">
        <f t="shared" si="42"/>
        <v>0</v>
      </c>
      <c r="Q79" s="164">
        <f t="shared" si="32"/>
        <v>0</v>
      </c>
      <c r="R79" s="164">
        <f t="shared" si="33"/>
        <v>0</v>
      </c>
      <c r="S79" s="164">
        <f t="shared" si="34"/>
        <v>0</v>
      </c>
      <c r="T79" s="164">
        <f t="shared" si="35"/>
        <v>0</v>
      </c>
      <c r="U79" s="164">
        <f t="shared" si="36"/>
        <v>0</v>
      </c>
      <c r="V79" s="393">
        <f t="shared" si="37"/>
        <v>897.26</v>
      </c>
      <c r="W79" s="393">
        <f t="shared" si="38"/>
        <v>-897.26</v>
      </c>
      <c r="Y79" s="393">
        <f t="shared" si="43"/>
        <v>114.26</v>
      </c>
      <c r="Z79" s="393">
        <f t="shared" si="44"/>
        <v>-114.26</v>
      </c>
      <c r="AD79" s="395">
        <f>IF(AH79&gt;AH78,AD78,IF(AD78&lt;MiscData!$F$1,EOMONTH(AD78,1),EOMONTH(AD78,-11)))</f>
        <v>42035</v>
      </c>
      <c r="AE79" s="389" t="str">
        <f t="shared" si="39"/>
        <v>20140101KUUM_490</v>
      </c>
      <c r="AF79" s="437" t="str">
        <f t="shared" si="40"/>
        <v>20140101LS</v>
      </c>
      <c r="AG79" s="438"/>
      <c r="AH79" s="34">
        <f>IF(AH78=MiscData!$AB$91,1,AH78+1)</f>
        <v>78</v>
      </c>
      <c r="AI79" s="34">
        <f>IF(AD79&lt;=MiscData!$B$23,MiscData!$C$23,IF(AD79&lt;=MiscData!$B$24,MiscData!$C$24,MiscData!$C$25))</f>
        <v>20140101</v>
      </c>
      <c r="AK79" s="439" t="str">
        <f>VLOOKUP(AM79,MiscData!$AB$4:$ACB$113,2,FALSE)</f>
        <v>KUUM_490</v>
      </c>
      <c r="AL79" s="439" t="str">
        <f>VLOOKUP(AM79,MiscData!$AB$4:$AE$115,4,FALSE)</f>
        <v>LS</v>
      </c>
      <c r="AM79" s="34">
        <f>IF(AM78=MiscData!$AB$91,1,AM78+1)</f>
        <v>78</v>
      </c>
    </row>
    <row r="80" spans="1:39">
      <c r="A80" s="389">
        <f t="shared" si="45"/>
        <v>79</v>
      </c>
      <c r="B80" s="395" t="str">
        <f t="shared" si="23"/>
        <v>Jan 2015</v>
      </c>
      <c r="C80" s="396" t="str">
        <f t="shared" si="24"/>
        <v>LS</v>
      </c>
      <c r="D80" s="396" t="str">
        <f t="shared" si="25"/>
        <v>KUUM_491</v>
      </c>
      <c r="E80" s="394">
        <f t="shared" si="26"/>
        <v>301</v>
      </c>
      <c r="F80" s="397">
        <v>0</v>
      </c>
      <c r="G80" s="394">
        <f t="shared" si="27"/>
        <v>0</v>
      </c>
      <c r="H80" s="394">
        <v>0</v>
      </c>
      <c r="I80" s="390">
        <f t="shared" si="28"/>
        <v>21.930000000000003</v>
      </c>
      <c r="J80" s="390">
        <f t="shared" si="29"/>
        <v>4.2900000000000027</v>
      </c>
      <c r="K80" s="391">
        <f t="shared" si="41"/>
        <v>6600.93</v>
      </c>
      <c r="L80" s="398">
        <v>0</v>
      </c>
      <c r="M80" s="398">
        <v>0</v>
      </c>
      <c r="N80" s="164">
        <f t="shared" si="30"/>
        <v>6600.93</v>
      </c>
      <c r="O80" s="399">
        <f t="shared" si="31"/>
        <v>0</v>
      </c>
      <c r="P80" s="392">
        <f t="shared" si="42"/>
        <v>0</v>
      </c>
      <c r="Q80" s="164">
        <f t="shared" si="32"/>
        <v>0</v>
      </c>
      <c r="R80" s="164">
        <f t="shared" si="33"/>
        <v>0</v>
      </c>
      <c r="S80" s="164">
        <f t="shared" si="34"/>
        <v>0</v>
      </c>
      <c r="T80" s="164">
        <f t="shared" si="35"/>
        <v>0</v>
      </c>
      <c r="U80" s="164">
        <f t="shared" si="36"/>
        <v>0</v>
      </c>
      <c r="V80" s="393">
        <f t="shared" si="37"/>
        <v>6600.93</v>
      </c>
      <c r="W80" s="393">
        <f t="shared" si="38"/>
        <v>-6600.93</v>
      </c>
      <c r="Y80" s="393">
        <f t="shared" si="43"/>
        <v>1291.29</v>
      </c>
      <c r="Z80" s="393">
        <f t="shared" si="44"/>
        <v>-1291.29</v>
      </c>
      <c r="AD80" s="395">
        <f>IF(AH80&gt;AH79,AD79,IF(AD79&lt;MiscData!$F$1,EOMONTH(AD79,1),EOMONTH(AD79,-11)))</f>
        <v>42035</v>
      </c>
      <c r="AE80" s="389" t="str">
        <f t="shared" si="39"/>
        <v>20140101KUUM_491</v>
      </c>
      <c r="AF80" s="437" t="str">
        <f t="shared" si="40"/>
        <v>20140101LS</v>
      </c>
      <c r="AG80" s="438"/>
      <c r="AH80" s="34">
        <f>IF(AH79=MiscData!$AB$91,1,AH79+1)</f>
        <v>79</v>
      </c>
      <c r="AI80" s="34">
        <f>IF(AD80&lt;=MiscData!$B$23,MiscData!$C$23,IF(AD80&lt;=MiscData!$B$24,MiscData!$C$24,MiscData!$C$25))</f>
        <v>20140101</v>
      </c>
      <c r="AK80" s="439" t="str">
        <f>VLOOKUP(AM80,MiscData!$AB$4:$ACB$113,2,FALSE)</f>
        <v>KUUM_491</v>
      </c>
      <c r="AL80" s="439" t="str">
        <f>VLOOKUP(AM80,MiscData!$AB$4:$AE$115,4,FALSE)</f>
        <v>LS</v>
      </c>
      <c r="AM80" s="34">
        <f>IF(AM79=MiscData!$AB$91,1,AM79+1)</f>
        <v>79</v>
      </c>
    </row>
    <row r="81" spans="1:39">
      <c r="A81" s="389">
        <f t="shared" si="45"/>
        <v>80</v>
      </c>
      <c r="B81" s="395" t="str">
        <f t="shared" si="23"/>
        <v>Jan 2015</v>
      </c>
      <c r="C81" s="396" t="str">
        <f t="shared" si="24"/>
        <v>LS</v>
      </c>
      <c r="D81" s="396" t="str">
        <f t="shared" si="25"/>
        <v>KUUM_492</v>
      </c>
      <c r="E81" s="394">
        <f t="shared" si="26"/>
        <v>2</v>
      </c>
      <c r="F81" s="397">
        <v>0</v>
      </c>
      <c r="G81" s="394">
        <f t="shared" si="27"/>
        <v>0</v>
      </c>
      <c r="H81" s="394">
        <v>0</v>
      </c>
      <c r="I81" s="390">
        <f t="shared" si="28"/>
        <v>15.370000000000001</v>
      </c>
      <c r="J81" s="390">
        <f t="shared" si="29"/>
        <v>0.80000000000000071</v>
      </c>
      <c r="K81" s="391">
        <f t="shared" si="41"/>
        <v>30.74</v>
      </c>
      <c r="L81" s="398">
        <v>0</v>
      </c>
      <c r="M81" s="398">
        <v>0</v>
      </c>
      <c r="N81" s="164">
        <f t="shared" si="30"/>
        <v>30.74</v>
      </c>
      <c r="O81" s="399">
        <f t="shared" si="31"/>
        <v>0</v>
      </c>
      <c r="P81" s="392">
        <f t="shared" si="42"/>
        <v>0</v>
      </c>
      <c r="Q81" s="164">
        <f t="shared" si="32"/>
        <v>0</v>
      </c>
      <c r="R81" s="164">
        <f t="shared" si="33"/>
        <v>0</v>
      </c>
      <c r="S81" s="164">
        <f t="shared" si="34"/>
        <v>0</v>
      </c>
      <c r="T81" s="164">
        <f t="shared" si="35"/>
        <v>0</v>
      </c>
      <c r="U81" s="164">
        <f t="shared" si="36"/>
        <v>0</v>
      </c>
      <c r="V81" s="393">
        <f t="shared" si="37"/>
        <v>30.74</v>
      </c>
      <c r="W81" s="393">
        <f t="shared" si="38"/>
        <v>-30.74</v>
      </c>
      <c r="Y81" s="393">
        <f t="shared" si="43"/>
        <v>1.6</v>
      </c>
      <c r="Z81" s="393">
        <f t="shared" si="44"/>
        <v>-1.6</v>
      </c>
      <c r="AD81" s="395">
        <f>IF(AH81&gt;AH80,AD80,IF(AD80&lt;MiscData!$F$1,EOMONTH(AD80,1),EOMONTH(AD80,-11)))</f>
        <v>42035</v>
      </c>
      <c r="AE81" s="389" t="str">
        <f t="shared" si="39"/>
        <v>20140101KUUM_492</v>
      </c>
      <c r="AF81" s="437" t="str">
        <f t="shared" si="40"/>
        <v>20140101LS</v>
      </c>
      <c r="AG81" s="438"/>
      <c r="AH81" s="34">
        <f>IF(AH80=MiscData!$AB$91,1,AH80+1)</f>
        <v>80</v>
      </c>
      <c r="AI81" s="34">
        <f>IF(AD81&lt;=MiscData!$B$23,MiscData!$C$23,IF(AD81&lt;=MiscData!$B$24,MiscData!$C$24,MiscData!$C$25))</f>
        <v>20140101</v>
      </c>
      <c r="AK81" s="439" t="str">
        <f>VLOOKUP(AM81,MiscData!$AB$4:$ACB$113,2,FALSE)</f>
        <v>KUUM_492</v>
      </c>
      <c r="AL81" s="439" t="str">
        <f>VLOOKUP(AM81,MiscData!$AB$4:$AE$115,4,FALSE)</f>
        <v>LS</v>
      </c>
      <c r="AM81" s="34">
        <f>IF(AM80=MiscData!$AB$91,1,AM80+1)</f>
        <v>80</v>
      </c>
    </row>
    <row r="82" spans="1:39">
      <c r="A82" s="389">
        <f t="shared" si="45"/>
        <v>81</v>
      </c>
      <c r="B82" s="395" t="str">
        <f t="shared" si="23"/>
        <v>Jan 2015</v>
      </c>
      <c r="C82" s="396" t="str">
        <f t="shared" si="24"/>
        <v>LS</v>
      </c>
      <c r="D82" s="396" t="str">
        <f t="shared" si="25"/>
        <v>KUUM_493</v>
      </c>
      <c r="E82" s="394">
        <f t="shared" si="26"/>
        <v>43</v>
      </c>
      <c r="F82" s="397">
        <v>0</v>
      </c>
      <c r="G82" s="394">
        <f t="shared" si="27"/>
        <v>0</v>
      </c>
      <c r="H82" s="394">
        <v>0</v>
      </c>
      <c r="I82" s="390">
        <f t="shared" si="28"/>
        <v>45.7</v>
      </c>
      <c r="J82" s="390">
        <f t="shared" si="29"/>
        <v>10.409999999999997</v>
      </c>
      <c r="K82" s="391">
        <f t="shared" si="41"/>
        <v>1965.1</v>
      </c>
      <c r="L82" s="398">
        <v>0</v>
      </c>
      <c r="M82" s="398">
        <v>0</v>
      </c>
      <c r="N82" s="164">
        <f t="shared" si="30"/>
        <v>1965.1</v>
      </c>
      <c r="O82" s="399">
        <f t="shared" si="31"/>
        <v>0</v>
      </c>
      <c r="P82" s="392">
        <f t="shared" si="42"/>
        <v>0</v>
      </c>
      <c r="Q82" s="164">
        <f t="shared" si="32"/>
        <v>0</v>
      </c>
      <c r="R82" s="164">
        <f t="shared" si="33"/>
        <v>0</v>
      </c>
      <c r="S82" s="164">
        <f t="shared" si="34"/>
        <v>0</v>
      </c>
      <c r="T82" s="164">
        <f t="shared" si="35"/>
        <v>0</v>
      </c>
      <c r="U82" s="164">
        <f t="shared" si="36"/>
        <v>0</v>
      </c>
      <c r="V82" s="393">
        <f t="shared" si="37"/>
        <v>1965.1</v>
      </c>
      <c r="W82" s="393">
        <f t="shared" si="38"/>
        <v>-1965.1</v>
      </c>
      <c r="Y82" s="393">
        <f t="shared" si="43"/>
        <v>447.63</v>
      </c>
      <c r="Z82" s="393">
        <f t="shared" si="44"/>
        <v>-447.63</v>
      </c>
      <c r="AD82" s="395">
        <f>IF(AH82&gt;AH81,AD81,IF(AD81&lt;MiscData!$F$1,EOMONTH(AD81,1),EOMONTH(AD81,-11)))</f>
        <v>42035</v>
      </c>
      <c r="AE82" s="389" t="str">
        <f t="shared" si="39"/>
        <v>20140101KUUM_493</v>
      </c>
      <c r="AF82" s="437" t="str">
        <f t="shared" si="40"/>
        <v>20140101LS</v>
      </c>
      <c r="AG82" s="438"/>
      <c r="AH82" s="34">
        <f>IF(AH81=MiscData!$AB$91,1,AH81+1)</f>
        <v>81</v>
      </c>
      <c r="AI82" s="34">
        <f>IF(AD82&lt;=MiscData!$B$23,MiscData!$C$23,IF(AD82&lt;=MiscData!$B$24,MiscData!$C$24,MiscData!$C$25))</f>
        <v>20140101</v>
      </c>
      <c r="AK82" s="439" t="str">
        <f>VLOOKUP(AM82,MiscData!$AB$4:$ACB$113,2,FALSE)</f>
        <v>KUUM_493</v>
      </c>
      <c r="AL82" s="439" t="str">
        <f>VLOOKUP(AM82,MiscData!$AB$4:$AE$115,4,FALSE)</f>
        <v>LS</v>
      </c>
      <c r="AM82" s="34">
        <f>IF(AM81=MiscData!$AB$91,1,AM81+1)</f>
        <v>81</v>
      </c>
    </row>
    <row r="83" spans="1:39">
      <c r="A83" s="389">
        <f t="shared" si="45"/>
        <v>82</v>
      </c>
      <c r="B83" s="395" t="str">
        <f t="shared" si="23"/>
        <v>Jan 2015</v>
      </c>
      <c r="C83" s="396" t="str">
        <f t="shared" si="24"/>
        <v>LS</v>
      </c>
      <c r="D83" s="396" t="str">
        <f t="shared" si="25"/>
        <v>KUUM_494</v>
      </c>
      <c r="E83" s="394">
        <f t="shared" si="26"/>
        <v>167</v>
      </c>
      <c r="F83" s="397">
        <v>0</v>
      </c>
      <c r="G83" s="394">
        <f t="shared" si="27"/>
        <v>0</v>
      </c>
      <c r="H83" s="394">
        <v>0</v>
      </c>
      <c r="I83" s="390">
        <f t="shared" si="28"/>
        <v>28.37</v>
      </c>
      <c r="J83" s="390">
        <f t="shared" si="29"/>
        <v>1.9699999999999989</v>
      </c>
      <c r="K83" s="391">
        <f t="shared" si="41"/>
        <v>4737.79</v>
      </c>
      <c r="L83" s="398">
        <v>0</v>
      </c>
      <c r="M83" s="398">
        <v>0</v>
      </c>
      <c r="N83" s="164">
        <f t="shared" si="30"/>
        <v>4737.79</v>
      </c>
      <c r="O83" s="399">
        <f t="shared" si="31"/>
        <v>0</v>
      </c>
      <c r="P83" s="392">
        <f t="shared" si="42"/>
        <v>0</v>
      </c>
      <c r="Q83" s="164">
        <f t="shared" si="32"/>
        <v>0</v>
      </c>
      <c r="R83" s="164">
        <f t="shared" si="33"/>
        <v>0</v>
      </c>
      <c r="S83" s="164">
        <f t="shared" si="34"/>
        <v>0</v>
      </c>
      <c r="T83" s="164">
        <f t="shared" si="35"/>
        <v>0</v>
      </c>
      <c r="U83" s="164">
        <f t="shared" si="36"/>
        <v>0</v>
      </c>
      <c r="V83" s="393">
        <f t="shared" si="37"/>
        <v>4737.79</v>
      </c>
      <c r="W83" s="393">
        <f t="shared" si="38"/>
        <v>-4737.79</v>
      </c>
      <c r="Y83" s="393">
        <f t="shared" si="43"/>
        <v>328.99</v>
      </c>
      <c r="Z83" s="393">
        <f t="shared" si="44"/>
        <v>-328.99</v>
      </c>
      <c r="AD83" s="395">
        <f>IF(AH83&gt;AH82,AD82,IF(AD82&lt;MiscData!$F$1,EOMONTH(AD82,1),EOMONTH(AD82,-11)))</f>
        <v>42035</v>
      </c>
      <c r="AE83" s="389" t="str">
        <f t="shared" si="39"/>
        <v>20140101KUUM_494</v>
      </c>
      <c r="AF83" s="437" t="str">
        <f t="shared" si="40"/>
        <v>20140101LS</v>
      </c>
      <c r="AG83" s="438"/>
      <c r="AH83" s="34">
        <f>IF(AH82=MiscData!$AB$91,1,AH82+1)</f>
        <v>82</v>
      </c>
      <c r="AI83" s="34">
        <f>IF(AD83&lt;=MiscData!$B$23,MiscData!$C$23,IF(AD83&lt;=MiscData!$B$24,MiscData!$C$24,MiscData!$C$25))</f>
        <v>20140101</v>
      </c>
      <c r="AK83" s="439" t="str">
        <f>VLOOKUP(AM83,MiscData!$AB$4:$ACB$113,2,FALSE)</f>
        <v>KUUM_494</v>
      </c>
      <c r="AL83" s="439" t="str">
        <f>VLOOKUP(AM83,MiscData!$AB$4:$AE$115,4,FALSE)</f>
        <v>LS</v>
      </c>
      <c r="AM83" s="34">
        <f>IF(AM82=MiscData!$AB$91,1,AM82+1)</f>
        <v>82</v>
      </c>
    </row>
    <row r="84" spans="1:39">
      <c r="A84" s="389">
        <f t="shared" si="45"/>
        <v>83</v>
      </c>
      <c r="B84" s="395" t="str">
        <f t="shared" si="23"/>
        <v>Jan 2015</v>
      </c>
      <c r="C84" s="396" t="str">
        <f t="shared" si="24"/>
        <v>LS</v>
      </c>
      <c r="D84" s="396" t="str">
        <f t="shared" si="25"/>
        <v>KUUM_495</v>
      </c>
      <c r="E84" s="394">
        <f t="shared" si="26"/>
        <v>617</v>
      </c>
      <c r="F84" s="397">
        <v>0</v>
      </c>
      <c r="G84" s="394">
        <f t="shared" si="27"/>
        <v>0</v>
      </c>
      <c r="H84" s="394">
        <v>0</v>
      </c>
      <c r="I84" s="390">
        <f t="shared" si="28"/>
        <v>34.830000000000005</v>
      </c>
      <c r="J84" s="390">
        <f t="shared" si="29"/>
        <v>4.2899999999999991</v>
      </c>
      <c r="K84" s="391">
        <f t="shared" si="41"/>
        <v>21490.11</v>
      </c>
      <c r="L84" s="398">
        <v>0</v>
      </c>
      <c r="M84" s="398">
        <v>0</v>
      </c>
      <c r="N84" s="164">
        <f t="shared" si="30"/>
        <v>21490.11</v>
      </c>
      <c r="O84" s="399">
        <f t="shared" si="31"/>
        <v>0</v>
      </c>
      <c r="P84" s="392">
        <f t="shared" si="42"/>
        <v>0</v>
      </c>
      <c r="Q84" s="164">
        <f t="shared" si="32"/>
        <v>0</v>
      </c>
      <c r="R84" s="164">
        <f t="shared" si="33"/>
        <v>0</v>
      </c>
      <c r="S84" s="164">
        <f t="shared" si="34"/>
        <v>0</v>
      </c>
      <c r="T84" s="164">
        <f t="shared" si="35"/>
        <v>0</v>
      </c>
      <c r="U84" s="164">
        <f t="shared" si="36"/>
        <v>0</v>
      </c>
      <c r="V84" s="393">
        <f t="shared" si="37"/>
        <v>21490.11</v>
      </c>
      <c r="W84" s="393">
        <f t="shared" si="38"/>
        <v>-21490.11</v>
      </c>
      <c r="Y84" s="393">
        <f t="shared" si="43"/>
        <v>2646.93</v>
      </c>
      <c r="Z84" s="393">
        <f t="shared" si="44"/>
        <v>-2646.93</v>
      </c>
      <c r="AD84" s="395">
        <f>IF(AH84&gt;AH83,AD83,IF(AD83&lt;MiscData!$F$1,EOMONTH(AD83,1),EOMONTH(AD83,-11)))</f>
        <v>42035</v>
      </c>
      <c r="AE84" s="389" t="str">
        <f t="shared" si="39"/>
        <v>20140101KUUM_495</v>
      </c>
      <c r="AF84" s="437" t="str">
        <f t="shared" si="40"/>
        <v>20140101LS</v>
      </c>
      <c r="AG84" s="438"/>
      <c r="AH84" s="34">
        <f>IF(AH83=MiscData!$AB$91,1,AH83+1)</f>
        <v>83</v>
      </c>
      <c r="AI84" s="34">
        <f>IF(AD84&lt;=MiscData!$B$23,MiscData!$C$23,IF(AD84&lt;=MiscData!$B$24,MiscData!$C$24,MiscData!$C$25))</f>
        <v>20140101</v>
      </c>
      <c r="AK84" s="439" t="str">
        <f>VLOOKUP(AM84,MiscData!$AB$4:$ACB$113,2,FALSE)</f>
        <v>KUUM_495</v>
      </c>
      <c r="AL84" s="439" t="str">
        <f>VLOOKUP(AM84,MiscData!$AB$4:$AE$115,4,FALSE)</f>
        <v>LS</v>
      </c>
      <c r="AM84" s="34">
        <f>IF(AM83=MiscData!$AB$91,1,AM83+1)</f>
        <v>83</v>
      </c>
    </row>
    <row r="85" spans="1:39">
      <c r="A85" s="389">
        <f t="shared" si="45"/>
        <v>84</v>
      </c>
      <c r="B85" s="395" t="str">
        <f t="shared" si="23"/>
        <v>Jan 2015</v>
      </c>
      <c r="C85" s="396" t="str">
        <f t="shared" si="24"/>
        <v>LS</v>
      </c>
      <c r="D85" s="396" t="str">
        <f t="shared" si="25"/>
        <v>KUUM_496</v>
      </c>
      <c r="E85" s="394">
        <f t="shared" si="26"/>
        <v>157</v>
      </c>
      <c r="F85" s="397">
        <v>0</v>
      </c>
      <c r="G85" s="394">
        <f t="shared" si="27"/>
        <v>0</v>
      </c>
      <c r="H85" s="394">
        <v>0</v>
      </c>
      <c r="I85" s="390">
        <f t="shared" si="28"/>
        <v>58.59</v>
      </c>
      <c r="J85" s="390">
        <f t="shared" si="29"/>
        <v>10.409999999999997</v>
      </c>
      <c r="K85" s="391">
        <f t="shared" si="41"/>
        <v>9198.6299999999992</v>
      </c>
      <c r="L85" s="398">
        <v>0</v>
      </c>
      <c r="M85" s="398">
        <v>0</v>
      </c>
      <c r="N85" s="164">
        <f t="shared" si="30"/>
        <v>9198.6299999999992</v>
      </c>
      <c r="O85" s="399">
        <f t="shared" si="31"/>
        <v>0</v>
      </c>
      <c r="P85" s="392">
        <f t="shared" si="42"/>
        <v>0</v>
      </c>
      <c r="Q85" s="164">
        <f t="shared" si="32"/>
        <v>0</v>
      </c>
      <c r="R85" s="164">
        <f t="shared" si="33"/>
        <v>0</v>
      </c>
      <c r="S85" s="164">
        <f t="shared" si="34"/>
        <v>0</v>
      </c>
      <c r="T85" s="164">
        <f t="shared" si="35"/>
        <v>0</v>
      </c>
      <c r="U85" s="164">
        <f t="shared" si="36"/>
        <v>0</v>
      </c>
      <c r="V85" s="393">
        <f t="shared" si="37"/>
        <v>9198.6299999999992</v>
      </c>
      <c r="W85" s="393">
        <f t="shared" si="38"/>
        <v>-9198.6299999999992</v>
      </c>
      <c r="Y85" s="393">
        <f t="shared" si="43"/>
        <v>1634.37</v>
      </c>
      <c r="Z85" s="393">
        <f t="shared" si="44"/>
        <v>-1634.37</v>
      </c>
      <c r="AD85" s="395">
        <f>IF(AH85&gt;AH84,AD84,IF(AD84&lt;MiscData!$F$1,EOMONTH(AD84,1),EOMONTH(AD84,-11)))</f>
        <v>42035</v>
      </c>
      <c r="AE85" s="389" t="str">
        <f t="shared" si="39"/>
        <v>20140101KUUM_496</v>
      </c>
      <c r="AF85" s="437" t="str">
        <f t="shared" si="40"/>
        <v>20140101LS</v>
      </c>
      <c r="AG85" s="438"/>
      <c r="AH85" s="34">
        <f>IF(AH84=MiscData!$AB$91,1,AH84+1)</f>
        <v>84</v>
      </c>
      <c r="AI85" s="34">
        <f>IF(AD85&lt;=MiscData!$B$23,MiscData!$C$23,IF(AD85&lt;=MiscData!$B$24,MiscData!$C$24,MiscData!$C$25))</f>
        <v>20140101</v>
      </c>
      <c r="AK85" s="439" t="str">
        <f>VLOOKUP(AM85,MiscData!$AB$4:$ACB$113,2,FALSE)</f>
        <v>KUUM_496</v>
      </c>
      <c r="AL85" s="439" t="str">
        <f>VLOOKUP(AM85,MiscData!$AB$4:$AE$115,4,FALSE)</f>
        <v>LS</v>
      </c>
      <c r="AM85" s="34">
        <f>IF(AM84=MiscData!$AB$91,1,AM84+1)</f>
        <v>84</v>
      </c>
    </row>
    <row r="86" spans="1:39">
      <c r="A86" s="389">
        <f t="shared" si="45"/>
        <v>85</v>
      </c>
      <c r="B86" s="395" t="str">
        <f t="shared" si="23"/>
        <v>Jan 2015</v>
      </c>
      <c r="C86" s="396" t="str">
        <f t="shared" si="24"/>
        <v>LS</v>
      </c>
      <c r="D86" s="396" t="str">
        <f t="shared" si="25"/>
        <v>KUUM_497</v>
      </c>
      <c r="E86" s="394">
        <f t="shared" si="26"/>
        <v>8</v>
      </c>
      <c r="F86" s="397">
        <v>0</v>
      </c>
      <c r="G86" s="394">
        <f t="shared" si="27"/>
        <v>0</v>
      </c>
      <c r="H86" s="394">
        <v>0</v>
      </c>
      <c r="I86" s="390">
        <f t="shared" si="28"/>
        <v>15.35</v>
      </c>
      <c r="J86" s="390">
        <f t="shared" si="29"/>
        <v>1.1300000000000008</v>
      </c>
      <c r="K86" s="391">
        <f t="shared" si="41"/>
        <v>122.8</v>
      </c>
      <c r="L86" s="398">
        <v>0</v>
      </c>
      <c r="M86" s="398">
        <v>0</v>
      </c>
      <c r="N86" s="164">
        <f t="shared" si="30"/>
        <v>122.8</v>
      </c>
      <c r="O86" s="399">
        <f t="shared" si="31"/>
        <v>0</v>
      </c>
      <c r="P86" s="392">
        <f t="shared" si="42"/>
        <v>0</v>
      </c>
      <c r="Q86" s="164">
        <f t="shared" si="32"/>
        <v>0</v>
      </c>
      <c r="R86" s="164">
        <f t="shared" si="33"/>
        <v>0</v>
      </c>
      <c r="S86" s="164">
        <f t="shared" si="34"/>
        <v>0</v>
      </c>
      <c r="T86" s="164">
        <f t="shared" si="35"/>
        <v>0</v>
      </c>
      <c r="U86" s="164">
        <f t="shared" si="36"/>
        <v>0</v>
      </c>
      <c r="V86" s="393">
        <f t="shared" si="37"/>
        <v>122.8</v>
      </c>
      <c r="W86" s="393">
        <f t="shared" si="38"/>
        <v>-122.8</v>
      </c>
      <c r="Y86" s="393">
        <f t="shared" si="43"/>
        <v>9.0399999999999991</v>
      </c>
      <c r="Z86" s="393">
        <f t="shared" si="44"/>
        <v>-9.0399999999999991</v>
      </c>
      <c r="AD86" s="395">
        <f>IF(AH86&gt;AH85,AD85,IF(AD85&lt;MiscData!$F$1,EOMONTH(AD85,1),EOMONTH(AD85,-11)))</f>
        <v>42035</v>
      </c>
      <c r="AE86" s="389" t="str">
        <f t="shared" si="39"/>
        <v>20140101KUUM_497</v>
      </c>
      <c r="AF86" s="437" t="str">
        <f t="shared" si="40"/>
        <v>20140101LS</v>
      </c>
      <c r="AG86" s="438"/>
      <c r="AH86" s="34">
        <f>IF(AH85=MiscData!$AB$91,1,AH85+1)</f>
        <v>85</v>
      </c>
      <c r="AI86" s="34">
        <f>IF(AD86&lt;=MiscData!$B$23,MiscData!$C$23,IF(AD86&lt;=MiscData!$B$24,MiscData!$C$24,MiscData!$C$25))</f>
        <v>20140101</v>
      </c>
      <c r="AK86" s="439" t="str">
        <f>VLOOKUP(AM86,MiscData!$AB$4:$ACB$113,2,FALSE)</f>
        <v>KUUM_497</v>
      </c>
      <c r="AL86" s="439" t="str">
        <f>VLOOKUP(AM86,MiscData!$AB$4:$AE$115,4,FALSE)</f>
        <v>LS</v>
      </c>
      <c r="AM86" s="34">
        <f>IF(AM85=MiscData!$AB$91,1,AM85+1)</f>
        <v>85</v>
      </c>
    </row>
    <row r="87" spans="1:39">
      <c r="A87" s="389">
        <f t="shared" si="45"/>
        <v>86</v>
      </c>
      <c r="B87" s="395" t="str">
        <f t="shared" si="23"/>
        <v>Jan 2015</v>
      </c>
      <c r="C87" s="396" t="str">
        <f t="shared" si="24"/>
        <v>LS</v>
      </c>
      <c r="D87" s="396" t="str">
        <f t="shared" si="25"/>
        <v>KUUM_498</v>
      </c>
      <c r="E87" s="394">
        <f t="shared" si="26"/>
        <v>24</v>
      </c>
      <c r="F87" s="397">
        <v>0</v>
      </c>
      <c r="G87" s="394">
        <f t="shared" si="27"/>
        <v>0</v>
      </c>
      <c r="H87" s="394">
        <v>0</v>
      </c>
      <c r="I87" s="390">
        <f t="shared" si="28"/>
        <v>17.72</v>
      </c>
      <c r="J87" s="390">
        <f t="shared" si="29"/>
        <v>2.33</v>
      </c>
      <c r="K87" s="391">
        <f t="shared" si="41"/>
        <v>425.28</v>
      </c>
      <c r="L87" s="398">
        <v>0</v>
      </c>
      <c r="M87" s="398">
        <v>0</v>
      </c>
      <c r="N87" s="164">
        <f t="shared" si="30"/>
        <v>425.28</v>
      </c>
      <c r="O87" s="399">
        <f t="shared" si="31"/>
        <v>0</v>
      </c>
      <c r="P87" s="392">
        <f t="shared" si="42"/>
        <v>0</v>
      </c>
      <c r="Q87" s="164">
        <f t="shared" si="32"/>
        <v>0</v>
      </c>
      <c r="R87" s="164">
        <f t="shared" si="33"/>
        <v>0</v>
      </c>
      <c r="S87" s="164">
        <f t="shared" si="34"/>
        <v>0</v>
      </c>
      <c r="T87" s="164">
        <f t="shared" si="35"/>
        <v>0</v>
      </c>
      <c r="U87" s="164">
        <f t="shared" si="36"/>
        <v>0</v>
      </c>
      <c r="V87" s="393">
        <f t="shared" si="37"/>
        <v>425.28</v>
      </c>
      <c r="W87" s="393">
        <f t="shared" si="38"/>
        <v>-425.28</v>
      </c>
      <c r="Y87" s="393">
        <f t="shared" si="43"/>
        <v>55.92</v>
      </c>
      <c r="Z87" s="393">
        <f t="shared" si="44"/>
        <v>-55.92</v>
      </c>
      <c r="AD87" s="395">
        <f>IF(AH87&gt;AH86,AD86,IF(AD86&lt;MiscData!$F$1,EOMONTH(AD86,1),EOMONTH(AD86,-11)))</f>
        <v>42035</v>
      </c>
      <c r="AE87" s="389" t="str">
        <f t="shared" si="39"/>
        <v>20140101KUUM_498</v>
      </c>
      <c r="AF87" s="437" t="str">
        <f t="shared" si="40"/>
        <v>20140101LS</v>
      </c>
      <c r="AG87" s="438"/>
      <c r="AH87" s="34">
        <f>IF(AH86=MiscData!$AB$91,1,AH86+1)</f>
        <v>86</v>
      </c>
      <c r="AI87" s="34">
        <f>IF(AD87&lt;=MiscData!$B$23,MiscData!$C$23,IF(AD87&lt;=MiscData!$B$24,MiscData!$C$24,MiscData!$C$25))</f>
        <v>20140101</v>
      </c>
      <c r="AK87" s="439" t="str">
        <f>VLOOKUP(AM87,MiscData!$AB$4:$ACB$113,2,FALSE)</f>
        <v>KUUM_498</v>
      </c>
      <c r="AL87" s="439" t="str">
        <f>VLOOKUP(AM87,MiscData!$AB$4:$AE$115,4,FALSE)</f>
        <v>LS</v>
      </c>
      <c r="AM87" s="34">
        <f>IF(AM86=MiscData!$AB$91,1,AM86+1)</f>
        <v>86</v>
      </c>
    </row>
    <row r="88" spans="1:39">
      <c r="A88" s="389">
        <f t="shared" si="45"/>
        <v>87</v>
      </c>
      <c r="B88" s="395" t="str">
        <f t="shared" si="23"/>
        <v>Jan 2015</v>
      </c>
      <c r="C88" s="396" t="str">
        <f t="shared" si="24"/>
        <v>LS</v>
      </c>
      <c r="D88" s="396" t="str">
        <f t="shared" si="25"/>
        <v>KUUM_499</v>
      </c>
      <c r="E88" s="394">
        <f t="shared" si="26"/>
        <v>24</v>
      </c>
      <c r="F88" s="397">
        <v>0</v>
      </c>
      <c r="G88" s="394">
        <f t="shared" si="27"/>
        <v>0</v>
      </c>
      <c r="H88" s="394">
        <v>0</v>
      </c>
      <c r="I88" s="390">
        <f t="shared" si="28"/>
        <v>21.490000000000002</v>
      </c>
      <c r="J88" s="390">
        <f t="shared" si="29"/>
        <v>4.5300000000000011</v>
      </c>
      <c r="K88" s="391">
        <f t="shared" si="41"/>
        <v>515.76</v>
      </c>
      <c r="L88" s="398">
        <v>0</v>
      </c>
      <c r="M88" s="398">
        <v>0</v>
      </c>
      <c r="N88" s="164">
        <f t="shared" si="30"/>
        <v>515.76</v>
      </c>
      <c r="O88" s="399">
        <f t="shared" si="31"/>
        <v>0</v>
      </c>
      <c r="P88" s="392">
        <f t="shared" si="42"/>
        <v>0</v>
      </c>
      <c r="Q88" s="164">
        <f t="shared" si="32"/>
        <v>0</v>
      </c>
      <c r="R88" s="164">
        <f t="shared" si="33"/>
        <v>0</v>
      </c>
      <c r="S88" s="164">
        <f t="shared" si="34"/>
        <v>0</v>
      </c>
      <c r="T88" s="164">
        <f t="shared" si="35"/>
        <v>0</v>
      </c>
      <c r="U88" s="164">
        <f t="shared" si="36"/>
        <v>0</v>
      </c>
      <c r="V88" s="393">
        <f t="shared" si="37"/>
        <v>515.76</v>
      </c>
      <c r="W88" s="393">
        <f t="shared" si="38"/>
        <v>-515.76</v>
      </c>
      <c r="Y88" s="393">
        <f t="shared" si="43"/>
        <v>108.72</v>
      </c>
      <c r="Z88" s="393">
        <f t="shared" si="44"/>
        <v>-108.72</v>
      </c>
      <c r="AD88" s="395">
        <f>IF(AH88&gt;AH87,AD87,IF(AD87&lt;MiscData!$F$1,EOMONTH(AD87,1),EOMONTH(AD87,-11)))</f>
        <v>42035</v>
      </c>
      <c r="AE88" s="389" t="str">
        <f t="shared" si="39"/>
        <v>20140101KUUM_499</v>
      </c>
      <c r="AF88" s="437" t="str">
        <f t="shared" si="40"/>
        <v>20140101LS</v>
      </c>
      <c r="AG88" s="438"/>
      <c r="AH88" s="34">
        <f>IF(AH87=MiscData!$AB$91,1,AH87+1)</f>
        <v>87</v>
      </c>
      <c r="AI88" s="34">
        <f>IF(AD88&lt;=MiscData!$B$23,MiscData!$C$23,IF(AD88&lt;=MiscData!$B$24,MiscData!$C$24,MiscData!$C$25))</f>
        <v>20140101</v>
      </c>
      <c r="AK88" s="439" t="str">
        <f>VLOOKUP(AM88,MiscData!$AB$4:$ACB$113,2,FALSE)</f>
        <v>KUUM_499</v>
      </c>
      <c r="AL88" s="439" t="str">
        <f>VLOOKUP(AM88,MiscData!$AB$4:$AE$115,4,FALSE)</f>
        <v>LS</v>
      </c>
      <c r="AM88" s="34">
        <f>IF(AM87=MiscData!$AB$91,1,AM87+1)</f>
        <v>87</v>
      </c>
    </row>
    <row r="89" spans="1:39">
      <c r="A89" s="389">
        <f t="shared" si="45"/>
        <v>88</v>
      </c>
      <c r="B89" s="395" t="str">
        <f t="shared" si="23"/>
        <v>Jan 2015</v>
      </c>
      <c r="C89" s="396" t="str">
        <f t="shared" si="24"/>
        <v>ODL</v>
      </c>
      <c r="D89" s="396" t="str">
        <f t="shared" si="25"/>
        <v>ODL</v>
      </c>
      <c r="E89" s="394">
        <f t="shared" si="26"/>
        <v>0</v>
      </c>
      <c r="F89" s="397">
        <v>0</v>
      </c>
      <c r="G89" s="394">
        <f t="shared" si="27"/>
        <v>12776614</v>
      </c>
      <c r="H89" s="394">
        <v>0</v>
      </c>
      <c r="I89" s="390">
        <f t="shared" si="28"/>
        <v>0</v>
      </c>
      <c r="J89" s="390">
        <f t="shared" si="29"/>
        <v>0</v>
      </c>
      <c r="K89" s="391">
        <f t="shared" si="41"/>
        <v>0</v>
      </c>
      <c r="L89" s="398">
        <v>0</v>
      </c>
      <c r="M89" s="398">
        <v>0</v>
      </c>
      <c r="N89" s="164">
        <f t="shared" si="30"/>
        <v>0</v>
      </c>
      <c r="O89" s="399">
        <f t="shared" si="31"/>
        <v>2120256.25</v>
      </c>
      <c r="P89" s="392">
        <f t="shared" si="42"/>
        <v>0</v>
      </c>
      <c r="Q89" s="164">
        <f t="shared" si="32"/>
        <v>33000</v>
      </c>
      <c r="R89" s="164">
        <f t="shared" si="33"/>
        <v>0</v>
      </c>
      <c r="S89" s="164">
        <f t="shared" si="34"/>
        <v>39175</v>
      </c>
      <c r="T89" s="164">
        <f t="shared" si="35"/>
        <v>0</v>
      </c>
      <c r="U89" s="164">
        <f t="shared" si="36"/>
        <v>2192431.25</v>
      </c>
      <c r="V89" s="393">
        <f t="shared" si="37"/>
        <v>72175</v>
      </c>
      <c r="W89" s="393">
        <f t="shared" si="38"/>
        <v>2120256.25</v>
      </c>
      <c r="Y89" s="393">
        <f t="shared" si="43"/>
        <v>0</v>
      </c>
      <c r="Z89" s="393">
        <f t="shared" si="44"/>
        <v>2120256.25</v>
      </c>
      <c r="AD89" s="395">
        <f>IF(AH89&gt;AH88,AD88,IF(AD88&lt;MiscData!$F$1,EOMONTH(AD88,1),EOMONTH(AD88,-11)))</f>
        <v>42035</v>
      </c>
      <c r="AE89" s="389" t="str">
        <f t="shared" si="39"/>
        <v>20140101ODL</v>
      </c>
      <c r="AF89" s="437" t="str">
        <f t="shared" si="40"/>
        <v>20140101ODL</v>
      </c>
      <c r="AG89" s="438"/>
      <c r="AH89" s="34">
        <f>IF(AH88=MiscData!$AB$91,1,AH88+1)</f>
        <v>88</v>
      </c>
      <c r="AI89" s="34">
        <f>IF(AD89&lt;=MiscData!$B$23,MiscData!$C$23,IF(AD89&lt;=MiscData!$B$24,MiscData!$C$24,MiscData!$C$25))</f>
        <v>20140101</v>
      </c>
      <c r="AK89" s="439" t="str">
        <f>VLOOKUP(AM89,MiscData!$AB$4:$ACB$113,2,FALSE)</f>
        <v>ODL</v>
      </c>
      <c r="AL89" s="439" t="str">
        <f>VLOOKUP(AM89,MiscData!$AB$4:$AE$115,4,FALSE)</f>
        <v>ODL</v>
      </c>
      <c r="AM89" s="34">
        <f>IF(AM88=MiscData!$AB$91,1,AM88+1)</f>
        <v>88</v>
      </c>
    </row>
    <row r="90" spans="1:39">
      <c r="A90" s="389">
        <f t="shared" si="45"/>
        <v>89</v>
      </c>
      <c r="B90" s="395" t="str">
        <f t="shared" si="23"/>
        <v>Feb 2015</v>
      </c>
      <c r="C90" s="396" t="str">
        <f t="shared" si="24"/>
        <v>LS</v>
      </c>
      <c r="D90" s="396" t="str">
        <f t="shared" si="25"/>
        <v>KUUM_300</v>
      </c>
      <c r="E90" s="394">
        <f t="shared" si="26"/>
        <v>0</v>
      </c>
      <c r="F90" s="397">
        <v>0</v>
      </c>
      <c r="G90" s="394">
        <f t="shared" si="27"/>
        <v>0</v>
      </c>
      <c r="H90" s="394">
        <v>0</v>
      </c>
      <c r="I90" s="390">
        <f t="shared" si="28"/>
        <v>22.49</v>
      </c>
      <c r="J90" s="390">
        <f t="shared" si="29"/>
        <v>0.58000000000000185</v>
      </c>
      <c r="K90" s="391">
        <f t="shared" si="41"/>
        <v>0</v>
      </c>
      <c r="L90" s="398">
        <v>0</v>
      </c>
      <c r="M90" s="398">
        <v>0</v>
      </c>
      <c r="N90" s="164">
        <f t="shared" si="30"/>
        <v>0</v>
      </c>
      <c r="O90" s="399">
        <f t="shared" si="31"/>
        <v>0</v>
      </c>
      <c r="P90" s="392">
        <f t="shared" si="42"/>
        <v>1</v>
      </c>
      <c r="Q90" s="164">
        <f t="shared" si="32"/>
        <v>0</v>
      </c>
      <c r="R90" s="164">
        <f t="shared" si="33"/>
        <v>0</v>
      </c>
      <c r="S90" s="164">
        <f t="shared" si="34"/>
        <v>0</v>
      </c>
      <c r="T90" s="164">
        <f t="shared" si="35"/>
        <v>0</v>
      </c>
      <c r="U90" s="164">
        <f t="shared" si="36"/>
        <v>0</v>
      </c>
      <c r="V90" s="393">
        <f t="shared" si="37"/>
        <v>0</v>
      </c>
      <c r="W90" s="393">
        <f t="shared" si="38"/>
        <v>0</v>
      </c>
      <c r="Y90" s="393">
        <f t="shared" si="43"/>
        <v>0</v>
      </c>
      <c r="Z90" s="393">
        <f t="shared" si="44"/>
        <v>0</v>
      </c>
      <c r="AD90" s="395">
        <f>IF(AH90&gt;AH89,AD89,IF(AD89&lt;MiscData!$F$1,EOMONTH(AD89,1),EOMONTH(AD89,-11)))</f>
        <v>42063</v>
      </c>
      <c r="AE90" s="389" t="str">
        <f t="shared" si="39"/>
        <v>20140101KUUM_300</v>
      </c>
      <c r="AF90" s="437" t="str">
        <f t="shared" si="40"/>
        <v>20140101LS</v>
      </c>
      <c r="AG90" s="438"/>
      <c r="AH90" s="34">
        <f>IF(AH89=MiscData!$AB$91,1,AH89+1)</f>
        <v>1</v>
      </c>
      <c r="AI90" s="34">
        <f>IF(AD90&lt;=MiscData!$B$23,MiscData!$C$23,IF(AD90&lt;=MiscData!$B$24,MiscData!$C$24,MiscData!$C$25))</f>
        <v>20140101</v>
      </c>
      <c r="AK90" s="439" t="str">
        <f>VLOOKUP(AM90,MiscData!$AB$4:$ACB$113,2,FALSE)</f>
        <v>KUUM_300</v>
      </c>
      <c r="AL90" s="439" t="str">
        <f>VLOOKUP(AM90,MiscData!$AB$4:$AE$115,4,FALSE)</f>
        <v>LS</v>
      </c>
      <c r="AM90" s="34">
        <f>IF(AM89=MiscData!$AB$91,1,AM89+1)</f>
        <v>1</v>
      </c>
    </row>
    <row r="91" spans="1:39">
      <c r="A91" s="389">
        <f t="shared" si="45"/>
        <v>90</v>
      </c>
      <c r="B91" s="395" t="str">
        <f t="shared" si="23"/>
        <v>Feb 2015</v>
      </c>
      <c r="C91" s="396" t="str">
        <f t="shared" si="24"/>
        <v>LS</v>
      </c>
      <c r="D91" s="396" t="str">
        <f t="shared" si="25"/>
        <v>KUUM_301</v>
      </c>
      <c r="E91" s="394">
        <f t="shared" si="26"/>
        <v>0</v>
      </c>
      <c r="F91" s="397">
        <v>0</v>
      </c>
      <c r="G91" s="394">
        <f t="shared" si="27"/>
        <v>0</v>
      </c>
      <c r="H91" s="394">
        <v>0</v>
      </c>
      <c r="I91" s="390">
        <f t="shared" si="28"/>
        <v>23.5</v>
      </c>
      <c r="J91" s="390">
        <f t="shared" si="29"/>
        <v>1.129999999999999</v>
      </c>
      <c r="K91" s="391">
        <f t="shared" si="41"/>
        <v>0</v>
      </c>
      <c r="L91" s="398">
        <v>0</v>
      </c>
      <c r="M91" s="398">
        <v>0</v>
      </c>
      <c r="N91" s="164">
        <f t="shared" si="30"/>
        <v>0</v>
      </c>
      <c r="O91" s="399">
        <f t="shared" si="31"/>
        <v>0</v>
      </c>
      <c r="P91" s="392">
        <f t="shared" si="42"/>
        <v>1</v>
      </c>
      <c r="Q91" s="164">
        <f t="shared" si="32"/>
        <v>0</v>
      </c>
      <c r="R91" s="164">
        <f t="shared" si="33"/>
        <v>0</v>
      </c>
      <c r="S91" s="164">
        <f t="shared" si="34"/>
        <v>0</v>
      </c>
      <c r="T91" s="164">
        <f t="shared" si="35"/>
        <v>0</v>
      </c>
      <c r="U91" s="164">
        <f t="shared" si="36"/>
        <v>0</v>
      </c>
      <c r="V91" s="393">
        <f t="shared" si="37"/>
        <v>0</v>
      </c>
      <c r="W91" s="393">
        <f t="shared" si="38"/>
        <v>0</v>
      </c>
      <c r="Y91" s="393">
        <f t="shared" si="43"/>
        <v>0</v>
      </c>
      <c r="Z91" s="393">
        <f t="shared" si="44"/>
        <v>0</v>
      </c>
      <c r="AD91" s="395">
        <f>IF(AH91&gt;AH90,AD90,IF(AD90&lt;MiscData!$F$1,EOMONTH(AD90,1),EOMONTH(AD90,-11)))</f>
        <v>42063</v>
      </c>
      <c r="AE91" s="389" t="str">
        <f t="shared" si="39"/>
        <v>20140101KUUM_301</v>
      </c>
      <c r="AF91" s="437" t="str">
        <f t="shared" si="40"/>
        <v>20140101LS</v>
      </c>
      <c r="AG91" s="438"/>
      <c r="AH91" s="34">
        <f>IF(AH90=MiscData!$AB$91,1,AH90+1)</f>
        <v>2</v>
      </c>
      <c r="AI91" s="34">
        <f>IF(AD91&lt;=MiscData!$B$23,MiscData!$C$23,IF(AD91&lt;=MiscData!$B$24,MiscData!$C$24,MiscData!$C$25))</f>
        <v>20140101</v>
      </c>
      <c r="AK91" s="439" t="str">
        <f>VLOOKUP(AM91,MiscData!$AB$4:$ACB$113,2,FALSE)</f>
        <v>KUUM_301</v>
      </c>
      <c r="AL91" s="439" t="str">
        <f>VLOOKUP(AM91,MiscData!$AB$4:$AE$115,4,FALSE)</f>
        <v>LS</v>
      </c>
      <c r="AM91" s="34">
        <f>IF(AM90=MiscData!$AB$91,1,AM90+1)</f>
        <v>2</v>
      </c>
    </row>
    <row r="92" spans="1:39">
      <c r="A92" s="389">
        <f t="shared" si="45"/>
        <v>91</v>
      </c>
      <c r="B92" s="395" t="str">
        <f t="shared" si="23"/>
        <v>Feb 2015</v>
      </c>
      <c r="C92" s="396" t="str">
        <f t="shared" si="24"/>
        <v>LS</v>
      </c>
      <c r="D92" s="396" t="str">
        <f t="shared" si="25"/>
        <v>KUUM_360</v>
      </c>
      <c r="E92" s="394">
        <f t="shared" si="26"/>
        <v>177</v>
      </c>
      <c r="F92" s="397">
        <v>0</v>
      </c>
      <c r="G92" s="394">
        <f t="shared" si="27"/>
        <v>0</v>
      </c>
      <c r="H92" s="394">
        <v>0</v>
      </c>
      <c r="I92" s="390">
        <f t="shared" si="28"/>
        <v>55.33</v>
      </c>
      <c r="J92" s="390">
        <f t="shared" si="29"/>
        <v>1.75</v>
      </c>
      <c r="K92" s="391">
        <f t="shared" si="41"/>
        <v>9793.41</v>
      </c>
      <c r="L92" s="398">
        <v>0</v>
      </c>
      <c r="M92" s="398">
        <v>0</v>
      </c>
      <c r="N92" s="164">
        <f t="shared" si="30"/>
        <v>9793.41</v>
      </c>
      <c r="O92" s="399">
        <f t="shared" si="31"/>
        <v>0</v>
      </c>
      <c r="P92" s="392">
        <f t="shared" si="42"/>
        <v>0</v>
      </c>
      <c r="Q92" s="164">
        <f t="shared" si="32"/>
        <v>0</v>
      </c>
      <c r="R92" s="164">
        <f t="shared" si="33"/>
        <v>0</v>
      </c>
      <c r="S92" s="164">
        <f t="shared" si="34"/>
        <v>0</v>
      </c>
      <c r="T92" s="164">
        <f t="shared" si="35"/>
        <v>0</v>
      </c>
      <c r="U92" s="164">
        <f t="shared" si="36"/>
        <v>0</v>
      </c>
      <c r="V92" s="393">
        <f t="shared" si="37"/>
        <v>9793.41</v>
      </c>
      <c r="W92" s="393">
        <f t="shared" si="38"/>
        <v>-9793.41</v>
      </c>
      <c r="Y92" s="393">
        <f t="shared" si="43"/>
        <v>309.75</v>
      </c>
      <c r="Z92" s="393">
        <f t="shared" si="44"/>
        <v>-309.75</v>
      </c>
      <c r="AD92" s="395">
        <f>IF(AH92&gt;AH91,AD91,IF(AD91&lt;MiscData!$F$1,EOMONTH(AD91,1),EOMONTH(AD91,-11)))</f>
        <v>42063</v>
      </c>
      <c r="AE92" s="389" t="str">
        <f t="shared" si="39"/>
        <v>20140101KUUM_360</v>
      </c>
      <c r="AF92" s="437" t="str">
        <f t="shared" si="40"/>
        <v>20140101LS</v>
      </c>
      <c r="AG92" s="438"/>
      <c r="AH92" s="34">
        <f>IF(AH91=MiscData!$AB$91,1,AH91+1)</f>
        <v>3</v>
      </c>
      <c r="AI92" s="34">
        <f>IF(AD92&lt;=MiscData!$B$23,MiscData!$C$23,IF(AD92&lt;=MiscData!$B$24,MiscData!$C$24,MiscData!$C$25))</f>
        <v>20140101</v>
      </c>
      <c r="AK92" s="439" t="str">
        <f>VLOOKUP(AM92,MiscData!$AB$4:$ACB$113,2,FALSE)</f>
        <v>KUUM_360</v>
      </c>
      <c r="AL92" s="439" t="str">
        <f>VLOOKUP(AM92,MiscData!$AB$4:$AE$115,4,FALSE)</f>
        <v>LS</v>
      </c>
      <c r="AM92" s="34">
        <f>IF(AM91=MiscData!$AB$91,1,AM91+1)</f>
        <v>3</v>
      </c>
    </row>
    <row r="93" spans="1:39">
      <c r="A93" s="389">
        <f t="shared" si="45"/>
        <v>92</v>
      </c>
      <c r="B93" s="395" t="str">
        <f t="shared" si="23"/>
        <v>Feb 2015</v>
      </c>
      <c r="C93" s="396" t="str">
        <f t="shared" si="24"/>
        <v>LS</v>
      </c>
      <c r="D93" s="396" t="str">
        <f t="shared" si="25"/>
        <v>KUUM_361</v>
      </c>
      <c r="E93" s="394">
        <f t="shared" si="26"/>
        <v>25</v>
      </c>
      <c r="F93" s="397">
        <v>0</v>
      </c>
      <c r="G93" s="394">
        <f t="shared" si="27"/>
        <v>0</v>
      </c>
      <c r="H93" s="394">
        <v>0</v>
      </c>
      <c r="I93" s="390">
        <f t="shared" si="28"/>
        <v>83.16</v>
      </c>
      <c r="J93" s="390">
        <f t="shared" si="29"/>
        <v>1.75</v>
      </c>
      <c r="K93" s="391">
        <f t="shared" si="41"/>
        <v>2079</v>
      </c>
      <c r="L93" s="398">
        <v>0</v>
      </c>
      <c r="M93" s="398">
        <v>0</v>
      </c>
      <c r="N93" s="164">
        <f t="shared" si="30"/>
        <v>2079</v>
      </c>
      <c r="O93" s="399">
        <f t="shared" si="31"/>
        <v>0</v>
      </c>
      <c r="P93" s="392">
        <f t="shared" si="42"/>
        <v>0</v>
      </c>
      <c r="Q93" s="164">
        <f t="shared" si="32"/>
        <v>0</v>
      </c>
      <c r="R93" s="164">
        <f t="shared" si="33"/>
        <v>0</v>
      </c>
      <c r="S93" s="164">
        <f t="shared" si="34"/>
        <v>0</v>
      </c>
      <c r="T93" s="164">
        <f t="shared" si="35"/>
        <v>0</v>
      </c>
      <c r="U93" s="164">
        <f t="shared" si="36"/>
        <v>0</v>
      </c>
      <c r="V93" s="393">
        <f t="shared" si="37"/>
        <v>2079</v>
      </c>
      <c r="W93" s="393">
        <f t="shared" si="38"/>
        <v>-2079</v>
      </c>
      <c r="Y93" s="393">
        <f t="shared" si="43"/>
        <v>43.75</v>
      </c>
      <c r="Z93" s="393">
        <f t="shared" si="44"/>
        <v>-43.75</v>
      </c>
      <c r="AD93" s="395">
        <f>IF(AH93&gt;AH92,AD92,IF(AD92&lt;MiscData!$F$1,EOMONTH(AD92,1),EOMONTH(AD92,-11)))</f>
        <v>42063</v>
      </c>
      <c r="AE93" s="389" t="str">
        <f t="shared" si="39"/>
        <v>20140101KUUM_361</v>
      </c>
      <c r="AF93" s="437" t="str">
        <f t="shared" si="40"/>
        <v>20140101LS</v>
      </c>
      <c r="AG93" s="438"/>
      <c r="AH93" s="34">
        <f>IF(AH92=MiscData!$AB$91,1,AH92+1)</f>
        <v>4</v>
      </c>
      <c r="AI93" s="34">
        <f>IF(AD93&lt;=MiscData!$B$23,MiscData!$C$23,IF(AD93&lt;=MiscData!$B$24,MiscData!$C$24,MiscData!$C$25))</f>
        <v>20140101</v>
      </c>
      <c r="AK93" s="439" t="str">
        <f>VLOOKUP(AM93,MiscData!$AB$4:$ACB$113,2,FALSE)</f>
        <v>KUUM_361</v>
      </c>
      <c r="AL93" s="439" t="str">
        <f>VLOOKUP(AM93,MiscData!$AB$4:$AE$115,4,FALSE)</f>
        <v>LS</v>
      </c>
      <c r="AM93" s="34">
        <f>IF(AM92=MiscData!$AB$91,1,AM92+1)</f>
        <v>4</v>
      </c>
    </row>
    <row r="94" spans="1:39">
      <c r="A94" s="389">
        <f t="shared" si="45"/>
        <v>93</v>
      </c>
      <c r="B94" s="395" t="str">
        <f t="shared" si="23"/>
        <v>Feb 2015</v>
      </c>
      <c r="C94" s="396" t="str">
        <f t="shared" si="24"/>
        <v>LS</v>
      </c>
      <c r="D94" s="396" t="str">
        <f t="shared" si="25"/>
        <v>KUUM_362</v>
      </c>
      <c r="E94" s="394">
        <f t="shared" si="26"/>
        <v>43</v>
      </c>
      <c r="F94" s="397">
        <v>0</v>
      </c>
      <c r="G94" s="394">
        <f t="shared" si="27"/>
        <v>0</v>
      </c>
      <c r="H94" s="394">
        <v>0</v>
      </c>
      <c r="I94" s="390">
        <f t="shared" si="28"/>
        <v>59.78</v>
      </c>
      <c r="J94" s="390">
        <f t="shared" si="29"/>
        <v>1.75</v>
      </c>
      <c r="K94" s="391">
        <f t="shared" si="41"/>
        <v>2570.54</v>
      </c>
      <c r="L94" s="398">
        <v>0</v>
      </c>
      <c r="M94" s="398">
        <v>0</v>
      </c>
      <c r="N94" s="164">
        <f t="shared" si="30"/>
        <v>2570.54</v>
      </c>
      <c r="O94" s="399">
        <f t="shared" si="31"/>
        <v>0</v>
      </c>
      <c r="P94" s="392">
        <f t="shared" si="42"/>
        <v>0</v>
      </c>
      <c r="Q94" s="164">
        <f t="shared" si="32"/>
        <v>0</v>
      </c>
      <c r="R94" s="164">
        <f t="shared" si="33"/>
        <v>0</v>
      </c>
      <c r="S94" s="164">
        <f t="shared" si="34"/>
        <v>0</v>
      </c>
      <c r="T94" s="164">
        <f t="shared" si="35"/>
        <v>0</v>
      </c>
      <c r="U94" s="164">
        <f t="shared" si="36"/>
        <v>0</v>
      </c>
      <c r="V94" s="393">
        <f t="shared" si="37"/>
        <v>2570.54</v>
      </c>
      <c r="W94" s="393">
        <f t="shared" si="38"/>
        <v>-2570.54</v>
      </c>
      <c r="Y94" s="393">
        <f t="shared" si="43"/>
        <v>75.25</v>
      </c>
      <c r="Z94" s="393">
        <f t="shared" si="44"/>
        <v>-75.25</v>
      </c>
      <c r="AD94" s="395">
        <f>IF(AH94&gt;AH93,AD93,IF(AD93&lt;MiscData!$F$1,EOMONTH(AD93,1),EOMONTH(AD93,-11)))</f>
        <v>42063</v>
      </c>
      <c r="AE94" s="389" t="str">
        <f t="shared" si="39"/>
        <v>20140101KUUM_362</v>
      </c>
      <c r="AF94" s="437" t="str">
        <f t="shared" si="40"/>
        <v>20140101LS</v>
      </c>
      <c r="AG94" s="438"/>
      <c r="AH94" s="34">
        <f>IF(AH93=MiscData!$AB$91,1,AH93+1)</f>
        <v>5</v>
      </c>
      <c r="AI94" s="34">
        <f>IF(AD94&lt;=MiscData!$B$23,MiscData!$C$23,IF(AD94&lt;=MiscData!$B$24,MiscData!$C$24,MiscData!$C$25))</f>
        <v>20140101</v>
      </c>
      <c r="AK94" s="439" t="str">
        <f>VLOOKUP(AM94,MiscData!$AB$4:$ACB$113,2,FALSE)</f>
        <v>KUUM_362</v>
      </c>
      <c r="AL94" s="439" t="str">
        <f>VLOOKUP(AM94,MiscData!$AB$4:$AE$115,4,FALSE)</f>
        <v>LS</v>
      </c>
      <c r="AM94" s="34">
        <f>IF(AM93=MiscData!$AB$91,1,AM93+1)</f>
        <v>5</v>
      </c>
    </row>
    <row r="95" spans="1:39">
      <c r="A95" s="389">
        <f t="shared" si="45"/>
        <v>94</v>
      </c>
      <c r="B95" s="395" t="str">
        <f t="shared" si="23"/>
        <v>Feb 2015</v>
      </c>
      <c r="C95" s="396" t="str">
        <f t="shared" si="24"/>
        <v>LS</v>
      </c>
      <c r="D95" s="396" t="str">
        <f t="shared" si="25"/>
        <v>KUUM_363</v>
      </c>
      <c r="E95" s="394">
        <f t="shared" si="26"/>
        <v>5</v>
      </c>
      <c r="F95" s="397">
        <v>0</v>
      </c>
      <c r="G95" s="394">
        <f t="shared" si="27"/>
        <v>0</v>
      </c>
      <c r="H95" s="394">
        <v>0</v>
      </c>
      <c r="I95" s="390">
        <f t="shared" si="28"/>
        <v>61.75</v>
      </c>
      <c r="J95" s="390">
        <f t="shared" si="29"/>
        <v>1.75</v>
      </c>
      <c r="K95" s="391">
        <f t="shared" si="41"/>
        <v>308.75</v>
      </c>
      <c r="L95" s="398">
        <v>0</v>
      </c>
      <c r="M95" s="398">
        <v>0</v>
      </c>
      <c r="N95" s="164">
        <f t="shared" si="30"/>
        <v>308.75</v>
      </c>
      <c r="O95" s="399">
        <f t="shared" si="31"/>
        <v>0</v>
      </c>
      <c r="P95" s="392">
        <f t="shared" si="42"/>
        <v>0</v>
      </c>
      <c r="Q95" s="164">
        <f t="shared" si="32"/>
        <v>0</v>
      </c>
      <c r="R95" s="164">
        <f t="shared" si="33"/>
        <v>0</v>
      </c>
      <c r="S95" s="164">
        <f t="shared" si="34"/>
        <v>0</v>
      </c>
      <c r="T95" s="164">
        <f t="shared" si="35"/>
        <v>0</v>
      </c>
      <c r="U95" s="164">
        <f t="shared" si="36"/>
        <v>0</v>
      </c>
      <c r="V95" s="393">
        <f t="shared" si="37"/>
        <v>308.75</v>
      </c>
      <c r="W95" s="393">
        <f t="shared" si="38"/>
        <v>-308.75</v>
      </c>
      <c r="Y95" s="393">
        <f t="shared" si="43"/>
        <v>8.75</v>
      </c>
      <c r="Z95" s="393">
        <f t="shared" si="44"/>
        <v>-8.75</v>
      </c>
      <c r="AD95" s="395">
        <f>IF(AH95&gt;AH94,AD94,IF(AD94&lt;MiscData!$F$1,EOMONTH(AD94,1),EOMONTH(AD94,-11)))</f>
        <v>42063</v>
      </c>
      <c r="AE95" s="389" t="str">
        <f t="shared" si="39"/>
        <v>20140101KUUM_363</v>
      </c>
      <c r="AF95" s="437" t="str">
        <f t="shared" si="40"/>
        <v>20140101LS</v>
      </c>
      <c r="AG95" s="438"/>
      <c r="AH95" s="34">
        <f>IF(AH94=MiscData!$AB$91,1,AH94+1)</f>
        <v>6</v>
      </c>
      <c r="AI95" s="34">
        <f>IF(AD95&lt;=MiscData!$B$23,MiscData!$C$23,IF(AD95&lt;=MiscData!$B$24,MiscData!$C$24,MiscData!$C$25))</f>
        <v>20140101</v>
      </c>
      <c r="AK95" s="439" t="str">
        <f>VLOOKUP(AM95,MiscData!$AB$4:$ACB$113,2,FALSE)</f>
        <v>KUUM_363</v>
      </c>
      <c r="AL95" s="439" t="str">
        <f>VLOOKUP(AM95,MiscData!$AB$4:$AE$115,4,FALSE)</f>
        <v>LS</v>
      </c>
      <c r="AM95" s="34">
        <f>IF(AM94=MiscData!$AB$91,1,AM94+1)</f>
        <v>6</v>
      </c>
    </row>
    <row r="96" spans="1:39">
      <c r="A96" s="389">
        <f t="shared" si="45"/>
        <v>95</v>
      </c>
      <c r="B96" s="395" t="str">
        <f t="shared" si="23"/>
        <v>Feb 2015</v>
      </c>
      <c r="C96" s="396" t="str">
        <f t="shared" si="24"/>
        <v>LS</v>
      </c>
      <c r="D96" s="396" t="str">
        <f t="shared" si="25"/>
        <v>KUUM_364</v>
      </c>
      <c r="E96" s="394">
        <f t="shared" si="26"/>
        <v>1</v>
      </c>
      <c r="F96" s="397">
        <v>0</v>
      </c>
      <c r="G96" s="394">
        <f t="shared" si="27"/>
        <v>0</v>
      </c>
      <c r="H96" s="394">
        <v>0</v>
      </c>
      <c r="I96" s="390">
        <f t="shared" si="28"/>
        <v>63.11</v>
      </c>
      <c r="J96" s="390">
        <f t="shared" si="29"/>
        <v>1.75</v>
      </c>
      <c r="K96" s="391">
        <f t="shared" si="41"/>
        <v>63.11</v>
      </c>
      <c r="L96" s="398">
        <v>0</v>
      </c>
      <c r="M96" s="398">
        <v>0</v>
      </c>
      <c r="N96" s="164">
        <f t="shared" si="30"/>
        <v>63.11</v>
      </c>
      <c r="O96" s="399">
        <f t="shared" si="31"/>
        <v>0</v>
      </c>
      <c r="P96" s="392">
        <f t="shared" si="42"/>
        <v>0</v>
      </c>
      <c r="Q96" s="164">
        <f t="shared" si="32"/>
        <v>0</v>
      </c>
      <c r="R96" s="164">
        <f t="shared" si="33"/>
        <v>0</v>
      </c>
      <c r="S96" s="164">
        <f t="shared" si="34"/>
        <v>0</v>
      </c>
      <c r="T96" s="164">
        <f t="shared" si="35"/>
        <v>0</v>
      </c>
      <c r="U96" s="164">
        <f t="shared" si="36"/>
        <v>0</v>
      </c>
      <c r="V96" s="393">
        <f t="shared" si="37"/>
        <v>63.11</v>
      </c>
      <c r="W96" s="393">
        <f t="shared" si="38"/>
        <v>-63.11</v>
      </c>
      <c r="Y96" s="393">
        <f t="shared" si="43"/>
        <v>1.75</v>
      </c>
      <c r="Z96" s="393">
        <f t="shared" si="44"/>
        <v>-1.75</v>
      </c>
      <c r="AD96" s="395">
        <f>IF(AH96&gt;AH95,AD95,IF(AD95&lt;MiscData!$F$1,EOMONTH(AD95,1),EOMONTH(AD95,-11)))</f>
        <v>42063</v>
      </c>
      <c r="AE96" s="389" t="str">
        <f t="shared" si="39"/>
        <v>20140101KUUM_364</v>
      </c>
      <c r="AF96" s="437" t="str">
        <f t="shared" si="40"/>
        <v>20140101LS</v>
      </c>
      <c r="AG96" s="438"/>
      <c r="AH96" s="34">
        <f>IF(AH95=MiscData!$AB$91,1,AH95+1)</f>
        <v>7</v>
      </c>
      <c r="AI96" s="34">
        <f>IF(AD96&lt;=MiscData!$B$23,MiscData!$C$23,IF(AD96&lt;=MiscData!$B$24,MiscData!$C$24,MiscData!$C$25))</f>
        <v>20140101</v>
      </c>
      <c r="AK96" s="439" t="str">
        <f>VLOOKUP(AM96,MiscData!$AB$4:$ACB$113,2,FALSE)</f>
        <v>KUUM_364</v>
      </c>
      <c r="AL96" s="439" t="str">
        <f>VLOOKUP(AM96,MiscData!$AB$4:$AE$115,4,FALSE)</f>
        <v>LS</v>
      </c>
      <c r="AM96" s="34">
        <f>IF(AM95=MiscData!$AB$91,1,AM95+1)</f>
        <v>7</v>
      </c>
    </row>
    <row r="97" spans="1:39">
      <c r="A97" s="389">
        <f t="shared" si="45"/>
        <v>96</v>
      </c>
      <c r="B97" s="395" t="str">
        <f t="shared" si="23"/>
        <v>Feb 2015</v>
      </c>
      <c r="C97" s="396" t="str">
        <f t="shared" si="24"/>
        <v>LS</v>
      </c>
      <c r="D97" s="396" t="str">
        <f t="shared" si="25"/>
        <v>KUUM_365</v>
      </c>
      <c r="E97" s="394">
        <f t="shared" si="26"/>
        <v>5</v>
      </c>
      <c r="F97" s="397">
        <v>0</v>
      </c>
      <c r="G97" s="394">
        <f t="shared" si="27"/>
        <v>0</v>
      </c>
      <c r="H97" s="394">
        <v>0</v>
      </c>
      <c r="I97" s="390">
        <f t="shared" si="28"/>
        <v>80.94</v>
      </c>
      <c r="J97" s="390">
        <f t="shared" si="29"/>
        <v>1.75</v>
      </c>
      <c r="K97" s="391">
        <f t="shared" si="41"/>
        <v>404.7</v>
      </c>
      <c r="L97" s="398">
        <v>0</v>
      </c>
      <c r="M97" s="398">
        <v>0</v>
      </c>
      <c r="N97" s="164">
        <f t="shared" si="30"/>
        <v>404.7</v>
      </c>
      <c r="O97" s="399">
        <f t="shared" si="31"/>
        <v>0</v>
      </c>
      <c r="P97" s="392">
        <f t="shared" si="42"/>
        <v>0</v>
      </c>
      <c r="Q97" s="164">
        <f t="shared" si="32"/>
        <v>0</v>
      </c>
      <c r="R97" s="164">
        <f t="shared" si="33"/>
        <v>0</v>
      </c>
      <c r="S97" s="164">
        <f t="shared" si="34"/>
        <v>0</v>
      </c>
      <c r="T97" s="164">
        <f t="shared" si="35"/>
        <v>0</v>
      </c>
      <c r="U97" s="164">
        <f t="shared" si="36"/>
        <v>0</v>
      </c>
      <c r="V97" s="393">
        <f t="shared" si="37"/>
        <v>404.7</v>
      </c>
      <c r="W97" s="393">
        <f t="shared" si="38"/>
        <v>-404.7</v>
      </c>
      <c r="Y97" s="393">
        <f t="shared" si="43"/>
        <v>8.75</v>
      </c>
      <c r="Z97" s="393">
        <f t="shared" si="44"/>
        <v>-8.75</v>
      </c>
      <c r="AD97" s="395">
        <f>IF(AH97&gt;AH96,AD96,IF(AD96&lt;MiscData!$F$1,EOMONTH(AD96,1),EOMONTH(AD96,-11)))</f>
        <v>42063</v>
      </c>
      <c r="AE97" s="389" t="str">
        <f>CONCATENATE(AI97&amp;AK97)</f>
        <v>20140101KUUM_365</v>
      </c>
      <c r="AF97" s="437" t="str">
        <f t="shared" si="40"/>
        <v>20140101LS</v>
      </c>
      <c r="AG97" s="438"/>
      <c r="AH97" s="34">
        <f>IF(AH96=MiscData!$AB$91,1,AH96+1)</f>
        <v>8</v>
      </c>
      <c r="AI97" s="34">
        <f>IF(AD97&lt;=MiscData!$B$23,MiscData!$C$23,IF(AD97&lt;=MiscData!$B$24,MiscData!$C$24,MiscData!$C$25))</f>
        <v>20140101</v>
      </c>
      <c r="AK97" s="439" t="str">
        <f>VLOOKUP(AM97,MiscData!$AB$4:$ACB$113,2,FALSE)</f>
        <v>KUUM_365</v>
      </c>
      <c r="AL97" s="439" t="str">
        <f>VLOOKUP(AM97,MiscData!$AB$4:$AE$115,4,FALSE)</f>
        <v>LS</v>
      </c>
      <c r="AM97" s="34">
        <f>IF(AM96=MiscData!$AB$91,1,AM96+1)</f>
        <v>8</v>
      </c>
    </row>
    <row r="98" spans="1:39">
      <c r="A98" s="389">
        <f t="shared" si="45"/>
        <v>97</v>
      </c>
      <c r="B98" s="395" t="str">
        <f t="shared" si="23"/>
        <v>Feb 2015</v>
      </c>
      <c r="C98" s="396" t="str">
        <f t="shared" si="24"/>
        <v>LS</v>
      </c>
      <c r="D98" s="396" t="str">
        <f t="shared" si="25"/>
        <v>KUUM_366</v>
      </c>
      <c r="E98" s="394">
        <f t="shared" si="26"/>
        <v>9</v>
      </c>
      <c r="F98" s="397">
        <v>0</v>
      </c>
      <c r="G98" s="394">
        <f t="shared" si="27"/>
        <v>0</v>
      </c>
      <c r="H98" s="394">
        <v>0</v>
      </c>
      <c r="I98" s="390">
        <f t="shared" si="28"/>
        <v>78.97</v>
      </c>
      <c r="J98" s="390">
        <f t="shared" si="29"/>
        <v>1.75</v>
      </c>
      <c r="K98" s="391">
        <f t="shared" si="41"/>
        <v>710.73</v>
      </c>
      <c r="L98" s="398">
        <v>0</v>
      </c>
      <c r="M98" s="398">
        <v>0</v>
      </c>
      <c r="N98" s="164">
        <f t="shared" si="30"/>
        <v>710.73</v>
      </c>
      <c r="O98" s="399">
        <f t="shared" si="31"/>
        <v>0</v>
      </c>
      <c r="P98" s="392">
        <f t="shared" si="42"/>
        <v>0</v>
      </c>
      <c r="Q98" s="164">
        <f t="shared" si="32"/>
        <v>0</v>
      </c>
      <c r="R98" s="164">
        <f t="shared" si="33"/>
        <v>0</v>
      </c>
      <c r="S98" s="164">
        <f t="shared" si="34"/>
        <v>0</v>
      </c>
      <c r="T98" s="164">
        <f t="shared" si="35"/>
        <v>0</v>
      </c>
      <c r="U98" s="164">
        <f t="shared" si="36"/>
        <v>0</v>
      </c>
      <c r="V98" s="393">
        <f t="shared" si="37"/>
        <v>710.73</v>
      </c>
      <c r="W98" s="393">
        <f t="shared" si="38"/>
        <v>-710.73</v>
      </c>
      <c r="Y98" s="393">
        <f t="shared" si="43"/>
        <v>15.75</v>
      </c>
      <c r="Z98" s="393">
        <f t="shared" si="44"/>
        <v>-15.75</v>
      </c>
      <c r="AD98" s="395">
        <f>IF(AH98&gt;AH97,AD97,IF(AD97&lt;MiscData!$F$1,EOMONTH(AD97,1),EOMONTH(AD97,-11)))</f>
        <v>42063</v>
      </c>
      <c r="AE98" s="389" t="str">
        <f t="shared" si="39"/>
        <v>20140101KUUM_366</v>
      </c>
      <c r="AF98" s="437" t="str">
        <f t="shared" si="40"/>
        <v>20140101LS</v>
      </c>
      <c r="AG98" s="438"/>
      <c r="AH98" s="34">
        <f>IF(AH97=MiscData!$AB$91,1,AH97+1)</f>
        <v>9</v>
      </c>
      <c r="AI98" s="34">
        <f>IF(AD98&lt;=MiscData!$B$23,MiscData!$C$23,IF(AD98&lt;=MiscData!$B$24,MiscData!$C$24,MiscData!$C$25))</f>
        <v>20140101</v>
      </c>
      <c r="AK98" s="439" t="str">
        <f>VLOOKUP(AM98,MiscData!$AB$4:$ACB$113,2,FALSE)</f>
        <v>KUUM_366</v>
      </c>
      <c r="AL98" s="439" t="str">
        <f>VLOOKUP(AM98,MiscData!$AB$4:$AE$115,4,FALSE)</f>
        <v>LS</v>
      </c>
      <c r="AM98" s="34">
        <f>IF(AM97=MiscData!$AB$91,1,AM97+1)</f>
        <v>9</v>
      </c>
    </row>
    <row r="99" spans="1:39">
      <c r="A99" s="389">
        <f t="shared" si="45"/>
        <v>98</v>
      </c>
      <c r="B99" s="395" t="str">
        <f t="shared" si="23"/>
        <v>Feb 2015</v>
      </c>
      <c r="C99" s="396" t="str">
        <f t="shared" si="24"/>
        <v>LS</v>
      </c>
      <c r="D99" s="396" t="str">
        <f t="shared" si="25"/>
        <v>KUUM_367</v>
      </c>
      <c r="E99" s="394">
        <f t="shared" si="26"/>
        <v>25</v>
      </c>
      <c r="F99" s="397">
        <v>0</v>
      </c>
      <c r="G99" s="394">
        <f t="shared" si="27"/>
        <v>0</v>
      </c>
      <c r="H99" s="394">
        <v>0</v>
      </c>
      <c r="I99" s="390">
        <f t="shared" si="28"/>
        <v>61.230000000000004</v>
      </c>
      <c r="J99" s="390">
        <f t="shared" si="29"/>
        <v>1.75</v>
      </c>
      <c r="K99" s="391">
        <f t="shared" si="41"/>
        <v>1530.75</v>
      </c>
      <c r="L99" s="398">
        <v>0</v>
      </c>
      <c r="M99" s="398">
        <v>0</v>
      </c>
      <c r="N99" s="164">
        <f t="shared" si="30"/>
        <v>1530.75</v>
      </c>
      <c r="O99" s="399">
        <f t="shared" si="31"/>
        <v>0</v>
      </c>
      <c r="P99" s="392">
        <f t="shared" si="42"/>
        <v>0</v>
      </c>
      <c r="Q99" s="164">
        <f t="shared" si="32"/>
        <v>0</v>
      </c>
      <c r="R99" s="164">
        <f t="shared" si="33"/>
        <v>0</v>
      </c>
      <c r="S99" s="164">
        <f t="shared" si="34"/>
        <v>0</v>
      </c>
      <c r="T99" s="164">
        <f t="shared" si="35"/>
        <v>0</v>
      </c>
      <c r="U99" s="164">
        <f t="shared" si="36"/>
        <v>0</v>
      </c>
      <c r="V99" s="393">
        <f t="shared" si="37"/>
        <v>1530.75</v>
      </c>
      <c r="W99" s="393">
        <f t="shared" si="38"/>
        <v>-1530.75</v>
      </c>
      <c r="Y99" s="393">
        <f t="shared" si="43"/>
        <v>43.75</v>
      </c>
      <c r="Z99" s="393">
        <f t="shared" si="44"/>
        <v>-43.75</v>
      </c>
      <c r="AD99" s="395">
        <f>IF(AH99&gt;AH98,AD98,IF(AD98&lt;MiscData!$F$1,EOMONTH(AD98,1),EOMONTH(AD98,-11)))</f>
        <v>42063</v>
      </c>
      <c r="AE99" s="389" t="str">
        <f t="shared" si="39"/>
        <v>20140101KUUM_367</v>
      </c>
      <c r="AF99" s="437" t="str">
        <f t="shared" si="40"/>
        <v>20140101LS</v>
      </c>
      <c r="AG99" s="438"/>
      <c r="AH99" s="34">
        <f>IF(AH98=MiscData!$AB$91,1,AH98+1)</f>
        <v>10</v>
      </c>
      <c r="AI99" s="34">
        <f>IF(AD99&lt;=MiscData!$B$23,MiscData!$C$23,IF(AD99&lt;=MiscData!$B$24,MiscData!$C$24,MiscData!$C$25))</f>
        <v>20140101</v>
      </c>
      <c r="AK99" s="439" t="str">
        <f>VLOOKUP(AM99,MiscData!$AB$4:$ACB$113,2,FALSE)</f>
        <v>KUUM_367</v>
      </c>
      <c r="AL99" s="439" t="str">
        <f>VLOOKUP(AM99,MiscData!$AB$4:$AE$115,4,FALSE)</f>
        <v>LS</v>
      </c>
      <c r="AM99" s="34">
        <f>IF(AM98=MiscData!$AB$91,1,AM98+1)</f>
        <v>10</v>
      </c>
    </row>
    <row r="100" spans="1:39">
      <c r="A100" s="389">
        <f t="shared" si="45"/>
        <v>99</v>
      </c>
      <c r="B100" s="395" t="str">
        <f t="shared" si="23"/>
        <v>Feb 2015</v>
      </c>
      <c r="C100" s="396" t="str">
        <f t="shared" si="24"/>
        <v>LS</v>
      </c>
      <c r="D100" s="396" t="str">
        <f t="shared" si="25"/>
        <v>KUUM_368</v>
      </c>
      <c r="E100" s="394">
        <f t="shared" si="26"/>
        <v>1</v>
      </c>
      <c r="F100" s="397">
        <v>0</v>
      </c>
      <c r="G100" s="394">
        <f t="shared" si="27"/>
        <v>0</v>
      </c>
      <c r="H100" s="394">
        <v>0</v>
      </c>
      <c r="I100" s="390">
        <f t="shared" si="28"/>
        <v>56.69</v>
      </c>
      <c r="J100" s="390">
        <f t="shared" si="29"/>
        <v>1.75</v>
      </c>
      <c r="K100" s="391">
        <f t="shared" si="41"/>
        <v>56.69</v>
      </c>
      <c r="L100" s="398">
        <v>0</v>
      </c>
      <c r="M100" s="398">
        <v>0</v>
      </c>
      <c r="N100" s="164">
        <f t="shared" si="30"/>
        <v>56.69</v>
      </c>
      <c r="O100" s="399">
        <f t="shared" si="31"/>
        <v>0</v>
      </c>
      <c r="P100" s="392">
        <f t="shared" si="42"/>
        <v>0</v>
      </c>
      <c r="Q100" s="164">
        <f t="shared" si="32"/>
        <v>0</v>
      </c>
      <c r="R100" s="164">
        <f t="shared" si="33"/>
        <v>0</v>
      </c>
      <c r="S100" s="164">
        <f t="shared" si="34"/>
        <v>0</v>
      </c>
      <c r="T100" s="164">
        <f t="shared" si="35"/>
        <v>0</v>
      </c>
      <c r="U100" s="164">
        <f t="shared" si="36"/>
        <v>0</v>
      </c>
      <c r="V100" s="393">
        <f t="shared" si="37"/>
        <v>56.69</v>
      </c>
      <c r="W100" s="393">
        <f t="shared" si="38"/>
        <v>-56.69</v>
      </c>
      <c r="Y100" s="393">
        <f t="shared" si="43"/>
        <v>1.75</v>
      </c>
      <c r="Z100" s="393">
        <f t="shared" si="44"/>
        <v>-1.75</v>
      </c>
      <c r="AD100" s="395">
        <f>IF(AH100&gt;AH99,AD99,IF(AD99&lt;MiscData!$F$1,EOMONTH(AD99,1),EOMONTH(AD99,-11)))</f>
        <v>42063</v>
      </c>
      <c r="AE100" s="389" t="str">
        <f t="shared" si="39"/>
        <v>20140101KUUM_368</v>
      </c>
      <c r="AF100" s="437" t="str">
        <f t="shared" si="40"/>
        <v>20140101LS</v>
      </c>
      <c r="AG100" s="438"/>
      <c r="AH100" s="34">
        <f>IF(AH99=MiscData!$AB$91,1,AH99+1)</f>
        <v>11</v>
      </c>
      <c r="AI100" s="34">
        <f>IF(AD100&lt;=MiscData!$B$23,MiscData!$C$23,IF(AD100&lt;=MiscData!$B$24,MiscData!$C$24,MiscData!$C$25))</f>
        <v>20140101</v>
      </c>
      <c r="AK100" s="439" t="str">
        <f>VLOOKUP(AM100,MiscData!$AB$4:$ACB$113,2,FALSE)</f>
        <v>KUUM_368</v>
      </c>
      <c r="AL100" s="439" t="str">
        <f>VLOOKUP(AM100,MiscData!$AB$4:$AE$115,4,FALSE)</f>
        <v>LS</v>
      </c>
      <c r="AM100" s="34">
        <f>IF(AM99=MiscData!$AB$91,1,AM99+1)</f>
        <v>11</v>
      </c>
    </row>
    <row r="101" spans="1:39">
      <c r="A101" s="389">
        <f t="shared" si="45"/>
        <v>100</v>
      </c>
      <c r="B101" s="395" t="str">
        <f t="shared" si="23"/>
        <v>Feb 2015</v>
      </c>
      <c r="C101" s="396" t="str">
        <f t="shared" si="24"/>
        <v>LS</v>
      </c>
      <c r="D101" s="396" t="str">
        <f t="shared" si="25"/>
        <v>KUUM_370</v>
      </c>
      <c r="E101" s="394">
        <f t="shared" si="26"/>
        <v>15</v>
      </c>
      <c r="F101" s="397">
        <v>0</v>
      </c>
      <c r="G101" s="394">
        <f t="shared" si="27"/>
        <v>0</v>
      </c>
      <c r="H101" s="394">
        <v>0</v>
      </c>
      <c r="I101" s="390">
        <f t="shared" si="28"/>
        <v>74.52</v>
      </c>
      <c r="J101" s="390">
        <f t="shared" si="29"/>
        <v>1.75</v>
      </c>
      <c r="K101" s="391">
        <f t="shared" si="41"/>
        <v>1117.8</v>
      </c>
      <c r="L101" s="398">
        <v>0</v>
      </c>
      <c r="M101" s="398">
        <v>0</v>
      </c>
      <c r="N101" s="164">
        <f t="shared" si="30"/>
        <v>1117.8</v>
      </c>
      <c r="O101" s="399">
        <f t="shared" si="31"/>
        <v>0</v>
      </c>
      <c r="P101" s="392">
        <f t="shared" si="42"/>
        <v>0</v>
      </c>
      <c r="Q101" s="164">
        <f t="shared" si="32"/>
        <v>0</v>
      </c>
      <c r="R101" s="164">
        <f t="shared" si="33"/>
        <v>0</v>
      </c>
      <c r="S101" s="164">
        <f t="shared" si="34"/>
        <v>0</v>
      </c>
      <c r="T101" s="164">
        <f t="shared" si="35"/>
        <v>0</v>
      </c>
      <c r="U101" s="164">
        <f t="shared" si="36"/>
        <v>0</v>
      </c>
      <c r="V101" s="393">
        <f t="shared" si="37"/>
        <v>1117.8</v>
      </c>
      <c r="W101" s="393">
        <f t="shared" si="38"/>
        <v>-1117.8</v>
      </c>
      <c r="Y101" s="393">
        <f t="shared" si="43"/>
        <v>26.25</v>
      </c>
      <c r="Z101" s="393">
        <f t="shared" si="44"/>
        <v>-26.25</v>
      </c>
      <c r="AD101" s="395">
        <f>IF(AH101&gt;AH100,AD100,IF(AD100&lt;MiscData!$F$1,EOMONTH(AD100,1),EOMONTH(AD100,-11)))</f>
        <v>42063</v>
      </c>
      <c r="AE101" s="389" t="str">
        <f t="shared" si="39"/>
        <v>20140101KUUM_370</v>
      </c>
      <c r="AF101" s="437" t="str">
        <f t="shared" si="40"/>
        <v>20140101LS</v>
      </c>
      <c r="AG101" s="438"/>
      <c r="AH101" s="34">
        <f>IF(AH100=MiscData!$AB$91,1,AH100+1)</f>
        <v>12</v>
      </c>
      <c r="AI101" s="34">
        <f>IF(AD101&lt;=MiscData!$B$23,MiscData!$C$23,IF(AD101&lt;=MiscData!$B$24,MiscData!$C$24,MiscData!$C$25))</f>
        <v>20140101</v>
      </c>
      <c r="AK101" s="439" t="str">
        <f>VLOOKUP(AM101,MiscData!$AB$4:$ACB$113,2,FALSE)</f>
        <v>KUUM_370</v>
      </c>
      <c r="AL101" s="439" t="str">
        <f>VLOOKUP(AM101,MiscData!$AB$4:$AE$115,4,FALSE)</f>
        <v>LS</v>
      </c>
      <c r="AM101" s="34">
        <f>IF(AM100=MiscData!$AB$91,1,AM100+1)</f>
        <v>12</v>
      </c>
    </row>
    <row r="102" spans="1:39">
      <c r="A102" s="389">
        <f t="shared" si="45"/>
        <v>101</v>
      </c>
      <c r="B102" s="395" t="str">
        <f t="shared" si="23"/>
        <v>Feb 2015</v>
      </c>
      <c r="C102" s="396" t="str">
        <f t="shared" si="24"/>
        <v>LS</v>
      </c>
      <c r="D102" s="396" t="str">
        <f t="shared" si="25"/>
        <v>KUUM_372</v>
      </c>
      <c r="E102" s="394">
        <f t="shared" si="26"/>
        <v>1</v>
      </c>
      <c r="F102" s="397">
        <v>0</v>
      </c>
      <c r="G102" s="394">
        <f t="shared" si="27"/>
        <v>0</v>
      </c>
      <c r="H102" s="394">
        <v>0</v>
      </c>
      <c r="I102" s="390">
        <f t="shared" si="28"/>
        <v>82.3</v>
      </c>
      <c r="J102" s="390">
        <f t="shared" si="29"/>
        <v>1.75</v>
      </c>
      <c r="K102" s="391">
        <f t="shared" si="41"/>
        <v>82.3</v>
      </c>
      <c r="L102" s="398">
        <v>0</v>
      </c>
      <c r="M102" s="398">
        <v>0</v>
      </c>
      <c r="N102" s="164">
        <f t="shared" si="30"/>
        <v>82.3</v>
      </c>
      <c r="O102" s="399">
        <f t="shared" si="31"/>
        <v>0</v>
      </c>
      <c r="P102" s="392">
        <f t="shared" si="42"/>
        <v>0</v>
      </c>
      <c r="Q102" s="164">
        <f t="shared" si="32"/>
        <v>0</v>
      </c>
      <c r="R102" s="164">
        <f t="shared" si="33"/>
        <v>0</v>
      </c>
      <c r="S102" s="164">
        <f t="shared" si="34"/>
        <v>0</v>
      </c>
      <c r="T102" s="164">
        <f t="shared" si="35"/>
        <v>0</v>
      </c>
      <c r="U102" s="164">
        <f t="shared" si="36"/>
        <v>0</v>
      </c>
      <c r="V102" s="393">
        <f t="shared" si="37"/>
        <v>82.3</v>
      </c>
      <c r="W102" s="393">
        <f t="shared" si="38"/>
        <v>-82.3</v>
      </c>
      <c r="Y102" s="393">
        <f t="shared" si="43"/>
        <v>1.75</v>
      </c>
      <c r="Z102" s="393">
        <f t="shared" si="44"/>
        <v>-1.75</v>
      </c>
      <c r="AD102" s="395">
        <f>IF(AH102&gt;AH101,AD101,IF(AD101&lt;MiscData!$F$1,EOMONTH(AD101,1),EOMONTH(AD101,-11)))</f>
        <v>42063</v>
      </c>
      <c r="AE102" s="389" t="str">
        <f t="shared" si="39"/>
        <v>20140101KUUM_372</v>
      </c>
      <c r="AF102" s="437" t="str">
        <f t="shared" si="40"/>
        <v>20140101LS</v>
      </c>
      <c r="AG102" s="438"/>
      <c r="AH102" s="34">
        <f>IF(AH101=MiscData!$AB$91,1,AH101+1)</f>
        <v>13</v>
      </c>
      <c r="AI102" s="34">
        <f>IF(AD102&lt;=MiscData!$B$23,MiscData!$C$23,IF(AD102&lt;=MiscData!$B$24,MiscData!$C$24,MiscData!$C$25))</f>
        <v>20140101</v>
      </c>
      <c r="AK102" s="439" t="str">
        <f>VLOOKUP(AM102,MiscData!$AB$4:$ACB$113,2,FALSE)</f>
        <v>KUUM_372</v>
      </c>
      <c r="AL102" s="439" t="str">
        <f>VLOOKUP(AM102,MiscData!$AB$4:$AE$115,4,FALSE)</f>
        <v>LS</v>
      </c>
      <c r="AM102" s="34">
        <f>IF(AM101=MiscData!$AB$91,1,AM101+1)</f>
        <v>13</v>
      </c>
    </row>
    <row r="103" spans="1:39">
      <c r="A103" s="389">
        <f t="shared" si="45"/>
        <v>102</v>
      </c>
      <c r="B103" s="395" t="str">
        <f t="shared" si="23"/>
        <v>Feb 2015</v>
      </c>
      <c r="C103" s="396" t="str">
        <f t="shared" si="24"/>
        <v>LS</v>
      </c>
      <c r="D103" s="396" t="str">
        <f t="shared" si="25"/>
        <v>KUUM_373</v>
      </c>
      <c r="E103" s="394">
        <f t="shared" si="26"/>
        <v>20</v>
      </c>
      <c r="F103" s="397">
        <v>0</v>
      </c>
      <c r="G103" s="394">
        <f t="shared" si="27"/>
        <v>0</v>
      </c>
      <c r="H103" s="394">
        <v>0</v>
      </c>
      <c r="I103" s="390">
        <f t="shared" si="28"/>
        <v>74.52</v>
      </c>
      <c r="J103" s="390">
        <f t="shared" si="29"/>
        <v>1.75</v>
      </c>
      <c r="K103" s="391">
        <f t="shared" si="41"/>
        <v>1490.4</v>
      </c>
      <c r="L103" s="398">
        <v>0</v>
      </c>
      <c r="M103" s="398">
        <v>0</v>
      </c>
      <c r="N103" s="164">
        <f t="shared" si="30"/>
        <v>1490.4</v>
      </c>
      <c r="O103" s="399">
        <f t="shared" si="31"/>
        <v>0</v>
      </c>
      <c r="P103" s="392">
        <f t="shared" si="42"/>
        <v>0</v>
      </c>
      <c r="Q103" s="164">
        <f t="shared" si="32"/>
        <v>0</v>
      </c>
      <c r="R103" s="164">
        <f t="shared" si="33"/>
        <v>0</v>
      </c>
      <c r="S103" s="164">
        <f t="shared" si="34"/>
        <v>0</v>
      </c>
      <c r="T103" s="164">
        <f t="shared" si="35"/>
        <v>0</v>
      </c>
      <c r="U103" s="164">
        <f t="shared" si="36"/>
        <v>0</v>
      </c>
      <c r="V103" s="393">
        <f t="shared" si="37"/>
        <v>1490.4</v>
      </c>
      <c r="W103" s="393">
        <f t="shared" si="38"/>
        <v>-1490.4</v>
      </c>
      <c r="Y103" s="393">
        <f t="shared" si="43"/>
        <v>35</v>
      </c>
      <c r="Z103" s="393">
        <f t="shared" si="44"/>
        <v>-35</v>
      </c>
      <c r="AD103" s="395">
        <f>IF(AH103&gt;AH102,AD102,IF(AD102&lt;MiscData!$F$1,EOMONTH(AD102,1),EOMONTH(AD102,-11)))</f>
        <v>42063</v>
      </c>
      <c r="AE103" s="389" t="str">
        <f t="shared" si="39"/>
        <v>20140101KUUM_373</v>
      </c>
      <c r="AF103" s="437" t="str">
        <f t="shared" si="40"/>
        <v>20140101LS</v>
      </c>
      <c r="AG103" s="438"/>
      <c r="AH103" s="34">
        <f>IF(AH102=MiscData!$AB$91,1,AH102+1)</f>
        <v>14</v>
      </c>
      <c r="AI103" s="34">
        <f>IF(AD103&lt;=MiscData!$B$23,MiscData!$C$23,IF(AD103&lt;=MiscData!$B$24,MiscData!$C$24,MiscData!$C$25))</f>
        <v>20140101</v>
      </c>
      <c r="AK103" s="439" t="str">
        <f>VLOOKUP(AM103,MiscData!$AB$4:$ACB$113,2,FALSE)</f>
        <v>KUUM_373</v>
      </c>
      <c r="AL103" s="439" t="str">
        <f>VLOOKUP(AM103,MiscData!$AB$4:$AE$115,4,FALSE)</f>
        <v>LS</v>
      </c>
      <c r="AM103" s="34">
        <f>IF(AM102=MiscData!$AB$91,1,AM102+1)</f>
        <v>14</v>
      </c>
    </row>
    <row r="104" spans="1:39">
      <c r="A104" s="389">
        <f t="shared" si="45"/>
        <v>103</v>
      </c>
      <c r="B104" s="395" t="str">
        <f t="shared" si="23"/>
        <v>Feb 2015</v>
      </c>
      <c r="C104" s="396" t="str">
        <f t="shared" si="24"/>
        <v>LS</v>
      </c>
      <c r="D104" s="396" t="str">
        <f t="shared" si="25"/>
        <v>KUUM_374</v>
      </c>
      <c r="E104" s="394">
        <f t="shared" si="26"/>
        <v>4</v>
      </c>
      <c r="F104" s="397">
        <v>0</v>
      </c>
      <c r="G104" s="394">
        <f t="shared" si="27"/>
        <v>0</v>
      </c>
      <c r="H104" s="394">
        <v>0</v>
      </c>
      <c r="I104" s="390">
        <f t="shared" si="28"/>
        <v>75.88</v>
      </c>
      <c r="J104" s="390">
        <f t="shared" si="29"/>
        <v>1.75</v>
      </c>
      <c r="K104" s="391">
        <f t="shared" si="41"/>
        <v>303.52</v>
      </c>
      <c r="L104" s="398">
        <v>0</v>
      </c>
      <c r="M104" s="398">
        <v>0</v>
      </c>
      <c r="N104" s="164">
        <f t="shared" si="30"/>
        <v>303.52</v>
      </c>
      <c r="O104" s="399">
        <f t="shared" si="31"/>
        <v>0</v>
      </c>
      <c r="P104" s="392">
        <f t="shared" si="42"/>
        <v>0</v>
      </c>
      <c r="Q104" s="164">
        <f t="shared" si="32"/>
        <v>0</v>
      </c>
      <c r="R104" s="164">
        <f t="shared" si="33"/>
        <v>0</v>
      </c>
      <c r="S104" s="164">
        <f t="shared" si="34"/>
        <v>0</v>
      </c>
      <c r="T104" s="164">
        <f t="shared" si="35"/>
        <v>0</v>
      </c>
      <c r="U104" s="164">
        <f t="shared" si="36"/>
        <v>0</v>
      </c>
      <c r="V104" s="393">
        <f t="shared" si="37"/>
        <v>303.52</v>
      </c>
      <c r="W104" s="393">
        <f t="shared" si="38"/>
        <v>-303.52</v>
      </c>
      <c r="Y104" s="393">
        <f t="shared" si="43"/>
        <v>7</v>
      </c>
      <c r="Z104" s="393">
        <f t="shared" si="44"/>
        <v>-7</v>
      </c>
      <c r="AD104" s="395">
        <f>IF(AH104&gt;AH103,AD103,IF(AD103&lt;MiscData!$F$1,EOMONTH(AD103,1),EOMONTH(AD103,-11)))</f>
        <v>42063</v>
      </c>
      <c r="AE104" s="389" t="str">
        <f t="shared" si="39"/>
        <v>20140101KUUM_374</v>
      </c>
      <c r="AF104" s="437" t="str">
        <f t="shared" si="40"/>
        <v>20140101LS</v>
      </c>
      <c r="AG104" s="438"/>
      <c r="AH104" s="34">
        <f>IF(AH103=MiscData!$AB$91,1,AH103+1)</f>
        <v>15</v>
      </c>
      <c r="AI104" s="34">
        <f>IF(AD104&lt;=MiscData!$B$23,MiscData!$C$23,IF(AD104&lt;=MiscData!$B$24,MiscData!$C$24,MiscData!$C$25))</f>
        <v>20140101</v>
      </c>
      <c r="AK104" s="439" t="str">
        <f>VLOOKUP(AM104,MiscData!$AB$4:$ACB$113,2,FALSE)</f>
        <v>KUUM_374</v>
      </c>
      <c r="AL104" s="439" t="str">
        <f>VLOOKUP(AM104,MiscData!$AB$4:$AE$115,4,FALSE)</f>
        <v>LS</v>
      </c>
      <c r="AM104" s="34">
        <f>IF(AM103=MiscData!$AB$91,1,AM103+1)</f>
        <v>15</v>
      </c>
    </row>
    <row r="105" spans="1:39">
      <c r="A105" s="389">
        <f t="shared" si="45"/>
        <v>104</v>
      </c>
      <c r="B105" s="395" t="str">
        <f t="shared" si="23"/>
        <v>Feb 2015</v>
      </c>
      <c r="C105" s="396" t="str">
        <f t="shared" si="24"/>
        <v>LS</v>
      </c>
      <c r="D105" s="396" t="str">
        <f t="shared" si="25"/>
        <v>KUUM_375</v>
      </c>
      <c r="E105" s="394">
        <f t="shared" si="26"/>
        <v>3</v>
      </c>
      <c r="F105" s="397">
        <v>0</v>
      </c>
      <c r="G105" s="394">
        <f t="shared" si="27"/>
        <v>0</v>
      </c>
      <c r="H105" s="394">
        <v>0</v>
      </c>
      <c r="I105" s="390">
        <f t="shared" si="28"/>
        <v>78.97</v>
      </c>
      <c r="J105" s="390">
        <f t="shared" si="29"/>
        <v>1.75</v>
      </c>
      <c r="K105" s="391">
        <f t="shared" si="41"/>
        <v>236.91</v>
      </c>
      <c r="L105" s="398">
        <v>0</v>
      </c>
      <c r="M105" s="398">
        <v>0</v>
      </c>
      <c r="N105" s="164">
        <f t="shared" si="30"/>
        <v>236.91</v>
      </c>
      <c r="O105" s="399">
        <f t="shared" si="31"/>
        <v>0</v>
      </c>
      <c r="P105" s="392">
        <f t="shared" si="42"/>
        <v>0</v>
      </c>
      <c r="Q105" s="164">
        <f t="shared" si="32"/>
        <v>0</v>
      </c>
      <c r="R105" s="164">
        <f t="shared" si="33"/>
        <v>0</v>
      </c>
      <c r="S105" s="164">
        <f t="shared" si="34"/>
        <v>0</v>
      </c>
      <c r="T105" s="164">
        <f t="shared" si="35"/>
        <v>0</v>
      </c>
      <c r="U105" s="164">
        <f t="shared" si="36"/>
        <v>0</v>
      </c>
      <c r="V105" s="393">
        <f t="shared" si="37"/>
        <v>236.91</v>
      </c>
      <c r="W105" s="393">
        <f t="shared" si="38"/>
        <v>-236.91</v>
      </c>
      <c r="Y105" s="393">
        <f t="shared" si="43"/>
        <v>5.25</v>
      </c>
      <c r="Z105" s="393">
        <f t="shared" si="44"/>
        <v>-5.25</v>
      </c>
      <c r="AD105" s="395">
        <f>IF(AH105&gt;AH104,AD104,IF(AD104&lt;MiscData!$F$1,EOMONTH(AD104,1),EOMONTH(AD104,-11)))</f>
        <v>42063</v>
      </c>
      <c r="AE105" s="389" t="str">
        <f t="shared" si="39"/>
        <v>20140101KUUM_375</v>
      </c>
      <c r="AF105" s="437" t="str">
        <f t="shared" si="40"/>
        <v>20140101LS</v>
      </c>
      <c r="AG105" s="438"/>
      <c r="AH105" s="34">
        <f>IF(AH104=MiscData!$AB$91,1,AH104+1)</f>
        <v>16</v>
      </c>
      <c r="AI105" s="34">
        <f>IF(AD105&lt;=MiscData!$B$23,MiscData!$C$23,IF(AD105&lt;=MiscData!$B$24,MiscData!$C$24,MiscData!$C$25))</f>
        <v>20140101</v>
      </c>
      <c r="AK105" s="439" t="str">
        <f>VLOOKUP(AM105,MiscData!$AB$4:$ACB$113,2,FALSE)</f>
        <v>KUUM_375</v>
      </c>
      <c r="AL105" s="439" t="str">
        <f>VLOOKUP(AM105,MiscData!$AB$4:$AE$115,4,FALSE)</f>
        <v>LS</v>
      </c>
      <c r="AM105" s="34">
        <f>IF(AM104=MiscData!$AB$91,1,AM104+1)</f>
        <v>16</v>
      </c>
    </row>
    <row r="106" spans="1:39">
      <c r="A106" s="389">
        <f t="shared" si="45"/>
        <v>105</v>
      </c>
      <c r="B106" s="395" t="str">
        <f t="shared" si="23"/>
        <v>Feb 2015</v>
      </c>
      <c r="C106" s="396" t="str">
        <f t="shared" si="24"/>
        <v>LS</v>
      </c>
      <c r="D106" s="396" t="str">
        <f t="shared" si="25"/>
        <v>KUUM_376</v>
      </c>
      <c r="E106" s="394">
        <f t="shared" si="26"/>
        <v>2</v>
      </c>
      <c r="F106" s="397">
        <v>0</v>
      </c>
      <c r="G106" s="394">
        <f t="shared" si="27"/>
        <v>0</v>
      </c>
      <c r="H106" s="394">
        <v>0</v>
      </c>
      <c r="I106" s="390">
        <f t="shared" si="28"/>
        <v>77.259999999999991</v>
      </c>
      <c r="J106" s="390">
        <f t="shared" si="29"/>
        <v>1.75</v>
      </c>
      <c r="K106" s="391">
        <f t="shared" si="41"/>
        <v>154.52000000000001</v>
      </c>
      <c r="L106" s="398">
        <v>0</v>
      </c>
      <c r="M106" s="398">
        <v>0</v>
      </c>
      <c r="N106" s="164">
        <f t="shared" si="30"/>
        <v>154.52000000000001</v>
      </c>
      <c r="O106" s="399">
        <f t="shared" si="31"/>
        <v>0</v>
      </c>
      <c r="P106" s="392">
        <f t="shared" si="42"/>
        <v>0</v>
      </c>
      <c r="Q106" s="164">
        <f t="shared" si="32"/>
        <v>0</v>
      </c>
      <c r="R106" s="164">
        <f t="shared" si="33"/>
        <v>0</v>
      </c>
      <c r="S106" s="164">
        <f t="shared" si="34"/>
        <v>0</v>
      </c>
      <c r="T106" s="164">
        <f t="shared" si="35"/>
        <v>0</v>
      </c>
      <c r="U106" s="164">
        <f t="shared" si="36"/>
        <v>0</v>
      </c>
      <c r="V106" s="393">
        <f t="shared" si="37"/>
        <v>154.52000000000001</v>
      </c>
      <c r="W106" s="393">
        <f t="shared" si="38"/>
        <v>-154.52000000000001</v>
      </c>
      <c r="Y106" s="393">
        <f t="shared" si="43"/>
        <v>3.5</v>
      </c>
      <c r="Z106" s="393">
        <f t="shared" si="44"/>
        <v>-3.5</v>
      </c>
      <c r="AD106" s="395">
        <f>IF(AH106&gt;AH105,AD105,IF(AD105&lt;MiscData!$F$1,EOMONTH(AD105,1),EOMONTH(AD105,-11)))</f>
        <v>42063</v>
      </c>
      <c r="AE106" s="389" t="str">
        <f t="shared" si="39"/>
        <v>20140101KUUM_376</v>
      </c>
      <c r="AF106" s="437" t="str">
        <f t="shared" si="40"/>
        <v>20140101LS</v>
      </c>
      <c r="AG106" s="438"/>
      <c r="AH106" s="34">
        <f>IF(AH105=MiscData!$AB$91,1,AH105+1)</f>
        <v>17</v>
      </c>
      <c r="AI106" s="34">
        <f>IF(AD106&lt;=MiscData!$B$23,MiscData!$C$23,IF(AD106&lt;=MiscData!$B$24,MiscData!$C$24,MiscData!$C$25))</f>
        <v>20140101</v>
      </c>
      <c r="AK106" s="439" t="str">
        <f>VLOOKUP(AM106,MiscData!$AB$4:$ACB$113,2,FALSE)</f>
        <v>KUUM_376</v>
      </c>
      <c r="AL106" s="439" t="str">
        <f>VLOOKUP(AM106,MiscData!$AB$4:$AE$115,4,FALSE)</f>
        <v>LS</v>
      </c>
      <c r="AM106" s="34">
        <f>IF(AM105=MiscData!$AB$91,1,AM105+1)</f>
        <v>17</v>
      </c>
    </row>
    <row r="107" spans="1:39">
      <c r="A107" s="389">
        <f t="shared" si="45"/>
        <v>106</v>
      </c>
      <c r="B107" s="395" t="str">
        <f t="shared" si="23"/>
        <v>Feb 2015</v>
      </c>
      <c r="C107" s="396" t="str">
        <f t="shared" si="24"/>
        <v>LS</v>
      </c>
      <c r="D107" s="396" t="str">
        <f t="shared" si="25"/>
        <v>KUUM_377</v>
      </c>
      <c r="E107" s="394">
        <f t="shared" si="26"/>
        <v>51</v>
      </c>
      <c r="F107" s="397">
        <v>0</v>
      </c>
      <c r="G107" s="394">
        <f t="shared" si="27"/>
        <v>0</v>
      </c>
      <c r="H107" s="394">
        <v>0</v>
      </c>
      <c r="I107" s="390">
        <f t="shared" si="28"/>
        <v>64.19</v>
      </c>
      <c r="J107" s="390">
        <f t="shared" si="29"/>
        <v>1.75</v>
      </c>
      <c r="K107" s="391">
        <f t="shared" si="41"/>
        <v>3273.69</v>
      </c>
      <c r="L107" s="398">
        <v>0</v>
      </c>
      <c r="M107" s="398">
        <v>0</v>
      </c>
      <c r="N107" s="164">
        <f t="shared" si="30"/>
        <v>3273.69</v>
      </c>
      <c r="O107" s="399">
        <f t="shared" si="31"/>
        <v>0</v>
      </c>
      <c r="P107" s="392">
        <f t="shared" si="42"/>
        <v>0</v>
      </c>
      <c r="Q107" s="164">
        <f t="shared" si="32"/>
        <v>0</v>
      </c>
      <c r="R107" s="164">
        <f t="shared" si="33"/>
        <v>0</v>
      </c>
      <c r="S107" s="164">
        <f t="shared" si="34"/>
        <v>0</v>
      </c>
      <c r="T107" s="164">
        <f t="shared" si="35"/>
        <v>0</v>
      </c>
      <c r="U107" s="164">
        <f t="shared" si="36"/>
        <v>0</v>
      </c>
      <c r="V107" s="393">
        <f t="shared" si="37"/>
        <v>3273.69</v>
      </c>
      <c r="W107" s="393">
        <f t="shared" si="38"/>
        <v>-3273.69</v>
      </c>
      <c r="Y107" s="393">
        <f t="shared" si="43"/>
        <v>89.25</v>
      </c>
      <c r="Z107" s="393">
        <f t="shared" si="44"/>
        <v>-89.25</v>
      </c>
      <c r="AD107" s="395">
        <f>IF(AH107&gt;AH106,AD106,IF(AD106&lt;MiscData!$F$1,EOMONTH(AD106,1),EOMONTH(AD106,-11)))</f>
        <v>42063</v>
      </c>
      <c r="AE107" s="389" t="str">
        <f t="shared" si="39"/>
        <v>20140101KUUM_377</v>
      </c>
      <c r="AF107" s="437" t="str">
        <f t="shared" si="40"/>
        <v>20140101LS</v>
      </c>
      <c r="AG107" s="438"/>
      <c r="AH107" s="34">
        <f>IF(AH106=MiscData!$AB$91,1,AH106+1)</f>
        <v>18</v>
      </c>
      <c r="AI107" s="34">
        <f>IF(AD107&lt;=MiscData!$B$23,MiscData!$C$23,IF(AD107&lt;=MiscData!$B$24,MiscData!$C$24,MiscData!$C$25))</f>
        <v>20140101</v>
      </c>
      <c r="AK107" s="439" t="str">
        <f>VLOOKUP(AM107,MiscData!$AB$4:$ACB$113,2,FALSE)</f>
        <v>KUUM_377</v>
      </c>
      <c r="AL107" s="439" t="str">
        <f>VLOOKUP(AM107,MiscData!$AB$4:$AE$115,4,FALSE)</f>
        <v>LS</v>
      </c>
      <c r="AM107" s="34">
        <f>IF(AM106=MiscData!$AB$91,1,AM106+1)</f>
        <v>18</v>
      </c>
    </row>
    <row r="108" spans="1:39">
      <c r="A108" s="389">
        <f t="shared" si="45"/>
        <v>107</v>
      </c>
      <c r="B108" s="395" t="str">
        <f t="shared" si="23"/>
        <v>Feb 2015</v>
      </c>
      <c r="C108" s="396" t="str">
        <f t="shared" si="24"/>
        <v>LS</v>
      </c>
      <c r="D108" s="396" t="str">
        <f t="shared" si="25"/>
        <v>KUUM_378</v>
      </c>
      <c r="E108" s="394">
        <f t="shared" si="26"/>
        <v>2</v>
      </c>
      <c r="F108" s="397">
        <v>0</v>
      </c>
      <c r="G108" s="394">
        <f t="shared" si="27"/>
        <v>0</v>
      </c>
      <c r="H108" s="394">
        <v>0</v>
      </c>
      <c r="I108" s="390">
        <f t="shared" si="28"/>
        <v>75.899999999999991</v>
      </c>
      <c r="J108" s="390">
        <f t="shared" si="29"/>
        <v>1.75</v>
      </c>
      <c r="K108" s="391">
        <f t="shared" si="41"/>
        <v>151.80000000000001</v>
      </c>
      <c r="L108" s="398">
        <v>0</v>
      </c>
      <c r="M108" s="398">
        <v>0</v>
      </c>
      <c r="N108" s="164">
        <f t="shared" si="30"/>
        <v>151.80000000000001</v>
      </c>
      <c r="O108" s="399">
        <f t="shared" si="31"/>
        <v>0</v>
      </c>
      <c r="P108" s="392">
        <f t="shared" si="42"/>
        <v>0</v>
      </c>
      <c r="Q108" s="164">
        <f t="shared" si="32"/>
        <v>0</v>
      </c>
      <c r="R108" s="164">
        <f t="shared" si="33"/>
        <v>0</v>
      </c>
      <c r="S108" s="164">
        <f t="shared" si="34"/>
        <v>0</v>
      </c>
      <c r="T108" s="164">
        <f t="shared" si="35"/>
        <v>0</v>
      </c>
      <c r="U108" s="164">
        <f t="shared" si="36"/>
        <v>0</v>
      </c>
      <c r="V108" s="393">
        <f t="shared" si="37"/>
        <v>151.80000000000001</v>
      </c>
      <c r="W108" s="393">
        <f t="shared" si="38"/>
        <v>-151.80000000000001</v>
      </c>
      <c r="Y108" s="393">
        <f t="shared" si="43"/>
        <v>3.5</v>
      </c>
      <c r="Z108" s="393">
        <f t="shared" si="44"/>
        <v>-3.5</v>
      </c>
      <c r="AD108" s="395">
        <f>IF(AH108&gt;AH107,AD107,IF(AD107&lt;MiscData!$F$1,EOMONTH(AD107,1),EOMONTH(AD107,-11)))</f>
        <v>42063</v>
      </c>
      <c r="AE108" s="389" t="str">
        <f t="shared" si="39"/>
        <v>20140101KUUM_378</v>
      </c>
      <c r="AF108" s="437" t="str">
        <f t="shared" si="40"/>
        <v>20140101LS</v>
      </c>
      <c r="AG108" s="438"/>
      <c r="AH108" s="34">
        <f>IF(AH107=MiscData!$AB$91,1,AH107+1)</f>
        <v>19</v>
      </c>
      <c r="AI108" s="34">
        <f>IF(AD108&lt;=MiscData!$B$23,MiscData!$C$23,IF(AD108&lt;=MiscData!$B$24,MiscData!$C$24,MiscData!$C$25))</f>
        <v>20140101</v>
      </c>
      <c r="AK108" s="439" t="str">
        <f>VLOOKUP(AM108,MiscData!$AB$4:$ACB$113,2,FALSE)</f>
        <v>KUUM_378</v>
      </c>
      <c r="AL108" s="439" t="str">
        <f>VLOOKUP(AM108,MiscData!$AB$4:$AE$115,4,FALSE)</f>
        <v>LS</v>
      </c>
      <c r="AM108" s="34">
        <f>IF(AM107=MiscData!$AB$91,1,AM107+1)</f>
        <v>19</v>
      </c>
    </row>
    <row r="109" spans="1:39">
      <c r="A109" s="389">
        <f t="shared" si="45"/>
        <v>108</v>
      </c>
      <c r="B109" s="395" t="str">
        <f t="shared" si="23"/>
        <v>Feb 2015</v>
      </c>
      <c r="C109" s="396" t="str">
        <f t="shared" si="24"/>
        <v>LS</v>
      </c>
      <c r="D109" s="396" t="str">
        <f t="shared" si="25"/>
        <v>KUUM_401</v>
      </c>
      <c r="E109" s="394">
        <f t="shared" si="26"/>
        <v>52</v>
      </c>
      <c r="F109" s="397">
        <v>0</v>
      </c>
      <c r="G109" s="394">
        <f t="shared" si="27"/>
        <v>0</v>
      </c>
      <c r="H109" s="394">
        <v>0</v>
      </c>
      <c r="I109" s="390">
        <f t="shared" si="28"/>
        <v>14.860000000000001</v>
      </c>
      <c r="J109" s="390">
        <f t="shared" si="29"/>
        <v>0.80000000000000071</v>
      </c>
      <c r="K109" s="391">
        <f t="shared" si="41"/>
        <v>772.72</v>
      </c>
      <c r="L109" s="398">
        <v>0</v>
      </c>
      <c r="M109" s="398">
        <v>0</v>
      </c>
      <c r="N109" s="164">
        <f t="shared" si="30"/>
        <v>772.72</v>
      </c>
      <c r="O109" s="399">
        <f t="shared" si="31"/>
        <v>0</v>
      </c>
      <c r="P109" s="392">
        <f t="shared" si="42"/>
        <v>0</v>
      </c>
      <c r="Q109" s="164">
        <f t="shared" si="32"/>
        <v>0</v>
      </c>
      <c r="R109" s="164">
        <f t="shared" si="33"/>
        <v>0</v>
      </c>
      <c r="S109" s="164">
        <f t="shared" si="34"/>
        <v>0</v>
      </c>
      <c r="T109" s="164">
        <f t="shared" si="35"/>
        <v>0</v>
      </c>
      <c r="U109" s="164">
        <f t="shared" si="36"/>
        <v>0</v>
      </c>
      <c r="V109" s="393">
        <f t="shared" si="37"/>
        <v>772.72</v>
      </c>
      <c r="W109" s="393">
        <f t="shared" si="38"/>
        <v>-772.72</v>
      </c>
      <c r="Y109" s="393">
        <f t="shared" si="43"/>
        <v>41.6</v>
      </c>
      <c r="Z109" s="393">
        <f t="shared" si="44"/>
        <v>-41.6</v>
      </c>
      <c r="AD109" s="395">
        <f>IF(AH109&gt;AH108,AD108,IF(AD108&lt;MiscData!$F$1,EOMONTH(AD108,1),EOMONTH(AD108,-11)))</f>
        <v>42063</v>
      </c>
      <c r="AE109" s="389" t="str">
        <f t="shared" si="39"/>
        <v>20140101KUUM_401</v>
      </c>
      <c r="AF109" s="437" t="str">
        <f t="shared" si="40"/>
        <v>20140101LS</v>
      </c>
      <c r="AG109" s="438"/>
      <c r="AH109" s="34">
        <f>IF(AH108=MiscData!$AB$91,1,AH108+1)</f>
        <v>20</v>
      </c>
      <c r="AI109" s="34">
        <f>IF(AD109&lt;=MiscData!$B$23,MiscData!$C$23,IF(AD109&lt;=MiscData!$B$24,MiscData!$C$24,MiscData!$C$25))</f>
        <v>20140101</v>
      </c>
      <c r="AK109" s="439" t="str">
        <f>VLOOKUP(AM109,MiscData!$AB$4:$ACB$113,2,FALSE)</f>
        <v>KUUM_401</v>
      </c>
      <c r="AL109" s="439" t="str">
        <f>VLOOKUP(AM109,MiscData!$AB$4:$AE$115,4,FALSE)</f>
        <v>LS</v>
      </c>
      <c r="AM109" s="34">
        <f>IF(AM108=MiscData!$AB$91,1,AM108+1)</f>
        <v>20</v>
      </c>
    </row>
    <row r="110" spans="1:39">
      <c r="A110" s="389">
        <f t="shared" si="45"/>
        <v>109</v>
      </c>
      <c r="B110" s="395" t="str">
        <f t="shared" si="23"/>
        <v>Feb 2015</v>
      </c>
      <c r="C110" s="396" t="str">
        <f t="shared" si="24"/>
        <v>RLS</v>
      </c>
      <c r="D110" s="396" t="str">
        <f t="shared" si="25"/>
        <v>KUUM_404</v>
      </c>
      <c r="E110" s="394">
        <f t="shared" si="26"/>
        <v>7335</v>
      </c>
      <c r="F110" s="397">
        <v>0</v>
      </c>
      <c r="G110" s="394">
        <f t="shared" si="27"/>
        <v>0</v>
      </c>
      <c r="H110" s="394">
        <v>0</v>
      </c>
      <c r="I110" s="390">
        <f t="shared" si="28"/>
        <v>10.570000000000002</v>
      </c>
      <c r="J110" s="390">
        <f t="shared" si="29"/>
        <v>1.9900000000000002</v>
      </c>
      <c r="K110" s="391">
        <f t="shared" si="41"/>
        <v>77530.95</v>
      </c>
      <c r="L110" s="398">
        <v>0</v>
      </c>
      <c r="M110" s="398">
        <v>0</v>
      </c>
      <c r="N110" s="164">
        <f t="shared" si="30"/>
        <v>77530.95</v>
      </c>
      <c r="O110" s="399">
        <f t="shared" si="31"/>
        <v>0</v>
      </c>
      <c r="P110" s="392">
        <f t="shared" si="42"/>
        <v>0</v>
      </c>
      <c r="Q110" s="164">
        <f t="shared" si="32"/>
        <v>0</v>
      </c>
      <c r="R110" s="164">
        <f t="shared" si="33"/>
        <v>0</v>
      </c>
      <c r="S110" s="164">
        <f t="shared" si="34"/>
        <v>0</v>
      </c>
      <c r="T110" s="164">
        <f t="shared" si="35"/>
        <v>0</v>
      </c>
      <c r="U110" s="164">
        <f t="shared" si="36"/>
        <v>0</v>
      </c>
      <c r="V110" s="393">
        <f t="shared" si="37"/>
        <v>77530.95</v>
      </c>
      <c r="W110" s="393">
        <f t="shared" si="38"/>
        <v>-77530.95</v>
      </c>
      <c r="Y110" s="393">
        <f t="shared" si="43"/>
        <v>14596.65</v>
      </c>
      <c r="Z110" s="393">
        <f t="shared" si="44"/>
        <v>-14596.65</v>
      </c>
      <c r="AD110" s="395">
        <f>IF(AH110&gt;AH109,AD109,IF(AD109&lt;MiscData!$F$1,EOMONTH(AD109,1),EOMONTH(AD109,-11)))</f>
        <v>42063</v>
      </c>
      <c r="AE110" s="389" t="str">
        <f t="shared" si="39"/>
        <v>20140101KUUM_404</v>
      </c>
      <c r="AF110" s="437" t="str">
        <f t="shared" si="40"/>
        <v>20140101RLS</v>
      </c>
      <c r="AG110" s="438"/>
      <c r="AH110" s="34">
        <f>IF(AH109=MiscData!$AB$91,1,AH109+1)</f>
        <v>21</v>
      </c>
      <c r="AI110" s="34">
        <f>IF(AD110&lt;=MiscData!$B$23,MiscData!$C$23,IF(AD110&lt;=MiscData!$B$24,MiscData!$C$24,MiscData!$C$25))</f>
        <v>20140101</v>
      </c>
      <c r="AK110" s="439" t="str">
        <f>VLOOKUP(AM110,MiscData!$AB$4:$ACB$113,2,FALSE)</f>
        <v>KUUM_404</v>
      </c>
      <c r="AL110" s="439" t="str">
        <f>VLOOKUP(AM110,MiscData!$AB$4:$AE$115,4,FALSE)</f>
        <v>RLS</v>
      </c>
      <c r="AM110" s="34">
        <f>IF(AM109=MiscData!$AB$91,1,AM109+1)</f>
        <v>21</v>
      </c>
    </row>
    <row r="111" spans="1:39">
      <c r="A111" s="389">
        <f t="shared" si="45"/>
        <v>110</v>
      </c>
      <c r="B111" s="395" t="str">
        <f t="shared" si="23"/>
        <v>Feb 2015</v>
      </c>
      <c r="C111" s="396" t="str">
        <f t="shared" si="24"/>
        <v>RLS</v>
      </c>
      <c r="D111" s="396" t="str">
        <f t="shared" si="25"/>
        <v>KUUM_405</v>
      </c>
      <c r="E111" s="394">
        <f t="shared" si="26"/>
        <v>0</v>
      </c>
      <c r="F111" s="397">
        <v>0</v>
      </c>
      <c r="G111" s="394">
        <f t="shared" si="27"/>
        <v>0</v>
      </c>
      <c r="H111" s="394">
        <v>0</v>
      </c>
      <c r="I111" s="390">
        <f t="shared" si="28"/>
        <v>0</v>
      </c>
      <c r="J111" s="390">
        <f t="shared" si="29"/>
        <v>0</v>
      </c>
      <c r="K111" s="391">
        <f t="shared" si="41"/>
        <v>0</v>
      </c>
      <c r="L111" s="398">
        <v>0</v>
      </c>
      <c r="M111" s="398">
        <v>0</v>
      </c>
      <c r="N111" s="164">
        <f t="shared" si="30"/>
        <v>0</v>
      </c>
      <c r="O111" s="399">
        <f t="shared" si="31"/>
        <v>0</v>
      </c>
      <c r="P111" s="392">
        <f t="shared" si="42"/>
        <v>1</v>
      </c>
      <c r="Q111" s="164">
        <f t="shared" si="32"/>
        <v>0</v>
      </c>
      <c r="R111" s="164">
        <f t="shared" si="33"/>
        <v>0</v>
      </c>
      <c r="S111" s="164">
        <f t="shared" si="34"/>
        <v>0</v>
      </c>
      <c r="T111" s="164">
        <f t="shared" si="35"/>
        <v>0</v>
      </c>
      <c r="U111" s="164">
        <f t="shared" si="36"/>
        <v>0</v>
      </c>
      <c r="V111" s="393">
        <f t="shared" si="37"/>
        <v>0</v>
      </c>
      <c r="W111" s="393">
        <f t="shared" si="38"/>
        <v>0</v>
      </c>
      <c r="Y111" s="393">
        <f t="shared" si="43"/>
        <v>0</v>
      </c>
      <c r="Z111" s="393">
        <f t="shared" si="44"/>
        <v>0</v>
      </c>
      <c r="AD111" s="395">
        <f>IF(AH111&gt;AH110,AD110,IF(AD110&lt;MiscData!$F$1,EOMONTH(AD110,1),EOMONTH(AD110,-11)))</f>
        <v>42063</v>
      </c>
      <c r="AE111" s="389" t="str">
        <f t="shared" si="39"/>
        <v>20140101KUUM_405</v>
      </c>
      <c r="AF111" s="437" t="str">
        <f t="shared" si="40"/>
        <v>20140101RLS</v>
      </c>
      <c r="AG111" s="438"/>
      <c r="AH111" s="34">
        <f>IF(AH110=MiscData!$AB$91,1,AH110+1)</f>
        <v>22</v>
      </c>
      <c r="AI111" s="34">
        <f>IF(AD111&lt;=MiscData!$B$23,MiscData!$C$23,IF(AD111&lt;=MiscData!$B$24,MiscData!$C$24,MiscData!$C$25))</f>
        <v>20140101</v>
      </c>
      <c r="AK111" s="439" t="str">
        <f>VLOOKUP(AM111,MiscData!$AB$4:$ACB$113,2,FALSE)</f>
        <v>KUUM_405</v>
      </c>
      <c r="AL111" s="439" t="str">
        <f>VLOOKUP(AM111,MiscData!$AB$4:$AE$115,4,FALSE)</f>
        <v>RLS</v>
      </c>
      <c r="AM111" s="34">
        <f>IF(AM110=MiscData!$AB$91,1,AM110+1)</f>
        <v>22</v>
      </c>
    </row>
    <row r="112" spans="1:39">
      <c r="A112" s="389">
        <f t="shared" si="45"/>
        <v>111</v>
      </c>
      <c r="B112" s="395" t="str">
        <f t="shared" si="23"/>
        <v>Feb 2015</v>
      </c>
      <c r="C112" s="396" t="str">
        <f t="shared" si="24"/>
        <v>LS</v>
      </c>
      <c r="D112" s="396" t="str">
        <f t="shared" si="25"/>
        <v>KUUM_407</v>
      </c>
      <c r="E112" s="394">
        <f t="shared" si="26"/>
        <v>0</v>
      </c>
      <c r="F112" s="397">
        <v>0</v>
      </c>
      <c r="G112" s="394">
        <f t="shared" si="27"/>
        <v>0</v>
      </c>
      <c r="H112" s="394">
        <v>0</v>
      </c>
      <c r="I112" s="390">
        <f t="shared" si="28"/>
        <v>0</v>
      </c>
      <c r="J112" s="390">
        <f t="shared" si="29"/>
        <v>0</v>
      </c>
      <c r="K112" s="391">
        <f t="shared" si="41"/>
        <v>0</v>
      </c>
      <c r="L112" s="398">
        <v>0</v>
      </c>
      <c r="M112" s="398">
        <v>0</v>
      </c>
      <c r="N112" s="164">
        <f t="shared" si="30"/>
        <v>0</v>
      </c>
      <c r="O112" s="399">
        <f t="shared" si="31"/>
        <v>0</v>
      </c>
      <c r="P112" s="392">
        <f t="shared" si="42"/>
        <v>1</v>
      </c>
      <c r="Q112" s="164">
        <f t="shared" si="32"/>
        <v>0</v>
      </c>
      <c r="R112" s="164">
        <f t="shared" si="33"/>
        <v>0</v>
      </c>
      <c r="S112" s="164">
        <f t="shared" si="34"/>
        <v>0</v>
      </c>
      <c r="T112" s="164">
        <f t="shared" si="35"/>
        <v>0</v>
      </c>
      <c r="U112" s="164">
        <f t="shared" si="36"/>
        <v>0</v>
      </c>
      <c r="V112" s="393">
        <f t="shared" si="37"/>
        <v>0</v>
      </c>
      <c r="W112" s="393">
        <f t="shared" si="38"/>
        <v>0</v>
      </c>
      <c r="Y112" s="393">
        <f t="shared" si="43"/>
        <v>0</v>
      </c>
      <c r="Z112" s="393">
        <f t="shared" si="44"/>
        <v>0</v>
      </c>
      <c r="AD112" s="395">
        <f>IF(AH112&gt;AH111,AD111,IF(AD111&lt;MiscData!$F$1,EOMONTH(AD111,1),EOMONTH(AD111,-11)))</f>
        <v>42063</v>
      </c>
      <c r="AE112" s="389" t="str">
        <f t="shared" si="39"/>
        <v>20140101KUUM_407</v>
      </c>
      <c r="AF112" s="437" t="str">
        <f t="shared" si="40"/>
        <v>20140101LS</v>
      </c>
      <c r="AG112" s="438"/>
      <c r="AH112" s="34">
        <f>IF(AH111=MiscData!$AB$91,1,AH111+1)</f>
        <v>23</v>
      </c>
      <c r="AI112" s="34">
        <f>IF(AD112&lt;=MiscData!$B$23,MiscData!$C$23,IF(AD112&lt;=MiscData!$B$24,MiscData!$C$24,MiscData!$C$25))</f>
        <v>20140101</v>
      </c>
      <c r="AK112" s="439" t="str">
        <f>VLOOKUP(AM112,MiscData!$AB$4:$ACB$113,2,FALSE)</f>
        <v>KUUM_407</v>
      </c>
      <c r="AL112" s="439" t="str">
        <f>VLOOKUP(AM112,MiscData!$AB$4:$AE$115,4,FALSE)</f>
        <v>LS</v>
      </c>
      <c r="AM112" s="34">
        <f>IF(AM111=MiscData!$AB$91,1,AM111+1)</f>
        <v>23</v>
      </c>
    </row>
    <row r="113" spans="1:39">
      <c r="A113" s="389">
        <f t="shared" si="45"/>
        <v>112</v>
      </c>
      <c r="B113" s="395" t="str">
        <f t="shared" si="23"/>
        <v>Feb 2015</v>
      </c>
      <c r="C113" s="396" t="str">
        <f t="shared" si="24"/>
        <v>RLS</v>
      </c>
      <c r="D113" s="396" t="str">
        <f t="shared" si="25"/>
        <v>KUUM_409</v>
      </c>
      <c r="E113" s="394">
        <f t="shared" si="26"/>
        <v>136</v>
      </c>
      <c r="F113" s="397">
        <v>0</v>
      </c>
      <c r="G113" s="394">
        <f t="shared" si="27"/>
        <v>0</v>
      </c>
      <c r="H113" s="394">
        <v>0</v>
      </c>
      <c r="I113" s="390">
        <f t="shared" si="28"/>
        <v>11.71</v>
      </c>
      <c r="J113" s="390">
        <f t="shared" si="29"/>
        <v>4.5299999999999994</v>
      </c>
      <c r="K113" s="391">
        <f t="shared" si="41"/>
        <v>1592.56</v>
      </c>
      <c r="L113" s="398">
        <v>0</v>
      </c>
      <c r="M113" s="398">
        <v>0</v>
      </c>
      <c r="N113" s="164">
        <f t="shared" si="30"/>
        <v>1592.56</v>
      </c>
      <c r="O113" s="399">
        <f t="shared" si="31"/>
        <v>0</v>
      </c>
      <c r="P113" s="392">
        <f t="shared" si="42"/>
        <v>0</v>
      </c>
      <c r="Q113" s="164">
        <f t="shared" si="32"/>
        <v>0</v>
      </c>
      <c r="R113" s="164">
        <f t="shared" si="33"/>
        <v>0</v>
      </c>
      <c r="S113" s="164">
        <f t="shared" si="34"/>
        <v>0</v>
      </c>
      <c r="T113" s="164">
        <f t="shared" si="35"/>
        <v>0</v>
      </c>
      <c r="U113" s="164">
        <f t="shared" si="36"/>
        <v>0</v>
      </c>
      <c r="V113" s="393">
        <f t="shared" si="37"/>
        <v>1592.56</v>
      </c>
      <c r="W113" s="393">
        <f t="shared" si="38"/>
        <v>-1592.56</v>
      </c>
      <c r="Y113" s="393">
        <f t="shared" si="43"/>
        <v>616.08000000000004</v>
      </c>
      <c r="Z113" s="393">
        <f t="shared" si="44"/>
        <v>-616.08000000000004</v>
      </c>
      <c r="AD113" s="395">
        <f>IF(AH113&gt;AH112,AD112,IF(AD112&lt;MiscData!$F$1,EOMONTH(AD112,1),EOMONTH(AD112,-11)))</f>
        <v>42063</v>
      </c>
      <c r="AE113" s="389" t="str">
        <f t="shared" si="39"/>
        <v>20140101KUUM_409</v>
      </c>
      <c r="AF113" s="437" t="str">
        <f t="shared" si="40"/>
        <v>20140101RLS</v>
      </c>
      <c r="AG113" s="438"/>
      <c r="AH113" s="34">
        <f>IF(AH112=MiscData!$AB$91,1,AH112+1)</f>
        <v>24</v>
      </c>
      <c r="AI113" s="34">
        <f>IF(AD113&lt;=MiscData!$B$23,MiscData!$C$23,IF(AD113&lt;=MiscData!$B$24,MiscData!$C$24,MiscData!$C$25))</f>
        <v>20140101</v>
      </c>
      <c r="AK113" s="439" t="str">
        <f>VLOOKUP(AM113,MiscData!$AB$4:$ACB$113,2,FALSE)</f>
        <v>KUUM_409</v>
      </c>
      <c r="AL113" s="439" t="str">
        <f>VLOOKUP(AM113,MiscData!$AB$4:$AE$115,4,FALSE)</f>
        <v>RLS</v>
      </c>
      <c r="AM113" s="34">
        <f>IF(AM112=MiscData!$AB$91,1,AM112+1)</f>
        <v>24</v>
      </c>
    </row>
    <row r="114" spans="1:39">
      <c r="A114" s="389">
        <f t="shared" si="45"/>
        <v>113</v>
      </c>
      <c r="B114" s="395" t="str">
        <f t="shared" si="23"/>
        <v>Feb 2015</v>
      </c>
      <c r="C114" s="396" t="str">
        <f t="shared" si="24"/>
        <v>RLS</v>
      </c>
      <c r="D114" s="396" t="str">
        <f t="shared" si="25"/>
        <v>KUUM_410</v>
      </c>
      <c r="E114" s="394">
        <f t="shared" si="26"/>
        <v>239</v>
      </c>
      <c r="F114" s="397">
        <v>0</v>
      </c>
      <c r="G114" s="394">
        <f t="shared" si="27"/>
        <v>0</v>
      </c>
      <c r="H114" s="394">
        <v>0</v>
      </c>
      <c r="I114" s="390">
        <f t="shared" si="28"/>
        <v>20.259999999999998</v>
      </c>
      <c r="J114" s="390">
        <f t="shared" si="29"/>
        <v>0.57000000000000028</v>
      </c>
      <c r="K114" s="391">
        <f t="shared" si="41"/>
        <v>4842.1400000000003</v>
      </c>
      <c r="L114" s="398">
        <v>0</v>
      </c>
      <c r="M114" s="398">
        <v>0</v>
      </c>
      <c r="N114" s="164">
        <f t="shared" si="30"/>
        <v>4842.1400000000003</v>
      </c>
      <c r="O114" s="399">
        <f t="shared" si="31"/>
        <v>0</v>
      </c>
      <c r="P114" s="392">
        <f t="shared" si="42"/>
        <v>0</v>
      </c>
      <c r="Q114" s="164">
        <f t="shared" si="32"/>
        <v>0</v>
      </c>
      <c r="R114" s="164">
        <f t="shared" si="33"/>
        <v>0</v>
      </c>
      <c r="S114" s="164">
        <f t="shared" si="34"/>
        <v>0</v>
      </c>
      <c r="T114" s="164">
        <f t="shared" si="35"/>
        <v>0</v>
      </c>
      <c r="U114" s="164">
        <f t="shared" si="36"/>
        <v>0</v>
      </c>
      <c r="V114" s="393">
        <f t="shared" si="37"/>
        <v>4842.1400000000003</v>
      </c>
      <c r="W114" s="393">
        <f t="shared" si="38"/>
        <v>-4842.1400000000003</v>
      </c>
      <c r="Y114" s="393">
        <f t="shared" si="43"/>
        <v>136.22999999999999</v>
      </c>
      <c r="Z114" s="393">
        <f t="shared" si="44"/>
        <v>-136.22999999999999</v>
      </c>
      <c r="AD114" s="395">
        <f>IF(AH114&gt;AH113,AD113,IF(AD113&lt;MiscData!$F$1,EOMONTH(AD113,1),EOMONTH(AD113,-11)))</f>
        <v>42063</v>
      </c>
      <c r="AE114" s="389" t="str">
        <f t="shared" si="39"/>
        <v>20140101KUUM_410</v>
      </c>
      <c r="AF114" s="437" t="str">
        <f t="shared" si="40"/>
        <v>20140101RLS</v>
      </c>
      <c r="AG114" s="438"/>
      <c r="AH114" s="34">
        <f>IF(AH113=MiscData!$AB$91,1,AH113+1)</f>
        <v>25</v>
      </c>
      <c r="AI114" s="34">
        <f>IF(AD114&lt;=MiscData!$B$23,MiscData!$C$23,IF(AD114&lt;=MiscData!$B$24,MiscData!$C$24,MiscData!$C$25))</f>
        <v>20140101</v>
      </c>
      <c r="AK114" s="439" t="str">
        <f>VLOOKUP(AM114,MiscData!$AB$4:$ACB$113,2,FALSE)</f>
        <v>KUUM_410</v>
      </c>
      <c r="AL114" s="439" t="str">
        <f>VLOOKUP(AM114,MiscData!$AB$4:$AE$115,4,FALSE)</f>
        <v>RLS</v>
      </c>
      <c r="AM114" s="34">
        <f>IF(AM113=MiscData!$AB$91,1,AM113+1)</f>
        <v>25</v>
      </c>
    </row>
    <row r="115" spans="1:39">
      <c r="A115" s="389">
        <f t="shared" si="45"/>
        <v>114</v>
      </c>
      <c r="B115" s="395" t="str">
        <f t="shared" si="23"/>
        <v>Feb 2015</v>
      </c>
      <c r="C115" s="396" t="str">
        <f t="shared" si="24"/>
        <v>LS</v>
      </c>
      <c r="D115" s="396" t="str">
        <f t="shared" si="25"/>
        <v>KUUM_411</v>
      </c>
      <c r="E115" s="394">
        <f t="shared" si="26"/>
        <v>144</v>
      </c>
      <c r="F115" s="397">
        <v>0</v>
      </c>
      <c r="G115" s="394">
        <f t="shared" si="27"/>
        <v>0</v>
      </c>
      <c r="H115" s="394">
        <v>0</v>
      </c>
      <c r="I115" s="390">
        <f t="shared" si="28"/>
        <v>21.38</v>
      </c>
      <c r="J115" s="390">
        <f t="shared" si="29"/>
        <v>0.79999999999999716</v>
      </c>
      <c r="K115" s="391">
        <f t="shared" si="41"/>
        <v>3078.72</v>
      </c>
      <c r="L115" s="398">
        <v>0</v>
      </c>
      <c r="M115" s="398">
        <v>0</v>
      </c>
      <c r="N115" s="164">
        <f t="shared" si="30"/>
        <v>3078.72</v>
      </c>
      <c r="O115" s="399">
        <f t="shared" si="31"/>
        <v>0</v>
      </c>
      <c r="P115" s="392">
        <f t="shared" si="42"/>
        <v>0</v>
      </c>
      <c r="Q115" s="164">
        <f t="shared" si="32"/>
        <v>0</v>
      </c>
      <c r="R115" s="164">
        <f t="shared" si="33"/>
        <v>0</v>
      </c>
      <c r="S115" s="164">
        <f t="shared" si="34"/>
        <v>0</v>
      </c>
      <c r="T115" s="164">
        <f t="shared" si="35"/>
        <v>0</v>
      </c>
      <c r="U115" s="164">
        <f t="shared" si="36"/>
        <v>0</v>
      </c>
      <c r="V115" s="393">
        <f t="shared" si="37"/>
        <v>3078.72</v>
      </c>
      <c r="W115" s="393">
        <f t="shared" si="38"/>
        <v>-3078.72</v>
      </c>
      <c r="Y115" s="393">
        <f t="shared" si="43"/>
        <v>115.2</v>
      </c>
      <c r="Z115" s="393">
        <f t="shared" si="44"/>
        <v>-115.2</v>
      </c>
      <c r="AD115" s="395">
        <f>IF(AH115&gt;AH114,AD114,IF(AD114&lt;MiscData!$F$1,EOMONTH(AD114,1),EOMONTH(AD114,-11)))</f>
        <v>42063</v>
      </c>
      <c r="AE115" s="389" t="str">
        <f t="shared" si="39"/>
        <v>20140101KUUM_411</v>
      </c>
      <c r="AF115" s="437" t="str">
        <f t="shared" si="40"/>
        <v>20140101LS</v>
      </c>
      <c r="AG115" s="438"/>
      <c r="AH115" s="34">
        <f>IF(AH114=MiscData!$AB$91,1,AH114+1)</f>
        <v>26</v>
      </c>
      <c r="AI115" s="34">
        <f>IF(AD115&lt;=MiscData!$B$23,MiscData!$C$23,IF(AD115&lt;=MiscData!$B$24,MiscData!$C$24,MiscData!$C$25))</f>
        <v>20140101</v>
      </c>
      <c r="AK115" s="439" t="str">
        <f>VLOOKUP(AM115,MiscData!$AB$4:$ACB$113,2,FALSE)</f>
        <v>KUUM_411</v>
      </c>
      <c r="AL115" s="439" t="str">
        <f>VLOOKUP(AM115,MiscData!$AB$4:$AE$115,4,FALSE)</f>
        <v>LS</v>
      </c>
      <c r="AM115" s="34">
        <f>IF(AM114=MiscData!$AB$91,1,AM114+1)</f>
        <v>26</v>
      </c>
    </row>
    <row r="116" spans="1:39">
      <c r="A116" s="389">
        <f t="shared" si="45"/>
        <v>115</v>
      </c>
      <c r="B116" s="395" t="str">
        <f t="shared" si="23"/>
        <v>Feb 2015</v>
      </c>
      <c r="C116" s="396" t="str">
        <f t="shared" si="24"/>
        <v>RLS</v>
      </c>
      <c r="D116" s="396" t="str">
        <f t="shared" si="25"/>
        <v>KUUM_412</v>
      </c>
      <c r="E116" s="394">
        <f t="shared" si="26"/>
        <v>28</v>
      </c>
      <c r="F116" s="397">
        <v>0</v>
      </c>
      <c r="G116" s="394">
        <f t="shared" si="27"/>
        <v>0</v>
      </c>
      <c r="H116" s="394">
        <v>0</v>
      </c>
      <c r="I116" s="390">
        <f t="shared" si="28"/>
        <v>30.84</v>
      </c>
      <c r="J116" s="390">
        <f t="shared" si="29"/>
        <v>0.79999999999999716</v>
      </c>
      <c r="K116" s="391">
        <f t="shared" si="41"/>
        <v>863.52</v>
      </c>
      <c r="L116" s="398">
        <v>0</v>
      </c>
      <c r="M116" s="398">
        <v>0</v>
      </c>
      <c r="N116" s="164">
        <f t="shared" si="30"/>
        <v>863.52</v>
      </c>
      <c r="O116" s="399">
        <f t="shared" si="31"/>
        <v>0</v>
      </c>
      <c r="P116" s="392">
        <f t="shared" si="42"/>
        <v>0</v>
      </c>
      <c r="Q116" s="164">
        <f t="shared" si="32"/>
        <v>0</v>
      </c>
      <c r="R116" s="164">
        <f t="shared" si="33"/>
        <v>0</v>
      </c>
      <c r="S116" s="164">
        <f t="shared" si="34"/>
        <v>0</v>
      </c>
      <c r="T116" s="164">
        <f t="shared" si="35"/>
        <v>0</v>
      </c>
      <c r="U116" s="164">
        <f t="shared" si="36"/>
        <v>0</v>
      </c>
      <c r="V116" s="393">
        <f t="shared" si="37"/>
        <v>863.52</v>
      </c>
      <c r="W116" s="393">
        <f t="shared" si="38"/>
        <v>-863.52</v>
      </c>
      <c r="Y116" s="393">
        <f t="shared" si="43"/>
        <v>22.4</v>
      </c>
      <c r="Z116" s="393">
        <f t="shared" si="44"/>
        <v>-22.4</v>
      </c>
      <c r="AD116" s="395">
        <f>IF(AH116&gt;AH115,AD115,IF(AD115&lt;MiscData!$F$1,EOMONTH(AD115,1),EOMONTH(AD115,-11)))</f>
        <v>42063</v>
      </c>
      <c r="AE116" s="389" t="str">
        <f t="shared" si="39"/>
        <v>20140101KUUM_412</v>
      </c>
      <c r="AF116" s="437" t="str">
        <f t="shared" si="40"/>
        <v>20140101RLS</v>
      </c>
      <c r="AG116" s="438"/>
      <c r="AH116" s="34">
        <f>IF(AH115=MiscData!$AB$91,1,AH115+1)</f>
        <v>27</v>
      </c>
      <c r="AI116" s="34">
        <f>IF(AD116&lt;=MiscData!$B$23,MiscData!$C$23,IF(AD116&lt;=MiscData!$B$24,MiscData!$C$24,MiscData!$C$25))</f>
        <v>20140101</v>
      </c>
      <c r="AK116" s="439" t="str">
        <f>VLOOKUP(AM116,MiscData!$AB$4:$ACB$113,2,FALSE)</f>
        <v>KUUM_412</v>
      </c>
      <c r="AL116" s="439" t="str">
        <f>VLOOKUP(AM116,MiscData!$AB$4:$AE$115,4,FALSE)</f>
        <v>RLS</v>
      </c>
      <c r="AM116" s="34">
        <f>IF(AM115=MiscData!$AB$91,1,AM115+1)</f>
        <v>27</v>
      </c>
    </row>
    <row r="117" spans="1:39">
      <c r="A117" s="389">
        <f t="shared" si="45"/>
        <v>116</v>
      </c>
      <c r="B117" s="395" t="str">
        <f t="shared" si="23"/>
        <v>Feb 2015</v>
      </c>
      <c r="C117" s="396" t="str">
        <f t="shared" si="24"/>
        <v>RLS</v>
      </c>
      <c r="D117" s="396" t="str">
        <f t="shared" si="25"/>
        <v>KUUM_413</v>
      </c>
      <c r="E117" s="394">
        <f t="shared" si="26"/>
        <v>96</v>
      </c>
      <c r="F117" s="397">
        <v>0</v>
      </c>
      <c r="G117" s="394">
        <f t="shared" si="27"/>
        <v>0</v>
      </c>
      <c r="H117" s="394">
        <v>0</v>
      </c>
      <c r="I117" s="390">
        <f t="shared" si="28"/>
        <v>31.22</v>
      </c>
      <c r="J117" s="390">
        <f t="shared" si="29"/>
        <v>1.129999999999999</v>
      </c>
      <c r="K117" s="391">
        <f t="shared" si="41"/>
        <v>2997.12</v>
      </c>
      <c r="L117" s="398">
        <v>0</v>
      </c>
      <c r="M117" s="398">
        <v>0</v>
      </c>
      <c r="N117" s="164">
        <f t="shared" si="30"/>
        <v>2997.12</v>
      </c>
      <c r="O117" s="399">
        <f t="shared" si="31"/>
        <v>0</v>
      </c>
      <c r="P117" s="392">
        <f t="shared" si="42"/>
        <v>0</v>
      </c>
      <c r="Q117" s="164">
        <f t="shared" si="32"/>
        <v>0</v>
      </c>
      <c r="R117" s="164">
        <f t="shared" si="33"/>
        <v>0</v>
      </c>
      <c r="S117" s="164">
        <f t="shared" si="34"/>
        <v>0</v>
      </c>
      <c r="T117" s="164">
        <f t="shared" si="35"/>
        <v>0</v>
      </c>
      <c r="U117" s="164">
        <f t="shared" si="36"/>
        <v>0</v>
      </c>
      <c r="V117" s="393">
        <f t="shared" si="37"/>
        <v>2997.12</v>
      </c>
      <c r="W117" s="393">
        <f t="shared" si="38"/>
        <v>-2997.12</v>
      </c>
      <c r="Y117" s="393">
        <f t="shared" si="43"/>
        <v>108.48</v>
      </c>
      <c r="Z117" s="393">
        <f t="shared" si="44"/>
        <v>-108.48</v>
      </c>
      <c r="AD117" s="395">
        <f>IF(AH117&gt;AH116,AD116,IF(AD116&lt;MiscData!$F$1,EOMONTH(AD116,1),EOMONTH(AD116,-11)))</f>
        <v>42063</v>
      </c>
      <c r="AE117" s="389" t="str">
        <f t="shared" si="39"/>
        <v>20140101KUUM_413</v>
      </c>
      <c r="AF117" s="437" t="str">
        <f t="shared" si="40"/>
        <v>20140101RLS</v>
      </c>
      <c r="AG117" s="438"/>
      <c r="AH117" s="34">
        <f>IF(AH116=MiscData!$AB$91,1,AH116+1)</f>
        <v>28</v>
      </c>
      <c r="AI117" s="34">
        <f>IF(AD117&lt;=MiscData!$B$23,MiscData!$C$23,IF(AD117&lt;=MiscData!$B$24,MiscData!$C$24,MiscData!$C$25))</f>
        <v>20140101</v>
      </c>
      <c r="AK117" s="439" t="str">
        <f>VLOOKUP(AM117,MiscData!$AB$4:$ACB$113,2,FALSE)</f>
        <v>KUUM_413</v>
      </c>
      <c r="AL117" s="439" t="str">
        <f>VLOOKUP(AM117,MiscData!$AB$4:$AE$115,4,FALSE)</f>
        <v>RLS</v>
      </c>
      <c r="AM117" s="34">
        <f>IF(AM116=MiscData!$AB$91,1,AM116+1)</f>
        <v>28</v>
      </c>
    </row>
    <row r="118" spans="1:39">
      <c r="A118" s="389">
        <f t="shared" si="45"/>
        <v>117</v>
      </c>
      <c r="B118" s="395" t="str">
        <f t="shared" si="23"/>
        <v>Feb 2015</v>
      </c>
      <c r="C118" s="396" t="str">
        <f t="shared" si="24"/>
        <v>LS</v>
      </c>
      <c r="D118" s="396" t="str">
        <f t="shared" si="25"/>
        <v>KUUM_414</v>
      </c>
      <c r="E118" s="394">
        <f t="shared" si="26"/>
        <v>21</v>
      </c>
      <c r="F118" s="397">
        <v>0</v>
      </c>
      <c r="G118" s="394">
        <f t="shared" si="27"/>
        <v>0</v>
      </c>
      <c r="H118" s="394">
        <v>0</v>
      </c>
      <c r="I118" s="390">
        <f t="shared" si="28"/>
        <v>30.84</v>
      </c>
      <c r="J118" s="390">
        <f t="shared" si="29"/>
        <v>0.79999999999999716</v>
      </c>
      <c r="K118" s="391">
        <f t="shared" si="41"/>
        <v>647.64</v>
      </c>
      <c r="L118" s="398">
        <v>0</v>
      </c>
      <c r="M118" s="398">
        <v>0</v>
      </c>
      <c r="N118" s="164">
        <f t="shared" si="30"/>
        <v>647.64</v>
      </c>
      <c r="O118" s="399">
        <f t="shared" si="31"/>
        <v>0</v>
      </c>
      <c r="P118" s="392">
        <f t="shared" si="42"/>
        <v>0</v>
      </c>
      <c r="Q118" s="164">
        <f t="shared" si="32"/>
        <v>0</v>
      </c>
      <c r="R118" s="164">
        <f t="shared" si="33"/>
        <v>0</v>
      </c>
      <c r="S118" s="164">
        <f t="shared" si="34"/>
        <v>0</v>
      </c>
      <c r="T118" s="164">
        <f t="shared" si="35"/>
        <v>0</v>
      </c>
      <c r="U118" s="164">
        <f t="shared" si="36"/>
        <v>0</v>
      </c>
      <c r="V118" s="393">
        <f t="shared" si="37"/>
        <v>647.64</v>
      </c>
      <c r="W118" s="393">
        <f t="shared" si="38"/>
        <v>-647.64</v>
      </c>
      <c r="Y118" s="393">
        <f t="shared" si="43"/>
        <v>16.8</v>
      </c>
      <c r="Z118" s="393">
        <f t="shared" si="44"/>
        <v>-16.8</v>
      </c>
      <c r="AD118" s="395">
        <f>IF(AH118&gt;AH117,AD117,IF(AD117&lt;MiscData!$F$1,EOMONTH(AD117,1),EOMONTH(AD117,-11)))</f>
        <v>42063</v>
      </c>
      <c r="AE118" s="389" t="str">
        <f t="shared" si="39"/>
        <v>20140101KUUM_414</v>
      </c>
      <c r="AF118" s="437" t="str">
        <f t="shared" si="40"/>
        <v>20140101LS</v>
      </c>
      <c r="AG118" s="438"/>
      <c r="AH118" s="34">
        <f>IF(AH117=MiscData!$AB$91,1,AH117+1)</f>
        <v>29</v>
      </c>
      <c r="AI118" s="34">
        <f>IF(AD118&lt;=MiscData!$B$23,MiscData!$C$23,IF(AD118&lt;=MiscData!$B$24,MiscData!$C$24,MiscData!$C$25))</f>
        <v>20140101</v>
      </c>
      <c r="AK118" s="439" t="str">
        <f>VLOOKUP(AM118,MiscData!$AB$4:$ACB$113,2,FALSE)</f>
        <v>KUUM_414</v>
      </c>
      <c r="AL118" s="439" t="str">
        <f>VLOOKUP(AM118,MiscData!$AB$4:$AE$115,4,FALSE)</f>
        <v>LS</v>
      </c>
      <c r="AM118" s="34">
        <f>IF(AM117=MiscData!$AB$91,1,AM117+1)</f>
        <v>29</v>
      </c>
    </row>
    <row r="119" spans="1:39">
      <c r="A119" s="389">
        <f t="shared" si="45"/>
        <v>118</v>
      </c>
      <c r="B119" s="395" t="str">
        <f t="shared" si="23"/>
        <v>Feb 2015</v>
      </c>
      <c r="C119" s="396" t="str">
        <f t="shared" si="24"/>
        <v>LS</v>
      </c>
      <c r="D119" s="396" t="str">
        <f t="shared" si="25"/>
        <v>KUUM_415</v>
      </c>
      <c r="E119" s="394">
        <f t="shared" si="26"/>
        <v>10</v>
      </c>
      <c r="F119" s="397">
        <v>0</v>
      </c>
      <c r="G119" s="394">
        <f t="shared" si="27"/>
        <v>0</v>
      </c>
      <c r="H119" s="394">
        <v>0</v>
      </c>
      <c r="I119" s="390">
        <f t="shared" si="28"/>
        <v>31.22</v>
      </c>
      <c r="J119" s="390">
        <f t="shared" si="29"/>
        <v>1.129999999999999</v>
      </c>
      <c r="K119" s="391">
        <f t="shared" si="41"/>
        <v>312.2</v>
      </c>
      <c r="L119" s="398">
        <v>0</v>
      </c>
      <c r="M119" s="398">
        <v>0</v>
      </c>
      <c r="N119" s="164">
        <f t="shared" si="30"/>
        <v>312.2</v>
      </c>
      <c r="O119" s="399">
        <f t="shared" si="31"/>
        <v>0</v>
      </c>
      <c r="P119" s="392">
        <f t="shared" si="42"/>
        <v>0</v>
      </c>
      <c r="Q119" s="164">
        <f t="shared" si="32"/>
        <v>0</v>
      </c>
      <c r="R119" s="164">
        <f t="shared" si="33"/>
        <v>0</v>
      </c>
      <c r="S119" s="164">
        <f t="shared" si="34"/>
        <v>0</v>
      </c>
      <c r="T119" s="164">
        <f t="shared" si="35"/>
        <v>0</v>
      </c>
      <c r="U119" s="164">
        <f t="shared" si="36"/>
        <v>0</v>
      </c>
      <c r="V119" s="393">
        <f t="shared" si="37"/>
        <v>312.2</v>
      </c>
      <c r="W119" s="393">
        <f t="shared" si="38"/>
        <v>-312.2</v>
      </c>
      <c r="Y119" s="393">
        <f t="shared" si="43"/>
        <v>11.3</v>
      </c>
      <c r="Z119" s="393">
        <f t="shared" si="44"/>
        <v>-11.3</v>
      </c>
      <c r="AD119" s="395">
        <f>IF(AH119&gt;AH118,AD118,IF(AD118&lt;MiscData!$F$1,EOMONTH(AD118,1),EOMONTH(AD118,-11)))</f>
        <v>42063</v>
      </c>
      <c r="AE119" s="389" t="str">
        <f t="shared" si="39"/>
        <v>20140101KUUM_415</v>
      </c>
      <c r="AF119" s="437" t="str">
        <f t="shared" si="40"/>
        <v>20140101LS</v>
      </c>
      <c r="AG119" s="438"/>
      <c r="AH119" s="34">
        <f>IF(AH118=MiscData!$AB$91,1,AH118+1)</f>
        <v>30</v>
      </c>
      <c r="AI119" s="34">
        <f>IF(AD119&lt;=MiscData!$B$23,MiscData!$C$23,IF(AD119&lt;=MiscData!$B$24,MiscData!$C$24,MiscData!$C$25))</f>
        <v>20140101</v>
      </c>
      <c r="AK119" s="439" t="str">
        <f>VLOOKUP(AM119,MiscData!$AB$4:$ACB$113,2,FALSE)</f>
        <v>KUUM_415</v>
      </c>
      <c r="AL119" s="439" t="str">
        <f>VLOOKUP(AM119,MiscData!$AB$4:$AE$115,4,FALSE)</f>
        <v>LS</v>
      </c>
      <c r="AM119" s="34">
        <f>IF(AM118=MiscData!$AB$91,1,AM118+1)</f>
        <v>30</v>
      </c>
    </row>
    <row r="120" spans="1:39">
      <c r="A120" s="389">
        <f t="shared" si="45"/>
        <v>119</v>
      </c>
      <c r="B120" s="395" t="str">
        <f t="shared" si="23"/>
        <v>Feb 2015</v>
      </c>
      <c r="C120" s="396" t="str">
        <f t="shared" si="24"/>
        <v>LS</v>
      </c>
      <c r="D120" s="396" t="str">
        <f t="shared" si="25"/>
        <v>KUUM_420</v>
      </c>
      <c r="E120" s="394">
        <f t="shared" si="26"/>
        <v>462</v>
      </c>
      <c r="F120" s="397">
        <v>0</v>
      </c>
      <c r="G120" s="394">
        <f t="shared" si="27"/>
        <v>0</v>
      </c>
      <c r="H120" s="394">
        <v>0</v>
      </c>
      <c r="I120" s="390">
        <f t="shared" si="28"/>
        <v>15.360000000000001</v>
      </c>
      <c r="J120" s="390">
        <f t="shared" si="29"/>
        <v>1.1300000000000008</v>
      </c>
      <c r="K120" s="391">
        <f t="shared" si="41"/>
        <v>7096.32</v>
      </c>
      <c r="L120" s="398">
        <v>0</v>
      </c>
      <c r="M120" s="398">
        <v>0</v>
      </c>
      <c r="N120" s="164">
        <f t="shared" si="30"/>
        <v>7096.32</v>
      </c>
      <c r="O120" s="399">
        <f t="shared" si="31"/>
        <v>0</v>
      </c>
      <c r="P120" s="392">
        <f t="shared" si="42"/>
        <v>0</v>
      </c>
      <c r="Q120" s="164">
        <f t="shared" si="32"/>
        <v>0</v>
      </c>
      <c r="R120" s="164">
        <f t="shared" si="33"/>
        <v>0</v>
      </c>
      <c r="S120" s="164">
        <f t="shared" si="34"/>
        <v>0</v>
      </c>
      <c r="T120" s="164">
        <f t="shared" si="35"/>
        <v>0</v>
      </c>
      <c r="U120" s="164">
        <f t="shared" si="36"/>
        <v>0</v>
      </c>
      <c r="V120" s="393">
        <f t="shared" si="37"/>
        <v>7096.32</v>
      </c>
      <c r="W120" s="393">
        <f t="shared" si="38"/>
        <v>-7096.32</v>
      </c>
      <c r="Y120" s="393">
        <f t="shared" si="43"/>
        <v>522.05999999999995</v>
      </c>
      <c r="Z120" s="393">
        <f t="shared" si="44"/>
        <v>-522.05999999999995</v>
      </c>
      <c r="AD120" s="395">
        <f>IF(AH120&gt;AH119,AD119,IF(AD119&lt;MiscData!$F$1,EOMONTH(AD119,1),EOMONTH(AD119,-11)))</f>
        <v>42063</v>
      </c>
      <c r="AE120" s="389" t="str">
        <f t="shared" si="39"/>
        <v>20140101KUUM_420</v>
      </c>
      <c r="AF120" s="437" t="str">
        <f t="shared" si="40"/>
        <v>20140101LS</v>
      </c>
      <c r="AG120" s="438"/>
      <c r="AH120" s="34">
        <f>IF(AH119=MiscData!$AB$91,1,AH119+1)</f>
        <v>31</v>
      </c>
      <c r="AI120" s="34">
        <f>IF(AD120&lt;=MiscData!$B$23,MiscData!$C$23,IF(AD120&lt;=MiscData!$B$24,MiscData!$C$24,MiscData!$C$25))</f>
        <v>20140101</v>
      </c>
      <c r="AK120" s="439" t="str">
        <f>VLOOKUP(AM120,MiscData!$AB$4:$ACB$113,2,FALSE)</f>
        <v>KUUM_420</v>
      </c>
      <c r="AL120" s="439" t="str">
        <f>VLOOKUP(AM120,MiscData!$AB$4:$AE$115,4,FALSE)</f>
        <v>LS</v>
      </c>
      <c r="AM120" s="34">
        <f>IF(AM119=MiscData!$AB$91,1,AM119+1)</f>
        <v>31</v>
      </c>
    </row>
    <row r="121" spans="1:39">
      <c r="A121" s="389">
        <f t="shared" si="45"/>
        <v>120</v>
      </c>
      <c r="B121" s="395" t="str">
        <f t="shared" si="23"/>
        <v>Feb 2015</v>
      </c>
      <c r="C121" s="396" t="str">
        <f t="shared" si="24"/>
        <v>RLS</v>
      </c>
      <c r="D121" s="396" t="str">
        <f t="shared" si="25"/>
        <v>KUUM_421</v>
      </c>
      <c r="E121" s="394">
        <f t="shared" si="26"/>
        <v>5</v>
      </c>
      <c r="F121" s="397">
        <v>0</v>
      </c>
      <c r="G121" s="394">
        <f t="shared" si="27"/>
        <v>0</v>
      </c>
      <c r="H121" s="394">
        <v>0</v>
      </c>
      <c r="I121" s="390">
        <f t="shared" si="28"/>
        <v>3.39</v>
      </c>
      <c r="J121" s="390">
        <f t="shared" si="29"/>
        <v>0.98999999999999977</v>
      </c>
      <c r="K121" s="391">
        <f t="shared" si="41"/>
        <v>16.95</v>
      </c>
      <c r="L121" s="398">
        <v>0</v>
      </c>
      <c r="M121" s="398">
        <v>0</v>
      </c>
      <c r="N121" s="164">
        <f t="shared" si="30"/>
        <v>16.95</v>
      </c>
      <c r="O121" s="399">
        <f t="shared" si="31"/>
        <v>0</v>
      </c>
      <c r="P121" s="392">
        <f t="shared" si="42"/>
        <v>0</v>
      </c>
      <c r="Q121" s="164">
        <f t="shared" si="32"/>
        <v>0</v>
      </c>
      <c r="R121" s="164">
        <f t="shared" si="33"/>
        <v>0</v>
      </c>
      <c r="S121" s="164">
        <f t="shared" si="34"/>
        <v>0</v>
      </c>
      <c r="T121" s="164">
        <f t="shared" si="35"/>
        <v>0</v>
      </c>
      <c r="U121" s="164">
        <f t="shared" si="36"/>
        <v>0</v>
      </c>
      <c r="V121" s="393">
        <f t="shared" si="37"/>
        <v>16.95</v>
      </c>
      <c r="W121" s="393">
        <f t="shared" si="38"/>
        <v>-16.95</v>
      </c>
      <c r="Y121" s="393">
        <f t="shared" si="43"/>
        <v>4.95</v>
      </c>
      <c r="Z121" s="393">
        <f t="shared" si="44"/>
        <v>-4.95</v>
      </c>
      <c r="AD121" s="395">
        <f>IF(AH121&gt;AH120,AD120,IF(AD120&lt;MiscData!$F$1,EOMONTH(AD120,1),EOMONTH(AD120,-11)))</f>
        <v>42063</v>
      </c>
      <c r="AE121" s="389" t="str">
        <f t="shared" si="39"/>
        <v>20140101KUUM_421</v>
      </c>
      <c r="AF121" s="437" t="str">
        <f t="shared" si="40"/>
        <v>20140101RLS</v>
      </c>
      <c r="AG121" s="438"/>
      <c r="AH121" s="34">
        <f>IF(AH120=MiscData!$AB$91,1,AH120+1)</f>
        <v>32</v>
      </c>
      <c r="AI121" s="34">
        <f>IF(AD121&lt;=MiscData!$B$23,MiscData!$C$23,IF(AD121&lt;=MiscData!$B$24,MiscData!$C$24,MiscData!$C$25))</f>
        <v>20140101</v>
      </c>
      <c r="AK121" s="439" t="str">
        <f>VLOOKUP(AM121,MiscData!$AB$4:$ACB$113,2,FALSE)</f>
        <v>KUUM_421</v>
      </c>
      <c r="AL121" s="439" t="str">
        <f>VLOOKUP(AM121,MiscData!$AB$4:$AE$115,4,FALSE)</f>
        <v>RLS</v>
      </c>
      <c r="AM121" s="34">
        <f>IF(AM120=MiscData!$AB$91,1,AM120+1)</f>
        <v>32</v>
      </c>
    </row>
    <row r="122" spans="1:39">
      <c r="A122" s="389">
        <f t="shared" si="45"/>
        <v>121</v>
      </c>
      <c r="B122" s="395" t="str">
        <f t="shared" si="23"/>
        <v>Feb 2015</v>
      </c>
      <c r="C122" s="396" t="str">
        <f t="shared" si="24"/>
        <v>RLS</v>
      </c>
      <c r="D122" s="396" t="str">
        <f t="shared" si="25"/>
        <v>KUUM_422</v>
      </c>
      <c r="E122" s="394">
        <f t="shared" si="26"/>
        <v>686</v>
      </c>
      <c r="F122" s="397">
        <v>0</v>
      </c>
      <c r="G122" s="394">
        <f t="shared" si="27"/>
        <v>0</v>
      </c>
      <c r="H122" s="394">
        <v>0</v>
      </c>
      <c r="I122" s="390">
        <f t="shared" si="28"/>
        <v>4.5400000000000009</v>
      </c>
      <c r="J122" s="390">
        <f t="shared" si="29"/>
        <v>1.9400000000000004</v>
      </c>
      <c r="K122" s="391">
        <f t="shared" si="41"/>
        <v>3114.44</v>
      </c>
      <c r="L122" s="398">
        <v>0</v>
      </c>
      <c r="M122" s="398">
        <v>0</v>
      </c>
      <c r="N122" s="164">
        <f t="shared" si="30"/>
        <v>3114.44</v>
      </c>
      <c r="O122" s="399">
        <f t="shared" si="31"/>
        <v>0</v>
      </c>
      <c r="P122" s="392">
        <f t="shared" si="42"/>
        <v>0</v>
      </c>
      <c r="Q122" s="164">
        <f t="shared" si="32"/>
        <v>0</v>
      </c>
      <c r="R122" s="164">
        <f t="shared" si="33"/>
        <v>0</v>
      </c>
      <c r="S122" s="164">
        <f t="shared" si="34"/>
        <v>0</v>
      </c>
      <c r="T122" s="164">
        <f t="shared" si="35"/>
        <v>0</v>
      </c>
      <c r="U122" s="164">
        <f t="shared" si="36"/>
        <v>0</v>
      </c>
      <c r="V122" s="393">
        <f t="shared" si="37"/>
        <v>3114.44</v>
      </c>
      <c r="W122" s="393">
        <f t="shared" si="38"/>
        <v>-3114.44</v>
      </c>
      <c r="Y122" s="393">
        <f t="shared" si="43"/>
        <v>1330.84</v>
      </c>
      <c r="Z122" s="393">
        <f t="shared" si="44"/>
        <v>-1330.84</v>
      </c>
      <c r="AD122" s="395">
        <f>IF(AH122&gt;AH121,AD121,IF(AD121&lt;MiscData!$F$1,EOMONTH(AD121,1),EOMONTH(AD121,-11)))</f>
        <v>42063</v>
      </c>
      <c r="AE122" s="389" t="str">
        <f t="shared" si="39"/>
        <v>20140101KUUM_422</v>
      </c>
      <c r="AF122" s="437" t="str">
        <f t="shared" si="40"/>
        <v>20140101RLS</v>
      </c>
      <c r="AG122" s="438"/>
      <c r="AH122" s="34">
        <f>IF(AH121=MiscData!$AB$91,1,AH121+1)</f>
        <v>33</v>
      </c>
      <c r="AI122" s="34">
        <f>IF(AD122&lt;=MiscData!$B$23,MiscData!$C$23,IF(AD122&lt;=MiscData!$B$24,MiscData!$C$24,MiscData!$C$25))</f>
        <v>20140101</v>
      </c>
      <c r="AK122" s="439" t="str">
        <f>VLOOKUP(AM122,MiscData!$AB$4:$ACB$113,2,FALSE)</f>
        <v>KUUM_422</v>
      </c>
      <c r="AL122" s="439" t="str">
        <f>VLOOKUP(AM122,MiscData!$AB$4:$AE$115,4,FALSE)</f>
        <v>RLS</v>
      </c>
      <c r="AM122" s="34">
        <f>IF(AM121=MiscData!$AB$91,1,AM121+1)</f>
        <v>33</v>
      </c>
    </row>
    <row r="123" spans="1:39">
      <c r="A123" s="389">
        <f t="shared" si="45"/>
        <v>122</v>
      </c>
      <c r="B123" s="395" t="str">
        <f t="shared" si="23"/>
        <v>Feb 2015</v>
      </c>
      <c r="C123" s="396" t="str">
        <f t="shared" si="24"/>
        <v>RLS</v>
      </c>
      <c r="D123" s="396" t="str">
        <f t="shared" si="25"/>
        <v>KUUM_424</v>
      </c>
      <c r="E123" s="394">
        <f t="shared" si="26"/>
        <v>87</v>
      </c>
      <c r="F123" s="397">
        <v>0</v>
      </c>
      <c r="G123" s="394">
        <f t="shared" si="27"/>
        <v>0</v>
      </c>
      <c r="H123" s="394">
        <v>0</v>
      </c>
      <c r="I123" s="390">
        <f t="shared" si="28"/>
        <v>6.78</v>
      </c>
      <c r="J123" s="390">
        <f t="shared" si="29"/>
        <v>0.69999999999999929</v>
      </c>
      <c r="K123" s="391">
        <f t="shared" si="41"/>
        <v>589.86</v>
      </c>
      <c r="L123" s="398">
        <v>0</v>
      </c>
      <c r="M123" s="398">
        <v>0</v>
      </c>
      <c r="N123" s="164">
        <f t="shared" si="30"/>
        <v>589.86</v>
      </c>
      <c r="O123" s="399">
        <f t="shared" si="31"/>
        <v>0</v>
      </c>
      <c r="P123" s="392">
        <f t="shared" si="42"/>
        <v>0</v>
      </c>
      <c r="Q123" s="164">
        <f t="shared" si="32"/>
        <v>0</v>
      </c>
      <c r="R123" s="164">
        <f t="shared" si="33"/>
        <v>0</v>
      </c>
      <c r="S123" s="164">
        <f t="shared" si="34"/>
        <v>0</v>
      </c>
      <c r="T123" s="164">
        <f t="shared" si="35"/>
        <v>0</v>
      </c>
      <c r="U123" s="164">
        <f t="shared" si="36"/>
        <v>0</v>
      </c>
      <c r="V123" s="393">
        <f t="shared" si="37"/>
        <v>589.86</v>
      </c>
      <c r="W123" s="393">
        <f t="shared" si="38"/>
        <v>-589.86</v>
      </c>
      <c r="Y123" s="393">
        <f t="shared" si="43"/>
        <v>60.9</v>
      </c>
      <c r="Z123" s="393">
        <f t="shared" si="44"/>
        <v>-60.9</v>
      </c>
      <c r="AD123" s="395">
        <f>IF(AH123&gt;AH122,AD122,IF(AD122&lt;MiscData!$F$1,EOMONTH(AD122,1),EOMONTH(AD122,-11)))</f>
        <v>42063</v>
      </c>
      <c r="AE123" s="389" t="str">
        <f t="shared" si="39"/>
        <v>20140101KUUM_424</v>
      </c>
      <c r="AF123" s="437" t="str">
        <f t="shared" si="40"/>
        <v>20140101RLS</v>
      </c>
      <c r="AG123" s="438"/>
      <c r="AH123" s="34">
        <f>IF(AH122=MiscData!$AB$91,1,AH122+1)</f>
        <v>34</v>
      </c>
      <c r="AI123" s="34">
        <f>IF(AD123&lt;=MiscData!$B$23,MiscData!$C$23,IF(AD123&lt;=MiscData!$B$24,MiscData!$C$24,MiscData!$C$25))</f>
        <v>20140101</v>
      </c>
      <c r="AK123" s="439" t="str">
        <f>VLOOKUP(AM123,MiscData!$AB$4:$ACB$113,2,FALSE)</f>
        <v>KUUM_424</v>
      </c>
      <c r="AL123" s="439" t="str">
        <f>VLOOKUP(AM123,MiscData!$AB$4:$AE$115,4,FALSE)</f>
        <v>RLS</v>
      </c>
      <c r="AM123" s="34">
        <f>IF(AM122=MiscData!$AB$91,1,AM122+1)</f>
        <v>34</v>
      </c>
    </row>
    <row r="124" spans="1:39">
      <c r="A124" s="389">
        <f t="shared" si="45"/>
        <v>123</v>
      </c>
      <c r="B124" s="395" t="str">
        <f t="shared" si="23"/>
        <v>Feb 2015</v>
      </c>
      <c r="C124" s="396" t="str">
        <f t="shared" si="24"/>
        <v>RLS</v>
      </c>
      <c r="D124" s="396" t="str">
        <f t="shared" si="25"/>
        <v>KUUM_425</v>
      </c>
      <c r="E124" s="394">
        <f t="shared" si="26"/>
        <v>2</v>
      </c>
      <c r="F124" s="397">
        <v>0</v>
      </c>
      <c r="G124" s="394">
        <f t="shared" si="27"/>
        <v>0</v>
      </c>
      <c r="H124" s="394">
        <v>0</v>
      </c>
      <c r="I124" s="390">
        <f t="shared" si="28"/>
        <v>9.06</v>
      </c>
      <c r="J124" s="390">
        <f t="shared" si="29"/>
        <v>4.3000000000000007</v>
      </c>
      <c r="K124" s="391">
        <f t="shared" si="41"/>
        <v>18.12</v>
      </c>
      <c r="L124" s="398">
        <v>0</v>
      </c>
      <c r="M124" s="398">
        <v>0</v>
      </c>
      <c r="N124" s="164">
        <f t="shared" si="30"/>
        <v>18.12</v>
      </c>
      <c r="O124" s="399">
        <f t="shared" si="31"/>
        <v>0</v>
      </c>
      <c r="P124" s="392">
        <f t="shared" si="42"/>
        <v>0</v>
      </c>
      <c r="Q124" s="164">
        <f t="shared" si="32"/>
        <v>0</v>
      </c>
      <c r="R124" s="164">
        <f t="shared" si="33"/>
        <v>0</v>
      </c>
      <c r="S124" s="164">
        <f t="shared" si="34"/>
        <v>0</v>
      </c>
      <c r="T124" s="164">
        <f t="shared" si="35"/>
        <v>0</v>
      </c>
      <c r="U124" s="164">
        <f t="shared" si="36"/>
        <v>0</v>
      </c>
      <c r="V124" s="393">
        <f t="shared" si="37"/>
        <v>18.12</v>
      </c>
      <c r="W124" s="393">
        <f t="shared" si="38"/>
        <v>-18.12</v>
      </c>
      <c r="Y124" s="393">
        <f t="shared" si="43"/>
        <v>8.6</v>
      </c>
      <c r="Z124" s="393">
        <f t="shared" si="44"/>
        <v>-8.6</v>
      </c>
      <c r="AD124" s="395">
        <f>IF(AH124&gt;AH123,AD123,IF(AD123&lt;MiscData!$F$1,EOMONTH(AD123,1),EOMONTH(AD123,-11)))</f>
        <v>42063</v>
      </c>
      <c r="AE124" s="389" t="str">
        <f t="shared" si="39"/>
        <v>20140101KUUM_425</v>
      </c>
      <c r="AF124" s="437" t="str">
        <f t="shared" si="40"/>
        <v>20140101RLS</v>
      </c>
      <c r="AG124" s="438"/>
      <c r="AH124" s="34">
        <f>IF(AH123=MiscData!$AB$91,1,AH123+1)</f>
        <v>35</v>
      </c>
      <c r="AI124" s="34">
        <f>IF(AD124&lt;=MiscData!$B$23,MiscData!$C$23,IF(AD124&lt;=MiscData!$B$24,MiscData!$C$24,MiscData!$C$25))</f>
        <v>20140101</v>
      </c>
      <c r="AK124" s="439" t="str">
        <f>VLOOKUP(AM124,MiscData!$AB$4:$ACB$113,2,FALSE)</f>
        <v>KUUM_425</v>
      </c>
      <c r="AL124" s="439" t="str">
        <f>VLOOKUP(AM124,MiscData!$AB$4:$AE$115,4,FALSE)</f>
        <v>RLS</v>
      </c>
      <c r="AM124" s="34">
        <f>IF(AM123=MiscData!$AB$91,1,AM123+1)</f>
        <v>35</v>
      </c>
    </row>
    <row r="125" spans="1:39">
      <c r="A125" s="389">
        <f t="shared" si="45"/>
        <v>124</v>
      </c>
      <c r="B125" s="395" t="str">
        <f t="shared" si="23"/>
        <v>Feb 2015</v>
      </c>
      <c r="C125" s="396" t="str">
        <f t="shared" si="24"/>
        <v>RLS</v>
      </c>
      <c r="D125" s="396" t="str">
        <f t="shared" si="25"/>
        <v>KUUM_426</v>
      </c>
      <c r="E125" s="394">
        <f t="shared" si="26"/>
        <v>171</v>
      </c>
      <c r="F125" s="397">
        <v>0</v>
      </c>
      <c r="G125" s="394">
        <f t="shared" si="27"/>
        <v>0</v>
      </c>
      <c r="H125" s="394">
        <v>0</v>
      </c>
      <c r="I125" s="390">
        <f t="shared" si="28"/>
        <v>7.4399999999999995</v>
      </c>
      <c r="J125" s="390">
        <f t="shared" si="29"/>
        <v>0.79999999999999982</v>
      </c>
      <c r="K125" s="391">
        <f t="shared" si="41"/>
        <v>1272.24</v>
      </c>
      <c r="L125" s="398">
        <v>0</v>
      </c>
      <c r="M125" s="398">
        <v>0</v>
      </c>
      <c r="N125" s="164">
        <f t="shared" si="30"/>
        <v>1272.24</v>
      </c>
      <c r="O125" s="399">
        <f t="shared" si="31"/>
        <v>0</v>
      </c>
      <c r="P125" s="392">
        <f t="shared" si="42"/>
        <v>0</v>
      </c>
      <c r="Q125" s="164">
        <f t="shared" si="32"/>
        <v>0</v>
      </c>
      <c r="R125" s="164">
        <f t="shared" si="33"/>
        <v>0</v>
      </c>
      <c r="S125" s="164">
        <f t="shared" si="34"/>
        <v>0</v>
      </c>
      <c r="T125" s="164">
        <f t="shared" si="35"/>
        <v>0</v>
      </c>
      <c r="U125" s="164">
        <f t="shared" si="36"/>
        <v>0</v>
      </c>
      <c r="V125" s="393">
        <f t="shared" si="37"/>
        <v>1272.24</v>
      </c>
      <c r="W125" s="393">
        <f t="shared" si="38"/>
        <v>-1272.24</v>
      </c>
      <c r="Y125" s="393">
        <f t="shared" si="43"/>
        <v>136.80000000000001</v>
      </c>
      <c r="Z125" s="393">
        <f t="shared" si="44"/>
        <v>-136.80000000000001</v>
      </c>
      <c r="AD125" s="395">
        <f>IF(AH125&gt;AH124,AD124,IF(AD124&lt;MiscData!$F$1,EOMONTH(AD124,1),EOMONTH(AD124,-11)))</f>
        <v>42063</v>
      </c>
      <c r="AE125" s="389" t="str">
        <f t="shared" si="39"/>
        <v>20140101KUUM_426</v>
      </c>
      <c r="AF125" s="437" t="str">
        <f t="shared" si="40"/>
        <v>20140101RLS</v>
      </c>
      <c r="AG125" s="438"/>
      <c r="AH125" s="34">
        <f>IF(AH124=MiscData!$AB$91,1,AH124+1)</f>
        <v>36</v>
      </c>
      <c r="AI125" s="34">
        <f>IF(AD125&lt;=MiscData!$B$23,MiscData!$C$23,IF(AD125&lt;=MiscData!$B$24,MiscData!$C$24,MiscData!$C$25))</f>
        <v>20140101</v>
      </c>
      <c r="AK125" s="439" t="str">
        <f>VLOOKUP(AM125,MiscData!$AB$4:$ACB$113,2,FALSE)</f>
        <v>KUUM_426</v>
      </c>
      <c r="AL125" s="439" t="str">
        <f>VLOOKUP(AM125,MiscData!$AB$4:$AE$115,4,FALSE)</f>
        <v>RLS</v>
      </c>
      <c r="AM125" s="34">
        <f>IF(AM124=MiscData!$AB$91,1,AM124+1)</f>
        <v>36</v>
      </c>
    </row>
    <row r="126" spans="1:39">
      <c r="A126" s="389">
        <f t="shared" si="45"/>
        <v>125</v>
      </c>
      <c r="B126" s="395" t="str">
        <f t="shared" si="23"/>
        <v>Feb 2015</v>
      </c>
      <c r="C126" s="396" t="str">
        <f t="shared" si="24"/>
        <v>LS</v>
      </c>
      <c r="D126" s="396" t="str">
        <f t="shared" si="25"/>
        <v>KUUM_428</v>
      </c>
      <c r="E126" s="394">
        <f t="shared" si="26"/>
        <v>36616</v>
      </c>
      <c r="F126" s="397">
        <v>0</v>
      </c>
      <c r="G126" s="394">
        <f t="shared" si="27"/>
        <v>0</v>
      </c>
      <c r="H126" s="394">
        <v>0</v>
      </c>
      <c r="I126" s="390">
        <f t="shared" si="28"/>
        <v>7.84</v>
      </c>
      <c r="J126" s="390">
        <f t="shared" si="29"/>
        <v>1.1299999999999999</v>
      </c>
      <c r="K126" s="391">
        <f t="shared" si="41"/>
        <v>287069.44</v>
      </c>
      <c r="L126" s="398">
        <v>0</v>
      </c>
      <c r="M126" s="398">
        <v>0</v>
      </c>
      <c r="N126" s="164">
        <f t="shared" si="30"/>
        <v>287069.44</v>
      </c>
      <c r="O126" s="399">
        <f t="shared" si="31"/>
        <v>0</v>
      </c>
      <c r="P126" s="392">
        <f t="shared" si="42"/>
        <v>0</v>
      </c>
      <c r="Q126" s="164">
        <f t="shared" si="32"/>
        <v>0</v>
      </c>
      <c r="R126" s="164">
        <f t="shared" si="33"/>
        <v>0</v>
      </c>
      <c r="S126" s="164">
        <f t="shared" si="34"/>
        <v>0</v>
      </c>
      <c r="T126" s="164">
        <f t="shared" si="35"/>
        <v>0</v>
      </c>
      <c r="U126" s="164">
        <f t="shared" si="36"/>
        <v>0</v>
      </c>
      <c r="V126" s="393">
        <f t="shared" si="37"/>
        <v>287069.44</v>
      </c>
      <c r="W126" s="393">
        <f t="shared" si="38"/>
        <v>-287069.44</v>
      </c>
      <c r="Y126" s="393">
        <f t="shared" si="43"/>
        <v>41376.080000000002</v>
      </c>
      <c r="Z126" s="393">
        <f t="shared" si="44"/>
        <v>-41376.080000000002</v>
      </c>
      <c r="AD126" s="395">
        <f>IF(AH126&gt;AH125,AD125,IF(AD125&lt;MiscData!$F$1,EOMONTH(AD125,1),EOMONTH(AD125,-11)))</f>
        <v>42063</v>
      </c>
      <c r="AE126" s="389" t="str">
        <f t="shared" si="39"/>
        <v>20140101KUUM_428</v>
      </c>
      <c r="AF126" s="437" t="str">
        <f t="shared" si="40"/>
        <v>20140101LS</v>
      </c>
      <c r="AG126" s="438"/>
      <c r="AH126" s="34">
        <f>IF(AH125=MiscData!$AB$91,1,AH125+1)</f>
        <v>37</v>
      </c>
      <c r="AI126" s="34">
        <f>IF(AD126&lt;=MiscData!$B$23,MiscData!$C$23,IF(AD126&lt;=MiscData!$B$24,MiscData!$C$24,MiscData!$C$25))</f>
        <v>20140101</v>
      </c>
      <c r="AK126" s="439" t="str">
        <f>VLOOKUP(AM126,MiscData!$AB$4:$ACB$113,2,FALSE)</f>
        <v>KUUM_428</v>
      </c>
      <c r="AL126" s="439" t="str">
        <f>VLOOKUP(AM126,MiscData!$AB$4:$AE$115,4,FALSE)</f>
        <v>LS</v>
      </c>
      <c r="AM126" s="34">
        <f>IF(AM125=MiscData!$AB$91,1,AM125+1)</f>
        <v>37</v>
      </c>
    </row>
    <row r="127" spans="1:39">
      <c r="A127" s="389">
        <f t="shared" si="45"/>
        <v>126</v>
      </c>
      <c r="B127" s="395" t="str">
        <f t="shared" si="23"/>
        <v>Feb 2015</v>
      </c>
      <c r="C127" s="396" t="str">
        <f t="shared" si="24"/>
        <v>LS</v>
      </c>
      <c r="D127" s="396" t="str">
        <f t="shared" si="25"/>
        <v>KUUM_429</v>
      </c>
      <c r="E127" s="394">
        <f t="shared" si="26"/>
        <v>0</v>
      </c>
      <c r="F127" s="397">
        <v>0</v>
      </c>
      <c r="G127" s="394">
        <f t="shared" si="27"/>
        <v>0</v>
      </c>
      <c r="H127" s="394">
        <v>0</v>
      </c>
      <c r="I127" s="390">
        <f t="shared" si="28"/>
        <v>0</v>
      </c>
      <c r="J127" s="390">
        <f t="shared" si="29"/>
        <v>0</v>
      </c>
      <c r="K127" s="391">
        <f t="shared" si="41"/>
        <v>0</v>
      </c>
      <c r="L127" s="398">
        <v>0</v>
      </c>
      <c r="M127" s="398">
        <v>0</v>
      </c>
      <c r="N127" s="164">
        <f t="shared" si="30"/>
        <v>0</v>
      </c>
      <c r="O127" s="399">
        <f t="shared" si="31"/>
        <v>0</v>
      </c>
      <c r="P127" s="392">
        <f t="shared" si="42"/>
        <v>1</v>
      </c>
      <c r="Q127" s="164">
        <f t="shared" si="32"/>
        <v>0</v>
      </c>
      <c r="R127" s="164">
        <f t="shared" si="33"/>
        <v>0</v>
      </c>
      <c r="S127" s="164">
        <f t="shared" si="34"/>
        <v>0</v>
      </c>
      <c r="T127" s="164">
        <f t="shared" si="35"/>
        <v>0</v>
      </c>
      <c r="U127" s="164">
        <f t="shared" si="36"/>
        <v>0</v>
      </c>
      <c r="V127" s="393">
        <f t="shared" si="37"/>
        <v>0</v>
      </c>
      <c r="W127" s="393">
        <f t="shared" si="38"/>
        <v>0</v>
      </c>
      <c r="Y127" s="393">
        <f t="shared" si="43"/>
        <v>0</v>
      </c>
      <c r="Z127" s="393">
        <f t="shared" si="44"/>
        <v>0</v>
      </c>
      <c r="AD127" s="395">
        <f>IF(AH127&gt;AH126,AD126,IF(AD126&lt;MiscData!$F$1,EOMONTH(AD126,1),EOMONTH(AD126,-11)))</f>
        <v>42063</v>
      </c>
      <c r="AE127" s="389" t="str">
        <f t="shared" si="39"/>
        <v>20140101KUUM_429</v>
      </c>
      <c r="AF127" s="437" t="str">
        <f t="shared" si="40"/>
        <v>20140101LS</v>
      </c>
      <c r="AG127" s="438"/>
      <c r="AH127" s="34">
        <f>IF(AH126=MiscData!$AB$91,1,AH126+1)</f>
        <v>38</v>
      </c>
      <c r="AI127" s="34">
        <f>IF(AD127&lt;=MiscData!$B$23,MiscData!$C$23,IF(AD127&lt;=MiscData!$B$24,MiscData!$C$24,MiscData!$C$25))</f>
        <v>20140101</v>
      </c>
      <c r="AK127" s="439" t="str">
        <f>VLOOKUP(AM127,MiscData!$AB$4:$ACB$113,2,FALSE)</f>
        <v>KUUM_429</v>
      </c>
      <c r="AL127" s="439" t="str">
        <f>VLOOKUP(AM127,MiscData!$AB$4:$AE$115,4,FALSE)</f>
        <v>LS</v>
      </c>
      <c r="AM127" s="34">
        <f>IF(AM126=MiscData!$AB$91,1,AM126+1)</f>
        <v>38</v>
      </c>
    </row>
    <row r="128" spans="1:39">
      <c r="A128" s="389">
        <f t="shared" si="45"/>
        <v>127</v>
      </c>
      <c r="B128" s="395" t="str">
        <f t="shared" si="23"/>
        <v>Feb 2015</v>
      </c>
      <c r="C128" s="396" t="str">
        <f t="shared" si="24"/>
        <v>LS</v>
      </c>
      <c r="D128" s="396" t="str">
        <f t="shared" si="25"/>
        <v>KUUM_430</v>
      </c>
      <c r="E128" s="394">
        <f t="shared" si="26"/>
        <v>1148</v>
      </c>
      <c r="F128" s="397">
        <v>0</v>
      </c>
      <c r="G128" s="394">
        <f t="shared" si="27"/>
        <v>0</v>
      </c>
      <c r="H128" s="394">
        <v>0</v>
      </c>
      <c r="I128" s="390">
        <f t="shared" si="28"/>
        <v>22</v>
      </c>
      <c r="J128" s="390">
        <f t="shared" si="29"/>
        <v>1.129999999999999</v>
      </c>
      <c r="K128" s="391">
        <f t="shared" si="41"/>
        <v>25256</v>
      </c>
      <c r="L128" s="398">
        <v>0</v>
      </c>
      <c r="M128" s="398">
        <v>0</v>
      </c>
      <c r="N128" s="164">
        <f t="shared" si="30"/>
        <v>25256</v>
      </c>
      <c r="O128" s="399">
        <f t="shared" si="31"/>
        <v>0</v>
      </c>
      <c r="P128" s="392">
        <f t="shared" si="42"/>
        <v>0</v>
      </c>
      <c r="Q128" s="164">
        <f t="shared" si="32"/>
        <v>0</v>
      </c>
      <c r="R128" s="164">
        <f t="shared" si="33"/>
        <v>0</v>
      </c>
      <c r="S128" s="164">
        <f t="shared" si="34"/>
        <v>0</v>
      </c>
      <c r="T128" s="164">
        <f t="shared" si="35"/>
        <v>0</v>
      </c>
      <c r="U128" s="164">
        <f t="shared" si="36"/>
        <v>0</v>
      </c>
      <c r="V128" s="393">
        <f t="shared" si="37"/>
        <v>25256</v>
      </c>
      <c r="W128" s="393">
        <f t="shared" si="38"/>
        <v>-25256</v>
      </c>
      <c r="Y128" s="393">
        <f t="shared" si="43"/>
        <v>1297.24</v>
      </c>
      <c r="Z128" s="393">
        <f t="shared" si="44"/>
        <v>-1297.24</v>
      </c>
      <c r="AD128" s="395">
        <f>IF(AH128&gt;AH127,AD127,IF(AD127&lt;MiscData!$F$1,EOMONTH(AD127,1),EOMONTH(AD127,-11)))</f>
        <v>42063</v>
      </c>
      <c r="AE128" s="389" t="str">
        <f t="shared" si="39"/>
        <v>20140101KUUM_430</v>
      </c>
      <c r="AF128" s="437" t="str">
        <f t="shared" si="40"/>
        <v>20140101LS</v>
      </c>
      <c r="AG128" s="438"/>
      <c r="AH128" s="34">
        <f>IF(AH127=MiscData!$AB$91,1,AH127+1)</f>
        <v>39</v>
      </c>
      <c r="AI128" s="34">
        <f>IF(AD128&lt;=MiscData!$B$23,MiscData!$C$23,IF(AD128&lt;=MiscData!$B$24,MiscData!$C$24,MiscData!$C$25))</f>
        <v>20140101</v>
      </c>
      <c r="AK128" s="439" t="str">
        <f>VLOOKUP(AM128,MiscData!$AB$4:$ACB$113,2,FALSE)</f>
        <v>KUUM_430</v>
      </c>
      <c r="AL128" s="439" t="str">
        <f>VLOOKUP(AM128,MiscData!$AB$4:$AE$115,4,FALSE)</f>
        <v>LS</v>
      </c>
      <c r="AM128" s="34">
        <f>IF(AM127=MiscData!$AB$91,1,AM127+1)</f>
        <v>39</v>
      </c>
    </row>
    <row r="129" spans="1:39">
      <c r="A129" s="389">
        <f t="shared" si="45"/>
        <v>128</v>
      </c>
      <c r="B129" s="395" t="str">
        <f t="shared" si="23"/>
        <v>Feb 2015</v>
      </c>
      <c r="C129" s="396" t="str">
        <f t="shared" si="24"/>
        <v>RLS</v>
      </c>
      <c r="D129" s="396" t="str">
        <f t="shared" si="25"/>
        <v>KUUM_434</v>
      </c>
      <c r="E129" s="394">
        <f t="shared" si="26"/>
        <v>6</v>
      </c>
      <c r="F129" s="397">
        <v>0</v>
      </c>
      <c r="G129" s="394">
        <f t="shared" si="27"/>
        <v>0</v>
      </c>
      <c r="H129" s="394">
        <v>0</v>
      </c>
      <c r="I129" s="390">
        <f t="shared" si="28"/>
        <v>7.74</v>
      </c>
      <c r="J129" s="390">
        <f t="shared" si="29"/>
        <v>0.69999999999999929</v>
      </c>
      <c r="K129" s="391">
        <f t="shared" si="41"/>
        <v>46.44</v>
      </c>
      <c r="L129" s="398">
        <v>0</v>
      </c>
      <c r="M129" s="398">
        <v>0</v>
      </c>
      <c r="N129" s="164">
        <f t="shared" si="30"/>
        <v>46.44</v>
      </c>
      <c r="O129" s="399">
        <f t="shared" si="31"/>
        <v>0</v>
      </c>
      <c r="P129" s="392">
        <f t="shared" si="42"/>
        <v>0</v>
      </c>
      <c r="Q129" s="164">
        <f t="shared" si="32"/>
        <v>0</v>
      </c>
      <c r="R129" s="164">
        <f t="shared" si="33"/>
        <v>0</v>
      </c>
      <c r="S129" s="164">
        <f t="shared" si="34"/>
        <v>0</v>
      </c>
      <c r="T129" s="164">
        <f t="shared" si="35"/>
        <v>0</v>
      </c>
      <c r="U129" s="164">
        <f t="shared" si="36"/>
        <v>0</v>
      </c>
      <c r="V129" s="393">
        <f t="shared" si="37"/>
        <v>46.44</v>
      </c>
      <c r="W129" s="393">
        <f t="shared" si="38"/>
        <v>-46.44</v>
      </c>
      <c r="Y129" s="393">
        <f t="shared" si="43"/>
        <v>4.2</v>
      </c>
      <c r="Z129" s="393">
        <f t="shared" si="44"/>
        <v>-4.2</v>
      </c>
      <c r="AD129" s="395">
        <f>IF(AH129&gt;AH128,AD128,IF(AD128&lt;MiscData!$F$1,EOMONTH(AD128,1),EOMONTH(AD128,-11)))</f>
        <v>42063</v>
      </c>
      <c r="AE129" s="389" t="str">
        <f t="shared" si="39"/>
        <v>20140101KUUM_434</v>
      </c>
      <c r="AF129" s="437" t="str">
        <f t="shared" si="40"/>
        <v>20140101RLS</v>
      </c>
      <c r="AG129" s="438"/>
      <c r="AH129" s="34">
        <f>IF(AH128=MiscData!$AB$91,1,AH128+1)</f>
        <v>40</v>
      </c>
      <c r="AI129" s="34">
        <f>IF(AD129&lt;=MiscData!$B$23,MiscData!$C$23,IF(AD129&lt;=MiscData!$B$24,MiscData!$C$24,MiscData!$C$25))</f>
        <v>20140101</v>
      </c>
      <c r="AK129" s="439" t="str">
        <f>VLOOKUP(AM129,MiscData!$AB$4:$ACB$113,2,FALSE)</f>
        <v>KUUM_434</v>
      </c>
      <c r="AL129" s="439" t="str">
        <f>VLOOKUP(AM129,MiscData!$AB$4:$AE$115,4,FALSE)</f>
        <v>RLS</v>
      </c>
      <c r="AM129" s="34">
        <f>IF(AM128=MiscData!$AB$91,1,AM128+1)</f>
        <v>40</v>
      </c>
    </row>
    <row r="130" spans="1:39">
      <c r="A130" s="389">
        <f t="shared" si="45"/>
        <v>129</v>
      </c>
      <c r="B130" s="395" t="str">
        <f t="shared" ref="B130:B193" si="46">TEXT(AD130,"mmm yyyy")</f>
        <v>Feb 2015</v>
      </c>
      <c r="C130" s="396" t="str">
        <f t="shared" ref="C130:C193" si="47">AL130</f>
        <v>RLS</v>
      </c>
      <c r="D130" s="396" t="str">
        <f t="shared" ref="D130:D193" si="48">AK130</f>
        <v>KUUM_440</v>
      </c>
      <c r="E130" s="394">
        <f t="shared" ref="E130:E193" si="49">SUMIFS(_1055_Light_Count,_1055_RevMonth,$B130,_1055_RateCategory,$D130)</f>
        <v>2</v>
      </c>
      <c r="F130" s="397">
        <v>0</v>
      </c>
      <c r="G130" s="394">
        <f t="shared" ref="G130:G193" si="50">SUMIFS(_SBR_KWH,_SBR_Revenue_Month,$B130,_SBR_Rate_Category,$D130)</f>
        <v>0</v>
      </c>
      <c r="H130" s="394">
        <v>0</v>
      </c>
      <c r="I130" s="390">
        <f t="shared" ref="I130:I193" si="51">SUMIF(_Lights_Tariff_Category,$AE130,_Lights_Rates)</f>
        <v>13.610000000000001</v>
      </c>
      <c r="J130" s="390">
        <f t="shared" ref="J130:J193" si="52">SUMIF(_Lights_Tariff_Category,$AE130,_Rates_Lights_BaseFAC)</f>
        <v>0.57000000000000028</v>
      </c>
      <c r="K130" s="391">
        <f t="shared" si="41"/>
        <v>27.22</v>
      </c>
      <c r="L130" s="398">
        <v>0</v>
      </c>
      <c r="M130" s="398">
        <v>0</v>
      </c>
      <c r="N130" s="164">
        <f t="shared" ref="N130:N193" si="53">SUM(K130:M130)</f>
        <v>27.22</v>
      </c>
      <c r="O130" s="399">
        <f t="shared" ref="O130:O193" si="54">U130-SUM(Q130:T130)</f>
        <v>0</v>
      </c>
      <c r="P130" s="392">
        <f t="shared" si="42"/>
        <v>0</v>
      </c>
      <c r="Q130" s="164">
        <f t="shared" ref="Q130:Q193" si="55">SUMIFS(_SBR_FAC,_SBR_Revenue_Month,$B130,_SBR_Rate_Category,$D130)</f>
        <v>0</v>
      </c>
      <c r="R130" s="164">
        <f t="shared" ref="R130:R193" si="56">SUMIFS(_SBR_DSM,_SBR_Revenue_Month,$B130,_SBR_Rate_Category,$D130)</f>
        <v>0</v>
      </c>
      <c r="S130" s="164">
        <f t="shared" ref="S130:S193" si="57">SUMIFS(_SBR_ECR,_SBR_Revenue_Month,$B130,_SBR_Rate_Category,$D130)</f>
        <v>0</v>
      </c>
      <c r="T130" s="164">
        <f t="shared" ref="T130:T193" si="58">SUMIFS(_SBR_MSR,_SBR_Revenue_Month,$B130,_SBR_Rate_Category,$D130)</f>
        <v>0</v>
      </c>
      <c r="U130" s="164">
        <f t="shared" ref="U130:U193" si="59">SUMIFS(_SBR_Revenue_Actual,_SBR_Revenue_Month,$B130,_SBR_Rate_Category,$D130)</f>
        <v>0</v>
      </c>
      <c r="V130" s="393">
        <f t="shared" ref="V130:V193" si="60">SUM(N130,Q130:T130)</f>
        <v>27.22</v>
      </c>
      <c r="W130" s="393">
        <f t="shared" ref="W130:W193" si="61">U130-V130</f>
        <v>-27.22</v>
      </c>
      <c r="Y130" s="393">
        <f t="shared" si="43"/>
        <v>1.1399999999999999</v>
      </c>
      <c r="Z130" s="393">
        <f t="shared" si="44"/>
        <v>-1.1399999999999999</v>
      </c>
      <c r="AD130" s="395">
        <f>IF(AH130&gt;AH129,AD129,IF(AD129&lt;MiscData!$F$1,EOMONTH(AD129,1),EOMONTH(AD129,-11)))</f>
        <v>42063</v>
      </c>
      <c r="AE130" s="389" t="str">
        <f t="shared" ref="AE130:AE193" si="62">CONCATENATE(AI130&amp;AK130)</f>
        <v>20140101KUUM_440</v>
      </c>
      <c r="AF130" s="437" t="str">
        <f t="shared" ref="AF130:AF193" si="63">CONCATENATE(AI130&amp;AL130)</f>
        <v>20140101RLS</v>
      </c>
      <c r="AG130" s="438"/>
      <c r="AH130" s="34">
        <f>IF(AH129=MiscData!$AB$91,1,AH129+1)</f>
        <v>41</v>
      </c>
      <c r="AI130" s="34">
        <f>IF(AD130&lt;=MiscData!$B$23,MiscData!$C$23,IF(AD130&lt;=MiscData!$B$24,MiscData!$C$24,MiscData!$C$25))</f>
        <v>20140101</v>
      </c>
      <c r="AK130" s="439" t="str">
        <f>VLOOKUP(AM130,MiscData!$AB$4:$ACB$113,2,FALSE)</f>
        <v>KUUM_440</v>
      </c>
      <c r="AL130" s="439" t="str">
        <f>VLOOKUP(AM130,MiscData!$AB$4:$AE$115,4,FALSE)</f>
        <v>RLS</v>
      </c>
      <c r="AM130" s="34">
        <f>IF(AM129=MiscData!$AB$91,1,AM129+1)</f>
        <v>41</v>
      </c>
    </row>
    <row r="131" spans="1:39">
      <c r="A131" s="389">
        <f t="shared" si="45"/>
        <v>130</v>
      </c>
      <c r="B131" s="395" t="str">
        <f t="shared" si="46"/>
        <v>Feb 2015</v>
      </c>
      <c r="C131" s="396" t="str">
        <f t="shared" si="47"/>
        <v>RLS</v>
      </c>
      <c r="D131" s="396" t="str">
        <f t="shared" si="48"/>
        <v>KUUM_446</v>
      </c>
      <c r="E131" s="394">
        <f t="shared" si="49"/>
        <v>1082</v>
      </c>
      <c r="F131" s="397">
        <v>0</v>
      </c>
      <c r="G131" s="394">
        <f t="shared" si="50"/>
        <v>0</v>
      </c>
      <c r="H131" s="394">
        <v>0</v>
      </c>
      <c r="I131" s="390">
        <f t="shared" si="51"/>
        <v>9.5600000000000023</v>
      </c>
      <c r="J131" s="390">
        <f t="shared" si="52"/>
        <v>1.9900000000000002</v>
      </c>
      <c r="K131" s="391">
        <f t="shared" ref="K131:K194" si="64">ROUND(($E131+$F131)*$I131,2)</f>
        <v>10343.92</v>
      </c>
      <c r="L131" s="398">
        <v>0</v>
      </c>
      <c r="M131" s="398">
        <v>0</v>
      </c>
      <c r="N131" s="164">
        <f t="shared" si="53"/>
        <v>10343.92</v>
      </c>
      <c r="O131" s="399">
        <f t="shared" si="54"/>
        <v>0</v>
      </c>
      <c r="P131" s="392">
        <f t="shared" ref="P131:P194" si="65">IF(AND(N131=0,O131=0),1,IF(N131=0,0,ROUND(O131/N131,6)))</f>
        <v>0</v>
      </c>
      <c r="Q131" s="164">
        <f t="shared" si="55"/>
        <v>0</v>
      </c>
      <c r="R131" s="164">
        <f t="shared" si="56"/>
        <v>0</v>
      </c>
      <c r="S131" s="164">
        <f t="shared" si="57"/>
        <v>0</v>
      </c>
      <c r="T131" s="164">
        <f t="shared" si="58"/>
        <v>0</v>
      </c>
      <c r="U131" s="164">
        <f t="shared" si="59"/>
        <v>0</v>
      </c>
      <c r="V131" s="393">
        <f t="shared" si="60"/>
        <v>10343.92</v>
      </c>
      <c r="W131" s="393">
        <f t="shared" si="61"/>
        <v>-10343.92</v>
      </c>
      <c r="Y131" s="393">
        <f t="shared" ref="Y131:Y194" si="66">ROUND(E131*J131,2)</f>
        <v>2153.1799999999998</v>
      </c>
      <c r="Z131" s="393">
        <f t="shared" ref="Z131:Z194" si="67">O131-Y131</f>
        <v>-2153.1799999999998</v>
      </c>
      <c r="AD131" s="395">
        <f>IF(AH131&gt;AH130,AD130,IF(AD130&lt;MiscData!$F$1,EOMONTH(AD130,1),EOMONTH(AD130,-11)))</f>
        <v>42063</v>
      </c>
      <c r="AE131" s="389" t="str">
        <f t="shared" si="62"/>
        <v>20140101KUUM_446</v>
      </c>
      <c r="AF131" s="437" t="str">
        <f t="shared" si="63"/>
        <v>20140101RLS</v>
      </c>
      <c r="AG131" s="438"/>
      <c r="AH131" s="34">
        <f>IF(AH130=MiscData!$AB$91,1,AH130+1)</f>
        <v>42</v>
      </c>
      <c r="AI131" s="34">
        <f>IF(AD131&lt;=MiscData!$B$23,MiscData!$C$23,IF(AD131&lt;=MiscData!$B$24,MiscData!$C$24,MiscData!$C$25))</f>
        <v>20140101</v>
      </c>
      <c r="AK131" s="439" t="str">
        <f>VLOOKUP(AM131,MiscData!$AB$4:$ACB$113,2,FALSE)</f>
        <v>KUUM_446</v>
      </c>
      <c r="AL131" s="439" t="str">
        <f>VLOOKUP(AM131,MiscData!$AB$4:$AE$115,4,FALSE)</f>
        <v>RLS</v>
      </c>
      <c r="AM131" s="34">
        <f>IF(AM130=MiscData!$AB$91,1,AM130+1)</f>
        <v>42</v>
      </c>
    </row>
    <row r="132" spans="1:39">
      <c r="A132" s="389">
        <f t="shared" ref="A132:A195" si="68">A131+1</f>
        <v>131</v>
      </c>
      <c r="B132" s="395" t="str">
        <f t="shared" si="46"/>
        <v>Feb 2015</v>
      </c>
      <c r="C132" s="396" t="str">
        <f t="shared" si="47"/>
        <v>RLS</v>
      </c>
      <c r="D132" s="396" t="str">
        <f t="shared" si="48"/>
        <v>KUUM_447</v>
      </c>
      <c r="E132" s="394">
        <f t="shared" si="49"/>
        <v>752</v>
      </c>
      <c r="F132" s="397">
        <v>0</v>
      </c>
      <c r="G132" s="394">
        <f t="shared" si="50"/>
        <v>0</v>
      </c>
      <c r="H132" s="394">
        <v>0</v>
      </c>
      <c r="I132" s="390">
        <f t="shared" si="51"/>
        <v>11.32</v>
      </c>
      <c r="J132" s="390">
        <f t="shared" si="52"/>
        <v>2.8400000000000016</v>
      </c>
      <c r="K132" s="391">
        <f t="shared" si="64"/>
        <v>8512.64</v>
      </c>
      <c r="L132" s="398">
        <v>0</v>
      </c>
      <c r="M132" s="398">
        <v>0</v>
      </c>
      <c r="N132" s="164">
        <f t="shared" si="53"/>
        <v>8512.64</v>
      </c>
      <c r="O132" s="399">
        <f t="shared" si="54"/>
        <v>0</v>
      </c>
      <c r="P132" s="392">
        <f t="shared" si="65"/>
        <v>0</v>
      </c>
      <c r="Q132" s="164">
        <f t="shared" si="55"/>
        <v>0</v>
      </c>
      <c r="R132" s="164">
        <f t="shared" si="56"/>
        <v>0</v>
      </c>
      <c r="S132" s="164">
        <f t="shared" si="57"/>
        <v>0</v>
      </c>
      <c r="T132" s="164">
        <f t="shared" si="58"/>
        <v>0</v>
      </c>
      <c r="U132" s="164">
        <f t="shared" si="59"/>
        <v>0</v>
      </c>
      <c r="V132" s="393">
        <f t="shared" si="60"/>
        <v>8512.64</v>
      </c>
      <c r="W132" s="393">
        <f t="shared" si="61"/>
        <v>-8512.64</v>
      </c>
      <c r="Y132" s="393">
        <f t="shared" si="66"/>
        <v>2135.6799999999998</v>
      </c>
      <c r="Z132" s="393">
        <f t="shared" si="67"/>
        <v>-2135.6799999999998</v>
      </c>
      <c r="AD132" s="395">
        <f>IF(AH132&gt;AH131,AD131,IF(AD131&lt;MiscData!$F$1,EOMONTH(AD131,1),EOMONTH(AD131,-11)))</f>
        <v>42063</v>
      </c>
      <c r="AE132" s="389" t="str">
        <f t="shared" si="62"/>
        <v>20140101KUUM_447</v>
      </c>
      <c r="AF132" s="437" t="str">
        <f t="shared" si="63"/>
        <v>20140101RLS</v>
      </c>
      <c r="AG132" s="438"/>
      <c r="AH132" s="34">
        <f>IF(AH131=MiscData!$AB$91,1,AH131+1)</f>
        <v>43</v>
      </c>
      <c r="AI132" s="34">
        <f>IF(AD132&lt;=MiscData!$B$23,MiscData!$C$23,IF(AD132&lt;=MiscData!$B$24,MiscData!$C$24,MiscData!$C$25))</f>
        <v>20140101</v>
      </c>
      <c r="AK132" s="439" t="str">
        <f>VLOOKUP(AM132,MiscData!$AB$4:$ACB$113,2,FALSE)</f>
        <v>KUUM_447</v>
      </c>
      <c r="AL132" s="439" t="str">
        <f>VLOOKUP(AM132,MiscData!$AB$4:$AE$115,4,FALSE)</f>
        <v>RLS</v>
      </c>
      <c r="AM132" s="34">
        <f>IF(AM131=MiscData!$AB$91,1,AM131+1)</f>
        <v>43</v>
      </c>
    </row>
    <row r="133" spans="1:39">
      <c r="A133" s="389">
        <f t="shared" si="68"/>
        <v>132</v>
      </c>
      <c r="B133" s="395" t="str">
        <f t="shared" si="46"/>
        <v>Feb 2015</v>
      </c>
      <c r="C133" s="396" t="str">
        <f t="shared" si="47"/>
        <v>RLS</v>
      </c>
      <c r="D133" s="396" t="str">
        <f t="shared" si="48"/>
        <v>KUUM_448</v>
      </c>
      <c r="E133" s="394">
        <f t="shared" si="49"/>
        <v>1493</v>
      </c>
      <c r="F133" s="397">
        <v>0</v>
      </c>
      <c r="G133" s="394">
        <f t="shared" si="50"/>
        <v>0</v>
      </c>
      <c r="H133" s="394">
        <v>0</v>
      </c>
      <c r="I133" s="390">
        <f t="shared" si="51"/>
        <v>12.809999999999999</v>
      </c>
      <c r="J133" s="390">
        <f t="shared" si="52"/>
        <v>4.37</v>
      </c>
      <c r="K133" s="391">
        <f t="shared" si="64"/>
        <v>19125.330000000002</v>
      </c>
      <c r="L133" s="398">
        <v>0</v>
      </c>
      <c r="M133" s="398">
        <v>0</v>
      </c>
      <c r="N133" s="164">
        <f t="shared" si="53"/>
        <v>19125.330000000002</v>
      </c>
      <c r="O133" s="399">
        <f t="shared" si="54"/>
        <v>0</v>
      </c>
      <c r="P133" s="392">
        <f t="shared" si="65"/>
        <v>0</v>
      </c>
      <c r="Q133" s="164">
        <f t="shared" si="55"/>
        <v>0</v>
      </c>
      <c r="R133" s="164">
        <f t="shared" si="56"/>
        <v>0</v>
      </c>
      <c r="S133" s="164">
        <f t="shared" si="57"/>
        <v>0</v>
      </c>
      <c r="T133" s="164">
        <f t="shared" si="58"/>
        <v>0</v>
      </c>
      <c r="U133" s="164">
        <f t="shared" si="59"/>
        <v>0</v>
      </c>
      <c r="V133" s="393">
        <f t="shared" si="60"/>
        <v>19125.330000000002</v>
      </c>
      <c r="W133" s="393">
        <f t="shared" si="61"/>
        <v>-19125.330000000002</v>
      </c>
      <c r="Y133" s="393">
        <f t="shared" si="66"/>
        <v>6524.41</v>
      </c>
      <c r="Z133" s="393">
        <f t="shared" si="67"/>
        <v>-6524.41</v>
      </c>
      <c r="AD133" s="395">
        <f>IF(AH133&gt;AH132,AD132,IF(AD132&lt;MiscData!$F$1,EOMONTH(AD132,1),EOMONTH(AD132,-11)))</f>
        <v>42063</v>
      </c>
      <c r="AE133" s="389" t="str">
        <f t="shared" si="62"/>
        <v>20140101KUUM_448</v>
      </c>
      <c r="AF133" s="437" t="str">
        <f t="shared" si="63"/>
        <v>20140101RLS</v>
      </c>
      <c r="AG133" s="438"/>
      <c r="AH133" s="34">
        <f>IF(AH132=MiscData!$AB$91,1,AH132+1)</f>
        <v>44</v>
      </c>
      <c r="AI133" s="34">
        <f>IF(AD133&lt;=MiscData!$B$23,MiscData!$C$23,IF(AD133&lt;=MiscData!$B$24,MiscData!$C$24,MiscData!$C$25))</f>
        <v>20140101</v>
      </c>
      <c r="AK133" s="439" t="str">
        <f>VLOOKUP(AM133,MiscData!$AB$4:$ACB$113,2,FALSE)</f>
        <v>KUUM_448</v>
      </c>
      <c r="AL133" s="439" t="str">
        <f>VLOOKUP(AM133,MiscData!$AB$4:$AE$115,4,FALSE)</f>
        <v>RLS</v>
      </c>
      <c r="AM133" s="34">
        <f>IF(AM132=MiscData!$AB$91,1,AM132+1)</f>
        <v>44</v>
      </c>
    </row>
    <row r="134" spans="1:39">
      <c r="A134" s="389">
        <f t="shared" si="68"/>
        <v>133</v>
      </c>
      <c r="B134" s="395" t="str">
        <f t="shared" si="46"/>
        <v>Feb 2015</v>
      </c>
      <c r="C134" s="396" t="str">
        <f t="shared" si="47"/>
        <v>LS</v>
      </c>
      <c r="D134" s="396" t="str">
        <f t="shared" si="48"/>
        <v>KUUM_450</v>
      </c>
      <c r="E134" s="394">
        <f t="shared" si="49"/>
        <v>660</v>
      </c>
      <c r="F134" s="397">
        <v>0</v>
      </c>
      <c r="G134" s="394">
        <f t="shared" si="50"/>
        <v>0</v>
      </c>
      <c r="H134" s="394">
        <v>0</v>
      </c>
      <c r="I134" s="390">
        <f t="shared" si="51"/>
        <v>14.25</v>
      </c>
      <c r="J134" s="390">
        <f t="shared" si="52"/>
        <v>1.9699999999999989</v>
      </c>
      <c r="K134" s="391">
        <f t="shared" si="64"/>
        <v>9405</v>
      </c>
      <c r="L134" s="398">
        <v>0</v>
      </c>
      <c r="M134" s="398">
        <v>0</v>
      </c>
      <c r="N134" s="164">
        <f t="shared" si="53"/>
        <v>9405</v>
      </c>
      <c r="O134" s="399">
        <f t="shared" si="54"/>
        <v>0</v>
      </c>
      <c r="P134" s="392">
        <f t="shared" si="65"/>
        <v>0</v>
      </c>
      <c r="Q134" s="164">
        <f t="shared" si="55"/>
        <v>0</v>
      </c>
      <c r="R134" s="164">
        <f t="shared" si="56"/>
        <v>0</v>
      </c>
      <c r="S134" s="164">
        <f t="shared" si="57"/>
        <v>0</v>
      </c>
      <c r="T134" s="164">
        <f t="shared" si="58"/>
        <v>0</v>
      </c>
      <c r="U134" s="164">
        <f t="shared" si="59"/>
        <v>0</v>
      </c>
      <c r="V134" s="393">
        <f t="shared" si="60"/>
        <v>9405</v>
      </c>
      <c r="W134" s="393">
        <f t="shared" si="61"/>
        <v>-9405</v>
      </c>
      <c r="Y134" s="393">
        <f t="shared" si="66"/>
        <v>1300.2</v>
      </c>
      <c r="Z134" s="393">
        <f t="shared" si="67"/>
        <v>-1300.2</v>
      </c>
      <c r="AD134" s="395">
        <f>IF(AH134&gt;AH133,AD133,IF(AD133&lt;MiscData!$F$1,EOMONTH(AD133,1),EOMONTH(AD133,-11)))</f>
        <v>42063</v>
      </c>
      <c r="AE134" s="389" t="str">
        <f t="shared" si="62"/>
        <v>20140101KUUM_450</v>
      </c>
      <c r="AF134" s="437" t="str">
        <f t="shared" si="63"/>
        <v>20140101LS</v>
      </c>
      <c r="AG134" s="438"/>
      <c r="AH134" s="34">
        <f>IF(AH133=MiscData!$AB$91,1,AH133+1)</f>
        <v>45</v>
      </c>
      <c r="AI134" s="34">
        <f>IF(AD134&lt;=MiscData!$B$23,MiscData!$C$23,IF(AD134&lt;=MiscData!$B$24,MiscData!$C$24,MiscData!$C$25))</f>
        <v>20140101</v>
      </c>
      <c r="AK134" s="439" t="str">
        <f>VLOOKUP(AM134,MiscData!$AB$4:$ACB$113,2,FALSE)</f>
        <v>KUUM_450</v>
      </c>
      <c r="AL134" s="439" t="str">
        <f>VLOOKUP(AM134,MiscData!$AB$4:$AE$115,4,FALSE)</f>
        <v>LS</v>
      </c>
      <c r="AM134" s="34">
        <f>IF(AM133=MiscData!$AB$91,1,AM133+1)</f>
        <v>45</v>
      </c>
    </row>
    <row r="135" spans="1:39">
      <c r="A135" s="389">
        <f t="shared" si="68"/>
        <v>134</v>
      </c>
      <c r="B135" s="395" t="str">
        <f t="shared" si="46"/>
        <v>Feb 2015</v>
      </c>
      <c r="C135" s="396" t="str">
        <f t="shared" si="47"/>
        <v>LS</v>
      </c>
      <c r="D135" s="396" t="str">
        <f t="shared" si="48"/>
        <v>KUUM_451</v>
      </c>
      <c r="E135" s="394">
        <f t="shared" si="49"/>
        <v>5068</v>
      </c>
      <c r="F135" s="397">
        <v>0</v>
      </c>
      <c r="G135" s="394">
        <f t="shared" si="50"/>
        <v>0</v>
      </c>
      <c r="H135" s="394">
        <v>0</v>
      </c>
      <c r="I135" s="390">
        <f t="shared" si="51"/>
        <v>20.200000000000003</v>
      </c>
      <c r="J135" s="390">
        <f t="shared" si="52"/>
        <v>4.2900000000000027</v>
      </c>
      <c r="K135" s="391">
        <f t="shared" si="64"/>
        <v>102373.6</v>
      </c>
      <c r="L135" s="398">
        <v>0</v>
      </c>
      <c r="M135" s="398">
        <v>0</v>
      </c>
      <c r="N135" s="164">
        <f t="shared" si="53"/>
        <v>102373.6</v>
      </c>
      <c r="O135" s="399">
        <f t="shared" si="54"/>
        <v>0</v>
      </c>
      <c r="P135" s="392">
        <f t="shared" si="65"/>
        <v>0</v>
      </c>
      <c r="Q135" s="164">
        <f t="shared" si="55"/>
        <v>0</v>
      </c>
      <c r="R135" s="164">
        <f t="shared" si="56"/>
        <v>0</v>
      </c>
      <c r="S135" s="164">
        <f t="shared" si="57"/>
        <v>0</v>
      </c>
      <c r="T135" s="164">
        <f t="shared" si="58"/>
        <v>0</v>
      </c>
      <c r="U135" s="164">
        <f t="shared" si="59"/>
        <v>0</v>
      </c>
      <c r="V135" s="393">
        <f t="shared" si="60"/>
        <v>102373.6</v>
      </c>
      <c r="W135" s="393">
        <f t="shared" si="61"/>
        <v>-102373.6</v>
      </c>
      <c r="Y135" s="393">
        <f t="shared" si="66"/>
        <v>21741.72</v>
      </c>
      <c r="Z135" s="393">
        <f t="shared" si="67"/>
        <v>-21741.72</v>
      </c>
      <c r="AD135" s="395">
        <f>IF(AH135&gt;AH134,AD134,IF(AD134&lt;MiscData!$F$1,EOMONTH(AD134,1),EOMONTH(AD134,-11)))</f>
        <v>42063</v>
      </c>
      <c r="AE135" s="389" t="str">
        <f t="shared" si="62"/>
        <v>20140101KUUM_451</v>
      </c>
      <c r="AF135" s="437" t="str">
        <f t="shared" si="63"/>
        <v>20140101LS</v>
      </c>
      <c r="AG135" s="438"/>
      <c r="AH135" s="34">
        <f>IF(AH134=MiscData!$AB$91,1,AH134+1)</f>
        <v>46</v>
      </c>
      <c r="AI135" s="34">
        <f>IF(AD135&lt;=MiscData!$B$23,MiscData!$C$23,IF(AD135&lt;=MiscData!$B$24,MiscData!$C$24,MiscData!$C$25))</f>
        <v>20140101</v>
      </c>
      <c r="AK135" s="439" t="str">
        <f>VLOOKUP(AM135,MiscData!$AB$4:$ACB$113,2,FALSE)</f>
        <v>KUUM_451</v>
      </c>
      <c r="AL135" s="439" t="str">
        <f>VLOOKUP(AM135,MiscData!$AB$4:$AE$115,4,FALSE)</f>
        <v>LS</v>
      </c>
      <c r="AM135" s="34">
        <f>IF(AM134=MiscData!$AB$91,1,AM134+1)</f>
        <v>46</v>
      </c>
    </row>
    <row r="136" spans="1:39">
      <c r="A136" s="389">
        <f t="shared" si="68"/>
        <v>135</v>
      </c>
      <c r="B136" s="395" t="str">
        <f t="shared" si="46"/>
        <v>Feb 2015</v>
      </c>
      <c r="C136" s="396" t="str">
        <f t="shared" si="47"/>
        <v>LS</v>
      </c>
      <c r="D136" s="396" t="str">
        <f t="shared" si="48"/>
        <v>KUUM_452</v>
      </c>
      <c r="E136" s="394">
        <f t="shared" si="49"/>
        <v>1038</v>
      </c>
      <c r="F136" s="397">
        <v>0</v>
      </c>
      <c r="G136" s="394">
        <f t="shared" si="50"/>
        <v>0</v>
      </c>
      <c r="H136" s="394">
        <v>0</v>
      </c>
      <c r="I136" s="390">
        <f t="shared" si="51"/>
        <v>42.350000000000009</v>
      </c>
      <c r="J136" s="390">
        <f t="shared" si="52"/>
        <v>10.410000000000004</v>
      </c>
      <c r="K136" s="391">
        <f t="shared" si="64"/>
        <v>43959.3</v>
      </c>
      <c r="L136" s="398">
        <v>0</v>
      </c>
      <c r="M136" s="398">
        <v>0</v>
      </c>
      <c r="N136" s="164">
        <f t="shared" si="53"/>
        <v>43959.3</v>
      </c>
      <c r="O136" s="399">
        <f t="shared" si="54"/>
        <v>0</v>
      </c>
      <c r="P136" s="392">
        <f t="shared" si="65"/>
        <v>0</v>
      </c>
      <c r="Q136" s="164">
        <f t="shared" si="55"/>
        <v>0</v>
      </c>
      <c r="R136" s="164">
        <f t="shared" si="56"/>
        <v>0</v>
      </c>
      <c r="S136" s="164">
        <f t="shared" si="57"/>
        <v>0</v>
      </c>
      <c r="T136" s="164">
        <f t="shared" si="58"/>
        <v>0</v>
      </c>
      <c r="U136" s="164">
        <f t="shared" si="59"/>
        <v>0</v>
      </c>
      <c r="V136" s="393">
        <f t="shared" si="60"/>
        <v>43959.3</v>
      </c>
      <c r="W136" s="393">
        <f t="shared" si="61"/>
        <v>-43959.3</v>
      </c>
      <c r="Y136" s="393">
        <f t="shared" si="66"/>
        <v>10805.58</v>
      </c>
      <c r="Z136" s="393">
        <f t="shared" si="67"/>
        <v>-10805.58</v>
      </c>
      <c r="AD136" s="395">
        <f>IF(AH136&gt;AH135,AD135,IF(AD135&lt;MiscData!$F$1,EOMONTH(AD135,1),EOMONTH(AD135,-11)))</f>
        <v>42063</v>
      </c>
      <c r="AE136" s="389" t="str">
        <f t="shared" si="62"/>
        <v>20140101KUUM_452</v>
      </c>
      <c r="AF136" s="437" t="str">
        <f t="shared" si="63"/>
        <v>20140101LS</v>
      </c>
      <c r="AG136" s="438"/>
      <c r="AH136" s="34">
        <f>IF(AH135=MiscData!$AB$91,1,AH135+1)</f>
        <v>47</v>
      </c>
      <c r="AI136" s="34">
        <f>IF(AD136&lt;=MiscData!$B$23,MiscData!$C$23,IF(AD136&lt;=MiscData!$B$24,MiscData!$C$24,MiscData!$C$25))</f>
        <v>20140101</v>
      </c>
      <c r="AK136" s="439" t="str">
        <f>VLOOKUP(AM136,MiscData!$AB$4:$ACB$113,2,FALSE)</f>
        <v>KUUM_452</v>
      </c>
      <c r="AL136" s="439" t="str">
        <f>VLOOKUP(AM136,MiscData!$AB$4:$AE$115,4,FALSE)</f>
        <v>LS</v>
      </c>
      <c r="AM136" s="34">
        <f>IF(AM135=MiscData!$AB$91,1,AM135+1)</f>
        <v>47</v>
      </c>
    </row>
    <row r="137" spans="1:39">
      <c r="A137" s="389">
        <f t="shared" si="68"/>
        <v>136</v>
      </c>
      <c r="B137" s="395" t="str">
        <f t="shared" si="46"/>
        <v>Feb 2015</v>
      </c>
      <c r="C137" s="396" t="str">
        <f t="shared" si="47"/>
        <v>RLS</v>
      </c>
      <c r="D137" s="396" t="str">
        <f t="shared" si="48"/>
        <v>KUUM_454</v>
      </c>
      <c r="E137" s="394">
        <f t="shared" si="49"/>
        <v>155</v>
      </c>
      <c r="F137" s="397">
        <v>0</v>
      </c>
      <c r="G137" s="394">
        <f t="shared" si="50"/>
        <v>0</v>
      </c>
      <c r="H137" s="394">
        <v>0</v>
      </c>
      <c r="I137" s="390">
        <f t="shared" si="51"/>
        <v>18.649999999999999</v>
      </c>
      <c r="J137" s="390">
        <f t="shared" si="52"/>
        <v>1.9699999999999989</v>
      </c>
      <c r="K137" s="391">
        <f t="shared" si="64"/>
        <v>2890.75</v>
      </c>
      <c r="L137" s="398">
        <v>0</v>
      </c>
      <c r="M137" s="398">
        <v>0</v>
      </c>
      <c r="N137" s="164">
        <f t="shared" si="53"/>
        <v>2890.75</v>
      </c>
      <c r="O137" s="399">
        <f t="shared" si="54"/>
        <v>0</v>
      </c>
      <c r="P137" s="392">
        <f t="shared" si="65"/>
        <v>0</v>
      </c>
      <c r="Q137" s="164">
        <f t="shared" si="55"/>
        <v>0</v>
      </c>
      <c r="R137" s="164">
        <f t="shared" si="56"/>
        <v>0</v>
      </c>
      <c r="S137" s="164">
        <f t="shared" si="57"/>
        <v>0</v>
      </c>
      <c r="T137" s="164">
        <f t="shared" si="58"/>
        <v>0</v>
      </c>
      <c r="U137" s="164">
        <f t="shared" si="59"/>
        <v>0</v>
      </c>
      <c r="V137" s="393">
        <f t="shared" si="60"/>
        <v>2890.75</v>
      </c>
      <c r="W137" s="393">
        <f t="shared" si="61"/>
        <v>-2890.75</v>
      </c>
      <c r="Y137" s="393">
        <f t="shared" si="66"/>
        <v>305.35000000000002</v>
      </c>
      <c r="Z137" s="393">
        <f t="shared" si="67"/>
        <v>-305.35000000000002</v>
      </c>
      <c r="AD137" s="395">
        <f>IF(AH137&gt;AH136,AD136,IF(AD136&lt;MiscData!$F$1,EOMONTH(AD136,1),EOMONTH(AD136,-11)))</f>
        <v>42063</v>
      </c>
      <c r="AE137" s="389" t="str">
        <f t="shared" si="62"/>
        <v>20140101KUUM_454</v>
      </c>
      <c r="AF137" s="437" t="str">
        <f t="shared" si="63"/>
        <v>20140101RLS</v>
      </c>
      <c r="AG137" s="438"/>
      <c r="AH137" s="34">
        <f>IF(AH136=MiscData!$AB$91,1,AH136+1)</f>
        <v>48</v>
      </c>
      <c r="AI137" s="34">
        <f>IF(AD137&lt;=MiscData!$B$23,MiscData!$C$23,IF(AD137&lt;=MiscData!$B$24,MiscData!$C$24,MiscData!$C$25))</f>
        <v>20140101</v>
      </c>
      <c r="AK137" s="439" t="str">
        <f>VLOOKUP(AM137,MiscData!$AB$4:$ACB$113,2,FALSE)</f>
        <v>KUUM_454</v>
      </c>
      <c r="AL137" s="439" t="str">
        <f>VLOOKUP(AM137,MiscData!$AB$4:$AE$115,4,FALSE)</f>
        <v>RLS</v>
      </c>
      <c r="AM137" s="34">
        <f>IF(AM136=MiscData!$AB$91,1,AM136+1)</f>
        <v>48</v>
      </c>
    </row>
    <row r="138" spans="1:39">
      <c r="A138" s="389">
        <f t="shared" si="68"/>
        <v>137</v>
      </c>
      <c r="B138" s="395" t="str">
        <f t="shared" si="46"/>
        <v>Feb 2015</v>
      </c>
      <c r="C138" s="396" t="str">
        <f t="shared" si="47"/>
        <v>RLS</v>
      </c>
      <c r="D138" s="396" t="str">
        <f t="shared" si="48"/>
        <v>KUUM_455</v>
      </c>
      <c r="E138" s="394">
        <f t="shared" si="49"/>
        <v>1014</v>
      </c>
      <c r="F138" s="397">
        <v>0</v>
      </c>
      <c r="G138" s="394">
        <f t="shared" si="50"/>
        <v>0</v>
      </c>
      <c r="H138" s="394">
        <v>0</v>
      </c>
      <c r="I138" s="390">
        <f t="shared" si="51"/>
        <v>24.59</v>
      </c>
      <c r="J138" s="390">
        <f t="shared" si="52"/>
        <v>4.2899999999999991</v>
      </c>
      <c r="K138" s="391">
        <f t="shared" si="64"/>
        <v>24934.26</v>
      </c>
      <c r="L138" s="398">
        <v>0</v>
      </c>
      <c r="M138" s="398">
        <v>0</v>
      </c>
      <c r="N138" s="164">
        <f t="shared" si="53"/>
        <v>24934.26</v>
      </c>
      <c r="O138" s="399">
        <f t="shared" si="54"/>
        <v>0</v>
      </c>
      <c r="P138" s="392">
        <f t="shared" si="65"/>
        <v>0</v>
      </c>
      <c r="Q138" s="164">
        <f t="shared" si="55"/>
        <v>0</v>
      </c>
      <c r="R138" s="164">
        <f t="shared" si="56"/>
        <v>0</v>
      </c>
      <c r="S138" s="164">
        <f t="shared" si="57"/>
        <v>0</v>
      </c>
      <c r="T138" s="164">
        <f t="shared" si="58"/>
        <v>0</v>
      </c>
      <c r="U138" s="164">
        <f t="shared" si="59"/>
        <v>0</v>
      </c>
      <c r="V138" s="393">
        <f t="shared" si="60"/>
        <v>24934.26</v>
      </c>
      <c r="W138" s="393">
        <f t="shared" si="61"/>
        <v>-24934.26</v>
      </c>
      <c r="Y138" s="393">
        <f t="shared" si="66"/>
        <v>4350.0600000000004</v>
      </c>
      <c r="Z138" s="393">
        <f t="shared" si="67"/>
        <v>-4350.0600000000004</v>
      </c>
      <c r="AD138" s="395">
        <f>IF(AH138&gt;AH137,AD137,IF(AD137&lt;MiscData!$F$1,EOMONTH(AD137,1),EOMONTH(AD137,-11)))</f>
        <v>42063</v>
      </c>
      <c r="AE138" s="389" t="str">
        <f t="shared" si="62"/>
        <v>20140101KUUM_455</v>
      </c>
      <c r="AF138" s="437" t="str">
        <f t="shared" si="63"/>
        <v>20140101RLS</v>
      </c>
      <c r="AG138" s="438"/>
      <c r="AH138" s="34">
        <f>IF(AH137=MiscData!$AB$91,1,AH137+1)</f>
        <v>49</v>
      </c>
      <c r="AI138" s="34">
        <f>IF(AD138&lt;=MiscData!$B$23,MiscData!$C$23,IF(AD138&lt;=MiscData!$B$24,MiscData!$C$24,MiscData!$C$25))</f>
        <v>20140101</v>
      </c>
      <c r="AK138" s="439" t="str">
        <f>VLOOKUP(AM138,MiscData!$AB$4:$ACB$113,2,FALSE)</f>
        <v>KUUM_455</v>
      </c>
      <c r="AL138" s="439" t="str">
        <f>VLOOKUP(AM138,MiscData!$AB$4:$AE$115,4,FALSE)</f>
        <v>RLS</v>
      </c>
      <c r="AM138" s="34">
        <f>IF(AM137=MiscData!$AB$91,1,AM137+1)</f>
        <v>49</v>
      </c>
    </row>
    <row r="139" spans="1:39">
      <c r="A139" s="389">
        <f t="shared" si="68"/>
        <v>138</v>
      </c>
      <c r="B139" s="395" t="str">
        <f t="shared" si="46"/>
        <v>Feb 2015</v>
      </c>
      <c r="C139" s="396" t="str">
        <f t="shared" si="47"/>
        <v>RLS</v>
      </c>
      <c r="D139" s="396" t="str">
        <f t="shared" si="48"/>
        <v>KUUM_456</v>
      </c>
      <c r="E139" s="394">
        <f t="shared" si="49"/>
        <v>139</v>
      </c>
      <c r="F139" s="397">
        <v>0</v>
      </c>
      <c r="G139" s="394">
        <f t="shared" si="50"/>
        <v>0</v>
      </c>
      <c r="H139" s="394">
        <v>0</v>
      </c>
      <c r="I139" s="390">
        <f t="shared" si="51"/>
        <v>11.870000000000001</v>
      </c>
      <c r="J139" s="390">
        <f t="shared" si="52"/>
        <v>1.9900000000000002</v>
      </c>
      <c r="K139" s="391">
        <f t="shared" si="64"/>
        <v>1649.93</v>
      </c>
      <c r="L139" s="398">
        <v>0</v>
      </c>
      <c r="M139" s="398">
        <v>0</v>
      </c>
      <c r="N139" s="164">
        <f t="shared" si="53"/>
        <v>1649.93</v>
      </c>
      <c r="O139" s="399">
        <f t="shared" si="54"/>
        <v>0</v>
      </c>
      <c r="P139" s="392">
        <f t="shared" si="65"/>
        <v>0</v>
      </c>
      <c r="Q139" s="164">
        <f t="shared" si="55"/>
        <v>0</v>
      </c>
      <c r="R139" s="164">
        <f t="shared" si="56"/>
        <v>0</v>
      </c>
      <c r="S139" s="164">
        <f t="shared" si="57"/>
        <v>0</v>
      </c>
      <c r="T139" s="164">
        <f t="shared" si="58"/>
        <v>0</v>
      </c>
      <c r="U139" s="164">
        <f t="shared" si="59"/>
        <v>0</v>
      </c>
      <c r="V139" s="393">
        <f t="shared" si="60"/>
        <v>1649.93</v>
      </c>
      <c r="W139" s="393">
        <f t="shared" si="61"/>
        <v>-1649.93</v>
      </c>
      <c r="Y139" s="393">
        <f t="shared" si="66"/>
        <v>276.61</v>
      </c>
      <c r="Z139" s="393">
        <f t="shared" si="67"/>
        <v>-276.61</v>
      </c>
      <c r="AD139" s="395">
        <f>IF(AH139&gt;AH138,AD138,IF(AD138&lt;MiscData!$F$1,EOMONTH(AD138,1),EOMONTH(AD138,-11)))</f>
        <v>42063</v>
      </c>
      <c r="AE139" s="389" t="str">
        <f t="shared" si="62"/>
        <v>20140101KUUM_456</v>
      </c>
      <c r="AF139" s="437" t="str">
        <f t="shared" si="63"/>
        <v>20140101RLS</v>
      </c>
      <c r="AG139" s="438"/>
      <c r="AH139" s="34">
        <f>IF(AH138=MiscData!$AB$91,1,AH138+1)</f>
        <v>50</v>
      </c>
      <c r="AI139" s="34">
        <f>IF(AD139&lt;=MiscData!$B$23,MiscData!$C$23,IF(AD139&lt;=MiscData!$B$24,MiscData!$C$24,MiscData!$C$25))</f>
        <v>20140101</v>
      </c>
      <c r="AK139" s="439" t="str">
        <f>VLOOKUP(AM139,MiscData!$AB$4:$ACB$113,2,FALSE)</f>
        <v>KUUM_456</v>
      </c>
      <c r="AL139" s="439" t="str">
        <f>VLOOKUP(AM139,MiscData!$AB$4:$AE$115,4,FALSE)</f>
        <v>RLS</v>
      </c>
      <c r="AM139" s="34">
        <f>IF(AM138=MiscData!$AB$91,1,AM138+1)</f>
        <v>50</v>
      </c>
    </row>
    <row r="140" spans="1:39">
      <c r="A140" s="389">
        <f t="shared" si="68"/>
        <v>139</v>
      </c>
      <c r="B140" s="395" t="str">
        <f t="shared" si="46"/>
        <v>Feb 2015</v>
      </c>
      <c r="C140" s="396" t="str">
        <f t="shared" si="47"/>
        <v>RLS</v>
      </c>
      <c r="D140" s="396" t="str">
        <f t="shared" si="48"/>
        <v>KUUM_457</v>
      </c>
      <c r="E140" s="394">
        <f t="shared" si="49"/>
        <v>451</v>
      </c>
      <c r="F140" s="397">
        <v>0</v>
      </c>
      <c r="G140" s="394">
        <f t="shared" si="50"/>
        <v>0</v>
      </c>
      <c r="H140" s="394">
        <v>0</v>
      </c>
      <c r="I140" s="390">
        <f t="shared" si="51"/>
        <v>13.360000000000001</v>
      </c>
      <c r="J140" s="390">
        <f t="shared" si="52"/>
        <v>2.84</v>
      </c>
      <c r="K140" s="391">
        <f t="shared" si="64"/>
        <v>6025.36</v>
      </c>
      <c r="L140" s="398">
        <v>0</v>
      </c>
      <c r="M140" s="398">
        <v>0</v>
      </c>
      <c r="N140" s="164">
        <f t="shared" si="53"/>
        <v>6025.36</v>
      </c>
      <c r="O140" s="399">
        <f t="shared" si="54"/>
        <v>0</v>
      </c>
      <c r="P140" s="392">
        <f t="shared" si="65"/>
        <v>0</v>
      </c>
      <c r="Q140" s="164">
        <f t="shared" si="55"/>
        <v>0</v>
      </c>
      <c r="R140" s="164">
        <f t="shared" si="56"/>
        <v>0</v>
      </c>
      <c r="S140" s="164">
        <f t="shared" si="57"/>
        <v>0</v>
      </c>
      <c r="T140" s="164">
        <f t="shared" si="58"/>
        <v>0</v>
      </c>
      <c r="U140" s="164">
        <f t="shared" si="59"/>
        <v>0</v>
      </c>
      <c r="V140" s="393">
        <f t="shared" si="60"/>
        <v>6025.36</v>
      </c>
      <c r="W140" s="393">
        <f t="shared" si="61"/>
        <v>-6025.36</v>
      </c>
      <c r="Y140" s="393">
        <f t="shared" si="66"/>
        <v>1280.8399999999999</v>
      </c>
      <c r="Z140" s="393">
        <f t="shared" si="67"/>
        <v>-1280.8399999999999</v>
      </c>
      <c r="AD140" s="395">
        <f>IF(AH140&gt;AH139,AD139,IF(AD139&lt;MiscData!$F$1,EOMONTH(AD139,1),EOMONTH(AD139,-11)))</f>
        <v>42063</v>
      </c>
      <c r="AE140" s="389" t="str">
        <f t="shared" si="62"/>
        <v>20140101KUUM_457</v>
      </c>
      <c r="AF140" s="437" t="str">
        <f t="shared" si="63"/>
        <v>20140101RLS</v>
      </c>
      <c r="AG140" s="438"/>
      <c r="AH140" s="34">
        <f>IF(AH139=MiscData!$AB$91,1,AH139+1)</f>
        <v>51</v>
      </c>
      <c r="AI140" s="34">
        <f>IF(AD140&lt;=MiscData!$B$23,MiscData!$C$23,IF(AD140&lt;=MiscData!$B$24,MiscData!$C$24,MiscData!$C$25))</f>
        <v>20140101</v>
      </c>
      <c r="AK140" s="439" t="str">
        <f>VLOOKUP(AM140,MiscData!$AB$4:$ACB$113,2,FALSE)</f>
        <v>KUUM_457</v>
      </c>
      <c r="AL140" s="439" t="str">
        <f>VLOOKUP(AM140,MiscData!$AB$4:$AE$115,4,FALSE)</f>
        <v>RLS</v>
      </c>
      <c r="AM140" s="34">
        <f>IF(AM139=MiscData!$AB$91,1,AM139+1)</f>
        <v>51</v>
      </c>
    </row>
    <row r="141" spans="1:39">
      <c r="A141" s="389">
        <f t="shared" si="68"/>
        <v>140</v>
      </c>
      <c r="B141" s="395" t="str">
        <f t="shared" si="46"/>
        <v>Feb 2015</v>
      </c>
      <c r="C141" s="396" t="str">
        <f t="shared" si="47"/>
        <v>RLS</v>
      </c>
      <c r="D141" s="396" t="str">
        <f t="shared" si="48"/>
        <v>KUUM_458</v>
      </c>
      <c r="E141" s="394">
        <f t="shared" si="49"/>
        <v>1458</v>
      </c>
      <c r="F141" s="397">
        <v>0</v>
      </c>
      <c r="G141" s="394">
        <f t="shared" si="50"/>
        <v>0</v>
      </c>
      <c r="H141" s="394">
        <v>0</v>
      </c>
      <c r="I141" s="390">
        <f t="shared" si="51"/>
        <v>15.079999999999998</v>
      </c>
      <c r="J141" s="390">
        <f t="shared" si="52"/>
        <v>4.3699999999999992</v>
      </c>
      <c r="K141" s="391">
        <f t="shared" si="64"/>
        <v>21986.639999999999</v>
      </c>
      <c r="L141" s="398">
        <v>0</v>
      </c>
      <c r="M141" s="398">
        <v>0</v>
      </c>
      <c r="N141" s="164">
        <f t="shared" si="53"/>
        <v>21986.639999999999</v>
      </c>
      <c r="O141" s="399">
        <f t="shared" si="54"/>
        <v>0</v>
      </c>
      <c r="P141" s="392">
        <f t="shared" si="65"/>
        <v>0</v>
      </c>
      <c r="Q141" s="164">
        <f t="shared" si="55"/>
        <v>0</v>
      </c>
      <c r="R141" s="164">
        <f t="shared" si="56"/>
        <v>0</v>
      </c>
      <c r="S141" s="164">
        <f t="shared" si="57"/>
        <v>0</v>
      </c>
      <c r="T141" s="164">
        <f t="shared" si="58"/>
        <v>0</v>
      </c>
      <c r="U141" s="164">
        <f t="shared" si="59"/>
        <v>0</v>
      </c>
      <c r="V141" s="393">
        <f t="shared" si="60"/>
        <v>21986.639999999999</v>
      </c>
      <c r="W141" s="393">
        <f t="shared" si="61"/>
        <v>-21986.639999999999</v>
      </c>
      <c r="Y141" s="393">
        <f t="shared" si="66"/>
        <v>6371.46</v>
      </c>
      <c r="Z141" s="393">
        <f t="shared" si="67"/>
        <v>-6371.46</v>
      </c>
      <c r="AD141" s="395">
        <f>IF(AH141&gt;AH140,AD140,IF(AD140&lt;MiscData!$F$1,EOMONTH(AD140,1),EOMONTH(AD140,-11)))</f>
        <v>42063</v>
      </c>
      <c r="AE141" s="389" t="str">
        <f t="shared" si="62"/>
        <v>20140101KUUM_458</v>
      </c>
      <c r="AF141" s="437" t="str">
        <f t="shared" si="63"/>
        <v>20140101RLS</v>
      </c>
      <c r="AG141" s="438"/>
      <c r="AH141" s="34">
        <f>IF(AH140=MiscData!$AB$91,1,AH140+1)</f>
        <v>52</v>
      </c>
      <c r="AI141" s="34">
        <f>IF(AD141&lt;=MiscData!$B$23,MiscData!$C$23,IF(AD141&lt;=MiscData!$B$24,MiscData!$C$24,MiscData!$C$25))</f>
        <v>20140101</v>
      </c>
      <c r="AK141" s="439" t="str">
        <f>VLOOKUP(AM141,MiscData!$AB$4:$ACB$113,2,FALSE)</f>
        <v>KUUM_458</v>
      </c>
      <c r="AL141" s="439" t="str">
        <f>VLOOKUP(AM141,MiscData!$AB$4:$AE$115,4,FALSE)</f>
        <v>RLS</v>
      </c>
      <c r="AM141" s="34">
        <f>IF(AM140=MiscData!$AB$91,1,AM140+1)</f>
        <v>52</v>
      </c>
    </row>
    <row r="142" spans="1:39">
      <c r="A142" s="389">
        <f t="shared" si="68"/>
        <v>141</v>
      </c>
      <c r="B142" s="395" t="str">
        <f t="shared" si="46"/>
        <v>Feb 2015</v>
      </c>
      <c r="C142" s="396" t="str">
        <f t="shared" si="47"/>
        <v>RLS</v>
      </c>
      <c r="D142" s="396" t="str">
        <f t="shared" si="48"/>
        <v>KUUM_459</v>
      </c>
      <c r="E142" s="394">
        <f t="shared" si="49"/>
        <v>227</v>
      </c>
      <c r="F142" s="397">
        <v>0</v>
      </c>
      <c r="G142" s="394">
        <f t="shared" si="50"/>
        <v>0</v>
      </c>
      <c r="H142" s="394">
        <v>0</v>
      </c>
      <c r="I142" s="390">
        <f t="shared" si="51"/>
        <v>46.740000000000009</v>
      </c>
      <c r="J142" s="390">
        <f t="shared" si="52"/>
        <v>10.410000000000004</v>
      </c>
      <c r="K142" s="391">
        <f t="shared" si="64"/>
        <v>10609.98</v>
      </c>
      <c r="L142" s="398">
        <v>0</v>
      </c>
      <c r="M142" s="398">
        <v>0</v>
      </c>
      <c r="N142" s="164">
        <f t="shared" si="53"/>
        <v>10609.98</v>
      </c>
      <c r="O142" s="399">
        <f t="shared" si="54"/>
        <v>0</v>
      </c>
      <c r="P142" s="392">
        <f t="shared" si="65"/>
        <v>0</v>
      </c>
      <c r="Q142" s="164">
        <f t="shared" si="55"/>
        <v>0</v>
      </c>
      <c r="R142" s="164">
        <f t="shared" si="56"/>
        <v>0</v>
      </c>
      <c r="S142" s="164">
        <f t="shared" si="57"/>
        <v>0</v>
      </c>
      <c r="T142" s="164">
        <f t="shared" si="58"/>
        <v>0</v>
      </c>
      <c r="U142" s="164">
        <f t="shared" si="59"/>
        <v>0</v>
      </c>
      <c r="V142" s="393">
        <f t="shared" si="60"/>
        <v>10609.98</v>
      </c>
      <c r="W142" s="393">
        <f t="shared" si="61"/>
        <v>-10609.98</v>
      </c>
      <c r="Y142" s="393">
        <f t="shared" si="66"/>
        <v>2363.0700000000002</v>
      </c>
      <c r="Z142" s="393">
        <f t="shared" si="67"/>
        <v>-2363.0700000000002</v>
      </c>
      <c r="AD142" s="395">
        <f>IF(AH142&gt;AH141,AD141,IF(AD141&lt;MiscData!$F$1,EOMONTH(AD141,1),EOMONTH(AD141,-11)))</f>
        <v>42063</v>
      </c>
      <c r="AE142" s="389" t="str">
        <f t="shared" si="62"/>
        <v>20140101KUUM_459</v>
      </c>
      <c r="AF142" s="437" t="str">
        <f t="shared" si="63"/>
        <v>20140101RLS</v>
      </c>
      <c r="AG142" s="438"/>
      <c r="AH142" s="34">
        <f>IF(AH141=MiscData!$AB$91,1,AH141+1)</f>
        <v>53</v>
      </c>
      <c r="AI142" s="34">
        <f>IF(AD142&lt;=MiscData!$B$23,MiscData!$C$23,IF(AD142&lt;=MiscData!$B$24,MiscData!$C$24,MiscData!$C$25))</f>
        <v>20140101</v>
      </c>
      <c r="AK142" s="439" t="str">
        <f>VLOOKUP(AM142,MiscData!$AB$4:$ACB$113,2,FALSE)</f>
        <v>KUUM_459</v>
      </c>
      <c r="AL142" s="439" t="str">
        <f>VLOOKUP(AM142,MiscData!$AB$4:$AE$115,4,FALSE)</f>
        <v>RLS</v>
      </c>
      <c r="AM142" s="34">
        <f>IF(AM141=MiscData!$AB$91,1,AM141+1)</f>
        <v>53</v>
      </c>
    </row>
    <row r="143" spans="1:39">
      <c r="A143" s="389">
        <f t="shared" si="68"/>
        <v>142</v>
      </c>
      <c r="B143" s="395" t="str">
        <f t="shared" si="46"/>
        <v>Feb 2015</v>
      </c>
      <c r="C143" s="396" t="str">
        <f t="shared" si="47"/>
        <v>RLS</v>
      </c>
      <c r="D143" s="396" t="str">
        <f t="shared" si="48"/>
        <v>KUUM_460</v>
      </c>
      <c r="E143" s="394">
        <f t="shared" si="49"/>
        <v>27</v>
      </c>
      <c r="F143" s="397">
        <v>0</v>
      </c>
      <c r="G143" s="394">
        <f t="shared" si="50"/>
        <v>0</v>
      </c>
      <c r="H143" s="394">
        <v>0</v>
      </c>
      <c r="I143" s="390">
        <f t="shared" si="51"/>
        <v>27.15</v>
      </c>
      <c r="J143" s="390">
        <f t="shared" si="52"/>
        <v>1.9699999999999989</v>
      </c>
      <c r="K143" s="391">
        <f t="shared" si="64"/>
        <v>733.05</v>
      </c>
      <c r="L143" s="398">
        <v>0</v>
      </c>
      <c r="M143" s="398">
        <v>0</v>
      </c>
      <c r="N143" s="164">
        <f t="shared" si="53"/>
        <v>733.05</v>
      </c>
      <c r="O143" s="399">
        <f t="shared" si="54"/>
        <v>0</v>
      </c>
      <c r="P143" s="392">
        <f t="shared" si="65"/>
        <v>0</v>
      </c>
      <c r="Q143" s="164">
        <f t="shared" si="55"/>
        <v>0</v>
      </c>
      <c r="R143" s="164">
        <f t="shared" si="56"/>
        <v>0</v>
      </c>
      <c r="S143" s="164">
        <f t="shared" si="57"/>
        <v>0</v>
      </c>
      <c r="T143" s="164">
        <f t="shared" si="58"/>
        <v>0</v>
      </c>
      <c r="U143" s="164">
        <f t="shared" si="59"/>
        <v>0</v>
      </c>
      <c r="V143" s="393">
        <f t="shared" si="60"/>
        <v>733.05</v>
      </c>
      <c r="W143" s="393">
        <f t="shared" si="61"/>
        <v>-733.05</v>
      </c>
      <c r="Y143" s="393">
        <f t="shared" si="66"/>
        <v>53.19</v>
      </c>
      <c r="Z143" s="393">
        <f t="shared" si="67"/>
        <v>-53.19</v>
      </c>
      <c r="AD143" s="395">
        <f>IF(AH143&gt;AH142,AD142,IF(AD142&lt;MiscData!$F$1,EOMONTH(AD142,1),EOMONTH(AD142,-11)))</f>
        <v>42063</v>
      </c>
      <c r="AE143" s="389" t="str">
        <f t="shared" si="62"/>
        <v>20140101KUUM_460</v>
      </c>
      <c r="AF143" s="437" t="str">
        <f t="shared" si="63"/>
        <v>20140101RLS</v>
      </c>
      <c r="AG143" s="438"/>
      <c r="AH143" s="34">
        <f>IF(AH142=MiscData!$AB$91,1,AH142+1)</f>
        <v>54</v>
      </c>
      <c r="AI143" s="34">
        <f>IF(AD143&lt;=MiscData!$B$23,MiscData!$C$23,IF(AD143&lt;=MiscData!$B$24,MiscData!$C$24,MiscData!$C$25))</f>
        <v>20140101</v>
      </c>
      <c r="AK143" s="439" t="str">
        <f>VLOOKUP(AM143,MiscData!$AB$4:$ACB$113,2,FALSE)</f>
        <v>KUUM_460</v>
      </c>
      <c r="AL143" s="439" t="str">
        <f>VLOOKUP(AM143,MiscData!$AB$4:$AE$115,4,FALSE)</f>
        <v>RLS</v>
      </c>
      <c r="AM143" s="34">
        <f>IF(AM142=MiscData!$AB$91,1,AM142+1)</f>
        <v>54</v>
      </c>
    </row>
    <row r="144" spans="1:39">
      <c r="A144" s="389">
        <f t="shared" si="68"/>
        <v>143</v>
      </c>
      <c r="B144" s="395" t="str">
        <f t="shared" si="46"/>
        <v>Feb 2015</v>
      </c>
      <c r="C144" s="396" t="str">
        <f t="shared" si="47"/>
        <v>RLS</v>
      </c>
      <c r="D144" s="396" t="str">
        <f t="shared" si="48"/>
        <v>KUUM_461</v>
      </c>
      <c r="E144" s="394">
        <f t="shared" si="49"/>
        <v>6484</v>
      </c>
      <c r="F144" s="397">
        <v>0</v>
      </c>
      <c r="G144" s="394">
        <f t="shared" si="50"/>
        <v>0</v>
      </c>
      <c r="H144" s="394">
        <v>0</v>
      </c>
      <c r="I144" s="390">
        <f t="shared" si="51"/>
        <v>7.54</v>
      </c>
      <c r="J144" s="390">
        <f t="shared" si="52"/>
        <v>0.57000000000000028</v>
      </c>
      <c r="K144" s="391">
        <f t="shared" si="64"/>
        <v>48889.36</v>
      </c>
      <c r="L144" s="398">
        <v>0</v>
      </c>
      <c r="M144" s="398">
        <v>0</v>
      </c>
      <c r="N144" s="164">
        <f t="shared" si="53"/>
        <v>48889.36</v>
      </c>
      <c r="O144" s="399">
        <f t="shared" si="54"/>
        <v>0</v>
      </c>
      <c r="P144" s="392">
        <f t="shared" si="65"/>
        <v>0</v>
      </c>
      <c r="Q144" s="164">
        <f t="shared" si="55"/>
        <v>0</v>
      </c>
      <c r="R144" s="164">
        <f t="shared" si="56"/>
        <v>0</v>
      </c>
      <c r="S144" s="164">
        <f t="shared" si="57"/>
        <v>0</v>
      </c>
      <c r="T144" s="164">
        <f t="shared" si="58"/>
        <v>0</v>
      </c>
      <c r="U144" s="164">
        <f t="shared" si="59"/>
        <v>0</v>
      </c>
      <c r="V144" s="393">
        <f t="shared" si="60"/>
        <v>48889.36</v>
      </c>
      <c r="W144" s="393">
        <f t="shared" si="61"/>
        <v>-48889.36</v>
      </c>
      <c r="Y144" s="393">
        <f t="shared" si="66"/>
        <v>3695.88</v>
      </c>
      <c r="Z144" s="393">
        <f t="shared" si="67"/>
        <v>-3695.88</v>
      </c>
      <c r="AD144" s="395">
        <f>IF(AH144&gt;AH143,AD143,IF(AD143&lt;MiscData!$F$1,EOMONTH(AD143,1),EOMONTH(AD143,-11)))</f>
        <v>42063</v>
      </c>
      <c r="AE144" s="389" t="str">
        <f t="shared" si="62"/>
        <v>20140101KUUM_461</v>
      </c>
      <c r="AF144" s="437" t="str">
        <f t="shared" si="63"/>
        <v>20140101RLS</v>
      </c>
      <c r="AG144" s="438"/>
      <c r="AH144" s="34">
        <f>IF(AH143=MiscData!$AB$91,1,AH143+1)</f>
        <v>55</v>
      </c>
      <c r="AI144" s="34">
        <f>IF(AD144&lt;=MiscData!$B$23,MiscData!$C$23,IF(AD144&lt;=MiscData!$B$24,MiscData!$C$24,MiscData!$C$25))</f>
        <v>20140101</v>
      </c>
      <c r="AK144" s="439" t="str">
        <f>VLOOKUP(AM144,MiscData!$AB$4:$ACB$113,2,FALSE)</f>
        <v>KUUM_461</v>
      </c>
      <c r="AL144" s="439" t="str">
        <f>VLOOKUP(AM144,MiscData!$AB$4:$AE$115,4,FALSE)</f>
        <v>RLS</v>
      </c>
      <c r="AM144" s="34">
        <f>IF(AM143=MiscData!$AB$91,1,AM143+1)</f>
        <v>55</v>
      </c>
    </row>
    <row r="145" spans="1:39">
      <c r="A145" s="389">
        <f t="shared" si="68"/>
        <v>144</v>
      </c>
      <c r="B145" s="395" t="str">
        <f t="shared" si="46"/>
        <v>Feb 2015</v>
      </c>
      <c r="C145" s="396" t="str">
        <f t="shared" si="47"/>
        <v>LS</v>
      </c>
      <c r="D145" s="396" t="str">
        <f t="shared" si="48"/>
        <v>KUUM_462</v>
      </c>
      <c r="E145" s="394">
        <f t="shared" si="49"/>
        <v>8582</v>
      </c>
      <c r="F145" s="397">
        <v>0</v>
      </c>
      <c r="G145" s="394">
        <f t="shared" si="50"/>
        <v>0</v>
      </c>
      <c r="H145" s="394">
        <v>0</v>
      </c>
      <c r="I145" s="390">
        <f t="shared" si="51"/>
        <v>8.66</v>
      </c>
      <c r="J145" s="390">
        <f t="shared" si="52"/>
        <v>0.79999999999999893</v>
      </c>
      <c r="K145" s="391">
        <f t="shared" si="64"/>
        <v>74320.12</v>
      </c>
      <c r="L145" s="398">
        <v>0</v>
      </c>
      <c r="M145" s="398">
        <v>0</v>
      </c>
      <c r="N145" s="164">
        <f t="shared" si="53"/>
        <v>74320.12</v>
      </c>
      <c r="O145" s="399">
        <f t="shared" si="54"/>
        <v>0</v>
      </c>
      <c r="P145" s="392">
        <f t="shared" si="65"/>
        <v>0</v>
      </c>
      <c r="Q145" s="164">
        <f t="shared" si="55"/>
        <v>0</v>
      </c>
      <c r="R145" s="164">
        <f t="shared" si="56"/>
        <v>0</v>
      </c>
      <c r="S145" s="164">
        <f t="shared" si="57"/>
        <v>0</v>
      </c>
      <c r="T145" s="164">
        <f t="shared" si="58"/>
        <v>0</v>
      </c>
      <c r="U145" s="164">
        <f t="shared" si="59"/>
        <v>0</v>
      </c>
      <c r="V145" s="393">
        <f t="shared" si="60"/>
        <v>74320.12</v>
      </c>
      <c r="W145" s="393">
        <f t="shared" si="61"/>
        <v>-74320.12</v>
      </c>
      <c r="Y145" s="393">
        <f t="shared" si="66"/>
        <v>6865.6</v>
      </c>
      <c r="Z145" s="393">
        <f t="shared" si="67"/>
        <v>-6865.6</v>
      </c>
      <c r="AD145" s="395">
        <f>IF(AH145&gt;AH144,AD144,IF(AD144&lt;MiscData!$F$1,EOMONTH(AD144,1),EOMONTH(AD144,-11)))</f>
        <v>42063</v>
      </c>
      <c r="AE145" s="389" t="str">
        <f t="shared" si="62"/>
        <v>20140101KUUM_462</v>
      </c>
      <c r="AF145" s="437" t="str">
        <f t="shared" si="63"/>
        <v>20140101LS</v>
      </c>
      <c r="AG145" s="438"/>
      <c r="AH145" s="34">
        <f>IF(AH144=MiscData!$AB$91,1,AH144+1)</f>
        <v>56</v>
      </c>
      <c r="AI145" s="34">
        <f>IF(AD145&lt;=MiscData!$B$23,MiscData!$C$23,IF(AD145&lt;=MiscData!$B$24,MiscData!$C$24,MiscData!$C$25))</f>
        <v>20140101</v>
      </c>
      <c r="AK145" s="439" t="str">
        <f>VLOOKUP(AM145,MiscData!$AB$4:$ACB$113,2,FALSE)</f>
        <v>KUUM_462</v>
      </c>
      <c r="AL145" s="439" t="str">
        <f>VLOOKUP(AM145,MiscData!$AB$4:$AE$115,4,FALSE)</f>
        <v>LS</v>
      </c>
      <c r="AM145" s="34">
        <f>IF(AM144=MiscData!$AB$91,1,AM144+1)</f>
        <v>56</v>
      </c>
    </row>
    <row r="146" spans="1:39">
      <c r="A146" s="389">
        <f t="shared" si="68"/>
        <v>145</v>
      </c>
      <c r="B146" s="395" t="str">
        <f t="shared" si="46"/>
        <v>Feb 2015</v>
      </c>
      <c r="C146" s="396" t="str">
        <f t="shared" si="47"/>
        <v>LS</v>
      </c>
      <c r="D146" s="396" t="str">
        <f t="shared" si="48"/>
        <v>KUUM_463</v>
      </c>
      <c r="E146" s="394">
        <f t="shared" si="49"/>
        <v>19530</v>
      </c>
      <c r="F146" s="397">
        <v>0</v>
      </c>
      <c r="G146" s="394">
        <f t="shared" si="50"/>
        <v>0</v>
      </c>
      <c r="H146" s="394">
        <v>0</v>
      </c>
      <c r="I146" s="390">
        <f t="shared" si="51"/>
        <v>9.14</v>
      </c>
      <c r="J146" s="390">
        <f t="shared" si="52"/>
        <v>1.1299999999999999</v>
      </c>
      <c r="K146" s="391">
        <f t="shared" si="64"/>
        <v>178504.2</v>
      </c>
      <c r="L146" s="398">
        <v>0</v>
      </c>
      <c r="M146" s="398">
        <v>0</v>
      </c>
      <c r="N146" s="164">
        <f t="shared" si="53"/>
        <v>178504.2</v>
      </c>
      <c r="O146" s="399">
        <f t="shared" si="54"/>
        <v>0</v>
      </c>
      <c r="P146" s="392">
        <f t="shared" si="65"/>
        <v>0</v>
      </c>
      <c r="Q146" s="164">
        <f t="shared" si="55"/>
        <v>0</v>
      </c>
      <c r="R146" s="164">
        <f t="shared" si="56"/>
        <v>0</v>
      </c>
      <c r="S146" s="164">
        <f t="shared" si="57"/>
        <v>0</v>
      </c>
      <c r="T146" s="164">
        <f t="shared" si="58"/>
        <v>0</v>
      </c>
      <c r="U146" s="164">
        <f t="shared" si="59"/>
        <v>0</v>
      </c>
      <c r="V146" s="393">
        <f t="shared" si="60"/>
        <v>178504.2</v>
      </c>
      <c r="W146" s="393">
        <f t="shared" si="61"/>
        <v>-178504.2</v>
      </c>
      <c r="Y146" s="393">
        <f t="shared" si="66"/>
        <v>22068.9</v>
      </c>
      <c r="Z146" s="393">
        <f t="shared" si="67"/>
        <v>-22068.9</v>
      </c>
      <c r="AD146" s="395">
        <f>IF(AH146&gt;AH145,AD145,IF(AD145&lt;MiscData!$F$1,EOMONTH(AD145,1),EOMONTH(AD145,-11)))</f>
        <v>42063</v>
      </c>
      <c r="AE146" s="389" t="str">
        <f t="shared" si="62"/>
        <v>20140101KUUM_463</v>
      </c>
      <c r="AF146" s="437" t="str">
        <f t="shared" si="63"/>
        <v>20140101LS</v>
      </c>
      <c r="AG146" s="438"/>
      <c r="AH146" s="34">
        <f>IF(AH145=MiscData!$AB$91,1,AH145+1)</f>
        <v>57</v>
      </c>
      <c r="AI146" s="34">
        <f>IF(AD146&lt;=MiscData!$B$23,MiscData!$C$23,IF(AD146&lt;=MiscData!$B$24,MiscData!$C$24,MiscData!$C$25))</f>
        <v>20140101</v>
      </c>
      <c r="AK146" s="439" t="str">
        <f>VLOOKUP(AM146,MiscData!$AB$4:$ACB$113,2,FALSE)</f>
        <v>KUUM_463</v>
      </c>
      <c r="AL146" s="439" t="str">
        <f>VLOOKUP(AM146,MiscData!$AB$4:$AE$115,4,FALSE)</f>
        <v>LS</v>
      </c>
      <c r="AM146" s="34">
        <f>IF(AM145=MiscData!$AB$91,1,AM145+1)</f>
        <v>57</v>
      </c>
    </row>
    <row r="147" spans="1:39">
      <c r="A147" s="389">
        <f t="shared" si="68"/>
        <v>146</v>
      </c>
      <c r="B147" s="395" t="str">
        <f t="shared" si="46"/>
        <v>Feb 2015</v>
      </c>
      <c r="C147" s="396" t="str">
        <f t="shared" si="47"/>
        <v>LS</v>
      </c>
      <c r="D147" s="396" t="str">
        <f t="shared" si="48"/>
        <v>KUUM_464</v>
      </c>
      <c r="E147" s="394">
        <f t="shared" si="49"/>
        <v>7340</v>
      </c>
      <c r="F147" s="397">
        <v>0</v>
      </c>
      <c r="G147" s="394">
        <f t="shared" si="50"/>
        <v>0</v>
      </c>
      <c r="H147" s="394">
        <v>0</v>
      </c>
      <c r="I147" s="390">
        <f t="shared" si="51"/>
        <v>14.25</v>
      </c>
      <c r="J147" s="390">
        <f t="shared" si="52"/>
        <v>2.33</v>
      </c>
      <c r="K147" s="391">
        <f t="shared" si="64"/>
        <v>104595</v>
      </c>
      <c r="L147" s="398">
        <v>0</v>
      </c>
      <c r="M147" s="398">
        <v>0</v>
      </c>
      <c r="N147" s="164">
        <f t="shared" si="53"/>
        <v>104595</v>
      </c>
      <c r="O147" s="399">
        <f t="shared" si="54"/>
        <v>0</v>
      </c>
      <c r="P147" s="392">
        <f t="shared" si="65"/>
        <v>0</v>
      </c>
      <c r="Q147" s="164">
        <f t="shared" si="55"/>
        <v>0</v>
      </c>
      <c r="R147" s="164">
        <f t="shared" si="56"/>
        <v>0</v>
      </c>
      <c r="S147" s="164">
        <f t="shared" si="57"/>
        <v>0</v>
      </c>
      <c r="T147" s="164">
        <f t="shared" si="58"/>
        <v>0</v>
      </c>
      <c r="U147" s="164">
        <f t="shared" si="59"/>
        <v>0</v>
      </c>
      <c r="V147" s="393">
        <f t="shared" si="60"/>
        <v>104595</v>
      </c>
      <c r="W147" s="393">
        <f t="shared" si="61"/>
        <v>-104595</v>
      </c>
      <c r="Y147" s="393">
        <f t="shared" si="66"/>
        <v>17102.2</v>
      </c>
      <c r="Z147" s="393">
        <f t="shared" si="67"/>
        <v>-17102.2</v>
      </c>
      <c r="AD147" s="395">
        <f>IF(AH147&gt;AH146,AD146,IF(AD146&lt;MiscData!$F$1,EOMONTH(AD146,1),EOMONTH(AD146,-11)))</f>
        <v>42063</v>
      </c>
      <c r="AE147" s="389" t="str">
        <f t="shared" si="62"/>
        <v>20140101KUUM_464</v>
      </c>
      <c r="AF147" s="437" t="str">
        <f t="shared" si="63"/>
        <v>20140101LS</v>
      </c>
      <c r="AG147" s="438"/>
      <c r="AH147" s="34">
        <f>IF(AH146=MiscData!$AB$91,1,AH146+1)</f>
        <v>58</v>
      </c>
      <c r="AI147" s="34">
        <f>IF(AD147&lt;=MiscData!$B$23,MiscData!$C$23,IF(AD147&lt;=MiscData!$B$24,MiscData!$C$24,MiscData!$C$25))</f>
        <v>20140101</v>
      </c>
      <c r="AK147" s="439" t="str">
        <f>VLOOKUP(AM147,MiscData!$AB$4:$ACB$113,2,FALSE)</f>
        <v>KUUM_464</v>
      </c>
      <c r="AL147" s="439" t="str">
        <f>VLOOKUP(AM147,MiscData!$AB$4:$AE$115,4,FALSE)</f>
        <v>LS</v>
      </c>
      <c r="AM147" s="34">
        <f>IF(AM146=MiscData!$AB$91,1,AM146+1)</f>
        <v>58</v>
      </c>
    </row>
    <row r="148" spans="1:39">
      <c r="A148" s="389">
        <f t="shared" si="68"/>
        <v>147</v>
      </c>
      <c r="B148" s="395" t="str">
        <f t="shared" si="46"/>
        <v>Feb 2015</v>
      </c>
      <c r="C148" s="396" t="str">
        <f t="shared" si="47"/>
        <v>LS</v>
      </c>
      <c r="D148" s="396" t="str">
        <f t="shared" si="48"/>
        <v>KUUM_465</v>
      </c>
      <c r="E148" s="394">
        <f t="shared" si="49"/>
        <v>2710</v>
      </c>
      <c r="F148" s="397">
        <v>0</v>
      </c>
      <c r="G148" s="394">
        <f t="shared" si="50"/>
        <v>0</v>
      </c>
      <c r="H148" s="394">
        <v>0</v>
      </c>
      <c r="I148" s="390">
        <f t="shared" si="51"/>
        <v>22.84</v>
      </c>
      <c r="J148" s="390">
        <f t="shared" si="52"/>
        <v>4.5299999999999976</v>
      </c>
      <c r="K148" s="391">
        <f t="shared" si="64"/>
        <v>61896.4</v>
      </c>
      <c r="L148" s="398">
        <v>0</v>
      </c>
      <c r="M148" s="398">
        <v>0</v>
      </c>
      <c r="N148" s="164">
        <f t="shared" si="53"/>
        <v>61896.4</v>
      </c>
      <c r="O148" s="399">
        <f t="shared" si="54"/>
        <v>0</v>
      </c>
      <c r="P148" s="392">
        <f t="shared" si="65"/>
        <v>0</v>
      </c>
      <c r="Q148" s="164">
        <f t="shared" si="55"/>
        <v>0</v>
      </c>
      <c r="R148" s="164">
        <f t="shared" si="56"/>
        <v>0</v>
      </c>
      <c r="S148" s="164">
        <f t="shared" si="57"/>
        <v>0</v>
      </c>
      <c r="T148" s="164">
        <f t="shared" si="58"/>
        <v>0</v>
      </c>
      <c r="U148" s="164">
        <f t="shared" si="59"/>
        <v>0</v>
      </c>
      <c r="V148" s="393">
        <f t="shared" si="60"/>
        <v>61896.4</v>
      </c>
      <c r="W148" s="393">
        <f t="shared" si="61"/>
        <v>-61896.4</v>
      </c>
      <c r="Y148" s="393">
        <f t="shared" si="66"/>
        <v>12276.3</v>
      </c>
      <c r="Z148" s="393">
        <f t="shared" si="67"/>
        <v>-12276.3</v>
      </c>
      <c r="AD148" s="395">
        <f>IF(AH148&gt;AH147,AD147,IF(AD147&lt;MiscData!$F$1,EOMONTH(AD147,1),EOMONTH(AD147,-11)))</f>
        <v>42063</v>
      </c>
      <c r="AE148" s="389" t="str">
        <f t="shared" si="62"/>
        <v>20140101KUUM_465</v>
      </c>
      <c r="AF148" s="437" t="str">
        <f t="shared" si="63"/>
        <v>20140101LS</v>
      </c>
      <c r="AG148" s="438"/>
      <c r="AH148" s="34">
        <f>IF(AH147=MiscData!$AB$91,1,AH147+1)</f>
        <v>59</v>
      </c>
      <c r="AI148" s="34">
        <f>IF(AD148&lt;=MiscData!$B$23,MiscData!$C$23,IF(AD148&lt;=MiscData!$B$24,MiscData!$C$24,MiscData!$C$25))</f>
        <v>20140101</v>
      </c>
      <c r="AK148" s="439" t="str">
        <f>VLOOKUP(AM148,MiscData!$AB$4:$ACB$113,2,FALSE)</f>
        <v>KUUM_465</v>
      </c>
      <c r="AL148" s="439" t="str">
        <f>VLOOKUP(AM148,MiscData!$AB$4:$AE$115,4,FALSE)</f>
        <v>LS</v>
      </c>
      <c r="AM148" s="34">
        <f>IF(AM147=MiscData!$AB$91,1,AM147+1)</f>
        <v>59</v>
      </c>
    </row>
    <row r="149" spans="1:39">
      <c r="A149" s="389">
        <f t="shared" si="68"/>
        <v>148</v>
      </c>
      <c r="B149" s="395" t="str">
        <f t="shared" si="46"/>
        <v>Feb 2015</v>
      </c>
      <c r="C149" s="396" t="str">
        <f t="shared" si="47"/>
        <v>RLS</v>
      </c>
      <c r="D149" s="396" t="str">
        <f t="shared" si="48"/>
        <v>KUUM_466</v>
      </c>
      <c r="E149" s="394">
        <f t="shared" si="49"/>
        <v>712</v>
      </c>
      <c r="F149" s="397">
        <v>0</v>
      </c>
      <c r="G149" s="394">
        <f t="shared" si="50"/>
        <v>0</v>
      </c>
      <c r="H149" s="394">
        <v>0</v>
      </c>
      <c r="I149" s="390">
        <f t="shared" si="51"/>
        <v>9.620000000000001</v>
      </c>
      <c r="J149" s="390">
        <f t="shared" si="52"/>
        <v>0.57000000000000028</v>
      </c>
      <c r="K149" s="391">
        <f t="shared" si="64"/>
        <v>6849.44</v>
      </c>
      <c r="L149" s="398">
        <v>0</v>
      </c>
      <c r="M149" s="398">
        <v>0</v>
      </c>
      <c r="N149" s="164">
        <f t="shared" si="53"/>
        <v>6849.44</v>
      </c>
      <c r="O149" s="399">
        <f t="shared" si="54"/>
        <v>0</v>
      </c>
      <c r="P149" s="392">
        <f t="shared" si="65"/>
        <v>0</v>
      </c>
      <c r="Q149" s="164">
        <f t="shared" si="55"/>
        <v>0</v>
      </c>
      <c r="R149" s="164">
        <f t="shared" si="56"/>
        <v>0</v>
      </c>
      <c r="S149" s="164">
        <f t="shared" si="57"/>
        <v>0</v>
      </c>
      <c r="T149" s="164">
        <f t="shared" si="58"/>
        <v>0</v>
      </c>
      <c r="U149" s="164">
        <f t="shared" si="59"/>
        <v>0</v>
      </c>
      <c r="V149" s="393">
        <f t="shared" si="60"/>
        <v>6849.44</v>
      </c>
      <c r="W149" s="393">
        <f t="shared" si="61"/>
        <v>-6849.44</v>
      </c>
      <c r="Y149" s="393">
        <f t="shared" si="66"/>
        <v>405.84</v>
      </c>
      <c r="Z149" s="393">
        <f t="shared" si="67"/>
        <v>-405.84</v>
      </c>
      <c r="AD149" s="395">
        <f>IF(AH149&gt;AH148,AD148,IF(AD148&lt;MiscData!$F$1,EOMONTH(AD148,1),EOMONTH(AD148,-11)))</f>
        <v>42063</v>
      </c>
      <c r="AE149" s="389" t="str">
        <f t="shared" si="62"/>
        <v>20140101KUUM_466</v>
      </c>
      <c r="AF149" s="437" t="str">
        <f t="shared" si="63"/>
        <v>20140101RLS</v>
      </c>
      <c r="AG149" s="438"/>
      <c r="AH149" s="34">
        <f>IF(AH148=MiscData!$AB$91,1,AH148+1)</f>
        <v>60</v>
      </c>
      <c r="AI149" s="34">
        <f>IF(AD149&lt;=MiscData!$B$23,MiscData!$C$23,IF(AD149&lt;=MiscData!$B$24,MiscData!$C$24,MiscData!$C$25))</f>
        <v>20140101</v>
      </c>
      <c r="AK149" s="439" t="str">
        <f>VLOOKUP(AM149,MiscData!$AB$4:$ACB$113,2,FALSE)</f>
        <v>KUUM_466</v>
      </c>
      <c r="AL149" s="439" t="str">
        <f>VLOOKUP(AM149,MiscData!$AB$4:$AE$115,4,FALSE)</f>
        <v>RLS</v>
      </c>
      <c r="AM149" s="34">
        <f>IF(AM148=MiscData!$AB$91,1,AM148+1)</f>
        <v>60</v>
      </c>
    </row>
    <row r="150" spans="1:39">
      <c r="A150" s="389">
        <f t="shared" si="68"/>
        <v>149</v>
      </c>
      <c r="B150" s="395" t="str">
        <f t="shared" si="46"/>
        <v>Feb 2015</v>
      </c>
      <c r="C150" s="396" t="str">
        <f t="shared" si="47"/>
        <v>LS</v>
      </c>
      <c r="D150" s="396" t="str">
        <f t="shared" si="48"/>
        <v>KUUM_467</v>
      </c>
      <c r="E150" s="394">
        <f t="shared" si="49"/>
        <v>1232</v>
      </c>
      <c r="F150" s="397">
        <v>0</v>
      </c>
      <c r="G150" s="394">
        <f t="shared" si="50"/>
        <v>0</v>
      </c>
      <c r="H150" s="394">
        <v>0</v>
      </c>
      <c r="I150" s="390">
        <f t="shared" si="51"/>
        <v>10.770000000000001</v>
      </c>
      <c r="J150" s="390">
        <f t="shared" si="52"/>
        <v>0.80000000000000071</v>
      </c>
      <c r="K150" s="391">
        <f t="shared" si="64"/>
        <v>13268.64</v>
      </c>
      <c r="L150" s="398">
        <v>0</v>
      </c>
      <c r="M150" s="398">
        <v>0</v>
      </c>
      <c r="N150" s="164">
        <f t="shared" si="53"/>
        <v>13268.64</v>
      </c>
      <c r="O150" s="399">
        <f t="shared" si="54"/>
        <v>0</v>
      </c>
      <c r="P150" s="392">
        <f t="shared" si="65"/>
        <v>0</v>
      </c>
      <c r="Q150" s="164">
        <f t="shared" si="55"/>
        <v>0</v>
      </c>
      <c r="R150" s="164">
        <f t="shared" si="56"/>
        <v>0</v>
      </c>
      <c r="S150" s="164">
        <f t="shared" si="57"/>
        <v>0</v>
      </c>
      <c r="T150" s="164">
        <f t="shared" si="58"/>
        <v>0</v>
      </c>
      <c r="U150" s="164">
        <f t="shared" si="59"/>
        <v>0</v>
      </c>
      <c r="V150" s="393">
        <f t="shared" si="60"/>
        <v>13268.64</v>
      </c>
      <c r="W150" s="393">
        <f t="shared" si="61"/>
        <v>-13268.64</v>
      </c>
      <c r="Y150" s="393">
        <f t="shared" si="66"/>
        <v>985.6</v>
      </c>
      <c r="Z150" s="393">
        <f t="shared" si="67"/>
        <v>-985.6</v>
      </c>
      <c r="AD150" s="395">
        <f>IF(AH150&gt;AH149,AD149,IF(AD149&lt;MiscData!$F$1,EOMONTH(AD149,1),EOMONTH(AD149,-11)))</f>
        <v>42063</v>
      </c>
      <c r="AE150" s="389" t="str">
        <f t="shared" si="62"/>
        <v>20140101KUUM_467</v>
      </c>
      <c r="AF150" s="437" t="str">
        <f t="shared" si="63"/>
        <v>20140101LS</v>
      </c>
      <c r="AG150" s="438"/>
      <c r="AH150" s="34">
        <f>IF(AH149=MiscData!$AB$91,1,AH149+1)</f>
        <v>61</v>
      </c>
      <c r="AI150" s="34">
        <f>IF(AD150&lt;=MiscData!$B$23,MiscData!$C$23,IF(AD150&lt;=MiscData!$B$24,MiscData!$C$24,MiscData!$C$25))</f>
        <v>20140101</v>
      </c>
      <c r="AK150" s="439" t="str">
        <f>VLOOKUP(AM150,MiscData!$AB$4:$ACB$113,2,FALSE)</f>
        <v>KUUM_467</v>
      </c>
      <c r="AL150" s="439" t="str">
        <f>VLOOKUP(AM150,MiscData!$AB$4:$AE$115,4,FALSE)</f>
        <v>LS</v>
      </c>
      <c r="AM150" s="34">
        <f>IF(AM149=MiscData!$AB$91,1,AM149+1)</f>
        <v>61</v>
      </c>
    </row>
    <row r="151" spans="1:39">
      <c r="A151" s="389">
        <f t="shared" si="68"/>
        <v>150</v>
      </c>
      <c r="B151" s="395" t="str">
        <f t="shared" si="46"/>
        <v>Feb 2015</v>
      </c>
      <c r="C151" s="396" t="str">
        <f t="shared" si="47"/>
        <v>LS</v>
      </c>
      <c r="D151" s="396" t="str">
        <f t="shared" si="48"/>
        <v>KUUM_468</v>
      </c>
      <c r="E151" s="394">
        <f t="shared" si="49"/>
        <v>3948</v>
      </c>
      <c r="F151" s="397">
        <v>0</v>
      </c>
      <c r="G151" s="394">
        <f t="shared" si="50"/>
        <v>0</v>
      </c>
      <c r="H151" s="394">
        <v>0</v>
      </c>
      <c r="I151" s="390">
        <f t="shared" si="51"/>
        <v>11.16</v>
      </c>
      <c r="J151" s="390">
        <f t="shared" si="52"/>
        <v>1.129999999999999</v>
      </c>
      <c r="K151" s="391">
        <f t="shared" si="64"/>
        <v>44059.68</v>
      </c>
      <c r="L151" s="398">
        <v>0</v>
      </c>
      <c r="M151" s="398">
        <v>0</v>
      </c>
      <c r="N151" s="164">
        <f t="shared" si="53"/>
        <v>44059.68</v>
      </c>
      <c r="O151" s="399">
        <f t="shared" si="54"/>
        <v>0</v>
      </c>
      <c r="P151" s="392">
        <f t="shared" si="65"/>
        <v>0</v>
      </c>
      <c r="Q151" s="164">
        <f t="shared" si="55"/>
        <v>0</v>
      </c>
      <c r="R151" s="164">
        <f t="shared" si="56"/>
        <v>0</v>
      </c>
      <c r="S151" s="164">
        <f t="shared" si="57"/>
        <v>0</v>
      </c>
      <c r="T151" s="164">
        <f t="shared" si="58"/>
        <v>0</v>
      </c>
      <c r="U151" s="164">
        <f t="shared" si="59"/>
        <v>0</v>
      </c>
      <c r="V151" s="393">
        <f t="shared" si="60"/>
        <v>44059.68</v>
      </c>
      <c r="W151" s="393">
        <f t="shared" si="61"/>
        <v>-44059.68</v>
      </c>
      <c r="Y151" s="393">
        <f t="shared" si="66"/>
        <v>4461.24</v>
      </c>
      <c r="Z151" s="393">
        <f t="shared" si="67"/>
        <v>-4461.24</v>
      </c>
      <c r="AD151" s="395">
        <f>IF(AH151&gt;AH150,AD150,IF(AD150&lt;MiscData!$F$1,EOMONTH(AD150,1),EOMONTH(AD150,-11)))</f>
        <v>42063</v>
      </c>
      <c r="AE151" s="389" t="str">
        <f t="shared" si="62"/>
        <v>20140101KUUM_468</v>
      </c>
      <c r="AF151" s="437" t="str">
        <f t="shared" si="63"/>
        <v>20140101LS</v>
      </c>
      <c r="AG151" s="438"/>
      <c r="AH151" s="34">
        <f>IF(AH150=MiscData!$AB$91,1,AH150+1)</f>
        <v>62</v>
      </c>
      <c r="AI151" s="34">
        <f>IF(AD151&lt;=MiscData!$B$23,MiscData!$C$23,IF(AD151&lt;=MiscData!$B$24,MiscData!$C$24,MiscData!$C$25))</f>
        <v>20140101</v>
      </c>
      <c r="AK151" s="439" t="str">
        <f>VLOOKUP(AM151,MiscData!$AB$4:$ACB$113,2,FALSE)</f>
        <v>KUUM_468</v>
      </c>
      <c r="AL151" s="439" t="str">
        <f>VLOOKUP(AM151,MiscData!$AB$4:$AE$115,4,FALSE)</f>
        <v>LS</v>
      </c>
      <c r="AM151" s="34">
        <f>IF(AM150=MiscData!$AB$91,1,AM150+1)</f>
        <v>62</v>
      </c>
    </row>
    <row r="152" spans="1:39">
      <c r="A152" s="389">
        <f t="shared" si="68"/>
        <v>151</v>
      </c>
      <c r="B152" s="395" t="str">
        <f t="shared" si="46"/>
        <v>Feb 2015</v>
      </c>
      <c r="C152" s="396" t="str">
        <f t="shared" si="47"/>
        <v>RLS</v>
      </c>
      <c r="D152" s="396" t="str">
        <f t="shared" si="48"/>
        <v>KUUM_469</v>
      </c>
      <c r="E152" s="394">
        <f t="shared" si="49"/>
        <v>277</v>
      </c>
      <c r="F152" s="397">
        <v>0</v>
      </c>
      <c r="G152" s="394">
        <f t="shared" si="50"/>
        <v>0</v>
      </c>
      <c r="H152" s="394">
        <v>0</v>
      </c>
      <c r="I152" s="390">
        <f t="shared" si="51"/>
        <v>33.100000000000009</v>
      </c>
      <c r="J152" s="390">
        <f t="shared" si="52"/>
        <v>4.2900000000000063</v>
      </c>
      <c r="K152" s="391">
        <f t="shared" si="64"/>
        <v>9168.7000000000007</v>
      </c>
      <c r="L152" s="398">
        <v>0</v>
      </c>
      <c r="M152" s="398">
        <v>0</v>
      </c>
      <c r="N152" s="164">
        <f t="shared" si="53"/>
        <v>9168.7000000000007</v>
      </c>
      <c r="O152" s="399">
        <f t="shared" si="54"/>
        <v>0</v>
      </c>
      <c r="P152" s="392">
        <f t="shared" si="65"/>
        <v>0</v>
      </c>
      <c r="Q152" s="164">
        <f t="shared" si="55"/>
        <v>0</v>
      </c>
      <c r="R152" s="164">
        <f t="shared" si="56"/>
        <v>0</v>
      </c>
      <c r="S152" s="164">
        <f t="shared" si="57"/>
        <v>0</v>
      </c>
      <c r="T152" s="164">
        <f t="shared" si="58"/>
        <v>0</v>
      </c>
      <c r="U152" s="164">
        <f t="shared" si="59"/>
        <v>0</v>
      </c>
      <c r="V152" s="393">
        <f t="shared" si="60"/>
        <v>9168.7000000000007</v>
      </c>
      <c r="W152" s="393">
        <f t="shared" si="61"/>
        <v>-9168.7000000000007</v>
      </c>
      <c r="Y152" s="393">
        <f t="shared" si="66"/>
        <v>1188.33</v>
      </c>
      <c r="Z152" s="393">
        <f t="shared" si="67"/>
        <v>-1188.33</v>
      </c>
      <c r="AD152" s="395">
        <f>IF(AH152&gt;AH151,AD151,IF(AD151&lt;MiscData!$F$1,EOMONTH(AD151,1),EOMONTH(AD151,-11)))</f>
        <v>42063</v>
      </c>
      <c r="AE152" s="389" t="str">
        <f t="shared" si="62"/>
        <v>20140101KUUM_469</v>
      </c>
      <c r="AF152" s="437" t="str">
        <f t="shared" si="63"/>
        <v>20140101RLS</v>
      </c>
      <c r="AG152" s="438"/>
      <c r="AH152" s="34">
        <f>IF(AH151=MiscData!$AB$91,1,AH151+1)</f>
        <v>63</v>
      </c>
      <c r="AI152" s="34">
        <f>IF(AD152&lt;=MiscData!$B$23,MiscData!$C$23,IF(AD152&lt;=MiscData!$B$24,MiscData!$C$24,MiscData!$C$25))</f>
        <v>20140101</v>
      </c>
      <c r="AK152" s="439" t="str">
        <f>VLOOKUP(AM152,MiscData!$AB$4:$ACB$113,2,FALSE)</f>
        <v>KUUM_469</v>
      </c>
      <c r="AL152" s="439" t="str">
        <f>VLOOKUP(AM152,MiscData!$AB$4:$AE$115,4,FALSE)</f>
        <v>RLS</v>
      </c>
      <c r="AM152" s="34">
        <f>IF(AM151=MiscData!$AB$91,1,AM151+1)</f>
        <v>63</v>
      </c>
    </row>
    <row r="153" spans="1:39">
      <c r="A153" s="389">
        <f t="shared" si="68"/>
        <v>152</v>
      </c>
      <c r="B153" s="395" t="str">
        <f t="shared" si="46"/>
        <v>Feb 2015</v>
      </c>
      <c r="C153" s="396" t="str">
        <f t="shared" si="47"/>
        <v>RLS</v>
      </c>
      <c r="D153" s="396" t="str">
        <f t="shared" si="48"/>
        <v>KUUM_470</v>
      </c>
      <c r="E153" s="394">
        <f t="shared" si="49"/>
        <v>53</v>
      </c>
      <c r="F153" s="397">
        <v>0</v>
      </c>
      <c r="G153" s="394">
        <f t="shared" si="50"/>
        <v>0</v>
      </c>
      <c r="H153" s="394">
        <v>0</v>
      </c>
      <c r="I153" s="390">
        <f t="shared" si="51"/>
        <v>55.250000000000007</v>
      </c>
      <c r="J153" s="390">
        <f t="shared" si="52"/>
        <v>10.410000000000004</v>
      </c>
      <c r="K153" s="391">
        <f t="shared" si="64"/>
        <v>2928.25</v>
      </c>
      <c r="L153" s="398">
        <v>0</v>
      </c>
      <c r="M153" s="398">
        <v>0</v>
      </c>
      <c r="N153" s="164">
        <f t="shared" si="53"/>
        <v>2928.25</v>
      </c>
      <c r="O153" s="399">
        <f t="shared" si="54"/>
        <v>0</v>
      </c>
      <c r="P153" s="392">
        <f t="shared" si="65"/>
        <v>0</v>
      </c>
      <c r="Q153" s="164">
        <f t="shared" si="55"/>
        <v>0</v>
      </c>
      <c r="R153" s="164">
        <f t="shared" si="56"/>
        <v>0</v>
      </c>
      <c r="S153" s="164">
        <f t="shared" si="57"/>
        <v>0</v>
      </c>
      <c r="T153" s="164">
        <f t="shared" si="58"/>
        <v>0</v>
      </c>
      <c r="U153" s="164">
        <f t="shared" si="59"/>
        <v>0</v>
      </c>
      <c r="V153" s="393">
        <f t="shared" si="60"/>
        <v>2928.25</v>
      </c>
      <c r="W153" s="393">
        <f t="shared" si="61"/>
        <v>-2928.25</v>
      </c>
      <c r="Y153" s="393">
        <f t="shared" si="66"/>
        <v>551.73</v>
      </c>
      <c r="Z153" s="393">
        <f t="shared" si="67"/>
        <v>-551.73</v>
      </c>
      <c r="AD153" s="395">
        <f>IF(AH153&gt;AH152,AD152,IF(AD152&lt;MiscData!$F$1,EOMONTH(AD152,1),EOMONTH(AD152,-11)))</f>
        <v>42063</v>
      </c>
      <c r="AE153" s="389" t="str">
        <f t="shared" si="62"/>
        <v>20140101KUUM_470</v>
      </c>
      <c r="AF153" s="437" t="str">
        <f t="shared" si="63"/>
        <v>20140101RLS</v>
      </c>
      <c r="AG153" s="438"/>
      <c r="AH153" s="34">
        <f>IF(AH152=MiscData!$AB$91,1,AH152+1)</f>
        <v>64</v>
      </c>
      <c r="AI153" s="34">
        <f>IF(AD153&lt;=MiscData!$B$23,MiscData!$C$23,IF(AD153&lt;=MiscData!$B$24,MiscData!$C$24,MiscData!$C$25))</f>
        <v>20140101</v>
      </c>
      <c r="AK153" s="439" t="str">
        <f>VLOOKUP(AM153,MiscData!$AB$4:$ACB$113,2,FALSE)</f>
        <v>KUUM_470</v>
      </c>
      <c r="AL153" s="439" t="str">
        <f>VLOOKUP(AM153,MiscData!$AB$4:$AE$115,4,FALSE)</f>
        <v>RLS</v>
      </c>
      <c r="AM153" s="34">
        <f>IF(AM152=MiscData!$AB$91,1,AM152+1)</f>
        <v>64</v>
      </c>
    </row>
    <row r="154" spans="1:39">
      <c r="A154" s="389">
        <f t="shared" si="68"/>
        <v>153</v>
      </c>
      <c r="B154" s="395" t="str">
        <f t="shared" si="46"/>
        <v>Feb 2015</v>
      </c>
      <c r="C154" s="396" t="str">
        <f t="shared" si="47"/>
        <v>RLS</v>
      </c>
      <c r="D154" s="396" t="str">
        <f t="shared" si="48"/>
        <v>KUUM_471</v>
      </c>
      <c r="E154" s="394">
        <f t="shared" si="49"/>
        <v>3656</v>
      </c>
      <c r="F154" s="397">
        <v>0</v>
      </c>
      <c r="G154" s="394">
        <f t="shared" si="50"/>
        <v>0</v>
      </c>
      <c r="H154" s="394">
        <v>0</v>
      </c>
      <c r="I154" s="390">
        <f t="shared" si="51"/>
        <v>10.49</v>
      </c>
      <c r="J154" s="390">
        <f t="shared" si="52"/>
        <v>0.56999999999999851</v>
      </c>
      <c r="K154" s="391">
        <f t="shared" si="64"/>
        <v>38351.440000000002</v>
      </c>
      <c r="L154" s="398">
        <v>0</v>
      </c>
      <c r="M154" s="398">
        <v>0</v>
      </c>
      <c r="N154" s="164">
        <f t="shared" si="53"/>
        <v>38351.440000000002</v>
      </c>
      <c r="O154" s="399">
        <f t="shared" si="54"/>
        <v>0</v>
      </c>
      <c r="P154" s="392">
        <f t="shared" si="65"/>
        <v>0</v>
      </c>
      <c r="Q154" s="164">
        <f t="shared" si="55"/>
        <v>0</v>
      </c>
      <c r="R154" s="164">
        <f t="shared" si="56"/>
        <v>0</v>
      </c>
      <c r="S154" s="164">
        <f t="shared" si="57"/>
        <v>0</v>
      </c>
      <c r="T154" s="164">
        <f t="shared" si="58"/>
        <v>0</v>
      </c>
      <c r="U154" s="164">
        <f t="shared" si="59"/>
        <v>0</v>
      </c>
      <c r="V154" s="393">
        <f t="shared" si="60"/>
        <v>38351.440000000002</v>
      </c>
      <c r="W154" s="393">
        <f t="shared" si="61"/>
        <v>-38351.440000000002</v>
      </c>
      <c r="Y154" s="393">
        <f t="shared" si="66"/>
        <v>2083.92</v>
      </c>
      <c r="Z154" s="393">
        <f t="shared" si="67"/>
        <v>-2083.92</v>
      </c>
      <c r="AD154" s="395">
        <f>IF(AH154&gt;AH153,AD153,IF(AD153&lt;MiscData!$F$1,EOMONTH(AD153,1),EOMONTH(AD153,-11)))</f>
        <v>42063</v>
      </c>
      <c r="AE154" s="389" t="str">
        <f t="shared" si="62"/>
        <v>20140101KUUM_471</v>
      </c>
      <c r="AF154" s="437" t="str">
        <f t="shared" si="63"/>
        <v>20140101RLS</v>
      </c>
      <c r="AG154" s="438"/>
      <c r="AH154" s="34">
        <f>IF(AH153=MiscData!$AB$91,1,AH153+1)</f>
        <v>65</v>
      </c>
      <c r="AI154" s="34">
        <f>IF(AD154&lt;=MiscData!$B$23,MiscData!$C$23,IF(AD154&lt;=MiscData!$B$24,MiscData!$C$24,MiscData!$C$25))</f>
        <v>20140101</v>
      </c>
      <c r="AK154" s="439" t="str">
        <f>VLOOKUP(AM154,MiscData!$AB$4:$ACB$113,2,FALSE)</f>
        <v>KUUM_471</v>
      </c>
      <c r="AL154" s="439" t="str">
        <f>VLOOKUP(AM154,MiscData!$AB$4:$AE$115,4,FALSE)</f>
        <v>RLS</v>
      </c>
      <c r="AM154" s="34">
        <f>IF(AM153=MiscData!$AB$91,1,AM153+1)</f>
        <v>65</v>
      </c>
    </row>
    <row r="155" spans="1:39">
      <c r="A155" s="389">
        <f t="shared" si="68"/>
        <v>154</v>
      </c>
      <c r="B155" s="395" t="str">
        <f t="shared" si="46"/>
        <v>Feb 2015</v>
      </c>
      <c r="C155" s="396" t="str">
        <f t="shared" si="47"/>
        <v>LS</v>
      </c>
      <c r="D155" s="396" t="str">
        <f t="shared" si="48"/>
        <v>KUUM_472</v>
      </c>
      <c r="E155" s="394">
        <f t="shared" si="49"/>
        <v>8687</v>
      </c>
      <c r="F155" s="397">
        <v>0</v>
      </c>
      <c r="G155" s="394">
        <f t="shared" si="50"/>
        <v>0</v>
      </c>
      <c r="H155" s="394">
        <v>0</v>
      </c>
      <c r="I155" s="390">
        <f t="shared" si="51"/>
        <v>11.600000000000001</v>
      </c>
      <c r="J155" s="390">
        <f t="shared" si="52"/>
        <v>0.80000000000000071</v>
      </c>
      <c r="K155" s="391">
        <f t="shared" si="64"/>
        <v>100769.2</v>
      </c>
      <c r="L155" s="398">
        <v>0</v>
      </c>
      <c r="M155" s="398">
        <v>0</v>
      </c>
      <c r="N155" s="164">
        <f t="shared" si="53"/>
        <v>100769.2</v>
      </c>
      <c r="O155" s="399">
        <f t="shared" si="54"/>
        <v>0</v>
      </c>
      <c r="P155" s="392">
        <f t="shared" si="65"/>
        <v>0</v>
      </c>
      <c r="Q155" s="164">
        <f t="shared" si="55"/>
        <v>0</v>
      </c>
      <c r="R155" s="164">
        <f t="shared" si="56"/>
        <v>0</v>
      </c>
      <c r="S155" s="164">
        <f t="shared" si="57"/>
        <v>0</v>
      </c>
      <c r="T155" s="164">
        <f t="shared" si="58"/>
        <v>0</v>
      </c>
      <c r="U155" s="164">
        <f t="shared" si="59"/>
        <v>0</v>
      </c>
      <c r="V155" s="393">
        <f t="shared" si="60"/>
        <v>100769.2</v>
      </c>
      <c r="W155" s="393">
        <f t="shared" si="61"/>
        <v>-100769.2</v>
      </c>
      <c r="Y155" s="393">
        <f t="shared" si="66"/>
        <v>6949.6</v>
      </c>
      <c r="Z155" s="393">
        <f t="shared" si="67"/>
        <v>-6949.6</v>
      </c>
      <c r="AD155" s="395">
        <f>IF(AH155&gt;AH154,AD154,IF(AD154&lt;MiscData!$F$1,EOMONTH(AD154,1),EOMONTH(AD154,-11)))</f>
        <v>42063</v>
      </c>
      <c r="AE155" s="389" t="str">
        <f t="shared" si="62"/>
        <v>20140101KUUM_472</v>
      </c>
      <c r="AF155" s="437" t="str">
        <f t="shared" si="63"/>
        <v>20140101LS</v>
      </c>
      <c r="AG155" s="438"/>
      <c r="AH155" s="34">
        <f>IF(AH154=MiscData!$AB$91,1,AH154+1)</f>
        <v>66</v>
      </c>
      <c r="AI155" s="34">
        <f>IF(AD155&lt;=MiscData!$B$23,MiscData!$C$23,IF(AD155&lt;=MiscData!$B$24,MiscData!$C$24,MiscData!$C$25))</f>
        <v>20140101</v>
      </c>
      <c r="AK155" s="439" t="str">
        <f>VLOOKUP(AM155,MiscData!$AB$4:$ACB$113,2,FALSE)</f>
        <v>KUUM_472</v>
      </c>
      <c r="AL155" s="439" t="str">
        <f>VLOOKUP(AM155,MiscData!$AB$4:$AE$115,4,FALSE)</f>
        <v>LS</v>
      </c>
      <c r="AM155" s="34">
        <f>IF(AM154=MiscData!$AB$91,1,AM154+1)</f>
        <v>66</v>
      </c>
    </row>
    <row r="156" spans="1:39">
      <c r="A156" s="389">
        <f t="shared" si="68"/>
        <v>155</v>
      </c>
      <c r="B156" s="395" t="str">
        <f t="shared" si="46"/>
        <v>Feb 2015</v>
      </c>
      <c r="C156" s="396" t="str">
        <f t="shared" si="47"/>
        <v>LS</v>
      </c>
      <c r="D156" s="396" t="str">
        <f t="shared" si="48"/>
        <v>KUUM_473</v>
      </c>
      <c r="E156" s="394">
        <f t="shared" si="49"/>
        <v>3353</v>
      </c>
      <c r="F156" s="397">
        <v>0</v>
      </c>
      <c r="G156" s="394">
        <f t="shared" si="50"/>
        <v>0</v>
      </c>
      <c r="H156" s="394">
        <v>0</v>
      </c>
      <c r="I156" s="390">
        <f t="shared" si="51"/>
        <v>12.3</v>
      </c>
      <c r="J156" s="390">
        <f t="shared" si="52"/>
        <v>1.129999999999999</v>
      </c>
      <c r="K156" s="391">
        <f t="shared" si="64"/>
        <v>41241.9</v>
      </c>
      <c r="L156" s="398">
        <v>0</v>
      </c>
      <c r="M156" s="398">
        <v>0</v>
      </c>
      <c r="N156" s="164">
        <f t="shared" si="53"/>
        <v>41241.9</v>
      </c>
      <c r="O156" s="399">
        <f t="shared" si="54"/>
        <v>0</v>
      </c>
      <c r="P156" s="392">
        <f t="shared" si="65"/>
        <v>0</v>
      </c>
      <c r="Q156" s="164">
        <f t="shared" si="55"/>
        <v>0</v>
      </c>
      <c r="R156" s="164">
        <f t="shared" si="56"/>
        <v>0</v>
      </c>
      <c r="S156" s="164">
        <f t="shared" si="57"/>
        <v>0</v>
      </c>
      <c r="T156" s="164">
        <f t="shared" si="58"/>
        <v>0</v>
      </c>
      <c r="U156" s="164">
        <f t="shared" si="59"/>
        <v>0</v>
      </c>
      <c r="V156" s="393">
        <f t="shared" si="60"/>
        <v>41241.9</v>
      </c>
      <c r="W156" s="393">
        <f t="shared" si="61"/>
        <v>-41241.9</v>
      </c>
      <c r="Y156" s="393">
        <f t="shared" si="66"/>
        <v>3788.89</v>
      </c>
      <c r="Z156" s="393">
        <f t="shared" si="67"/>
        <v>-3788.89</v>
      </c>
      <c r="AD156" s="395">
        <f>IF(AH156&gt;AH155,AD155,IF(AD155&lt;MiscData!$F$1,EOMONTH(AD155,1),EOMONTH(AD155,-11)))</f>
        <v>42063</v>
      </c>
      <c r="AE156" s="389" t="str">
        <f t="shared" si="62"/>
        <v>20140101KUUM_473</v>
      </c>
      <c r="AF156" s="437" t="str">
        <f t="shared" si="63"/>
        <v>20140101LS</v>
      </c>
      <c r="AG156" s="438"/>
      <c r="AH156" s="34">
        <f>IF(AH155=MiscData!$AB$91,1,AH155+1)</f>
        <v>67</v>
      </c>
      <c r="AI156" s="34">
        <f>IF(AD156&lt;=MiscData!$B$23,MiscData!$C$23,IF(AD156&lt;=MiscData!$B$24,MiscData!$C$24,MiscData!$C$25))</f>
        <v>20140101</v>
      </c>
      <c r="AK156" s="439" t="str">
        <f>VLOOKUP(AM156,MiscData!$AB$4:$ACB$113,2,FALSE)</f>
        <v>KUUM_473</v>
      </c>
      <c r="AL156" s="439" t="str">
        <f>VLOOKUP(AM156,MiscData!$AB$4:$AE$115,4,FALSE)</f>
        <v>LS</v>
      </c>
      <c r="AM156" s="34">
        <f>IF(AM155=MiscData!$AB$91,1,AM155+1)</f>
        <v>67</v>
      </c>
    </row>
    <row r="157" spans="1:39">
      <c r="A157" s="389">
        <f t="shared" si="68"/>
        <v>156</v>
      </c>
      <c r="B157" s="395" t="str">
        <f t="shared" si="46"/>
        <v>Feb 2015</v>
      </c>
      <c r="C157" s="396" t="str">
        <f t="shared" si="47"/>
        <v>LS</v>
      </c>
      <c r="D157" s="396" t="str">
        <f t="shared" si="48"/>
        <v>KUUM_474</v>
      </c>
      <c r="E157" s="394">
        <f t="shared" si="49"/>
        <v>5081</v>
      </c>
      <c r="F157" s="397">
        <v>0</v>
      </c>
      <c r="G157" s="394">
        <f t="shared" si="50"/>
        <v>0</v>
      </c>
      <c r="H157" s="394">
        <v>0</v>
      </c>
      <c r="I157" s="390">
        <f t="shared" si="51"/>
        <v>17.41</v>
      </c>
      <c r="J157" s="390">
        <f t="shared" si="52"/>
        <v>2.33</v>
      </c>
      <c r="K157" s="391">
        <f t="shared" si="64"/>
        <v>88460.21</v>
      </c>
      <c r="L157" s="398">
        <v>0</v>
      </c>
      <c r="M157" s="398">
        <v>0</v>
      </c>
      <c r="N157" s="164">
        <f t="shared" si="53"/>
        <v>88460.21</v>
      </c>
      <c r="O157" s="399">
        <f t="shared" si="54"/>
        <v>0</v>
      </c>
      <c r="P157" s="392">
        <f t="shared" si="65"/>
        <v>0</v>
      </c>
      <c r="Q157" s="164">
        <f t="shared" si="55"/>
        <v>0</v>
      </c>
      <c r="R157" s="164">
        <f t="shared" si="56"/>
        <v>0</v>
      </c>
      <c r="S157" s="164">
        <f t="shared" si="57"/>
        <v>0</v>
      </c>
      <c r="T157" s="164">
        <f t="shared" si="58"/>
        <v>0</v>
      </c>
      <c r="U157" s="164">
        <f t="shared" si="59"/>
        <v>0</v>
      </c>
      <c r="V157" s="393">
        <f t="shared" si="60"/>
        <v>88460.21</v>
      </c>
      <c r="W157" s="393">
        <f t="shared" si="61"/>
        <v>-88460.21</v>
      </c>
      <c r="Y157" s="393">
        <f t="shared" si="66"/>
        <v>11838.73</v>
      </c>
      <c r="Z157" s="393">
        <f t="shared" si="67"/>
        <v>-11838.73</v>
      </c>
      <c r="AD157" s="395">
        <f>IF(AH157&gt;AH156,AD156,IF(AD156&lt;MiscData!$F$1,EOMONTH(AD156,1),EOMONTH(AD156,-11)))</f>
        <v>42063</v>
      </c>
      <c r="AE157" s="389" t="str">
        <f t="shared" si="62"/>
        <v>20140101KUUM_474</v>
      </c>
      <c r="AF157" s="437" t="str">
        <f t="shared" si="63"/>
        <v>20140101LS</v>
      </c>
      <c r="AG157" s="438"/>
      <c r="AH157" s="34">
        <f>IF(AH156=MiscData!$AB$91,1,AH156+1)</f>
        <v>68</v>
      </c>
      <c r="AI157" s="34">
        <f>IF(AD157&lt;=MiscData!$B$23,MiscData!$C$23,IF(AD157&lt;=MiscData!$B$24,MiscData!$C$24,MiscData!$C$25))</f>
        <v>20140101</v>
      </c>
      <c r="AK157" s="439" t="str">
        <f>VLOOKUP(AM157,MiscData!$AB$4:$ACB$113,2,FALSE)</f>
        <v>KUUM_474</v>
      </c>
      <c r="AL157" s="439" t="str">
        <f>VLOOKUP(AM157,MiscData!$AB$4:$AE$115,4,FALSE)</f>
        <v>LS</v>
      </c>
      <c r="AM157" s="34">
        <f>IF(AM156=MiscData!$AB$91,1,AM156+1)</f>
        <v>68</v>
      </c>
    </row>
    <row r="158" spans="1:39">
      <c r="A158" s="389">
        <f t="shared" si="68"/>
        <v>157</v>
      </c>
      <c r="B158" s="395" t="str">
        <f t="shared" si="46"/>
        <v>Feb 2015</v>
      </c>
      <c r="C158" s="396" t="str">
        <f t="shared" si="47"/>
        <v>LS</v>
      </c>
      <c r="D158" s="396" t="str">
        <f t="shared" si="48"/>
        <v>KUUM_475</v>
      </c>
      <c r="E158" s="394">
        <f t="shared" si="49"/>
        <v>511</v>
      </c>
      <c r="F158" s="397">
        <v>0</v>
      </c>
      <c r="G158" s="394">
        <f t="shared" si="50"/>
        <v>0</v>
      </c>
      <c r="H158" s="394">
        <v>0</v>
      </c>
      <c r="I158" s="390">
        <f t="shared" si="51"/>
        <v>24.46</v>
      </c>
      <c r="J158" s="390">
        <f t="shared" si="52"/>
        <v>4.5300000000000011</v>
      </c>
      <c r="K158" s="391">
        <f t="shared" si="64"/>
        <v>12499.06</v>
      </c>
      <c r="L158" s="398">
        <v>0</v>
      </c>
      <c r="M158" s="398">
        <v>0</v>
      </c>
      <c r="N158" s="164">
        <f t="shared" si="53"/>
        <v>12499.06</v>
      </c>
      <c r="O158" s="399">
        <f t="shared" si="54"/>
        <v>0</v>
      </c>
      <c r="P158" s="392">
        <f t="shared" si="65"/>
        <v>0</v>
      </c>
      <c r="Q158" s="164">
        <f t="shared" si="55"/>
        <v>0</v>
      </c>
      <c r="R158" s="164">
        <f t="shared" si="56"/>
        <v>0</v>
      </c>
      <c r="S158" s="164">
        <f t="shared" si="57"/>
        <v>0</v>
      </c>
      <c r="T158" s="164">
        <f t="shared" si="58"/>
        <v>0</v>
      </c>
      <c r="U158" s="164">
        <f t="shared" si="59"/>
        <v>0</v>
      </c>
      <c r="V158" s="393">
        <f t="shared" si="60"/>
        <v>12499.06</v>
      </c>
      <c r="W158" s="393">
        <f t="shared" si="61"/>
        <v>-12499.06</v>
      </c>
      <c r="Y158" s="393">
        <f t="shared" si="66"/>
        <v>2314.83</v>
      </c>
      <c r="Z158" s="393">
        <f t="shared" si="67"/>
        <v>-2314.83</v>
      </c>
      <c r="AD158" s="395">
        <f>IF(AH158&gt;AH157,AD157,IF(AD157&lt;MiscData!$F$1,EOMONTH(AD157,1),EOMONTH(AD157,-11)))</f>
        <v>42063</v>
      </c>
      <c r="AE158" s="389" t="str">
        <f t="shared" si="62"/>
        <v>20140101KUUM_475</v>
      </c>
      <c r="AF158" s="437" t="str">
        <f t="shared" si="63"/>
        <v>20140101LS</v>
      </c>
      <c r="AG158" s="438"/>
      <c r="AH158" s="34">
        <f>IF(AH157=MiscData!$AB$91,1,AH157+1)</f>
        <v>69</v>
      </c>
      <c r="AI158" s="34">
        <f>IF(AD158&lt;=MiscData!$B$23,MiscData!$C$23,IF(AD158&lt;=MiscData!$B$24,MiscData!$C$24,MiscData!$C$25))</f>
        <v>20140101</v>
      </c>
      <c r="AK158" s="439" t="str">
        <f>VLOOKUP(AM158,MiscData!$AB$4:$ACB$113,2,FALSE)</f>
        <v>KUUM_475</v>
      </c>
      <c r="AL158" s="439" t="str">
        <f>VLOOKUP(AM158,MiscData!$AB$4:$AE$115,4,FALSE)</f>
        <v>LS</v>
      </c>
      <c r="AM158" s="34">
        <f>IF(AM157=MiscData!$AB$91,1,AM157+1)</f>
        <v>69</v>
      </c>
    </row>
    <row r="159" spans="1:39">
      <c r="A159" s="389">
        <f t="shared" si="68"/>
        <v>158</v>
      </c>
      <c r="B159" s="395" t="str">
        <f t="shared" si="46"/>
        <v>Feb 2015</v>
      </c>
      <c r="C159" s="396" t="str">
        <f t="shared" si="47"/>
        <v>LS</v>
      </c>
      <c r="D159" s="396" t="str">
        <f t="shared" si="48"/>
        <v>KUUM_476</v>
      </c>
      <c r="E159" s="394">
        <f t="shared" si="49"/>
        <v>4548</v>
      </c>
      <c r="F159" s="397">
        <v>0</v>
      </c>
      <c r="G159" s="394">
        <f t="shared" si="50"/>
        <v>0</v>
      </c>
      <c r="H159" s="394">
        <v>0</v>
      </c>
      <c r="I159" s="390">
        <f t="shared" si="51"/>
        <v>16.79</v>
      </c>
      <c r="J159" s="390">
        <f t="shared" si="52"/>
        <v>0.79999999999999893</v>
      </c>
      <c r="K159" s="391">
        <f t="shared" si="64"/>
        <v>76360.92</v>
      </c>
      <c r="L159" s="398">
        <v>0</v>
      </c>
      <c r="M159" s="398">
        <v>0</v>
      </c>
      <c r="N159" s="164">
        <f t="shared" si="53"/>
        <v>76360.92</v>
      </c>
      <c r="O159" s="399">
        <f t="shared" si="54"/>
        <v>0</v>
      </c>
      <c r="P159" s="392">
        <f t="shared" si="65"/>
        <v>0</v>
      </c>
      <c r="Q159" s="164">
        <f t="shared" si="55"/>
        <v>0</v>
      </c>
      <c r="R159" s="164">
        <f t="shared" si="56"/>
        <v>0</v>
      </c>
      <c r="S159" s="164">
        <f t="shared" si="57"/>
        <v>0</v>
      </c>
      <c r="T159" s="164">
        <f t="shared" si="58"/>
        <v>0</v>
      </c>
      <c r="U159" s="164">
        <f t="shared" si="59"/>
        <v>0</v>
      </c>
      <c r="V159" s="393">
        <f t="shared" si="60"/>
        <v>76360.92</v>
      </c>
      <c r="W159" s="393">
        <f t="shared" si="61"/>
        <v>-76360.92</v>
      </c>
      <c r="Y159" s="393">
        <f t="shared" si="66"/>
        <v>3638.4</v>
      </c>
      <c r="Z159" s="393">
        <f t="shared" si="67"/>
        <v>-3638.4</v>
      </c>
      <c r="AD159" s="395">
        <f>IF(AH159&gt;AH158,AD158,IF(AD158&lt;MiscData!$F$1,EOMONTH(AD158,1),EOMONTH(AD158,-11)))</f>
        <v>42063</v>
      </c>
      <c r="AE159" s="389" t="str">
        <f t="shared" si="62"/>
        <v>20140101KUUM_476</v>
      </c>
      <c r="AF159" s="437" t="str">
        <f t="shared" si="63"/>
        <v>20140101LS</v>
      </c>
      <c r="AG159" s="438"/>
      <c r="AH159" s="34">
        <f>IF(AH158=MiscData!$AB$91,1,AH158+1)</f>
        <v>70</v>
      </c>
      <c r="AI159" s="34">
        <f>IF(AD159&lt;=MiscData!$B$23,MiscData!$C$23,IF(AD159&lt;=MiscData!$B$24,MiscData!$C$24,MiscData!$C$25))</f>
        <v>20140101</v>
      </c>
      <c r="AK159" s="439" t="str">
        <f>VLOOKUP(AM159,MiscData!$AB$4:$ACB$113,2,FALSE)</f>
        <v>KUUM_476</v>
      </c>
      <c r="AL159" s="439" t="str">
        <f>VLOOKUP(AM159,MiscData!$AB$4:$AE$115,4,FALSE)</f>
        <v>LS</v>
      </c>
      <c r="AM159" s="34">
        <f>IF(AM158=MiscData!$AB$91,1,AM158+1)</f>
        <v>70</v>
      </c>
    </row>
    <row r="160" spans="1:39">
      <c r="A160" s="389">
        <f t="shared" si="68"/>
        <v>159</v>
      </c>
      <c r="B160" s="395" t="str">
        <f t="shared" si="46"/>
        <v>Feb 2015</v>
      </c>
      <c r="C160" s="396" t="str">
        <f t="shared" si="47"/>
        <v>LS</v>
      </c>
      <c r="D160" s="396" t="str">
        <f t="shared" si="48"/>
        <v>KUUM_477</v>
      </c>
      <c r="E160" s="394">
        <f t="shared" si="49"/>
        <v>1057</v>
      </c>
      <c r="F160" s="397">
        <v>0</v>
      </c>
      <c r="G160" s="394">
        <f t="shared" si="50"/>
        <v>0</v>
      </c>
      <c r="H160" s="394">
        <v>0</v>
      </c>
      <c r="I160" s="390">
        <f t="shared" si="51"/>
        <v>20.97</v>
      </c>
      <c r="J160" s="390">
        <f t="shared" si="52"/>
        <v>1.129999999999999</v>
      </c>
      <c r="K160" s="391">
        <f t="shared" si="64"/>
        <v>22165.29</v>
      </c>
      <c r="L160" s="398">
        <v>0</v>
      </c>
      <c r="M160" s="398">
        <v>0</v>
      </c>
      <c r="N160" s="164">
        <f t="shared" si="53"/>
        <v>22165.29</v>
      </c>
      <c r="O160" s="399">
        <f t="shared" si="54"/>
        <v>0</v>
      </c>
      <c r="P160" s="392">
        <f t="shared" si="65"/>
        <v>0</v>
      </c>
      <c r="Q160" s="164">
        <f t="shared" si="55"/>
        <v>0</v>
      </c>
      <c r="R160" s="164">
        <f t="shared" si="56"/>
        <v>0</v>
      </c>
      <c r="S160" s="164">
        <f t="shared" si="57"/>
        <v>0</v>
      </c>
      <c r="T160" s="164">
        <f t="shared" si="58"/>
        <v>0</v>
      </c>
      <c r="U160" s="164">
        <f t="shared" si="59"/>
        <v>0</v>
      </c>
      <c r="V160" s="393">
        <f t="shared" si="60"/>
        <v>22165.29</v>
      </c>
      <c r="W160" s="393">
        <f t="shared" si="61"/>
        <v>-22165.29</v>
      </c>
      <c r="Y160" s="393">
        <f t="shared" si="66"/>
        <v>1194.4100000000001</v>
      </c>
      <c r="Z160" s="393">
        <f t="shared" si="67"/>
        <v>-1194.4100000000001</v>
      </c>
      <c r="AD160" s="395">
        <f>IF(AH160&gt;AH159,AD159,IF(AD159&lt;MiscData!$F$1,EOMONTH(AD159,1),EOMONTH(AD159,-11)))</f>
        <v>42063</v>
      </c>
      <c r="AE160" s="389" t="str">
        <f t="shared" si="62"/>
        <v>20140101KUUM_477</v>
      </c>
      <c r="AF160" s="437" t="str">
        <f t="shared" si="63"/>
        <v>20140101LS</v>
      </c>
      <c r="AG160" s="438"/>
      <c r="AH160" s="34">
        <f>IF(AH159=MiscData!$AB$91,1,AH159+1)</f>
        <v>71</v>
      </c>
      <c r="AI160" s="34">
        <f>IF(AD160&lt;=MiscData!$B$23,MiscData!$C$23,IF(AD160&lt;=MiscData!$B$24,MiscData!$C$24,MiscData!$C$25))</f>
        <v>20140101</v>
      </c>
      <c r="AK160" s="439" t="str">
        <f>VLOOKUP(AM160,MiscData!$AB$4:$ACB$113,2,FALSE)</f>
        <v>KUUM_477</v>
      </c>
      <c r="AL160" s="439" t="str">
        <f>VLOOKUP(AM160,MiscData!$AB$4:$AE$115,4,FALSE)</f>
        <v>LS</v>
      </c>
      <c r="AM160" s="34">
        <f>IF(AM159=MiscData!$AB$91,1,AM159+1)</f>
        <v>71</v>
      </c>
    </row>
    <row r="161" spans="1:39">
      <c r="A161" s="389">
        <f t="shared" si="68"/>
        <v>160</v>
      </c>
      <c r="B161" s="395" t="str">
        <f t="shared" si="46"/>
        <v>Feb 2015</v>
      </c>
      <c r="C161" s="396" t="str">
        <f t="shared" si="47"/>
        <v>LS</v>
      </c>
      <c r="D161" s="396" t="str">
        <f t="shared" si="48"/>
        <v>KUUM_478</v>
      </c>
      <c r="E161" s="394">
        <f t="shared" si="49"/>
        <v>1389</v>
      </c>
      <c r="F161" s="397">
        <v>0</v>
      </c>
      <c r="G161" s="394">
        <f t="shared" si="50"/>
        <v>0</v>
      </c>
      <c r="H161" s="394">
        <v>0</v>
      </c>
      <c r="I161" s="390">
        <f t="shared" si="51"/>
        <v>26.86</v>
      </c>
      <c r="J161" s="390">
        <f t="shared" si="52"/>
        <v>2.3299999999999983</v>
      </c>
      <c r="K161" s="391">
        <f t="shared" si="64"/>
        <v>37308.54</v>
      </c>
      <c r="L161" s="398">
        <v>0</v>
      </c>
      <c r="M161" s="398">
        <v>0</v>
      </c>
      <c r="N161" s="164">
        <f t="shared" si="53"/>
        <v>37308.54</v>
      </c>
      <c r="O161" s="399">
        <f t="shared" si="54"/>
        <v>0</v>
      </c>
      <c r="P161" s="392">
        <f t="shared" si="65"/>
        <v>0</v>
      </c>
      <c r="Q161" s="164">
        <f t="shared" si="55"/>
        <v>0</v>
      </c>
      <c r="R161" s="164">
        <f t="shared" si="56"/>
        <v>0</v>
      </c>
      <c r="S161" s="164">
        <f t="shared" si="57"/>
        <v>0</v>
      </c>
      <c r="T161" s="164">
        <f t="shared" si="58"/>
        <v>0</v>
      </c>
      <c r="U161" s="164">
        <f t="shared" si="59"/>
        <v>0</v>
      </c>
      <c r="V161" s="393">
        <f t="shared" si="60"/>
        <v>37308.54</v>
      </c>
      <c r="W161" s="393">
        <f t="shared" si="61"/>
        <v>-37308.54</v>
      </c>
      <c r="Y161" s="393">
        <f t="shared" si="66"/>
        <v>3236.37</v>
      </c>
      <c r="Z161" s="393">
        <f t="shared" si="67"/>
        <v>-3236.37</v>
      </c>
      <c r="AD161" s="395">
        <f>IF(AH161&gt;AH160,AD160,IF(AD160&lt;MiscData!$F$1,EOMONTH(AD160,1),EOMONTH(AD160,-11)))</f>
        <v>42063</v>
      </c>
      <c r="AE161" s="389" t="str">
        <f t="shared" si="62"/>
        <v>20140101KUUM_478</v>
      </c>
      <c r="AF161" s="437" t="str">
        <f t="shared" si="63"/>
        <v>20140101LS</v>
      </c>
      <c r="AG161" s="438"/>
      <c r="AH161" s="34">
        <f>IF(AH160=MiscData!$AB$91,1,AH160+1)</f>
        <v>72</v>
      </c>
      <c r="AI161" s="34">
        <f>IF(AD161&lt;=MiscData!$B$23,MiscData!$C$23,IF(AD161&lt;=MiscData!$B$24,MiscData!$C$24,MiscData!$C$25))</f>
        <v>20140101</v>
      </c>
      <c r="AK161" s="439" t="str">
        <f>VLOOKUP(AM161,MiscData!$AB$4:$ACB$113,2,FALSE)</f>
        <v>KUUM_478</v>
      </c>
      <c r="AL161" s="439" t="str">
        <f>VLOOKUP(AM161,MiscData!$AB$4:$AE$115,4,FALSE)</f>
        <v>LS</v>
      </c>
      <c r="AM161" s="34">
        <f>IF(AM160=MiscData!$AB$91,1,AM160+1)</f>
        <v>72</v>
      </c>
    </row>
    <row r="162" spans="1:39">
      <c r="A162" s="389">
        <f t="shared" si="68"/>
        <v>161</v>
      </c>
      <c r="B162" s="395" t="str">
        <f t="shared" si="46"/>
        <v>Feb 2015</v>
      </c>
      <c r="C162" s="396" t="str">
        <f t="shared" si="47"/>
        <v>LS</v>
      </c>
      <c r="D162" s="396" t="str">
        <f t="shared" si="48"/>
        <v>KUUM_479</v>
      </c>
      <c r="E162" s="394">
        <f t="shared" si="49"/>
        <v>954</v>
      </c>
      <c r="F162" s="397">
        <v>0</v>
      </c>
      <c r="G162" s="394">
        <f t="shared" si="50"/>
        <v>0</v>
      </c>
      <c r="H162" s="394">
        <v>0</v>
      </c>
      <c r="I162" s="390">
        <f t="shared" si="51"/>
        <v>33.119999999999997</v>
      </c>
      <c r="J162" s="390">
        <f t="shared" si="52"/>
        <v>4.529999999999994</v>
      </c>
      <c r="K162" s="391">
        <f t="shared" si="64"/>
        <v>31596.48</v>
      </c>
      <c r="L162" s="398">
        <v>0</v>
      </c>
      <c r="M162" s="398">
        <v>0</v>
      </c>
      <c r="N162" s="164">
        <f t="shared" si="53"/>
        <v>31596.48</v>
      </c>
      <c r="O162" s="399">
        <f t="shared" si="54"/>
        <v>0</v>
      </c>
      <c r="P162" s="392">
        <f t="shared" si="65"/>
        <v>0</v>
      </c>
      <c r="Q162" s="164">
        <f t="shared" si="55"/>
        <v>0</v>
      </c>
      <c r="R162" s="164">
        <f t="shared" si="56"/>
        <v>0</v>
      </c>
      <c r="S162" s="164">
        <f t="shared" si="57"/>
        <v>0</v>
      </c>
      <c r="T162" s="164">
        <f t="shared" si="58"/>
        <v>0</v>
      </c>
      <c r="U162" s="164">
        <f t="shared" si="59"/>
        <v>0</v>
      </c>
      <c r="V162" s="393">
        <f t="shared" si="60"/>
        <v>31596.48</v>
      </c>
      <c r="W162" s="393">
        <f t="shared" si="61"/>
        <v>-31596.48</v>
      </c>
      <c r="Y162" s="393">
        <f t="shared" si="66"/>
        <v>4321.62</v>
      </c>
      <c r="Z162" s="393">
        <f t="shared" si="67"/>
        <v>-4321.62</v>
      </c>
      <c r="AD162" s="395">
        <f>IF(AH162&gt;AH161,AD161,IF(AD161&lt;MiscData!$F$1,EOMONTH(AD161,1),EOMONTH(AD161,-11)))</f>
        <v>42063</v>
      </c>
      <c r="AE162" s="389" t="str">
        <f t="shared" si="62"/>
        <v>20140101KUUM_479</v>
      </c>
      <c r="AF162" s="437" t="str">
        <f t="shared" si="63"/>
        <v>20140101LS</v>
      </c>
      <c r="AG162" s="438"/>
      <c r="AH162" s="34">
        <f>IF(AH161=MiscData!$AB$91,1,AH161+1)</f>
        <v>73</v>
      </c>
      <c r="AI162" s="34">
        <f>IF(AD162&lt;=MiscData!$B$23,MiscData!$C$23,IF(AD162&lt;=MiscData!$B$24,MiscData!$C$24,MiscData!$C$25))</f>
        <v>20140101</v>
      </c>
      <c r="AK162" s="439" t="str">
        <f>VLOOKUP(AM162,MiscData!$AB$4:$ACB$113,2,FALSE)</f>
        <v>KUUM_479</v>
      </c>
      <c r="AL162" s="439" t="str">
        <f>VLOOKUP(AM162,MiscData!$AB$4:$AE$115,4,FALSE)</f>
        <v>LS</v>
      </c>
      <c r="AM162" s="34">
        <f>IF(AM161=MiscData!$AB$91,1,AM161+1)</f>
        <v>73</v>
      </c>
    </row>
    <row r="163" spans="1:39">
      <c r="A163" s="389">
        <f t="shared" si="68"/>
        <v>162</v>
      </c>
      <c r="B163" s="395" t="str">
        <f t="shared" si="46"/>
        <v>Feb 2015</v>
      </c>
      <c r="C163" s="396" t="str">
        <f t="shared" si="47"/>
        <v>LS</v>
      </c>
      <c r="D163" s="396" t="str">
        <f t="shared" si="48"/>
        <v>KUUM_486</v>
      </c>
      <c r="E163" s="394">
        <f t="shared" si="49"/>
        <v>0</v>
      </c>
      <c r="F163" s="397">
        <v>0</v>
      </c>
      <c r="G163" s="394">
        <f t="shared" si="50"/>
        <v>0</v>
      </c>
      <c r="H163" s="394">
        <v>0</v>
      </c>
      <c r="I163" s="390">
        <f t="shared" si="51"/>
        <v>0</v>
      </c>
      <c r="J163" s="390">
        <f t="shared" si="52"/>
        <v>0</v>
      </c>
      <c r="K163" s="391">
        <f t="shared" si="64"/>
        <v>0</v>
      </c>
      <c r="L163" s="398">
        <v>0</v>
      </c>
      <c r="M163" s="398">
        <v>0</v>
      </c>
      <c r="N163" s="164">
        <f t="shared" si="53"/>
        <v>0</v>
      </c>
      <c r="O163" s="399">
        <f t="shared" si="54"/>
        <v>0</v>
      </c>
      <c r="P163" s="392">
        <f t="shared" si="65"/>
        <v>1</v>
      </c>
      <c r="Q163" s="164">
        <f t="shared" si="55"/>
        <v>0</v>
      </c>
      <c r="R163" s="164">
        <f t="shared" si="56"/>
        <v>0</v>
      </c>
      <c r="S163" s="164">
        <f t="shared" si="57"/>
        <v>0</v>
      </c>
      <c r="T163" s="164">
        <f t="shared" si="58"/>
        <v>0</v>
      </c>
      <c r="U163" s="164">
        <f t="shared" si="59"/>
        <v>0</v>
      </c>
      <c r="V163" s="393">
        <f t="shared" si="60"/>
        <v>0</v>
      </c>
      <c r="W163" s="393">
        <f t="shared" si="61"/>
        <v>0</v>
      </c>
      <c r="Y163" s="393">
        <f t="shared" si="66"/>
        <v>0</v>
      </c>
      <c r="Z163" s="393">
        <f t="shared" si="67"/>
        <v>0</v>
      </c>
      <c r="AD163" s="395">
        <f>IF(AH163&gt;AH162,AD162,IF(AD162&lt;MiscData!$F$1,EOMONTH(AD162,1),EOMONTH(AD162,-11)))</f>
        <v>42063</v>
      </c>
      <c r="AE163" s="389" t="str">
        <f t="shared" si="62"/>
        <v>20140101KUUM_486</v>
      </c>
      <c r="AF163" s="437" t="str">
        <f t="shared" si="63"/>
        <v>20140101LS</v>
      </c>
      <c r="AG163" s="438"/>
      <c r="AH163" s="34">
        <f>IF(AH162=MiscData!$AB$91,1,AH162+1)</f>
        <v>74</v>
      </c>
      <c r="AI163" s="34">
        <f>IF(AD163&lt;=MiscData!$B$23,MiscData!$C$23,IF(AD163&lt;=MiscData!$B$24,MiscData!$C$24,MiscData!$C$25))</f>
        <v>20140101</v>
      </c>
      <c r="AK163" s="439" t="str">
        <f>VLOOKUP(AM163,MiscData!$AB$4:$ACB$113,2,FALSE)</f>
        <v>KUUM_486</v>
      </c>
      <c r="AL163" s="439" t="str">
        <f>VLOOKUP(AM163,MiscData!$AB$4:$AE$115,4,FALSE)</f>
        <v>LS</v>
      </c>
      <c r="AM163" s="34">
        <f>IF(AM162=MiscData!$AB$91,1,AM162+1)</f>
        <v>74</v>
      </c>
    </row>
    <row r="164" spans="1:39">
      <c r="A164" s="389">
        <f t="shared" si="68"/>
        <v>163</v>
      </c>
      <c r="B164" s="395" t="str">
        <f t="shared" si="46"/>
        <v>Feb 2015</v>
      </c>
      <c r="C164" s="396" t="str">
        <f t="shared" si="47"/>
        <v>LS</v>
      </c>
      <c r="D164" s="396" t="str">
        <f t="shared" si="48"/>
        <v>KUUM_487</v>
      </c>
      <c r="E164" s="394">
        <f t="shared" si="49"/>
        <v>11147</v>
      </c>
      <c r="F164" s="397">
        <v>0</v>
      </c>
      <c r="G164" s="394">
        <f t="shared" si="50"/>
        <v>0</v>
      </c>
      <c r="H164" s="394">
        <v>0</v>
      </c>
      <c r="I164" s="390">
        <f t="shared" si="51"/>
        <v>9</v>
      </c>
      <c r="J164" s="390">
        <f t="shared" si="52"/>
        <v>1.1299999999999999</v>
      </c>
      <c r="K164" s="391">
        <f t="shared" si="64"/>
        <v>100323</v>
      </c>
      <c r="L164" s="398">
        <v>0</v>
      </c>
      <c r="M164" s="398">
        <v>0</v>
      </c>
      <c r="N164" s="164">
        <f t="shared" si="53"/>
        <v>100323</v>
      </c>
      <c r="O164" s="399">
        <f t="shared" si="54"/>
        <v>0</v>
      </c>
      <c r="P164" s="392">
        <f t="shared" si="65"/>
        <v>0</v>
      </c>
      <c r="Q164" s="164">
        <f t="shared" si="55"/>
        <v>0</v>
      </c>
      <c r="R164" s="164">
        <f t="shared" si="56"/>
        <v>0</v>
      </c>
      <c r="S164" s="164">
        <f t="shared" si="57"/>
        <v>0</v>
      </c>
      <c r="T164" s="164">
        <f t="shared" si="58"/>
        <v>0</v>
      </c>
      <c r="U164" s="164">
        <f t="shared" si="59"/>
        <v>0</v>
      </c>
      <c r="V164" s="393">
        <f t="shared" si="60"/>
        <v>100323</v>
      </c>
      <c r="W164" s="393">
        <f t="shared" si="61"/>
        <v>-100323</v>
      </c>
      <c r="Y164" s="393">
        <f t="shared" si="66"/>
        <v>12596.11</v>
      </c>
      <c r="Z164" s="393">
        <f t="shared" si="67"/>
        <v>-12596.11</v>
      </c>
      <c r="AD164" s="395">
        <f>IF(AH164&gt;AH163,AD163,IF(AD163&lt;MiscData!$F$1,EOMONTH(AD163,1),EOMONTH(AD163,-11)))</f>
        <v>42063</v>
      </c>
      <c r="AE164" s="389" t="str">
        <f t="shared" si="62"/>
        <v>20140101KUUM_487</v>
      </c>
      <c r="AF164" s="437" t="str">
        <f t="shared" si="63"/>
        <v>20140101LS</v>
      </c>
      <c r="AG164" s="438"/>
      <c r="AH164" s="34">
        <f>IF(AH163=MiscData!$AB$91,1,AH163+1)</f>
        <v>75</v>
      </c>
      <c r="AI164" s="34">
        <f>IF(AD164&lt;=MiscData!$B$23,MiscData!$C$23,IF(AD164&lt;=MiscData!$B$24,MiscData!$C$24,MiscData!$C$25))</f>
        <v>20140101</v>
      </c>
      <c r="AK164" s="439" t="str">
        <f>VLOOKUP(AM164,MiscData!$AB$4:$ACB$113,2,FALSE)</f>
        <v>KUUM_487</v>
      </c>
      <c r="AL164" s="439" t="str">
        <f>VLOOKUP(AM164,MiscData!$AB$4:$AE$115,4,FALSE)</f>
        <v>LS</v>
      </c>
      <c r="AM164" s="34">
        <f>IF(AM163=MiscData!$AB$91,1,AM163+1)</f>
        <v>75</v>
      </c>
    </row>
    <row r="165" spans="1:39">
      <c r="A165" s="389">
        <f t="shared" si="68"/>
        <v>164</v>
      </c>
      <c r="B165" s="395" t="str">
        <f t="shared" si="46"/>
        <v>Feb 2015</v>
      </c>
      <c r="C165" s="396" t="str">
        <f t="shared" si="47"/>
        <v>LS</v>
      </c>
      <c r="D165" s="396" t="str">
        <f t="shared" si="48"/>
        <v>KUUM_488</v>
      </c>
      <c r="E165" s="394">
        <f t="shared" si="49"/>
        <v>6551</v>
      </c>
      <c r="F165" s="397">
        <v>0</v>
      </c>
      <c r="G165" s="394">
        <f t="shared" si="50"/>
        <v>0</v>
      </c>
      <c r="H165" s="394">
        <v>0</v>
      </c>
      <c r="I165" s="390">
        <f t="shared" si="51"/>
        <v>13.639999999999999</v>
      </c>
      <c r="J165" s="390">
        <f t="shared" si="52"/>
        <v>2.33</v>
      </c>
      <c r="K165" s="391">
        <f t="shared" si="64"/>
        <v>89355.64</v>
      </c>
      <c r="L165" s="398">
        <v>0</v>
      </c>
      <c r="M165" s="398">
        <v>0</v>
      </c>
      <c r="N165" s="164">
        <f t="shared" si="53"/>
        <v>89355.64</v>
      </c>
      <c r="O165" s="399">
        <f t="shared" si="54"/>
        <v>0</v>
      </c>
      <c r="P165" s="392">
        <f t="shared" si="65"/>
        <v>0</v>
      </c>
      <c r="Q165" s="164">
        <f t="shared" si="55"/>
        <v>0</v>
      </c>
      <c r="R165" s="164">
        <f t="shared" si="56"/>
        <v>0</v>
      </c>
      <c r="S165" s="164">
        <f t="shared" si="57"/>
        <v>0</v>
      </c>
      <c r="T165" s="164">
        <f t="shared" si="58"/>
        <v>0</v>
      </c>
      <c r="U165" s="164">
        <f t="shared" si="59"/>
        <v>0</v>
      </c>
      <c r="V165" s="393">
        <f t="shared" si="60"/>
        <v>89355.64</v>
      </c>
      <c r="W165" s="393">
        <f t="shared" si="61"/>
        <v>-89355.64</v>
      </c>
      <c r="Y165" s="393">
        <f t="shared" si="66"/>
        <v>15263.83</v>
      </c>
      <c r="Z165" s="393">
        <f t="shared" si="67"/>
        <v>-15263.83</v>
      </c>
      <c r="AD165" s="395">
        <f>IF(AH165&gt;AH164,AD164,IF(AD164&lt;MiscData!$F$1,EOMONTH(AD164,1),EOMONTH(AD164,-11)))</f>
        <v>42063</v>
      </c>
      <c r="AE165" s="389" t="str">
        <f t="shared" si="62"/>
        <v>20140101KUUM_488</v>
      </c>
      <c r="AF165" s="437" t="str">
        <f t="shared" si="63"/>
        <v>20140101LS</v>
      </c>
      <c r="AG165" s="438"/>
      <c r="AH165" s="34">
        <f>IF(AH164=MiscData!$AB$91,1,AH164+1)</f>
        <v>76</v>
      </c>
      <c r="AI165" s="34">
        <f>IF(AD165&lt;=MiscData!$B$23,MiscData!$C$23,IF(AD165&lt;=MiscData!$B$24,MiscData!$C$24,MiscData!$C$25))</f>
        <v>20140101</v>
      </c>
      <c r="AK165" s="439" t="str">
        <f>VLOOKUP(AM165,MiscData!$AB$4:$ACB$113,2,FALSE)</f>
        <v>KUUM_488</v>
      </c>
      <c r="AL165" s="439" t="str">
        <f>VLOOKUP(AM165,MiscData!$AB$4:$AE$115,4,FALSE)</f>
        <v>LS</v>
      </c>
      <c r="AM165" s="34">
        <f>IF(AM164=MiscData!$AB$91,1,AM164+1)</f>
        <v>76</v>
      </c>
    </row>
    <row r="166" spans="1:39">
      <c r="A166" s="389">
        <f t="shared" si="68"/>
        <v>165</v>
      </c>
      <c r="B166" s="395" t="str">
        <f t="shared" si="46"/>
        <v>Feb 2015</v>
      </c>
      <c r="C166" s="396" t="str">
        <f t="shared" si="47"/>
        <v>LS</v>
      </c>
      <c r="D166" s="396" t="str">
        <f t="shared" si="48"/>
        <v>KUUM_489</v>
      </c>
      <c r="E166" s="394">
        <f t="shared" si="49"/>
        <v>8278</v>
      </c>
      <c r="F166" s="397">
        <v>0</v>
      </c>
      <c r="G166" s="394">
        <f t="shared" si="50"/>
        <v>0</v>
      </c>
      <c r="H166" s="394">
        <v>0</v>
      </c>
      <c r="I166" s="390">
        <f t="shared" si="51"/>
        <v>19.46</v>
      </c>
      <c r="J166" s="390">
        <f t="shared" si="52"/>
        <v>4.5300000000000011</v>
      </c>
      <c r="K166" s="391">
        <f t="shared" si="64"/>
        <v>161089.88</v>
      </c>
      <c r="L166" s="398">
        <v>0</v>
      </c>
      <c r="M166" s="398">
        <v>0</v>
      </c>
      <c r="N166" s="164">
        <f t="shared" si="53"/>
        <v>161089.88</v>
      </c>
      <c r="O166" s="399">
        <f t="shared" si="54"/>
        <v>0</v>
      </c>
      <c r="P166" s="392">
        <f t="shared" si="65"/>
        <v>0</v>
      </c>
      <c r="Q166" s="164">
        <f t="shared" si="55"/>
        <v>0</v>
      </c>
      <c r="R166" s="164">
        <f t="shared" si="56"/>
        <v>0</v>
      </c>
      <c r="S166" s="164">
        <f t="shared" si="57"/>
        <v>0</v>
      </c>
      <c r="T166" s="164">
        <f t="shared" si="58"/>
        <v>0</v>
      </c>
      <c r="U166" s="164">
        <f t="shared" si="59"/>
        <v>0</v>
      </c>
      <c r="V166" s="393">
        <f t="shared" si="60"/>
        <v>161089.88</v>
      </c>
      <c r="W166" s="393">
        <f t="shared" si="61"/>
        <v>-161089.88</v>
      </c>
      <c r="Y166" s="393">
        <f t="shared" si="66"/>
        <v>37499.339999999997</v>
      </c>
      <c r="Z166" s="393">
        <f t="shared" si="67"/>
        <v>-37499.339999999997</v>
      </c>
      <c r="AD166" s="395">
        <f>IF(AH166&gt;AH165,AD165,IF(AD165&lt;MiscData!$F$1,EOMONTH(AD165,1),EOMONTH(AD165,-11)))</f>
        <v>42063</v>
      </c>
      <c r="AE166" s="389" t="str">
        <f t="shared" si="62"/>
        <v>20140101KUUM_489</v>
      </c>
      <c r="AF166" s="437" t="str">
        <f t="shared" si="63"/>
        <v>20140101LS</v>
      </c>
      <c r="AG166" s="438"/>
      <c r="AH166" s="34">
        <f>IF(AH165=MiscData!$AB$91,1,AH165+1)</f>
        <v>77</v>
      </c>
      <c r="AI166" s="34">
        <f>IF(AD166&lt;=MiscData!$B$23,MiscData!$C$23,IF(AD166&lt;=MiscData!$B$24,MiscData!$C$24,MiscData!$C$25))</f>
        <v>20140101</v>
      </c>
      <c r="AK166" s="439" t="str">
        <f>VLOOKUP(AM166,MiscData!$AB$4:$ACB$113,2,FALSE)</f>
        <v>KUUM_489</v>
      </c>
      <c r="AL166" s="439" t="str">
        <f>VLOOKUP(AM166,MiscData!$AB$4:$AE$115,4,FALSE)</f>
        <v>LS</v>
      </c>
      <c r="AM166" s="34">
        <f>IF(AM165=MiscData!$AB$91,1,AM165+1)</f>
        <v>77</v>
      </c>
    </row>
    <row r="167" spans="1:39">
      <c r="A167" s="389">
        <f t="shared" si="68"/>
        <v>166</v>
      </c>
      <c r="B167" s="395" t="str">
        <f t="shared" si="46"/>
        <v>Feb 2015</v>
      </c>
      <c r="C167" s="396" t="str">
        <f t="shared" si="47"/>
        <v>LS</v>
      </c>
      <c r="D167" s="396" t="str">
        <f t="shared" si="48"/>
        <v>KUUM_490</v>
      </c>
      <c r="E167" s="394">
        <f t="shared" si="49"/>
        <v>60</v>
      </c>
      <c r="F167" s="397">
        <v>0</v>
      </c>
      <c r="G167" s="394">
        <f t="shared" si="50"/>
        <v>0</v>
      </c>
      <c r="H167" s="394">
        <v>0</v>
      </c>
      <c r="I167" s="390">
        <f t="shared" si="51"/>
        <v>15.47</v>
      </c>
      <c r="J167" s="390">
        <f t="shared" si="52"/>
        <v>1.9700000000000006</v>
      </c>
      <c r="K167" s="391">
        <f t="shared" si="64"/>
        <v>928.2</v>
      </c>
      <c r="L167" s="398">
        <v>0</v>
      </c>
      <c r="M167" s="398">
        <v>0</v>
      </c>
      <c r="N167" s="164">
        <f t="shared" si="53"/>
        <v>928.2</v>
      </c>
      <c r="O167" s="399">
        <f t="shared" si="54"/>
        <v>0</v>
      </c>
      <c r="P167" s="392">
        <f t="shared" si="65"/>
        <v>0</v>
      </c>
      <c r="Q167" s="164">
        <f t="shared" si="55"/>
        <v>0</v>
      </c>
      <c r="R167" s="164">
        <f t="shared" si="56"/>
        <v>0</v>
      </c>
      <c r="S167" s="164">
        <f t="shared" si="57"/>
        <v>0</v>
      </c>
      <c r="T167" s="164">
        <f t="shared" si="58"/>
        <v>0</v>
      </c>
      <c r="U167" s="164">
        <f t="shared" si="59"/>
        <v>0</v>
      </c>
      <c r="V167" s="393">
        <f t="shared" si="60"/>
        <v>928.2</v>
      </c>
      <c r="W167" s="393">
        <f t="shared" si="61"/>
        <v>-928.2</v>
      </c>
      <c r="Y167" s="393">
        <f t="shared" si="66"/>
        <v>118.2</v>
      </c>
      <c r="Z167" s="393">
        <f t="shared" si="67"/>
        <v>-118.2</v>
      </c>
      <c r="AD167" s="395">
        <f>IF(AH167&gt;AH166,AD166,IF(AD166&lt;MiscData!$F$1,EOMONTH(AD166,1),EOMONTH(AD166,-11)))</f>
        <v>42063</v>
      </c>
      <c r="AE167" s="389" t="str">
        <f t="shared" si="62"/>
        <v>20140101KUUM_490</v>
      </c>
      <c r="AF167" s="437" t="str">
        <f t="shared" si="63"/>
        <v>20140101LS</v>
      </c>
      <c r="AG167" s="438"/>
      <c r="AH167" s="34">
        <f>IF(AH166=MiscData!$AB$91,1,AH166+1)</f>
        <v>78</v>
      </c>
      <c r="AI167" s="34">
        <f>IF(AD167&lt;=MiscData!$B$23,MiscData!$C$23,IF(AD167&lt;=MiscData!$B$24,MiscData!$C$24,MiscData!$C$25))</f>
        <v>20140101</v>
      </c>
      <c r="AK167" s="439" t="str">
        <f>VLOOKUP(AM167,MiscData!$AB$4:$ACB$113,2,FALSE)</f>
        <v>KUUM_490</v>
      </c>
      <c r="AL167" s="439" t="str">
        <f>VLOOKUP(AM167,MiscData!$AB$4:$AE$115,4,FALSE)</f>
        <v>LS</v>
      </c>
      <c r="AM167" s="34">
        <f>IF(AM166=MiscData!$AB$91,1,AM166+1)</f>
        <v>78</v>
      </c>
    </row>
    <row r="168" spans="1:39">
      <c r="A168" s="389">
        <f t="shared" si="68"/>
        <v>167</v>
      </c>
      <c r="B168" s="395" t="str">
        <f t="shared" si="46"/>
        <v>Feb 2015</v>
      </c>
      <c r="C168" s="396" t="str">
        <f t="shared" si="47"/>
        <v>LS</v>
      </c>
      <c r="D168" s="396" t="str">
        <f t="shared" si="48"/>
        <v>KUUM_491</v>
      </c>
      <c r="E168" s="394">
        <f t="shared" si="49"/>
        <v>302</v>
      </c>
      <c r="F168" s="397">
        <v>0</v>
      </c>
      <c r="G168" s="394">
        <f t="shared" si="50"/>
        <v>0</v>
      </c>
      <c r="H168" s="394">
        <v>0</v>
      </c>
      <c r="I168" s="390">
        <f t="shared" si="51"/>
        <v>21.930000000000003</v>
      </c>
      <c r="J168" s="390">
        <f t="shared" si="52"/>
        <v>4.2900000000000027</v>
      </c>
      <c r="K168" s="391">
        <f t="shared" si="64"/>
        <v>6622.86</v>
      </c>
      <c r="L168" s="398">
        <v>0</v>
      </c>
      <c r="M168" s="398">
        <v>0</v>
      </c>
      <c r="N168" s="164">
        <f t="shared" si="53"/>
        <v>6622.86</v>
      </c>
      <c r="O168" s="399">
        <f t="shared" si="54"/>
        <v>0</v>
      </c>
      <c r="P168" s="392">
        <f t="shared" si="65"/>
        <v>0</v>
      </c>
      <c r="Q168" s="164">
        <f t="shared" si="55"/>
        <v>0</v>
      </c>
      <c r="R168" s="164">
        <f t="shared" si="56"/>
        <v>0</v>
      </c>
      <c r="S168" s="164">
        <f t="shared" si="57"/>
        <v>0</v>
      </c>
      <c r="T168" s="164">
        <f t="shared" si="58"/>
        <v>0</v>
      </c>
      <c r="U168" s="164">
        <f t="shared" si="59"/>
        <v>0</v>
      </c>
      <c r="V168" s="393">
        <f t="shared" si="60"/>
        <v>6622.86</v>
      </c>
      <c r="W168" s="393">
        <f t="shared" si="61"/>
        <v>-6622.86</v>
      </c>
      <c r="Y168" s="393">
        <f t="shared" si="66"/>
        <v>1295.58</v>
      </c>
      <c r="Z168" s="393">
        <f t="shared" si="67"/>
        <v>-1295.58</v>
      </c>
      <c r="AD168" s="395">
        <f>IF(AH168&gt;AH167,AD167,IF(AD167&lt;MiscData!$F$1,EOMONTH(AD167,1),EOMONTH(AD167,-11)))</f>
        <v>42063</v>
      </c>
      <c r="AE168" s="389" t="str">
        <f t="shared" si="62"/>
        <v>20140101KUUM_491</v>
      </c>
      <c r="AF168" s="437" t="str">
        <f t="shared" si="63"/>
        <v>20140101LS</v>
      </c>
      <c r="AG168" s="438"/>
      <c r="AH168" s="34">
        <f>IF(AH167=MiscData!$AB$91,1,AH167+1)</f>
        <v>79</v>
      </c>
      <c r="AI168" s="34">
        <f>IF(AD168&lt;=MiscData!$B$23,MiscData!$C$23,IF(AD168&lt;=MiscData!$B$24,MiscData!$C$24,MiscData!$C$25))</f>
        <v>20140101</v>
      </c>
      <c r="AK168" s="439" t="str">
        <f>VLOOKUP(AM168,MiscData!$AB$4:$ACB$113,2,FALSE)</f>
        <v>KUUM_491</v>
      </c>
      <c r="AL168" s="439" t="str">
        <f>VLOOKUP(AM168,MiscData!$AB$4:$AE$115,4,FALSE)</f>
        <v>LS</v>
      </c>
      <c r="AM168" s="34">
        <f>IF(AM167=MiscData!$AB$91,1,AM167+1)</f>
        <v>79</v>
      </c>
    </row>
    <row r="169" spans="1:39">
      <c r="A169" s="389">
        <f t="shared" si="68"/>
        <v>168</v>
      </c>
      <c r="B169" s="395" t="str">
        <f t="shared" si="46"/>
        <v>Feb 2015</v>
      </c>
      <c r="C169" s="396" t="str">
        <f t="shared" si="47"/>
        <v>LS</v>
      </c>
      <c r="D169" s="396" t="str">
        <f t="shared" si="48"/>
        <v>KUUM_492</v>
      </c>
      <c r="E169" s="394">
        <f t="shared" si="49"/>
        <v>2</v>
      </c>
      <c r="F169" s="397">
        <v>0</v>
      </c>
      <c r="G169" s="394">
        <f t="shared" si="50"/>
        <v>0</v>
      </c>
      <c r="H169" s="394">
        <v>0</v>
      </c>
      <c r="I169" s="390">
        <f t="shared" si="51"/>
        <v>15.370000000000001</v>
      </c>
      <c r="J169" s="390">
        <f t="shared" si="52"/>
        <v>0.80000000000000071</v>
      </c>
      <c r="K169" s="391">
        <f t="shared" si="64"/>
        <v>30.74</v>
      </c>
      <c r="L169" s="398">
        <v>0</v>
      </c>
      <c r="M169" s="398">
        <v>0</v>
      </c>
      <c r="N169" s="164">
        <f t="shared" si="53"/>
        <v>30.74</v>
      </c>
      <c r="O169" s="399">
        <f t="shared" si="54"/>
        <v>0</v>
      </c>
      <c r="P169" s="392">
        <f t="shared" si="65"/>
        <v>0</v>
      </c>
      <c r="Q169" s="164">
        <f t="shared" si="55"/>
        <v>0</v>
      </c>
      <c r="R169" s="164">
        <f t="shared" si="56"/>
        <v>0</v>
      </c>
      <c r="S169" s="164">
        <f t="shared" si="57"/>
        <v>0</v>
      </c>
      <c r="T169" s="164">
        <f t="shared" si="58"/>
        <v>0</v>
      </c>
      <c r="U169" s="164">
        <f t="shared" si="59"/>
        <v>0</v>
      </c>
      <c r="V169" s="393">
        <f t="shared" si="60"/>
        <v>30.74</v>
      </c>
      <c r="W169" s="393">
        <f t="shared" si="61"/>
        <v>-30.74</v>
      </c>
      <c r="Y169" s="393">
        <f t="shared" si="66"/>
        <v>1.6</v>
      </c>
      <c r="Z169" s="393">
        <f t="shared" si="67"/>
        <v>-1.6</v>
      </c>
      <c r="AD169" s="395">
        <f>IF(AH169&gt;AH168,AD168,IF(AD168&lt;MiscData!$F$1,EOMONTH(AD168,1),EOMONTH(AD168,-11)))</f>
        <v>42063</v>
      </c>
      <c r="AE169" s="389" t="str">
        <f t="shared" si="62"/>
        <v>20140101KUUM_492</v>
      </c>
      <c r="AF169" s="437" t="str">
        <f t="shared" si="63"/>
        <v>20140101LS</v>
      </c>
      <c r="AG169" s="438"/>
      <c r="AH169" s="34">
        <f>IF(AH168=MiscData!$AB$91,1,AH168+1)</f>
        <v>80</v>
      </c>
      <c r="AI169" s="34">
        <f>IF(AD169&lt;=MiscData!$B$23,MiscData!$C$23,IF(AD169&lt;=MiscData!$B$24,MiscData!$C$24,MiscData!$C$25))</f>
        <v>20140101</v>
      </c>
      <c r="AK169" s="439" t="str">
        <f>VLOOKUP(AM169,MiscData!$AB$4:$ACB$113,2,FALSE)</f>
        <v>KUUM_492</v>
      </c>
      <c r="AL169" s="439" t="str">
        <f>VLOOKUP(AM169,MiscData!$AB$4:$AE$115,4,FALSE)</f>
        <v>LS</v>
      </c>
      <c r="AM169" s="34">
        <f>IF(AM168=MiscData!$AB$91,1,AM168+1)</f>
        <v>80</v>
      </c>
    </row>
    <row r="170" spans="1:39">
      <c r="A170" s="389">
        <f t="shared" si="68"/>
        <v>169</v>
      </c>
      <c r="B170" s="395" t="str">
        <f t="shared" si="46"/>
        <v>Feb 2015</v>
      </c>
      <c r="C170" s="396" t="str">
        <f t="shared" si="47"/>
        <v>LS</v>
      </c>
      <c r="D170" s="396" t="str">
        <f t="shared" si="48"/>
        <v>KUUM_493</v>
      </c>
      <c r="E170" s="394">
        <f t="shared" si="49"/>
        <v>43</v>
      </c>
      <c r="F170" s="397">
        <v>0</v>
      </c>
      <c r="G170" s="394">
        <f t="shared" si="50"/>
        <v>0</v>
      </c>
      <c r="H170" s="394">
        <v>0</v>
      </c>
      <c r="I170" s="390">
        <f t="shared" si="51"/>
        <v>45.7</v>
      </c>
      <c r="J170" s="390">
        <f t="shared" si="52"/>
        <v>10.409999999999997</v>
      </c>
      <c r="K170" s="391">
        <f t="shared" si="64"/>
        <v>1965.1</v>
      </c>
      <c r="L170" s="398">
        <v>0</v>
      </c>
      <c r="M170" s="398">
        <v>0</v>
      </c>
      <c r="N170" s="164">
        <f t="shared" si="53"/>
        <v>1965.1</v>
      </c>
      <c r="O170" s="399">
        <f t="shared" si="54"/>
        <v>0</v>
      </c>
      <c r="P170" s="392">
        <f t="shared" si="65"/>
        <v>0</v>
      </c>
      <c r="Q170" s="164">
        <f t="shared" si="55"/>
        <v>0</v>
      </c>
      <c r="R170" s="164">
        <f t="shared" si="56"/>
        <v>0</v>
      </c>
      <c r="S170" s="164">
        <f t="shared" si="57"/>
        <v>0</v>
      </c>
      <c r="T170" s="164">
        <f t="shared" si="58"/>
        <v>0</v>
      </c>
      <c r="U170" s="164">
        <f t="shared" si="59"/>
        <v>0</v>
      </c>
      <c r="V170" s="393">
        <f t="shared" si="60"/>
        <v>1965.1</v>
      </c>
      <c r="W170" s="393">
        <f t="shared" si="61"/>
        <v>-1965.1</v>
      </c>
      <c r="Y170" s="393">
        <f t="shared" si="66"/>
        <v>447.63</v>
      </c>
      <c r="Z170" s="393">
        <f t="shared" si="67"/>
        <v>-447.63</v>
      </c>
      <c r="AD170" s="395">
        <f>IF(AH170&gt;AH169,AD169,IF(AD169&lt;MiscData!$F$1,EOMONTH(AD169,1),EOMONTH(AD169,-11)))</f>
        <v>42063</v>
      </c>
      <c r="AE170" s="389" t="str">
        <f t="shared" si="62"/>
        <v>20140101KUUM_493</v>
      </c>
      <c r="AF170" s="437" t="str">
        <f t="shared" si="63"/>
        <v>20140101LS</v>
      </c>
      <c r="AG170" s="438"/>
      <c r="AH170" s="34">
        <f>IF(AH169=MiscData!$AB$91,1,AH169+1)</f>
        <v>81</v>
      </c>
      <c r="AI170" s="34">
        <f>IF(AD170&lt;=MiscData!$B$23,MiscData!$C$23,IF(AD170&lt;=MiscData!$B$24,MiscData!$C$24,MiscData!$C$25))</f>
        <v>20140101</v>
      </c>
      <c r="AK170" s="439" t="str">
        <f>VLOOKUP(AM170,MiscData!$AB$4:$ACB$113,2,FALSE)</f>
        <v>KUUM_493</v>
      </c>
      <c r="AL170" s="439" t="str">
        <f>VLOOKUP(AM170,MiscData!$AB$4:$AE$115,4,FALSE)</f>
        <v>LS</v>
      </c>
      <c r="AM170" s="34">
        <f>IF(AM169=MiscData!$AB$91,1,AM169+1)</f>
        <v>81</v>
      </c>
    </row>
    <row r="171" spans="1:39">
      <c r="A171" s="389">
        <f t="shared" si="68"/>
        <v>170</v>
      </c>
      <c r="B171" s="395" t="str">
        <f t="shared" si="46"/>
        <v>Feb 2015</v>
      </c>
      <c r="C171" s="396" t="str">
        <f t="shared" si="47"/>
        <v>LS</v>
      </c>
      <c r="D171" s="396" t="str">
        <f t="shared" si="48"/>
        <v>KUUM_494</v>
      </c>
      <c r="E171" s="394">
        <f t="shared" si="49"/>
        <v>179</v>
      </c>
      <c r="F171" s="397">
        <v>0</v>
      </c>
      <c r="G171" s="394">
        <f t="shared" si="50"/>
        <v>0</v>
      </c>
      <c r="H171" s="394">
        <v>0</v>
      </c>
      <c r="I171" s="390">
        <f t="shared" si="51"/>
        <v>28.37</v>
      </c>
      <c r="J171" s="390">
        <f t="shared" si="52"/>
        <v>1.9699999999999989</v>
      </c>
      <c r="K171" s="391">
        <f t="shared" si="64"/>
        <v>5078.2299999999996</v>
      </c>
      <c r="L171" s="398">
        <v>0</v>
      </c>
      <c r="M171" s="398">
        <v>0</v>
      </c>
      <c r="N171" s="164">
        <f t="shared" si="53"/>
        <v>5078.2299999999996</v>
      </c>
      <c r="O171" s="399">
        <f t="shared" si="54"/>
        <v>0</v>
      </c>
      <c r="P171" s="392">
        <f t="shared" si="65"/>
        <v>0</v>
      </c>
      <c r="Q171" s="164">
        <f t="shared" si="55"/>
        <v>0</v>
      </c>
      <c r="R171" s="164">
        <f t="shared" si="56"/>
        <v>0</v>
      </c>
      <c r="S171" s="164">
        <f t="shared" si="57"/>
        <v>0</v>
      </c>
      <c r="T171" s="164">
        <f t="shared" si="58"/>
        <v>0</v>
      </c>
      <c r="U171" s="164">
        <f t="shared" si="59"/>
        <v>0</v>
      </c>
      <c r="V171" s="393">
        <f t="shared" si="60"/>
        <v>5078.2299999999996</v>
      </c>
      <c r="W171" s="393">
        <f t="shared" si="61"/>
        <v>-5078.2299999999996</v>
      </c>
      <c r="Y171" s="393">
        <f t="shared" si="66"/>
        <v>352.63</v>
      </c>
      <c r="Z171" s="393">
        <f t="shared" si="67"/>
        <v>-352.63</v>
      </c>
      <c r="AD171" s="395">
        <f>IF(AH171&gt;AH170,AD170,IF(AD170&lt;MiscData!$F$1,EOMONTH(AD170,1),EOMONTH(AD170,-11)))</f>
        <v>42063</v>
      </c>
      <c r="AE171" s="389" t="str">
        <f t="shared" si="62"/>
        <v>20140101KUUM_494</v>
      </c>
      <c r="AF171" s="437" t="str">
        <f t="shared" si="63"/>
        <v>20140101LS</v>
      </c>
      <c r="AG171" s="438"/>
      <c r="AH171" s="34">
        <f>IF(AH170=MiscData!$AB$91,1,AH170+1)</f>
        <v>82</v>
      </c>
      <c r="AI171" s="34">
        <f>IF(AD171&lt;=MiscData!$B$23,MiscData!$C$23,IF(AD171&lt;=MiscData!$B$24,MiscData!$C$24,MiscData!$C$25))</f>
        <v>20140101</v>
      </c>
      <c r="AK171" s="439" t="str">
        <f>VLOOKUP(AM171,MiscData!$AB$4:$ACB$113,2,FALSE)</f>
        <v>KUUM_494</v>
      </c>
      <c r="AL171" s="439" t="str">
        <f>VLOOKUP(AM171,MiscData!$AB$4:$AE$115,4,FALSE)</f>
        <v>LS</v>
      </c>
      <c r="AM171" s="34">
        <f>IF(AM170=MiscData!$AB$91,1,AM170+1)</f>
        <v>82</v>
      </c>
    </row>
    <row r="172" spans="1:39">
      <c r="A172" s="389">
        <f t="shared" si="68"/>
        <v>171</v>
      </c>
      <c r="B172" s="395" t="str">
        <f t="shared" si="46"/>
        <v>Feb 2015</v>
      </c>
      <c r="C172" s="396" t="str">
        <f t="shared" si="47"/>
        <v>LS</v>
      </c>
      <c r="D172" s="396" t="str">
        <f t="shared" si="48"/>
        <v>KUUM_495</v>
      </c>
      <c r="E172" s="394">
        <f t="shared" si="49"/>
        <v>624</v>
      </c>
      <c r="F172" s="397">
        <v>0</v>
      </c>
      <c r="G172" s="394">
        <f t="shared" si="50"/>
        <v>0</v>
      </c>
      <c r="H172" s="394">
        <v>0</v>
      </c>
      <c r="I172" s="390">
        <f t="shared" si="51"/>
        <v>34.830000000000005</v>
      </c>
      <c r="J172" s="390">
        <f t="shared" si="52"/>
        <v>4.2899999999999991</v>
      </c>
      <c r="K172" s="391">
        <f t="shared" si="64"/>
        <v>21733.919999999998</v>
      </c>
      <c r="L172" s="398">
        <v>0</v>
      </c>
      <c r="M172" s="398">
        <v>0</v>
      </c>
      <c r="N172" s="164">
        <f t="shared" si="53"/>
        <v>21733.919999999998</v>
      </c>
      <c r="O172" s="399">
        <f t="shared" si="54"/>
        <v>0</v>
      </c>
      <c r="P172" s="392">
        <f t="shared" si="65"/>
        <v>0</v>
      </c>
      <c r="Q172" s="164">
        <f t="shared" si="55"/>
        <v>0</v>
      </c>
      <c r="R172" s="164">
        <f t="shared" si="56"/>
        <v>0</v>
      </c>
      <c r="S172" s="164">
        <f t="shared" si="57"/>
        <v>0</v>
      </c>
      <c r="T172" s="164">
        <f t="shared" si="58"/>
        <v>0</v>
      </c>
      <c r="U172" s="164">
        <f t="shared" si="59"/>
        <v>0</v>
      </c>
      <c r="V172" s="393">
        <f t="shared" si="60"/>
        <v>21733.919999999998</v>
      </c>
      <c r="W172" s="393">
        <f t="shared" si="61"/>
        <v>-21733.919999999998</v>
      </c>
      <c r="Y172" s="393">
        <f t="shared" si="66"/>
        <v>2676.96</v>
      </c>
      <c r="Z172" s="393">
        <f t="shared" si="67"/>
        <v>-2676.96</v>
      </c>
      <c r="AD172" s="395">
        <f>IF(AH172&gt;AH171,AD171,IF(AD171&lt;MiscData!$F$1,EOMONTH(AD171,1),EOMONTH(AD171,-11)))</f>
        <v>42063</v>
      </c>
      <c r="AE172" s="389" t="str">
        <f t="shared" si="62"/>
        <v>20140101KUUM_495</v>
      </c>
      <c r="AF172" s="437" t="str">
        <f t="shared" si="63"/>
        <v>20140101LS</v>
      </c>
      <c r="AG172" s="438"/>
      <c r="AH172" s="34">
        <f>IF(AH171=MiscData!$AB$91,1,AH171+1)</f>
        <v>83</v>
      </c>
      <c r="AI172" s="34">
        <f>IF(AD172&lt;=MiscData!$B$23,MiscData!$C$23,IF(AD172&lt;=MiscData!$B$24,MiscData!$C$24,MiscData!$C$25))</f>
        <v>20140101</v>
      </c>
      <c r="AK172" s="439" t="str">
        <f>VLOOKUP(AM172,MiscData!$AB$4:$ACB$113,2,FALSE)</f>
        <v>KUUM_495</v>
      </c>
      <c r="AL172" s="439" t="str">
        <f>VLOOKUP(AM172,MiscData!$AB$4:$AE$115,4,FALSE)</f>
        <v>LS</v>
      </c>
      <c r="AM172" s="34">
        <f>IF(AM171=MiscData!$AB$91,1,AM171+1)</f>
        <v>83</v>
      </c>
    </row>
    <row r="173" spans="1:39">
      <c r="A173" s="389">
        <f t="shared" si="68"/>
        <v>172</v>
      </c>
      <c r="B173" s="395" t="str">
        <f t="shared" si="46"/>
        <v>Feb 2015</v>
      </c>
      <c r="C173" s="396" t="str">
        <f t="shared" si="47"/>
        <v>LS</v>
      </c>
      <c r="D173" s="396" t="str">
        <f t="shared" si="48"/>
        <v>KUUM_496</v>
      </c>
      <c r="E173" s="394">
        <f t="shared" si="49"/>
        <v>156</v>
      </c>
      <c r="F173" s="397">
        <v>0</v>
      </c>
      <c r="G173" s="394">
        <f t="shared" si="50"/>
        <v>0</v>
      </c>
      <c r="H173" s="394">
        <v>0</v>
      </c>
      <c r="I173" s="390">
        <f t="shared" si="51"/>
        <v>58.59</v>
      </c>
      <c r="J173" s="390">
        <f t="shared" si="52"/>
        <v>10.409999999999997</v>
      </c>
      <c r="K173" s="391">
        <f t="shared" si="64"/>
        <v>9140.0400000000009</v>
      </c>
      <c r="L173" s="398">
        <v>0</v>
      </c>
      <c r="M173" s="398">
        <v>0</v>
      </c>
      <c r="N173" s="164">
        <f t="shared" si="53"/>
        <v>9140.0400000000009</v>
      </c>
      <c r="O173" s="399">
        <f t="shared" si="54"/>
        <v>0</v>
      </c>
      <c r="P173" s="392">
        <f t="shared" si="65"/>
        <v>0</v>
      </c>
      <c r="Q173" s="164">
        <f t="shared" si="55"/>
        <v>0</v>
      </c>
      <c r="R173" s="164">
        <f t="shared" si="56"/>
        <v>0</v>
      </c>
      <c r="S173" s="164">
        <f t="shared" si="57"/>
        <v>0</v>
      </c>
      <c r="T173" s="164">
        <f t="shared" si="58"/>
        <v>0</v>
      </c>
      <c r="U173" s="164">
        <f t="shared" si="59"/>
        <v>0</v>
      </c>
      <c r="V173" s="393">
        <f t="shared" si="60"/>
        <v>9140.0400000000009</v>
      </c>
      <c r="W173" s="393">
        <f t="shared" si="61"/>
        <v>-9140.0400000000009</v>
      </c>
      <c r="Y173" s="393">
        <f t="shared" si="66"/>
        <v>1623.96</v>
      </c>
      <c r="Z173" s="393">
        <f t="shared" si="67"/>
        <v>-1623.96</v>
      </c>
      <c r="AD173" s="395">
        <f>IF(AH173&gt;AH172,AD172,IF(AD172&lt;MiscData!$F$1,EOMONTH(AD172,1),EOMONTH(AD172,-11)))</f>
        <v>42063</v>
      </c>
      <c r="AE173" s="389" t="str">
        <f t="shared" si="62"/>
        <v>20140101KUUM_496</v>
      </c>
      <c r="AF173" s="437" t="str">
        <f t="shared" si="63"/>
        <v>20140101LS</v>
      </c>
      <c r="AG173" s="438"/>
      <c r="AH173" s="34">
        <f>IF(AH172=MiscData!$AB$91,1,AH172+1)</f>
        <v>84</v>
      </c>
      <c r="AI173" s="34">
        <f>IF(AD173&lt;=MiscData!$B$23,MiscData!$C$23,IF(AD173&lt;=MiscData!$B$24,MiscData!$C$24,MiscData!$C$25))</f>
        <v>20140101</v>
      </c>
      <c r="AK173" s="439" t="str">
        <f>VLOOKUP(AM173,MiscData!$AB$4:$ACB$113,2,FALSE)</f>
        <v>KUUM_496</v>
      </c>
      <c r="AL173" s="439" t="str">
        <f>VLOOKUP(AM173,MiscData!$AB$4:$AE$115,4,FALSE)</f>
        <v>LS</v>
      </c>
      <c r="AM173" s="34">
        <f>IF(AM172=MiscData!$AB$91,1,AM172+1)</f>
        <v>84</v>
      </c>
    </row>
    <row r="174" spans="1:39">
      <c r="A174" s="389">
        <f t="shared" si="68"/>
        <v>173</v>
      </c>
      <c r="B174" s="395" t="str">
        <f t="shared" si="46"/>
        <v>Feb 2015</v>
      </c>
      <c r="C174" s="396" t="str">
        <f t="shared" si="47"/>
        <v>LS</v>
      </c>
      <c r="D174" s="396" t="str">
        <f t="shared" si="48"/>
        <v>KUUM_497</v>
      </c>
      <c r="E174" s="394">
        <f t="shared" si="49"/>
        <v>8</v>
      </c>
      <c r="F174" s="397">
        <v>0</v>
      </c>
      <c r="G174" s="394">
        <f t="shared" si="50"/>
        <v>0</v>
      </c>
      <c r="H174" s="394">
        <v>0</v>
      </c>
      <c r="I174" s="390">
        <f t="shared" si="51"/>
        <v>15.35</v>
      </c>
      <c r="J174" s="390">
        <f t="shared" si="52"/>
        <v>1.1300000000000008</v>
      </c>
      <c r="K174" s="391">
        <f t="shared" si="64"/>
        <v>122.8</v>
      </c>
      <c r="L174" s="398">
        <v>0</v>
      </c>
      <c r="M174" s="398">
        <v>0</v>
      </c>
      <c r="N174" s="164">
        <f t="shared" si="53"/>
        <v>122.8</v>
      </c>
      <c r="O174" s="399">
        <f t="shared" si="54"/>
        <v>0</v>
      </c>
      <c r="P174" s="392">
        <f t="shared" si="65"/>
        <v>0</v>
      </c>
      <c r="Q174" s="164">
        <f t="shared" si="55"/>
        <v>0</v>
      </c>
      <c r="R174" s="164">
        <f t="shared" si="56"/>
        <v>0</v>
      </c>
      <c r="S174" s="164">
        <f t="shared" si="57"/>
        <v>0</v>
      </c>
      <c r="T174" s="164">
        <f t="shared" si="58"/>
        <v>0</v>
      </c>
      <c r="U174" s="164">
        <f t="shared" si="59"/>
        <v>0</v>
      </c>
      <c r="V174" s="393">
        <f t="shared" si="60"/>
        <v>122.8</v>
      </c>
      <c r="W174" s="393">
        <f t="shared" si="61"/>
        <v>-122.8</v>
      </c>
      <c r="Y174" s="393">
        <f t="shared" si="66"/>
        <v>9.0399999999999991</v>
      </c>
      <c r="Z174" s="393">
        <f t="shared" si="67"/>
        <v>-9.0399999999999991</v>
      </c>
      <c r="AD174" s="395">
        <f>IF(AH174&gt;AH173,AD173,IF(AD173&lt;MiscData!$F$1,EOMONTH(AD173,1),EOMONTH(AD173,-11)))</f>
        <v>42063</v>
      </c>
      <c r="AE174" s="389" t="str">
        <f t="shared" si="62"/>
        <v>20140101KUUM_497</v>
      </c>
      <c r="AF174" s="437" t="str">
        <f t="shared" si="63"/>
        <v>20140101LS</v>
      </c>
      <c r="AG174" s="438"/>
      <c r="AH174" s="34">
        <f>IF(AH173=MiscData!$AB$91,1,AH173+1)</f>
        <v>85</v>
      </c>
      <c r="AI174" s="34">
        <f>IF(AD174&lt;=MiscData!$B$23,MiscData!$C$23,IF(AD174&lt;=MiscData!$B$24,MiscData!$C$24,MiscData!$C$25))</f>
        <v>20140101</v>
      </c>
      <c r="AK174" s="439" t="str">
        <f>VLOOKUP(AM174,MiscData!$AB$4:$ACB$113,2,FALSE)</f>
        <v>KUUM_497</v>
      </c>
      <c r="AL174" s="439" t="str">
        <f>VLOOKUP(AM174,MiscData!$AB$4:$AE$115,4,FALSE)</f>
        <v>LS</v>
      </c>
      <c r="AM174" s="34">
        <f>IF(AM173=MiscData!$AB$91,1,AM173+1)</f>
        <v>85</v>
      </c>
    </row>
    <row r="175" spans="1:39">
      <c r="A175" s="389">
        <f t="shared" si="68"/>
        <v>174</v>
      </c>
      <c r="B175" s="395" t="str">
        <f t="shared" si="46"/>
        <v>Feb 2015</v>
      </c>
      <c r="C175" s="396" t="str">
        <f t="shared" si="47"/>
        <v>LS</v>
      </c>
      <c r="D175" s="396" t="str">
        <f t="shared" si="48"/>
        <v>KUUM_498</v>
      </c>
      <c r="E175" s="394">
        <f t="shared" si="49"/>
        <v>30</v>
      </c>
      <c r="F175" s="397">
        <v>0</v>
      </c>
      <c r="G175" s="394">
        <f t="shared" si="50"/>
        <v>0</v>
      </c>
      <c r="H175" s="394">
        <v>0</v>
      </c>
      <c r="I175" s="390">
        <f t="shared" si="51"/>
        <v>17.72</v>
      </c>
      <c r="J175" s="390">
        <f t="shared" si="52"/>
        <v>2.33</v>
      </c>
      <c r="K175" s="391">
        <f t="shared" si="64"/>
        <v>531.6</v>
      </c>
      <c r="L175" s="398">
        <v>0</v>
      </c>
      <c r="M175" s="398">
        <v>0</v>
      </c>
      <c r="N175" s="164">
        <f t="shared" si="53"/>
        <v>531.6</v>
      </c>
      <c r="O175" s="399">
        <f t="shared" si="54"/>
        <v>0</v>
      </c>
      <c r="P175" s="392">
        <f t="shared" si="65"/>
        <v>0</v>
      </c>
      <c r="Q175" s="164">
        <f t="shared" si="55"/>
        <v>0</v>
      </c>
      <c r="R175" s="164">
        <f t="shared" si="56"/>
        <v>0</v>
      </c>
      <c r="S175" s="164">
        <f t="shared" si="57"/>
        <v>0</v>
      </c>
      <c r="T175" s="164">
        <f t="shared" si="58"/>
        <v>0</v>
      </c>
      <c r="U175" s="164">
        <f t="shared" si="59"/>
        <v>0</v>
      </c>
      <c r="V175" s="393">
        <f t="shared" si="60"/>
        <v>531.6</v>
      </c>
      <c r="W175" s="393">
        <f t="shared" si="61"/>
        <v>-531.6</v>
      </c>
      <c r="Y175" s="393">
        <f t="shared" si="66"/>
        <v>69.900000000000006</v>
      </c>
      <c r="Z175" s="393">
        <f t="shared" si="67"/>
        <v>-69.900000000000006</v>
      </c>
      <c r="AD175" s="395">
        <f>IF(AH175&gt;AH174,AD174,IF(AD174&lt;MiscData!$F$1,EOMONTH(AD174,1),EOMONTH(AD174,-11)))</f>
        <v>42063</v>
      </c>
      <c r="AE175" s="389" t="str">
        <f t="shared" si="62"/>
        <v>20140101KUUM_498</v>
      </c>
      <c r="AF175" s="437" t="str">
        <f t="shared" si="63"/>
        <v>20140101LS</v>
      </c>
      <c r="AG175" s="438"/>
      <c r="AH175" s="34">
        <f>IF(AH174=MiscData!$AB$91,1,AH174+1)</f>
        <v>86</v>
      </c>
      <c r="AI175" s="34">
        <f>IF(AD175&lt;=MiscData!$B$23,MiscData!$C$23,IF(AD175&lt;=MiscData!$B$24,MiscData!$C$24,MiscData!$C$25))</f>
        <v>20140101</v>
      </c>
      <c r="AK175" s="439" t="str">
        <f>VLOOKUP(AM175,MiscData!$AB$4:$ACB$113,2,FALSE)</f>
        <v>KUUM_498</v>
      </c>
      <c r="AL175" s="439" t="str">
        <f>VLOOKUP(AM175,MiscData!$AB$4:$AE$115,4,FALSE)</f>
        <v>LS</v>
      </c>
      <c r="AM175" s="34">
        <f>IF(AM174=MiscData!$AB$91,1,AM174+1)</f>
        <v>86</v>
      </c>
    </row>
    <row r="176" spans="1:39">
      <c r="A176" s="389">
        <f t="shared" si="68"/>
        <v>175</v>
      </c>
      <c r="B176" s="395" t="str">
        <f t="shared" si="46"/>
        <v>Feb 2015</v>
      </c>
      <c r="C176" s="396" t="str">
        <f t="shared" si="47"/>
        <v>LS</v>
      </c>
      <c r="D176" s="396" t="str">
        <f t="shared" si="48"/>
        <v>KUUM_499</v>
      </c>
      <c r="E176" s="394">
        <f t="shared" si="49"/>
        <v>24</v>
      </c>
      <c r="F176" s="397">
        <v>0</v>
      </c>
      <c r="G176" s="394">
        <f t="shared" si="50"/>
        <v>0</v>
      </c>
      <c r="H176" s="394">
        <v>0</v>
      </c>
      <c r="I176" s="390">
        <f t="shared" si="51"/>
        <v>21.490000000000002</v>
      </c>
      <c r="J176" s="390">
        <f t="shared" si="52"/>
        <v>4.5300000000000011</v>
      </c>
      <c r="K176" s="391">
        <f t="shared" si="64"/>
        <v>515.76</v>
      </c>
      <c r="L176" s="398">
        <v>0</v>
      </c>
      <c r="M176" s="398">
        <v>0</v>
      </c>
      <c r="N176" s="164">
        <f t="shared" si="53"/>
        <v>515.76</v>
      </c>
      <c r="O176" s="399">
        <f t="shared" si="54"/>
        <v>0</v>
      </c>
      <c r="P176" s="392">
        <f t="shared" si="65"/>
        <v>0</v>
      </c>
      <c r="Q176" s="164">
        <f t="shared" si="55"/>
        <v>0</v>
      </c>
      <c r="R176" s="164">
        <f t="shared" si="56"/>
        <v>0</v>
      </c>
      <c r="S176" s="164">
        <f t="shared" si="57"/>
        <v>0</v>
      </c>
      <c r="T176" s="164">
        <f t="shared" si="58"/>
        <v>0</v>
      </c>
      <c r="U176" s="164">
        <f t="shared" si="59"/>
        <v>0</v>
      </c>
      <c r="V176" s="393">
        <f t="shared" si="60"/>
        <v>515.76</v>
      </c>
      <c r="W176" s="393">
        <f t="shared" si="61"/>
        <v>-515.76</v>
      </c>
      <c r="Y176" s="393">
        <f t="shared" si="66"/>
        <v>108.72</v>
      </c>
      <c r="Z176" s="393">
        <f t="shared" si="67"/>
        <v>-108.72</v>
      </c>
      <c r="AD176" s="395">
        <f>IF(AH176&gt;AH175,AD175,IF(AD175&lt;MiscData!$F$1,EOMONTH(AD175,1),EOMONTH(AD175,-11)))</f>
        <v>42063</v>
      </c>
      <c r="AE176" s="389" t="str">
        <f t="shared" si="62"/>
        <v>20140101KUUM_499</v>
      </c>
      <c r="AF176" s="437" t="str">
        <f t="shared" si="63"/>
        <v>20140101LS</v>
      </c>
      <c r="AG176" s="438"/>
      <c r="AH176" s="34">
        <f>IF(AH175=MiscData!$AB$91,1,AH175+1)</f>
        <v>87</v>
      </c>
      <c r="AI176" s="34">
        <f>IF(AD176&lt;=MiscData!$B$23,MiscData!$C$23,IF(AD176&lt;=MiscData!$B$24,MiscData!$C$24,MiscData!$C$25))</f>
        <v>20140101</v>
      </c>
      <c r="AK176" s="439" t="str">
        <f>VLOOKUP(AM176,MiscData!$AB$4:$ACB$113,2,FALSE)</f>
        <v>KUUM_499</v>
      </c>
      <c r="AL176" s="439" t="str">
        <f>VLOOKUP(AM176,MiscData!$AB$4:$AE$115,4,FALSE)</f>
        <v>LS</v>
      </c>
      <c r="AM176" s="34">
        <f>IF(AM175=MiscData!$AB$91,1,AM175+1)</f>
        <v>87</v>
      </c>
    </row>
    <row r="177" spans="1:39">
      <c r="A177" s="389">
        <f t="shared" si="68"/>
        <v>176</v>
      </c>
      <c r="B177" s="395" t="str">
        <f t="shared" si="46"/>
        <v>Feb 2015</v>
      </c>
      <c r="C177" s="396" t="str">
        <f t="shared" si="47"/>
        <v>ODL</v>
      </c>
      <c r="D177" s="396" t="str">
        <f t="shared" si="48"/>
        <v>ODL</v>
      </c>
      <c r="E177" s="394">
        <f t="shared" si="49"/>
        <v>0</v>
      </c>
      <c r="F177" s="397">
        <v>0</v>
      </c>
      <c r="G177" s="394">
        <f t="shared" si="50"/>
        <v>9690520</v>
      </c>
      <c r="H177" s="394"/>
      <c r="I177" s="390">
        <f t="shared" si="51"/>
        <v>0</v>
      </c>
      <c r="J177" s="390">
        <f t="shared" si="52"/>
        <v>0</v>
      </c>
      <c r="K177" s="391">
        <f t="shared" si="64"/>
        <v>0</v>
      </c>
      <c r="L177" s="398">
        <v>0</v>
      </c>
      <c r="M177" s="398">
        <v>0</v>
      </c>
      <c r="N177" s="164">
        <f t="shared" si="53"/>
        <v>0</v>
      </c>
      <c r="O177" s="399">
        <f t="shared" si="54"/>
        <v>2094693.25</v>
      </c>
      <c r="P177" s="392">
        <f t="shared" si="65"/>
        <v>0</v>
      </c>
      <c r="Q177" s="164">
        <f t="shared" si="55"/>
        <v>18014</v>
      </c>
      <c r="R177" s="164">
        <f t="shared" si="56"/>
        <v>0</v>
      </c>
      <c r="S177" s="164">
        <f t="shared" si="57"/>
        <v>34728</v>
      </c>
      <c r="T177" s="164">
        <f t="shared" si="58"/>
        <v>0</v>
      </c>
      <c r="U177" s="164">
        <f t="shared" si="59"/>
        <v>2147435.25</v>
      </c>
      <c r="V177" s="393">
        <f t="shared" si="60"/>
        <v>52742</v>
      </c>
      <c r="W177" s="393">
        <f t="shared" si="61"/>
        <v>2094693.25</v>
      </c>
      <c r="Y177" s="393">
        <f t="shared" si="66"/>
        <v>0</v>
      </c>
      <c r="Z177" s="393">
        <f t="shared" si="67"/>
        <v>2094693.25</v>
      </c>
      <c r="AD177" s="395">
        <f>IF(AH177&gt;AH176,AD176,IF(AD176&lt;MiscData!$F$1,EOMONTH(AD176,1),EOMONTH(AD176,-11)))</f>
        <v>42063</v>
      </c>
      <c r="AE177" s="389" t="str">
        <f t="shared" si="62"/>
        <v>20140101ODL</v>
      </c>
      <c r="AF177" s="437" t="str">
        <f t="shared" si="63"/>
        <v>20140101ODL</v>
      </c>
      <c r="AG177" s="438"/>
      <c r="AH177" s="34">
        <f>IF(AH176=MiscData!$AB$91,1,AH176+1)</f>
        <v>88</v>
      </c>
      <c r="AI177" s="34">
        <f>IF(AD177&lt;=MiscData!$B$23,MiscData!$C$23,IF(AD177&lt;=MiscData!$B$24,MiscData!$C$24,MiscData!$C$25))</f>
        <v>20140101</v>
      </c>
      <c r="AK177" s="439" t="str">
        <f>VLOOKUP(AM177,MiscData!$AB$4:$ACB$113,2,FALSE)</f>
        <v>ODL</v>
      </c>
      <c r="AL177" s="439" t="str">
        <f>VLOOKUP(AM177,MiscData!$AB$4:$AE$115,4,FALSE)</f>
        <v>ODL</v>
      </c>
      <c r="AM177" s="34">
        <f>IF(AM176=MiscData!$AB$91,1,AM176+1)</f>
        <v>88</v>
      </c>
    </row>
    <row r="178" spans="1:39">
      <c r="A178" s="389">
        <f t="shared" si="68"/>
        <v>177</v>
      </c>
      <c r="B178" s="395" t="str">
        <f t="shared" si="46"/>
        <v>Mar 2014</v>
      </c>
      <c r="C178" s="396" t="str">
        <f t="shared" si="47"/>
        <v>LS</v>
      </c>
      <c r="D178" s="396" t="str">
        <f t="shared" si="48"/>
        <v>KUUM_300</v>
      </c>
      <c r="E178" s="394">
        <f t="shared" si="49"/>
        <v>0</v>
      </c>
      <c r="F178" s="397">
        <v>0</v>
      </c>
      <c r="G178" s="394">
        <f t="shared" si="50"/>
        <v>0</v>
      </c>
      <c r="H178" s="394">
        <v>0</v>
      </c>
      <c r="I178" s="390">
        <f t="shared" si="51"/>
        <v>22.49</v>
      </c>
      <c r="J178" s="390">
        <f t="shared" si="52"/>
        <v>0.58000000000000185</v>
      </c>
      <c r="K178" s="391">
        <f t="shared" si="64"/>
        <v>0</v>
      </c>
      <c r="L178" s="398">
        <v>0</v>
      </c>
      <c r="M178" s="398">
        <v>0</v>
      </c>
      <c r="N178" s="164">
        <f t="shared" si="53"/>
        <v>0</v>
      </c>
      <c r="O178" s="399">
        <f t="shared" si="54"/>
        <v>0</v>
      </c>
      <c r="P178" s="392">
        <f t="shared" si="65"/>
        <v>1</v>
      </c>
      <c r="Q178" s="164">
        <f t="shared" si="55"/>
        <v>0</v>
      </c>
      <c r="R178" s="164">
        <f t="shared" si="56"/>
        <v>0</v>
      </c>
      <c r="S178" s="164">
        <f t="shared" si="57"/>
        <v>0</v>
      </c>
      <c r="T178" s="164">
        <f t="shared" si="58"/>
        <v>0</v>
      </c>
      <c r="U178" s="164">
        <f t="shared" si="59"/>
        <v>0</v>
      </c>
      <c r="V178" s="393">
        <f t="shared" si="60"/>
        <v>0</v>
      </c>
      <c r="W178" s="393">
        <f t="shared" si="61"/>
        <v>0</v>
      </c>
      <c r="Y178" s="393">
        <f t="shared" si="66"/>
        <v>0</v>
      </c>
      <c r="Z178" s="393">
        <f t="shared" si="67"/>
        <v>0</v>
      </c>
      <c r="AD178" s="395">
        <f>IF(AH178&gt;AH177,AD177,IF(AD177&lt;MiscData!$F$1,EOMONTH(AD177,1),EOMONTH(AD177,-11)))</f>
        <v>41729</v>
      </c>
      <c r="AE178" s="389" t="str">
        <f t="shared" si="62"/>
        <v>20140101KUUM_300</v>
      </c>
      <c r="AF178" s="437" t="str">
        <f t="shared" si="63"/>
        <v>20140101LS</v>
      </c>
      <c r="AG178" s="438"/>
      <c r="AH178" s="34">
        <f>IF(AH177=MiscData!$AB$91,1,AH177+1)</f>
        <v>1</v>
      </c>
      <c r="AI178" s="34">
        <f>IF(AD178&lt;=MiscData!$B$23,MiscData!$C$23,IF(AD178&lt;=MiscData!$B$24,MiscData!$C$24,MiscData!$C$25))</f>
        <v>20140101</v>
      </c>
      <c r="AK178" s="439" t="str">
        <f>VLOOKUP(AM178,MiscData!$AB$4:$ACB$113,2,FALSE)</f>
        <v>KUUM_300</v>
      </c>
      <c r="AL178" s="439" t="str">
        <f>VLOOKUP(AM178,MiscData!$AB$4:$AE$115,4,FALSE)</f>
        <v>LS</v>
      </c>
      <c r="AM178" s="34">
        <f>IF(AM177=MiscData!$AB$91,1,AM177+1)</f>
        <v>1</v>
      </c>
    </row>
    <row r="179" spans="1:39">
      <c r="A179" s="389">
        <f t="shared" si="68"/>
        <v>178</v>
      </c>
      <c r="B179" s="395" t="str">
        <f t="shared" si="46"/>
        <v>Mar 2014</v>
      </c>
      <c r="C179" s="396" t="str">
        <f t="shared" si="47"/>
        <v>LS</v>
      </c>
      <c r="D179" s="396" t="str">
        <f t="shared" si="48"/>
        <v>KUUM_301</v>
      </c>
      <c r="E179" s="394">
        <f t="shared" si="49"/>
        <v>0</v>
      </c>
      <c r="F179" s="397">
        <v>0</v>
      </c>
      <c r="G179" s="394">
        <f t="shared" si="50"/>
        <v>0</v>
      </c>
      <c r="H179" s="394">
        <v>0</v>
      </c>
      <c r="I179" s="390">
        <f t="shared" si="51"/>
        <v>23.5</v>
      </c>
      <c r="J179" s="390">
        <f t="shared" si="52"/>
        <v>1.129999999999999</v>
      </c>
      <c r="K179" s="391">
        <f t="shared" si="64"/>
        <v>0</v>
      </c>
      <c r="L179" s="398">
        <v>0</v>
      </c>
      <c r="M179" s="398">
        <v>0</v>
      </c>
      <c r="N179" s="164">
        <f t="shared" si="53"/>
        <v>0</v>
      </c>
      <c r="O179" s="399">
        <f t="shared" si="54"/>
        <v>0</v>
      </c>
      <c r="P179" s="392">
        <f t="shared" si="65"/>
        <v>1</v>
      </c>
      <c r="Q179" s="164">
        <f t="shared" si="55"/>
        <v>0</v>
      </c>
      <c r="R179" s="164">
        <f t="shared" si="56"/>
        <v>0</v>
      </c>
      <c r="S179" s="164">
        <f t="shared" si="57"/>
        <v>0</v>
      </c>
      <c r="T179" s="164">
        <f t="shared" si="58"/>
        <v>0</v>
      </c>
      <c r="U179" s="164">
        <f t="shared" si="59"/>
        <v>0</v>
      </c>
      <c r="V179" s="393">
        <f t="shared" si="60"/>
        <v>0</v>
      </c>
      <c r="W179" s="393">
        <f t="shared" si="61"/>
        <v>0</v>
      </c>
      <c r="Y179" s="393">
        <f t="shared" si="66"/>
        <v>0</v>
      </c>
      <c r="Z179" s="393">
        <f t="shared" si="67"/>
        <v>0</v>
      </c>
      <c r="AD179" s="395">
        <f>IF(AH179&gt;AH178,AD178,IF(AD178&lt;MiscData!$F$1,EOMONTH(AD178,1),EOMONTH(AD178,-11)))</f>
        <v>41729</v>
      </c>
      <c r="AE179" s="389" t="str">
        <f t="shared" si="62"/>
        <v>20140101KUUM_301</v>
      </c>
      <c r="AF179" s="437" t="str">
        <f t="shared" si="63"/>
        <v>20140101LS</v>
      </c>
      <c r="AG179" s="438"/>
      <c r="AH179" s="34">
        <f>IF(AH178=MiscData!$AB$91,1,AH178+1)</f>
        <v>2</v>
      </c>
      <c r="AI179" s="34">
        <f>IF(AD179&lt;=MiscData!$B$23,MiscData!$C$23,IF(AD179&lt;=MiscData!$B$24,MiscData!$C$24,MiscData!$C$25))</f>
        <v>20140101</v>
      </c>
      <c r="AK179" s="439" t="str">
        <f>VLOOKUP(AM179,MiscData!$AB$4:$ACB$113,2,FALSE)</f>
        <v>KUUM_301</v>
      </c>
      <c r="AL179" s="439" t="str">
        <f>VLOOKUP(AM179,MiscData!$AB$4:$AE$115,4,FALSE)</f>
        <v>LS</v>
      </c>
      <c r="AM179" s="34">
        <f>IF(AM178=MiscData!$AB$91,1,AM178+1)</f>
        <v>2</v>
      </c>
    </row>
    <row r="180" spans="1:39">
      <c r="A180" s="389">
        <f t="shared" si="68"/>
        <v>179</v>
      </c>
      <c r="B180" s="395" t="str">
        <f t="shared" si="46"/>
        <v>Mar 2014</v>
      </c>
      <c r="C180" s="396" t="str">
        <f t="shared" si="47"/>
        <v>LS</v>
      </c>
      <c r="D180" s="396" t="str">
        <f t="shared" si="48"/>
        <v>KUUM_360</v>
      </c>
      <c r="E180" s="394">
        <f t="shared" si="49"/>
        <v>178</v>
      </c>
      <c r="F180" s="397">
        <v>0</v>
      </c>
      <c r="G180" s="394">
        <f t="shared" si="50"/>
        <v>11853</v>
      </c>
      <c r="H180" s="394">
        <v>0</v>
      </c>
      <c r="I180" s="390">
        <f t="shared" si="51"/>
        <v>55.33</v>
      </c>
      <c r="J180" s="390">
        <f t="shared" si="52"/>
        <v>1.75</v>
      </c>
      <c r="K180" s="391">
        <f t="shared" si="64"/>
        <v>9848.74</v>
      </c>
      <c r="L180" s="398">
        <v>0</v>
      </c>
      <c r="M180" s="398">
        <v>0</v>
      </c>
      <c r="N180" s="164">
        <f t="shared" si="53"/>
        <v>9848.74</v>
      </c>
      <c r="O180" s="399">
        <f t="shared" si="54"/>
        <v>9848.74</v>
      </c>
      <c r="P180" s="392">
        <f t="shared" si="65"/>
        <v>1</v>
      </c>
      <c r="Q180" s="164">
        <f t="shared" si="55"/>
        <v>-16.059999999999999</v>
      </c>
      <c r="R180" s="164">
        <f t="shared" si="56"/>
        <v>0</v>
      </c>
      <c r="S180" s="164">
        <f t="shared" si="57"/>
        <v>547.5</v>
      </c>
      <c r="T180" s="164">
        <f t="shared" si="58"/>
        <v>0</v>
      </c>
      <c r="U180" s="164">
        <f t="shared" si="59"/>
        <v>10380.18</v>
      </c>
      <c r="V180" s="393">
        <f t="shared" si="60"/>
        <v>10380.18</v>
      </c>
      <c r="W180" s="393">
        <f t="shared" si="61"/>
        <v>0</v>
      </c>
      <c r="Y180" s="393">
        <f t="shared" si="66"/>
        <v>311.5</v>
      </c>
      <c r="Z180" s="393">
        <f t="shared" si="67"/>
        <v>9537.24</v>
      </c>
      <c r="AD180" s="395">
        <f>IF(AH180&gt;AH179,AD179,IF(AD179&lt;MiscData!$F$1,EOMONTH(AD179,1),EOMONTH(AD179,-11)))</f>
        <v>41729</v>
      </c>
      <c r="AE180" s="389" t="str">
        <f t="shared" si="62"/>
        <v>20140101KUUM_360</v>
      </c>
      <c r="AF180" s="437" t="str">
        <f t="shared" si="63"/>
        <v>20140101LS</v>
      </c>
      <c r="AG180" s="438"/>
      <c r="AH180" s="34">
        <f>IF(AH179=MiscData!$AB$91,1,AH179+1)</f>
        <v>3</v>
      </c>
      <c r="AI180" s="34">
        <f>IF(AD180&lt;=MiscData!$B$23,MiscData!$C$23,IF(AD180&lt;=MiscData!$B$24,MiscData!$C$24,MiscData!$C$25))</f>
        <v>20140101</v>
      </c>
      <c r="AK180" s="439" t="str">
        <f>VLOOKUP(AM180,MiscData!$AB$4:$ACB$113,2,FALSE)</f>
        <v>KUUM_360</v>
      </c>
      <c r="AL180" s="439" t="str">
        <f>VLOOKUP(AM180,MiscData!$AB$4:$AE$115,4,FALSE)</f>
        <v>LS</v>
      </c>
      <c r="AM180" s="34">
        <f>IF(AM179=MiscData!$AB$91,1,AM179+1)</f>
        <v>3</v>
      </c>
    </row>
    <row r="181" spans="1:39">
      <c r="A181" s="389">
        <f t="shared" si="68"/>
        <v>180</v>
      </c>
      <c r="B181" s="395" t="str">
        <f t="shared" si="46"/>
        <v>Mar 2014</v>
      </c>
      <c r="C181" s="396" t="str">
        <f t="shared" si="47"/>
        <v>LS</v>
      </c>
      <c r="D181" s="396" t="str">
        <f t="shared" si="48"/>
        <v>KUUM_361</v>
      </c>
      <c r="E181" s="394">
        <f t="shared" si="49"/>
        <v>25</v>
      </c>
      <c r="F181" s="397">
        <v>0</v>
      </c>
      <c r="G181" s="394">
        <f t="shared" si="50"/>
        <v>1650</v>
      </c>
      <c r="H181" s="394">
        <v>0</v>
      </c>
      <c r="I181" s="390">
        <f t="shared" si="51"/>
        <v>83.16</v>
      </c>
      <c r="J181" s="390">
        <f t="shared" si="52"/>
        <v>1.75</v>
      </c>
      <c r="K181" s="391">
        <f t="shared" si="64"/>
        <v>2079</v>
      </c>
      <c r="L181" s="398">
        <v>0</v>
      </c>
      <c r="M181" s="398">
        <v>0</v>
      </c>
      <c r="N181" s="164">
        <f t="shared" si="53"/>
        <v>2079</v>
      </c>
      <c r="O181" s="399">
        <f t="shared" si="54"/>
        <v>2079</v>
      </c>
      <c r="P181" s="392">
        <f t="shared" si="65"/>
        <v>1</v>
      </c>
      <c r="Q181" s="164">
        <f t="shared" si="55"/>
        <v>-2.41</v>
      </c>
      <c r="R181" s="164">
        <f t="shared" si="56"/>
        <v>0</v>
      </c>
      <c r="S181" s="164">
        <f t="shared" si="57"/>
        <v>117.54</v>
      </c>
      <c r="T181" s="164">
        <f t="shared" si="58"/>
        <v>0</v>
      </c>
      <c r="U181" s="164">
        <f t="shared" si="59"/>
        <v>2194.13</v>
      </c>
      <c r="V181" s="393">
        <f t="shared" si="60"/>
        <v>2194.13</v>
      </c>
      <c r="W181" s="393">
        <f t="shared" si="61"/>
        <v>0</v>
      </c>
      <c r="Y181" s="393">
        <f t="shared" si="66"/>
        <v>43.75</v>
      </c>
      <c r="Z181" s="393">
        <f t="shared" si="67"/>
        <v>2035.25</v>
      </c>
      <c r="AD181" s="395">
        <f>IF(AH181&gt;AH180,AD180,IF(AD180&lt;MiscData!$F$1,EOMONTH(AD180,1),EOMONTH(AD180,-11)))</f>
        <v>41729</v>
      </c>
      <c r="AE181" s="389" t="str">
        <f t="shared" si="62"/>
        <v>20140101KUUM_361</v>
      </c>
      <c r="AF181" s="437" t="str">
        <f t="shared" si="63"/>
        <v>20140101LS</v>
      </c>
      <c r="AG181" s="438"/>
      <c r="AH181" s="34">
        <f>IF(AH180=MiscData!$AB$91,1,AH180+1)</f>
        <v>4</v>
      </c>
      <c r="AI181" s="34">
        <f>IF(AD181&lt;=MiscData!$B$23,MiscData!$C$23,IF(AD181&lt;=MiscData!$B$24,MiscData!$C$24,MiscData!$C$25))</f>
        <v>20140101</v>
      </c>
      <c r="AK181" s="439" t="str">
        <f>VLOOKUP(AM181,MiscData!$AB$4:$ACB$113,2,FALSE)</f>
        <v>KUUM_361</v>
      </c>
      <c r="AL181" s="439" t="str">
        <f>VLOOKUP(AM181,MiscData!$AB$4:$AE$115,4,FALSE)</f>
        <v>LS</v>
      </c>
      <c r="AM181" s="34">
        <f>IF(AM180=MiscData!$AB$91,1,AM180+1)</f>
        <v>4</v>
      </c>
    </row>
    <row r="182" spans="1:39">
      <c r="A182" s="389">
        <f t="shared" si="68"/>
        <v>181</v>
      </c>
      <c r="B182" s="395" t="str">
        <f t="shared" si="46"/>
        <v>Mar 2014</v>
      </c>
      <c r="C182" s="396" t="str">
        <f t="shared" si="47"/>
        <v>LS</v>
      </c>
      <c r="D182" s="396" t="str">
        <f t="shared" si="48"/>
        <v>KUUM_362</v>
      </c>
      <c r="E182" s="394">
        <f t="shared" si="49"/>
        <v>43</v>
      </c>
      <c r="F182" s="397">
        <v>0</v>
      </c>
      <c r="G182" s="394">
        <f t="shared" si="50"/>
        <v>2317</v>
      </c>
      <c r="H182" s="394">
        <v>0</v>
      </c>
      <c r="I182" s="390">
        <f t="shared" si="51"/>
        <v>59.78</v>
      </c>
      <c r="J182" s="390">
        <f t="shared" si="52"/>
        <v>1.75</v>
      </c>
      <c r="K182" s="391">
        <f t="shared" si="64"/>
        <v>2570.54</v>
      </c>
      <c r="L182" s="398">
        <v>0</v>
      </c>
      <c r="M182" s="398">
        <v>0</v>
      </c>
      <c r="N182" s="164">
        <f t="shared" si="53"/>
        <v>2570.54</v>
      </c>
      <c r="O182" s="399">
        <f t="shared" si="54"/>
        <v>2570.54</v>
      </c>
      <c r="P182" s="392">
        <f t="shared" si="65"/>
        <v>1</v>
      </c>
      <c r="Q182" s="164">
        <f t="shared" si="55"/>
        <v>-3.38</v>
      </c>
      <c r="R182" s="164">
        <f t="shared" si="56"/>
        <v>0</v>
      </c>
      <c r="S182" s="164">
        <f t="shared" si="57"/>
        <v>145.30000000000001</v>
      </c>
      <c r="T182" s="164">
        <f t="shared" si="58"/>
        <v>0</v>
      </c>
      <c r="U182" s="164">
        <f t="shared" si="59"/>
        <v>2712.46</v>
      </c>
      <c r="V182" s="393">
        <f t="shared" si="60"/>
        <v>2712.46</v>
      </c>
      <c r="W182" s="393">
        <f t="shared" si="61"/>
        <v>0</v>
      </c>
      <c r="Y182" s="393">
        <f t="shared" si="66"/>
        <v>75.25</v>
      </c>
      <c r="Z182" s="393">
        <f t="shared" si="67"/>
        <v>2495.29</v>
      </c>
      <c r="AD182" s="395">
        <f>IF(AH182&gt;AH181,AD181,IF(AD181&lt;MiscData!$F$1,EOMONTH(AD181,1),EOMONTH(AD181,-11)))</f>
        <v>41729</v>
      </c>
      <c r="AE182" s="389" t="str">
        <f t="shared" si="62"/>
        <v>20140101KUUM_362</v>
      </c>
      <c r="AF182" s="437" t="str">
        <f t="shared" si="63"/>
        <v>20140101LS</v>
      </c>
      <c r="AG182" s="438"/>
      <c r="AH182" s="34">
        <f>IF(AH181=MiscData!$AB$91,1,AH181+1)</f>
        <v>5</v>
      </c>
      <c r="AI182" s="34">
        <f>IF(AD182&lt;=MiscData!$B$23,MiscData!$C$23,IF(AD182&lt;=MiscData!$B$24,MiscData!$C$24,MiscData!$C$25))</f>
        <v>20140101</v>
      </c>
      <c r="AK182" s="439" t="str">
        <f>VLOOKUP(AM182,MiscData!$AB$4:$ACB$113,2,FALSE)</f>
        <v>KUUM_362</v>
      </c>
      <c r="AL182" s="439" t="str">
        <f>VLOOKUP(AM182,MiscData!$AB$4:$AE$115,4,FALSE)</f>
        <v>LS</v>
      </c>
      <c r="AM182" s="34">
        <f>IF(AM181=MiscData!$AB$91,1,AM181+1)</f>
        <v>5</v>
      </c>
    </row>
    <row r="183" spans="1:39">
      <c r="A183" s="389">
        <f t="shared" si="68"/>
        <v>182</v>
      </c>
      <c r="B183" s="395" t="str">
        <f t="shared" si="46"/>
        <v>Mar 2014</v>
      </c>
      <c r="C183" s="396" t="str">
        <f t="shared" si="47"/>
        <v>LS</v>
      </c>
      <c r="D183" s="396" t="str">
        <f t="shared" si="48"/>
        <v>KUUM_363</v>
      </c>
      <c r="E183" s="394">
        <f t="shared" si="49"/>
        <v>5</v>
      </c>
      <c r="F183" s="397">
        <v>0</v>
      </c>
      <c r="G183" s="394">
        <f t="shared" si="50"/>
        <v>325</v>
      </c>
      <c r="H183" s="394">
        <v>0</v>
      </c>
      <c r="I183" s="390">
        <f t="shared" si="51"/>
        <v>61.75</v>
      </c>
      <c r="J183" s="390">
        <f t="shared" si="52"/>
        <v>1.75</v>
      </c>
      <c r="K183" s="391">
        <f t="shared" si="64"/>
        <v>308.75</v>
      </c>
      <c r="L183" s="398">
        <v>0</v>
      </c>
      <c r="M183" s="398">
        <v>0</v>
      </c>
      <c r="N183" s="164">
        <f t="shared" si="53"/>
        <v>308.75</v>
      </c>
      <c r="O183" s="399">
        <f t="shared" si="54"/>
        <v>308.75</v>
      </c>
      <c r="P183" s="392">
        <f t="shared" si="65"/>
        <v>1</v>
      </c>
      <c r="Q183" s="164">
        <f t="shared" si="55"/>
        <v>-0.47</v>
      </c>
      <c r="R183" s="164">
        <f t="shared" si="56"/>
        <v>0</v>
      </c>
      <c r="S183" s="164">
        <f t="shared" si="57"/>
        <v>17.45</v>
      </c>
      <c r="T183" s="164">
        <f t="shared" si="58"/>
        <v>0</v>
      </c>
      <c r="U183" s="164">
        <f t="shared" si="59"/>
        <v>325.73</v>
      </c>
      <c r="V183" s="393">
        <f t="shared" si="60"/>
        <v>325.72999999999996</v>
      </c>
      <c r="W183" s="393">
        <f t="shared" si="61"/>
        <v>0</v>
      </c>
      <c r="Y183" s="393">
        <f t="shared" si="66"/>
        <v>8.75</v>
      </c>
      <c r="Z183" s="393">
        <f t="shared" si="67"/>
        <v>300</v>
      </c>
      <c r="AD183" s="395">
        <f>IF(AH183&gt;AH182,AD182,IF(AD182&lt;MiscData!$F$1,EOMONTH(AD182,1),EOMONTH(AD182,-11)))</f>
        <v>41729</v>
      </c>
      <c r="AE183" s="389" t="str">
        <f t="shared" si="62"/>
        <v>20140101KUUM_363</v>
      </c>
      <c r="AF183" s="437" t="str">
        <f t="shared" si="63"/>
        <v>20140101LS</v>
      </c>
      <c r="AG183" s="438"/>
      <c r="AH183" s="34">
        <f>IF(AH182=MiscData!$AB$91,1,AH182+1)</f>
        <v>6</v>
      </c>
      <c r="AI183" s="34">
        <f>IF(AD183&lt;=MiscData!$B$23,MiscData!$C$23,IF(AD183&lt;=MiscData!$B$24,MiscData!$C$24,MiscData!$C$25))</f>
        <v>20140101</v>
      </c>
      <c r="AK183" s="439" t="str">
        <f>VLOOKUP(AM183,MiscData!$AB$4:$ACB$113,2,FALSE)</f>
        <v>KUUM_363</v>
      </c>
      <c r="AL183" s="439" t="str">
        <f>VLOOKUP(AM183,MiscData!$AB$4:$AE$115,4,FALSE)</f>
        <v>LS</v>
      </c>
      <c r="AM183" s="34">
        <f>IF(AM182=MiscData!$AB$91,1,AM182+1)</f>
        <v>6</v>
      </c>
    </row>
    <row r="184" spans="1:39">
      <c r="A184" s="389">
        <f t="shared" si="68"/>
        <v>183</v>
      </c>
      <c r="B184" s="395" t="str">
        <f t="shared" si="46"/>
        <v>Mar 2014</v>
      </c>
      <c r="C184" s="396" t="str">
        <f t="shared" si="47"/>
        <v>LS</v>
      </c>
      <c r="D184" s="396" t="str">
        <f t="shared" si="48"/>
        <v>KUUM_364</v>
      </c>
      <c r="E184" s="394">
        <f t="shared" si="49"/>
        <v>1</v>
      </c>
      <c r="F184" s="397">
        <v>0</v>
      </c>
      <c r="G184" s="394">
        <f t="shared" si="50"/>
        <v>65</v>
      </c>
      <c r="H184" s="394">
        <v>0</v>
      </c>
      <c r="I184" s="390">
        <f t="shared" si="51"/>
        <v>63.11</v>
      </c>
      <c r="J184" s="390">
        <f t="shared" si="52"/>
        <v>1.75</v>
      </c>
      <c r="K184" s="391">
        <f t="shared" si="64"/>
        <v>63.11</v>
      </c>
      <c r="L184" s="398">
        <v>0</v>
      </c>
      <c r="M184" s="398">
        <v>0</v>
      </c>
      <c r="N184" s="164">
        <f t="shared" si="53"/>
        <v>63.11</v>
      </c>
      <c r="O184" s="399">
        <f t="shared" si="54"/>
        <v>63.110000000000007</v>
      </c>
      <c r="P184" s="392">
        <f t="shared" si="65"/>
        <v>1</v>
      </c>
      <c r="Q184" s="164">
        <f t="shared" si="55"/>
        <v>-0.09</v>
      </c>
      <c r="R184" s="164">
        <f t="shared" si="56"/>
        <v>0</v>
      </c>
      <c r="S184" s="164">
        <f t="shared" si="57"/>
        <v>3.57</v>
      </c>
      <c r="T184" s="164">
        <f t="shared" si="58"/>
        <v>0</v>
      </c>
      <c r="U184" s="164">
        <f t="shared" si="59"/>
        <v>66.59</v>
      </c>
      <c r="V184" s="393">
        <f t="shared" si="60"/>
        <v>66.589999999999989</v>
      </c>
      <c r="W184" s="393">
        <f t="shared" si="61"/>
        <v>0</v>
      </c>
      <c r="Y184" s="393">
        <f t="shared" si="66"/>
        <v>1.75</v>
      </c>
      <c r="Z184" s="393">
        <f t="shared" si="67"/>
        <v>61.360000000000007</v>
      </c>
      <c r="AD184" s="395">
        <f>IF(AH184&gt;AH183,AD183,IF(AD183&lt;MiscData!$F$1,EOMONTH(AD183,1),EOMONTH(AD183,-11)))</f>
        <v>41729</v>
      </c>
      <c r="AE184" s="389" t="str">
        <f t="shared" si="62"/>
        <v>20140101KUUM_364</v>
      </c>
      <c r="AF184" s="437" t="str">
        <f t="shared" si="63"/>
        <v>20140101LS</v>
      </c>
      <c r="AG184" s="438"/>
      <c r="AH184" s="34">
        <f>IF(AH183=MiscData!$AB$91,1,AH183+1)</f>
        <v>7</v>
      </c>
      <c r="AI184" s="34">
        <f>IF(AD184&lt;=MiscData!$B$23,MiscData!$C$23,IF(AD184&lt;=MiscData!$B$24,MiscData!$C$24,MiscData!$C$25))</f>
        <v>20140101</v>
      </c>
      <c r="AK184" s="439" t="str">
        <f>VLOOKUP(AM184,MiscData!$AB$4:$ACB$113,2,FALSE)</f>
        <v>KUUM_364</v>
      </c>
      <c r="AL184" s="439" t="str">
        <f>VLOOKUP(AM184,MiscData!$AB$4:$AE$115,4,FALSE)</f>
        <v>LS</v>
      </c>
      <c r="AM184" s="34">
        <f>IF(AM183=MiscData!$AB$91,1,AM183+1)</f>
        <v>7</v>
      </c>
    </row>
    <row r="185" spans="1:39">
      <c r="A185" s="389">
        <f t="shared" si="68"/>
        <v>184</v>
      </c>
      <c r="B185" s="395" t="str">
        <f t="shared" si="46"/>
        <v>Mar 2014</v>
      </c>
      <c r="C185" s="396" t="str">
        <f t="shared" si="47"/>
        <v>LS</v>
      </c>
      <c r="D185" s="396" t="str">
        <f t="shared" si="48"/>
        <v>KUUM_365</v>
      </c>
      <c r="E185" s="394">
        <f t="shared" si="49"/>
        <v>5</v>
      </c>
      <c r="F185" s="397">
        <v>0</v>
      </c>
      <c r="G185" s="394">
        <f t="shared" si="50"/>
        <v>327</v>
      </c>
      <c r="H185" s="394">
        <v>0</v>
      </c>
      <c r="I185" s="390">
        <f t="shared" si="51"/>
        <v>80.94</v>
      </c>
      <c r="J185" s="390">
        <f t="shared" si="52"/>
        <v>1.75</v>
      </c>
      <c r="K185" s="391">
        <f t="shared" si="64"/>
        <v>404.7</v>
      </c>
      <c r="L185" s="398">
        <v>0</v>
      </c>
      <c r="M185" s="398">
        <v>0</v>
      </c>
      <c r="N185" s="164">
        <f t="shared" si="53"/>
        <v>404.7</v>
      </c>
      <c r="O185" s="399">
        <f t="shared" si="54"/>
        <v>404.70000000000005</v>
      </c>
      <c r="P185" s="392">
        <f t="shared" si="65"/>
        <v>1</v>
      </c>
      <c r="Q185" s="164">
        <f t="shared" si="55"/>
        <v>-0.48</v>
      </c>
      <c r="R185" s="164">
        <f t="shared" si="56"/>
        <v>0</v>
      </c>
      <c r="S185" s="164">
        <f t="shared" si="57"/>
        <v>22.88</v>
      </c>
      <c r="T185" s="164">
        <f t="shared" si="58"/>
        <v>0</v>
      </c>
      <c r="U185" s="164">
        <f t="shared" si="59"/>
        <v>427.1</v>
      </c>
      <c r="V185" s="393">
        <f t="shared" si="60"/>
        <v>427.09999999999997</v>
      </c>
      <c r="W185" s="393">
        <f t="shared" si="61"/>
        <v>0</v>
      </c>
      <c r="Y185" s="393">
        <f t="shared" si="66"/>
        <v>8.75</v>
      </c>
      <c r="Z185" s="393">
        <f t="shared" si="67"/>
        <v>395.95000000000005</v>
      </c>
      <c r="AD185" s="395">
        <f>IF(AH185&gt;AH184,AD184,IF(AD184&lt;MiscData!$F$1,EOMONTH(AD184,1),EOMONTH(AD184,-11)))</f>
        <v>41729</v>
      </c>
      <c r="AE185" s="389" t="str">
        <f t="shared" si="62"/>
        <v>20140101KUUM_365</v>
      </c>
      <c r="AF185" s="437" t="str">
        <f t="shared" si="63"/>
        <v>20140101LS</v>
      </c>
      <c r="AG185" s="438"/>
      <c r="AH185" s="34">
        <f>IF(AH184=MiscData!$AB$91,1,AH184+1)</f>
        <v>8</v>
      </c>
      <c r="AI185" s="34">
        <f>IF(AD185&lt;=MiscData!$B$23,MiscData!$C$23,IF(AD185&lt;=MiscData!$B$24,MiscData!$C$24,MiscData!$C$25))</f>
        <v>20140101</v>
      </c>
      <c r="AK185" s="439" t="str">
        <f>VLOOKUP(AM185,MiscData!$AB$4:$ACB$113,2,FALSE)</f>
        <v>KUUM_365</v>
      </c>
      <c r="AL185" s="439" t="str">
        <f>VLOOKUP(AM185,MiscData!$AB$4:$AE$115,4,FALSE)</f>
        <v>LS</v>
      </c>
      <c r="AM185" s="34">
        <f>IF(AM184=MiscData!$AB$91,1,AM184+1)</f>
        <v>8</v>
      </c>
    </row>
    <row r="186" spans="1:39">
      <c r="A186" s="389">
        <f t="shared" si="68"/>
        <v>185</v>
      </c>
      <c r="B186" s="395" t="str">
        <f t="shared" si="46"/>
        <v>Mar 2014</v>
      </c>
      <c r="C186" s="396" t="str">
        <f t="shared" si="47"/>
        <v>LS</v>
      </c>
      <c r="D186" s="396" t="str">
        <f t="shared" si="48"/>
        <v>KUUM_366</v>
      </c>
      <c r="E186" s="394">
        <f t="shared" si="49"/>
        <v>9</v>
      </c>
      <c r="F186" s="397">
        <v>0</v>
      </c>
      <c r="G186" s="394">
        <f t="shared" si="50"/>
        <v>587</v>
      </c>
      <c r="H186" s="394">
        <v>0</v>
      </c>
      <c r="I186" s="390">
        <f t="shared" si="51"/>
        <v>78.97</v>
      </c>
      <c r="J186" s="390">
        <f t="shared" si="52"/>
        <v>1.75</v>
      </c>
      <c r="K186" s="391">
        <f t="shared" si="64"/>
        <v>710.73</v>
      </c>
      <c r="L186" s="398">
        <v>0</v>
      </c>
      <c r="M186" s="398">
        <v>0</v>
      </c>
      <c r="N186" s="164">
        <f t="shared" si="53"/>
        <v>710.73</v>
      </c>
      <c r="O186" s="399">
        <f t="shared" si="54"/>
        <v>710.73</v>
      </c>
      <c r="P186" s="392">
        <f t="shared" si="65"/>
        <v>1</v>
      </c>
      <c r="Q186" s="164">
        <f t="shared" si="55"/>
        <v>-0.86</v>
      </c>
      <c r="R186" s="164">
        <f t="shared" si="56"/>
        <v>0</v>
      </c>
      <c r="S186" s="164">
        <f t="shared" si="57"/>
        <v>40.17</v>
      </c>
      <c r="T186" s="164">
        <f t="shared" si="58"/>
        <v>0</v>
      </c>
      <c r="U186" s="164">
        <f t="shared" si="59"/>
        <v>750.04</v>
      </c>
      <c r="V186" s="393">
        <f t="shared" si="60"/>
        <v>750.04</v>
      </c>
      <c r="W186" s="393">
        <f t="shared" si="61"/>
        <v>0</v>
      </c>
      <c r="Y186" s="393">
        <f t="shared" si="66"/>
        <v>15.75</v>
      </c>
      <c r="Z186" s="393">
        <f t="shared" si="67"/>
        <v>694.98</v>
      </c>
      <c r="AD186" s="395">
        <f>IF(AH186&gt;AH185,AD185,IF(AD185&lt;MiscData!$F$1,EOMONTH(AD185,1),EOMONTH(AD185,-11)))</f>
        <v>41729</v>
      </c>
      <c r="AE186" s="389" t="str">
        <f t="shared" si="62"/>
        <v>20140101KUUM_366</v>
      </c>
      <c r="AF186" s="437" t="str">
        <f t="shared" si="63"/>
        <v>20140101LS</v>
      </c>
      <c r="AG186" s="438"/>
      <c r="AH186" s="34">
        <f>IF(AH185=MiscData!$AB$91,1,AH185+1)</f>
        <v>9</v>
      </c>
      <c r="AI186" s="34">
        <f>IF(AD186&lt;=MiscData!$B$23,MiscData!$C$23,IF(AD186&lt;=MiscData!$B$24,MiscData!$C$24,MiscData!$C$25))</f>
        <v>20140101</v>
      </c>
      <c r="AK186" s="439" t="str">
        <f>VLOOKUP(AM186,MiscData!$AB$4:$ACB$113,2,FALSE)</f>
        <v>KUUM_366</v>
      </c>
      <c r="AL186" s="439" t="str">
        <f>VLOOKUP(AM186,MiscData!$AB$4:$AE$115,4,FALSE)</f>
        <v>LS</v>
      </c>
      <c r="AM186" s="34">
        <f>IF(AM185=MiscData!$AB$91,1,AM185+1)</f>
        <v>9</v>
      </c>
    </row>
    <row r="187" spans="1:39">
      <c r="A187" s="389">
        <f t="shared" si="68"/>
        <v>186</v>
      </c>
      <c r="B187" s="395" t="str">
        <f t="shared" si="46"/>
        <v>Mar 2014</v>
      </c>
      <c r="C187" s="396" t="str">
        <f t="shared" si="47"/>
        <v>LS</v>
      </c>
      <c r="D187" s="396" t="str">
        <f t="shared" si="48"/>
        <v>KUUM_367</v>
      </c>
      <c r="E187" s="394">
        <f t="shared" si="49"/>
        <v>25</v>
      </c>
      <c r="F187" s="397">
        <v>0</v>
      </c>
      <c r="G187" s="394">
        <f t="shared" si="50"/>
        <v>1672</v>
      </c>
      <c r="H187" s="394">
        <v>0</v>
      </c>
      <c r="I187" s="390">
        <f t="shared" si="51"/>
        <v>61.230000000000004</v>
      </c>
      <c r="J187" s="390">
        <f t="shared" si="52"/>
        <v>1.75</v>
      </c>
      <c r="K187" s="391">
        <f t="shared" si="64"/>
        <v>1530.75</v>
      </c>
      <c r="L187" s="398">
        <v>0</v>
      </c>
      <c r="M187" s="398">
        <v>0</v>
      </c>
      <c r="N187" s="164">
        <f t="shared" si="53"/>
        <v>1530.75</v>
      </c>
      <c r="O187" s="399">
        <f t="shared" si="54"/>
        <v>1530.75</v>
      </c>
      <c r="P187" s="392">
        <f t="shared" si="65"/>
        <v>1</v>
      </c>
      <c r="Q187" s="164">
        <f t="shared" si="55"/>
        <v>-2.44</v>
      </c>
      <c r="R187" s="164">
        <f t="shared" si="56"/>
        <v>0</v>
      </c>
      <c r="S187" s="164">
        <f t="shared" si="57"/>
        <v>86.5</v>
      </c>
      <c r="T187" s="164">
        <f t="shared" si="58"/>
        <v>0</v>
      </c>
      <c r="U187" s="164">
        <f t="shared" si="59"/>
        <v>1614.81</v>
      </c>
      <c r="V187" s="393">
        <f t="shared" si="60"/>
        <v>1614.81</v>
      </c>
      <c r="W187" s="393">
        <f t="shared" si="61"/>
        <v>0</v>
      </c>
      <c r="Y187" s="393">
        <f t="shared" si="66"/>
        <v>43.75</v>
      </c>
      <c r="Z187" s="393">
        <f t="shared" si="67"/>
        <v>1487</v>
      </c>
      <c r="AD187" s="395">
        <f>IF(AH187&gt;AH186,AD186,IF(AD186&lt;MiscData!$F$1,EOMONTH(AD186,1),EOMONTH(AD186,-11)))</f>
        <v>41729</v>
      </c>
      <c r="AE187" s="389" t="str">
        <f t="shared" si="62"/>
        <v>20140101KUUM_367</v>
      </c>
      <c r="AF187" s="437" t="str">
        <f t="shared" si="63"/>
        <v>20140101LS</v>
      </c>
      <c r="AG187" s="438"/>
      <c r="AH187" s="34">
        <f>IF(AH186=MiscData!$AB$91,1,AH186+1)</f>
        <v>10</v>
      </c>
      <c r="AI187" s="34">
        <f>IF(AD187&lt;=MiscData!$B$23,MiscData!$C$23,IF(AD187&lt;=MiscData!$B$24,MiscData!$C$24,MiscData!$C$25))</f>
        <v>20140101</v>
      </c>
      <c r="AK187" s="439" t="str">
        <f>VLOOKUP(AM187,MiscData!$AB$4:$ACB$113,2,FALSE)</f>
        <v>KUUM_367</v>
      </c>
      <c r="AL187" s="439" t="str">
        <f>VLOOKUP(AM187,MiscData!$AB$4:$AE$115,4,FALSE)</f>
        <v>LS</v>
      </c>
      <c r="AM187" s="34">
        <f>IF(AM186=MiscData!$AB$91,1,AM186+1)</f>
        <v>10</v>
      </c>
    </row>
    <row r="188" spans="1:39">
      <c r="A188" s="389">
        <f t="shared" si="68"/>
        <v>187</v>
      </c>
      <c r="B188" s="395" t="str">
        <f t="shared" si="46"/>
        <v>Mar 2014</v>
      </c>
      <c r="C188" s="396" t="str">
        <f t="shared" si="47"/>
        <v>LS</v>
      </c>
      <c r="D188" s="396" t="str">
        <f t="shared" si="48"/>
        <v>KUUM_368</v>
      </c>
      <c r="E188" s="394">
        <f t="shared" si="49"/>
        <v>1</v>
      </c>
      <c r="F188" s="397">
        <v>0</v>
      </c>
      <c r="G188" s="394">
        <f t="shared" si="50"/>
        <v>65</v>
      </c>
      <c r="H188" s="394">
        <v>0</v>
      </c>
      <c r="I188" s="390">
        <f t="shared" si="51"/>
        <v>56.69</v>
      </c>
      <c r="J188" s="390">
        <f t="shared" si="52"/>
        <v>1.75</v>
      </c>
      <c r="K188" s="391">
        <f t="shared" si="64"/>
        <v>56.69</v>
      </c>
      <c r="L188" s="398">
        <v>0</v>
      </c>
      <c r="M188" s="398">
        <v>0</v>
      </c>
      <c r="N188" s="164">
        <f t="shared" si="53"/>
        <v>56.69</v>
      </c>
      <c r="O188" s="399">
        <f t="shared" si="54"/>
        <v>56.69</v>
      </c>
      <c r="P188" s="392">
        <f t="shared" si="65"/>
        <v>1</v>
      </c>
      <c r="Q188" s="164">
        <f t="shared" si="55"/>
        <v>-0.09</v>
      </c>
      <c r="R188" s="164">
        <f t="shared" si="56"/>
        <v>0</v>
      </c>
      <c r="S188" s="164">
        <f t="shared" si="57"/>
        <v>3.2</v>
      </c>
      <c r="T188" s="164">
        <f t="shared" si="58"/>
        <v>0</v>
      </c>
      <c r="U188" s="164">
        <f t="shared" si="59"/>
        <v>59.8</v>
      </c>
      <c r="V188" s="393">
        <f t="shared" si="60"/>
        <v>59.8</v>
      </c>
      <c r="W188" s="393">
        <f t="shared" si="61"/>
        <v>0</v>
      </c>
      <c r="Y188" s="393">
        <f t="shared" si="66"/>
        <v>1.75</v>
      </c>
      <c r="Z188" s="393">
        <f t="shared" si="67"/>
        <v>54.94</v>
      </c>
      <c r="AD188" s="395">
        <f>IF(AH188&gt;AH187,AD187,IF(AD187&lt;MiscData!$F$1,EOMONTH(AD187,1),EOMONTH(AD187,-11)))</f>
        <v>41729</v>
      </c>
      <c r="AE188" s="389" t="str">
        <f t="shared" si="62"/>
        <v>20140101KUUM_368</v>
      </c>
      <c r="AF188" s="437" t="str">
        <f t="shared" si="63"/>
        <v>20140101LS</v>
      </c>
      <c r="AG188" s="438"/>
      <c r="AH188" s="34">
        <f>IF(AH187=MiscData!$AB$91,1,AH187+1)</f>
        <v>11</v>
      </c>
      <c r="AI188" s="34">
        <f>IF(AD188&lt;=MiscData!$B$23,MiscData!$C$23,IF(AD188&lt;=MiscData!$B$24,MiscData!$C$24,MiscData!$C$25))</f>
        <v>20140101</v>
      </c>
      <c r="AK188" s="439" t="str">
        <f>VLOOKUP(AM188,MiscData!$AB$4:$ACB$113,2,FALSE)</f>
        <v>KUUM_368</v>
      </c>
      <c r="AL188" s="439" t="str">
        <f>VLOOKUP(AM188,MiscData!$AB$4:$AE$115,4,FALSE)</f>
        <v>LS</v>
      </c>
      <c r="AM188" s="34">
        <f>IF(AM187=MiscData!$AB$91,1,AM187+1)</f>
        <v>11</v>
      </c>
    </row>
    <row r="189" spans="1:39">
      <c r="A189" s="389">
        <f t="shared" si="68"/>
        <v>188</v>
      </c>
      <c r="B189" s="395" t="str">
        <f t="shared" si="46"/>
        <v>Mar 2014</v>
      </c>
      <c r="C189" s="396" t="str">
        <f t="shared" si="47"/>
        <v>LS</v>
      </c>
      <c r="D189" s="396" t="str">
        <f t="shared" si="48"/>
        <v>KUUM_370</v>
      </c>
      <c r="E189" s="394">
        <f t="shared" si="49"/>
        <v>15</v>
      </c>
      <c r="F189" s="397">
        <v>0</v>
      </c>
      <c r="G189" s="394">
        <f t="shared" si="50"/>
        <v>985</v>
      </c>
      <c r="H189" s="394">
        <v>0</v>
      </c>
      <c r="I189" s="390">
        <f t="shared" si="51"/>
        <v>74.52</v>
      </c>
      <c r="J189" s="390">
        <f t="shared" si="52"/>
        <v>1.75</v>
      </c>
      <c r="K189" s="391">
        <f t="shared" si="64"/>
        <v>1117.8</v>
      </c>
      <c r="L189" s="398">
        <v>0</v>
      </c>
      <c r="M189" s="398">
        <v>0</v>
      </c>
      <c r="N189" s="164">
        <f t="shared" si="53"/>
        <v>1117.8</v>
      </c>
      <c r="O189" s="399">
        <f t="shared" si="54"/>
        <v>1117.8000000000002</v>
      </c>
      <c r="P189" s="392">
        <f t="shared" si="65"/>
        <v>1</v>
      </c>
      <c r="Q189" s="164">
        <f t="shared" si="55"/>
        <v>-0.82</v>
      </c>
      <c r="R189" s="164">
        <f t="shared" si="56"/>
        <v>0</v>
      </c>
      <c r="S189" s="164">
        <f t="shared" si="57"/>
        <v>57.15</v>
      </c>
      <c r="T189" s="164">
        <f t="shared" si="58"/>
        <v>0</v>
      </c>
      <c r="U189" s="164">
        <f t="shared" si="59"/>
        <v>1174.1300000000001</v>
      </c>
      <c r="V189" s="393">
        <f t="shared" si="60"/>
        <v>1174.1300000000001</v>
      </c>
      <c r="W189" s="393">
        <f t="shared" si="61"/>
        <v>0</v>
      </c>
      <c r="Y189" s="393">
        <f t="shared" si="66"/>
        <v>26.25</v>
      </c>
      <c r="Z189" s="393">
        <f t="shared" si="67"/>
        <v>1091.5500000000002</v>
      </c>
      <c r="AD189" s="395">
        <f>IF(AH189&gt;AH188,AD188,IF(AD188&lt;MiscData!$F$1,EOMONTH(AD188,1),EOMONTH(AD188,-11)))</f>
        <v>41729</v>
      </c>
      <c r="AE189" s="389" t="str">
        <f t="shared" si="62"/>
        <v>20140101KUUM_370</v>
      </c>
      <c r="AF189" s="437" t="str">
        <f t="shared" si="63"/>
        <v>20140101LS</v>
      </c>
      <c r="AG189" s="438"/>
      <c r="AH189" s="34">
        <f>IF(AH188=MiscData!$AB$91,1,AH188+1)</f>
        <v>12</v>
      </c>
      <c r="AI189" s="34">
        <f>IF(AD189&lt;=MiscData!$B$23,MiscData!$C$23,IF(AD189&lt;=MiscData!$B$24,MiscData!$C$24,MiscData!$C$25))</f>
        <v>20140101</v>
      </c>
      <c r="AK189" s="439" t="str">
        <f>VLOOKUP(AM189,MiscData!$AB$4:$ACB$113,2,FALSE)</f>
        <v>KUUM_370</v>
      </c>
      <c r="AL189" s="439" t="str">
        <f>VLOOKUP(AM189,MiscData!$AB$4:$AE$115,4,FALSE)</f>
        <v>LS</v>
      </c>
      <c r="AM189" s="34">
        <f>IF(AM188=MiscData!$AB$91,1,AM188+1)</f>
        <v>12</v>
      </c>
    </row>
    <row r="190" spans="1:39">
      <c r="A190" s="389">
        <f t="shared" si="68"/>
        <v>189</v>
      </c>
      <c r="B190" s="395" t="str">
        <f t="shared" si="46"/>
        <v>Mar 2014</v>
      </c>
      <c r="C190" s="396" t="str">
        <f t="shared" si="47"/>
        <v>LS</v>
      </c>
      <c r="D190" s="396" t="str">
        <f t="shared" si="48"/>
        <v>KUUM_372</v>
      </c>
      <c r="E190" s="394">
        <f t="shared" si="49"/>
        <v>1</v>
      </c>
      <c r="F190" s="397">
        <v>0</v>
      </c>
      <c r="G190" s="394">
        <f t="shared" si="50"/>
        <v>65</v>
      </c>
      <c r="H190" s="394">
        <v>0</v>
      </c>
      <c r="I190" s="390">
        <f t="shared" si="51"/>
        <v>82.3</v>
      </c>
      <c r="J190" s="390">
        <f t="shared" si="52"/>
        <v>1.75</v>
      </c>
      <c r="K190" s="391">
        <f t="shared" si="64"/>
        <v>82.3</v>
      </c>
      <c r="L190" s="398">
        <v>0</v>
      </c>
      <c r="M190" s="398">
        <v>0</v>
      </c>
      <c r="N190" s="164">
        <f t="shared" si="53"/>
        <v>82.3</v>
      </c>
      <c r="O190" s="399">
        <f t="shared" si="54"/>
        <v>82.3</v>
      </c>
      <c r="P190" s="392">
        <f t="shared" si="65"/>
        <v>1</v>
      </c>
      <c r="Q190" s="164">
        <f t="shared" si="55"/>
        <v>-0.09</v>
      </c>
      <c r="R190" s="164">
        <f t="shared" si="56"/>
        <v>0</v>
      </c>
      <c r="S190" s="164">
        <f t="shared" si="57"/>
        <v>4.6500000000000004</v>
      </c>
      <c r="T190" s="164">
        <f t="shared" si="58"/>
        <v>0</v>
      </c>
      <c r="U190" s="164">
        <f t="shared" si="59"/>
        <v>86.86</v>
      </c>
      <c r="V190" s="393">
        <f t="shared" si="60"/>
        <v>86.86</v>
      </c>
      <c r="W190" s="393">
        <f t="shared" si="61"/>
        <v>0</v>
      </c>
      <c r="Y190" s="393">
        <f t="shared" si="66"/>
        <v>1.75</v>
      </c>
      <c r="Z190" s="393">
        <f t="shared" si="67"/>
        <v>80.55</v>
      </c>
      <c r="AD190" s="395">
        <f>IF(AH190&gt;AH189,AD189,IF(AD189&lt;MiscData!$F$1,EOMONTH(AD189,1),EOMONTH(AD189,-11)))</f>
        <v>41729</v>
      </c>
      <c r="AE190" s="389" t="str">
        <f t="shared" si="62"/>
        <v>20140101KUUM_372</v>
      </c>
      <c r="AF190" s="437" t="str">
        <f t="shared" si="63"/>
        <v>20140101LS</v>
      </c>
      <c r="AG190" s="438"/>
      <c r="AH190" s="34">
        <f>IF(AH189=MiscData!$AB$91,1,AH189+1)</f>
        <v>13</v>
      </c>
      <c r="AI190" s="34">
        <f>IF(AD190&lt;=MiscData!$B$23,MiscData!$C$23,IF(AD190&lt;=MiscData!$B$24,MiscData!$C$24,MiscData!$C$25))</f>
        <v>20140101</v>
      </c>
      <c r="AK190" s="439" t="str">
        <f>VLOOKUP(AM190,MiscData!$AB$4:$ACB$113,2,FALSE)</f>
        <v>KUUM_372</v>
      </c>
      <c r="AL190" s="439" t="str">
        <f>VLOOKUP(AM190,MiscData!$AB$4:$AE$115,4,FALSE)</f>
        <v>LS</v>
      </c>
      <c r="AM190" s="34">
        <f>IF(AM189=MiscData!$AB$91,1,AM189+1)</f>
        <v>13</v>
      </c>
    </row>
    <row r="191" spans="1:39">
      <c r="A191" s="389">
        <f t="shared" si="68"/>
        <v>190</v>
      </c>
      <c r="B191" s="395" t="str">
        <f t="shared" si="46"/>
        <v>Mar 2014</v>
      </c>
      <c r="C191" s="396" t="str">
        <f t="shared" si="47"/>
        <v>LS</v>
      </c>
      <c r="D191" s="396" t="str">
        <f t="shared" si="48"/>
        <v>KUUM_373</v>
      </c>
      <c r="E191" s="394">
        <f t="shared" si="49"/>
        <v>20</v>
      </c>
      <c r="F191" s="397">
        <v>0</v>
      </c>
      <c r="G191" s="394">
        <f t="shared" si="50"/>
        <v>1339</v>
      </c>
      <c r="H191" s="394">
        <v>0</v>
      </c>
      <c r="I191" s="390">
        <f t="shared" si="51"/>
        <v>74.52</v>
      </c>
      <c r="J191" s="390">
        <f t="shared" si="52"/>
        <v>1.75</v>
      </c>
      <c r="K191" s="391">
        <f t="shared" si="64"/>
        <v>1490.4</v>
      </c>
      <c r="L191" s="398">
        <v>0</v>
      </c>
      <c r="M191" s="398">
        <v>0</v>
      </c>
      <c r="N191" s="164">
        <f t="shared" si="53"/>
        <v>1490.4</v>
      </c>
      <c r="O191" s="399">
        <f t="shared" si="54"/>
        <v>1490.4</v>
      </c>
      <c r="P191" s="392">
        <f t="shared" si="65"/>
        <v>1</v>
      </c>
      <c r="Q191" s="164">
        <f t="shared" si="55"/>
        <v>-1.96</v>
      </c>
      <c r="R191" s="164">
        <f t="shared" si="56"/>
        <v>0</v>
      </c>
      <c r="S191" s="164">
        <f t="shared" si="57"/>
        <v>84.24</v>
      </c>
      <c r="T191" s="164">
        <f t="shared" si="58"/>
        <v>0</v>
      </c>
      <c r="U191" s="164">
        <f t="shared" si="59"/>
        <v>1572.68</v>
      </c>
      <c r="V191" s="393">
        <f t="shared" si="60"/>
        <v>1572.68</v>
      </c>
      <c r="W191" s="393">
        <f t="shared" si="61"/>
        <v>0</v>
      </c>
      <c r="Y191" s="393">
        <f t="shared" si="66"/>
        <v>35</v>
      </c>
      <c r="Z191" s="393">
        <f t="shared" si="67"/>
        <v>1455.4</v>
      </c>
      <c r="AD191" s="395">
        <f>IF(AH191&gt;AH190,AD190,IF(AD190&lt;MiscData!$F$1,EOMONTH(AD190,1),EOMONTH(AD190,-11)))</f>
        <v>41729</v>
      </c>
      <c r="AE191" s="389" t="str">
        <f t="shared" si="62"/>
        <v>20140101KUUM_373</v>
      </c>
      <c r="AF191" s="437" t="str">
        <f t="shared" si="63"/>
        <v>20140101LS</v>
      </c>
      <c r="AG191" s="438"/>
      <c r="AH191" s="34">
        <f>IF(AH190=MiscData!$AB$91,1,AH190+1)</f>
        <v>14</v>
      </c>
      <c r="AI191" s="34">
        <f>IF(AD191&lt;=MiscData!$B$23,MiscData!$C$23,IF(AD191&lt;=MiscData!$B$24,MiscData!$C$24,MiscData!$C$25))</f>
        <v>20140101</v>
      </c>
      <c r="AK191" s="439" t="str">
        <f>VLOOKUP(AM191,MiscData!$AB$4:$ACB$113,2,FALSE)</f>
        <v>KUUM_373</v>
      </c>
      <c r="AL191" s="439" t="str">
        <f>VLOOKUP(AM191,MiscData!$AB$4:$AE$115,4,FALSE)</f>
        <v>LS</v>
      </c>
      <c r="AM191" s="34">
        <f>IF(AM190=MiscData!$AB$91,1,AM190+1)</f>
        <v>14</v>
      </c>
    </row>
    <row r="192" spans="1:39">
      <c r="A192" s="389">
        <f t="shared" si="68"/>
        <v>191</v>
      </c>
      <c r="B192" s="395" t="str">
        <f t="shared" si="46"/>
        <v>Mar 2014</v>
      </c>
      <c r="C192" s="396" t="str">
        <f t="shared" si="47"/>
        <v>LS</v>
      </c>
      <c r="D192" s="396" t="str">
        <f t="shared" si="48"/>
        <v>KUUM_374</v>
      </c>
      <c r="E192" s="394">
        <f t="shared" si="49"/>
        <v>4</v>
      </c>
      <c r="F192" s="397">
        <v>0</v>
      </c>
      <c r="G192" s="394">
        <f t="shared" si="50"/>
        <v>264</v>
      </c>
      <c r="H192" s="394">
        <v>0</v>
      </c>
      <c r="I192" s="390">
        <f t="shared" si="51"/>
        <v>75.88</v>
      </c>
      <c r="J192" s="390">
        <f t="shared" si="52"/>
        <v>1.75</v>
      </c>
      <c r="K192" s="391">
        <f t="shared" si="64"/>
        <v>303.52</v>
      </c>
      <c r="L192" s="398">
        <v>0</v>
      </c>
      <c r="M192" s="398">
        <v>0</v>
      </c>
      <c r="N192" s="164">
        <f t="shared" si="53"/>
        <v>303.52</v>
      </c>
      <c r="O192" s="399">
        <f t="shared" si="54"/>
        <v>303.52000000000004</v>
      </c>
      <c r="P192" s="392">
        <f t="shared" si="65"/>
        <v>1</v>
      </c>
      <c r="Q192" s="164">
        <f t="shared" si="55"/>
        <v>-0.39</v>
      </c>
      <c r="R192" s="164">
        <f t="shared" si="56"/>
        <v>0</v>
      </c>
      <c r="S192" s="164">
        <f t="shared" si="57"/>
        <v>17.16</v>
      </c>
      <c r="T192" s="164">
        <f t="shared" si="58"/>
        <v>0</v>
      </c>
      <c r="U192" s="164">
        <f t="shared" si="59"/>
        <v>320.29000000000002</v>
      </c>
      <c r="V192" s="393">
        <f t="shared" si="60"/>
        <v>320.29000000000002</v>
      </c>
      <c r="W192" s="393">
        <f t="shared" si="61"/>
        <v>0</v>
      </c>
      <c r="Y192" s="393">
        <f t="shared" si="66"/>
        <v>7</v>
      </c>
      <c r="Z192" s="393">
        <f t="shared" si="67"/>
        <v>296.52000000000004</v>
      </c>
      <c r="AD192" s="395">
        <f>IF(AH192&gt;AH191,AD191,IF(AD191&lt;MiscData!$F$1,EOMONTH(AD191,1),EOMONTH(AD191,-11)))</f>
        <v>41729</v>
      </c>
      <c r="AE192" s="389" t="str">
        <f t="shared" si="62"/>
        <v>20140101KUUM_374</v>
      </c>
      <c r="AF192" s="437" t="str">
        <f t="shared" si="63"/>
        <v>20140101LS</v>
      </c>
      <c r="AG192" s="438"/>
      <c r="AH192" s="34">
        <f>IF(AH191=MiscData!$AB$91,1,AH191+1)</f>
        <v>15</v>
      </c>
      <c r="AI192" s="34">
        <f>IF(AD192&lt;=MiscData!$B$23,MiscData!$C$23,IF(AD192&lt;=MiscData!$B$24,MiscData!$C$24,MiscData!$C$25))</f>
        <v>20140101</v>
      </c>
      <c r="AK192" s="439" t="str">
        <f>VLOOKUP(AM192,MiscData!$AB$4:$ACB$113,2,FALSE)</f>
        <v>KUUM_374</v>
      </c>
      <c r="AL192" s="439" t="str">
        <f>VLOOKUP(AM192,MiscData!$AB$4:$AE$115,4,FALSE)</f>
        <v>LS</v>
      </c>
      <c r="AM192" s="34">
        <f>IF(AM191=MiscData!$AB$91,1,AM191+1)</f>
        <v>15</v>
      </c>
    </row>
    <row r="193" spans="1:39">
      <c r="A193" s="389">
        <f t="shared" si="68"/>
        <v>192</v>
      </c>
      <c r="B193" s="395" t="str">
        <f t="shared" si="46"/>
        <v>Mar 2014</v>
      </c>
      <c r="C193" s="396" t="str">
        <f t="shared" si="47"/>
        <v>LS</v>
      </c>
      <c r="D193" s="396" t="str">
        <f t="shared" si="48"/>
        <v>KUUM_375</v>
      </c>
      <c r="E193" s="394">
        <f t="shared" si="49"/>
        <v>3</v>
      </c>
      <c r="F193" s="397">
        <v>0</v>
      </c>
      <c r="G193" s="394">
        <f t="shared" si="50"/>
        <v>201</v>
      </c>
      <c r="H193" s="394">
        <v>0</v>
      </c>
      <c r="I193" s="390">
        <f t="shared" si="51"/>
        <v>78.97</v>
      </c>
      <c r="J193" s="390">
        <f t="shared" si="52"/>
        <v>1.75</v>
      </c>
      <c r="K193" s="391">
        <f t="shared" si="64"/>
        <v>236.91</v>
      </c>
      <c r="L193" s="398">
        <v>0</v>
      </c>
      <c r="M193" s="398">
        <v>0</v>
      </c>
      <c r="N193" s="164">
        <f t="shared" si="53"/>
        <v>236.91</v>
      </c>
      <c r="O193" s="399">
        <f t="shared" si="54"/>
        <v>236.91</v>
      </c>
      <c r="P193" s="392">
        <f t="shared" si="65"/>
        <v>1</v>
      </c>
      <c r="Q193" s="164">
        <f t="shared" si="55"/>
        <v>-0.3</v>
      </c>
      <c r="R193" s="164">
        <f t="shared" si="56"/>
        <v>0</v>
      </c>
      <c r="S193" s="164">
        <f t="shared" si="57"/>
        <v>13.39</v>
      </c>
      <c r="T193" s="164">
        <f t="shared" si="58"/>
        <v>0</v>
      </c>
      <c r="U193" s="164">
        <f t="shared" si="59"/>
        <v>250</v>
      </c>
      <c r="V193" s="393">
        <f t="shared" si="60"/>
        <v>250</v>
      </c>
      <c r="W193" s="393">
        <f t="shared" si="61"/>
        <v>0</v>
      </c>
      <c r="Y193" s="393">
        <f t="shared" si="66"/>
        <v>5.25</v>
      </c>
      <c r="Z193" s="393">
        <f t="shared" si="67"/>
        <v>231.66</v>
      </c>
      <c r="AD193" s="395">
        <f>IF(AH193&gt;AH192,AD192,IF(AD192&lt;MiscData!$F$1,EOMONTH(AD192,1),EOMONTH(AD192,-11)))</f>
        <v>41729</v>
      </c>
      <c r="AE193" s="389" t="str">
        <f t="shared" si="62"/>
        <v>20140101KUUM_375</v>
      </c>
      <c r="AF193" s="437" t="str">
        <f t="shared" si="63"/>
        <v>20140101LS</v>
      </c>
      <c r="AG193" s="438"/>
      <c r="AH193" s="34">
        <f>IF(AH192=MiscData!$AB$91,1,AH192+1)</f>
        <v>16</v>
      </c>
      <c r="AI193" s="34">
        <f>IF(AD193&lt;=MiscData!$B$23,MiscData!$C$23,IF(AD193&lt;=MiscData!$B$24,MiscData!$C$24,MiscData!$C$25))</f>
        <v>20140101</v>
      </c>
      <c r="AK193" s="439" t="str">
        <f>VLOOKUP(AM193,MiscData!$AB$4:$ACB$113,2,FALSE)</f>
        <v>KUUM_375</v>
      </c>
      <c r="AL193" s="439" t="str">
        <f>VLOOKUP(AM193,MiscData!$AB$4:$AE$115,4,FALSE)</f>
        <v>LS</v>
      </c>
      <c r="AM193" s="34">
        <f>IF(AM192=MiscData!$AB$91,1,AM192+1)</f>
        <v>16</v>
      </c>
    </row>
    <row r="194" spans="1:39">
      <c r="A194" s="389">
        <f t="shared" si="68"/>
        <v>193</v>
      </c>
      <c r="B194" s="395" t="str">
        <f t="shared" ref="B194:B257" si="69">TEXT(AD194,"mmm yyyy")</f>
        <v>Mar 2014</v>
      </c>
      <c r="C194" s="396" t="str">
        <f t="shared" ref="C194:C257" si="70">AL194</f>
        <v>LS</v>
      </c>
      <c r="D194" s="396" t="str">
        <f t="shared" ref="D194:D257" si="71">AK194</f>
        <v>KUUM_376</v>
      </c>
      <c r="E194" s="394">
        <f t="shared" ref="E194:E257" si="72">SUMIFS(_1055_Light_Count,_1055_RevMonth,$B194,_1055_RateCategory,$D194)</f>
        <v>2</v>
      </c>
      <c r="F194" s="397">
        <v>0</v>
      </c>
      <c r="G194" s="394">
        <f t="shared" ref="G194:G257" si="73">SUMIFS(_SBR_KWH,_SBR_Revenue_Month,$B194,_SBR_Rate_Category,$D194)</f>
        <v>134</v>
      </c>
      <c r="H194" s="394">
        <v>0</v>
      </c>
      <c r="I194" s="390">
        <f t="shared" ref="I194:I257" si="74">SUMIF(_Lights_Tariff_Category,$AE194,_Lights_Rates)</f>
        <v>77.259999999999991</v>
      </c>
      <c r="J194" s="390">
        <f t="shared" ref="J194:J257" si="75">SUMIF(_Lights_Tariff_Category,$AE194,_Rates_Lights_BaseFAC)</f>
        <v>1.75</v>
      </c>
      <c r="K194" s="391">
        <f t="shared" si="64"/>
        <v>154.52000000000001</v>
      </c>
      <c r="L194" s="398">
        <v>0</v>
      </c>
      <c r="M194" s="398">
        <v>0</v>
      </c>
      <c r="N194" s="164">
        <f t="shared" ref="N194:N257" si="76">SUM(K194:M194)</f>
        <v>154.52000000000001</v>
      </c>
      <c r="O194" s="399">
        <f t="shared" ref="O194:O257" si="77">U194-SUM(Q194:T194)</f>
        <v>154.52000000000001</v>
      </c>
      <c r="P194" s="392">
        <f t="shared" si="65"/>
        <v>1</v>
      </c>
      <c r="Q194" s="164">
        <f t="shared" ref="Q194:Q257" si="78">SUMIFS(_SBR_FAC,_SBR_Revenue_Month,$B194,_SBR_Rate_Category,$D194)</f>
        <v>-0.2</v>
      </c>
      <c r="R194" s="164">
        <f t="shared" ref="R194:R257" si="79">SUMIFS(_SBR_DSM,_SBR_Revenue_Month,$B194,_SBR_Rate_Category,$D194)</f>
        <v>0</v>
      </c>
      <c r="S194" s="164">
        <f t="shared" ref="S194:S257" si="80">SUMIFS(_SBR_ECR,_SBR_Revenue_Month,$B194,_SBR_Rate_Category,$D194)</f>
        <v>8.73</v>
      </c>
      <c r="T194" s="164">
        <f t="shared" ref="T194:T257" si="81">SUMIFS(_SBR_MSR,_SBR_Revenue_Month,$B194,_SBR_Rate_Category,$D194)</f>
        <v>0</v>
      </c>
      <c r="U194" s="164">
        <f t="shared" ref="U194:U257" si="82">SUMIFS(_SBR_Revenue_Actual,_SBR_Revenue_Month,$B194,_SBR_Rate_Category,$D194)</f>
        <v>163.05000000000001</v>
      </c>
      <c r="V194" s="393">
        <f t="shared" ref="V194:V257" si="83">SUM(N194,Q194:T194)</f>
        <v>163.05000000000001</v>
      </c>
      <c r="W194" s="393">
        <f t="shared" ref="W194:W257" si="84">U194-V194</f>
        <v>0</v>
      </c>
      <c r="Y194" s="393">
        <f t="shared" si="66"/>
        <v>3.5</v>
      </c>
      <c r="Z194" s="393">
        <f t="shared" si="67"/>
        <v>151.02000000000001</v>
      </c>
      <c r="AD194" s="395">
        <f>IF(AH194&gt;AH193,AD193,IF(AD193&lt;MiscData!$F$1,EOMONTH(AD193,1),EOMONTH(AD193,-11)))</f>
        <v>41729</v>
      </c>
      <c r="AE194" s="389" t="str">
        <f t="shared" ref="AE194:AE257" si="85">CONCATENATE(AI194&amp;AK194)</f>
        <v>20140101KUUM_376</v>
      </c>
      <c r="AF194" s="437" t="str">
        <f t="shared" ref="AF194:AF257" si="86">CONCATENATE(AI194&amp;AL194)</f>
        <v>20140101LS</v>
      </c>
      <c r="AG194" s="438"/>
      <c r="AH194" s="34">
        <f>IF(AH193=MiscData!$AB$91,1,AH193+1)</f>
        <v>17</v>
      </c>
      <c r="AI194" s="34">
        <f>IF(AD194&lt;=MiscData!$B$23,MiscData!$C$23,IF(AD194&lt;=MiscData!$B$24,MiscData!$C$24,MiscData!$C$25))</f>
        <v>20140101</v>
      </c>
      <c r="AK194" s="439" t="str">
        <f>VLOOKUP(AM194,MiscData!$AB$4:$ACB$113,2,FALSE)</f>
        <v>KUUM_376</v>
      </c>
      <c r="AL194" s="439" t="str">
        <f>VLOOKUP(AM194,MiscData!$AB$4:$AE$115,4,FALSE)</f>
        <v>LS</v>
      </c>
      <c r="AM194" s="34">
        <f>IF(AM193=MiscData!$AB$91,1,AM193+1)</f>
        <v>17</v>
      </c>
    </row>
    <row r="195" spans="1:39">
      <c r="A195" s="389">
        <f t="shared" si="68"/>
        <v>194</v>
      </c>
      <c r="B195" s="395" t="str">
        <f t="shared" si="69"/>
        <v>Mar 2014</v>
      </c>
      <c r="C195" s="396" t="str">
        <f t="shared" si="70"/>
        <v>LS</v>
      </c>
      <c r="D195" s="396" t="str">
        <f t="shared" si="71"/>
        <v>KUUM_377</v>
      </c>
      <c r="E195" s="394">
        <f t="shared" si="72"/>
        <v>51</v>
      </c>
      <c r="F195" s="397">
        <v>0</v>
      </c>
      <c r="G195" s="394">
        <f t="shared" si="73"/>
        <v>3393</v>
      </c>
      <c r="H195" s="394">
        <v>0</v>
      </c>
      <c r="I195" s="390">
        <f t="shared" si="74"/>
        <v>64.19</v>
      </c>
      <c r="J195" s="390">
        <f t="shared" si="75"/>
        <v>1.75</v>
      </c>
      <c r="K195" s="391">
        <f t="shared" ref="K195:K258" si="87">ROUND(($E195+$F195)*$I195,2)</f>
        <v>3273.69</v>
      </c>
      <c r="L195" s="398">
        <v>0</v>
      </c>
      <c r="M195" s="398">
        <v>0</v>
      </c>
      <c r="N195" s="164">
        <f t="shared" si="76"/>
        <v>3273.69</v>
      </c>
      <c r="O195" s="399">
        <f t="shared" si="77"/>
        <v>3273.69</v>
      </c>
      <c r="P195" s="392">
        <f t="shared" ref="P195:P258" si="88">IF(AND(N195=0,O195=0),1,IF(N195=0,0,ROUND(O195/N195,6)))</f>
        <v>1</v>
      </c>
      <c r="Q195" s="164">
        <f t="shared" si="78"/>
        <v>-4.95</v>
      </c>
      <c r="R195" s="164">
        <f t="shared" si="79"/>
        <v>0</v>
      </c>
      <c r="S195" s="164">
        <f t="shared" si="80"/>
        <v>185.01</v>
      </c>
      <c r="T195" s="164">
        <f t="shared" si="81"/>
        <v>0</v>
      </c>
      <c r="U195" s="164">
        <f t="shared" si="82"/>
        <v>3453.75</v>
      </c>
      <c r="V195" s="393">
        <f t="shared" si="83"/>
        <v>3453.75</v>
      </c>
      <c r="W195" s="393">
        <f t="shared" si="84"/>
        <v>0</v>
      </c>
      <c r="Y195" s="393">
        <f t="shared" ref="Y195:Y258" si="89">ROUND(E195*J195,2)</f>
        <v>89.25</v>
      </c>
      <c r="Z195" s="393">
        <f t="shared" ref="Z195:Z258" si="90">O195-Y195</f>
        <v>3184.44</v>
      </c>
      <c r="AD195" s="395">
        <f>IF(AH195&gt;AH194,AD194,IF(AD194&lt;MiscData!$F$1,EOMONTH(AD194,1),EOMONTH(AD194,-11)))</f>
        <v>41729</v>
      </c>
      <c r="AE195" s="389" t="str">
        <f t="shared" si="85"/>
        <v>20140101KUUM_377</v>
      </c>
      <c r="AF195" s="437" t="str">
        <f t="shared" si="86"/>
        <v>20140101LS</v>
      </c>
      <c r="AG195" s="438"/>
      <c r="AH195" s="34">
        <f>IF(AH194=MiscData!$AB$91,1,AH194+1)</f>
        <v>18</v>
      </c>
      <c r="AI195" s="34">
        <f>IF(AD195&lt;=MiscData!$B$23,MiscData!$C$23,IF(AD195&lt;=MiscData!$B$24,MiscData!$C$24,MiscData!$C$25))</f>
        <v>20140101</v>
      </c>
      <c r="AK195" s="439" t="str">
        <f>VLOOKUP(AM195,MiscData!$AB$4:$ACB$113,2,FALSE)</f>
        <v>KUUM_377</v>
      </c>
      <c r="AL195" s="439" t="str">
        <f>VLOOKUP(AM195,MiscData!$AB$4:$AE$115,4,FALSE)</f>
        <v>LS</v>
      </c>
      <c r="AM195" s="34">
        <f>IF(AM194=MiscData!$AB$91,1,AM194+1)</f>
        <v>18</v>
      </c>
    </row>
    <row r="196" spans="1:39">
      <c r="A196" s="389">
        <f t="shared" ref="A196:A259" si="91">A195+1</f>
        <v>195</v>
      </c>
      <c r="B196" s="395" t="str">
        <f t="shared" si="69"/>
        <v>Mar 2014</v>
      </c>
      <c r="C196" s="396" t="str">
        <f t="shared" si="70"/>
        <v>LS</v>
      </c>
      <c r="D196" s="396" t="str">
        <f t="shared" si="71"/>
        <v>KUUM_378</v>
      </c>
      <c r="E196" s="394">
        <f t="shared" si="72"/>
        <v>2</v>
      </c>
      <c r="F196" s="397">
        <v>0</v>
      </c>
      <c r="G196" s="394">
        <f t="shared" si="73"/>
        <v>140</v>
      </c>
      <c r="H196" s="394">
        <v>0</v>
      </c>
      <c r="I196" s="390">
        <f t="shared" si="74"/>
        <v>75.899999999999991</v>
      </c>
      <c r="J196" s="390">
        <f t="shared" si="75"/>
        <v>1.75</v>
      </c>
      <c r="K196" s="391">
        <f t="shared" si="87"/>
        <v>151.80000000000001</v>
      </c>
      <c r="L196" s="398">
        <v>0</v>
      </c>
      <c r="M196" s="398">
        <v>0</v>
      </c>
      <c r="N196" s="164">
        <f t="shared" si="76"/>
        <v>151.80000000000001</v>
      </c>
      <c r="O196" s="399">
        <f t="shared" si="77"/>
        <v>151.80000000000001</v>
      </c>
      <c r="P196" s="392">
        <f t="shared" si="88"/>
        <v>1</v>
      </c>
      <c r="Q196" s="164">
        <f t="shared" si="78"/>
        <v>-0.2</v>
      </c>
      <c r="R196" s="164">
        <f t="shared" si="79"/>
        <v>0</v>
      </c>
      <c r="S196" s="164">
        <f t="shared" si="80"/>
        <v>8.58</v>
      </c>
      <c r="T196" s="164">
        <f t="shared" si="81"/>
        <v>0</v>
      </c>
      <c r="U196" s="164">
        <f t="shared" si="82"/>
        <v>160.18</v>
      </c>
      <c r="V196" s="393">
        <f t="shared" si="83"/>
        <v>160.18000000000004</v>
      </c>
      <c r="W196" s="393">
        <f t="shared" si="84"/>
        <v>0</v>
      </c>
      <c r="Y196" s="393">
        <f t="shared" si="89"/>
        <v>3.5</v>
      </c>
      <c r="Z196" s="393">
        <f t="shared" si="90"/>
        <v>148.30000000000001</v>
      </c>
      <c r="AD196" s="395">
        <f>IF(AH196&gt;AH195,AD195,IF(AD195&lt;MiscData!$F$1,EOMONTH(AD195,1),EOMONTH(AD195,-11)))</f>
        <v>41729</v>
      </c>
      <c r="AE196" s="389" t="str">
        <f t="shared" si="85"/>
        <v>20140101KUUM_378</v>
      </c>
      <c r="AF196" s="437" t="str">
        <f t="shared" si="86"/>
        <v>20140101LS</v>
      </c>
      <c r="AG196" s="438"/>
      <c r="AH196" s="34">
        <f>IF(AH195=MiscData!$AB$91,1,AH195+1)</f>
        <v>19</v>
      </c>
      <c r="AI196" s="34">
        <f>IF(AD196&lt;=MiscData!$B$23,MiscData!$C$23,IF(AD196&lt;=MiscData!$B$24,MiscData!$C$24,MiscData!$C$25))</f>
        <v>20140101</v>
      </c>
      <c r="AK196" s="439" t="str">
        <f>VLOOKUP(AM196,MiscData!$AB$4:$ACB$113,2,FALSE)</f>
        <v>KUUM_378</v>
      </c>
      <c r="AL196" s="439" t="str">
        <f>VLOOKUP(AM196,MiscData!$AB$4:$AE$115,4,FALSE)</f>
        <v>LS</v>
      </c>
      <c r="AM196" s="34">
        <f>IF(AM195=MiscData!$AB$91,1,AM195+1)</f>
        <v>19</v>
      </c>
    </row>
    <row r="197" spans="1:39">
      <c r="A197" s="389">
        <f t="shared" si="91"/>
        <v>196</v>
      </c>
      <c r="B197" s="395" t="str">
        <f t="shared" si="69"/>
        <v>Mar 2014</v>
      </c>
      <c r="C197" s="396" t="str">
        <f t="shared" si="70"/>
        <v>LS</v>
      </c>
      <c r="D197" s="396" t="str">
        <f t="shared" si="71"/>
        <v>KUUM_401</v>
      </c>
      <c r="E197" s="394">
        <f t="shared" si="72"/>
        <v>52</v>
      </c>
      <c r="F197" s="397">
        <v>0</v>
      </c>
      <c r="G197" s="394">
        <f t="shared" si="73"/>
        <v>1565</v>
      </c>
      <c r="H197" s="394">
        <v>0</v>
      </c>
      <c r="I197" s="390">
        <f t="shared" si="74"/>
        <v>14.860000000000001</v>
      </c>
      <c r="J197" s="390">
        <f t="shared" si="75"/>
        <v>0.80000000000000071</v>
      </c>
      <c r="K197" s="391">
        <f t="shared" si="87"/>
        <v>772.72</v>
      </c>
      <c r="L197" s="398">
        <v>0</v>
      </c>
      <c r="M197" s="398">
        <v>0</v>
      </c>
      <c r="N197" s="164">
        <f t="shared" si="76"/>
        <v>772.72</v>
      </c>
      <c r="O197" s="399">
        <f t="shared" si="77"/>
        <v>772.72</v>
      </c>
      <c r="P197" s="392">
        <f t="shared" si="88"/>
        <v>1</v>
      </c>
      <c r="Q197" s="164">
        <f t="shared" si="78"/>
        <v>3.24</v>
      </c>
      <c r="R197" s="164">
        <f t="shared" si="79"/>
        <v>0</v>
      </c>
      <c r="S197" s="164">
        <f t="shared" si="80"/>
        <v>19.63</v>
      </c>
      <c r="T197" s="164">
        <f t="shared" si="81"/>
        <v>0</v>
      </c>
      <c r="U197" s="164">
        <f t="shared" si="82"/>
        <v>795.59</v>
      </c>
      <c r="V197" s="393">
        <f t="shared" si="83"/>
        <v>795.59</v>
      </c>
      <c r="W197" s="393">
        <f t="shared" si="84"/>
        <v>0</v>
      </c>
      <c r="Y197" s="393">
        <f t="shared" si="89"/>
        <v>41.6</v>
      </c>
      <c r="Z197" s="393">
        <f t="shared" si="90"/>
        <v>731.12</v>
      </c>
      <c r="AD197" s="395">
        <f>IF(AH197&gt;AH196,AD196,IF(AD196&lt;MiscData!$F$1,EOMONTH(AD196,1),EOMONTH(AD196,-11)))</f>
        <v>41729</v>
      </c>
      <c r="AE197" s="389" t="str">
        <f t="shared" si="85"/>
        <v>20140101KUUM_401</v>
      </c>
      <c r="AF197" s="437" t="str">
        <f t="shared" si="86"/>
        <v>20140101LS</v>
      </c>
      <c r="AG197" s="438"/>
      <c r="AH197" s="34">
        <f>IF(AH196=MiscData!$AB$91,1,AH196+1)</f>
        <v>20</v>
      </c>
      <c r="AI197" s="34">
        <f>IF(AD197&lt;=MiscData!$B$23,MiscData!$C$23,IF(AD197&lt;=MiscData!$B$24,MiscData!$C$24,MiscData!$C$25))</f>
        <v>20140101</v>
      </c>
      <c r="AK197" s="439" t="str">
        <f>VLOOKUP(AM197,MiscData!$AB$4:$ACB$113,2,FALSE)</f>
        <v>KUUM_401</v>
      </c>
      <c r="AL197" s="439" t="str">
        <f>VLOOKUP(AM197,MiscData!$AB$4:$AE$115,4,FALSE)</f>
        <v>LS</v>
      </c>
      <c r="AM197" s="34">
        <f>IF(AM196=MiscData!$AB$91,1,AM196+1)</f>
        <v>20</v>
      </c>
    </row>
    <row r="198" spans="1:39">
      <c r="A198" s="389">
        <f t="shared" si="91"/>
        <v>197</v>
      </c>
      <c r="B198" s="395" t="str">
        <f t="shared" si="69"/>
        <v>Mar 2014</v>
      </c>
      <c r="C198" s="396" t="str">
        <f t="shared" si="70"/>
        <v>RLS</v>
      </c>
      <c r="D198" s="396" t="str">
        <f t="shared" si="71"/>
        <v>KUUM_404</v>
      </c>
      <c r="E198" s="394">
        <f t="shared" si="72"/>
        <v>7282</v>
      </c>
      <c r="F198" s="397">
        <v>0</v>
      </c>
      <c r="G198" s="394">
        <f t="shared" si="73"/>
        <v>530883</v>
      </c>
      <c r="H198" s="394">
        <v>0</v>
      </c>
      <c r="I198" s="390">
        <f t="shared" si="74"/>
        <v>10.570000000000002</v>
      </c>
      <c r="J198" s="390">
        <f t="shared" si="75"/>
        <v>1.9900000000000002</v>
      </c>
      <c r="K198" s="391">
        <f t="shared" si="87"/>
        <v>76970.740000000005</v>
      </c>
      <c r="L198" s="398">
        <v>-793.29</v>
      </c>
      <c r="M198" s="398">
        <v>0</v>
      </c>
      <c r="N198" s="164">
        <f t="shared" si="76"/>
        <v>76177.450000000012</v>
      </c>
      <c r="O198" s="399">
        <f t="shared" si="77"/>
        <v>76177.45</v>
      </c>
      <c r="P198" s="392">
        <f t="shared" si="88"/>
        <v>1</v>
      </c>
      <c r="Q198" s="164">
        <f t="shared" si="78"/>
        <v>1598.85</v>
      </c>
      <c r="R198" s="164">
        <f t="shared" si="79"/>
        <v>0</v>
      </c>
      <c r="S198" s="164">
        <f t="shared" si="80"/>
        <v>1299.18</v>
      </c>
      <c r="T198" s="164">
        <f t="shared" si="81"/>
        <v>0</v>
      </c>
      <c r="U198" s="164">
        <f t="shared" si="82"/>
        <v>79075.48</v>
      </c>
      <c r="V198" s="393">
        <f t="shared" si="83"/>
        <v>79075.48000000001</v>
      </c>
      <c r="W198" s="393">
        <f t="shared" si="84"/>
        <v>0</v>
      </c>
      <c r="Y198" s="393">
        <f t="shared" si="89"/>
        <v>14491.18</v>
      </c>
      <c r="Z198" s="393">
        <f t="shared" si="90"/>
        <v>61686.27</v>
      </c>
      <c r="AD198" s="395">
        <f>IF(AH198&gt;AH197,AD197,IF(AD197&lt;MiscData!$F$1,EOMONTH(AD197,1),EOMONTH(AD197,-11)))</f>
        <v>41729</v>
      </c>
      <c r="AE198" s="389" t="str">
        <f t="shared" si="85"/>
        <v>20140101KUUM_404</v>
      </c>
      <c r="AF198" s="437" t="str">
        <f t="shared" si="86"/>
        <v>20140101RLS</v>
      </c>
      <c r="AG198" s="438"/>
      <c r="AH198" s="34">
        <f>IF(AH197=MiscData!$AB$91,1,AH197+1)</f>
        <v>21</v>
      </c>
      <c r="AI198" s="34">
        <f>IF(AD198&lt;=MiscData!$B$23,MiscData!$C$23,IF(AD198&lt;=MiscData!$B$24,MiscData!$C$24,MiscData!$C$25))</f>
        <v>20140101</v>
      </c>
      <c r="AK198" s="439" t="str">
        <f>VLOOKUP(AM198,MiscData!$AB$4:$ACB$113,2,FALSE)</f>
        <v>KUUM_404</v>
      </c>
      <c r="AL198" s="439" t="str">
        <f>VLOOKUP(AM198,MiscData!$AB$4:$AE$115,4,FALSE)</f>
        <v>RLS</v>
      </c>
      <c r="AM198" s="34">
        <f>IF(AM197=MiscData!$AB$91,1,AM197+1)</f>
        <v>21</v>
      </c>
    </row>
    <row r="199" spans="1:39">
      <c r="A199" s="389">
        <f t="shared" si="91"/>
        <v>198</v>
      </c>
      <c r="B199" s="395" t="str">
        <f t="shared" si="69"/>
        <v>Mar 2014</v>
      </c>
      <c r="C199" s="396" t="str">
        <f t="shared" si="70"/>
        <v>RLS</v>
      </c>
      <c r="D199" s="396" t="str">
        <f t="shared" si="71"/>
        <v>KUUM_405</v>
      </c>
      <c r="E199" s="394">
        <f t="shared" si="72"/>
        <v>0</v>
      </c>
      <c r="F199" s="397">
        <v>0</v>
      </c>
      <c r="G199" s="394">
        <f t="shared" si="73"/>
        <v>0</v>
      </c>
      <c r="H199" s="394">
        <v>0</v>
      </c>
      <c r="I199" s="390">
        <f t="shared" si="74"/>
        <v>0</v>
      </c>
      <c r="J199" s="390">
        <f t="shared" si="75"/>
        <v>0</v>
      </c>
      <c r="K199" s="391">
        <f t="shared" si="87"/>
        <v>0</v>
      </c>
      <c r="L199" s="398">
        <v>0</v>
      </c>
      <c r="M199" s="398">
        <v>0</v>
      </c>
      <c r="N199" s="164">
        <f t="shared" si="76"/>
        <v>0</v>
      </c>
      <c r="O199" s="399">
        <f t="shared" si="77"/>
        <v>0</v>
      </c>
      <c r="P199" s="392">
        <f t="shared" si="88"/>
        <v>1</v>
      </c>
      <c r="Q199" s="164">
        <f t="shared" si="78"/>
        <v>0</v>
      </c>
      <c r="R199" s="164">
        <f t="shared" si="79"/>
        <v>0</v>
      </c>
      <c r="S199" s="164">
        <f t="shared" si="80"/>
        <v>0</v>
      </c>
      <c r="T199" s="164">
        <f t="shared" si="81"/>
        <v>0</v>
      </c>
      <c r="U199" s="164">
        <f t="shared" si="82"/>
        <v>0</v>
      </c>
      <c r="V199" s="393">
        <f t="shared" si="83"/>
        <v>0</v>
      </c>
      <c r="W199" s="393">
        <f t="shared" si="84"/>
        <v>0</v>
      </c>
      <c r="Y199" s="393">
        <f t="shared" si="89"/>
        <v>0</v>
      </c>
      <c r="Z199" s="393">
        <f t="shared" si="90"/>
        <v>0</v>
      </c>
      <c r="AD199" s="395">
        <f>IF(AH199&gt;AH198,AD198,IF(AD198&lt;MiscData!$F$1,EOMONTH(AD198,1),EOMONTH(AD198,-11)))</f>
        <v>41729</v>
      </c>
      <c r="AE199" s="389" t="str">
        <f t="shared" si="85"/>
        <v>20140101KUUM_405</v>
      </c>
      <c r="AF199" s="437" t="str">
        <f t="shared" si="86"/>
        <v>20140101RLS</v>
      </c>
      <c r="AG199" s="438"/>
      <c r="AH199" s="34">
        <f>IF(AH198=MiscData!$AB$91,1,AH198+1)</f>
        <v>22</v>
      </c>
      <c r="AI199" s="34">
        <f>IF(AD199&lt;=MiscData!$B$23,MiscData!$C$23,IF(AD199&lt;=MiscData!$B$24,MiscData!$C$24,MiscData!$C$25))</f>
        <v>20140101</v>
      </c>
      <c r="AK199" s="439" t="str">
        <f>VLOOKUP(AM199,MiscData!$AB$4:$ACB$113,2,FALSE)</f>
        <v>KUUM_405</v>
      </c>
      <c r="AL199" s="439" t="str">
        <f>VLOOKUP(AM199,MiscData!$AB$4:$AE$115,4,FALSE)</f>
        <v>RLS</v>
      </c>
      <c r="AM199" s="34">
        <f>IF(AM198=MiscData!$AB$91,1,AM198+1)</f>
        <v>22</v>
      </c>
    </row>
    <row r="200" spans="1:39">
      <c r="A200" s="389">
        <f t="shared" si="91"/>
        <v>199</v>
      </c>
      <c r="B200" s="395" t="str">
        <f t="shared" si="69"/>
        <v>Mar 2014</v>
      </c>
      <c r="C200" s="396" t="str">
        <f t="shared" si="70"/>
        <v>LS</v>
      </c>
      <c r="D200" s="396" t="str">
        <f t="shared" si="71"/>
        <v>KUUM_407</v>
      </c>
      <c r="E200" s="394">
        <f t="shared" si="72"/>
        <v>0</v>
      </c>
      <c r="F200" s="397">
        <v>0</v>
      </c>
      <c r="G200" s="394">
        <f t="shared" si="73"/>
        <v>0</v>
      </c>
      <c r="H200" s="394">
        <v>0</v>
      </c>
      <c r="I200" s="390">
        <f t="shared" si="74"/>
        <v>0</v>
      </c>
      <c r="J200" s="390">
        <f t="shared" si="75"/>
        <v>0</v>
      </c>
      <c r="K200" s="391">
        <f t="shared" si="87"/>
        <v>0</v>
      </c>
      <c r="L200" s="398">
        <v>0</v>
      </c>
      <c r="M200" s="398">
        <v>0</v>
      </c>
      <c r="N200" s="164">
        <f t="shared" si="76"/>
        <v>0</v>
      </c>
      <c r="O200" s="399">
        <f t="shared" si="77"/>
        <v>0</v>
      </c>
      <c r="P200" s="392">
        <f t="shared" si="88"/>
        <v>1</v>
      </c>
      <c r="Q200" s="164">
        <f t="shared" si="78"/>
        <v>0</v>
      </c>
      <c r="R200" s="164">
        <f t="shared" si="79"/>
        <v>0</v>
      </c>
      <c r="S200" s="164">
        <f t="shared" si="80"/>
        <v>0</v>
      </c>
      <c r="T200" s="164">
        <f t="shared" si="81"/>
        <v>0</v>
      </c>
      <c r="U200" s="164">
        <f t="shared" si="82"/>
        <v>0</v>
      </c>
      <c r="V200" s="393">
        <f t="shared" si="83"/>
        <v>0</v>
      </c>
      <c r="W200" s="393">
        <f t="shared" si="84"/>
        <v>0</v>
      </c>
      <c r="Y200" s="393">
        <f t="shared" si="89"/>
        <v>0</v>
      </c>
      <c r="Z200" s="393">
        <f t="shared" si="90"/>
        <v>0</v>
      </c>
      <c r="AD200" s="395">
        <f>IF(AH200&gt;AH199,AD199,IF(AD199&lt;MiscData!$F$1,EOMONTH(AD199,1),EOMONTH(AD199,-11)))</f>
        <v>41729</v>
      </c>
      <c r="AE200" s="389" t="str">
        <f t="shared" si="85"/>
        <v>20140101KUUM_407</v>
      </c>
      <c r="AF200" s="437" t="str">
        <f t="shared" si="86"/>
        <v>20140101LS</v>
      </c>
      <c r="AG200" s="438"/>
      <c r="AH200" s="34">
        <f>IF(AH199=MiscData!$AB$91,1,AH199+1)</f>
        <v>23</v>
      </c>
      <c r="AI200" s="34">
        <f>IF(AD200&lt;=MiscData!$B$23,MiscData!$C$23,IF(AD200&lt;=MiscData!$B$24,MiscData!$C$24,MiscData!$C$25))</f>
        <v>20140101</v>
      </c>
      <c r="AK200" s="439" t="str">
        <f>VLOOKUP(AM200,MiscData!$AB$4:$ACB$113,2,FALSE)</f>
        <v>KUUM_407</v>
      </c>
      <c r="AL200" s="439" t="str">
        <f>VLOOKUP(AM200,MiscData!$AB$4:$AE$115,4,FALSE)</f>
        <v>LS</v>
      </c>
      <c r="AM200" s="34">
        <f>IF(AM199=MiscData!$AB$91,1,AM199+1)</f>
        <v>23</v>
      </c>
    </row>
    <row r="201" spans="1:39">
      <c r="A201" s="389">
        <f t="shared" si="91"/>
        <v>200</v>
      </c>
      <c r="B201" s="395" t="str">
        <f t="shared" si="69"/>
        <v>Mar 2014</v>
      </c>
      <c r="C201" s="396" t="str">
        <f t="shared" si="70"/>
        <v>RLS</v>
      </c>
      <c r="D201" s="396" t="str">
        <f t="shared" si="71"/>
        <v>KUUM_409</v>
      </c>
      <c r="E201" s="394">
        <f t="shared" si="72"/>
        <v>143</v>
      </c>
      <c r="F201" s="397">
        <v>0</v>
      </c>
      <c r="G201" s="394">
        <f t="shared" si="73"/>
        <v>23606</v>
      </c>
      <c r="H201" s="394">
        <v>0</v>
      </c>
      <c r="I201" s="390">
        <f t="shared" si="74"/>
        <v>11.71</v>
      </c>
      <c r="J201" s="390">
        <f t="shared" si="75"/>
        <v>4.5299999999999994</v>
      </c>
      <c r="K201" s="391">
        <f t="shared" si="87"/>
        <v>1674.53</v>
      </c>
      <c r="L201" s="398">
        <v>0</v>
      </c>
      <c r="M201" s="398">
        <v>0</v>
      </c>
      <c r="N201" s="164">
        <f t="shared" si="76"/>
        <v>1674.53</v>
      </c>
      <c r="O201" s="399">
        <f t="shared" si="77"/>
        <v>1674.53</v>
      </c>
      <c r="P201" s="392">
        <f t="shared" si="88"/>
        <v>1</v>
      </c>
      <c r="Q201" s="164">
        <f t="shared" si="78"/>
        <v>54.68</v>
      </c>
      <c r="R201" s="164">
        <f t="shared" si="79"/>
        <v>0</v>
      </c>
      <c r="S201" s="164">
        <f t="shared" si="80"/>
        <v>38.9</v>
      </c>
      <c r="T201" s="164">
        <f t="shared" si="81"/>
        <v>0</v>
      </c>
      <c r="U201" s="164">
        <f t="shared" si="82"/>
        <v>1768.11</v>
      </c>
      <c r="V201" s="393">
        <f t="shared" si="83"/>
        <v>1768.1100000000001</v>
      </c>
      <c r="W201" s="393">
        <f t="shared" si="84"/>
        <v>0</v>
      </c>
      <c r="Y201" s="393">
        <f t="shared" si="89"/>
        <v>647.79</v>
      </c>
      <c r="Z201" s="393">
        <f t="shared" si="90"/>
        <v>1026.74</v>
      </c>
      <c r="AD201" s="395">
        <f>IF(AH201&gt;AH200,AD200,IF(AD200&lt;MiscData!$F$1,EOMONTH(AD200,1),EOMONTH(AD200,-11)))</f>
        <v>41729</v>
      </c>
      <c r="AE201" s="389" t="str">
        <f t="shared" si="85"/>
        <v>20140101KUUM_409</v>
      </c>
      <c r="AF201" s="437" t="str">
        <f t="shared" si="86"/>
        <v>20140101RLS</v>
      </c>
      <c r="AG201" s="438"/>
      <c r="AH201" s="34">
        <f>IF(AH200=MiscData!$AB$91,1,AH200+1)</f>
        <v>24</v>
      </c>
      <c r="AI201" s="34">
        <f>IF(AD201&lt;=MiscData!$B$23,MiscData!$C$23,IF(AD201&lt;=MiscData!$B$24,MiscData!$C$24,MiscData!$C$25))</f>
        <v>20140101</v>
      </c>
      <c r="AK201" s="439" t="str">
        <f>VLOOKUP(AM201,MiscData!$AB$4:$ACB$113,2,FALSE)</f>
        <v>KUUM_409</v>
      </c>
      <c r="AL201" s="439" t="str">
        <f>VLOOKUP(AM201,MiscData!$AB$4:$AE$115,4,FALSE)</f>
        <v>RLS</v>
      </c>
      <c r="AM201" s="34">
        <f>IF(AM200=MiscData!$AB$91,1,AM200+1)</f>
        <v>24</v>
      </c>
    </row>
    <row r="202" spans="1:39">
      <c r="A202" s="389">
        <f t="shared" si="91"/>
        <v>201</v>
      </c>
      <c r="B202" s="395" t="str">
        <f t="shared" si="69"/>
        <v>Mar 2014</v>
      </c>
      <c r="C202" s="396" t="str">
        <f t="shared" si="70"/>
        <v>RLS</v>
      </c>
      <c r="D202" s="396" t="str">
        <f t="shared" si="71"/>
        <v>KUUM_410</v>
      </c>
      <c r="E202" s="394">
        <f t="shared" si="72"/>
        <v>240</v>
      </c>
      <c r="F202" s="397">
        <v>0</v>
      </c>
      <c r="G202" s="394">
        <f t="shared" si="73"/>
        <v>5403</v>
      </c>
      <c r="H202" s="394">
        <v>0</v>
      </c>
      <c r="I202" s="390">
        <f t="shared" si="74"/>
        <v>20.259999999999998</v>
      </c>
      <c r="J202" s="390">
        <f t="shared" si="75"/>
        <v>0.57000000000000028</v>
      </c>
      <c r="K202" s="391">
        <f t="shared" si="87"/>
        <v>4862.3999999999996</v>
      </c>
      <c r="L202" s="398">
        <v>0.01</v>
      </c>
      <c r="M202" s="398">
        <v>0</v>
      </c>
      <c r="N202" s="164">
        <f t="shared" si="76"/>
        <v>4862.41</v>
      </c>
      <c r="O202" s="399">
        <f t="shared" si="77"/>
        <v>4862.4100000000008</v>
      </c>
      <c r="P202" s="392">
        <f t="shared" si="88"/>
        <v>1</v>
      </c>
      <c r="Q202" s="164">
        <f t="shared" si="78"/>
        <v>16.86</v>
      </c>
      <c r="R202" s="164">
        <f t="shared" si="79"/>
        <v>0</v>
      </c>
      <c r="S202" s="164">
        <f t="shared" si="80"/>
        <v>78.08</v>
      </c>
      <c r="T202" s="164">
        <f t="shared" si="81"/>
        <v>0</v>
      </c>
      <c r="U202" s="164">
        <f t="shared" si="82"/>
        <v>4957.3500000000004</v>
      </c>
      <c r="V202" s="393">
        <f t="shared" si="83"/>
        <v>4957.3499999999995</v>
      </c>
      <c r="W202" s="393">
        <f t="shared" si="84"/>
        <v>0</v>
      </c>
      <c r="Y202" s="393">
        <f t="shared" si="89"/>
        <v>136.80000000000001</v>
      </c>
      <c r="Z202" s="393">
        <f t="shared" si="90"/>
        <v>4725.6100000000006</v>
      </c>
      <c r="AD202" s="395">
        <f>IF(AH202&gt;AH201,AD201,IF(AD201&lt;MiscData!$F$1,EOMONTH(AD201,1),EOMONTH(AD201,-11)))</f>
        <v>41729</v>
      </c>
      <c r="AE202" s="389" t="str">
        <f t="shared" si="85"/>
        <v>20140101KUUM_410</v>
      </c>
      <c r="AF202" s="437" t="str">
        <f t="shared" si="86"/>
        <v>20140101RLS</v>
      </c>
      <c r="AG202" s="438"/>
      <c r="AH202" s="34">
        <f>IF(AH201=MiscData!$AB$91,1,AH201+1)</f>
        <v>25</v>
      </c>
      <c r="AI202" s="34">
        <f>IF(AD202&lt;=MiscData!$B$23,MiscData!$C$23,IF(AD202&lt;=MiscData!$B$24,MiscData!$C$24,MiscData!$C$25))</f>
        <v>20140101</v>
      </c>
      <c r="AK202" s="439" t="str">
        <f>VLOOKUP(AM202,MiscData!$AB$4:$ACB$113,2,FALSE)</f>
        <v>KUUM_410</v>
      </c>
      <c r="AL202" s="439" t="str">
        <f>VLOOKUP(AM202,MiscData!$AB$4:$AE$115,4,FALSE)</f>
        <v>RLS</v>
      </c>
      <c r="AM202" s="34">
        <f>IF(AM201=MiscData!$AB$91,1,AM201+1)</f>
        <v>25</v>
      </c>
    </row>
    <row r="203" spans="1:39">
      <c r="A203" s="389">
        <f t="shared" si="91"/>
        <v>202</v>
      </c>
      <c r="B203" s="395" t="str">
        <f t="shared" si="69"/>
        <v>Mar 2014</v>
      </c>
      <c r="C203" s="396" t="str">
        <f t="shared" si="70"/>
        <v>LS</v>
      </c>
      <c r="D203" s="396" t="str">
        <f t="shared" si="71"/>
        <v>KUUM_411</v>
      </c>
      <c r="E203" s="394">
        <f t="shared" si="72"/>
        <v>145</v>
      </c>
      <c r="F203" s="397">
        <v>0</v>
      </c>
      <c r="G203" s="394">
        <f t="shared" si="73"/>
        <v>4424</v>
      </c>
      <c r="H203" s="394">
        <v>0</v>
      </c>
      <c r="I203" s="390">
        <f t="shared" si="74"/>
        <v>21.38</v>
      </c>
      <c r="J203" s="390">
        <f t="shared" si="75"/>
        <v>0.79999999999999716</v>
      </c>
      <c r="K203" s="391">
        <f t="shared" si="87"/>
        <v>3100.1</v>
      </c>
      <c r="L203" s="398">
        <v>0</v>
      </c>
      <c r="M203" s="398">
        <v>0</v>
      </c>
      <c r="N203" s="164">
        <f t="shared" si="76"/>
        <v>3100.1</v>
      </c>
      <c r="O203" s="399">
        <f t="shared" si="77"/>
        <v>3100.1</v>
      </c>
      <c r="P203" s="392">
        <f t="shared" si="88"/>
        <v>1</v>
      </c>
      <c r="Q203" s="164">
        <f t="shared" si="78"/>
        <v>13.79</v>
      </c>
      <c r="R203" s="164">
        <f t="shared" si="79"/>
        <v>0</v>
      </c>
      <c r="S203" s="164">
        <f t="shared" si="80"/>
        <v>49.81</v>
      </c>
      <c r="T203" s="164">
        <f t="shared" si="81"/>
        <v>0</v>
      </c>
      <c r="U203" s="164">
        <f t="shared" si="82"/>
        <v>3163.7</v>
      </c>
      <c r="V203" s="393">
        <f t="shared" si="83"/>
        <v>3163.7</v>
      </c>
      <c r="W203" s="393">
        <f t="shared" si="84"/>
        <v>0</v>
      </c>
      <c r="Y203" s="393">
        <f t="shared" si="89"/>
        <v>116</v>
      </c>
      <c r="Z203" s="393">
        <f t="shared" si="90"/>
        <v>2984.1</v>
      </c>
      <c r="AD203" s="395">
        <f>IF(AH203&gt;AH202,AD202,IF(AD202&lt;MiscData!$F$1,EOMONTH(AD202,1),EOMONTH(AD202,-11)))</f>
        <v>41729</v>
      </c>
      <c r="AE203" s="389" t="str">
        <f t="shared" si="85"/>
        <v>20140101KUUM_411</v>
      </c>
      <c r="AF203" s="437" t="str">
        <f t="shared" si="86"/>
        <v>20140101LS</v>
      </c>
      <c r="AG203" s="438"/>
      <c r="AH203" s="34">
        <f>IF(AH202=MiscData!$AB$91,1,AH202+1)</f>
        <v>26</v>
      </c>
      <c r="AI203" s="34">
        <f>IF(AD203&lt;=MiscData!$B$23,MiscData!$C$23,IF(AD203&lt;=MiscData!$B$24,MiscData!$C$24,MiscData!$C$25))</f>
        <v>20140101</v>
      </c>
      <c r="AK203" s="439" t="str">
        <f>VLOOKUP(AM203,MiscData!$AB$4:$ACB$113,2,FALSE)</f>
        <v>KUUM_411</v>
      </c>
      <c r="AL203" s="439" t="str">
        <f>VLOOKUP(AM203,MiscData!$AB$4:$AE$115,4,FALSE)</f>
        <v>LS</v>
      </c>
      <c r="AM203" s="34">
        <f>IF(AM202=MiscData!$AB$91,1,AM202+1)</f>
        <v>26</v>
      </c>
    </row>
    <row r="204" spans="1:39">
      <c r="A204" s="389">
        <f t="shared" si="91"/>
        <v>203</v>
      </c>
      <c r="B204" s="395" t="str">
        <f t="shared" si="69"/>
        <v>Mar 2014</v>
      </c>
      <c r="C204" s="396" t="str">
        <f t="shared" si="70"/>
        <v>RLS</v>
      </c>
      <c r="D204" s="396" t="str">
        <f t="shared" si="71"/>
        <v>KUUM_412</v>
      </c>
      <c r="E204" s="394">
        <f t="shared" si="72"/>
        <v>28</v>
      </c>
      <c r="F204" s="397">
        <v>0</v>
      </c>
      <c r="G204" s="394">
        <f t="shared" si="73"/>
        <v>908</v>
      </c>
      <c r="H204" s="394">
        <v>0</v>
      </c>
      <c r="I204" s="390">
        <f t="shared" si="74"/>
        <v>30.84</v>
      </c>
      <c r="J204" s="390">
        <f t="shared" si="75"/>
        <v>0.79999999999999716</v>
      </c>
      <c r="K204" s="391">
        <f t="shared" si="87"/>
        <v>863.52</v>
      </c>
      <c r="L204" s="398">
        <v>0</v>
      </c>
      <c r="M204" s="398">
        <v>0</v>
      </c>
      <c r="N204" s="164">
        <f t="shared" si="76"/>
        <v>863.52</v>
      </c>
      <c r="O204" s="399">
        <f t="shared" si="77"/>
        <v>863.52</v>
      </c>
      <c r="P204" s="392">
        <f t="shared" si="88"/>
        <v>1</v>
      </c>
      <c r="Q204" s="164">
        <f t="shared" si="78"/>
        <v>2.83</v>
      </c>
      <c r="R204" s="164">
        <f t="shared" si="79"/>
        <v>0</v>
      </c>
      <c r="S204" s="164">
        <f t="shared" si="80"/>
        <v>13.86</v>
      </c>
      <c r="T204" s="164">
        <f t="shared" si="81"/>
        <v>0</v>
      </c>
      <c r="U204" s="164">
        <f t="shared" si="82"/>
        <v>880.21</v>
      </c>
      <c r="V204" s="393">
        <f t="shared" si="83"/>
        <v>880.21</v>
      </c>
      <c r="W204" s="393">
        <f t="shared" si="84"/>
        <v>0</v>
      </c>
      <c r="Y204" s="393">
        <f t="shared" si="89"/>
        <v>22.4</v>
      </c>
      <c r="Z204" s="393">
        <f t="shared" si="90"/>
        <v>841.12</v>
      </c>
      <c r="AD204" s="395">
        <f>IF(AH204&gt;AH203,AD203,IF(AD203&lt;MiscData!$F$1,EOMONTH(AD203,1),EOMONTH(AD203,-11)))</f>
        <v>41729</v>
      </c>
      <c r="AE204" s="389" t="str">
        <f t="shared" si="85"/>
        <v>20140101KUUM_412</v>
      </c>
      <c r="AF204" s="437" t="str">
        <f t="shared" si="86"/>
        <v>20140101RLS</v>
      </c>
      <c r="AG204" s="438"/>
      <c r="AH204" s="34">
        <f>IF(AH203=MiscData!$AB$91,1,AH203+1)</f>
        <v>27</v>
      </c>
      <c r="AI204" s="34">
        <f>IF(AD204&lt;=MiscData!$B$23,MiscData!$C$23,IF(AD204&lt;=MiscData!$B$24,MiscData!$C$24,MiscData!$C$25))</f>
        <v>20140101</v>
      </c>
      <c r="AK204" s="439" t="str">
        <f>VLOOKUP(AM204,MiscData!$AB$4:$ACB$113,2,FALSE)</f>
        <v>KUUM_412</v>
      </c>
      <c r="AL204" s="439" t="str">
        <f>VLOOKUP(AM204,MiscData!$AB$4:$AE$115,4,FALSE)</f>
        <v>RLS</v>
      </c>
      <c r="AM204" s="34">
        <f>IF(AM203=MiscData!$AB$91,1,AM203+1)</f>
        <v>27</v>
      </c>
    </row>
    <row r="205" spans="1:39">
      <c r="A205" s="389">
        <f t="shared" si="91"/>
        <v>204</v>
      </c>
      <c r="B205" s="395" t="str">
        <f t="shared" si="69"/>
        <v>Mar 2014</v>
      </c>
      <c r="C205" s="396" t="str">
        <f t="shared" si="70"/>
        <v>RLS</v>
      </c>
      <c r="D205" s="396" t="str">
        <f t="shared" si="71"/>
        <v>KUUM_413</v>
      </c>
      <c r="E205" s="394">
        <f t="shared" si="72"/>
        <v>96</v>
      </c>
      <c r="F205" s="397">
        <v>0</v>
      </c>
      <c r="G205" s="394">
        <f t="shared" si="73"/>
        <v>4171</v>
      </c>
      <c r="H205" s="394">
        <v>0</v>
      </c>
      <c r="I205" s="390">
        <f t="shared" si="74"/>
        <v>31.22</v>
      </c>
      <c r="J205" s="390">
        <f t="shared" si="75"/>
        <v>1.129999999999999</v>
      </c>
      <c r="K205" s="391">
        <f t="shared" si="87"/>
        <v>2997.12</v>
      </c>
      <c r="L205" s="398">
        <v>0</v>
      </c>
      <c r="M205" s="398">
        <v>0</v>
      </c>
      <c r="N205" s="164">
        <f t="shared" si="76"/>
        <v>2997.12</v>
      </c>
      <c r="O205" s="399">
        <f t="shared" si="77"/>
        <v>2997.12</v>
      </c>
      <c r="P205" s="392">
        <f t="shared" si="88"/>
        <v>1</v>
      </c>
      <c r="Q205" s="164">
        <f t="shared" si="78"/>
        <v>13</v>
      </c>
      <c r="R205" s="164">
        <f t="shared" si="79"/>
        <v>0</v>
      </c>
      <c r="S205" s="164">
        <f t="shared" si="80"/>
        <v>48.17</v>
      </c>
      <c r="T205" s="164">
        <f t="shared" si="81"/>
        <v>0</v>
      </c>
      <c r="U205" s="164">
        <f t="shared" si="82"/>
        <v>3058.29</v>
      </c>
      <c r="V205" s="393">
        <f t="shared" si="83"/>
        <v>3058.29</v>
      </c>
      <c r="W205" s="393">
        <f t="shared" si="84"/>
        <v>0</v>
      </c>
      <c r="Y205" s="393">
        <f t="shared" si="89"/>
        <v>108.48</v>
      </c>
      <c r="Z205" s="393">
        <f t="shared" si="90"/>
        <v>2888.64</v>
      </c>
      <c r="AD205" s="395">
        <f>IF(AH205&gt;AH204,AD204,IF(AD204&lt;MiscData!$F$1,EOMONTH(AD204,1),EOMONTH(AD204,-11)))</f>
        <v>41729</v>
      </c>
      <c r="AE205" s="389" t="str">
        <f t="shared" si="85"/>
        <v>20140101KUUM_413</v>
      </c>
      <c r="AF205" s="437" t="str">
        <f t="shared" si="86"/>
        <v>20140101RLS</v>
      </c>
      <c r="AG205" s="438"/>
      <c r="AH205" s="34">
        <f>IF(AH204=MiscData!$AB$91,1,AH204+1)</f>
        <v>28</v>
      </c>
      <c r="AI205" s="34">
        <f>IF(AD205&lt;=MiscData!$B$23,MiscData!$C$23,IF(AD205&lt;=MiscData!$B$24,MiscData!$C$24,MiscData!$C$25))</f>
        <v>20140101</v>
      </c>
      <c r="AK205" s="439" t="str">
        <f>VLOOKUP(AM205,MiscData!$AB$4:$ACB$113,2,FALSE)</f>
        <v>KUUM_413</v>
      </c>
      <c r="AL205" s="439" t="str">
        <f>VLOOKUP(AM205,MiscData!$AB$4:$AE$115,4,FALSE)</f>
        <v>RLS</v>
      </c>
      <c r="AM205" s="34">
        <f>IF(AM204=MiscData!$AB$91,1,AM204+1)</f>
        <v>28</v>
      </c>
    </row>
    <row r="206" spans="1:39">
      <c r="A206" s="389">
        <f t="shared" si="91"/>
        <v>205</v>
      </c>
      <c r="B206" s="395" t="str">
        <f t="shared" si="69"/>
        <v>Mar 2014</v>
      </c>
      <c r="C206" s="396" t="str">
        <f t="shared" si="70"/>
        <v>LS</v>
      </c>
      <c r="D206" s="396" t="str">
        <f t="shared" si="71"/>
        <v>KUUM_414</v>
      </c>
      <c r="E206" s="394">
        <f t="shared" si="72"/>
        <v>21</v>
      </c>
      <c r="F206" s="397">
        <v>0</v>
      </c>
      <c r="G206" s="394">
        <f t="shared" si="73"/>
        <v>624</v>
      </c>
      <c r="H206" s="394">
        <v>0</v>
      </c>
      <c r="I206" s="390">
        <f t="shared" si="74"/>
        <v>30.84</v>
      </c>
      <c r="J206" s="390">
        <f t="shared" si="75"/>
        <v>0.79999999999999716</v>
      </c>
      <c r="K206" s="391">
        <f t="shared" si="87"/>
        <v>647.64</v>
      </c>
      <c r="L206" s="398">
        <v>0</v>
      </c>
      <c r="M206" s="398">
        <v>0</v>
      </c>
      <c r="N206" s="164">
        <f t="shared" si="76"/>
        <v>647.64</v>
      </c>
      <c r="O206" s="399">
        <f t="shared" si="77"/>
        <v>647.64</v>
      </c>
      <c r="P206" s="392">
        <f t="shared" si="88"/>
        <v>1</v>
      </c>
      <c r="Q206" s="164">
        <f t="shared" si="78"/>
        <v>-0.91</v>
      </c>
      <c r="R206" s="164">
        <f t="shared" si="79"/>
        <v>0</v>
      </c>
      <c r="S206" s="164">
        <f t="shared" si="80"/>
        <v>36.6</v>
      </c>
      <c r="T206" s="164">
        <f t="shared" si="81"/>
        <v>0</v>
      </c>
      <c r="U206" s="164">
        <f t="shared" si="82"/>
        <v>683.33</v>
      </c>
      <c r="V206" s="393">
        <f t="shared" si="83"/>
        <v>683.33</v>
      </c>
      <c r="W206" s="393">
        <f t="shared" si="84"/>
        <v>0</v>
      </c>
      <c r="Y206" s="393">
        <f t="shared" si="89"/>
        <v>16.8</v>
      </c>
      <c r="Z206" s="393">
        <f t="shared" si="90"/>
        <v>630.84</v>
      </c>
      <c r="AD206" s="395">
        <f>IF(AH206&gt;AH205,AD205,IF(AD205&lt;MiscData!$F$1,EOMONTH(AD205,1),EOMONTH(AD205,-11)))</f>
        <v>41729</v>
      </c>
      <c r="AE206" s="389" t="str">
        <f t="shared" si="85"/>
        <v>20140101KUUM_414</v>
      </c>
      <c r="AF206" s="437" t="str">
        <f t="shared" si="86"/>
        <v>20140101LS</v>
      </c>
      <c r="AG206" s="438"/>
      <c r="AH206" s="34">
        <f>IF(AH205=MiscData!$AB$91,1,AH205+1)</f>
        <v>29</v>
      </c>
      <c r="AI206" s="34">
        <f>IF(AD206&lt;=MiscData!$B$23,MiscData!$C$23,IF(AD206&lt;=MiscData!$B$24,MiscData!$C$24,MiscData!$C$25))</f>
        <v>20140101</v>
      </c>
      <c r="AK206" s="439" t="str">
        <f>VLOOKUP(AM206,MiscData!$AB$4:$ACB$113,2,FALSE)</f>
        <v>KUUM_414</v>
      </c>
      <c r="AL206" s="439" t="str">
        <f>VLOOKUP(AM206,MiscData!$AB$4:$AE$115,4,FALSE)</f>
        <v>LS</v>
      </c>
      <c r="AM206" s="34">
        <f>IF(AM205=MiscData!$AB$91,1,AM205+1)</f>
        <v>29</v>
      </c>
    </row>
    <row r="207" spans="1:39">
      <c r="A207" s="389">
        <f t="shared" si="91"/>
        <v>206</v>
      </c>
      <c r="B207" s="395" t="str">
        <f t="shared" si="69"/>
        <v>Mar 2014</v>
      </c>
      <c r="C207" s="396" t="str">
        <f t="shared" si="70"/>
        <v>LS</v>
      </c>
      <c r="D207" s="396" t="str">
        <f t="shared" si="71"/>
        <v>KUUM_415</v>
      </c>
      <c r="E207" s="394">
        <f t="shared" si="72"/>
        <v>10</v>
      </c>
      <c r="F207" s="397">
        <v>0</v>
      </c>
      <c r="G207" s="394">
        <f t="shared" si="73"/>
        <v>419</v>
      </c>
      <c r="H207" s="394">
        <v>0</v>
      </c>
      <c r="I207" s="390">
        <f t="shared" si="74"/>
        <v>31.22</v>
      </c>
      <c r="J207" s="390">
        <f t="shared" si="75"/>
        <v>1.129999999999999</v>
      </c>
      <c r="K207" s="391">
        <f t="shared" si="87"/>
        <v>312.2</v>
      </c>
      <c r="L207" s="398">
        <v>0</v>
      </c>
      <c r="M207" s="398">
        <v>0</v>
      </c>
      <c r="N207" s="164">
        <f t="shared" si="76"/>
        <v>312.2</v>
      </c>
      <c r="O207" s="399">
        <f t="shared" si="77"/>
        <v>312.20000000000005</v>
      </c>
      <c r="P207" s="392">
        <f t="shared" si="88"/>
        <v>1</v>
      </c>
      <c r="Q207" s="164">
        <f t="shared" si="78"/>
        <v>-0.61</v>
      </c>
      <c r="R207" s="164">
        <f t="shared" si="79"/>
        <v>0</v>
      </c>
      <c r="S207" s="164">
        <f t="shared" si="80"/>
        <v>17.64</v>
      </c>
      <c r="T207" s="164">
        <f t="shared" si="81"/>
        <v>0</v>
      </c>
      <c r="U207" s="164">
        <f t="shared" si="82"/>
        <v>329.23</v>
      </c>
      <c r="V207" s="393">
        <f t="shared" si="83"/>
        <v>329.22999999999996</v>
      </c>
      <c r="W207" s="393">
        <f t="shared" si="84"/>
        <v>0</v>
      </c>
      <c r="Y207" s="393">
        <f t="shared" si="89"/>
        <v>11.3</v>
      </c>
      <c r="Z207" s="393">
        <f t="shared" si="90"/>
        <v>300.90000000000003</v>
      </c>
      <c r="AD207" s="395">
        <f>IF(AH207&gt;AH206,AD206,IF(AD206&lt;MiscData!$F$1,EOMONTH(AD206,1),EOMONTH(AD206,-11)))</f>
        <v>41729</v>
      </c>
      <c r="AE207" s="389" t="str">
        <f t="shared" si="85"/>
        <v>20140101KUUM_415</v>
      </c>
      <c r="AF207" s="437" t="str">
        <f t="shared" si="86"/>
        <v>20140101LS</v>
      </c>
      <c r="AG207" s="438"/>
      <c r="AH207" s="34">
        <f>IF(AH206=MiscData!$AB$91,1,AH206+1)</f>
        <v>30</v>
      </c>
      <c r="AI207" s="34">
        <f>IF(AD207&lt;=MiscData!$B$23,MiscData!$C$23,IF(AD207&lt;=MiscData!$B$24,MiscData!$C$24,MiscData!$C$25))</f>
        <v>20140101</v>
      </c>
      <c r="AK207" s="439" t="str">
        <f>VLOOKUP(AM207,MiscData!$AB$4:$ACB$113,2,FALSE)</f>
        <v>KUUM_415</v>
      </c>
      <c r="AL207" s="439" t="str">
        <f>VLOOKUP(AM207,MiscData!$AB$4:$AE$115,4,FALSE)</f>
        <v>LS</v>
      </c>
      <c r="AM207" s="34">
        <f>IF(AM206=MiscData!$AB$91,1,AM206+1)</f>
        <v>30</v>
      </c>
    </row>
    <row r="208" spans="1:39">
      <c r="A208" s="389">
        <f t="shared" si="91"/>
        <v>207</v>
      </c>
      <c r="B208" s="395" t="str">
        <f t="shared" si="69"/>
        <v>Mar 2014</v>
      </c>
      <c r="C208" s="396" t="str">
        <f t="shared" si="70"/>
        <v>LS</v>
      </c>
      <c r="D208" s="396" t="str">
        <f t="shared" si="71"/>
        <v>KUUM_420</v>
      </c>
      <c r="E208" s="394">
        <f t="shared" si="72"/>
        <v>466</v>
      </c>
      <c r="F208" s="397">
        <v>0</v>
      </c>
      <c r="G208" s="394">
        <f t="shared" si="73"/>
        <v>19728</v>
      </c>
      <c r="H208" s="394">
        <v>0</v>
      </c>
      <c r="I208" s="390">
        <f t="shared" si="74"/>
        <v>15.360000000000001</v>
      </c>
      <c r="J208" s="390">
        <f t="shared" si="75"/>
        <v>1.1300000000000008</v>
      </c>
      <c r="K208" s="391">
        <f t="shared" si="87"/>
        <v>7157.76</v>
      </c>
      <c r="L208" s="398">
        <v>-24.58</v>
      </c>
      <c r="M208" s="398">
        <v>0</v>
      </c>
      <c r="N208" s="164">
        <f t="shared" si="76"/>
        <v>7133.18</v>
      </c>
      <c r="O208" s="399">
        <f t="shared" si="77"/>
        <v>7133.1799999999994</v>
      </c>
      <c r="P208" s="392">
        <f t="shared" si="88"/>
        <v>1</v>
      </c>
      <c r="Q208" s="164">
        <f t="shared" si="78"/>
        <v>37.770000000000003</v>
      </c>
      <c r="R208" s="164">
        <f t="shared" si="79"/>
        <v>0</v>
      </c>
      <c r="S208" s="164">
        <f t="shared" si="80"/>
        <v>189.45</v>
      </c>
      <c r="T208" s="164">
        <f t="shared" si="81"/>
        <v>0</v>
      </c>
      <c r="U208" s="164">
        <f t="shared" si="82"/>
        <v>7360.4</v>
      </c>
      <c r="V208" s="393">
        <f t="shared" si="83"/>
        <v>7360.4000000000005</v>
      </c>
      <c r="W208" s="393">
        <f t="shared" si="84"/>
        <v>0</v>
      </c>
      <c r="Y208" s="393">
        <f t="shared" si="89"/>
        <v>526.58000000000004</v>
      </c>
      <c r="Z208" s="393">
        <f t="shared" si="90"/>
        <v>6606.5999999999995</v>
      </c>
      <c r="AD208" s="395">
        <f>IF(AH208&gt;AH207,AD207,IF(AD207&lt;MiscData!$F$1,EOMONTH(AD207,1),EOMONTH(AD207,-11)))</f>
        <v>41729</v>
      </c>
      <c r="AE208" s="389" t="str">
        <f t="shared" si="85"/>
        <v>20140101KUUM_420</v>
      </c>
      <c r="AF208" s="437" t="str">
        <f t="shared" si="86"/>
        <v>20140101LS</v>
      </c>
      <c r="AG208" s="438"/>
      <c r="AH208" s="34">
        <f>IF(AH207=MiscData!$AB$91,1,AH207+1)</f>
        <v>31</v>
      </c>
      <c r="AI208" s="34">
        <f>IF(AD208&lt;=MiscData!$B$23,MiscData!$C$23,IF(AD208&lt;=MiscData!$B$24,MiscData!$C$24,MiscData!$C$25))</f>
        <v>20140101</v>
      </c>
      <c r="AK208" s="439" t="str">
        <f>VLOOKUP(AM208,MiscData!$AB$4:$ACB$113,2,FALSE)</f>
        <v>KUUM_420</v>
      </c>
      <c r="AL208" s="439" t="str">
        <f>VLOOKUP(AM208,MiscData!$AB$4:$AE$115,4,FALSE)</f>
        <v>LS</v>
      </c>
      <c r="AM208" s="34">
        <f>IF(AM207=MiscData!$AB$91,1,AM207+1)</f>
        <v>31</v>
      </c>
    </row>
    <row r="209" spans="1:39">
      <c r="A209" s="389">
        <f t="shared" si="91"/>
        <v>208</v>
      </c>
      <c r="B209" s="395" t="str">
        <f t="shared" si="69"/>
        <v>Mar 2014</v>
      </c>
      <c r="C209" s="396" t="str">
        <f t="shared" si="70"/>
        <v>RLS</v>
      </c>
      <c r="D209" s="396" t="str">
        <f t="shared" si="71"/>
        <v>KUUM_421</v>
      </c>
      <c r="E209" s="394">
        <f t="shared" si="72"/>
        <v>5</v>
      </c>
      <c r="F209" s="397">
        <v>0</v>
      </c>
      <c r="G209" s="394">
        <f t="shared" si="73"/>
        <v>187</v>
      </c>
      <c r="H209" s="394">
        <v>0</v>
      </c>
      <c r="I209" s="390">
        <f t="shared" si="74"/>
        <v>3.39</v>
      </c>
      <c r="J209" s="390">
        <f t="shared" si="75"/>
        <v>0.98999999999999977</v>
      </c>
      <c r="K209" s="391">
        <f t="shared" si="87"/>
        <v>16.95</v>
      </c>
      <c r="L209" s="398">
        <v>0</v>
      </c>
      <c r="M209" s="398">
        <v>0</v>
      </c>
      <c r="N209" s="164">
        <f t="shared" si="76"/>
        <v>16.95</v>
      </c>
      <c r="O209" s="399">
        <f t="shared" si="77"/>
        <v>16.95</v>
      </c>
      <c r="P209" s="392">
        <f t="shared" si="88"/>
        <v>1</v>
      </c>
      <c r="Q209" s="164">
        <f t="shared" si="78"/>
        <v>7.0000000000000007E-2</v>
      </c>
      <c r="R209" s="164">
        <f t="shared" si="79"/>
        <v>0</v>
      </c>
      <c r="S209" s="164">
        <f t="shared" si="80"/>
        <v>0.69</v>
      </c>
      <c r="T209" s="164">
        <f t="shared" si="81"/>
        <v>0</v>
      </c>
      <c r="U209" s="164">
        <f t="shared" si="82"/>
        <v>17.71</v>
      </c>
      <c r="V209" s="393">
        <f t="shared" si="83"/>
        <v>17.71</v>
      </c>
      <c r="W209" s="393">
        <f t="shared" si="84"/>
        <v>0</v>
      </c>
      <c r="Y209" s="393">
        <f t="shared" si="89"/>
        <v>4.95</v>
      </c>
      <c r="Z209" s="393">
        <f t="shared" si="90"/>
        <v>12</v>
      </c>
      <c r="AD209" s="395">
        <f>IF(AH209&gt;AH208,AD208,IF(AD208&lt;MiscData!$F$1,EOMONTH(AD208,1),EOMONTH(AD208,-11)))</f>
        <v>41729</v>
      </c>
      <c r="AE209" s="389" t="str">
        <f t="shared" si="85"/>
        <v>20140101KUUM_421</v>
      </c>
      <c r="AF209" s="437" t="str">
        <f t="shared" si="86"/>
        <v>20140101RLS</v>
      </c>
      <c r="AG209" s="438"/>
      <c r="AH209" s="34">
        <f>IF(AH208=MiscData!$AB$91,1,AH208+1)</f>
        <v>32</v>
      </c>
      <c r="AI209" s="34">
        <f>IF(AD209&lt;=MiscData!$B$23,MiscData!$C$23,IF(AD209&lt;=MiscData!$B$24,MiscData!$C$24,MiscData!$C$25))</f>
        <v>20140101</v>
      </c>
      <c r="AK209" s="439" t="str">
        <f>VLOOKUP(AM209,MiscData!$AB$4:$ACB$113,2,FALSE)</f>
        <v>KUUM_421</v>
      </c>
      <c r="AL209" s="439" t="str">
        <f>VLOOKUP(AM209,MiscData!$AB$4:$AE$115,4,FALSE)</f>
        <v>RLS</v>
      </c>
      <c r="AM209" s="34">
        <f>IF(AM208=MiscData!$AB$91,1,AM208+1)</f>
        <v>32</v>
      </c>
    </row>
    <row r="210" spans="1:39">
      <c r="A210" s="389">
        <f t="shared" si="91"/>
        <v>209</v>
      </c>
      <c r="B210" s="395" t="str">
        <f t="shared" si="69"/>
        <v>Mar 2014</v>
      </c>
      <c r="C210" s="396" t="str">
        <f t="shared" si="70"/>
        <v>RLS</v>
      </c>
      <c r="D210" s="396" t="str">
        <f t="shared" si="71"/>
        <v>KUUM_422</v>
      </c>
      <c r="E210" s="394">
        <f t="shared" si="72"/>
        <v>678</v>
      </c>
      <c r="F210" s="397">
        <v>0</v>
      </c>
      <c r="G210" s="394">
        <f t="shared" si="73"/>
        <v>49573</v>
      </c>
      <c r="H210" s="394">
        <v>0</v>
      </c>
      <c r="I210" s="390">
        <f t="shared" si="74"/>
        <v>4.5400000000000009</v>
      </c>
      <c r="J210" s="390">
        <f t="shared" si="75"/>
        <v>1.9400000000000004</v>
      </c>
      <c r="K210" s="391">
        <f t="shared" si="87"/>
        <v>3078.12</v>
      </c>
      <c r="L210" s="398">
        <v>-3.69</v>
      </c>
      <c r="M210" s="398">
        <v>0</v>
      </c>
      <c r="N210" s="164">
        <f t="shared" si="76"/>
        <v>3074.43</v>
      </c>
      <c r="O210" s="399">
        <f t="shared" si="77"/>
        <v>3074.4300000000003</v>
      </c>
      <c r="P210" s="392">
        <f t="shared" si="88"/>
        <v>1</v>
      </c>
      <c r="Q210" s="164">
        <f t="shared" si="78"/>
        <v>96.88</v>
      </c>
      <c r="R210" s="164">
        <f t="shared" si="79"/>
        <v>0</v>
      </c>
      <c r="S210" s="164">
        <f t="shared" si="80"/>
        <v>81.34</v>
      </c>
      <c r="T210" s="164">
        <f t="shared" si="81"/>
        <v>0</v>
      </c>
      <c r="U210" s="164">
        <f t="shared" si="82"/>
        <v>3252.65</v>
      </c>
      <c r="V210" s="393">
        <f t="shared" si="83"/>
        <v>3252.65</v>
      </c>
      <c r="W210" s="393">
        <f t="shared" si="84"/>
        <v>0</v>
      </c>
      <c r="Y210" s="393">
        <f t="shared" si="89"/>
        <v>1315.32</v>
      </c>
      <c r="Z210" s="393">
        <f t="shared" si="90"/>
        <v>1759.1100000000004</v>
      </c>
      <c r="AD210" s="395">
        <f>IF(AH210&gt;AH209,AD209,IF(AD209&lt;MiscData!$F$1,EOMONTH(AD209,1),EOMONTH(AD209,-11)))</f>
        <v>41729</v>
      </c>
      <c r="AE210" s="389" t="str">
        <f t="shared" si="85"/>
        <v>20140101KUUM_422</v>
      </c>
      <c r="AF210" s="437" t="str">
        <f t="shared" si="86"/>
        <v>20140101RLS</v>
      </c>
      <c r="AG210" s="438"/>
      <c r="AH210" s="34">
        <f>IF(AH209=MiscData!$AB$91,1,AH209+1)</f>
        <v>33</v>
      </c>
      <c r="AI210" s="34">
        <f>IF(AD210&lt;=MiscData!$B$23,MiscData!$C$23,IF(AD210&lt;=MiscData!$B$24,MiscData!$C$24,MiscData!$C$25))</f>
        <v>20140101</v>
      </c>
      <c r="AK210" s="439" t="str">
        <f>VLOOKUP(AM210,MiscData!$AB$4:$ACB$113,2,FALSE)</f>
        <v>KUUM_422</v>
      </c>
      <c r="AL210" s="439" t="str">
        <f>VLOOKUP(AM210,MiscData!$AB$4:$AE$115,4,FALSE)</f>
        <v>RLS</v>
      </c>
      <c r="AM210" s="34">
        <f>IF(AM209=MiscData!$AB$91,1,AM209+1)</f>
        <v>33</v>
      </c>
    </row>
    <row r="211" spans="1:39">
      <c r="A211" s="389">
        <f t="shared" si="91"/>
        <v>210</v>
      </c>
      <c r="B211" s="395" t="str">
        <f t="shared" si="69"/>
        <v>Mar 2014</v>
      </c>
      <c r="C211" s="396" t="str">
        <f t="shared" si="70"/>
        <v>RLS</v>
      </c>
      <c r="D211" s="396" t="str">
        <f t="shared" si="71"/>
        <v>KUUM_424</v>
      </c>
      <c r="E211" s="394">
        <f t="shared" si="72"/>
        <v>70</v>
      </c>
      <c r="F211" s="397">
        <v>0</v>
      </c>
      <c r="G211" s="394">
        <f t="shared" si="73"/>
        <v>8382</v>
      </c>
      <c r="H211" s="394">
        <v>0</v>
      </c>
      <c r="I211" s="390">
        <f t="shared" si="74"/>
        <v>6.78</v>
      </c>
      <c r="J211" s="390">
        <f t="shared" si="75"/>
        <v>0.69999999999999929</v>
      </c>
      <c r="K211" s="391">
        <f t="shared" si="87"/>
        <v>474.6</v>
      </c>
      <c r="L211" s="398">
        <v>0.01</v>
      </c>
      <c r="M211" s="398">
        <v>0</v>
      </c>
      <c r="N211" s="164">
        <f t="shared" si="76"/>
        <v>474.61</v>
      </c>
      <c r="O211" s="399">
        <f t="shared" si="77"/>
        <v>474.60999999999996</v>
      </c>
      <c r="P211" s="392">
        <f t="shared" si="88"/>
        <v>1</v>
      </c>
      <c r="Q211" s="164">
        <f t="shared" si="78"/>
        <v>-1.24</v>
      </c>
      <c r="R211" s="164">
        <f t="shared" si="79"/>
        <v>0</v>
      </c>
      <c r="S211" s="164">
        <f t="shared" si="80"/>
        <v>20.97</v>
      </c>
      <c r="T211" s="164">
        <f t="shared" si="81"/>
        <v>0</v>
      </c>
      <c r="U211" s="164">
        <f t="shared" si="82"/>
        <v>494.34</v>
      </c>
      <c r="V211" s="393">
        <f t="shared" si="83"/>
        <v>494.34000000000003</v>
      </c>
      <c r="W211" s="393">
        <f t="shared" si="84"/>
        <v>0</v>
      </c>
      <c r="Y211" s="393">
        <f t="shared" si="89"/>
        <v>49</v>
      </c>
      <c r="Z211" s="393">
        <f t="shared" si="90"/>
        <v>425.60999999999996</v>
      </c>
      <c r="AD211" s="395">
        <f>IF(AH211&gt;AH210,AD210,IF(AD210&lt;MiscData!$F$1,EOMONTH(AD210,1),EOMONTH(AD210,-11)))</f>
        <v>41729</v>
      </c>
      <c r="AE211" s="389" t="str">
        <f t="shared" si="85"/>
        <v>20140101KUUM_424</v>
      </c>
      <c r="AF211" s="437" t="str">
        <f t="shared" si="86"/>
        <v>20140101RLS</v>
      </c>
      <c r="AG211" s="438"/>
      <c r="AH211" s="34">
        <f>IF(AH210=MiscData!$AB$91,1,AH210+1)</f>
        <v>34</v>
      </c>
      <c r="AI211" s="34">
        <f>IF(AD211&lt;=MiscData!$B$23,MiscData!$C$23,IF(AD211&lt;=MiscData!$B$24,MiscData!$C$24,MiscData!$C$25))</f>
        <v>20140101</v>
      </c>
      <c r="AK211" s="439" t="str">
        <f>VLOOKUP(AM211,MiscData!$AB$4:$ACB$113,2,FALSE)</f>
        <v>KUUM_424</v>
      </c>
      <c r="AL211" s="439" t="str">
        <f>VLOOKUP(AM211,MiscData!$AB$4:$AE$115,4,FALSE)</f>
        <v>RLS</v>
      </c>
      <c r="AM211" s="34">
        <f>IF(AM210=MiscData!$AB$91,1,AM210+1)</f>
        <v>34</v>
      </c>
    </row>
    <row r="212" spans="1:39">
      <c r="A212" s="389">
        <f t="shared" si="91"/>
        <v>211</v>
      </c>
      <c r="B212" s="395" t="str">
        <f t="shared" si="69"/>
        <v>Mar 2014</v>
      </c>
      <c r="C212" s="396" t="str">
        <f t="shared" si="70"/>
        <v>RLS</v>
      </c>
      <c r="D212" s="396" t="str">
        <f t="shared" si="71"/>
        <v>KUUM_425</v>
      </c>
      <c r="E212" s="394">
        <f t="shared" si="72"/>
        <v>2</v>
      </c>
      <c r="F212" s="397">
        <v>0</v>
      </c>
      <c r="G212" s="394">
        <f t="shared" si="73"/>
        <v>321</v>
      </c>
      <c r="H212" s="394">
        <v>0</v>
      </c>
      <c r="I212" s="390">
        <f t="shared" si="74"/>
        <v>9.06</v>
      </c>
      <c r="J212" s="390">
        <f t="shared" si="75"/>
        <v>4.3000000000000007</v>
      </c>
      <c r="K212" s="391">
        <f t="shared" si="87"/>
        <v>18.12</v>
      </c>
      <c r="L212" s="398">
        <v>0</v>
      </c>
      <c r="M212" s="398">
        <v>0</v>
      </c>
      <c r="N212" s="164">
        <f t="shared" si="76"/>
        <v>18.12</v>
      </c>
      <c r="O212" s="399">
        <f t="shared" si="77"/>
        <v>18.12</v>
      </c>
      <c r="P212" s="392">
        <f t="shared" si="88"/>
        <v>1</v>
      </c>
      <c r="Q212" s="164">
        <f t="shared" si="78"/>
        <v>1</v>
      </c>
      <c r="R212" s="164">
        <f t="shared" si="79"/>
        <v>0</v>
      </c>
      <c r="S212" s="164">
        <f t="shared" si="80"/>
        <v>0.3</v>
      </c>
      <c r="T212" s="164">
        <f t="shared" si="81"/>
        <v>0</v>
      </c>
      <c r="U212" s="164">
        <f t="shared" si="82"/>
        <v>19.420000000000002</v>
      </c>
      <c r="V212" s="393">
        <f t="shared" si="83"/>
        <v>19.420000000000002</v>
      </c>
      <c r="W212" s="393">
        <f t="shared" si="84"/>
        <v>0</v>
      </c>
      <c r="Y212" s="393">
        <f t="shared" si="89"/>
        <v>8.6</v>
      </c>
      <c r="Z212" s="393">
        <f t="shared" si="90"/>
        <v>9.5200000000000014</v>
      </c>
      <c r="AD212" s="395">
        <f>IF(AH212&gt;AH211,AD211,IF(AD211&lt;MiscData!$F$1,EOMONTH(AD211,1),EOMONTH(AD211,-11)))</f>
        <v>41729</v>
      </c>
      <c r="AE212" s="389" t="str">
        <f t="shared" si="85"/>
        <v>20140101KUUM_425</v>
      </c>
      <c r="AF212" s="437" t="str">
        <f t="shared" si="86"/>
        <v>20140101RLS</v>
      </c>
      <c r="AG212" s="438"/>
      <c r="AH212" s="34">
        <f>IF(AH211=MiscData!$AB$91,1,AH211+1)</f>
        <v>35</v>
      </c>
      <c r="AI212" s="34">
        <f>IF(AD212&lt;=MiscData!$B$23,MiscData!$C$23,IF(AD212&lt;=MiscData!$B$24,MiscData!$C$24,MiscData!$C$25))</f>
        <v>20140101</v>
      </c>
      <c r="AK212" s="439" t="str">
        <f>VLOOKUP(AM212,MiscData!$AB$4:$ACB$113,2,FALSE)</f>
        <v>KUUM_425</v>
      </c>
      <c r="AL212" s="439" t="str">
        <f>VLOOKUP(AM212,MiscData!$AB$4:$AE$115,4,FALSE)</f>
        <v>RLS</v>
      </c>
      <c r="AM212" s="34">
        <f>IF(AM211=MiscData!$AB$91,1,AM211+1)</f>
        <v>35</v>
      </c>
    </row>
    <row r="213" spans="1:39">
      <c r="A213" s="389">
        <f t="shared" si="91"/>
        <v>212</v>
      </c>
      <c r="B213" s="395" t="str">
        <f t="shared" si="69"/>
        <v>Mar 2014</v>
      </c>
      <c r="C213" s="396" t="str">
        <f t="shared" si="70"/>
        <v>RLS</v>
      </c>
      <c r="D213" s="396" t="str">
        <f t="shared" si="71"/>
        <v>KUUM_426</v>
      </c>
      <c r="E213" s="394">
        <f t="shared" si="72"/>
        <v>170</v>
      </c>
      <c r="F213" s="397">
        <v>0</v>
      </c>
      <c r="G213" s="394">
        <f t="shared" si="73"/>
        <v>4968</v>
      </c>
      <c r="H213" s="394">
        <v>0</v>
      </c>
      <c r="I213" s="390">
        <f t="shared" si="74"/>
        <v>7.4399999999999995</v>
      </c>
      <c r="J213" s="390">
        <f t="shared" si="75"/>
        <v>0.79999999999999982</v>
      </c>
      <c r="K213" s="391">
        <f t="shared" si="87"/>
        <v>1264.8</v>
      </c>
      <c r="L213" s="398">
        <v>-6.2</v>
      </c>
      <c r="M213" s="398">
        <v>0</v>
      </c>
      <c r="N213" s="164">
        <f t="shared" si="76"/>
        <v>1258.5999999999999</v>
      </c>
      <c r="O213" s="399">
        <f t="shared" si="77"/>
        <v>1258.6000000000001</v>
      </c>
      <c r="P213" s="392">
        <f t="shared" si="88"/>
        <v>1</v>
      </c>
      <c r="Q213" s="164">
        <f t="shared" si="78"/>
        <v>15.25</v>
      </c>
      <c r="R213" s="164">
        <f t="shared" si="79"/>
        <v>0</v>
      </c>
      <c r="S213" s="164">
        <f t="shared" si="80"/>
        <v>20.350000000000001</v>
      </c>
      <c r="T213" s="164">
        <f t="shared" si="81"/>
        <v>0</v>
      </c>
      <c r="U213" s="164">
        <f t="shared" si="82"/>
        <v>1294.2</v>
      </c>
      <c r="V213" s="393">
        <f t="shared" si="83"/>
        <v>1294.1999999999998</v>
      </c>
      <c r="W213" s="393">
        <f t="shared" si="84"/>
        <v>0</v>
      </c>
      <c r="Y213" s="393">
        <f t="shared" si="89"/>
        <v>136</v>
      </c>
      <c r="Z213" s="393">
        <f t="shared" si="90"/>
        <v>1122.6000000000001</v>
      </c>
      <c r="AD213" s="395">
        <f>IF(AH213&gt;AH212,AD212,IF(AD212&lt;MiscData!$F$1,EOMONTH(AD212,1),EOMONTH(AD212,-11)))</f>
        <v>41729</v>
      </c>
      <c r="AE213" s="389" t="str">
        <f t="shared" si="85"/>
        <v>20140101KUUM_426</v>
      </c>
      <c r="AF213" s="437" t="str">
        <f t="shared" si="86"/>
        <v>20140101RLS</v>
      </c>
      <c r="AG213" s="438"/>
      <c r="AH213" s="34">
        <f>IF(AH212=MiscData!$AB$91,1,AH212+1)</f>
        <v>36</v>
      </c>
      <c r="AI213" s="34">
        <f>IF(AD213&lt;=MiscData!$B$23,MiscData!$C$23,IF(AD213&lt;=MiscData!$B$24,MiscData!$C$24,MiscData!$C$25))</f>
        <v>20140101</v>
      </c>
      <c r="AK213" s="439" t="str">
        <f>VLOOKUP(AM213,MiscData!$AB$4:$ACB$113,2,FALSE)</f>
        <v>KUUM_426</v>
      </c>
      <c r="AL213" s="439" t="str">
        <f>VLOOKUP(AM213,MiscData!$AB$4:$AE$115,4,FALSE)</f>
        <v>RLS</v>
      </c>
      <c r="AM213" s="34">
        <f>IF(AM212=MiscData!$AB$91,1,AM212+1)</f>
        <v>36</v>
      </c>
    </row>
    <row r="214" spans="1:39">
      <c r="A214" s="389">
        <f t="shared" si="91"/>
        <v>213</v>
      </c>
      <c r="B214" s="395" t="str">
        <f t="shared" si="69"/>
        <v>Mar 2014</v>
      </c>
      <c r="C214" s="396" t="str">
        <f t="shared" si="70"/>
        <v>LS</v>
      </c>
      <c r="D214" s="396" t="str">
        <f t="shared" si="71"/>
        <v>KUUM_428</v>
      </c>
      <c r="E214" s="394">
        <f t="shared" si="72"/>
        <v>36742</v>
      </c>
      <c r="F214" s="397">
        <v>10</v>
      </c>
      <c r="G214" s="394">
        <f t="shared" si="73"/>
        <v>1517873</v>
      </c>
      <c r="H214" s="394">
        <v>408</v>
      </c>
      <c r="I214" s="390">
        <f t="shared" si="74"/>
        <v>7.84</v>
      </c>
      <c r="J214" s="390">
        <f t="shared" si="75"/>
        <v>1.1299999999999999</v>
      </c>
      <c r="K214" s="391">
        <f t="shared" si="87"/>
        <v>288135.67999999999</v>
      </c>
      <c r="L214" s="398">
        <v>-2242.5700000000002</v>
      </c>
      <c r="M214" s="398">
        <v>0</v>
      </c>
      <c r="N214" s="164">
        <f t="shared" si="76"/>
        <v>285893.11</v>
      </c>
      <c r="O214" s="399">
        <f t="shared" si="77"/>
        <v>285893.11</v>
      </c>
      <c r="P214" s="392">
        <f t="shared" si="88"/>
        <v>1</v>
      </c>
      <c r="Q214" s="164">
        <f t="shared" si="78"/>
        <v>4688.09</v>
      </c>
      <c r="R214" s="164">
        <f t="shared" si="79"/>
        <v>0</v>
      </c>
      <c r="S214" s="164">
        <f t="shared" si="80"/>
        <v>4791.05</v>
      </c>
      <c r="T214" s="164">
        <f t="shared" si="81"/>
        <v>0</v>
      </c>
      <c r="U214" s="164">
        <f t="shared" si="82"/>
        <v>295372.25</v>
      </c>
      <c r="V214" s="393">
        <f t="shared" si="83"/>
        <v>295372.25</v>
      </c>
      <c r="W214" s="393">
        <f t="shared" si="84"/>
        <v>0</v>
      </c>
      <c r="Y214" s="393">
        <f t="shared" si="89"/>
        <v>41518.46</v>
      </c>
      <c r="Z214" s="393">
        <f t="shared" si="90"/>
        <v>244374.65</v>
      </c>
      <c r="AD214" s="395">
        <f>IF(AH214&gt;AH213,AD213,IF(AD213&lt;MiscData!$F$1,EOMONTH(AD213,1),EOMONTH(AD213,-11)))</f>
        <v>41729</v>
      </c>
      <c r="AE214" s="389" t="str">
        <f t="shared" si="85"/>
        <v>20140101KUUM_428</v>
      </c>
      <c r="AF214" s="437" t="str">
        <f t="shared" si="86"/>
        <v>20140101LS</v>
      </c>
      <c r="AG214" s="438"/>
      <c r="AH214" s="34">
        <f>IF(AH213=MiscData!$AB$91,1,AH213+1)</f>
        <v>37</v>
      </c>
      <c r="AI214" s="34">
        <f>IF(AD214&lt;=MiscData!$B$23,MiscData!$C$23,IF(AD214&lt;=MiscData!$B$24,MiscData!$C$24,MiscData!$C$25))</f>
        <v>20140101</v>
      </c>
      <c r="AK214" s="439" t="str">
        <f>VLOOKUP(AM214,MiscData!$AB$4:$ACB$113,2,FALSE)</f>
        <v>KUUM_428</v>
      </c>
      <c r="AL214" s="439" t="str">
        <f>VLOOKUP(AM214,MiscData!$AB$4:$AE$115,4,FALSE)</f>
        <v>LS</v>
      </c>
      <c r="AM214" s="34">
        <f>IF(AM213=MiscData!$AB$91,1,AM213+1)</f>
        <v>37</v>
      </c>
    </row>
    <row r="215" spans="1:39">
      <c r="A215" s="389">
        <f t="shared" si="91"/>
        <v>214</v>
      </c>
      <c r="B215" s="395" t="str">
        <f t="shared" si="69"/>
        <v>Mar 2014</v>
      </c>
      <c r="C215" s="396" t="str">
        <f t="shared" si="70"/>
        <v>LS</v>
      </c>
      <c r="D215" s="396" t="str">
        <f t="shared" si="71"/>
        <v>KUUM_429</v>
      </c>
      <c r="E215" s="394">
        <f t="shared" si="72"/>
        <v>0</v>
      </c>
      <c r="F215" s="397">
        <v>0</v>
      </c>
      <c r="G215" s="394">
        <f t="shared" si="73"/>
        <v>0</v>
      </c>
      <c r="H215" s="394">
        <v>0</v>
      </c>
      <c r="I215" s="390">
        <f t="shared" si="74"/>
        <v>0</v>
      </c>
      <c r="J215" s="390">
        <f t="shared" si="75"/>
        <v>0</v>
      </c>
      <c r="K215" s="391">
        <f t="shared" si="87"/>
        <v>0</v>
      </c>
      <c r="L215" s="398">
        <v>0</v>
      </c>
      <c r="M215" s="398">
        <v>0</v>
      </c>
      <c r="N215" s="164">
        <f t="shared" si="76"/>
        <v>0</v>
      </c>
      <c r="O215" s="399">
        <f t="shared" si="77"/>
        <v>0</v>
      </c>
      <c r="P215" s="392">
        <f t="shared" si="88"/>
        <v>1</v>
      </c>
      <c r="Q215" s="164">
        <f t="shared" si="78"/>
        <v>0</v>
      </c>
      <c r="R215" s="164">
        <f t="shared" si="79"/>
        <v>0</v>
      </c>
      <c r="S215" s="164">
        <f t="shared" si="80"/>
        <v>0</v>
      </c>
      <c r="T215" s="164">
        <f t="shared" si="81"/>
        <v>0</v>
      </c>
      <c r="U215" s="164">
        <f t="shared" si="82"/>
        <v>0</v>
      </c>
      <c r="V215" s="393">
        <f t="shared" si="83"/>
        <v>0</v>
      </c>
      <c r="W215" s="393">
        <f t="shared" si="84"/>
        <v>0</v>
      </c>
      <c r="Y215" s="393">
        <f t="shared" si="89"/>
        <v>0</v>
      </c>
      <c r="Z215" s="393">
        <f t="shared" si="90"/>
        <v>0</v>
      </c>
      <c r="AD215" s="395">
        <f>IF(AH215&gt;AH214,AD214,IF(AD214&lt;MiscData!$F$1,EOMONTH(AD214,1),EOMONTH(AD214,-11)))</f>
        <v>41729</v>
      </c>
      <c r="AE215" s="389" t="str">
        <f t="shared" si="85"/>
        <v>20140101KUUM_429</v>
      </c>
      <c r="AF215" s="437" t="str">
        <f t="shared" si="86"/>
        <v>20140101LS</v>
      </c>
      <c r="AG215" s="438"/>
      <c r="AH215" s="34">
        <f>IF(AH214=MiscData!$AB$91,1,AH214+1)</f>
        <v>38</v>
      </c>
      <c r="AI215" s="34">
        <f>IF(AD215&lt;=MiscData!$B$23,MiscData!$C$23,IF(AD215&lt;=MiscData!$B$24,MiscData!$C$24,MiscData!$C$25))</f>
        <v>20140101</v>
      </c>
      <c r="AK215" s="439" t="str">
        <f>VLOOKUP(AM215,MiscData!$AB$4:$ACB$113,2,FALSE)</f>
        <v>KUUM_429</v>
      </c>
      <c r="AL215" s="439" t="str">
        <f>VLOOKUP(AM215,MiscData!$AB$4:$AE$115,4,FALSE)</f>
        <v>LS</v>
      </c>
      <c r="AM215" s="34">
        <f>IF(AM214=MiscData!$AB$91,1,AM214+1)</f>
        <v>38</v>
      </c>
    </row>
    <row r="216" spans="1:39">
      <c r="A216" s="389">
        <f t="shared" si="91"/>
        <v>215</v>
      </c>
      <c r="B216" s="395" t="str">
        <f t="shared" si="69"/>
        <v>Mar 2014</v>
      </c>
      <c r="C216" s="396" t="str">
        <f t="shared" si="70"/>
        <v>LS</v>
      </c>
      <c r="D216" s="396" t="str">
        <f t="shared" si="71"/>
        <v>KUUM_430</v>
      </c>
      <c r="E216" s="394">
        <f t="shared" si="72"/>
        <v>1180</v>
      </c>
      <c r="F216" s="397">
        <v>0</v>
      </c>
      <c r="G216" s="394">
        <f t="shared" si="73"/>
        <v>48915</v>
      </c>
      <c r="H216" s="394">
        <v>0</v>
      </c>
      <c r="I216" s="390">
        <f t="shared" si="74"/>
        <v>22</v>
      </c>
      <c r="J216" s="390">
        <f t="shared" si="75"/>
        <v>1.129999999999999</v>
      </c>
      <c r="K216" s="391">
        <f t="shared" si="87"/>
        <v>25960</v>
      </c>
      <c r="L216" s="398">
        <v>-320.42</v>
      </c>
      <c r="M216" s="398">
        <v>0</v>
      </c>
      <c r="N216" s="164">
        <f t="shared" si="76"/>
        <v>25639.58</v>
      </c>
      <c r="O216" s="399">
        <f t="shared" si="77"/>
        <v>25639.579999999998</v>
      </c>
      <c r="P216" s="392">
        <f t="shared" si="88"/>
        <v>1</v>
      </c>
      <c r="Q216" s="164">
        <f t="shared" si="78"/>
        <v>111.77</v>
      </c>
      <c r="R216" s="164">
        <f t="shared" si="79"/>
        <v>0</v>
      </c>
      <c r="S216" s="164">
        <f t="shared" si="80"/>
        <v>596.32000000000005</v>
      </c>
      <c r="T216" s="164">
        <f t="shared" si="81"/>
        <v>0</v>
      </c>
      <c r="U216" s="164">
        <f t="shared" si="82"/>
        <v>26347.67</v>
      </c>
      <c r="V216" s="393">
        <f t="shared" si="83"/>
        <v>26347.670000000002</v>
      </c>
      <c r="W216" s="393">
        <f t="shared" si="84"/>
        <v>0</v>
      </c>
      <c r="Y216" s="393">
        <f t="shared" si="89"/>
        <v>1333.4</v>
      </c>
      <c r="Z216" s="393">
        <f t="shared" si="90"/>
        <v>24306.179999999997</v>
      </c>
      <c r="AD216" s="395">
        <f>IF(AH216&gt;AH215,AD215,IF(AD215&lt;MiscData!$F$1,EOMONTH(AD215,1),EOMONTH(AD215,-11)))</f>
        <v>41729</v>
      </c>
      <c r="AE216" s="389" t="str">
        <f t="shared" si="85"/>
        <v>20140101KUUM_430</v>
      </c>
      <c r="AF216" s="437" t="str">
        <f t="shared" si="86"/>
        <v>20140101LS</v>
      </c>
      <c r="AG216" s="438"/>
      <c r="AH216" s="34">
        <f>IF(AH215=MiscData!$AB$91,1,AH215+1)</f>
        <v>39</v>
      </c>
      <c r="AI216" s="34">
        <f>IF(AD216&lt;=MiscData!$B$23,MiscData!$C$23,IF(AD216&lt;=MiscData!$B$24,MiscData!$C$24,MiscData!$C$25))</f>
        <v>20140101</v>
      </c>
      <c r="AK216" s="439" t="str">
        <f>VLOOKUP(AM216,MiscData!$AB$4:$ACB$113,2,FALSE)</f>
        <v>KUUM_430</v>
      </c>
      <c r="AL216" s="439" t="str">
        <f>VLOOKUP(AM216,MiscData!$AB$4:$AE$115,4,FALSE)</f>
        <v>LS</v>
      </c>
      <c r="AM216" s="34">
        <f>IF(AM215=MiscData!$AB$91,1,AM215+1)</f>
        <v>39</v>
      </c>
    </row>
    <row r="217" spans="1:39">
      <c r="A217" s="389">
        <f t="shared" si="91"/>
        <v>216</v>
      </c>
      <c r="B217" s="395" t="str">
        <f t="shared" si="69"/>
        <v>Mar 2014</v>
      </c>
      <c r="C217" s="396" t="str">
        <f t="shared" si="70"/>
        <v>RLS</v>
      </c>
      <c r="D217" s="396" t="str">
        <f t="shared" si="71"/>
        <v>KUUM_434</v>
      </c>
      <c r="E217" s="394">
        <f t="shared" si="72"/>
        <v>5</v>
      </c>
      <c r="F217" s="397">
        <v>0</v>
      </c>
      <c r="G217" s="394">
        <f t="shared" si="73"/>
        <v>596</v>
      </c>
      <c r="H217" s="394">
        <v>0</v>
      </c>
      <c r="I217" s="390">
        <f t="shared" si="74"/>
        <v>7.74</v>
      </c>
      <c r="J217" s="390">
        <f t="shared" si="75"/>
        <v>0.69999999999999929</v>
      </c>
      <c r="K217" s="391">
        <f t="shared" si="87"/>
        <v>38.700000000000003</v>
      </c>
      <c r="L217" s="398">
        <v>0</v>
      </c>
      <c r="M217" s="398">
        <v>0</v>
      </c>
      <c r="N217" s="164">
        <f t="shared" si="76"/>
        <v>38.700000000000003</v>
      </c>
      <c r="O217" s="399">
        <f t="shared" si="77"/>
        <v>38.699999999999996</v>
      </c>
      <c r="P217" s="392">
        <f t="shared" si="88"/>
        <v>1</v>
      </c>
      <c r="Q217" s="164">
        <f t="shared" si="78"/>
        <v>-0.87</v>
      </c>
      <c r="R217" s="164">
        <f t="shared" si="79"/>
        <v>0</v>
      </c>
      <c r="S217" s="164">
        <f t="shared" si="80"/>
        <v>2.14</v>
      </c>
      <c r="T217" s="164">
        <f t="shared" si="81"/>
        <v>0</v>
      </c>
      <c r="U217" s="164">
        <f t="shared" si="82"/>
        <v>39.97</v>
      </c>
      <c r="V217" s="393">
        <f t="shared" si="83"/>
        <v>39.970000000000006</v>
      </c>
      <c r="W217" s="393">
        <f t="shared" si="84"/>
        <v>0</v>
      </c>
      <c r="Y217" s="393">
        <f t="shared" si="89"/>
        <v>3.5</v>
      </c>
      <c r="Z217" s="393">
        <f t="shared" si="90"/>
        <v>35.199999999999996</v>
      </c>
      <c r="AD217" s="395">
        <f>IF(AH217&gt;AH216,AD216,IF(AD216&lt;MiscData!$F$1,EOMONTH(AD216,1),EOMONTH(AD216,-11)))</f>
        <v>41729</v>
      </c>
      <c r="AE217" s="389" t="str">
        <f t="shared" si="85"/>
        <v>20140101KUUM_434</v>
      </c>
      <c r="AF217" s="437" t="str">
        <f t="shared" si="86"/>
        <v>20140101RLS</v>
      </c>
      <c r="AG217" s="438"/>
      <c r="AH217" s="34">
        <f>IF(AH216=MiscData!$AB$91,1,AH216+1)</f>
        <v>40</v>
      </c>
      <c r="AI217" s="34">
        <f>IF(AD217&lt;=MiscData!$B$23,MiscData!$C$23,IF(AD217&lt;=MiscData!$B$24,MiscData!$C$24,MiscData!$C$25))</f>
        <v>20140101</v>
      </c>
      <c r="AK217" s="439" t="str">
        <f>VLOOKUP(AM217,MiscData!$AB$4:$ACB$113,2,FALSE)</f>
        <v>KUUM_434</v>
      </c>
      <c r="AL217" s="439" t="str">
        <f>VLOOKUP(AM217,MiscData!$AB$4:$AE$115,4,FALSE)</f>
        <v>RLS</v>
      </c>
      <c r="AM217" s="34">
        <f>IF(AM216=MiscData!$AB$91,1,AM216+1)</f>
        <v>40</v>
      </c>
    </row>
    <row r="218" spans="1:39">
      <c r="A218" s="389">
        <f t="shared" si="91"/>
        <v>217</v>
      </c>
      <c r="B218" s="395" t="str">
        <f t="shared" si="69"/>
        <v>Mar 2014</v>
      </c>
      <c r="C218" s="396" t="str">
        <f t="shared" si="70"/>
        <v>RLS</v>
      </c>
      <c r="D218" s="396" t="str">
        <f t="shared" si="71"/>
        <v>KUUM_440</v>
      </c>
      <c r="E218" s="394">
        <f t="shared" si="72"/>
        <v>2</v>
      </c>
      <c r="F218" s="397">
        <v>0</v>
      </c>
      <c r="G218" s="394">
        <f t="shared" si="73"/>
        <v>43</v>
      </c>
      <c r="H218" s="394">
        <v>0</v>
      </c>
      <c r="I218" s="390">
        <f t="shared" si="74"/>
        <v>13.610000000000001</v>
      </c>
      <c r="J218" s="390">
        <f t="shared" si="75"/>
        <v>0.57000000000000028</v>
      </c>
      <c r="K218" s="391">
        <f t="shared" si="87"/>
        <v>27.22</v>
      </c>
      <c r="L218" s="398">
        <v>0</v>
      </c>
      <c r="M218" s="398">
        <v>0</v>
      </c>
      <c r="N218" s="164">
        <f t="shared" si="76"/>
        <v>27.22</v>
      </c>
      <c r="O218" s="399">
        <f t="shared" si="77"/>
        <v>27.22</v>
      </c>
      <c r="P218" s="392">
        <f t="shared" si="88"/>
        <v>1</v>
      </c>
      <c r="Q218" s="164">
        <f t="shared" si="78"/>
        <v>0.13</v>
      </c>
      <c r="R218" s="164">
        <f t="shared" si="79"/>
        <v>0</v>
      </c>
      <c r="S218" s="164">
        <f t="shared" si="80"/>
        <v>0.44</v>
      </c>
      <c r="T218" s="164">
        <f t="shared" si="81"/>
        <v>0</v>
      </c>
      <c r="U218" s="164">
        <f t="shared" si="82"/>
        <v>27.79</v>
      </c>
      <c r="V218" s="393">
        <f t="shared" si="83"/>
        <v>27.79</v>
      </c>
      <c r="W218" s="393">
        <f t="shared" si="84"/>
        <v>0</v>
      </c>
      <c r="Y218" s="393">
        <f t="shared" si="89"/>
        <v>1.1399999999999999</v>
      </c>
      <c r="Z218" s="393">
        <f t="shared" si="90"/>
        <v>26.08</v>
      </c>
      <c r="AD218" s="395">
        <f>IF(AH218&gt;AH217,AD217,IF(AD217&lt;MiscData!$F$1,EOMONTH(AD217,1),EOMONTH(AD217,-11)))</f>
        <v>41729</v>
      </c>
      <c r="AE218" s="389" t="str">
        <f t="shared" si="85"/>
        <v>20140101KUUM_440</v>
      </c>
      <c r="AF218" s="437" t="str">
        <f t="shared" si="86"/>
        <v>20140101RLS</v>
      </c>
      <c r="AG218" s="438"/>
      <c r="AH218" s="34">
        <f>IF(AH217=MiscData!$AB$91,1,AH217+1)</f>
        <v>41</v>
      </c>
      <c r="AI218" s="34">
        <f>IF(AD218&lt;=MiscData!$B$23,MiscData!$C$23,IF(AD218&lt;=MiscData!$B$24,MiscData!$C$24,MiscData!$C$25))</f>
        <v>20140101</v>
      </c>
      <c r="AK218" s="439" t="str">
        <f>VLOOKUP(AM218,MiscData!$AB$4:$ACB$113,2,FALSE)</f>
        <v>KUUM_440</v>
      </c>
      <c r="AL218" s="439" t="str">
        <f>VLOOKUP(AM218,MiscData!$AB$4:$AE$115,4,FALSE)</f>
        <v>RLS</v>
      </c>
      <c r="AM218" s="34">
        <f>IF(AM217=MiscData!$AB$91,1,AM217+1)</f>
        <v>41</v>
      </c>
    </row>
    <row r="219" spans="1:39">
      <c r="A219" s="389">
        <f t="shared" si="91"/>
        <v>218</v>
      </c>
      <c r="B219" s="395" t="str">
        <f t="shared" si="69"/>
        <v>Mar 2014</v>
      </c>
      <c r="C219" s="396" t="str">
        <f t="shared" si="70"/>
        <v>RLS</v>
      </c>
      <c r="D219" s="396" t="str">
        <f t="shared" si="71"/>
        <v>KUUM_446</v>
      </c>
      <c r="E219" s="394">
        <f t="shared" si="72"/>
        <v>1087</v>
      </c>
      <c r="F219" s="397">
        <v>0</v>
      </c>
      <c r="G219" s="394">
        <f t="shared" si="73"/>
        <v>81899</v>
      </c>
      <c r="H219" s="394">
        <v>0</v>
      </c>
      <c r="I219" s="390">
        <f t="shared" si="74"/>
        <v>9.5600000000000023</v>
      </c>
      <c r="J219" s="390">
        <f t="shared" si="75"/>
        <v>1.9900000000000002</v>
      </c>
      <c r="K219" s="391">
        <f t="shared" si="87"/>
        <v>10391.719999999999</v>
      </c>
      <c r="L219" s="398">
        <v>-33.520000000000003</v>
      </c>
      <c r="M219" s="398">
        <v>0</v>
      </c>
      <c r="N219" s="164">
        <f t="shared" si="76"/>
        <v>10358.199999999999</v>
      </c>
      <c r="O219" s="399">
        <f t="shared" si="77"/>
        <v>10358.200000000001</v>
      </c>
      <c r="P219" s="392">
        <f t="shared" si="88"/>
        <v>1</v>
      </c>
      <c r="Q219" s="164">
        <f t="shared" si="78"/>
        <v>186.19</v>
      </c>
      <c r="R219" s="164">
        <f t="shared" si="79"/>
        <v>0</v>
      </c>
      <c r="S219" s="164">
        <f t="shared" si="80"/>
        <v>246.2</v>
      </c>
      <c r="T219" s="164">
        <f t="shared" si="81"/>
        <v>0</v>
      </c>
      <c r="U219" s="164">
        <f t="shared" si="82"/>
        <v>10790.59</v>
      </c>
      <c r="V219" s="393">
        <f t="shared" si="83"/>
        <v>10790.59</v>
      </c>
      <c r="W219" s="393">
        <f t="shared" si="84"/>
        <v>0</v>
      </c>
      <c r="Y219" s="393">
        <f t="shared" si="89"/>
        <v>2163.13</v>
      </c>
      <c r="Z219" s="393">
        <f t="shared" si="90"/>
        <v>8195.07</v>
      </c>
      <c r="AD219" s="395">
        <f>IF(AH219&gt;AH218,AD218,IF(AD218&lt;MiscData!$F$1,EOMONTH(AD218,1),EOMONTH(AD218,-11)))</f>
        <v>41729</v>
      </c>
      <c r="AE219" s="389" t="str">
        <f t="shared" si="85"/>
        <v>20140101KUUM_446</v>
      </c>
      <c r="AF219" s="437" t="str">
        <f t="shared" si="86"/>
        <v>20140101RLS</v>
      </c>
      <c r="AG219" s="438"/>
      <c r="AH219" s="34">
        <f>IF(AH218=MiscData!$AB$91,1,AH218+1)</f>
        <v>42</v>
      </c>
      <c r="AI219" s="34">
        <f>IF(AD219&lt;=MiscData!$B$23,MiscData!$C$23,IF(AD219&lt;=MiscData!$B$24,MiscData!$C$24,MiscData!$C$25))</f>
        <v>20140101</v>
      </c>
      <c r="AK219" s="439" t="str">
        <f>VLOOKUP(AM219,MiscData!$AB$4:$ACB$113,2,FALSE)</f>
        <v>KUUM_446</v>
      </c>
      <c r="AL219" s="439" t="str">
        <f>VLOOKUP(AM219,MiscData!$AB$4:$AE$115,4,FALSE)</f>
        <v>RLS</v>
      </c>
      <c r="AM219" s="34">
        <f>IF(AM218=MiscData!$AB$91,1,AM218+1)</f>
        <v>42</v>
      </c>
    </row>
    <row r="220" spans="1:39">
      <c r="A220" s="389">
        <f t="shared" si="91"/>
        <v>219</v>
      </c>
      <c r="B220" s="395" t="str">
        <f t="shared" si="69"/>
        <v>Mar 2014</v>
      </c>
      <c r="C220" s="396" t="str">
        <f t="shared" si="70"/>
        <v>RLS</v>
      </c>
      <c r="D220" s="396" t="str">
        <f t="shared" si="71"/>
        <v>KUUM_447</v>
      </c>
      <c r="E220" s="394">
        <f t="shared" si="72"/>
        <v>744</v>
      </c>
      <c r="F220" s="397">
        <v>0</v>
      </c>
      <c r="G220" s="394">
        <f t="shared" si="73"/>
        <v>83963</v>
      </c>
      <c r="H220" s="394">
        <v>0</v>
      </c>
      <c r="I220" s="390">
        <f t="shared" si="74"/>
        <v>11.32</v>
      </c>
      <c r="J220" s="390">
        <f t="shared" si="75"/>
        <v>2.8400000000000016</v>
      </c>
      <c r="K220" s="391">
        <f t="shared" si="87"/>
        <v>8422.08</v>
      </c>
      <c r="L220" s="398">
        <v>-43.81</v>
      </c>
      <c r="M220" s="398">
        <v>0</v>
      </c>
      <c r="N220" s="164">
        <f t="shared" si="76"/>
        <v>8378.27</v>
      </c>
      <c r="O220" s="399">
        <f t="shared" si="77"/>
        <v>8378.27</v>
      </c>
      <c r="P220" s="392">
        <f t="shared" si="88"/>
        <v>1</v>
      </c>
      <c r="Q220" s="164">
        <f t="shared" si="78"/>
        <v>-107.03</v>
      </c>
      <c r="R220" s="164">
        <f t="shared" si="79"/>
        <v>0</v>
      </c>
      <c r="S220" s="164">
        <f t="shared" si="80"/>
        <v>454.17</v>
      </c>
      <c r="T220" s="164">
        <f t="shared" si="81"/>
        <v>0</v>
      </c>
      <c r="U220" s="164">
        <f t="shared" si="82"/>
        <v>8725.41</v>
      </c>
      <c r="V220" s="393">
        <f t="shared" si="83"/>
        <v>8725.41</v>
      </c>
      <c r="W220" s="393">
        <f t="shared" si="84"/>
        <v>0</v>
      </c>
      <c r="Y220" s="393">
        <f t="shared" si="89"/>
        <v>2112.96</v>
      </c>
      <c r="Z220" s="393">
        <f t="shared" si="90"/>
        <v>6265.31</v>
      </c>
      <c r="AD220" s="395">
        <f>IF(AH220&gt;AH219,AD219,IF(AD219&lt;MiscData!$F$1,EOMONTH(AD219,1),EOMONTH(AD219,-11)))</f>
        <v>41729</v>
      </c>
      <c r="AE220" s="389" t="str">
        <f t="shared" si="85"/>
        <v>20140101KUUM_447</v>
      </c>
      <c r="AF220" s="437" t="str">
        <f t="shared" si="86"/>
        <v>20140101RLS</v>
      </c>
      <c r="AG220" s="438"/>
      <c r="AH220" s="34">
        <f>IF(AH219=MiscData!$AB$91,1,AH219+1)</f>
        <v>43</v>
      </c>
      <c r="AI220" s="34">
        <f>IF(AD220&lt;=MiscData!$B$23,MiscData!$C$23,IF(AD220&lt;=MiscData!$B$24,MiscData!$C$24,MiscData!$C$25))</f>
        <v>20140101</v>
      </c>
      <c r="AK220" s="439" t="str">
        <f>VLOOKUP(AM220,MiscData!$AB$4:$ACB$113,2,FALSE)</f>
        <v>KUUM_447</v>
      </c>
      <c r="AL220" s="439" t="str">
        <f>VLOOKUP(AM220,MiscData!$AB$4:$AE$115,4,FALSE)</f>
        <v>RLS</v>
      </c>
      <c r="AM220" s="34">
        <f>IF(AM219=MiscData!$AB$91,1,AM219+1)</f>
        <v>43</v>
      </c>
    </row>
    <row r="221" spans="1:39">
      <c r="A221" s="389">
        <f t="shared" si="91"/>
        <v>220</v>
      </c>
      <c r="B221" s="395" t="str">
        <f t="shared" si="69"/>
        <v>Mar 2014</v>
      </c>
      <c r="C221" s="396" t="str">
        <f t="shared" si="70"/>
        <v>RLS</v>
      </c>
      <c r="D221" s="396" t="str">
        <f t="shared" si="71"/>
        <v>KUUM_448</v>
      </c>
      <c r="E221" s="394">
        <f t="shared" si="72"/>
        <v>1487</v>
      </c>
      <c r="F221" s="397">
        <v>0</v>
      </c>
      <c r="G221" s="394">
        <f t="shared" si="73"/>
        <v>245797</v>
      </c>
      <c r="H221" s="394">
        <v>0</v>
      </c>
      <c r="I221" s="390">
        <f t="shared" si="74"/>
        <v>12.809999999999999</v>
      </c>
      <c r="J221" s="390">
        <f t="shared" si="75"/>
        <v>4.37</v>
      </c>
      <c r="K221" s="391">
        <f t="shared" si="87"/>
        <v>19048.47</v>
      </c>
      <c r="L221" s="398">
        <v>-67.75</v>
      </c>
      <c r="M221" s="398">
        <v>0</v>
      </c>
      <c r="N221" s="164">
        <f t="shared" si="76"/>
        <v>18980.72</v>
      </c>
      <c r="O221" s="399">
        <f t="shared" si="77"/>
        <v>18980.72</v>
      </c>
      <c r="P221" s="392">
        <f t="shared" si="88"/>
        <v>1</v>
      </c>
      <c r="Q221" s="164">
        <f t="shared" si="78"/>
        <v>299.07</v>
      </c>
      <c r="R221" s="164">
        <f t="shared" si="79"/>
        <v>0</v>
      </c>
      <c r="S221" s="164">
        <f t="shared" si="80"/>
        <v>615.28</v>
      </c>
      <c r="T221" s="164">
        <f t="shared" si="81"/>
        <v>0</v>
      </c>
      <c r="U221" s="164">
        <f t="shared" si="82"/>
        <v>19895.07</v>
      </c>
      <c r="V221" s="393">
        <f t="shared" si="83"/>
        <v>19895.07</v>
      </c>
      <c r="W221" s="393">
        <f t="shared" si="84"/>
        <v>0</v>
      </c>
      <c r="Y221" s="393">
        <f t="shared" si="89"/>
        <v>6498.19</v>
      </c>
      <c r="Z221" s="393">
        <f t="shared" si="90"/>
        <v>12482.530000000002</v>
      </c>
      <c r="AD221" s="395">
        <f>IF(AH221&gt;AH220,AD220,IF(AD220&lt;MiscData!$F$1,EOMONTH(AD220,1),EOMONTH(AD220,-11)))</f>
        <v>41729</v>
      </c>
      <c r="AE221" s="389" t="str">
        <f t="shared" si="85"/>
        <v>20140101KUUM_448</v>
      </c>
      <c r="AF221" s="437" t="str">
        <f t="shared" si="86"/>
        <v>20140101RLS</v>
      </c>
      <c r="AG221" s="438"/>
      <c r="AH221" s="34">
        <f>IF(AH220=MiscData!$AB$91,1,AH220+1)</f>
        <v>44</v>
      </c>
      <c r="AI221" s="34">
        <f>IF(AD221&lt;=MiscData!$B$23,MiscData!$C$23,IF(AD221&lt;=MiscData!$B$24,MiscData!$C$24,MiscData!$C$25))</f>
        <v>20140101</v>
      </c>
      <c r="AK221" s="439" t="str">
        <f>VLOOKUP(AM221,MiscData!$AB$4:$ACB$113,2,FALSE)</f>
        <v>KUUM_448</v>
      </c>
      <c r="AL221" s="439" t="str">
        <f>VLOOKUP(AM221,MiscData!$AB$4:$AE$115,4,FALSE)</f>
        <v>RLS</v>
      </c>
      <c r="AM221" s="34">
        <f>IF(AM220=MiscData!$AB$91,1,AM220+1)</f>
        <v>44</v>
      </c>
    </row>
    <row r="222" spans="1:39">
      <c r="A222" s="389">
        <f t="shared" si="91"/>
        <v>221</v>
      </c>
      <c r="B222" s="395" t="str">
        <f t="shared" si="69"/>
        <v>Mar 2014</v>
      </c>
      <c r="C222" s="396" t="str">
        <f t="shared" si="70"/>
        <v>LS</v>
      </c>
      <c r="D222" s="396" t="str">
        <f t="shared" si="71"/>
        <v>KUUM_450</v>
      </c>
      <c r="E222" s="394">
        <f t="shared" si="72"/>
        <v>664</v>
      </c>
      <c r="F222" s="397">
        <v>0</v>
      </c>
      <c r="G222" s="394">
        <f t="shared" si="73"/>
        <v>35473</v>
      </c>
      <c r="H222" s="394">
        <v>0</v>
      </c>
      <c r="I222" s="390">
        <f t="shared" si="74"/>
        <v>14.25</v>
      </c>
      <c r="J222" s="390">
        <f t="shared" si="75"/>
        <v>1.9699999999999989</v>
      </c>
      <c r="K222" s="391">
        <f t="shared" si="87"/>
        <v>9462</v>
      </c>
      <c r="L222" s="398">
        <v>-22.79</v>
      </c>
      <c r="M222" s="398">
        <v>0</v>
      </c>
      <c r="N222" s="164">
        <f t="shared" si="76"/>
        <v>9439.2099999999991</v>
      </c>
      <c r="O222" s="399">
        <f t="shared" si="77"/>
        <v>9439.2100000000009</v>
      </c>
      <c r="P222" s="392">
        <f t="shared" si="88"/>
        <v>1</v>
      </c>
      <c r="Q222" s="164">
        <f t="shared" si="78"/>
        <v>105.4</v>
      </c>
      <c r="R222" s="164">
        <f t="shared" si="79"/>
        <v>0</v>
      </c>
      <c r="S222" s="164">
        <f t="shared" si="80"/>
        <v>164.5</v>
      </c>
      <c r="T222" s="164">
        <f t="shared" si="81"/>
        <v>0</v>
      </c>
      <c r="U222" s="164">
        <f t="shared" si="82"/>
        <v>9709.11</v>
      </c>
      <c r="V222" s="393">
        <f t="shared" si="83"/>
        <v>9709.1099999999988</v>
      </c>
      <c r="W222" s="393">
        <f t="shared" si="84"/>
        <v>0</v>
      </c>
      <c r="Y222" s="393">
        <f t="shared" si="89"/>
        <v>1308.08</v>
      </c>
      <c r="Z222" s="393">
        <f t="shared" si="90"/>
        <v>8131.130000000001</v>
      </c>
      <c r="AD222" s="395">
        <f>IF(AH222&gt;AH221,AD221,IF(AD221&lt;MiscData!$F$1,EOMONTH(AD221,1),EOMONTH(AD221,-11)))</f>
        <v>41729</v>
      </c>
      <c r="AE222" s="389" t="str">
        <f t="shared" si="85"/>
        <v>20140101KUUM_450</v>
      </c>
      <c r="AF222" s="437" t="str">
        <f t="shared" si="86"/>
        <v>20140101LS</v>
      </c>
      <c r="AG222" s="438"/>
      <c r="AH222" s="34">
        <f>IF(AH221=MiscData!$AB$91,1,AH221+1)</f>
        <v>45</v>
      </c>
      <c r="AI222" s="34">
        <f>IF(AD222&lt;=MiscData!$B$23,MiscData!$C$23,IF(AD222&lt;=MiscData!$B$24,MiscData!$C$24,MiscData!$C$25))</f>
        <v>20140101</v>
      </c>
      <c r="AK222" s="439" t="str">
        <f>VLOOKUP(AM222,MiscData!$AB$4:$ACB$113,2,FALSE)</f>
        <v>KUUM_450</v>
      </c>
      <c r="AL222" s="439" t="str">
        <f>VLOOKUP(AM222,MiscData!$AB$4:$AE$115,4,FALSE)</f>
        <v>LS</v>
      </c>
      <c r="AM222" s="34">
        <f>IF(AM221=MiscData!$AB$91,1,AM221+1)</f>
        <v>45</v>
      </c>
    </row>
    <row r="223" spans="1:39">
      <c r="A223" s="389">
        <f t="shared" si="91"/>
        <v>222</v>
      </c>
      <c r="B223" s="395" t="str">
        <f t="shared" si="69"/>
        <v>Mar 2014</v>
      </c>
      <c r="C223" s="396" t="str">
        <f t="shared" si="70"/>
        <v>LS</v>
      </c>
      <c r="D223" s="396" t="str">
        <f t="shared" si="71"/>
        <v>KUUM_451</v>
      </c>
      <c r="E223" s="394">
        <f t="shared" si="72"/>
        <v>5148</v>
      </c>
      <c r="F223" s="397">
        <v>0</v>
      </c>
      <c r="G223" s="394">
        <f t="shared" si="73"/>
        <v>641218</v>
      </c>
      <c r="H223" s="394">
        <v>0</v>
      </c>
      <c r="I223" s="390">
        <f t="shared" si="74"/>
        <v>20.200000000000003</v>
      </c>
      <c r="J223" s="390">
        <f t="shared" si="75"/>
        <v>4.2900000000000027</v>
      </c>
      <c r="K223" s="391">
        <f t="shared" si="87"/>
        <v>103989.6</v>
      </c>
      <c r="L223" s="398">
        <v>-360.82</v>
      </c>
      <c r="M223" s="398">
        <v>0</v>
      </c>
      <c r="N223" s="164">
        <f t="shared" si="76"/>
        <v>103628.78</v>
      </c>
      <c r="O223" s="399">
        <f t="shared" si="77"/>
        <v>103628.78</v>
      </c>
      <c r="P223" s="392">
        <f t="shared" si="88"/>
        <v>1</v>
      </c>
      <c r="Q223" s="164">
        <f t="shared" si="78"/>
        <v>1877.44</v>
      </c>
      <c r="R223" s="164">
        <f t="shared" si="79"/>
        <v>0</v>
      </c>
      <c r="S223" s="164">
        <f t="shared" si="80"/>
        <v>1850.58</v>
      </c>
      <c r="T223" s="164">
        <f t="shared" si="81"/>
        <v>0</v>
      </c>
      <c r="U223" s="164">
        <f t="shared" si="82"/>
        <v>107356.8</v>
      </c>
      <c r="V223" s="393">
        <f t="shared" si="83"/>
        <v>107356.8</v>
      </c>
      <c r="W223" s="393">
        <f t="shared" si="84"/>
        <v>0</v>
      </c>
      <c r="Y223" s="393">
        <f t="shared" si="89"/>
        <v>22084.92</v>
      </c>
      <c r="Z223" s="393">
        <f t="shared" si="90"/>
        <v>81543.86</v>
      </c>
      <c r="AD223" s="395">
        <f>IF(AH223&gt;AH222,AD222,IF(AD222&lt;MiscData!$F$1,EOMONTH(AD222,1),EOMONTH(AD222,-11)))</f>
        <v>41729</v>
      </c>
      <c r="AE223" s="389" t="str">
        <f t="shared" si="85"/>
        <v>20140101KUUM_451</v>
      </c>
      <c r="AF223" s="437" t="str">
        <f t="shared" si="86"/>
        <v>20140101LS</v>
      </c>
      <c r="AG223" s="438"/>
      <c r="AH223" s="34">
        <f>IF(AH222=MiscData!$AB$91,1,AH222+1)</f>
        <v>46</v>
      </c>
      <c r="AI223" s="34">
        <f>IF(AD223&lt;=MiscData!$B$23,MiscData!$C$23,IF(AD223&lt;=MiscData!$B$24,MiscData!$C$24,MiscData!$C$25))</f>
        <v>20140101</v>
      </c>
      <c r="AK223" s="439" t="str">
        <f>VLOOKUP(AM223,MiscData!$AB$4:$ACB$113,2,FALSE)</f>
        <v>KUUM_451</v>
      </c>
      <c r="AL223" s="439" t="str">
        <f>VLOOKUP(AM223,MiscData!$AB$4:$AE$115,4,FALSE)</f>
        <v>LS</v>
      </c>
      <c r="AM223" s="34">
        <f>IF(AM222=MiscData!$AB$91,1,AM222+1)</f>
        <v>46</v>
      </c>
    </row>
    <row r="224" spans="1:39">
      <c r="A224" s="389">
        <f t="shared" si="91"/>
        <v>223</v>
      </c>
      <c r="B224" s="395" t="str">
        <f t="shared" si="69"/>
        <v>Mar 2014</v>
      </c>
      <c r="C224" s="396" t="str">
        <f t="shared" si="70"/>
        <v>LS</v>
      </c>
      <c r="D224" s="396" t="str">
        <f t="shared" si="71"/>
        <v>KUUM_452</v>
      </c>
      <c r="E224" s="394">
        <f t="shared" si="72"/>
        <v>1044</v>
      </c>
      <c r="F224" s="397">
        <v>0</v>
      </c>
      <c r="G224" s="394">
        <f t="shared" si="73"/>
        <v>399341</v>
      </c>
      <c r="H224" s="394">
        <v>0</v>
      </c>
      <c r="I224" s="390">
        <f t="shared" si="74"/>
        <v>42.350000000000009</v>
      </c>
      <c r="J224" s="390">
        <f t="shared" si="75"/>
        <v>10.410000000000004</v>
      </c>
      <c r="K224" s="391">
        <f t="shared" si="87"/>
        <v>44213.4</v>
      </c>
      <c r="L224" s="398">
        <v>-321.47000000000003</v>
      </c>
      <c r="M224" s="398">
        <v>0</v>
      </c>
      <c r="N224" s="164">
        <f t="shared" si="76"/>
        <v>43891.93</v>
      </c>
      <c r="O224" s="399">
        <f t="shared" si="77"/>
        <v>43891.93</v>
      </c>
      <c r="P224" s="392">
        <f t="shared" si="88"/>
        <v>1</v>
      </c>
      <c r="Q224" s="164">
        <f t="shared" si="78"/>
        <v>1199.67</v>
      </c>
      <c r="R224" s="164">
        <f t="shared" si="79"/>
        <v>0</v>
      </c>
      <c r="S224" s="164">
        <f t="shared" si="80"/>
        <v>765</v>
      </c>
      <c r="T224" s="164">
        <f t="shared" si="81"/>
        <v>0</v>
      </c>
      <c r="U224" s="164">
        <f t="shared" si="82"/>
        <v>45856.6</v>
      </c>
      <c r="V224" s="393">
        <f t="shared" si="83"/>
        <v>45856.6</v>
      </c>
      <c r="W224" s="393">
        <f t="shared" si="84"/>
        <v>0</v>
      </c>
      <c r="Y224" s="393">
        <f t="shared" si="89"/>
        <v>10868.04</v>
      </c>
      <c r="Z224" s="393">
        <f t="shared" si="90"/>
        <v>33023.89</v>
      </c>
      <c r="AD224" s="395">
        <f>IF(AH224&gt;AH223,AD223,IF(AD223&lt;MiscData!$F$1,EOMONTH(AD223,1),EOMONTH(AD223,-11)))</f>
        <v>41729</v>
      </c>
      <c r="AE224" s="389" t="str">
        <f t="shared" si="85"/>
        <v>20140101KUUM_452</v>
      </c>
      <c r="AF224" s="437" t="str">
        <f t="shared" si="86"/>
        <v>20140101LS</v>
      </c>
      <c r="AG224" s="438"/>
      <c r="AH224" s="34">
        <f>IF(AH223=MiscData!$AB$91,1,AH223+1)</f>
        <v>47</v>
      </c>
      <c r="AI224" s="34">
        <f>IF(AD224&lt;=MiscData!$B$23,MiscData!$C$23,IF(AD224&lt;=MiscData!$B$24,MiscData!$C$24,MiscData!$C$25))</f>
        <v>20140101</v>
      </c>
      <c r="AK224" s="439" t="str">
        <f>VLOOKUP(AM224,MiscData!$AB$4:$ACB$113,2,FALSE)</f>
        <v>KUUM_452</v>
      </c>
      <c r="AL224" s="439" t="str">
        <f>VLOOKUP(AM224,MiscData!$AB$4:$AE$115,4,FALSE)</f>
        <v>LS</v>
      </c>
      <c r="AM224" s="34">
        <f>IF(AM223=MiscData!$AB$91,1,AM223+1)</f>
        <v>47</v>
      </c>
    </row>
    <row r="225" spans="1:39">
      <c r="A225" s="389">
        <f t="shared" si="91"/>
        <v>224</v>
      </c>
      <c r="B225" s="395" t="str">
        <f t="shared" si="69"/>
        <v>Mar 2014</v>
      </c>
      <c r="C225" s="396" t="str">
        <f t="shared" si="70"/>
        <v>RLS</v>
      </c>
      <c r="D225" s="396" t="str">
        <f t="shared" si="71"/>
        <v>KUUM_454</v>
      </c>
      <c r="E225" s="394">
        <f t="shared" si="72"/>
        <v>151</v>
      </c>
      <c r="F225" s="397">
        <v>0</v>
      </c>
      <c r="G225" s="394">
        <f t="shared" si="73"/>
        <v>8051</v>
      </c>
      <c r="H225" s="394">
        <v>0</v>
      </c>
      <c r="I225" s="390">
        <f t="shared" si="74"/>
        <v>18.649999999999999</v>
      </c>
      <c r="J225" s="390">
        <f t="shared" si="75"/>
        <v>1.9699999999999989</v>
      </c>
      <c r="K225" s="391">
        <f t="shared" si="87"/>
        <v>2816.15</v>
      </c>
      <c r="L225" s="398">
        <v>-19.440000000000001</v>
      </c>
      <c r="M225" s="398">
        <v>0</v>
      </c>
      <c r="N225" s="164">
        <f t="shared" si="76"/>
        <v>2796.71</v>
      </c>
      <c r="O225" s="399">
        <f t="shared" si="77"/>
        <v>2796.71</v>
      </c>
      <c r="P225" s="392">
        <f t="shared" si="88"/>
        <v>1</v>
      </c>
      <c r="Q225" s="164">
        <f t="shared" si="78"/>
        <v>22.78</v>
      </c>
      <c r="R225" s="164">
        <f t="shared" si="79"/>
        <v>0</v>
      </c>
      <c r="S225" s="164">
        <f t="shared" si="80"/>
        <v>51.74</v>
      </c>
      <c r="T225" s="164">
        <f t="shared" si="81"/>
        <v>0</v>
      </c>
      <c r="U225" s="164">
        <f t="shared" si="82"/>
        <v>2871.23</v>
      </c>
      <c r="V225" s="393">
        <f t="shared" si="83"/>
        <v>2871.23</v>
      </c>
      <c r="W225" s="393">
        <f t="shared" si="84"/>
        <v>0</v>
      </c>
      <c r="Y225" s="393">
        <f t="shared" si="89"/>
        <v>297.47000000000003</v>
      </c>
      <c r="Z225" s="393">
        <f t="shared" si="90"/>
        <v>2499.2399999999998</v>
      </c>
      <c r="AD225" s="395">
        <f>IF(AH225&gt;AH224,AD224,IF(AD224&lt;MiscData!$F$1,EOMONTH(AD224,1),EOMONTH(AD224,-11)))</f>
        <v>41729</v>
      </c>
      <c r="AE225" s="389" t="str">
        <f t="shared" si="85"/>
        <v>20140101KUUM_454</v>
      </c>
      <c r="AF225" s="437" t="str">
        <f t="shared" si="86"/>
        <v>20140101RLS</v>
      </c>
      <c r="AG225" s="438"/>
      <c r="AH225" s="34">
        <f>IF(AH224=MiscData!$AB$91,1,AH224+1)</f>
        <v>48</v>
      </c>
      <c r="AI225" s="34">
        <f>IF(AD225&lt;=MiscData!$B$23,MiscData!$C$23,IF(AD225&lt;=MiscData!$B$24,MiscData!$C$24,MiscData!$C$25))</f>
        <v>20140101</v>
      </c>
      <c r="AK225" s="439" t="str">
        <f>VLOOKUP(AM225,MiscData!$AB$4:$ACB$113,2,FALSE)</f>
        <v>KUUM_454</v>
      </c>
      <c r="AL225" s="439" t="str">
        <f>VLOOKUP(AM225,MiscData!$AB$4:$AE$115,4,FALSE)</f>
        <v>RLS</v>
      </c>
      <c r="AM225" s="34">
        <f>IF(AM224=MiscData!$AB$91,1,AM224+1)</f>
        <v>48</v>
      </c>
    </row>
    <row r="226" spans="1:39">
      <c r="A226" s="389">
        <f t="shared" si="91"/>
        <v>225</v>
      </c>
      <c r="B226" s="395" t="str">
        <f t="shared" si="69"/>
        <v>Mar 2014</v>
      </c>
      <c r="C226" s="396" t="str">
        <f t="shared" si="70"/>
        <v>RLS</v>
      </c>
      <c r="D226" s="396" t="str">
        <f t="shared" si="71"/>
        <v>KUUM_455</v>
      </c>
      <c r="E226" s="394">
        <f t="shared" si="72"/>
        <v>1035</v>
      </c>
      <c r="F226" s="397">
        <v>0</v>
      </c>
      <c r="G226" s="394">
        <f t="shared" si="73"/>
        <v>129998</v>
      </c>
      <c r="H226" s="394">
        <v>0</v>
      </c>
      <c r="I226" s="390">
        <f t="shared" si="74"/>
        <v>24.59</v>
      </c>
      <c r="J226" s="390">
        <f t="shared" si="75"/>
        <v>4.2899999999999991</v>
      </c>
      <c r="K226" s="391">
        <f t="shared" si="87"/>
        <v>25450.65</v>
      </c>
      <c r="L226" s="398">
        <v>-36.04</v>
      </c>
      <c r="M226" s="398">
        <v>0</v>
      </c>
      <c r="N226" s="164">
        <f t="shared" si="76"/>
        <v>25414.61</v>
      </c>
      <c r="O226" s="399">
        <f t="shared" si="77"/>
        <v>25414.61</v>
      </c>
      <c r="P226" s="392">
        <f t="shared" si="88"/>
        <v>1</v>
      </c>
      <c r="Q226" s="164">
        <f t="shared" si="78"/>
        <v>379.9</v>
      </c>
      <c r="R226" s="164">
        <f t="shared" si="79"/>
        <v>0</v>
      </c>
      <c r="S226" s="164">
        <f t="shared" si="80"/>
        <v>454.73</v>
      </c>
      <c r="T226" s="164">
        <f t="shared" si="81"/>
        <v>0</v>
      </c>
      <c r="U226" s="164">
        <f t="shared" si="82"/>
        <v>26249.24</v>
      </c>
      <c r="V226" s="393">
        <f t="shared" si="83"/>
        <v>26249.24</v>
      </c>
      <c r="W226" s="393">
        <f t="shared" si="84"/>
        <v>0</v>
      </c>
      <c r="Y226" s="393">
        <f t="shared" si="89"/>
        <v>4440.1499999999996</v>
      </c>
      <c r="Z226" s="393">
        <f t="shared" si="90"/>
        <v>20974.46</v>
      </c>
      <c r="AD226" s="395">
        <f>IF(AH226&gt;AH225,AD225,IF(AD225&lt;MiscData!$F$1,EOMONTH(AD225,1),EOMONTH(AD225,-11)))</f>
        <v>41729</v>
      </c>
      <c r="AE226" s="389" t="str">
        <f t="shared" si="85"/>
        <v>20140101KUUM_455</v>
      </c>
      <c r="AF226" s="437" t="str">
        <f t="shared" si="86"/>
        <v>20140101RLS</v>
      </c>
      <c r="AG226" s="438"/>
      <c r="AH226" s="34">
        <f>IF(AH225=MiscData!$AB$91,1,AH225+1)</f>
        <v>49</v>
      </c>
      <c r="AI226" s="34">
        <f>IF(AD226&lt;=MiscData!$B$23,MiscData!$C$23,IF(AD226&lt;=MiscData!$B$24,MiscData!$C$24,MiscData!$C$25))</f>
        <v>20140101</v>
      </c>
      <c r="AK226" s="439" t="str">
        <f>VLOOKUP(AM226,MiscData!$AB$4:$ACB$113,2,FALSE)</f>
        <v>KUUM_455</v>
      </c>
      <c r="AL226" s="439" t="str">
        <f>VLOOKUP(AM226,MiscData!$AB$4:$AE$115,4,FALSE)</f>
        <v>RLS</v>
      </c>
      <c r="AM226" s="34">
        <f>IF(AM225=MiscData!$AB$91,1,AM225+1)</f>
        <v>49</v>
      </c>
    </row>
    <row r="227" spans="1:39">
      <c r="A227" s="389">
        <f t="shared" si="91"/>
        <v>226</v>
      </c>
      <c r="B227" s="395" t="str">
        <f t="shared" si="69"/>
        <v>Mar 2014</v>
      </c>
      <c r="C227" s="396" t="str">
        <f t="shared" si="70"/>
        <v>RLS</v>
      </c>
      <c r="D227" s="396" t="str">
        <f t="shared" si="71"/>
        <v>KUUM_456</v>
      </c>
      <c r="E227" s="394">
        <f t="shared" si="72"/>
        <v>140</v>
      </c>
      <c r="F227" s="397">
        <v>0</v>
      </c>
      <c r="G227" s="394">
        <f t="shared" si="73"/>
        <v>10881</v>
      </c>
      <c r="H227" s="394">
        <v>0</v>
      </c>
      <c r="I227" s="390">
        <f t="shared" si="74"/>
        <v>11.870000000000001</v>
      </c>
      <c r="J227" s="390">
        <f t="shared" si="75"/>
        <v>1.9900000000000002</v>
      </c>
      <c r="K227" s="391">
        <f t="shared" si="87"/>
        <v>1661.8</v>
      </c>
      <c r="L227" s="398">
        <v>0</v>
      </c>
      <c r="M227" s="398">
        <v>0</v>
      </c>
      <c r="N227" s="164">
        <f t="shared" si="76"/>
        <v>1661.8</v>
      </c>
      <c r="O227" s="399">
        <f t="shared" si="77"/>
        <v>1661.8</v>
      </c>
      <c r="P227" s="392">
        <f t="shared" si="88"/>
        <v>1</v>
      </c>
      <c r="Q227" s="164">
        <f t="shared" si="78"/>
        <v>27.36</v>
      </c>
      <c r="R227" s="164">
        <f t="shared" si="79"/>
        <v>0</v>
      </c>
      <c r="S227" s="164">
        <f t="shared" si="80"/>
        <v>36.1</v>
      </c>
      <c r="T227" s="164">
        <f t="shared" si="81"/>
        <v>0</v>
      </c>
      <c r="U227" s="164">
        <f t="shared" si="82"/>
        <v>1725.26</v>
      </c>
      <c r="V227" s="393">
        <f t="shared" si="83"/>
        <v>1725.2599999999998</v>
      </c>
      <c r="W227" s="393">
        <f t="shared" si="84"/>
        <v>0</v>
      </c>
      <c r="Y227" s="393">
        <f t="shared" si="89"/>
        <v>278.60000000000002</v>
      </c>
      <c r="Z227" s="393">
        <f t="shared" si="90"/>
        <v>1383.1999999999998</v>
      </c>
      <c r="AD227" s="395">
        <f>IF(AH227&gt;AH226,AD226,IF(AD226&lt;MiscData!$F$1,EOMONTH(AD226,1),EOMONTH(AD226,-11)))</f>
        <v>41729</v>
      </c>
      <c r="AE227" s="389" t="str">
        <f t="shared" si="85"/>
        <v>20140101KUUM_456</v>
      </c>
      <c r="AF227" s="437" t="str">
        <f t="shared" si="86"/>
        <v>20140101RLS</v>
      </c>
      <c r="AG227" s="438"/>
      <c r="AH227" s="34">
        <f>IF(AH226=MiscData!$AB$91,1,AH226+1)</f>
        <v>50</v>
      </c>
      <c r="AI227" s="34">
        <f>IF(AD227&lt;=MiscData!$B$23,MiscData!$C$23,IF(AD227&lt;=MiscData!$B$24,MiscData!$C$24,MiscData!$C$25))</f>
        <v>20140101</v>
      </c>
      <c r="AK227" s="439" t="str">
        <f>VLOOKUP(AM227,MiscData!$AB$4:$ACB$113,2,FALSE)</f>
        <v>KUUM_456</v>
      </c>
      <c r="AL227" s="439" t="str">
        <f>VLOOKUP(AM227,MiscData!$AB$4:$AE$115,4,FALSE)</f>
        <v>RLS</v>
      </c>
      <c r="AM227" s="34">
        <f>IF(AM226=MiscData!$AB$91,1,AM226+1)</f>
        <v>50</v>
      </c>
    </row>
    <row r="228" spans="1:39">
      <c r="A228" s="389">
        <f t="shared" si="91"/>
        <v>227</v>
      </c>
      <c r="B228" s="395" t="str">
        <f t="shared" si="69"/>
        <v>Mar 2014</v>
      </c>
      <c r="C228" s="396" t="str">
        <f t="shared" si="70"/>
        <v>RLS</v>
      </c>
      <c r="D228" s="396" t="str">
        <f t="shared" si="71"/>
        <v>KUUM_457</v>
      </c>
      <c r="E228" s="394">
        <f t="shared" si="72"/>
        <v>454</v>
      </c>
      <c r="F228" s="397">
        <v>0</v>
      </c>
      <c r="G228" s="394">
        <f t="shared" si="73"/>
        <v>51367</v>
      </c>
      <c r="H228" s="394">
        <v>0</v>
      </c>
      <c r="I228" s="390">
        <f t="shared" si="74"/>
        <v>13.360000000000001</v>
      </c>
      <c r="J228" s="390">
        <f t="shared" si="75"/>
        <v>2.84</v>
      </c>
      <c r="K228" s="391">
        <f t="shared" si="87"/>
        <v>6065.44</v>
      </c>
      <c r="L228" s="398">
        <v>-11.21</v>
      </c>
      <c r="M228" s="398">
        <v>0</v>
      </c>
      <c r="N228" s="164">
        <f t="shared" si="76"/>
        <v>6054.23</v>
      </c>
      <c r="O228" s="399">
        <f t="shared" si="77"/>
        <v>6054.23</v>
      </c>
      <c r="P228" s="392">
        <f t="shared" si="88"/>
        <v>1</v>
      </c>
      <c r="Q228" s="164">
        <f t="shared" si="78"/>
        <v>-74.510000000000005</v>
      </c>
      <c r="R228" s="164">
        <f t="shared" si="79"/>
        <v>0</v>
      </c>
      <c r="S228" s="164">
        <f t="shared" si="80"/>
        <v>337.9</v>
      </c>
      <c r="T228" s="164">
        <f t="shared" si="81"/>
        <v>0</v>
      </c>
      <c r="U228" s="164">
        <f t="shared" si="82"/>
        <v>6317.62</v>
      </c>
      <c r="V228" s="393">
        <f t="shared" si="83"/>
        <v>6317.619999999999</v>
      </c>
      <c r="W228" s="393">
        <f t="shared" si="84"/>
        <v>0</v>
      </c>
      <c r="Y228" s="393">
        <f t="shared" si="89"/>
        <v>1289.3599999999999</v>
      </c>
      <c r="Z228" s="393">
        <f t="shared" si="90"/>
        <v>4764.87</v>
      </c>
      <c r="AD228" s="395">
        <f>IF(AH228&gt;AH227,AD227,IF(AD227&lt;MiscData!$F$1,EOMONTH(AD227,1),EOMONTH(AD227,-11)))</f>
        <v>41729</v>
      </c>
      <c r="AE228" s="389" t="str">
        <f t="shared" si="85"/>
        <v>20140101KUUM_457</v>
      </c>
      <c r="AF228" s="437" t="str">
        <f t="shared" si="86"/>
        <v>20140101RLS</v>
      </c>
      <c r="AG228" s="438"/>
      <c r="AH228" s="34">
        <f>IF(AH227=MiscData!$AB$91,1,AH227+1)</f>
        <v>51</v>
      </c>
      <c r="AI228" s="34">
        <f>IF(AD228&lt;=MiscData!$B$23,MiscData!$C$23,IF(AD228&lt;=MiscData!$B$24,MiscData!$C$24,MiscData!$C$25))</f>
        <v>20140101</v>
      </c>
      <c r="AK228" s="439" t="str">
        <f>VLOOKUP(AM228,MiscData!$AB$4:$ACB$113,2,FALSE)</f>
        <v>KUUM_457</v>
      </c>
      <c r="AL228" s="439" t="str">
        <f>VLOOKUP(AM228,MiscData!$AB$4:$AE$115,4,FALSE)</f>
        <v>RLS</v>
      </c>
      <c r="AM228" s="34">
        <f>IF(AM227=MiscData!$AB$91,1,AM227+1)</f>
        <v>51</v>
      </c>
    </row>
    <row r="229" spans="1:39">
      <c r="A229" s="389">
        <f t="shared" si="91"/>
        <v>228</v>
      </c>
      <c r="B229" s="395" t="str">
        <f t="shared" si="69"/>
        <v>Mar 2014</v>
      </c>
      <c r="C229" s="396" t="str">
        <f t="shared" si="70"/>
        <v>RLS</v>
      </c>
      <c r="D229" s="396" t="str">
        <f t="shared" si="71"/>
        <v>KUUM_458</v>
      </c>
      <c r="E229" s="394">
        <f t="shared" si="72"/>
        <v>1480</v>
      </c>
      <c r="F229" s="397">
        <v>0</v>
      </c>
      <c r="G229" s="394">
        <f t="shared" si="73"/>
        <v>248939</v>
      </c>
      <c r="H229" s="394">
        <v>0</v>
      </c>
      <c r="I229" s="390">
        <f t="shared" si="74"/>
        <v>15.079999999999998</v>
      </c>
      <c r="J229" s="390">
        <f t="shared" si="75"/>
        <v>4.3699999999999992</v>
      </c>
      <c r="K229" s="391">
        <f t="shared" si="87"/>
        <v>22318.400000000001</v>
      </c>
      <c r="L229" s="398">
        <v>-126.48</v>
      </c>
      <c r="M229" s="398">
        <v>0</v>
      </c>
      <c r="N229" s="164">
        <f t="shared" si="76"/>
        <v>22191.920000000002</v>
      </c>
      <c r="O229" s="399">
        <f t="shared" si="77"/>
        <v>22191.920000000002</v>
      </c>
      <c r="P229" s="392">
        <f t="shared" si="88"/>
        <v>1</v>
      </c>
      <c r="Q229" s="164">
        <f t="shared" si="78"/>
        <v>-16.940000000000001</v>
      </c>
      <c r="R229" s="164">
        <f t="shared" si="79"/>
        <v>0</v>
      </c>
      <c r="S229" s="164">
        <f t="shared" si="80"/>
        <v>958.36</v>
      </c>
      <c r="T229" s="164">
        <f t="shared" si="81"/>
        <v>0</v>
      </c>
      <c r="U229" s="164">
        <f t="shared" si="82"/>
        <v>23133.34</v>
      </c>
      <c r="V229" s="393">
        <f t="shared" si="83"/>
        <v>23133.340000000004</v>
      </c>
      <c r="W229" s="393">
        <f t="shared" si="84"/>
        <v>0</v>
      </c>
      <c r="Y229" s="393">
        <f t="shared" si="89"/>
        <v>6467.6</v>
      </c>
      <c r="Z229" s="393">
        <f t="shared" si="90"/>
        <v>15724.320000000002</v>
      </c>
      <c r="AD229" s="395">
        <f>IF(AH229&gt;AH228,AD228,IF(AD228&lt;MiscData!$F$1,EOMONTH(AD228,1),EOMONTH(AD228,-11)))</f>
        <v>41729</v>
      </c>
      <c r="AE229" s="389" t="str">
        <f t="shared" si="85"/>
        <v>20140101KUUM_458</v>
      </c>
      <c r="AF229" s="437" t="str">
        <f t="shared" si="86"/>
        <v>20140101RLS</v>
      </c>
      <c r="AG229" s="438"/>
      <c r="AH229" s="34">
        <f>IF(AH228=MiscData!$AB$91,1,AH228+1)</f>
        <v>52</v>
      </c>
      <c r="AI229" s="34">
        <f>IF(AD229&lt;=MiscData!$B$23,MiscData!$C$23,IF(AD229&lt;=MiscData!$B$24,MiscData!$C$24,MiscData!$C$25))</f>
        <v>20140101</v>
      </c>
      <c r="AK229" s="439" t="str">
        <f>VLOOKUP(AM229,MiscData!$AB$4:$ACB$113,2,FALSE)</f>
        <v>KUUM_458</v>
      </c>
      <c r="AL229" s="439" t="str">
        <f>VLOOKUP(AM229,MiscData!$AB$4:$AE$115,4,FALSE)</f>
        <v>RLS</v>
      </c>
      <c r="AM229" s="34">
        <f>IF(AM228=MiscData!$AB$91,1,AM228+1)</f>
        <v>52</v>
      </c>
    </row>
    <row r="230" spans="1:39">
      <c r="A230" s="389">
        <f t="shared" si="91"/>
        <v>229</v>
      </c>
      <c r="B230" s="395" t="str">
        <f t="shared" si="69"/>
        <v>Mar 2014</v>
      </c>
      <c r="C230" s="396" t="str">
        <f t="shared" si="70"/>
        <v>RLS</v>
      </c>
      <c r="D230" s="396" t="str">
        <f t="shared" si="71"/>
        <v>KUUM_459</v>
      </c>
      <c r="E230" s="394">
        <f t="shared" si="72"/>
        <v>228</v>
      </c>
      <c r="F230" s="397">
        <v>0</v>
      </c>
      <c r="G230" s="394">
        <f t="shared" si="73"/>
        <v>84965</v>
      </c>
      <c r="H230" s="394">
        <v>0</v>
      </c>
      <c r="I230" s="390">
        <f t="shared" si="74"/>
        <v>46.740000000000009</v>
      </c>
      <c r="J230" s="390">
        <f t="shared" si="75"/>
        <v>10.410000000000004</v>
      </c>
      <c r="K230" s="391">
        <f t="shared" si="87"/>
        <v>10656.72</v>
      </c>
      <c r="L230" s="398">
        <v>-253.83</v>
      </c>
      <c r="M230" s="398">
        <v>0</v>
      </c>
      <c r="N230" s="164">
        <f t="shared" si="76"/>
        <v>10402.89</v>
      </c>
      <c r="O230" s="399">
        <f t="shared" si="77"/>
        <v>10402.89</v>
      </c>
      <c r="P230" s="392">
        <f t="shared" si="88"/>
        <v>1</v>
      </c>
      <c r="Q230" s="164">
        <f t="shared" si="78"/>
        <v>257.16000000000003</v>
      </c>
      <c r="R230" s="164">
        <f t="shared" si="79"/>
        <v>0</v>
      </c>
      <c r="S230" s="164">
        <f t="shared" si="80"/>
        <v>178.96</v>
      </c>
      <c r="T230" s="164">
        <f t="shared" si="81"/>
        <v>0</v>
      </c>
      <c r="U230" s="164">
        <f t="shared" si="82"/>
        <v>10839.01</v>
      </c>
      <c r="V230" s="393">
        <f t="shared" si="83"/>
        <v>10839.009999999998</v>
      </c>
      <c r="W230" s="393">
        <f t="shared" si="84"/>
        <v>0</v>
      </c>
      <c r="Y230" s="393">
        <f t="shared" si="89"/>
        <v>2373.48</v>
      </c>
      <c r="Z230" s="393">
        <f t="shared" si="90"/>
        <v>8029.41</v>
      </c>
      <c r="AD230" s="395">
        <f>IF(AH230&gt;AH229,AD229,IF(AD229&lt;MiscData!$F$1,EOMONTH(AD229,1),EOMONTH(AD229,-11)))</f>
        <v>41729</v>
      </c>
      <c r="AE230" s="389" t="str">
        <f t="shared" si="85"/>
        <v>20140101KUUM_459</v>
      </c>
      <c r="AF230" s="437" t="str">
        <f t="shared" si="86"/>
        <v>20140101RLS</v>
      </c>
      <c r="AG230" s="438"/>
      <c r="AH230" s="34">
        <f>IF(AH229=MiscData!$AB$91,1,AH229+1)</f>
        <v>53</v>
      </c>
      <c r="AI230" s="34">
        <f>IF(AD230&lt;=MiscData!$B$23,MiscData!$C$23,IF(AD230&lt;=MiscData!$B$24,MiscData!$C$24,MiscData!$C$25))</f>
        <v>20140101</v>
      </c>
      <c r="AK230" s="439" t="str">
        <f>VLOOKUP(AM230,MiscData!$AB$4:$ACB$113,2,FALSE)</f>
        <v>KUUM_459</v>
      </c>
      <c r="AL230" s="439" t="str">
        <f>VLOOKUP(AM230,MiscData!$AB$4:$AE$115,4,FALSE)</f>
        <v>RLS</v>
      </c>
      <c r="AM230" s="34">
        <f>IF(AM229=MiscData!$AB$91,1,AM229+1)</f>
        <v>53</v>
      </c>
    </row>
    <row r="231" spans="1:39">
      <c r="A231" s="389">
        <f t="shared" si="91"/>
        <v>230</v>
      </c>
      <c r="B231" s="395" t="str">
        <f t="shared" si="69"/>
        <v>Mar 2014</v>
      </c>
      <c r="C231" s="396" t="str">
        <f t="shared" si="70"/>
        <v>RLS</v>
      </c>
      <c r="D231" s="396" t="str">
        <f t="shared" si="71"/>
        <v>KUUM_460</v>
      </c>
      <c r="E231" s="394">
        <f t="shared" si="72"/>
        <v>27</v>
      </c>
      <c r="F231" s="397">
        <v>0</v>
      </c>
      <c r="G231" s="394">
        <f t="shared" si="73"/>
        <v>1425</v>
      </c>
      <c r="H231" s="394">
        <v>0</v>
      </c>
      <c r="I231" s="390">
        <f t="shared" si="74"/>
        <v>27.15</v>
      </c>
      <c r="J231" s="390">
        <f t="shared" si="75"/>
        <v>1.9699999999999989</v>
      </c>
      <c r="K231" s="391">
        <f t="shared" si="87"/>
        <v>733.05</v>
      </c>
      <c r="L231" s="398">
        <v>-21.72</v>
      </c>
      <c r="M231" s="398">
        <v>0</v>
      </c>
      <c r="N231" s="164">
        <f t="shared" si="76"/>
        <v>711.32999999999993</v>
      </c>
      <c r="O231" s="399">
        <f t="shared" si="77"/>
        <v>711.32999999999993</v>
      </c>
      <c r="P231" s="392">
        <f t="shared" si="88"/>
        <v>1</v>
      </c>
      <c r="Q231" s="164">
        <f t="shared" si="78"/>
        <v>1.46</v>
      </c>
      <c r="R231" s="164">
        <f t="shared" si="79"/>
        <v>0</v>
      </c>
      <c r="S231" s="164">
        <f t="shared" si="80"/>
        <v>23.49</v>
      </c>
      <c r="T231" s="164">
        <f t="shared" si="81"/>
        <v>0</v>
      </c>
      <c r="U231" s="164">
        <f t="shared" si="82"/>
        <v>736.28</v>
      </c>
      <c r="V231" s="393">
        <f t="shared" si="83"/>
        <v>736.28</v>
      </c>
      <c r="W231" s="393">
        <f t="shared" si="84"/>
        <v>0</v>
      </c>
      <c r="Y231" s="393">
        <f t="shared" si="89"/>
        <v>53.19</v>
      </c>
      <c r="Z231" s="393">
        <f t="shared" si="90"/>
        <v>658.13999999999987</v>
      </c>
      <c r="AD231" s="395">
        <f>IF(AH231&gt;AH230,AD230,IF(AD230&lt;MiscData!$F$1,EOMONTH(AD230,1),EOMONTH(AD230,-11)))</f>
        <v>41729</v>
      </c>
      <c r="AE231" s="389" t="str">
        <f t="shared" si="85"/>
        <v>20140101KUUM_460</v>
      </c>
      <c r="AF231" s="437" t="str">
        <f t="shared" si="86"/>
        <v>20140101RLS</v>
      </c>
      <c r="AG231" s="438"/>
      <c r="AH231" s="34">
        <f>IF(AH230=MiscData!$AB$91,1,AH230+1)</f>
        <v>54</v>
      </c>
      <c r="AI231" s="34">
        <f>IF(AD231&lt;=MiscData!$B$23,MiscData!$C$23,IF(AD231&lt;=MiscData!$B$24,MiscData!$C$24,MiscData!$C$25))</f>
        <v>20140101</v>
      </c>
      <c r="AK231" s="439" t="str">
        <f>VLOOKUP(AM231,MiscData!$AB$4:$ACB$113,2,FALSE)</f>
        <v>KUUM_460</v>
      </c>
      <c r="AL231" s="439" t="str">
        <f>VLOOKUP(AM231,MiscData!$AB$4:$AE$115,4,FALSE)</f>
        <v>RLS</v>
      </c>
      <c r="AM231" s="34">
        <f>IF(AM230=MiscData!$AB$91,1,AM230+1)</f>
        <v>54</v>
      </c>
    </row>
    <row r="232" spans="1:39">
      <c r="A232" s="389">
        <f t="shared" si="91"/>
        <v>231</v>
      </c>
      <c r="B232" s="395" t="str">
        <f t="shared" si="69"/>
        <v>Mar 2014</v>
      </c>
      <c r="C232" s="396" t="str">
        <f t="shared" si="70"/>
        <v>RLS</v>
      </c>
      <c r="D232" s="396" t="str">
        <f t="shared" si="71"/>
        <v>KUUM_461</v>
      </c>
      <c r="E232" s="394">
        <f t="shared" si="72"/>
        <v>6930</v>
      </c>
      <c r="F232" s="397">
        <v>0</v>
      </c>
      <c r="G232" s="394">
        <f t="shared" si="73"/>
        <v>151272</v>
      </c>
      <c r="H232" s="394">
        <v>0</v>
      </c>
      <c r="I232" s="390">
        <f t="shared" si="74"/>
        <v>7.54</v>
      </c>
      <c r="J232" s="390">
        <f t="shared" si="75"/>
        <v>0.57000000000000028</v>
      </c>
      <c r="K232" s="391">
        <f t="shared" si="87"/>
        <v>52252.2</v>
      </c>
      <c r="L232" s="398">
        <v>-9.36</v>
      </c>
      <c r="M232" s="398">
        <v>0</v>
      </c>
      <c r="N232" s="164">
        <f t="shared" si="76"/>
        <v>52242.84</v>
      </c>
      <c r="O232" s="399">
        <f t="shared" si="77"/>
        <v>52242.84</v>
      </c>
      <c r="P232" s="392">
        <f t="shared" si="88"/>
        <v>1</v>
      </c>
      <c r="Q232" s="164">
        <f t="shared" si="78"/>
        <v>274.32</v>
      </c>
      <c r="R232" s="164">
        <f t="shared" si="79"/>
        <v>0</v>
      </c>
      <c r="S232" s="164">
        <f t="shared" si="80"/>
        <v>1430.08</v>
      </c>
      <c r="T232" s="164">
        <f t="shared" si="81"/>
        <v>0</v>
      </c>
      <c r="U232" s="164">
        <f t="shared" si="82"/>
        <v>53947.24</v>
      </c>
      <c r="V232" s="393">
        <f t="shared" si="83"/>
        <v>53947.24</v>
      </c>
      <c r="W232" s="393">
        <f t="shared" si="84"/>
        <v>0</v>
      </c>
      <c r="Y232" s="393">
        <f t="shared" si="89"/>
        <v>3950.1</v>
      </c>
      <c r="Z232" s="393">
        <f t="shared" si="90"/>
        <v>48292.74</v>
      </c>
      <c r="AD232" s="395">
        <f>IF(AH232&gt;AH231,AD231,IF(AD231&lt;MiscData!$F$1,EOMONTH(AD231,1),EOMONTH(AD231,-11)))</f>
        <v>41729</v>
      </c>
      <c r="AE232" s="389" t="str">
        <f t="shared" si="85"/>
        <v>20140101KUUM_461</v>
      </c>
      <c r="AF232" s="437" t="str">
        <f t="shared" si="86"/>
        <v>20140101RLS</v>
      </c>
      <c r="AG232" s="438"/>
      <c r="AH232" s="34">
        <f>IF(AH231=MiscData!$AB$91,1,AH231+1)</f>
        <v>55</v>
      </c>
      <c r="AI232" s="34">
        <f>IF(AD232&lt;=MiscData!$B$23,MiscData!$C$23,IF(AD232&lt;=MiscData!$B$24,MiscData!$C$24,MiscData!$C$25))</f>
        <v>20140101</v>
      </c>
      <c r="AK232" s="439" t="str">
        <f>VLOOKUP(AM232,MiscData!$AB$4:$ACB$113,2,FALSE)</f>
        <v>KUUM_461</v>
      </c>
      <c r="AL232" s="439" t="str">
        <f>VLOOKUP(AM232,MiscData!$AB$4:$AE$115,4,FALSE)</f>
        <v>RLS</v>
      </c>
      <c r="AM232" s="34">
        <f>IF(AM231=MiscData!$AB$91,1,AM231+1)</f>
        <v>55</v>
      </c>
    </row>
    <row r="233" spans="1:39">
      <c r="A233" s="389">
        <f t="shared" si="91"/>
        <v>232</v>
      </c>
      <c r="B233" s="395" t="str">
        <f t="shared" si="69"/>
        <v>Mar 2014</v>
      </c>
      <c r="C233" s="396" t="str">
        <f t="shared" si="70"/>
        <v>LS</v>
      </c>
      <c r="D233" s="396" t="str">
        <f t="shared" si="71"/>
        <v>KUUM_462</v>
      </c>
      <c r="E233" s="394">
        <f t="shared" si="72"/>
        <v>8850</v>
      </c>
      <c r="F233" s="397">
        <v>0</v>
      </c>
      <c r="G233" s="394">
        <f t="shared" si="73"/>
        <v>272657</v>
      </c>
      <c r="H233" s="394">
        <v>0</v>
      </c>
      <c r="I233" s="390">
        <f t="shared" si="74"/>
        <v>8.66</v>
      </c>
      <c r="J233" s="390">
        <f t="shared" si="75"/>
        <v>0.79999999999999893</v>
      </c>
      <c r="K233" s="391">
        <f t="shared" si="87"/>
        <v>76641</v>
      </c>
      <c r="L233" s="398">
        <v>0.01</v>
      </c>
      <c r="M233" s="398">
        <v>0</v>
      </c>
      <c r="N233" s="164">
        <f t="shared" si="76"/>
        <v>76641.009999999995</v>
      </c>
      <c r="O233" s="399">
        <f t="shared" si="77"/>
        <v>76641.009999999995</v>
      </c>
      <c r="P233" s="392">
        <f t="shared" si="88"/>
        <v>1</v>
      </c>
      <c r="Q233" s="164">
        <f t="shared" si="78"/>
        <v>285.99</v>
      </c>
      <c r="R233" s="164">
        <f t="shared" si="79"/>
        <v>0</v>
      </c>
      <c r="S233" s="164">
        <f t="shared" si="80"/>
        <v>2621.12</v>
      </c>
      <c r="T233" s="164">
        <f t="shared" si="81"/>
        <v>0</v>
      </c>
      <c r="U233" s="164">
        <f t="shared" si="82"/>
        <v>79548.12</v>
      </c>
      <c r="V233" s="393">
        <f t="shared" si="83"/>
        <v>79548.12</v>
      </c>
      <c r="W233" s="393">
        <f t="shared" si="84"/>
        <v>0</v>
      </c>
      <c r="Y233" s="393">
        <f t="shared" si="89"/>
        <v>7080</v>
      </c>
      <c r="Z233" s="393">
        <f t="shared" si="90"/>
        <v>69561.009999999995</v>
      </c>
      <c r="AD233" s="395">
        <f>IF(AH233&gt;AH232,AD232,IF(AD232&lt;MiscData!$F$1,EOMONTH(AD232,1),EOMONTH(AD232,-11)))</f>
        <v>41729</v>
      </c>
      <c r="AE233" s="389" t="str">
        <f t="shared" si="85"/>
        <v>20140101KUUM_462</v>
      </c>
      <c r="AF233" s="437" t="str">
        <f t="shared" si="86"/>
        <v>20140101LS</v>
      </c>
      <c r="AG233" s="438"/>
      <c r="AH233" s="34">
        <f>IF(AH232=MiscData!$AB$91,1,AH232+1)</f>
        <v>56</v>
      </c>
      <c r="AI233" s="34">
        <f>IF(AD233&lt;=MiscData!$B$23,MiscData!$C$23,IF(AD233&lt;=MiscData!$B$24,MiscData!$C$24,MiscData!$C$25))</f>
        <v>20140101</v>
      </c>
      <c r="AK233" s="439" t="str">
        <f>VLOOKUP(AM233,MiscData!$AB$4:$ACB$113,2,FALSE)</f>
        <v>KUUM_462</v>
      </c>
      <c r="AL233" s="439" t="str">
        <f>VLOOKUP(AM233,MiscData!$AB$4:$AE$115,4,FALSE)</f>
        <v>LS</v>
      </c>
      <c r="AM233" s="34">
        <f>IF(AM232=MiscData!$AB$91,1,AM232+1)</f>
        <v>56</v>
      </c>
    </row>
    <row r="234" spans="1:39">
      <c r="A234" s="389">
        <f t="shared" si="91"/>
        <v>233</v>
      </c>
      <c r="B234" s="395" t="str">
        <f t="shared" si="69"/>
        <v>Mar 2014</v>
      </c>
      <c r="C234" s="396" t="str">
        <f t="shared" si="70"/>
        <v>LS</v>
      </c>
      <c r="D234" s="396" t="str">
        <f t="shared" si="71"/>
        <v>KUUM_463</v>
      </c>
      <c r="E234" s="394">
        <f t="shared" si="72"/>
        <v>20622</v>
      </c>
      <c r="F234" s="397">
        <v>0</v>
      </c>
      <c r="G234" s="394">
        <f t="shared" si="73"/>
        <v>876292</v>
      </c>
      <c r="H234" s="394">
        <v>0</v>
      </c>
      <c r="I234" s="390">
        <f t="shared" si="74"/>
        <v>9.14</v>
      </c>
      <c r="J234" s="390">
        <f t="shared" si="75"/>
        <v>1.1299999999999999</v>
      </c>
      <c r="K234" s="391">
        <f t="shared" si="87"/>
        <v>188485.08</v>
      </c>
      <c r="L234" s="398">
        <v>206.88</v>
      </c>
      <c r="M234" s="398">
        <v>0</v>
      </c>
      <c r="N234" s="164">
        <f t="shared" si="76"/>
        <v>188691.96</v>
      </c>
      <c r="O234" s="399">
        <f t="shared" si="77"/>
        <v>188691.96</v>
      </c>
      <c r="P234" s="392">
        <f t="shared" si="88"/>
        <v>1</v>
      </c>
      <c r="Q234" s="164">
        <f t="shared" si="78"/>
        <v>1894.74</v>
      </c>
      <c r="R234" s="164">
        <f t="shared" si="79"/>
        <v>0</v>
      </c>
      <c r="S234" s="164">
        <f t="shared" si="80"/>
        <v>4599.93</v>
      </c>
      <c r="T234" s="164">
        <f t="shared" si="81"/>
        <v>0</v>
      </c>
      <c r="U234" s="164">
        <f t="shared" si="82"/>
        <v>195186.63</v>
      </c>
      <c r="V234" s="393">
        <f t="shared" si="83"/>
        <v>195186.62999999998</v>
      </c>
      <c r="W234" s="393">
        <f t="shared" si="84"/>
        <v>0</v>
      </c>
      <c r="Y234" s="393">
        <f t="shared" si="89"/>
        <v>23302.86</v>
      </c>
      <c r="Z234" s="393">
        <f t="shared" si="90"/>
        <v>165389.09999999998</v>
      </c>
      <c r="AD234" s="395">
        <f>IF(AH234&gt;AH233,AD233,IF(AD233&lt;MiscData!$F$1,EOMONTH(AD233,1),EOMONTH(AD233,-11)))</f>
        <v>41729</v>
      </c>
      <c r="AE234" s="389" t="str">
        <f t="shared" si="85"/>
        <v>20140101KUUM_463</v>
      </c>
      <c r="AF234" s="437" t="str">
        <f t="shared" si="86"/>
        <v>20140101LS</v>
      </c>
      <c r="AG234" s="438"/>
      <c r="AH234" s="34">
        <f>IF(AH233=MiscData!$AB$91,1,AH233+1)</f>
        <v>57</v>
      </c>
      <c r="AI234" s="34">
        <f>IF(AD234&lt;=MiscData!$B$23,MiscData!$C$23,IF(AD234&lt;=MiscData!$B$24,MiscData!$C$24,MiscData!$C$25))</f>
        <v>20140101</v>
      </c>
      <c r="AK234" s="439" t="str">
        <f>VLOOKUP(AM234,MiscData!$AB$4:$ACB$113,2,FALSE)</f>
        <v>KUUM_463</v>
      </c>
      <c r="AL234" s="439" t="str">
        <f>VLOOKUP(AM234,MiscData!$AB$4:$AE$115,4,FALSE)</f>
        <v>LS</v>
      </c>
      <c r="AM234" s="34">
        <f>IF(AM233=MiscData!$AB$91,1,AM233+1)</f>
        <v>57</v>
      </c>
    </row>
    <row r="235" spans="1:39">
      <c r="A235" s="389">
        <f t="shared" si="91"/>
        <v>234</v>
      </c>
      <c r="B235" s="395" t="str">
        <f t="shared" si="69"/>
        <v>Mar 2014</v>
      </c>
      <c r="C235" s="396" t="str">
        <f t="shared" si="70"/>
        <v>LS</v>
      </c>
      <c r="D235" s="396" t="str">
        <f t="shared" si="71"/>
        <v>KUUM_464</v>
      </c>
      <c r="E235" s="394">
        <f t="shared" si="72"/>
        <v>7602</v>
      </c>
      <c r="F235" s="397">
        <v>0</v>
      </c>
      <c r="G235" s="394">
        <f t="shared" si="73"/>
        <v>671063</v>
      </c>
      <c r="H235" s="394">
        <v>0</v>
      </c>
      <c r="I235" s="390">
        <f t="shared" si="74"/>
        <v>14.25</v>
      </c>
      <c r="J235" s="390">
        <f t="shared" si="75"/>
        <v>2.33</v>
      </c>
      <c r="K235" s="391">
        <f t="shared" si="87"/>
        <v>108328.5</v>
      </c>
      <c r="L235" s="398">
        <v>-143.88</v>
      </c>
      <c r="M235" s="398">
        <v>0</v>
      </c>
      <c r="N235" s="164">
        <f t="shared" si="76"/>
        <v>108184.62</v>
      </c>
      <c r="O235" s="399">
        <f t="shared" si="77"/>
        <v>108184.62</v>
      </c>
      <c r="P235" s="392">
        <f t="shared" si="88"/>
        <v>1</v>
      </c>
      <c r="Q235" s="164">
        <f t="shared" si="78"/>
        <v>1446.36</v>
      </c>
      <c r="R235" s="164">
        <f t="shared" si="79"/>
        <v>0</v>
      </c>
      <c r="S235" s="164">
        <f t="shared" si="80"/>
        <v>2657.02</v>
      </c>
      <c r="T235" s="164">
        <f t="shared" si="81"/>
        <v>0</v>
      </c>
      <c r="U235" s="164">
        <f t="shared" si="82"/>
        <v>112288</v>
      </c>
      <c r="V235" s="393">
        <f t="shared" si="83"/>
        <v>112288</v>
      </c>
      <c r="W235" s="393">
        <f t="shared" si="84"/>
        <v>0</v>
      </c>
      <c r="Y235" s="393">
        <f t="shared" si="89"/>
        <v>17712.66</v>
      </c>
      <c r="Z235" s="393">
        <f t="shared" si="90"/>
        <v>90471.959999999992</v>
      </c>
      <c r="AD235" s="395">
        <f>IF(AH235&gt;AH234,AD234,IF(AD234&lt;MiscData!$F$1,EOMONTH(AD234,1),EOMONTH(AD234,-11)))</f>
        <v>41729</v>
      </c>
      <c r="AE235" s="389" t="str">
        <f t="shared" si="85"/>
        <v>20140101KUUM_464</v>
      </c>
      <c r="AF235" s="437" t="str">
        <f t="shared" si="86"/>
        <v>20140101LS</v>
      </c>
      <c r="AG235" s="438"/>
      <c r="AH235" s="34">
        <f>IF(AH234=MiscData!$AB$91,1,AH234+1)</f>
        <v>58</v>
      </c>
      <c r="AI235" s="34">
        <f>IF(AD235&lt;=MiscData!$B$23,MiscData!$C$23,IF(AD235&lt;=MiscData!$B$24,MiscData!$C$24,MiscData!$C$25))</f>
        <v>20140101</v>
      </c>
      <c r="AK235" s="439" t="str">
        <f>VLOOKUP(AM235,MiscData!$AB$4:$ACB$113,2,FALSE)</f>
        <v>KUUM_464</v>
      </c>
      <c r="AL235" s="439" t="str">
        <f>VLOOKUP(AM235,MiscData!$AB$4:$AE$115,4,FALSE)</f>
        <v>LS</v>
      </c>
      <c r="AM235" s="34">
        <f>IF(AM234=MiscData!$AB$91,1,AM234+1)</f>
        <v>58</v>
      </c>
    </row>
    <row r="236" spans="1:39">
      <c r="A236" s="389">
        <f t="shared" si="91"/>
        <v>235</v>
      </c>
      <c r="B236" s="395" t="str">
        <f t="shared" si="69"/>
        <v>Mar 2014</v>
      </c>
      <c r="C236" s="396" t="str">
        <f t="shared" si="70"/>
        <v>LS</v>
      </c>
      <c r="D236" s="396" t="str">
        <f t="shared" si="71"/>
        <v>KUUM_465</v>
      </c>
      <c r="E236" s="394">
        <f t="shared" si="72"/>
        <v>2814</v>
      </c>
      <c r="F236" s="397">
        <v>0</v>
      </c>
      <c r="G236" s="394">
        <f t="shared" si="73"/>
        <v>476796</v>
      </c>
      <c r="H236" s="394">
        <v>0</v>
      </c>
      <c r="I236" s="390">
        <f t="shared" si="74"/>
        <v>22.84</v>
      </c>
      <c r="J236" s="390">
        <f t="shared" si="75"/>
        <v>4.5299999999999976</v>
      </c>
      <c r="K236" s="391">
        <f t="shared" si="87"/>
        <v>64271.76</v>
      </c>
      <c r="L236" s="398">
        <v>-301.3</v>
      </c>
      <c r="M236" s="398">
        <v>0</v>
      </c>
      <c r="N236" s="164">
        <f t="shared" si="76"/>
        <v>63970.46</v>
      </c>
      <c r="O236" s="399">
        <f t="shared" si="77"/>
        <v>63970.46</v>
      </c>
      <c r="P236" s="392">
        <f t="shared" si="88"/>
        <v>1</v>
      </c>
      <c r="Q236" s="164">
        <f t="shared" si="78"/>
        <v>1233.17</v>
      </c>
      <c r="R236" s="164">
        <f t="shared" si="79"/>
        <v>0</v>
      </c>
      <c r="S236" s="164">
        <f t="shared" si="80"/>
        <v>1329.57</v>
      </c>
      <c r="T236" s="164">
        <f t="shared" si="81"/>
        <v>0</v>
      </c>
      <c r="U236" s="164">
        <f t="shared" si="82"/>
        <v>66533.2</v>
      </c>
      <c r="V236" s="393">
        <f t="shared" si="83"/>
        <v>66533.2</v>
      </c>
      <c r="W236" s="393">
        <f t="shared" si="84"/>
        <v>0</v>
      </c>
      <c r="Y236" s="393">
        <f t="shared" si="89"/>
        <v>12747.42</v>
      </c>
      <c r="Z236" s="393">
        <f t="shared" si="90"/>
        <v>51223.040000000001</v>
      </c>
      <c r="AD236" s="395">
        <f>IF(AH236&gt;AH235,AD235,IF(AD235&lt;MiscData!$F$1,EOMONTH(AD235,1),EOMONTH(AD235,-11)))</f>
        <v>41729</v>
      </c>
      <c r="AE236" s="389" t="str">
        <f t="shared" si="85"/>
        <v>20140101KUUM_465</v>
      </c>
      <c r="AF236" s="437" t="str">
        <f t="shared" si="86"/>
        <v>20140101LS</v>
      </c>
      <c r="AG236" s="438"/>
      <c r="AH236" s="34">
        <f>IF(AH235=MiscData!$AB$91,1,AH235+1)</f>
        <v>59</v>
      </c>
      <c r="AI236" s="34">
        <f>IF(AD236&lt;=MiscData!$B$23,MiscData!$C$23,IF(AD236&lt;=MiscData!$B$24,MiscData!$C$24,MiscData!$C$25))</f>
        <v>20140101</v>
      </c>
      <c r="AK236" s="439" t="str">
        <f>VLOOKUP(AM236,MiscData!$AB$4:$ACB$113,2,FALSE)</f>
        <v>KUUM_465</v>
      </c>
      <c r="AL236" s="439" t="str">
        <f>VLOOKUP(AM236,MiscData!$AB$4:$AE$115,4,FALSE)</f>
        <v>LS</v>
      </c>
      <c r="AM236" s="34">
        <f>IF(AM235=MiscData!$AB$91,1,AM235+1)</f>
        <v>59</v>
      </c>
    </row>
    <row r="237" spans="1:39">
      <c r="A237" s="389">
        <f t="shared" si="91"/>
        <v>236</v>
      </c>
      <c r="B237" s="395" t="str">
        <f t="shared" si="69"/>
        <v>Mar 2014</v>
      </c>
      <c r="C237" s="396" t="str">
        <f t="shared" si="70"/>
        <v>RLS</v>
      </c>
      <c r="D237" s="396" t="str">
        <f t="shared" si="71"/>
        <v>KUUM_466</v>
      </c>
      <c r="E237" s="394">
        <f t="shared" si="72"/>
        <v>858</v>
      </c>
      <c r="F237" s="397">
        <v>0</v>
      </c>
      <c r="G237" s="394">
        <f t="shared" si="73"/>
        <v>19192</v>
      </c>
      <c r="H237" s="394">
        <v>0</v>
      </c>
      <c r="I237" s="390">
        <f t="shared" si="74"/>
        <v>9.620000000000001</v>
      </c>
      <c r="J237" s="390">
        <f t="shared" si="75"/>
        <v>0.57000000000000028</v>
      </c>
      <c r="K237" s="391">
        <f t="shared" si="87"/>
        <v>8253.9599999999991</v>
      </c>
      <c r="L237" s="398">
        <v>0.01</v>
      </c>
      <c r="M237" s="398">
        <v>0</v>
      </c>
      <c r="N237" s="164">
        <f t="shared" si="76"/>
        <v>8253.9699999999993</v>
      </c>
      <c r="O237" s="399">
        <f t="shared" si="77"/>
        <v>8253.9699999999993</v>
      </c>
      <c r="P237" s="392">
        <f t="shared" si="88"/>
        <v>1</v>
      </c>
      <c r="Q237" s="164">
        <f t="shared" si="78"/>
        <v>39.81</v>
      </c>
      <c r="R237" s="164">
        <f t="shared" si="79"/>
        <v>0</v>
      </c>
      <c r="S237" s="164">
        <f t="shared" si="80"/>
        <v>211.37</v>
      </c>
      <c r="T237" s="164">
        <f t="shared" si="81"/>
        <v>0</v>
      </c>
      <c r="U237" s="164">
        <f t="shared" si="82"/>
        <v>8505.15</v>
      </c>
      <c r="V237" s="393">
        <f t="shared" si="83"/>
        <v>8505.15</v>
      </c>
      <c r="W237" s="393">
        <f t="shared" si="84"/>
        <v>0</v>
      </c>
      <c r="Y237" s="393">
        <f t="shared" si="89"/>
        <v>489.06</v>
      </c>
      <c r="Z237" s="393">
        <f t="shared" si="90"/>
        <v>7764.9099999999989</v>
      </c>
      <c r="AD237" s="395">
        <f>IF(AH237&gt;AH236,AD236,IF(AD236&lt;MiscData!$F$1,EOMONTH(AD236,1),EOMONTH(AD236,-11)))</f>
        <v>41729</v>
      </c>
      <c r="AE237" s="389" t="str">
        <f t="shared" si="85"/>
        <v>20140101KUUM_466</v>
      </c>
      <c r="AF237" s="437" t="str">
        <f t="shared" si="86"/>
        <v>20140101RLS</v>
      </c>
      <c r="AG237" s="438"/>
      <c r="AH237" s="34">
        <f>IF(AH236=MiscData!$AB$91,1,AH236+1)</f>
        <v>60</v>
      </c>
      <c r="AI237" s="34">
        <f>IF(AD237&lt;=MiscData!$B$23,MiscData!$C$23,IF(AD237&lt;=MiscData!$B$24,MiscData!$C$24,MiscData!$C$25))</f>
        <v>20140101</v>
      </c>
      <c r="AK237" s="439" t="str">
        <f>VLOOKUP(AM237,MiscData!$AB$4:$ACB$113,2,FALSE)</f>
        <v>KUUM_466</v>
      </c>
      <c r="AL237" s="439" t="str">
        <f>VLOOKUP(AM237,MiscData!$AB$4:$AE$115,4,FALSE)</f>
        <v>RLS</v>
      </c>
      <c r="AM237" s="34">
        <f>IF(AM236=MiscData!$AB$91,1,AM236+1)</f>
        <v>60</v>
      </c>
    </row>
    <row r="238" spans="1:39">
      <c r="A238" s="389">
        <f t="shared" si="91"/>
        <v>237</v>
      </c>
      <c r="B238" s="395" t="str">
        <f t="shared" si="69"/>
        <v>Mar 2014</v>
      </c>
      <c r="C238" s="396" t="str">
        <f t="shared" si="70"/>
        <v>LS</v>
      </c>
      <c r="D238" s="396" t="str">
        <f t="shared" si="71"/>
        <v>KUUM_467</v>
      </c>
      <c r="E238" s="394">
        <f t="shared" si="72"/>
        <v>1355</v>
      </c>
      <c r="F238" s="397">
        <v>0</v>
      </c>
      <c r="G238" s="394">
        <f t="shared" si="73"/>
        <v>40950</v>
      </c>
      <c r="H238" s="394">
        <v>0</v>
      </c>
      <c r="I238" s="390">
        <f t="shared" si="74"/>
        <v>10.770000000000001</v>
      </c>
      <c r="J238" s="390">
        <f t="shared" si="75"/>
        <v>0.80000000000000071</v>
      </c>
      <c r="K238" s="391">
        <f t="shared" si="87"/>
        <v>14593.35</v>
      </c>
      <c r="L238" s="398">
        <v>0</v>
      </c>
      <c r="M238" s="398">
        <v>0</v>
      </c>
      <c r="N238" s="164">
        <f t="shared" si="76"/>
        <v>14593.35</v>
      </c>
      <c r="O238" s="399">
        <f t="shared" si="77"/>
        <v>14593.349999999999</v>
      </c>
      <c r="P238" s="392">
        <f t="shared" si="88"/>
        <v>1</v>
      </c>
      <c r="Q238" s="164">
        <f t="shared" si="78"/>
        <v>82.74</v>
      </c>
      <c r="R238" s="164">
        <f t="shared" si="79"/>
        <v>0</v>
      </c>
      <c r="S238" s="164">
        <f t="shared" si="80"/>
        <v>376.71</v>
      </c>
      <c r="T238" s="164">
        <f t="shared" si="81"/>
        <v>0</v>
      </c>
      <c r="U238" s="164">
        <f t="shared" si="82"/>
        <v>15052.8</v>
      </c>
      <c r="V238" s="393">
        <f t="shared" si="83"/>
        <v>15052.8</v>
      </c>
      <c r="W238" s="393">
        <f t="shared" si="84"/>
        <v>0</v>
      </c>
      <c r="Y238" s="393">
        <f t="shared" si="89"/>
        <v>1084</v>
      </c>
      <c r="Z238" s="393">
        <f t="shared" si="90"/>
        <v>13509.349999999999</v>
      </c>
      <c r="AD238" s="395">
        <f>IF(AH238&gt;AH237,AD237,IF(AD237&lt;MiscData!$F$1,EOMONTH(AD237,1),EOMONTH(AD237,-11)))</f>
        <v>41729</v>
      </c>
      <c r="AE238" s="389" t="str">
        <f t="shared" si="85"/>
        <v>20140101KUUM_467</v>
      </c>
      <c r="AF238" s="437" t="str">
        <f t="shared" si="86"/>
        <v>20140101LS</v>
      </c>
      <c r="AG238" s="438"/>
      <c r="AH238" s="34">
        <f>IF(AH237=MiscData!$AB$91,1,AH237+1)</f>
        <v>61</v>
      </c>
      <c r="AI238" s="34">
        <f>IF(AD238&lt;=MiscData!$B$23,MiscData!$C$23,IF(AD238&lt;=MiscData!$B$24,MiscData!$C$24,MiscData!$C$25))</f>
        <v>20140101</v>
      </c>
      <c r="AK238" s="439" t="str">
        <f>VLOOKUP(AM238,MiscData!$AB$4:$ACB$113,2,FALSE)</f>
        <v>KUUM_467</v>
      </c>
      <c r="AL238" s="439" t="str">
        <f>VLOOKUP(AM238,MiscData!$AB$4:$AE$115,4,FALSE)</f>
        <v>LS</v>
      </c>
      <c r="AM238" s="34">
        <f>IF(AM237=MiscData!$AB$91,1,AM237+1)</f>
        <v>61</v>
      </c>
    </row>
    <row r="239" spans="1:39">
      <c r="A239" s="389">
        <f t="shared" si="91"/>
        <v>238</v>
      </c>
      <c r="B239" s="395" t="str">
        <f t="shared" si="69"/>
        <v>Mar 2014</v>
      </c>
      <c r="C239" s="396" t="str">
        <f t="shared" si="70"/>
        <v>LS</v>
      </c>
      <c r="D239" s="396" t="str">
        <f t="shared" si="71"/>
        <v>KUUM_468</v>
      </c>
      <c r="E239" s="394">
        <f t="shared" si="72"/>
        <v>3990</v>
      </c>
      <c r="F239" s="397">
        <v>0</v>
      </c>
      <c r="G239" s="394">
        <f t="shared" si="73"/>
        <v>170039</v>
      </c>
      <c r="H239" s="394">
        <v>0</v>
      </c>
      <c r="I239" s="390">
        <f t="shared" si="74"/>
        <v>11.16</v>
      </c>
      <c r="J239" s="390">
        <f t="shared" si="75"/>
        <v>1.129999999999999</v>
      </c>
      <c r="K239" s="391">
        <f t="shared" si="87"/>
        <v>44528.4</v>
      </c>
      <c r="L239" s="398">
        <v>329.67</v>
      </c>
      <c r="M239" s="398">
        <v>0</v>
      </c>
      <c r="N239" s="164">
        <f t="shared" si="76"/>
        <v>44858.07</v>
      </c>
      <c r="O239" s="399">
        <f t="shared" si="77"/>
        <v>44858.07</v>
      </c>
      <c r="P239" s="392">
        <f t="shared" si="88"/>
        <v>1</v>
      </c>
      <c r="Q239" s="164">
        <f t="shared" si="78"/>
        <v>489.43</v>
      </c>
      <c r="R239" s="164">
        <f t="shared" si="79"/>
        <v>0</v>
      </c>
      <c r="S239" s="164">
        <f t="shared" si="80"/>
        <v>821.7</v>
      </c>
      <c r="T239" s="164">
        <f t="shared" si="81"/>
        <v>0</v>
      </c>
      <c r="U239" s="164">
        <f t="shared" si="82"/>
        <v>46169.2</v>
      </c>
      <c r="V239" s="393">
        <f t="shared" si="83"/>
        <v>46169.2</v>
      </c>
      <c r="W239" s="393">
        <f t="shared" si="84"/>
        <v>0</v>
      </c>
      <c r="Y239" s="393">
        <f t="shared" si="89"/>
        <v>4508.7</v>
      </c>
      <c r="Z239" s="393">
        <f t="shared" si="90"/>
        <v>40349.370000000003</v>
      </c>
      <c r="AD239" s="395">
        <f>IF(AH239&gt;AH238,AD238,IF(AD238&lt;MiscData!$F$1,EOMONTH(AD238,1),EOMONTH(AD238,-11)))</f>
        <v>41729</v>
      </c>
      <c r="AE239" s="389" t="str">
        <f t="shared" si="85"/>
        <v>20140101KUUM_468</v>
      </c>
      <c r="AF239" s="437" t="str">
        <f t="shared" si="86"/>
        <v>20140101LS</v>
      </c>
      <c r="AG239" s="438"/>
      <c r="AH239" s="34">
        <f>IF(AH238=MiscData!$AB$91,1,AH238+1)</f>
        <v>62</v>
      </c>
      <c r="AI239" s="34">
        <f>IF(AD239&lt;=MiscData!$B$23,MiscData!$C$23,IF(AD239&lt;=MiscData!$B$24,MiscData!$C$24,MiscData!$C$25))</f>
        <v>20140101</v>
      </c>
      <c r="AK239" s="439" t="str">
        <f>VLOOKUP(AM239,MiscData!$AB$4:$ACB$113,2,FALSE)</f>
        <v>KUUM_468</v>
      </c>
      <c r="AL239" s="439" t="str">
        <f>VLOOKUP(AM239,MiscData!$AB$4:$AE$115,4,FALSE)</f>
        <v>LS</v>
      </c>
      <c r="AM239" s="34">
        <f>IF(AM238=MiscData!$AB$91,1,AM238+1)</f>
        <v>62</v>
      </c>
    </row>
    <row r="240" spans="1:39">
      <c r="A240" s="389">
        <f t="shared" si="91"/>
        <v>239</v>
      </c>
      <c r="B240" s="395" t="str">
        <f t="shared" si="69"/>
        <v>Mar 2014</v>
      </c>
      <c r="C240" s="396" t="str">
        <f t="shared" si="70"/>
        <v>RLS</v>
      </c>
      <c r="D240" s="396" t="str">
        <f t="shared" si="71"/>
        <v>KUUM_469</v>
      </c>
      <c r="E240" s="394">
        <f t="shared" si="72"/>
        <v>292</v>
      </c>
      <c r="F240" s="397">
        <v>0</v>
      </c>
      <c r="G240" s="394">
        <f t="shared" si="73"/>
        <v>36114</v>
      </c>
      <c r="H240" s="394">
        <v>0</v>
      </c>
      <c r="I240" s="390">
        <f t="shared" si="74"/>
        <v>33.100000000000009</v>
      </c>
      <c r="J240" s="390">
        <f t="shared" si="75"/>
        <v>4.2900000000000063</v>
      </c>
      <c r="K240" s="391">
        <f t="shared" si="87"/>
        <v>9665.2000000000007</v>
      </c>
      <c r="L240" s="398">
        <v>-116.73</v>
      </c>
      <c r="M240" s="398">
        <v>0</v>
      </c>
      <c r="N240" s="164">
        <f t="shared" si="76"/>
        <v>9548.4700000000012</v>
      </c>
      <c r="O240" s="399">
        <f t="shared" si="77"/>
        <v>9548.4699999999993</v>
      </c>
      <c r="P240" s="392">
        <f t="shared" si="88"/>
        <v>1</v>
      </c>
      <c r="Q240" s="164">
        <f t="shared" si="78"/>
        <v>107.51</v>
      </c>
      <c r="R240" s="164">
        <f t="shared" si="79"/>
        <v>0</v>
      </c>
      <c r="S240" s="164">
        <f t="shared" si="80"/>
        <v>166.34</v>
      </c>
      <c r="T240" s="164">
        <f t="shared" si="81"/>
        <v>0</v>
      </c>
      <c r="U240" s="164">
        <f t="shared" si="82"/>
        <v>9822.32</v>
      </c>
      <c r="V240" s="393">
        <f t="shared" si="83"/>
        <v>9822.3200000000015</v>
      </c>
      <c r="W240" s="393">
        <f t="shared" si="84"/>
        <v>0</v>
      </c>
      <c r="Y240" s="393">
        <f t="shared" si="89"/>
        <v>1252.68</v>
      </c>
      <c r="Z240" s="393">
        <f t="shared" si="90"/>
        <v>8295.7899999999991</v>
      </c>
      <c r="AD240" s="395">
        <f>IF(AH240&gt;AH239,AD239,IF(AD239&lt;MiscData!$F$1,EOMONTH(AD239,1),EOMONTH(AD239,-11)))</f>
        <v>41729</v>
      </c>
      <c r="AE240" s="389" t="str">
        <f t="shared" si="85"/>
        <v>20140101KUUM_469</v>
      </c>
      <c r="AF240" s="437" t="str">
        <f t="shared" si="86"/>
        <v>20140101RLS</v>
      </c>
      <c r="AG240" s="438"/>
      <c r="AH240" s="34">
        <f>IF(AH239=MiscData!$AB$91,1,AH239+1)</f>
        <v>63</v>
      </c>
      <c r="AI240" s="34">
        <f>IF(AD240&lt;=MiscData!$B$23,MiscData!$C$23,IF(AD240&lt;=MiscData!$B$24,MiscData!$C$24,MiscData!$C$25))</f>
        <v>20140101</v>
      </c>
      <c r="AK240" s="439" t="str">
        <f>VLOOKUP(AM240,MiscData!$AB$4:$ACB$113,2,FALSE)</f>
        <v>KUUM_469</v>
      </c>
      <c r="AL240" s="439" t="str">
        <f>VLOOKUP(AM240,MiscData!$AB$4:$AE$115,4,FALSE)</f>
        <v>RLS</v>
      </c>
      <c r="AM240" s="34">
        <f>IF(AM239=MiscData!$AB$91,1,AM239+1)</f>
        <v>63</v>
      </c>
    </row>
    <row r="241" spans="1:39">
      <c r="A241" s="389">
        <f t="shared" si="91"/>
        <v>240</v>
      </c>
      <c r="B241" s="395" t="str">
        <f t="shared" si="69"/>
        <v>Mar 2014</v>
      </c>
      <c r="C241" s="396" t="str">
        <f t="shared" si="70"/>
        <v>RLS</v>
      </c>
      <c r="D241" s="396" t="str">
        <f t="shared" si="71"/>
        <v>KUUM_470</v>
      </c>
      <c r="E241" s="394">
        <f t="shared" si="72"/>
        <v>61</v>
      </c>
      <c r="F241" s="397">
        <v>0</v>
      </c>
      <c r="G241" s="394">
        <f t="shared" si="73"/>
        <v>23031</v>
      </c>
      <c r="H241" s="394">
        <v>0</v>
      </c>
      <c r="I241" s="390">
        <f t="shared" si="74"/>
        <v>55.250000000000007</v>
      </c>
      <c r="J241" s="390">
        <f t="shared" si="75"/>
        <v>10.410000000000004</v>
      </c>
      <c r="K241" s="391">
        <f t="shared" si="87"/>
        <v>3370.25</v>
      </c>
      <c r="L241" s="398">
        <v>0</v>
      </c>
      <c r="M241" s="398">
        <v>0</v>
      </c>
      <c r="N241" s="164">
        <f t="shared" si="76"/>
        <v>3370.25</v>
      </c>
      <c r="O241" s="399">
        <f t="shared" si="77"/>
        <v>3370.25</v>
      </c>
      <c r="P241" s="392">
        <f t="shared" si="88"/>
        <v>1</v>
      </c>
      <c r="Q241" s="164">
        <f t="shared" si="78"/>
        <v>71.87</v>
      </c>
      <c r="R241" s="164">
        <f t="shared" si="79"/>
        <v>0</v>
      </c>
      <c r="S241" s="164">
        <f t="shared" si="80"/>
        <v>55.08</v>
      </c>
      <c r="T241" s="164">
        <f t="shared" si="81"/>
        <v>0</v>
      </c>
      <c r="U241" s="164">
        <f t="shared" si="82"/>
        <v>3497.2</v>
      </c>
      <c r="V241" s="393">
        <f t="shared" si="83"/>
        <v>3497.2</v>
      </c>
      <c r="W241" s="393">
        <f t="shared" si="84"/>
        <v>0</v>
      </c>
      <c r="Y241" s="393">
        <f t="shared" si="89"/>
        <v>635.01</v>
      </c>
      <c r="Z241" s="393">
        <f t="shared" si="90"/>
        <v>2735.24</v>
      </c>
      <c r="AD241" s="395">
        <f>IF(AH241&gt;AH240,AD240,IF(AD240&lt;MiscData!$F$1,EOMONTH(AD240,1),EOMONTH(AD240,-11)))</f>
        <v>41729</v>
      </c>
      <c r="AE241" s="389" t="str">
        <f t="shared" si="85"/>
        <v>20140101KUUM_470</v>
      </c>
      <c r="AF241" s="437" t="str">
        <f t="shared" si="86"/>
        <v>20140101RLS</v>
      </c>
      <c r="AG241" s="438"/>
      <c r="AH241" s="34">
        <f>IF(AH240=MiscData!$AB$91,1,AH240+1)</f>
        <v>64</v>
      </c>
      <c r="AI241" s="34">
        <f>IF(AD241&lt;=MiscData!$B$23,MiscData!$C$23,IF(AD241&lt;=MiscData!$B$24,MiscData!$C$24,MiscData!$C$25))</f>
        <v>20140101</v>
      </c>
      <c r="AK241" s="439" t="str">
        <f>VLOOKUP(AM241,MiscData!$AB$4:$ACB$113,2,FALSE)</f>
        <v>KUUM_470</v>
      </c>
      <c r="AL241" s="439" t="str">
        <f>VLOOKUP(AM241,MiscData!$AB$4:$AE$115,4,FALSE)</f>
        <v>RLS</v>
      </c>
      <c r="AM241" s="34">
        <f>IF(AM240=MiscData!$AB$91,1,AM240+1)</f>
        <v>64</v>
      </c>
    </row>
    <row r="242" spans="1:39">
      <c r="A242" s="389">
        <f t="shared" si="91"/>
        <v>241</v>
      </c>
      <c r="B242" s="395" t="str">
        <f t="shared" si="69"/>
        <v>Mar 2014</v>
      </c>
      <c r="C242" s="396" t="str">
        <f t="shared" si="70"/>
        <v>RLS</v>
      </c>
      <c r="D242" s="396" t="str">
        <f t="shared" si="71"/>
        <v>KUUM_471</v>
      </c>
      <c r="E242" s="394">
        <f t="shared" si="72"/>
        <v>3673</v>
      </c>
      <c r="F242" s="397">
        <v>0</v>
      </c>
      <c r="G242" s="394">
        <f t="shared" si="73"/>
        <v>85064</v>
      </c>
      <c r="H242" s="394">
        <v>0</v>
      </c>
      <c r="I242" s="390">
        <f t="shared" si="74"/>
        <v>10.49</v>
      </c>
      <c r="J242" s="390">
        <f t="shared" si="75"/>
        <v>0.56999999999999851</v>
      </c>
      <c r="K242" s="391">
        <f t="shared" si="87"/>
        <v>38529.769999999997</v>
      </c>
      <c r="L242" s="398">
        <v>-61.59</v>
      </c>
      <c r="M242" s="398">
        <v>0</v>
      </c>
      <c r="N242" s="164">
        <f t="shared" si="76"/>
        <v>38468.18</v>
      </c>
      <c r="O242" s="399">
        <f t="shared" si="77"/>
        <v>38468.18</v>
      </c>
      <c r="P242" s="392">
        <f t="shared" si="88"/>
        <v>1</v>
      </c>
      <c r="Q242" s="164">
        <f t="shared" si="78"/>
        <v>-123.66</v>
      </c>
      <c r="R242" s="164">
        <f t="shared" si="79"/>
        <v>0</v>
      </c>
      <c r="S242" s="164">
        <f t="shared" si="80"/>
        <v>2168.15</v>
      </c>
      <c r="T242" s="164">
        <f t="shared" si="81"/>
        <v>0</v>
      </c>
      <c r="U242" s="164">
        <f t="shared" si="82"/>
        <v>40512.67</v>
      </c>
      <c r="V242" s="393">
        <f t="shared" si="83"/>
        <v>40512.67</v>
      </c>
      <c r="W242" s="393">
        <f t="shared" si="84"/>
        <v>0</v>
      </c>
      <c r="Y242" s="393">
        <f t="shared" si="89"/>
        <v>2093.61</v>
      </c>
      <c r="Z242" s="393">
        <f t="shared" si="90"/>
        <v>36374.57</v>
      </c>
      <c r="AD242" s="395">
        <f>IF(AH242&gt;AH241,AD241,IF(AD241&lt;MiscData!$F$1,EOMONTH(AD241,1),EOMONTH(AD241,-11)))</f>
        <v>41729</v>
      </c>
      <c r="AE242" s="389" t="str">
        <f t="shared" si="85"/>
        <v>20140101KUUM_471</v>
      </c>
      <c r="AF242" s="437" t="str">
        <f t="shared" si="86"/>
        <v>20140101RLS</v>
      </c>
      <c r="AG242" s="438"/>
      <c r="AH242" s="34">
        <f>IF(AH241=MiscData!$AB$91,1,AH241+1)</f>
        <v>65</v>
      </c>
      <c r="AI242" s="34">
        <f>IF(AD242&lt;=MiscData!$B$23,MiscData!$C$23,IF(AD242&lt;=MiscData!$B$24,MiscData!$C$24,MiscData!$C$25))</f>
        <v>20140101</v>
      </c>
      <c r="AK242" s="439" t="str">
        <f>VLOOKUP(AM242,MiscData!$AB$4:$ACB$113,2,FALSE)</f>
        <v>KUUM_471</v>
      </c>
      <c r="AL242" s="439" t="str">
        <f>VLOOKUP(AM242,MiscData!$AB$4:$AE$115,4,FALSE)</f>
        <v>RLS</v>
      </c>
      <c r="AM242" s="34">
        <f>IF(AM241=MiscData!$AB$91,1,AM241+1)</f>
        <v>65</v>
      </c>
    </row>
    <row r="243" spans="1:39">
      <c r="A243" s="389">
        <f t="shared" si="91"/>
        <v>242</v>
      </c>
      <c r="B243" s="395" t="str">
        <f t="shared" si="69"/>
        <v>Mar 2014</v>
      </c>
      <c r="C243" s="396" t="str">
        <f t="shared" si="70"/>
        <v>LS</v>
      </c>
      <c r="D243" s="396" t="str">
        <f t="shared" si="71"/>
        <v>KUUM_472</v>
      </c>
      <c r="E243" s="394">
        <f t="shared" si="72"/>
        <v>8736</v>
      </c>
      <c r="F243" s="397">
        <v>0</v>
      </c>
      <c r="G243" s="394">
        <f t="shared" si="73"/>
        <v>280404</v>
      </c>
      <c r="H243" s="394">
        <v>0</v>
      </c>
      <c r="I243" s="390">
        <f t="shared" si="74"/>
        <v>11.600000000000001</v>
      </c>
      <c r="J243" s="390">
        <f t="shared" si="75"/>
        <v>0.80000000000000071</v>
      </c>
      <c r="K243" s="391">
        <f t="shared" si="87"/>
        <v>101337.60000000001</v>
      </c>
      <c r="L243" s="398">
        <v>68.11</v>
      </c>
      <c r="M243" s="398">
        <v>0</v>
      </c>
      <c r="N243" s="164">
        <f t="shared" si="76"/>
        <v>101405.71</v>
      </c>
      <c r="O243" s="399">
        <f t="shared" si="77"/>
        <v>101405.71</v>
      </c>
      <c r="P243" s="392">
        <f t="shared" si="88"/>
        <v>1</v>
      </c>
      <c r="Q243" s="164">
        <f t="shared" si="78"/>
        <v>-396.97</v>
      </c>
      <c r="R243" s="164">
        <f t="shared" si="79"/>
        <v>0</v>
      </c>
      <c r="S243" s="164">
        <f t="shared" si="80"/>
        <v>5674.36</v>
      </c>
      <c r="T243" s="164">
        <f t="shared" si="81"/>
        <v>0</v>
      </c>
      <c r="U243" s="164">
        <f t="shared" si="82"/>
        <v>106683.1</v>
      </c>
      <c r="V243" s="393">
        <f t="shared" si="83"/>
        <v>106683.1</v>
      </c>
      <c r="W243" s="393">
        <f t="shared" si="84"/>
        <v>0</v>
      </c>
      <c r="Y243" s="393">
        <f t="shared" si="89"/>
        <v>6988.8</v>
      </c>
      <c r="Z243" s="393">
        <f t="shared" si="90"/>
        <v>94416.91</v>
      </c>
      <c r="AD243" s="395">
        <f>IF(AH243&gt;AH242,AD242,IF(AD242&lt;MiscData!$F$1,EOMONTH(AD242,1),EOMONTH(AD242,-11)))</f>
        <v>41729</v>
      </c>
      <c r="AE243" s="389" t="str">
        <f t="shared" si="85"/>
        <v>20140101KUUM_472</v>
      </c>
      <c r="AF243" s="437" t="str">
        <f t="shared" si="86"/>
        <v>20140101LS</v>
      </c>
      <c r="AG243" s="438"/>
      <c r="AH243" s="34">
        <f>IF(AH242=MiscData!$AB$91,1,AH242+1)</f>
        <v>66</v>
      </c>
      <c r="AI243" s="34">
        <f>IF(AD243&lt;=MiscData!$B$23,MiscData!$C$23,IF(AD243&lt;=MiscData!$B$24,MiscData!$C$24,MiscData!$C$25))</f>
        <v>20140101</v>
      </c>
      <c r="AK243" s="439" t="str">
        <f>VLOOKUP(AM243,MiscData!$AB$4:$ACB$113,2,FALSE)</f>
        <v>KUUM_472</v>
      </c>
      <c r="AL243" s="439" t="str">
        <f>VLOOKUP(AM243,MiscData!$AB$4:$AE$115,4,FALSE)</f>
        <v>LS</v>
      </c>
      <c r="AM243" s="34">
        <f>IF(AM242=MiscData!$AB$91,1,AM242+1)</f>
        <v>66</v>
      </c>
    </row>
    <row r="244" spans="1:39">
      <c r="A244" s="389">
        <f t="shared" si="91"/>
        <v>243</v>
      </c>
      <c r="B244" s="395" t="str">
        <f t="shared" si="69"/>
        <v>Mar 2014</v>
      </c>
      <c r="C244" s="396" t="str">
        <f t="shared" si="70"/>
        <v>LS</v>
      </c>
      <c r="D244" s="396" t="str">
        <f t="shared" si="71"/>
        <v>KUUM_473</v>
      </c>
      <c r="E244" s="394">
        <f t="shared" si="72"/>
        <v>3398</v>
      </c>
      <c r="F244" s="397">
        <v>0</v>
      </c>
      <c r="G244" s="394">
        <f t="shared" si="73"/>
        <v>148044</v>
      </c>
      <c r="H244" s="394">
        <v>0</v>
      </c>
      <c r="I244" s="390">
        <f t="shared" si="74"/>
        <v>12.3</v>
      </c>
      <c r="J244" s="390">
        <f t="shared" si="75"/>
        <v>1.129999999999999</v>
      </c>
      <c r="K244" s="391">
        <f t="shared" si="87"/>
        <v>41795.4</v>
      </c>
      <c r="L244" s="398">
        <v>-2.77</v>
      </c>
      <c r="M244" s="398">
        <v>0</v>
      </c>
      <c r="N244" s="164">
        <f t="shared" si="76"/>
        <v>41792.630000000005</v>
      </c>
      <c r="O244" s="399">
        <f t="shared" si="77"/>
        <v>41792.629999999997</v>
      </c>
      <c r="P244" s="392">
        <f t="shared" si="88"/>
        <v>1</v>
      </c>
      <c r="Q244" s="164">
        <f t="shared" si="78"/>
        <v>31.92</v>
      </c>
      <c r="R244" s="164">
        <f t="shared" si="79"/>
        <v>0</v>
      </c>
      <c r="S244" s="164">
        <f t="shared" si="80"/>
        <v>1704.72</v>
      </c>
      <c r="T244" s="164">
        <f t="shared" si="81"/>
        <v>0</v>
      </c>
      <c r="U244" s="164">
        <f t="shared" si="82"/>
        <v>43529.27</v>
      </c>
      <c r="V244" s="393">
        <f t="shared" si="83"/>
        <v>43529.270000000004</v>
      </c>
      <c r="W244" s="393">
        <f t="shared" si="84"/>
        <v>0</v>
      </c>
      <c r="Y244" s="393">
        <f t="shared" si="89"/>
        <v>3839.74</v>
      </c>
      <c r="Z244" s="393">
        <f t="shared" si="90"/>
        <v>37952.89</v>
      </c>
      <c r="AD244" s="395">
        <f>IF(AH244&gt;AH243,AD243,IF(AD243&lt;MiscData!$F$1,EOMONTH(AD243,1),EOMONTH(AD243,-11)))</f>
        <v>41729</v>
      </c>
      <c r="AE244" s="389" t="str">
        <f t="shared" si="85"/>
        <v>20140101KUUM_473</v>
      </c>
      <c r="AF244" s="437" t="str">
        <f t="shared" si="86"/>
        <v>20140101LS</v>
      </c>
      <c r="AG244" s="438"/>
      <c r="AH244" s="34">
        <f>IF(AH243=MiscData!$AB$91,1,AH243+1)</f>
        <v>67</v>
      </c>
      <c r="AI244" s="34">
        <f>IF(AD244&lt;=MiscData!$B$23,MiscData!$C$23,IF(AD244&lt;=MiscData!$B$24,MiscData!$C$24,MiscData!$C$25))</f>
        <v>20140101</v>
      </c>
      <c r="AK244" s="439" t="str">
        <f>VLOOKUP(AM244,MiscData!$AB$4:$ACB$113,2,FALSE)</f>
        <v>KUUM_473</v>
      </c>
      <c r="AL244" s="439" t="str">
        <f>VLOOKUP(AM244,MiscData!$AB$4:$AE$115,4,FALSE)</f>
        <v>LS</v>
      </c>
      <c r="AM244" s="34">
        <f>IF(AM243=MiscData!$AB$91,1,AM243+1)</f>
        <v>67</v>
      </c>
    </row>
    <row r="245" spans="1:39">
      <c r="A245" s="389">
        <f t="shared" si="91"/>
        <v>244</v>
      </c>
      <c r="B245" s="395" t="str">
        <f t="shared" si="69"/>
        <v>Mar 2014</v>
      </c>
      <c r="C245" s="396" t="str">
        <f t="shared" si="70"/>
        <v>LS</v>
      </c>
      <c r="D245" s="396" t="str">
        <f t="shared" si="71"/>
        <v>KUUM_474</v>
      </c>
      <c r="E245" s="394">
        <f t="shared" si="72"/>
        <v>5158</v>
      </c>
      <c r="F245" s="397">
        <v>0</v>
      </c>
      <c r="G245" s="394">
        <f t="shared" si="73"/>
        <v>470273</v>
      </c>
      <c r="H245" s="394">
        <v>0</v>
      </c>
      <c r="I245" s="390">
        <f t="shared" si="74"/>
        <v>17.41</v>
      </c>
      <c r="J245" s="390">
        <f t="shared" si="75"/>
        <v>2.33</v>
      </c>
      <c r="K245" s="391">
        <f t="shared" si="87"/>
        <v>89800.78</v>
      </c>
      <c r="L245" s="398">
        <v>91.53</v>
      </c>
      <c r="M245" s="398">
        <v>0</v>
      </c>
      <c r="N245" s="164">
        <f t="shared" si="76"/>
        <v>89892.31</v>
      </c>
      <c r="O245" s="399">
        <f t="shared" si="77"/>
        <v>89892.31</v>
      </c>
      <c r="P245" s="392">
        <f t="shared" si="88"/>
        <v>1</v>
      </c>
      <c r="Q245" s="164">
        <f t="shared" si="78"/>
        <v>122.95</v>
      </c>
      <c r="R245" s="164">
        <f t="shared" si="79"/>
        <v>0</v>
      </c>
      <c r="S245" s="164">
        <f t="shared" si="80"/>
        <v>3646.77</v>
      </c>
      <c r="T245" s="164">
        <f t="shared" si="81"/>
        <v>0</v>
      </c>
      <c r="U245" s="164">
        <f t="shared" si="82"/>
        <v>93662.03</v>
      </c>
      <c r="V245" s="393">
        <f t="shared" si="83"/>
        <v>93662.03</v>
      </c>
      <c r="W245" s="393">
        <f t="shared" si="84"/>
        <v>0</v>
      </c>
      <c r="Y245" s="393">
        <f t="shared" si="89"/>
        <v>12018.14</v>
      </c>
      <c r="Z245" s="393">
        <f t="shared" si="90"/>
        <v>77874.17</v>
      </c>
      <c r="AD245" s="395">
        <f>IF(AH245&gt;AH244,AD244,IF(AD244&lt;MiscData!$F$1,EOMONTH(AD244,1),EOMONTH(AD244,-11)))</f>
        <v>41729</v>
      </c>
      <c r="AE245" s="389" t="str">
        <f t="shared" si="85"/>
        <v>20140101KUUM_474</v>
      </c>
      <c r="AF245" s="437" t="str">
        <f t="shared" si="86"/>
        <v>20140101LS</v>
      </c>
      <c r="AG245" s="438"/>
      <c r="AH245" s="34">
        <f>IF(AH244=MiscData!$AB$91,1,AH244+1)</f>
        <v>68</v>
      </c>
      <c r="AI245" s="34">
        <f>IF(AD245&lt;=MiscData!$B$23,MiscData!$C$23,IF(AD245&lt;=MiscData!$B$24,MiscData!$C$24,MiscData!$C$25))</f>
        <v>20140101</v>
      </c>
      <c r="AK245" s="439" t="str">
        <f>VLOOKUP(AM245,MiscData!$AB$4:$ACB$113,2,FALSE)</f>
        <v>KUUM_474</v>
      </c>
      <c r="AL245" s="439" t="str">
        <f>VLOOKUP(AM245,MiscData!$AB$4:$AE$115,4,FALSE)</f>
        <v>LS</v>
      </c>
      <c r="AM245" s="34">
        <f>IF(AM244=MiscData!$AB$91,1,AM244+1)</f>
        <v>68</v>
      </c>
    </row>
    <row r="246" spans="1:39">
      <c r="A246" s="389">
        <f t="shared" si="91"/>
        <v>245</v>
      </c>
      <c r="B246" s="395" t="str">
        <f t="shared" si="69"/>
        <v>Mar 2014</v>
      </c>
      <c r="C246" s="396" t="str">
        <f t="shared" si="70"/>
        <v>LS</v>
      </c>
      <c r="D246" s="396" t="str">
        <f t="shared" si="71"/>
        <v>KUUM_475</v>
      </c>
      <c r="E246" s="394">
        <f t="shared" si="72"/>
        <v>514</v>
      </c>
      <c r="F246" s="397">
        <v>0</v>
      </c>
      <c r="G246" s="394">
        <f t="shared" si="73"/>
        <v>91504</v>
      </c>
      <c r="H246" s="394">
        <v>0</v>
      </c>
      <c r="I246" s="390">
        <f t="shared" si="74"/>
        <v>24.46</v>
      </c>
      <c r="J246" s="390">
        <f t="shared" si="75"/>
        <v>4.5300000000000011</v>
      </c>
      <c r="K246" s="391">
        <f t="shared" si="87"/>
        <v>12572.44</v>
      </c>
      <c r="L246" s="398">
        <v>20.51</v>
      </c>
      <c r="M246" s="398">
        <v>0</v>
      </c>
      <c r="N246" s="164">
        <f t="shared" si="76"/>
        <v>12592.95</v>
      </c>
      <c r="O246" s="399">
        <f t="shared" si="77"/>
        <v>12592.95</v>
      </c>
      <c r="P246" s="392">
        <f t="shared" si="88"/>
        <v>1</v>
      </c>
      <c r="Q246" s="164">
        <f t="shared" si="78"/>
        <v>27.08</v>
      </c>
      <c r="R246" s="164">
        <f t="shared" si="79"/>
        <v>0</v>
      </c>
      <c r="S246" s="164">
        <f t="shared" si="80"/>
        <v>512.24</v>
      </c>
      <c r="T246" s="164">
        <f t="shared" si="81"/>
        <v>0</v>
      </c>
      <c r="U246" s="164">
        <f t="shared" si="82"/>
        <v>13132.27</v>
      </c>
      <c r="V246" s="393">
        <f t="shared" si="83"/>
        <v>13132.27</v>
      </c>
      <c r="W246" s="393">
        <f t="shared" si="84"/>
        <v>0</v>
      </c>
      <c r="Y246" s="393">
        <f t="shared" si="89"/>
        <v>2328.42</v>
      </c>
      <c r="Z246" s="393">
        <f t="shared" si="90"/>
        <v>10264.530000000001</v>
      </c>
      <c r="AD246" s="395">
        <f>IF(AH246&gt;AH245,AD245,IF(AD245&lt;MiscData!$F$1,EOMONTH(AD245,1),EOMONTH(AD245,-11)))</f>
        <v>41729</v>
      </c>
      <c r="AE246" s="389" t="str">
        <f t="shared" si="85"/>
        <v>20140101KUUM_475</v>
      </c>
      <c r="AF246" s="437" t="str">
        <f t="shared" si="86"/>
        <v>20140101LS</v>
      </c>
      <c r="AG246" s="438"/>
      <c r="AH246" s="34">
        <f>IF(AH245=MiscData!$AB$91,1,AH245+1)</f>
        <v>69</v>
      </c>
      <c r="AI246" s="34">
        <f>IF(AD246&lt;=MiscData!$B$23,MiscData!$C$23,IF(AD246&lt;=MiscData!$B$24,MiscData!$C$24,MiscData!$C$25))</f>
        <v>20140101</v>
      </c>
      <c r="AK246" s="439" t="str">
        <f>VLOOKUP(AM246,MiscData!$AB$4:$ACB$113,2,FALSE)</f>
        <v>KUUM_475</v>
      </c>
      <c r="AL246" s="439" t="str">
        <f>VLOOKUP(AM246,MiscData!$AB$4:$AE$115,4,FALSE)</f>
        <v>LS</v>
      </c>
      <c r="AM246" s="34">
        <f>IF(AM245=MiscData!$AB$91,1,AM245+1)</f>
        <v>69</v>
      </c>
    </row>
    <row r="247" spans="1:39">
      <c r="A247" s="389">
        <f t="shared" si="91"/>
        <v>246</v>
      </c>
      <c r="B247" s="395" t="str">
        <f t="shared" si="69"/>
        <v>Mar 2014</v>
      </c>
      <c r="C247" s="396" t="str">
        <f t="shared" si="70"/>
        <v>LS</v>
      </c>
      <c r="D247" s="396" t="str">
        <f t="shared" si="71"/>
        <v>KUUM_476</v>
      </c>
      <c r="E247" s="394">
        <f t="shared" si="72"/>
        <v>4569</v>
      </c>
      <c r="F247" s="397">
        <v>0</v>
      </c>
      <c r="G247" s="394">
        <f t="shared" si="73"/>
        <v>146577</v>
      </c>
      <c r="H247" s="394">
        <v>0</v>
      </c>
      <c r="I247" s="390">
        <f t="shared" si="74"/>
        <v>16.79</v>
      </c>
      <c r="J247" s="390">
        <f t="shared" si="75"/>
        <v>0.79999999999999893</v>
      </c>
      <c r="K247" s="391">
        <f t="shared" si="87"/>
        <v>76713.509999999995</v>
      </c>
      <c r="L247" s="398">
        <v>0</v>
      </c>
      <c r="M247" s="398">
        <v>0</v>
      </c>
      <c r="N247" s="164">
        <f t="shared" si="76"/>
        <v>76713.509999999995</v>
      </c>
      <c r="O247" s="399">
        <f t="shared" si="77"/>
        <v>76713.510000000009</v>
      </c>
      <c r="P247" s="392">
        <f t="shared" si="88"/>
        <v>1</v>
      </c>
      <c r="Q247" s="164">
        <f t="shared" si="78"/>
        <v>-211.17</v>
      </c>
      <c r="R247" s="164">
        <f t="shared" si="79"/>
        <v>0</v>
      </c>
      <c r="S247" s="164">
        <f t="shared" si="80"/>
        <v>4316.32</v>
      </c>
      <c r="T247" s="164">
        <f t="shared" si="81"/>
        <v>0</v>
      </c>
      <c r="U247" s="164">
        <f t="shared" si="82"/>
        <v>80818.66</v>
      </c>
      <c r="V247" s="393">
        <f t="shared" si="83"/>
        <v>80818.66</v>
      </c>
      <c r="W247" s="393">
        <f t="shared" si="84"/>
        <v>0</v>
      </c>
      <c r="Y247" s="393">
        <f t="shared" si="89"/>
        <v>3655.2</v>
      </c>
      <c r="Z247" s="393">
        <f t="shared" si="90"/>
        <v>73058.310000000012</v>
      </c>
      <c r="AD247" s="395">
        <f>IF(AH247&gt;AH246,AD246,IF(AD246&lt;MiscData!$F$1,EOMONTH(AD246,1),EOMONTH(AD246,-11)))</f>
        <v>41729</v>
      </c>
      <c r="AE247" s="389" t="str">
        <f t="shared" si="85"/>
        <v>20140101KUUM_476</v>
      </c>
      <c r="AF247" s="437" t="str">
        <f t="shared" si="86"/>
        <v>20140101LS</v>
      </c>
      <c r="AG247" s="438"/>
      <c r="AH247" s="34">
        <f>IF(AH246=MiscData!$AB$91,1,AH246+1)</f>
        <v>70</v>
      </c>
      <c r="AI247" s="34">
        <f>IF(AD247&lt;=MiscData!$B$23,MiscData!$C$23,IF(AD247&lt;=MiscData!$B$24,MiscData!$C$24,MiscData!$C$25))</f>
        <v>20140101</v>
      </c>
      <c r="AK247" s="439" t="str">
        <f>VLOOKUP(AM247,MiscData!$AB$4:$ACB$113,2,FALSE)</f>
        <v>KUUM_476</v>
      </c>
      <c r="AL247" s="439" t="str">
        <f>VLOOKUP(AM247,MiscData!$AB$4:$AE$115,4,FALSE)</f>
        <v>LS</v>
      </c>
      <c r="AM247" s="34">
        <f>IF(AM246=MiscData!$AB$91,1,AM246+1)</f>
        <v>70</v>
      </c>
    </row>
    <row r="248" spans="1:39">
      <c r="A248" s="389">
        <f t="shared" si="91"/>
        <v>247</v>
      </c>
      <c r="B248" s="395" t="str">
        <f t="shared" si="69"/>
        <v>Mar 2014</v>
      </c>
      <c r="C248" s="396" t="str">
        <f t="shared" si="70"/>
        <v>LS</v>
      </c>
      <c r="D248" s="396" t="str">
        <f t="shared" si="71"/>
        <v>KUUM_477</v>
      </c>
      <c r="E248" s="394">
        <f t="shared" si="72"/>
        <v>1063</v>
      </c>
      <c r="F248" s="397">
        <v>0</v>
      </c>
      <c r="G248" s="394">
        <f t="shared" si="73"/>
        <v>46505</v>
      </c>
      <c r="H248" s="394">
        <v>0</v>
      </c>
      <c r="I248" s="390">
        <f t="shared" si="74"/>
        <v>20.97</v>
      </c>
      <c r="J248" s="390">
        <f t="shared" si="75"/>
        <v>1.129999999999999</v>
      </c>
      <c r="K248" s="391">
        <f t="shared" si="87"/>
        <v>22291.11</v>
      </c>
      <c r="L248" s="398">
        <v>0</v>
      </c>
      <c r="M248" s="398">
        <v>0</v>
      </c>
      <c r="N248" s="164">
        <f t="shared" si="76"/>
        <v>22291.11</v>
      </c>
      <c r="O248" s="399">
        <f t="shared" si="77"/>
        <v>22291.109999999997</v>
      </c>
      <c r="P248" s="392">
        <f t="shared" si="88"/>
        <v>1</v>
      </c>
      <c r="Q248" s="164">
        <f t="shared" si="78"/>
        <v>31.31</v>
      </c>
      <c r="R248" s="164">
        <f t="shared" si="79"/>
        <v>0</v>
      </c>
      <c r="S248" s="164">
        <f t="shared" si="80"/>
        <v>826.5</v>
      </c>
      <c r="T248" s="164">
        <f t="shared" si="81"/>
        <v>0</v>
      </c>
      <c r="U248" s="164">
        <f t="shared" si="82"/>
        <v>23148.92</v>
      </c>
      <c r="V248" s="393">
        <f t="shared" si="83"/>
        <v>23148.920000000002</v>
      </c>
      <c r="W248" s="393">
        <f t="shared" si="84"/>
        <v>0</v>
      </c>
      <c r="Y248" s="393">
        <f t="shared" si="89"/>
        <v>1201.19</v>
      </c>
      <c r="Z248" s="393">
        <f t="shared" si="90"/>
        <v>21089.919999999998</v>
      </c>
      <c r="AD248" s="395">
        <f>IF(AH248&gt;AH247,AD247,IF(AD247&lt;MiscData!$F$1,EOMONTH(AD247,1),EOMONTH(AD247,-11)))</f>
        <v>41729</v>
      </c>
      <c r="AE248" s="389" t="str">
        <f t="shared" si="85"/>
        <v>20140101KUUM_477</v>
      </c>
      <c r="AF248" s="437" t="str">
        <f t="shared" si="86"/>
        <v>20140101LS</v>
      </c>
      <c r="AG248" s="438"/>
      <c r="AH248" s="34">
        <f>IF(AH247=MiscData!$AB$91,1,AH247+1)</f>
        <v>71</v>
      </c>
      <c r="AI248" s="34">
        <f>IF(AD248&lt;=MiscData!$B$23,MiscData!$C$23,IF(AD248&lt;=MiscData!$B$24,MiscData!$C$24,MiscData!$C$25))</f>
        <v>20140101</v>
      </c>
      <c r="AK248" s="439" t="str">
        <f>VLOOKUP(AM248,MiscData!$AB$4:$ACB$113,2,FALSE)</f>
        <v>KUUM_477</v>
      </c>
      <c r="AL248" s="439" t="str">
        <f>VLOOKUP(AM248,MiscData!$AB$4:$AE$115,4,FALSE)</f>
        <v>LS</v>
      </c>
      <c r="AM248" s="34">
        <f>IF(AM247=MiscData!$AB$91,1,AM247+1)</f>
        <v>71</v>
      </c>
    </row>
    <row r="249" spans="1:39">
      <c r="A249" s="389">
        <f t="shared" si="91"/>
        <v>248</v>
      </c>
      <c r="B249" s="395" t="str">
        <f t="shared" si="69"/>
        <v>Mar 2014</v>
      </c>
      <c r="C249" s="396" t="str">
        <f t="shared" si="70"/>
        <v>LS</v>
      </c>
      <c r="D249" s="396" t="str">
        <f t="shared" si="71"/>
        <v>KUUM_478</v>
      </c>
      <c r="E249" s="394">
        <f t="shared" si="72"/>
        <v>1419</v>
      </c>
      <c r="F249" s="397">
        <v>0</v>
      </c>
      <c r="G249" s="394">
        <f t="shared" si="73"/>
        <v>127334</v>
      </c>
      <c r="H249" s="394">
        <v>0</v>
      </c>
      <c r="I249" s="390">
        <f t="shared" si="74"/>
        <v>26.86</v>
      </c>
      <c r="J249" s="390">
        <f t="shared" si="75"/>
        <v>2.3299999999999983</v>
      </c>
      <c r="K249" s="391">
        <f t="shared" si="87"/>
        <v>38114.339999999997</v>
      </c>
      <c r="L249" s="398">
        <v>0.01</v>
      </c>
      <c r="M249" s="398">
        <v>0</v>
      </c>
      <c r="N249" s="164">
        <f t="shared" si="76"/>
        <v>38114.35</v>
      </c>
      <c r="O249" s="399">
        <f t="shared" si="77"/>
        <v>38114.350000000006</v>
      </c>
      <c r="P249" s="392">
        <f t="shared" si="88"/>
        <v>1</v>
      </c>
      <c r="Q249" s="164">
        <f t="shared" si="78"/>
        <v>141.29</v>
      </c>
      <c r="R249" s="164">
        <f t="shared" si="79"/>
        <v>0</v>
      </c>
      <c r="S249" s="164">
        <f t="shared" si="80"/>
        <v>1262.98</v>
      </c>
      <c r="T249" s="164">
        <f t="shared" si="81"/>
        <v>0</v>
      </c>
      <c r="U249" s="164">
        <f t="shared" si="82"/>
        <v>39518.620000000003</v>
      </c>
      <c r="V249" s="393">
        <f t="shared" si="83"/>
        <v>39518.620000000003</v>
      </c>
      <c r="W249" s="393">
        <f t="shared" si="84"/>
        <v>0</v>
      </c>
      <c r="Y249" s="393">
        <f t="shared" si="89"/>
        <v>3306.27</v>
      </c>
      <c r="Z249" s="393">
        <f t="shared" si="90"/>
        <v>34808.080000000009</v>
      </c>
      <c r="AD249" s="395">
        <f>IF(AH249&gt;AH248,AD248,IF(AD248&lt;MiscData!$F$1,EOMONTH(AD248,1),EOMONTH(AD248,-11)))</f>
        <v>41729</v>
      </c>
      <c r="AE249" s="389" t="str">
        <f t="shared" si="85"/>
        <v>20140101KUUM_478</v>
      </c>
      <c r="AF249" s="437" t="str">
        <f t="shared" si="86"/>
        <v>20140101LS</v>
      </c>
      <c r="AG249" s="438"/>
      <c r="AH249" s="34">
        <f>IF(AH248=MiscData!$AB$91,1,AH248+1)</f>
        <v>72</v>
      </c>
      <c r="AI249" s="34">
        <f>IF(AD249&lt;=MiscData!$B$23,MiscData!$C$23,IF(AD249&lt;=MiscData!$B$24,MiscData!$C$24,MiscData!$C$25))</f>
        <v>20140101</v>
      </c>
      <c r="AK249" s="439" t="str">
        <f>VLOOKUP(AM249,MiscData!$AB$4:$ACB$113,2,FALSE)</f>
        <v>KUUM_478</v>
      </c>
      <c r="AL249" s="439" t="str">
        <f>VLOOKUP(AM249,MiscData!$AB$4:$AE$115,4,FALSE)</f>
        <v>LS</v>
      </c>
      <c r="AM249" s="34">
        <f>IF(AM248=MiscData!$AB$91,1,AM248+1)</f>
        <v>72</v>
      </c>
    </row>
    <row r="250" spans="1:39">
      <c r="A250" s="389">
        <f t="shared" si="91"/>
        <v>249</v>
      </c>
      <c r="B250" s="395" t="str">
        <f t="shared" si="69"/>
        <v>Mar 2014</v>
      </c>
      <c r="C250" s="396" t="str">
        <f t="shared" si="70"/>
        <v>LS</v>
      </c>
      <c r="D250" s="396" t="str">
        <f t="shared" si="71"/>
        <v>KUUM_479</v>
      </c>
      <c r="E250" s="394">
        <f t="shared" si="72"/>
        <v>961</v>
      </c>
      <c r="F250" s="397">
        <v>0</v>
      </c>
      <c r="G250" s="394">
        <f t="shared" si="73"/>
        <v>162580</v>
      </c>
      <c r="H250" s="394">
        <v>0</v>
      </c>
      <c r="I250" s="390">
        <f t="shared" si="74"/>
        <v>33.119999999999997</v>
      </c>
      <c r="J250" s="390">
        <f t="shared" si="75"/>
        <v>4.529999999999994</v>
      </c>
      <c r="K250" s="391">
        <f t="shared" si="87"/>
        <v>31828.32</v>
      </c>
      <c r="L250" s="398">
        <v>-119.33</v>
      </c>
      <c r="M250" s="398">
        <v>0</v>
      </c>
      <c r="N250" s="164">
        <f t="shared" si="76"/>
        <v>31708.989999999998</v>
      </c>
      <c r="O250" s="399">
        <f t="shared" si="77"/>
        <v>31708.989999999998</v>
      </c>
      <c r="P250" s="392">
        <f t="shared" si="88"/>
        <v>1</v>
      </c>
      <c r="Q250" s="164">
        <f t="shared" si="78"/>
        <v>406.73</v>
      </c>
      <c r="R250" s="164">
        <f t="shared" si="79"/>
        <v>0</v>
      </c>
      <c r="S250" s="164">
        <f t="shared" si="80"/>
        <v>674.2</v>
      </c>
      <c r="T250" s="164">
        <f t="shared" si="81"/>
        <v>0</v>
      </c>
      <c r="U250" s="164">
        <f t="shared" si="82"/>
        <v>32789.919999999998</v>
      </c>
      <c r="V250" s="393">
        <f t="shared" si="83"/>
        <v>32789.919999999998</v>
      </c>
      <c r="W250" s="393">
        <f t="shared" si="84"/>
        <v>0</v>
      </c>
      <c r="Y250" s="393">
        <f t="shared" si="89"/>
        <v>4353.33</v>
      </c>
      <c r="Z250" s="393">
        <f t="shared" si="90"/>
        <v>27355.659999999996</v>
      </c>
      <c r="AD250" s="395">
        <f>IF(AH250&gt;AH249,AD249,IF(AD249&lt;MiscData!$F$1,EOMONTH(AD249,1),EOMONTH(AD249,-11)))</f>
        <v>41729</v>
      </c>
      <c r="AE250" s="389" t="str">
        <f t="shared" si="85"/>
        <v>20140101KUUM_479</v>
      </c>
      <c r="AF250" s="437" t="str">
        <f t="shared" si="86"/>
        <v>20140101LS</v>
      </c>
      <c r="AG250" s="438"/>
      <c r="AH250" s="34">
        <f>IF(AH249=MiscData!$AB$91,1,AH249+1)</f>
        <v>73</v>
      </c>
      <c r="AI250" s="34">
        <f>IF(AD250&lt;=MiscData!$B$23,MiscData!$C$23,IF(AD250&lt;=MiscData!$B$24,MiscData!$C$24,MiscData!$C$25))</f>
        <v>20140101</v>
      </c>
      <c r="AK250" s="439" t="str">
        <f>VLOOKUP(AM250,MiscData!$AB$4:$ACB$113,2,FALSE)</f>
        <v>KUUM_479</v>
      </c>
      <c r="AL250" s="439" t="str">
        <f>VLOOKUP(AM250,MiscData!$AB$4:$AE$115,4,FALSE)</f>
        <v>LS</v>
      </c>
      <c r="AM250" s="34">
        <f>IF(AM249=MiscData!$AB$91,1,AM249+1)</f>
        <v>73</v>
      </c>
    </row>
    <row r="251" spans="1:39">
      <c r="A251" s="389">
        <f t="shared" si="91"/>
        <v>250</v>
      </c>
      <c r="B251" s="395" t="str">
        <f t="shared" si="69"/>
        <v>Mar 2014</v>
      </c>
      <c r="C251" s="396" t="str">
        <f t="shared" si="70"/>
        <v>LS</v>
      </c>
      <c r="D251" s="396" t="str">
        <f t="shared" si="71"/>
        <v>KUUM_486</v>
      </c>
      <c r="E251" s="394">
        <f t="shared" si="72"/>
        <v>0</v>
      </c>
      <c r="F251" s="397">
        <v>0</v>
      </c>
      <c r="G251" s="394">
        <f t="shared" si="73"/>
        <v>0</v>
      </c>
      <c r="H251" s="394">
        <v>0</v>
      </c>
      <c r="I251" s="390">
        <f t="shared" si="74"/>
        <v>0</v>
      </c>
      <c r="J251" s="390">
        <f t="shared" si="75"/>
        <v>0</v>
      </c>
      <c r="K251" s="391">
        <f t="shared" si="87"/>
        <v>0</v>
      </c>
      <c r="L251" s="398">
        <v>0</v>
      </c>
      <c r="M251" s="398">
        <v>0</v>
      </c>
      <c r="N251" s="164">
        <f t="shared" si="76"/>
        <v>0</v>
      </c>
      <c r="O251" s="399">
        <f t="shared" si="77"/>
        <v>0</v>
      </c>
      <c r="P251" s="392">
        <f t="shared" si="88"/>
        <v>1</v>
      </c>
      <c r="Q251" s="164">
        <f t="shared" si="78"/>
        <v>0</v>
      </c>
      <c r="R251" s="164">
        <f t="shared" si="79"/>
        <v>0</v>
      </c>
      <c r="S251" s="164">
        <f t="shared" si="80"/>
        <v>0</v>
      </c>
      <c r="T251" s="164">
        <f t="shared" si="81"/>
        <v>0</v>
      </c>
      <c r="U251" s="164">
        <f t="shared" si="82"/>
        <v>0</v>
      </c>
      <c r="V251" s="393">
        <f t="shared" si="83"/>
        <v>0</v>
      </c>
      <c r="W251" s="393">
        <f t="shared" si="84"/>
        <v>0</v>
      </c>
      <c r="Y251" s="393">
        <f t="shared" si="89"/>
        <v>0</v>
      </c>
      <c r="Z251" s="393">
        <f t="shared" si="90"/>
        <v>0</v>
      </c>
      <c r="AD251" s="395">
        <f>IF(AH251&gt;AH250,AD250,IF(AD250&lt;MiscData!$F$1,EOMONTH(AD250,1),EOMONTH(AD250,-11)))</f>
        <v>41729</v>
      </c>
      <c r="AE251" s="389" t="str">
        <f t="shared" si="85"/>
        <v>20140101KUUM_486</v>
      </c>
      <c r="AF251" s="437" t="str">
        <f t="shared" si="86"/>
        <v>20140101LS</v>
      </c>
      <c r="AG251" s="438"/>
      <c r="AH251" s="34">
        <f>IF(AH250=MiscData!$AB$91,1,AH250+1)</f>
        <v>74</v>
      </c>
      <c r="AI251" s="34">
        <f>IF(AD251&lt;=MiscData!$B$23,MiscData!$C$23,IF(AD251&lt;=MiscData!$B$24,MiscData!$C$24,MiscData!$C$25))</f>
        <v>20140101</v>
      </c>
      <c r="AK251" s="439" t="str">
        <f>VLOOKUP(AM251,MiscData!$AB$4:$ACB$113,2,FALSE)</f>
        <v>KUUM_486</v>
      </c>
      <c r="AL251" s="439" t="str">
        <f>VLOOKUP(AM251,MiscData!$AB$4:$AE$115,4,FALSE)</f>
        <v>LS</v>
      </c>
      <c r="AM251" s="34">
        <f>IF(AM250=MiscData!$AB$91,1,AM250+1)</f>
        <v>74</v>
      </c>
    </row>
    <row r="252" spans="1:39">
      <c r="A252" s="389">
        <f t="shared" si="91"/>
        <v>251</v>
      </c>
      <c r="B252" s="395" t="str">
        <f t="shared" si="69"/>
        <v>Mar 2014</v>
      </c>
      <c r="C252" s="396" t="str">
        <f t="shared" si="70"/>
        <v>LS</v>
      </c>
      <c r="D252" s="396" t="str">
        <f t="shared" si="71"/>
        <v>KUUM_487</v>
      </c>
      <c r="E252" s="394">
        <f t="shared" si="72"/>
        <v>11143</v>
      </c>
      <c r="F252" s="397">
        <v>22</v>
      </c>
      <c r="G252" s="394">
        <f t="shared" si="73"/>
        <v>459228</v>
      </c>
      <c r="H252" s="394">
        <v>816</v>
      </c>
      <c r="I252" s="390">
        <f t="shared" si="74"/>
        <v>9</v>
      </c>
      <c r="J252" s="390">
        <f t="shared" si="75"/>
        <v>1.1299999999999999</v>
      </c>
      <c r="K252" s="391">
        <f t="shared" si="87"/>
        <v>100485</v>
      </c>
      <c r="L252" s="398">
        <v>-924.17</v>
      </c>
      <c r="M252" s="398">
        <v>0</v>
      </c>
      <c r="N252" s="164">
        <f t="shared" si="76"/>
        <v>99560.83</v>
      </c>
      <c r="O252" s="399">
        <f t="shared" si="77"/>
        <v>99560.83</v>
      </c>
      <c r="P252" s="392">
        <f t="shared" si="88"/>
        <v>1</v>
      </c>
      <c r="Q252" s="164">
        <f t="shared" si="78"/>
        <v>1413.96</v>
      </c>
      <c r="R252" s="164">
        <f t="shared" si="79"/>
        <v>0</v>
      </c>
      <c r="S252" s="164">
        <f t="shared" si="80"/>
        <v>1682.28</v>
      </c>
      <c r="T252" s="164">
        <f t="shared" si="81"/>
        <v>0</v>
      </c>
      <c r="U252" s="164">
        <f t="shared" si="82"/>
        <v>102657.07</v>
      </c>
      <c r="V252" s="393">
        <f t="shared" si="83"/>
        <v>102657.07</v>
      </c>
      <c r="W252" s="393">
        <f t="shared" si="84"/>
        <v>0</v>
      </c>
      <c r="Y252" s="393">
        <f t="shared" si="89"/>
        <v>12591.59</v>
      </c>
      <c r="Z252" s="393">
        <f t="shared" si="90"/>
        <v>86969.24</v>
      </c>
      <c r="AD252" s="395">
        <f>IF(AH252&gt;AH251,AD251,IF(AD251&lt;MiscData!$F$1,EOMONTH(AD251,1),EOMONTH(AD251,-11)))</f>
        <v>41729</v>
      </c>
      <c r="AE252" s="389" t="str">
        <f t="shared" si="85"/>
        <v>20140101KUUM_487</v>
      </c>
      <c r="AF252" s="437" t="str">
        <f t="shared" si="86"/>
        <v>20140101LS</v>
      </c>
      <c r="AG252" s="438"/>
      <c r="AH252" s="34">
        <f>IF(AH251=MiscData!$AB$91,1,AH251+1)</f>
        <v>75</v>
      </c>
      <c r="AI252" s="34">
        <f>IF(AD252&lt;=MiscData!$B$23,MiscData!$C$23,IF(AD252&lt;=MiscData!$B$24,MiscData!$C$24,MiscData!$C$25))</f>
        <v>20140101</v>
      </c>
      <c r="AK252" s="439" t="str">
        <f>VLOOKUP(AM252,MiscData!$AB$4:$ACB$113,2,FALSE)</f>
        <v>KUUM_487</v>
      </c>
      <c r="AL252" s="439" t="str">
        <f>VLOOKUP(AM252,MiscData!$AB$4:$AE$115,4,FALSE)</f>
        <v>LS</v>
      </c>
      <c r="AM252" s="34">
        <f>IF(AM251=MiscData!$AB$91,1,AM251+1)</f>
        <v>75</v>
      </c>
    </row>
    <row r="253" spans="1:39">
      <c r="A253" s="389">
        <f t="shared" si="91"/>
        <v>252</v>
      </c>
      <c r="B253" s="395" t="str">
        <f t="shared" si="69"/>
        <v>Mar 2014</v>
      </c>
      <c r="C253" s="396" t="str">
        <f t="shared" si="70"/>
        <v>LS</v>
      </c>
      <c r="D253" s="396" t="str">
        <f t="shared" si="71"/>
        <v>KUUM_488</v>
      </c>
      <c r="E253" s="394">
        <f t="shared" si="72"/>
        <v>6431</v>
      </c>
      <c r="F253" s="397">
        <v>167</v>
      </c>
      <c r="G253" s="394">
        <f t="shared" si="73"/>
        <v>584387</v>
      </c>
      <c r="H253" s="394">
        <v>-12265</v>
      </c>
      <c r="I253" s="390">
        <f t="shared" si="74"/>
        <v>13.639999999999999</v>
      </c>
      <c r="J253" s="390">
        <f t="shared" si="75"/>
        <v>2.33</v>
      </c>
      <c r="K253" s="391">
        <f t="shared" si="87"/>
        <v>89996.72</v>
      </c>
      <c r="L253" s="398">
        <v>2217.23</v>
      </c>
      <c r="M253" s="398">
        <v>0</v>
      </c>
      <c r="N253" s="164">
        <f t="shared" si="76"/>
        <v>92213.95</v>
      </c>
      <c r="O253" s="399">
        <f t="shared" si="77"/>
        <v>92213.95</v>
      </c>
      <c r="P253" s="392">
        <f t="shared" si="88"/>
        <v>1</v>
      </c>
      <c r="Q253" s="164">
        <f t="shared" si="78"/>
        <v>1686.49</v>
      </c>
      <c r="R253" s="164">
        <f t="shared" si="79"/>
        <v>0</v>
      </c>
      <c r="S253" s="164">
        <f t="shared" si="80"/>
        <v>1691.91</v>
      </c>
      <c r="T253" s="164">
        <f t="shared" si="81"/>
        <v>0.05</v>
      </c>
      <c r="U253" s="164">
        <f t="shared" si="82"/>
        <v>95592.4</v>
      </c>
      <c r="V253" s="393">
        <f t="shared" si="83"/>
        <v>95592.400000000009</v>
      </c>
      <c r="W253" s="393">
        <f t="shared" si="84"/>
        <v>0</v>
      </c>
      <c r="Y253" s="393">
        <f t="shared" si="89"/>
        <v>14984.23</v>
      </c>
      <c r="Z253" s="393">
        <f t="shared" si="90"/>
        <v>77229.72</v>
      </c>
      <c r="AD253" s="395">
        <f>IF(AH253&gt;AH252,AD252,IF(AD252&lt;MiscData!$F$1,EOMONTH(AD252,1),EOMONTH(AD252,-11)))</f>
        <v>41729</v>
      </c>
      <c r="AE253" s="389" t="str">
        <f t="shared" si="85"/>
        <v>20140101KUUM_488</v>
      </c>
      <c r="AF253" s="437" t="str">
        <f t="shared" si="86"/>
        <v>20140101LS</v>
      </c>
      <c r="AG253" s="438"/>
      <c r="AH253" s="34">
        <f>IF(AH252=MiscData!$AB$91,1,AH252+1)</f>
        <v>76</v>
      </c>
      <c r="AI253" s="34">
        <f>IF(AD253&lt;=MiscData!$B$23,MiscData!$C$23,IF(AD253&lt;=MiscData!$B$24,MiscData!$C$24,MiscData!$C$25))</f>
        <v>20140101</v>
      </c>
      <c r="AK253" s="439" t="str">
        <f>VLOOKUP(AM253,MiscData!$AB$4:$ACB$113,2,FALSE)</f>
        <v>KUUM_488</v>
      </c>
      <c r="AL253" s="439" t="str">
        <f>VLOOKUP(AM253,MiscData!$AB$4:$AE$115,4,FALSE)</f>
        <v>LS</v>
      </c>
      <c r="AM253" s="34">
        <f>IF(AM252=MiscData!$AB$91,1,AM252+1)</f>
        <v>76</v>
      </c>
    </row>
    <row r="254" spans="1:39">
      <c r="A254" s="389">
        <f t="shared" si="91"/>
        <v>253</v>
      </c>
      <c r="B254" s="395" t="str">
        <f t="shared" si="69"/>
        <v>Mar 2014</v>
      </c>
      <c r="C254" s="396" t="str">
        <f t="shared" si="70"/>
        <v>LS</v>
      </c>
      <c r="D254" s="396" t="str">
        <f t="shared" si="71"/>
        <v>KUUM_489</v>
      </c>
      <c r="E254" s="394">
        <f t="shared" si="72"/>
        <v>8182</v>
      </c>
      <c r="F254" s="397">
        <v>153</v>
      </c>
      <c r="G254" s="394">
        <f t="shared" si="73"/>
        <v>1375653</v>
      </c>
      <c r="H254" s="394">
        <v>24093</v>
      </c>
      <c r="I254" s="390">
        <f t="shared" si="74"/>
        <v>19.46</v>
      </c>
      <c r="J254" s="390">
        <f t="shared" si="75"/>
        <v>4.5300000000000011</v>
      </c>
      <c r="K254" s="391">
        <f t="shared" si="87"/>
        <v>162199.1</v>
      </c>
      <c r="L254" s="398">
        <v>-3123.02</v>
      </c>
      <c r="M254" s="398">
        <v>0</v>
      </c>
      <c r="N254" s="164">
        <f t="shared" si="76"/>
        <v>159076.08000000002</v>
      </c>
      <c r="O254" s="399">
        <f t="shared" si="77"/>
        <v>159076.08000000002</v>
      </c>
      <c r="P254" s="392">
        <f t="shared" si="88"/>
        <v>1</v>
      </c>
      <c r="Q254" s="164">
        <f t="shared" si="78"/>
        <v>3990.88</v>
      </c>
      <c r="R254" s="164">
        <f t="shared" si="79"/>
        <v>0</v>
      </c>
      <c r="S254" s="164">
        <f t="shared" si="80"/>
        <v>2886.29</v>
      </c>
      <c r="T254" s="164">
        <f t="shared" si="81"/>
        <v>-0.09</v>
      </c>
      <c r="U254" s="164">
        <f t="shared" si="82"/>
        <v>165953.16</v>
      </c>
      <c r="V254" s="393">
        <f t="shared" si="83"/>
        <v>165953.16000000003</v>
      </c>
      <c r="W254" s="393">
        <f t="shared" si="84"/>
        <v>0</v>
      </c>
      <c r="Y254" s="393">
        <f t="shared" si="89"/>
        <v>37064.46</v>
      </c>
      <c r="Z254" s="393">
        <f t="shared" si="90"/>
        <v>122011.62000000002</v>
      </c>
      <c r="AD254" s="395">
        <f>IF(AH254&gt;AH253,AD253,IF(AD253&lt;MiscData!$F$1,EOMONTH(AD253,1),EOMONTH(AD253,-11)))</f>
        <v>41729</v>
      </c>
      <c r="AE254" s="389" t="str">
        <f t="shared" si="85"/>
        <v>20140101KUUM_489</v>
      </c>
      <c r="AF254" s="437" t="str">
        <f t="shared" si="86"/>
        <v>20140101LS</v>
      </c>
      <c r="AG254" s="438"/>
      <c r="AH254" s="34">
        <f>IF(AH253=MiscData!$AB$91,1,AH253+1)</f>
        <v>77</v>
      </c>
      <c r="AI254" s="34">
        <f>IF(AD254&lt;=MiscData!$B$23,MiscData!$C$23,IF(AD254&lt;=MiscData!$B$24,MiscData!$C$24,MiscData!$C$25))</f>
        <v>20140101</v>
      </c>
      <c r="AK254" s="439" t="str">
        <f>VLOOKUP(AM254,MiscData!$AB$4:$ACB$113,2,FALSE)</f>
        <v>KUUM_489</v>
      </c>
      <c r="AL254" s="439" t="str">
        <f>VLOOKUP(AM254,MiscData!$AB$4:$AE$115,4,FALSE)</f>
        <v>LS</v>
      </c>
      <c r="AM254" s="34">
        <f>IF(AM253=MiscData!$AB$91,1,AM253+1)</f>
        <v>77</v>
      </c>
    </row>
    <row r="255" spans="1:39">
      <c r="A255" s="389">
        <f t="shared" si="91"/>
        <v>254</v>
      </c>
      <c r="B255" s="395" t="str">
        <f t="shared" si="69"/>
        <v>Mar 2014</v>
      </c>
      <c r="C255" s="396" t="str">
        <f t="shared" si="70"/>
        <v>LS</v>
      </c>
      <c r="D255" s="396" t="str">
        <f t="shared" si="71"/>
        <v>KUUM_490</v>
      </c>
      <c r="E255" s="394">
        <f t="shared" si="72"/>
        <v>58</v>
      </c>
      <c r="F255" s="397">
        <v>0</v>
      </c>
      <c r="G255" s="394">
        <f t="shared" si="73"/>
        <v>3059</v>
      </c>
      <c r="H255" s="394">
        <v>0</v>
      </c>
      <c r="I255" s="390">
        <f t="shared" si="74"/>
        <v>15.47</v>
      </c>
      <c r="J255" s="390">
        <f t="shared" si="75"/>
        <v>1.9700000000000006</v>
      </c>
      <c r="K255" s="391">
        <f t="shared" si="87"/>
        <v>897.26</v>
      </c>
      <c r="L255" s="398">
        <v>0</v>
      </c>
      <c r="M255" s="398">
        <v>0</v>
      </c>
      <c r="N255" s="164">
        <f t="shared" si="76"/>
        <v>897.26</v>
      </c>
      <c r="O255" s="399">
        <f t="shared" si="77"/>
        <v>897.26</v>
      </c>
      <c r="P255" s="392">
        <f t="shared" si="88"/>
        <v>1</v>
      </c>
      <c r="Q255" s="164">
        <f t="shared" si="78"/>
        <v>9.3000000000000007</v>
      </c>
      <c r="R255" s="164">
        <f t="shared" si="79"/>
        <v>0</v>
      </c>
      <c r="S255" s="164">
        <f t="shared" si="80"/>
        <v>15.12</v>
      </c>
      <c r="T255" s="164">
        <f t="shared" si="81"/>
        <v>0</v>
      </c>
      <c r="U255" s="164">
        <f t="shared" si="82"/>
        <v>921.68</v>
      </c>
      <c r="V255" s="393">
        <f t="shared" si="83"/>
        <v>921.68</v>
      </c>
      <c r="W255" s="393">
        <f t="shared" si="84"/>
        <v>0</v>
      </c>
      <c r="Y255" s="393">
        <f t="shared" si="89"/>
        <v>114.26</v>
      </c>
      <c r="Z255" s="393">
        <f t="shared" si="90"/>
        <v>783</v>
      </c>
      <c r="AD255" s="395">
        <f>IF(AH255&gt;AH254,AD254,IF(AD254&lt;MiscData!$F$1,EOMONTH(AD254,1),EOMONTH(AD254,-11)))</f>
        <v>41729</v>
      </c>
      <c r="AE255" s="389" t="str">
        <f t="shared" si="85"/>
        <v>20140101KUUM_490</v>
      </c>
      <c r="AF255" s="437" t="str">
        <f t="shared" si="86"/>
        <v>20140101LS</v>
      </c>
      <c r="AG255" s="438"/>
      <c r="AH255" s="34">
        <f>IF(AH254=MiscData!$AB$91,1,AH254+1)</f>
        <v>78</v>
      </c>
      <c r="AI255" s="34">
        <f>IF(AD255&lt;=MiscData!$B$23,MiscData!$C$23,IF(AD255&lt;=MiscData!$B$24,MiscData!$C$24,MiscData!$C$25))</f>
        <v>20140101</v>
      </c>
      <c r="AK255" s="439" t="str">
        <f>VLOOKUP(AM255,MiscData!$AB$4:$ACB$113,2,FALSE)</f>
        <v>KUUM_490</v>
      </c>
      <c r="AL255" s="439" t="str">
        <f>VLOOKUP(AM255,MiscData!$AB$4:$AE$115,4,FALSE)</f>
        <v>LS</v>
      </c>
      <c r="AM255" s="34">
        <f>IF(AM254=MiscData!$AB$91,1,AM254+1)</f>
        <v>78</v>
      </c>
    </row>
    <row r="256" spans="1:39">
      <c r="A256" s="389">
        <f t="shared" si="91"/>
        <v>255</v>
      </c>
      <c r="B256" s="395" t="str">
        <f t="shared" si="69"/>
        <v>Mar 2014</v>
      </c>
      <c r="C256" s="396" t="str">
        <f t="shared" si="70"/>
        <v>LS</v>
      </c>
      <c r="D256" s="396" t="str">
        <f t="shared" si="71"/>
        <v>KUUM_491</v>
      </c>
      <c r="E256" s="394">
        <f t="shared" si="72"/>
        <v>314</v>
      </c>
      <c r="F256" s="397">
        <v>0</v>
      </c>
      <c r="G256" s="394">
        <f t="shared" si="73"/>
        <v>37676</v>
      </c>
      <c r="H256" s="394">
        <v>0</v>
      </c>
      <c r="I256" s="390">
        <f t="shared" si="74"/>
        <v>21.930000000000003</v>
      </c>
      <c r="J256" s="390">
        <f t="shared" si="75"/>
        <v>4.2900000000000027</v>
      </c>
      <c r="K256" s="391">
        <f t="shared" si="87"/>
        <v>6886.02</v>
      </c>
      <c r="L256" s="398">
        <v>-233.92</v>
      </c>
      <c r="M256" s="398">
        <v>0</v>
      </c>
      <c r="N256" s="164">
        <f t="shared" si="76"/>
        <v>6652.1</v>
      </c>
      <c r="O256" s="399">
        <f t="shared" si="77"/>
        <v>6652.0999999999995</v>
      </c>
      <c r="P256" s="392">
        <f t="shared" si="88"/>
        <v>1</v>
      </c>
      <c r="Q256" s="164">
        <f t="shared" si="78"/>
        <v>114.59</v>
      </c>
      <c r="R256" s="164">
        <f t="shared" si="79"/>
        <v>0</v>
      </c>
      <c r="S256" s="164">
        <f t="shared" si="80"/>
        <v>112.68</v>
      </c>
      <c r="T256" s="164">
        <f t="shared" si="81"/>
        <v>0</v>
      </c>
      <c r="U256" s="164">
        <f t="shared" si="82"/>
        <v>6879.37</v>
      </c>
      <c r="V256" s="393">
        <f t="shared" si="83"/>
        <v>6879.3700000000008</v>
      </c>
      <c r="W256" s="393">
        <f t="shared" si="84"/>
        <v>0</v>
      </c>
      <c r="Y256" s="393">
        <f t="shared" si="89"/>
        <v>1347.06</v>
      </c>
      <c r="Z256" s="393">
        <f t="shared" si="90"/>
        <v>5305.0399999999991</v>
      </c>
      <c r="AD256" s="395">
        <f>IF(AH256&gt;AH255,AD255,IF(AD255&lt;MiscData!$F$1,EOMONTH(AD255,1),EOMONTH(AD255,-11)))</f>
        <v>41729</v>
      </c>
      <c r="AE256" s="389" t="str">
        <f t="shared" si="85"/>
        <v>20140101KUUM_491</v>
      </c>
      <c r="AF256" s="437" t="str">
        <f t="shared" si="86"/>
        <v>20140101LS</v>
      </c>
      <c r="AG256" s="438"/>
      <c r="AH256" s="34">
        <f>IF(AH255=MiscData!$AB$91,1,AH255+1)</f>
        <v>79</v>
      </c>
      <c r="AI256" s="34">
        <f>IF(AD256&lt;=MiscData!$B$23,MiscData!$C$23,IF(AD256&lt;=MiscData!$B$24,MiscData!$C$24,MiscData!$C$25))</f>
        <v>20140101</v>
      </c>
      <c r="AK256" s="439" t="str">
        <f>VLOOKUP(AM256,MiscData!$AB$4:$ACB$113,2,FALSE)</f>
        <v>KUUM_491</v>
      </c>
      <c r="AL256" s="439" t="str">
        <f>VLOOKUP(AM256,MiscData!$AB$4:$AE$115,4,FALSE)</f>
        <v>LS</v>
      </c>
      <c r="AM256" s="34">
        <f>IF(AM255=MiscData!$AB$91,1,AM255+1)</f>
        <v>79</v>
      </c>
    </row>
    <row r="257" spans="1:39">
      <c r="A257" s="389">
        <f t="shared" si="91"/>
        <v>256</v>
      </c>
      <c r="B257" s="395" t="str">
        <f t="shared" si="69"/>
        <v>Mar 2014</v>
      </c>
      <c r="C257" s="396" t="str">
        <f t="shared" si="70"/>
        <v>LS</v>
      </c>
      <c r="D257" s="396" t="str">
        <f t="shared" si="71"/>
        <v>KUUM_492</v>
      </c>
      <c r="E257" s="394">
        <f t="shared" si="72"/>
        <v>2</v>
      </c>
      <c r="F257" s="397">
        <v>0</v>
      </c>
      <c r="G257" s="394">
        <f t="shared" si="73"/>
        <v>59</v>
      </c>
      <c r="H257" s="394">
        <v>0</v>
      </c>
      <c r="I257" s="390">
        <f t="shared" si="74"/>
        <v>15.370000000000001</v>
      </c>
      <c r="J257" s="390">
        <f t="shared" si="75"/>
        <v>0.80000000000000071</v>
      </c>
      <c r="K257" s="391">
        <f t="shared" si="87"/>
        <v>30.74</v>
      </c>
      <c r="L257" s="398">
        <v>0</v>
      </c>
      <c r="M257" s="398">
        <v>0</v>
      </c>
      <c r="N257" s="164">
        <f t="shared" si="76"/>
        <v>30.74</v>
      </c>
      <c r="O257" s="399">
        <f t="shared" si="77"/>
        <v>30.740000000000002</v>
      </c>
      <c r="P257" s="392">
        <f t="shared" si="88"/>
        <v>1</v>
      </c>
      <c r="Q257" s="164">
        <f t="shared" si="78"/>
        <v>0.18</v>
      </c>
      <c r="R257" s="164">
        <f t="shared" si="79"/>
        <v>0</v>
      </c>
      <c r="S257" s="164">
        <f t="shared" si="80"/>
        <v>0.49</v>
      </c>
      <c r="T257" s="164">
        <f t="shared" si="81"/>
        <v>0</v>
      </c>
      <c r="U257" s="164">
        <f t="shared" si="82"/>
        <v>31.41</v>
      </c>
      <c r="V257" s="393">
        <f t="shared" si="83"/>
        <v>31.409999999999997</v>
      </c>
      <c r="W257" s="393">
        <f t="shared" si="84"/>
        <v>0</v>
      </c>
      <c r="Y257" s="393">
        <f t="shared" si="89"/>
        <v>1.6</v>
      </c>
      <c r="Z257" s="393">
        <f t="shared" si="90"/>
        <v>29.14</v>
      </c>
      <c r="AD257" s="395">
        <f>IF(AH257&gt;AH256,AD256,IF(AD256&lt;MiscData!$F$1,EOMONTH(AD256,1),EOMONTH(AD256,-11)))</f>
        <v>41729</v>
      </c>
      <c r="AE257" s="389" t="str">
        <f t="shared" si="85"/>
        <v>20140101KUUM_492</v>
      </c>
      <c r="AF257" s="437" t="str">
        <f t="shared" si="86"/>
        <v>20140101LS</v>
      </c>
      <c r="AG257" s="438"/>
      <c r="AH257" s="34">
        <f>IF(AH256=MiscData!$AB$91,1,AH256+1)</f>
        <v>80</v>
      </c>
      <c r="AI257" s="34">
        <f>IF(AD257&lt;=MiscData!$B$23,MiscData!$C$23,IF(AD257&lt;=MiscData!$B$24,MiscData!$C$24,MiscData!$C$25))</f>
        <v>20140101</v>
      </c>
      <c r="AK257" s="439" t="str">
        <f>VLOOKUP(AM257,MiscData!$AB$4:$ACB$113,2,FALSE)</f>
        <v>KUUM_492</v>
      </c>
      <c r="AL257" s="439" t="str">
        <f>VLOOKUP(AM257,MiscData!$AB$4:$AE$115,4,FALSE)</f>
        <v>LS</v>
      </c>
      <c r="AM257" s="34">
        <f>IF(AM256=MiscData!$AB$91,1,AM256+1)</f>
        <v>80</v>
      </c>
    </row>
    <row r="258" spans="1:39">
      <c r="A258" s="389">
        <f t="shared" si="91"/>
        <v>257</v>
      </c>
      <c r="B258" s="395" t="str">
        <f t="shared" ref="B258:B289" si="92">TEXT(AD258,"mmm yyyy")</f>
        <v>Mar 2014</v>
      </c>
      <c r="C258" s="396" t="str">
        <f t="shared" ref="C258:C289" si="93">AL258</f>
        <v>LS</v>
      </c>
      <c r="D258" s="396" t="str">
        <f t="shared" ref="D258:D289" si="94">AK258</f>
        <v>KUUM_493</v>
      </c>
      <c r="E258" s="394">
        <f t="shared" ref="E258:E320" si="95">SUMIFS(_1055_Light_Count,_1055_RevMonth,$B258,_1055_RateCategory,$D258)</f>
        <v>43</v>
      </c>
      <c r="F258" s="397">
        <v>0</v>
      </c>
      <c r="G258" s="394">
        <f t="shared" ref="G258:G320" si="96">SUMIFS(_SBR_KWH,_SBR_Revenue_Month,$B258,_SBR_Rate_Category,$D258)</f>
        <v>16697</v>
      </c>
      <c r="H258" s="394">
        <v>0</v>
      </c>
      <c r="I258" s="390">
        <f t="shared" ref="I258:I289" si="97">SUMIF(_Lights_Tariff_Category,$AE258,_Lights_Rates)</f>
        <v>45.7</v>
      </c>
      <c r="J258" s="390">
        <f t="shared" ref="J258:J289" si="98">SUMIF(_Lights_Tariff_Category,$AE258,_Rates_Lights_BaseFAC)</f>
        <v>10.409999999999997</v>
      </c>
      <c r="K258" s="391">
        <f t="shared" si="87"/>
        <v>1965.1</v>
      </c>
      <c r="L258" s="398">
        <v>0</v>
      </c>
      <c r="M258" s="398">
        <v>0</v>
      </c>
      <c r="N258" s="164">
        <f t="shared" ref="N258:N286" si="99">SUM(K258:M258)</f>
        <v>1965.1</v>
      </c>
      <c r="O258" s="399">
        <f t="shared" ref="O258:O320" si="100">U258-SUM(Q258:T258)</f>
        <v>1965.1</v>
      </c>
      <c r="P258" s="392">
        <f t="shared" si="88"/>
        <v>1</v>
      </c>
      <c r="Q258" s="164">
        <f t="shared" ref="Q258:Q320" si="101">SUMIFS(_SBR_FAC,_SBR_Revenue_Month,$B258,_SBR_Rate_Category,$D258)</f>
        <v>52.11</v>
      </c>
      <c r="R258" s="164">
        <f t="shared" ref="R258:R320" si="102">SUMIFS(_SBR_DSM,_SBR_Revenue_Month,$B258,_SBR_Rate_Category,$D258)</f>
        <v>0</v>
      </c>
      <c r="S258" s="164">
        <f t="shared" ref="S258:S320" si="103">SUMIFS(_SBR_ECR,_SBR_Revenue_Month,$B258,_SBR_Rate_Category,$D258)</f>
        <v>32.270000000000003</v>
      </c>
      <c r="T258" s="164">
        <f t="shared" ref="T258:T320" si="104">SUMIFS(_SBR_MSR,_SBR_Revenue_Month,$B258,_SBR_Rate_Category,$D258)</f>
        <v>0</v>
      </c>
      <c r="U258" s="164">
        <f t="shared" ref="U258:U320" si="105">SUMIFS(_SBR_Revenue_Actual,_SBR_Revenue_Month,$B258,_SBR_Rate_Category,$D258)</f>
        <v>2049.48</v>
      </c>
      <c r="V258" s="393">
        <f t="shared" ref="V258:V320" si="106">SUM(N258,Q258:T258)</f>
        <v>2049.48</v>
      </c>
      <c r="W258" s="393">
        <f t="shared" ref="W258:W320" si="107">U258-V258</f>
        <v>0</v>
      </c>
      <c r="Y258" s="393">
        <f t="shared" si="89"/>
        <v>447.63</v>
      </c>
      <c r="Z258" s="393">
        <f t="shared" si="90"/>
        <v>1517.4699999999998</v>
      </c>
      <c r="AD258" s="395">
        <f>IF(AH258&gt;AH257,AD257,IF(AD257&lt;MiscData!$F$1,EOMONTH(AD257,1),EOMONTH(AD257,-11)))</f>
        <v>41729</v>
      </c>
      <c r="AE258" s="389" t="str">
        <f t="shared" ref="AE258:AE320" si="108">CONCATENATE(AI258&amp;AK258)</f>
        <v>20140101KUUM_493</v>
      </c>
      <c r="AF258" s="437" t="str">
        <f t="shared" ref="AF258:AF320" si="109">CONCATENATE(AI258&amp;AL258)</f>
        <v>20140101LS</v>
      </c>
      <c r="AG258" s="438"/>
      <c r="AH258" s="34">
        <f>IF(AH257=MiscData!$AB$91,1,AH257+1)</f>
        <v>81</v>
      </c>
      <c r="AI258" s="34">
        <f>IF(AD258&lt;=MiscData!$B$23,MiscData!$C$23,IF(AD258&lt;=MiscData!$B$24,MiscData!$C$24,MiscData!$C$25))</f>
        <v>20140101</v>
      </c>
      <c r="AK258" s="439" t="str">
        <f>VLOOKUP(AM258,MiscData!$AB$4:$ACB$113,2,FALSE)</f>
        <v>KUUM_493</v>
      </c>
      <c r="AL258" s="439" t="str">
        <f>VLOOKUP(AM258,MiscData!$AB$4:$AE$115,4,FALSE)</f>
        <v>LS</v>
      </c>
      <c r="AM258" s="34">
        <f>IF(AM257=MiscData!$AB$91,1,AM257+1)</f>
        <v>81</v>
      </c>
    </row>
    <row r="259" spans="1:39">
      <c r="A259" s="389">
        <f t="shared" si="91"/>
        <v>258</v>
      </c>
      <c r="B259" s="395" t="str">
        <f t="shared" si="92"/>
        <v>Mar 2014</v>
      </c>
      <c r="C259" s="396" t="str">
        <f t="shared" si="93"/>
        <v>LS</v>
      </c>
      <c r="D259" s="396" t="str">
        <f t="shared" si="94"/>
        <v>KUUM_494</v>
      </c>
      <c r="E259" s="394">
        <f t="shared" si="95"/>
        <v>168</v>
      </c>
      <c r="F259" s="397">
        <v>0</v>
      </c>
      <c r="G259" s="394">
        <f t="shared" si="96"/>
        <v>9130</v>
      </c>
      <c r="H259" s="394">
        <v>0</v>
      </c>
      <c r="I259" s="390">
        <f t="shared" si="97"/>
        <v>28.37</v>
      </c>
      <c r="J259" s="390">
        <f t="shared" si="98"/>
        <v>1.9699999999999989</v>
      </c>
      <c r="K259" s="391">
        <f t="shared" ref="K259:K322" si="110">ROUND(($E259+$F259)*$I259,2)</f>
        <v>4766.16</v>
      </c>
      <c r="L259" s="398">
        <v>0</v>
      </c>
      <c r="M259" s="398">
        <v>0</v>
      </c>
      <c r="N259" s="164">
        <f t="shared" si="99"/>
        <v>4766.16</v>
      </c>
      <c r="O259" s="399">
        <f t="shared" si="100"/>
        <v>4766.16</v>
      </c>
      <c r="P259" s="392">
        <f t="shared" ref="P259:P322" si="111">IF(AND(N259=0,O259=0),1,IF(N259=0,0,ROUND(O259/N259,6)))</f>
        <v>1</v>
      </c>
      <c r="Q259" s="164">
        <f t="shared" si="101"/>
        <v>20.51</v>
      </c>
      <c r="R259" s="164">
        <f t="shared" si="102"/>
        <v>0</v>
      </c>
      <c r="S259" s="164">
        <f t="shared" si="103"/>
        <v>112.19</v>
      </c>
      <c r="T259" s="164">
        <f t="shared" si="104"/>
        <v>0</v>
      </c>
      <c r="U259" s="164">
        <f t="shared" si="105"/>
        <v>4898.8599999999997</v>
      </c>
      <c r="V259" s="393">
        <f t="shared" si="106"/>
        <v>4898.8599999999997</v>
      </c>
      <c r="W259" s="393">
        <f t="shared" si="107"/>
        <v>0</v>
      </c>
      <c r="Y259" s="393">
        <f t="shared" ref="Y259:Y290" si="112">ROUND(E259*J259,2)</f>
        <v>330.96</v>
      </c>
      <c r="Z259" s="393">
        <f t="shared" ref="Z259:Z321" si="113">O259-Y259</f>
        <v>4435.2</v>
      </c>
      <c r="AD259" s="395">
        <f>IF(AH259&gt;AH258,AD258,IF(AD258&lt;MiscData!$F$1,EOMONTH(AD258,1),EOMONTH(AD258,-11)))</f>
        <v>41729</v>
      </c>
      <c r="AE259" s="389" t="str">
        <f t="shared" si="108"/>
        <v>20140101KUUM_494</v>
      </c>
      <c r="AF259" s="437" t="str">
        <f t="shared" si="109"/>
        <v>20140101LS</v>
      </c>
      <c r="AG259" s="438"/>
      <c r="AH259" s="34">
        <f>IF(AH258=MiscData!$AB$91,1,AH258+1)</f>
        <v>82</v>
      </c>
      <c r="AI259" s="34">
        <f>IF(AD259&lt;=MiscData!$B$23,MiscData!$C$23,IF(AD259&lt;=MiscData!$B$24,MiscData!$C$24,MiscData!$C$25))</f>
        <v>20140101</v>
      </c>
      <c r="AK259" s="439" t="str">
        <f>VLOOKUP(AM259,MiscData!$AB$4:$ACB$113,2,FALSE)</f>
        <v>KUUM_494</v>
      </c>
      <c r="AL259" s="439" t="str">
        <f>VLOOKUP(AM259,MiscData!$AB$4:$AE$115,4,FALSE)</f>
        <v>LS</v>
      </c>
      <c r="AM259" s="34">
        <f>IF(AM258=MiscData!$AB$91,1,AM258+1)</f>
        <v>82</v>
      </c>
    </row>
    <row r="260" spans="1:39">
      <c r="A260" s="389">
        <f t="shared" ref="A260:A322" si="114">A259+1</f>
        <v>259</v>
      </c>
      <c r="B260" s="395" t="str">
        <f t="shared" si="92"/>
        <v>Mar 2014</v>
      </c>
      <c r="C260" s="396" t="str">
        <f t="shared" si="93"/>
        <v>LS</v>
      </c>
      <c r="D260" s="396" t="str">
        <f t="shared" si="94"/>
        <v>KUUM_495</v>
      </c>
      <c r="E260" s="394">
        <f t="shared" si="95"/>
        <v>626</v>
      </c>
      <c r="F260" s="397">
        <v>0</v>
      </c>
      <c r="G260" s="394">
        <f t="shared" si="96"/>
        <v>77106</v>
      </c>
      <c r="H260" s="394">
        <v>0</v>
      </c>
      <c r="I260" s="390">
        <f t="shared" si="97"/>
        <v>34.830000000000005</v>
      </c>
      <c r="J260" s="390">
        <f t="shared" si="98"/>
        <v>4.2899999999999991</v>
      </c>
      <c r="K260" s="391">
        <f t="shared" si="110"/>
        <v>21803.58</v>
      </c>
      <c r="L260" s="398">
        <v>-76.91</v>
      </c>
      <c r="M260" s="398">
        <v>0</v>
      </c>
      <c r="N260" s="164">
        <f t="shared" si="99"/>
        <v>21726.670000000002</v>
      </c>
      <c r="O260" s="399">
        <f t="shared" si="100"/>
        <v>21726.67</v>
      </c>
      <c r="P260" s="392">
        <f t="shared" si="111"/>
        <v>1</v>
      </c>
      <c r="Q260" s="164">
        <f t="shared" si="101"/>
        <v>236.96</v>
      </c>
      <c r="R260" s="164">
        <f t="shared" si="102"/>
        <v>0</v>
      </c>
      <c r="S260" s="164">
        <f t="shared" si="103"/>
        <v>359.9</v>
      </c>
      <c r="T260" s="164">
        <f t="shared" si="104"/>
        <v>0</v>
      </c>
      <c r="U260" s="164">
        <f t="shared" si="105"/>
        <v>22323.53</v>
      </c>
      <c r="V260" s="393">
        <f t="shared" si="106"/>
        <v>22323.530000000002</v>
      </c>
      <c r="W260" s="393">
        <f t="shared" si="107"/>
        <v>0</v>
      </c>
      <c r="Y260" s="393">
        <f t="shared" si="112"/>
        <v>2685.54</v>
      </c>
      <c r="Z260" s="393">
        <f t="shared" si="113"/>
        <v>19041.129999999997</v>
      </c>
      <c r="AD260" s="395">
        <f>IF(AH260&gt;AH259,AD259,IF(AD259&lt;MiscData!$F$1,EOMONTH(AD259,1),EOMONTH(AD259,-11)))</f>
        <v>41729</v>
      </c>
      <c r="AE260" s="389" t="str">
        <f t="shared" si="108"/>
        <v>20140101KUUM_495</v>
      </c>
      <c r="AF260" s="437" t="str">
        <f t="shared" si="109"/>
        <v>20140101LS</v>
      </c>
      <c r="AG260" s="438"/>
      <c r="AH260" s="34">
        <f>IF(AH259=MiscData!$AB$91,1,AH259+1)</f>
        <v>83</v>
      </c>
      <c r="AI260" s="34">
        <f>IF(AD260&lt;=MiscData!$B$23,MiscData!$C$23,IF(AD260&lt;=MiscData!$B$24,MiscData!$C$24,MiscData!$C$25))</f>
        <v>20140101</v>
      </c>
      <c r="AK260" s="439" t="str">
        <f>VLOOKUP(AM260,MiscData!$AB$4:$ACB$113,2,FALSE)</f>
        <v>KUUM_495</v>
      </c>
      <c r="AL260" s="439" t="str">
        <f>VLOOKUP(AM260,MiscData!$AB$4:$AE$115,4,FALSE)</f>
        <v>LS</v>
      </c>
      <c r="AM260" s="34">
        <f>IF(AM259=MiscData!$AB$91,1,AM259+1)</f>
        <v>83</v>
      </c>
    </row>
    <row r="261" spans="1:39">
      <c r="A261" s="389">
        <f t="shared" si="114"/>
        <v>260</v>
      </c>
      <c r="B261" s="395" t="str">
        <f t="shared" si="92"/>
        <v>Mar 2014</v>
      </c>
      <c r="C261" s="396" t="str">
        <f t="shared" si="93"/>
        <v>LS</v>
      </c>
      <c r="D261" s="396" t="str">
        <f t="shared" si="94"/>
        <v>KUUM_496</v>
      </c>
      <c r="E261" s="394">
        <f t="shared" si="95"/>
        <v>157</v>
      </c>
      <c r="F261" s="397">
        <v>0</v>
      </c>
      <c r="G261" s="394">
        <f t="shared" si="96"/>
        <v>60170</v>
      </c>
      <c r="H261" s="394">
        <v>0</v>
      </c>
      <c r="I261" s="390">
        <f t="shared" si="97"/>
        <v>58.59</v>
      </c>
      <c r="J261" s="390">
        <f t="shared" si="98"/>
        <v>10.409999999999997</v>
      </c>
      <c r="K261" s="391">
        <f t="shared" si="110"/>
        <v>9198.6299999999992</v>
      </c>
      <c r="L261" s="398">
        <v>0</v>
      </c>
      <c r="M261" s="398">
        <v>0</v>
      </c>
      <c r="N261" s="164">
        <f t="shared" si="99"/>
        <v>9198.6299999999992</v>
      </c>
      <c r="O261" s="399">
        <f t="shared" si="100"/>
        <v>9198.6299999999992</v>
      </c>
      <c r="P261" s="392">
        <f t="shared" si="111"/>
        <v>1</v>
      </c>
      <c r="Q261" s="164">
        <f t="shared" si="101"/>
        <v>171.7</v>
      </c>
      <c r="R261" s="164">
        <f t="shared" si="102"/>
        <v>0</v>
      </c>
      <c r="S261" s="164">
        <f t="shared" si="103"/>
        <v>171.14</v>
      </c>
      <c r="T261" s="164">
        <f t="shared" si="104"/>
        <v>0</v>
      </c>
      <c r="U261" s="164">
        <f t="shared" si="105"/>
        <v>9541.4699999999993</v>
      </c>
      <c r="V261" s="393">
        <f t="shared" si="106"/>
        <v>9541.4699999999993</v>
      </c>
      <c r="W261" s="393">
        <f t="shared" si="107"/>
        <v>0</v>
      </c>
      <c r="Y261" s="393">
        <f t="shared" si="112"/>
        <v>1634.37</v>
      </c>
      <c r="Z261" s="393">
        <f t="shared" si="113"/>
        <v>7564.2599999999993</v>
      </c>
      <c r="AD261" s="395">
        <f>IF(AH261&gt;AH260,AD260,IF(AD260&lt;MiscData!$F$1,EOMONTH(AD260,1),EOMONTH(AD260,-11)))</f>
        <v>41729</v>
      </c>
      <c r="AE261" s="389" t="str">
        <f t="shared" si="108"/>
        <v>20140101KUUM_496</v>
      </c>
      <c r="AF261" s="437" t="str">
        <f t="shared" si="109"/>
        <v>20140101LS</v>
      </c>
      <c r="AG261" s="438"/>
      <c r="AH261" s="34">
        <f>IF(AH260=MiscData!$AB$91,1,AH260+1)</f>
        <v>84</v>
      </c>
      <c r="AI261" s="34">
        <f>IF(AD261&lt;=MiscData!$B$23,MiscData!$C$23,IF(AD261&lt;=MiscData!$B$24,MiscData!$C$24,MiscData!$C$25))</f>
        <v>20140101</v>
      </c>
      <c r="AK261" s="439" t="str">
        <f>VLOOKUP(AM261,MiscData!$AB$4:$ACB$113,2,FALSE)</f>
        <v>KUUM_496</v>
      </c>
      <c r="AL261" s="439" t="str">
        <f>VLOOKUP(AM261,MiscData!$AB$4:$AE$115,4,FALSE)</f>
        <v>LS</v>
      </c>
      <c r="AM261" s="34">
        <f>IF(AM260=MiscData!$AB$91,1,AM260+1)</f>
        <v>84</v>
      </c>
    </row>
    <row r="262" spans="1:39">
      <c r="A262" s="389">
        <f t="shared" si="114"/>
        <v>261</v>
      </c>
      <c r="B262" s="395" t="str">
        <f t="shared" si="92"/>
        <v>Mar 2014</v>
      </c>
      <c r="C262" s="396" t="str">
        <f t="shared" si="93"/>
        <v>LS</v>
      </c>
      <c r="D262" s="396" t="str">
        <f t="shared" si="94"/>
        <v>KUUM_497</v>
      </c>
      <c r="E262" s="394">
        <f t="shared" si="95"/>
        <v>10</v>
      </c>
      <c r="F262" s="397">
        <v>0</v>
      </c>
      <c r="G262" s="394">
        <f t="shared" si="96"/>
        <v>532</v>
      </c>
      <c r="H262" s="394">
        <v>0</v>
      </c>
      <c r="I262" s="390">
        <f t="shared" si="97"/>
        <v>15.35</v>
      </c>
      <c r="J262" s="390">
        <f t="shared" si="98"/>
        <v>1.1300000000000008</v>
      </c>
      <c r="K262" s="391">
        <f t="shared" si="110"/>
        <v>153.5</v>
      </c>
      <c r="L262" s="398">
        <v>44</v>
      </c>
      <c r="M262" s="398">
        <v>0</v>
      </c>
      <c r="N262" s="164">
        <f t="shared" si="99"/>
        <v>197.5</v>
      </c>
      <c r="O262" s="399">
        <f t="shared" si="100"/>
        <v>197.5</v>
      </c>
      <c r="P262" s="392">
        <f t="shared" si="111"/>
        <v>1</v>
      </c>
      <c r="Q262" s="164">
        <f t="shared" si="101"/>
        <v>1.66</v>
      </c>
      <c r="R262" s="164">
        <f t="shared" si="102"/>
        <v>0</v>
      </c>
      <c r="S262" s="164">
        <f t="shared" si="103"/>
        <v>3.2</v>
      </c>
      <c r="T262" s="164">
        <f t="shared" si="104"/>
        <v>0</v>
      </c>
      <c r="U262" s="164">
        <f t="shared" si="105"/>
        <v>202.36</v>
      </c>
      <c r="V262" s="393">
        <f t="shared" si="106"/>
        <v>202.35999999999999</v>
      </c>
      <c r="W262" s="393">
        <f t="shared" si="107"/>
        <v>0</v>
      </c>
      <c r="Y262" s="393">
        <f t="shared" si="112"/>
        <v>11.3</v>
      </c>
      <c r="Z262" s="393">
        <f t="shared" si="113"/>
        <v>186.2</v>
      </c>
      <c r="AD262" s="395">
        <f>IF(AH262&gt;AH261,AD261,IF(AD261&lt;MiscData!$F$1,EOMONTH(AD261,1),EOMONTH(AD261,-11)))</f>
        <v>41729</v>
      </c>
      <c r="AE262" s="389" t="str">
        <f t="shared" si="108"/>
        <v>20140101KUUM_497</v>
      </c>
      <c r="AF262" s="437" t="str">
        <f t="shared" si="109"/>
        <v>20140101LS</v>
      </c>
      <c r="AG262" s="438"/>
      <c r="AH262" s="34">
        <f>IF(AH261=MiscData!$AB$91,1,AH261+1)</f>
        <v>85</v>
      </c>
      <c r="AI262" s="34">
        <f>IF(AD262&lt;=MiscData!$B$23,MiscData!$C$23,IF(AD262&lt;=MiscData!$B$24,MiscData!$C$24,MiscData!$C$25))</f>
        <v>20140101</v>
      </c>
      <c r="AK262" s="439" t="str">
        <f>VLOOKUP(AM262,MiscData!$AB$4:$ACB$113,2,FALSE)</f>
        <v>KUUM_497</v>
      </c>
      <c r="AL262" s="439" t="str">
        <f>VLOOKUP(AM262,MiscData!$AB$4:$AE$115,4,FALSE)</f>
        <v>LS</v>
      </c>
      <c r="AM262" s="34">
        <f>IF(AM261=MiscData!$AB$91,1,AM261+1)</f>
        <v>85</v>
      </c>
    </row>
    <row r="263" spans="1:39">
      <c r="A263" s="389">
        <f t="shared" si="114"/>
        <v>262</v>
      </c>
      <c r="B263" s="395" t="str">
        <f t="shared" si="92"/>
        <v>Mar 2014</v>
      </c>
      <c r="C263" s="396" t="str">
        <f t="shared" si="93"/>
        <v>LS</v>
      </c>
      <c r="D263" s="396" t="str">
        <f t="shared" si="94"/>
        <v>KUUM_498</v>
      </c>
      <c r="E263" s="394">
        <f t="shared" si="95"/>
        <v>30</v>
      </c>
      <c r="F263" s="397">
        <v>0</v>
      </c>
      <c r="G263" s="394">
        <f t="shared" si="96"/>
        <v>2673</v>
      </c>
      <c r="H263" s="394">
        <v>0</v>
      </c>
      <c r="I263" s="390">
        <f t="shared" si="97"/>
        <v>17.72</v>
      </c>
      <c r="J263" s="390">
        <f t="shared" si="98"/>
        <v>2.33</v>
      </c>
      <c r="K263" s="391">
        <f t="shared" si="110"/>
        <v>531.6</v>
      </c>
      <c r="L263" s="398">
        <v>0</v>
      </c>
      <c r="M263" s="398">
        <v>0</v>
      </c>
      <c r="N263" s="164">
        <f t="shared" si="99"/>
        <v>531.6</v>
      </c>
      <c r="O263" s="399">
        <f t="shared" si="100"/>
        <v>531.6</v>
      </c>
      <c r="P263" s="392">
        <f t="shared" si="111"/>
        <v>1</v>
      </c>
      <c r="Q263" s="164">
        <f t="shared" si="101"/>
        <v>8.33</v>
      </c>
      <c r="R263" s="164">
        <f t="shared" si="102"/>
        <v>0</v>
      </c>
      <c r="S263" s="164">
        <f t="shared" si="103"/>
        <v>8.64</v>
      </c>
      <c r="T263" s="164">
        <f t="shared" si="104"/>
        <v>0</v>
      </c>
      <c r="U263" s="164">
        <f t="shared" si="105"/>
        <v>548.57000000000005</v>
      </c>
      <c r="V263" s="393">
        <f t="shared" si="106"/>
        <v>548.57000000000005</v>
      </c>
      <c r="W263" s="393">
        <f t="shared" si="107"/>
        <v>0</v>
      </c>
      <c r="Y263" s="393">
        <f t="shared" si="112"/>
        <v>69.900000000000006</v>
      </c>
      <c r="Z263" s="393">
        <f t="shared" si="113"/>
        <v>461.70000000000005</v>
      </c>
      <c r="AD263" s="395">
        <f>IF(AH263&gt;AH262,AD262,IF(AD262&lt;MiscData!$F$1,EOMONTH(AD262,1),EOMONTH(AD262,-11)))</f>
        <v>41729</v>
      </c>
      <c r="AE263" s="389" t="str">
        <f t="shared" si="108"/>
        <v>20140101KUUM_498</v>
      </c>
      <c r="AF263" s="437" t="str">
        <f t="shared" si="109"/>
        <v>20140101LS</v>
      </c>
      <c r="AG263" s="438"/>
      <c r="AH263" s="34">
        <f>IF(AH262=MiscData!$AB$91,1,AH262+1)</f>
        <v>86</v>
      </c>
      <c r="AI263" s="34">
        <f>IF(AD263&lt;=MiscData!$B$23,MiscData!$C$23,IF(AD263&lt;=MiscData!$B$24,MiscData!$C$24,MiscData!$C$25))</f>
        <v>20140101</v>
      </c>
      <c r="AK263" s="439" t="str">
        <f>VLOOKUP(AM263,MiscData!$AB$4:$ACB$113,2,FALSE)</f>
        <v>KUUM_498</v>
      </c>
      <c r="AL263" s="439" t="str">
        <f>VLOOKUP(AM263,MiscData!$AB$4:$AE$115,4,FALSE)</f>
        <v>LS</v>
      </c>
      <c r="AM263" s="34">
        <f>IF(AM262=MiscData!$AB$91,1,AM262+1)</f>
        <v>86</v>
      </c>
    </row>
    <row r="264" spans="1:39">
      <c r="A264" s="389">
        <f t="shared" si="114"/>
        <v>263</v>
      </c>
      <c r="B264" s="395" t="str">
        <f t="shared" si="92"/>
        <v>Mar 2014</v>
      </c>
      <c r="C264" s="396" t="str">
        <f t="shared" si="93"/>
        <v>LS</v>
      </c>
      <c r="D264" s="396" t="str">
        <f t="shared" si="94"/>
        <v>KUUM_499</v>
      </c>
      <c r="E264" s="394">
        <f t="shared" si="95"/>
        <v>24</v>
      </c>
      <c r="F264" s="397">
        <v>0</v>
      </c>
      <c r="G264" s="394">
        <f t="shared" si="96"/>
        <v>4223</v>
      </c>
      <c r="H264" s="394">
        <v>0</v>
      </c>
      <c r="I264" s="390">
        <f t="shared" si="97"/>
        <v>21.490000000000002</v>
      </c>
      <c r="J264" s="390">
        <f t="shared" si="98"/>
        <v>4.5300000000000011</v>
      </c>
      <c r="K264" s="391">
        <f t="shared" si="110"/>
        <v>515.76</v>
      </c>
      <c r="L264" s="398">
        <v>0</v>
      </c>
      <c r="M264" s="398">
        <v>0</v>
      </c>
      <c r="N264" s="164">
        <f t="shared" si="99"/>
        <v>515.76</v>
      </c>
      <c r="O264" s="399">
        <f t="shared" si="100"/>
        <v>515.7600000000001</v>
      </c>
      <c r="P264" s="392">
        <f t="shared" si="111"/>
        <v>1</v>
      </c>
      <c r="Q264" s="164">
        <f t="shared" si="101"/>
        <v>12.38</v>
      </c>
      <c r="R264" s="164">
        <f t="shared" si="102"/>
        <v>0</v>
      </c>
      <c r="S264" s="164">
        <f t="shared" si="103"/>
        <v>9.3000000000000007</v>
      </c>
      <c r="T264" s="164">
        <f t="shared" si="104"/>
        <v>0</v>
      </c>
      <c r="U264" s="164">
        <f t="shared" si="105"/>
        <v>537.44000000000005</v>
      </c>
      <c r="V264" s="393">
        <f t="shared" si="106"/>
        <v>537.43999999999994</v>
      </c>
      <c r="W264" s="393">
        <f t="shared" si="107"/>
        <v>0</v>
      </c>
      <c r="Y264" s="393">
        <f t="shared" si="112"/>
        <v>108.72</v>
      </c>
      <c r="Z264" s="393">
        <f t="shared" si="113"/>
        <v>407.04000000000008</v>
      </c>
      <c r="AD264" s="395">
        <f>IF(AH264&gt;AH263,AD263,IF(AD263&lt;MiscData!$F$1,EOMONTH(AD263,1),EOMONTH(AD263,-11)))</f>
        <v>41729</v>
      </c>
      <c r="AE264" s="389" t="str">
        <f t="shared" si="108"/>
        <v>20140101KUUM_499</v>
      </c>
      <c r="AF264" s="437" t="str">
        <f t="shared" si="109"/>
        <v>20140101LS</v>
      </c>
      <c r="AG264" s="438"/>
      <c r="AH264" s="34">
        <f>IF(AH263=MiscData!$AB$91,1,AH263+1)</f>
        <v>87</v>
      </c>
      <c r="AI264" s="34">
        <f>IF(AD264&lt;=MiscData!$B$23,MiscData!$C$23,IF(AD264&lt;=MiscData!$B$24,MiscData!$C$24,MiscData!$C$25))</f>
        <v>20140101</v>
      </c>
      <c r="AK264" s="439" t="str">
        <f>VLOOKUP(AM264,MiscData!$AB$4:$ACB$113,2,FALSE)</f>
        <v>KUUM_499</v>
      </c>
      <c r="AL264" s="439" t="str">
        <f>VLOOKUP(AM264,MiscData!$AB$4:$AE$115,4,FALSE)</f>
        <v>LS</v>
      </c>
      <c r="AM264" s="34">
        <f>IF(AM263=MiscData!$AB$91,1,AM263+1)</f>
        <v>87</v>
      </c>
    </row>
    <row r="265" spans="1:39">
      <c r="A265" s="389">
        <f t="shared" si="114"/>
        <v>264</v>
      </c>
      <c r="B265" s="395" t="str">
        <f t="shared" si="92"/>
        <v>Mar 2014</v>
      </c>
      <c r="C265" s="396" t="str">
        <f t="shared" si="93"/>
        <v>ODL</v>
      </c>
      <c r="D265" s="396" t="str">
        <f t="shared" si="94"/>
        <v>ODL</v>
      </c>
      <c r="E265" s="394">
        <f t="shared" si="95"/>
        <v>0</v>
      </c>
      <c r="F265" s="397">
        <v>0</v>
      </c>
      <c r="G265" s="394">
        <f t="shared" si="96"/>
        <v>0</v>
      </c>
      <c r="H265" s="394">
        <v>0</v>
      </c>
      <c r="I265" s="390">
        <f t="shared" si="97"/>
        <v>0</v>
      </c>
      <c r="J265" s="390">
        <f t="shared" si="98"/>
        <v>0</v>
      </c>
      <c r="K265" s="391">
        <f t="shared" si="110"/>
        <v>0</v>
      </c>
      <c r="L265" s="398">
        <v>0</v>
      </c>
      <c r="M265" s="398">
        <v>0</v>
      </c>
      <c r="N265" s="164">
        <f t="shared" si="99"/>
        <v>0</v>
      </c>
      <c r="O265" s="399">
        <f t="shared" si="100"/>
        <v>0</v>
      </c>
      <c r="P265" s="392">
        <f t="shared" si="111"/>
        <v>1</v>
      </c>
      <c r="Q265" s="164">
        <f t="shared" si="101"/>
        <v>0</v>
      </c>
      <c r="R265" s="164">
        <f t="shared" si="102"/>
        <v>0</v>
      </c>
      <c r="S265" s="164">
        <f t="shared" si="103"/>
        <v>0</v>
      </c>
      <c r="T265" s="164">
        <f t="shared" si="104"/>
        <v>0</v>
      </c>
      <c r="U265" s="164">
        <f t="shared" si="105"/>
        <v>0</v>
      </c>
      <c r="V265" s="393">
        <f t="shared" si="106"/>
        <v>0</v>
      </c>
      <c r="W265" s="393">
        <f t="shared" si="107"/>
        <v>0</v>
      </c>
      <c r="Y265" s="393">
        <f t="shared" si="112"/>
        <v>0</v>
      </c>
      <c r="Z265" s="393">
        <f t="shared" si="113"/>
        <v>0</v>
      </c>
      <c r="AD265" s="395">
        <f>IF(AH265&gt;AH264,AD264,IF(AD264&lt;MiscData!$F$1,EOMONTH(AD264,1),EOMONTH(AD264,-11)))</f>
        <v>41729</v>
      </c>
      <c r="AE265" s="389" t="str">
        <f t="shared" si="108"/>
        <v>20140101ODL</v>
      </c>
      <c r="AF265" s="437" t="str">
        <f t="shared" si="109"/>
        <v>20140101ODL</v>
      </c>
      <c r="AG265" s="438"/>
      <c r="AH265" s="34">
        <f>IF(AH264=MiscData!$AB$91,1,AH264+1)</f>
        <v>88</v>
      </c>
      <c r="AI265" s="34">
        <f>IF(AD265&lt;=MiscData!$B$23,MiscData!$C$23,IF(AD265&lt;=MiscData!$B$24,MiscData!$C$24,MiscData!$C$25))</f>
        <v>20140101</v>
      </c>
      <c r="AK265" s="439" t="str">
        <f>VLOOKUP(AM265,MiscData!$AB$4:$ACB$113,2,FALSE)</f>
        <v>ODL</v>
      </c>
      <c r="AL265" s="439" t="str">
        <f>VLOOKUP(AM265,MiscData!$AB$4:$AE$115,4,FALSE)</f>
        <v>ODL</v>
      </c>
      <c r="AM265" s="34">
        <f>IF(AM264=MiscData!$AB$91,1,AM264+1)</f>
        <v>88</v>
      </c>
    </row>
    <row r="266" spans="1:39">
      <c r="A266" s="389">
        <f t="shared" si="114"/>
        <v>265</v>
      </c>
      <c r="B266" s="395" t="str">
        <f t="shared" si="92"/>
        <v>Apr 2014</v>
      </c>
      <c r="C266" s="396" t="str">
        <f t="shared" si="93"/>
        <v>LS</v>
      </c>
      <c r="D266" s="396" t="str">
        <f t="shared" si="94"/>
        <v>KUUM_300</v>
      </c>
      <c r="E266" s="394">
        <f t="shared" si="95"/>
        <v>0</v>
      </c>
      <c r="F266" s="397">
        <v>0</v>
      </c>
      <c r="G266" s="394">
        <f t="shared" si="96"/>
        <v>0</v>
      </c>
      <c r="H266" s="394">
        <v>0</v>
      </c>
      <c r="I266" s="390">
        <f t="shared" si="97"/>
        <v>22.49</v>
      </c>
      <c r="J266" s="390">
        <f t="shared" si="98"/>
        <v>0.58000000000000185</v>
      </c>
      <c r="K266" s="391">
        <f t="shared" si="110"/>
        <v>0</v>
      </c>
      <c r="L266" s="398">
        <v>0</v>
      </c>
      <c r="M266" s="398">
        <v>0</v>
      </c>
      <c r="N266" s="164">
        <f t="shared" si="99"/>
        <v>0</v>
      </c>
      <c r="O266" s="399">
        <f t="shared" si="100"/>
        <v>0</v>
      </c>
      <c r="P266" s="392">
        <f t="shared" si="111"/>
        <v>1</v>
      </c>
      <c r="Q266" s="164">
        <f t="shared" si="101"/>
        <v>0</v>
      </c>
      <c r="R266" s="164">
        <f t="shared" si="102"/>
        <v>0</v>
      </c>
      <c r="S266" s="164">
        <f t="shared" si="103"/>
        <v>0</v>
      </c>
      <c r="T266" s="164">
        <f t="shared" si="104"/>
        <v>0</v>
      </c>
      <c r="U266" s="164">
        <f t="shared" si="105"/>
        <v>0</v>
      </c>
      <c r="V266" s="393">
        <f t="shared" si="106"/>
        <v>0</v>
      </c>
      <c r="W266" s="393">
        <f t="shared" si="107"/>
        <v>0</v>
      </c>
      <c r="Y266" s="393">
        <f t="shared" si="112"/>
        <v>0</v>
      </c>
      <c r="Z266" s="393">
        <f t="shared" si="113"/>
        <v>0</v>
      </c>
      <c r="AD266" s="395">
        <f>IF(AH266&gt;AH265,AD265,IF(AD265&lt;MiscData!$F$1,EOMONTH(AD265,1),EOMONTH(AD265,-11)))</f>
        <v>41759</v>
      </c>
      <c r="AE266" s="389" t="str">
        <f t="shared" si="108"/>
        <v>20140101KUUM_300</v>
      </c>
      <c r="AF266" s="437" t="str">
        <f t="shared" si="109"/>
        <v>20140101LS</v>
      </c>
      <c r="AG266" s="438"/>
      <c r="AH266" s="34">
        <f>IF(AH265=MiscData!$AB$91,1,AH265+1)</f>
        <v>1</v>
      </c>
      <c r="AI266" s="34">
        <f>IF(AD266&lt;=MiscData!$B$23,MiscData!$C$23,IF(AD266&lt;=MiscData!$B$24,MiscData!$C$24,MiscData!$C$25))</f>
        <v>20140101</v>
      </c>
      <c r="AK266" s="439" t="str">
        <f>VLOOKUP(AM266,MiscData!$AB$4:$ACB$113,2,FALSE)</f>
        <v>KUUM_300</v>
      </c>
      <c r="AL266" s="439" t="str">
        <f>VLOOKUP(AM266,MiscData!$AB$4:$AE$115,4,FALSE)</f>
        <v>LS</v>
      </c>
      <c r="AM266" s="34">
        <f>IF(AM265=MiscData!$AB$91,1,AM265+1)</f>
        <v>1</v>
      </c>
    </row>
    <row r="267" spans="1:39">
      <c r="A267" s="389">
        <f t="shared" si="114"/>
        <v>266</v>
      </c>
      <c r="B267" s="395" t="str">
        <f t="shared" si="92"/>
        <v>Apr 2014</v>
      </c>
      <c r="C267" s="396" t="str">
        <f t="shared" si="93"/>
        <v>LS</v>
      </c>
      <c r="D267" s="396" t="str">
        <f t="shared" si="94"/>
        <v>KUUM_301</v>
      </c>
      <c r="E267" s="394">
        <f t="shared" si="95"/>
        <v>0</v>
      </c>
      <c r="F267" s="397">
        <v>0</v>
      </c>
      <c r="G267" s="394">
        <f t="shared" si="96"/>
        <v>0</v>
      </c>
      <c r="H267" s="394">
        <v>0</v>
      </c>
      <c r="I267" s="390">
        <f t="shared" si="97"/>
        <v>23.5</v>
      </c>
      <c r="J267" s="390">
        <f t="shared" si="98"/>
        <v>1.129999999999999</v>
      </c>
      <c r="K267" s="391">
        <f t="shared" si="110"/>
        <v>0</v>
      </c>
      <c r="L267" s="398">
        <v>0</v>
      </c>
      <c r="M267" s="398">
        <v>0</v>
      </c>
      <c r="N267" s="164">
        <f t="shared" si="99"/>
        <v>0</v>
      </c>
      <c r="O267" s="399">
        <f t="shared" si="100"/>
        <v>0</v>
      </c>
      <c r="P267" s="392">
        <f t="shared" si="111"/>
        <v>1</v>
      </c>
      <c r="Q267" s="164">
        <f t="shared" si="101"/>
        <v>0</v>
      </c>
      <c r="R267" s="164">
        <f t="shared" si="102"/>
        <v>0</v>
      </c>
      <c r="S267" s="164">
        <f t="shared" si="103"/>
        <v>0</v>
      </c>
      <c r="T267" s="164">
        <f t="shared" si="104"/>
        <v>0</v>
      </c>
      <c r="U267" s="164">
        <f t="shared" si="105"/>
        <v>0</v>
      </c>
      <c r="V267" s="393">
        <f t="shared" si="106"/>
        <v>0</v>
      </c>
      <c r="W267" s="393">
        <f t="shared" si="107"/>
        <v>0</v>
      </c>
      <c r="Y267" s="393">
        <f t="shared" si="112"/>
        <v>0</v>
      </c>
      <c r="Z267" s="393">
        <f t="shared" si="113"/>
        <v>0</v>
      </c>
      <c r="AD267" s="395">
        <f>IF(AH267&gt;AH266,AD266,IF(AD266&lt;MiscData!$F$1,EOMONTH(AD266,1),EOMONTH(AD266,-11)))</f>
        <v>41759</v>
      </c>
      <c r="AE267" s="389" t="str">
        <f t="shared" si="108"/>
        <v>20140101KUUM_301</v>
      </c>
      <c r="AF267" s="437" t="str">
        <f t="shared" si="109"/>
        <v>20140101LS</v>
      </c>
      <c r="AG267" s="438"/>
      <c r="AH267" s="34">
        <f>IF(AH266=MiscData!$AB$91,1,AH266+1)</f>
        <v>2</v>
      </c>
      <c r="AI267" s="34">
        <f>IF(AD267&lt;=MiscData!$B$23,MiscData!$C$23,IF(AD267&lt;=MiscData!$B$24,MiscData!$C$24,MiscData!$C$25))</f>
        <v>20140101</v>
      </c>
      <c r="AK267" s="439" t="str">
        <f>VLOOKUP(AM267,MiscData!$AB$4:$ACB$113,2,FALSE)</f>
        <v>KUUM_301</v>
      </c>
      <c r="AL267" s="439" t="str">
        <f>VLOOKUP(AM267,MiscData!$AB$4:$AE$115,4,FALSE)</f>
        <v>LS</v>
      </c>
      <c r="AM267" s="34">
        <f>IF(AM266=MiscData!$AB$91,1,AM266+1)</f>
        <v>2</v>
      </c>
    </row>
    <row r="268" spans="1:39">
      <c r="A268" s="389">
        <f t="shared" si="114"/>
        <v>267</v>
      </c>
      <c r="B268" s="395" t="str">
        <f t="shared" si="92"/>
        <v>Apr 2014</v>
      </c>
      <c r="C268" s="396" t="str">
        <f t="shared" si="93"/>
        <v>LS</v>
      </c>
      <c r="D268" s="396" t="str">
        <f t="shared" si="94"/>
        <v>KUUM_360</v>
      </c>
      <c r="E268" s="394">
        <f t="shared" si="95"/>
        <v>178</v>
      </c>
      <c r="F268" s="397">
        <v>0</v>
      </c>
      <c r="G268" s="394">
        <f t="shared" si="96"/>
        <v>11766</v>
      </c>
      <c r="H268" s="394">
        <v>0</v>
      </c>
      <c r="I268" s="390">
        <f t="shared" si="97"/>
        <v>55.33</v>
      </c>
      <c r="J268" s="390">
        <f t="shared" si="98"/>
        <v>1.75</v>
      </c>
      <c r="K268" s="391">
        <f t="shared" si="110"/>
        <v>9848.74</v>
      </c>
      <c r="L268" s="398">
        <v>0</v>
      </c>
      <c r="M268" s="398">
        <v>0</v>
      </c>
      <c r="N268" s="164">
        <f>SUM(K268:M268)</f>
        <v>9848.74</v>
      </c>
      <c r="O268" s="399">
        <f t="shared" si="100"/>
        <v>9848.74</v>
      </c>
      <c r="P268" s="392">
        <f t="shared" si="111"/>
        <v>1</v>
      </c>
      <c r="Q268" s="164">
        <f t="shared" si="101"/>
        <v>36.49</v>
      </c>
      <c r="R268" s="164">
        <f t="shared" si="102"/>
        <v>0</v>
      </c>
      <c r="S268" s="164">
        <f t="shared" si="103"/>
        <v>157.32</v>
      </c>
      <c r="T268" s="164">
        <f t="shared" si="104"/>
        <v>0</v>
      </c>
      <c r="U268" s="164">
        <f t="shared" si="105"/>
        <v>10042.549999999999</v>
      </c>
      <c r="V268" s="393">
        <f t="shared" si="106"/>
        <v>10042.549999999999</v>
      </c>
      <c r="W268" s="393">
        <f t="shared" si="107"/>
        <v>0</v>
      </c>
      <c r="Y268" s="393">
        <f t="shared" si="112"/>
        <v>311.5</v>
      </c>
      <c r="Z268" s="393">
        <f t="shared" si="113"/>
        <v>9537.24</v>
      </c>
      <c r="AD268" s="395">
        <f>IF(AH268&gt;AH267,AD267,IF(AD267&lt;MiscData!$F$1,EOMONTH(AD267,1),EOMONTH(AD267,-11)))</f>
        <v>41759</v>
      </c>
      <c r="AE268" s="389" t="str">
        <f t="shared" si="108"/>
        <v>20140101KUUM_360</v>
      </c>
      <c r="AF268" s="437" t="str">
        <f t="shared" si="109"/>
        <v>20140101LS</v>
      </c>
      <c r="AG268" s="438"/>
      <c r="AH268" s="34">
        <f>IF(AH267=MiscData!$AB$91,1,AH267+1)</f>
        <v>3</v>
      </c>
      <c r="AI268" s="34">
        <f>IF(AD268&lt;=MiscData!$B$23,MiscData!$C$23,IF(AD268&lt;=MiscData!$B$24,MiscData!$C$24,MiscData!$C$25))</f>
        <v>20140101</v>
      </c>
      <c r="AK268" s="439" t="str">
        <f>VLOOKUP(AM268,MiscData!$AB$4:$ACB$113,2,FALSE)</f>
        <v>KUUM_360</v>
      </c>
      <c r="AL268" s="439" t="str">
        <f>VLOOKUP(AM268,MiscData!$AB$4:$AE$115,4,FALSE)</f>
        <v>LS</v>
      </c>
      <c r="AM268" s="34">
        <f>IF(AM267=MiscData!$AB$91,1,AM267+1)</f>
        <v>3</v>
      </c>
    </row>
    <row r="269" spans="1:39">
      <c r="A269" s="389">
        <f t="shared" si="114"/>
        <v>268</v>
      </c>
      <c r="B269" s="395" t="str">
        <f t="shared" si="92"/>
        <v>Apr 2014</v>
      </c>
      <c r="C269" s="396" t="str">
        <f t="shared" si="93"/>
        <v>LS</v>
      </c>
      <c r="D269" s="396" t="str">
        <f t="shared" si="94"/>
        <v>KUUM_361</v>
      </c>
      <c r="E269" s="394">
        <f t="shared" si="95"/>
        <v>25</v>
      </c>
      <c r="F269" s="397">
        <v>0</v>
      </c>
      <c r="G269" s="394">
        <f t="shared" si="96"/>
        <v>1593</v>
      </c>
      <c r="H269" s="394">
        <v>0</v>
      </c>
      <c r="I269" s="390">
        <f t="shared" si="97"/>
        <v>83.16</v>
      </c>
      <c r="J269" s="390">
        <f t="shared" si="98"/>
        <v>1.75</v>
      </c>
      <c r="K269" s="391">
        <f t="shared" si="110"/>
        <v>2079</v>
      </c>
      <c r="L269" s="398">
        <v>0</v>
      </c>
      <c r="M269" s="398">
        <v>0</v>
      </c>
      <c r="N269" s="164">
        <f t="shared" si="99"/>
        <v>2079</v>
      </c>
      <c r="O269" s="399">
        <f t="shared" si="100"/>
        <v>2079</v>
      </c>
      <c r="P269" s="392">
        <f t="shared" si="111"/>
        <v>1</v>
      </c>
      <c r="Q269" s="164">
        <f t="shared" si="101"/>
        <v>4.97</v>
      </c>
      <c r="R269" s="164">
        <f t="shared" si="102"/>
        <v>0</v>
      </c>
      <c r="S269" s="164">
        <f t="shared" si="103"/>
        <v>33.36</v>
      </c>
      <c r="T269" s="164">
        <f t="shared" si="104"/>
        <v>0</v>
      </c>
      <c r="U269" s="164">
        <f t="shared" si="105"/>
        <v>2117.33</v>
      </c>
      <c r="V269" s="393">
        <f t="shared" si="106"/>
        <v>2117.33</v>
      </c>
      <c r="W269" s="393">
        <f t="shared" si="107"/>
        <v>0</v>
      </c>
      <c r="Y269" s="393">
        <f t="shared" si="112"/>
        <v>43.75</v>
      </c>
      <c r="Z269" s="393">
        <f t="shared" si="113"/>
        <v>2035.25</v>
      </c>
      <c r="AD269" s="395">
        <f>IF(AH269&gt;AH268,AD268,IF(AD268&lt;MiscData!$F$1,EOMONTH(AD268,1),EOMONTH(AD268,-11)))</f>
        <v>41759</v>
      </c>
      <c r="AE269" s="389" t="str">
        <f t="shared" si="108"/>
        <v>20140101KUUM_361</v>
      </c>
      <c r="AF269" s="437" t="str">
        <f t="shared" si="109"/>
        <v>20140101LS</v>
      </c>
      <c r="AG269" s="438"/>
      <c r="AH269" s="34">
        <f>IF(AH268=MiscData!$AB$91,1,AH268+1)</f>
        <v>4</v>
      </c>
      <c r="AI269" s="34">
        <f>IF(AD269&lt;=MiscData!$B$23,MiscData!$C$23,IF(AD269&lt;=MiscData!$B$24,MiscData!$C$24,MiscData!$C$25))</f>
        <v>20140101</v>
      </c>
      <c r="AK269" s="439" t="str">
        <f>VLOOKUP(AM269,MiscData!$AB$4:$ACB$113,2,FALSE)</f>
        <v>KUUM_361</v>
      </c>
      <c r="AL269" s="439" t="str">
        <f>VLOOKUP(AM269,MiscData!$AB$4:$AE$115,4,FALSE)</f>
        <v>LS</v>
      </c>
      <c r="AM269" s="34">
        <f>IF(AM268=MiscData!$AB$91,1,AM268+1)</f>
        <v>4</v>
      </c>
    </row>
    <row r="270" spans="1:39">
      <c r="A270" s="389">
        <f t="shared" si="114"/>
        <v>269</v>
      </c>
      <c r="B270" s="395" t="str">
        <f t="shared" si="92"/>
        <v>Apr 2014</v>
      </c>
      <c r="C270" s="396" t="str">
        <f t="shared" si="93"/>
        <v>LS</v>
      </c>
      <c r="D270" s="396" t="str">
        <f t="shared" si="94"/>
        <v>KUUM_362</v>
      </c>
      <c r="E270" s="394">
        <f t="shared" si="95"/>
        <v>43</v>
      </c>
      <c r="F270" s="397">
        <v>0</v>
      </c>
      <c r="G270" s="394">
        <f t="shared" si="96"/>
        <v>2273</v>
      </c>
      <c r="H270" s="394">
        <v>0</v>
      </c>
      <c r="I270" s="390">
        <f t="shared" si="97"/>
        <v>59.78</v>
      </c>
      <c r="J270" s="390">
        <f t="shared" si="98"/>
        <v>1.75</v>
      </c>
      <c r="K270" s="391">
        <f t="shared" si="110"/>
        <v>2570.54</v>
      </c>
      <c r="L270" s="398">
        <v>0</v>
      </c>
      <c r="M270" s="398">
        <v>0</v>
      </c>
      <c r="N270" s="164">
        <f t="shared" si="99"/>
        <v>2570.54</v>
      </c>
      <c r="O270" s="399">
        <f t="shared" si="100"/>
        <v>2570.54</v>
      </c>
      <c r="P270" s="392">
        <f t="shared" si="111"/>
        <v>1</v>
      </c>
      <c r="Q270" s="164">
        <f t="shared" si="101"/>
        <v>7.09</v>
      </c>
      <c r="R270" s="164">
        <f t="shared" si="102"/>
        <v>0</v>
      </c>
      <c r="S270" s="164">
        <f t="shared" si="103"/>
        <v>41.24</v>
      </c>
      <c r="T270" s="164">
        <f t="shared" si="104"/>
        <v>0</v>
      </c>
      <c r="U270" s="164">
        <f t="shared" si="105"/>
        <v>2618.87</v>
      </c>
      <c r="V270" s="393">
        <f t="shared" si="106"/>
        <v>2618.87</v>
      </c>
      <c r="W270" s="393">
        <f t="shared" si="107"/>
        <v>0</v>
      </c>
      <c r="Y270" s="393">
        <f t="shared" si="112"/>
        <v>75.25</v>
      </c>
      <c r="Z270" s="393">
        <f t="shared" si="113"/>
        <v>2495.29</v>
      </c>
      <c r="AD270" s="395">
        <f>IF(AH270&gt;AH269,AD269,IF(AD269&lt;MiscData!$F$1,EOMONTH(AD269,1),EOMONTH(AD269,-11)))</f>
        <v>41759</v>
      </c>
      <c r="AE270" s="389" t="str">
        <f t="shared" si="108"/>
        <v>20140101KUUM_362</v>
      </c>
      <c r="AF270" s="437" t="str">
        <f t="shared" si="109"/>
        <v>20140101LS</v>
      </c>
      <c r="AG270" s="438"/>
      <c r="AH270" s="34">
        <f>IF(AH269=MiscData!$AB$91,1,AH269+1)</f>
        <v>5</v>
      </c>
      <c r="AI270" s="34">
        <f>IF(AD270&lt;=MiscData!$B$23,MiscData!$C$23,IF(AD270&lt;=MiscData!$B$24,MiscData!$C$24,MiscData!$C$25))</f>
        <v>20140101</v>
      </c>
      <c r="AK270" s="439" t="str">
        <f>VLOOKUP(AM270,MiscData!$AB$4:$ACB$113,2,FALSE)</f>
        <v>KUUM_362</v>
      </c>
      <c r="AL270" s="439" t="str">
        <f>VLOOKUP(AM270,MiscData!$AB$4:$AE$115,4,FALSE)</f>
        <v>LS</v>
      </c>
      <c r="AM270" s="34">
        <f>IF(AM269=MiscData!$AB$91,1,AM269+1)</f>
        <v>5</v>
      </c>
    </row>
    <row r="271" spans="1:39">
      <c r="A271" s="389">
        <f t="shared" si="114"/>
        <v>270</v>
      </c>
      <c r="B271" s="395" t="str">
        <f t="shared" si="92"/>
        <v>Apr 2014</v>
      </c>
      <c r="C271" s="396" t="str">
        <f t="shared" si="93"/>
        <v>LS</v>
      </c>
      <c r="D271" s="396" t="str">
        <f t="shared" si="94"/>
        <v>KUUM_363</v>
      </c>
      <c r="E271" s="394">
        <f t="shared" si="95"/>
        <v>5</v>
      </c>
      <c r="F271" s="397">
        <v>0</v>
      </c>
      <c r="G271" s="394">
        <f t="shared" si="96"/>
        <v>296</v>
      </c>
      <c r="H271" s="394">
        <v>0</v>
      </c>
      <c r="I271" s="390">
        <f t="shared" si="97"/>
        <v>61.75</v>
      </c>
      <c r="J271" s="390">
        <f t="shared" si="98"/>
        <v>1.75</v>
      </c>
      <c r="K271" s="391">
        <f t="shared" si="110"/>
        <v>308.75</v>
      </c>
      <c r="L271" s="398">
        <v>0</v>
      </c>
      <c r="M271" s="398">
        <v>0</v>
      </c>
      <c r="N271" s="164">
        <f t="shared" si="99"/>
        <v>308.75</v>
      </c>
      <c r="O271" s="399">
        <f t="shared" si="100"/>
        <v>308.75</v>
      </c>
      <c r="P271" s="392">
        <f t="shared" si="111"/>
        <v>1</v>
      </c>
      <c r="Q271" s="164">
        <f t="shared" si="101"/>
        <v>0.92</v>
      </c>
      <c r="R271" s="164">
        <f t="shared" si="102"/>
        <v>0</v>
      </c>
      <c r="S271" s="164">
        <f t="shared" si="103"/>
        <v>4.95</v>
      </c>
      <c r="T271" s="164">
        <f t="shared" si="104"/>
        <v>0</v>
      </c>
      <c r="U271" s="164">
        <f t="shared" si="105"/>
        <v>314.62</v>
      </c>
      <c r="V271" s="393">
        <f t="shared" si="106"/>
        <v>314.62</v>
      </c>
      <c r="W271" s="393">
        <f t="shared" si="107"/>
        <v>0</v>
      </c>
      <c r="Y271" s="393">
        <f t="shared" si="112"/>
        <v>8.75</v>
      </c>
      <c r="Z271" s="393">
        <f t="shared" si="113"/>
        <v>300</v>
      </c>
      <c r="AD271" s="395">
        <f>IF(AH271&gt;AH270,AD270,IF(AD270&lt;MiscData!$F$1,EOMONTH(AD270,1),EOMONTH(AD270,-11)))</f>
        <v>41759</v>
      </c>
      <c r="AE271" s="389" t="str">
        <f t="shared" si="108"/>
        <v>20140101KUUM_363</v>
      </c>
      <c r="AF271" s="437" t="str">
        <f t="shared" si="109"/>
        <v>20140101LS</v>
      </c>
      <c r="AG271" s="438"/>
      <c r="AH271" s="34">
        <f>IF(AH270=MiscData!$AB$91,1,AH270+1)</f>
        <v>6</v>
      </c>
      <c r="AI271" s="34">
        <f>IF(AD271&lt;=MiscData!$B$23,MiscData!$C$23,IF(AD271&lt;=MiscData!$B$24,MiscData!$C$24,MiscData!$C$25))</f>
        <v>20140101</v>
      </c>
      <c r="AK271" s="439" t="str">
        <f>VLOOKUP(AM271,MiscData!$AB$4:$ACB$113,2,FALSE)</f>
        <v>KUUM_363</v>
      </c>
      <c r="AL271" s="439" t="str">
        <f>VLOOKUP(AM271,MiscData!$AB$4:$AE$115,4,FALSE)</f>
        <v>LS</v>
      </c>
      <c r="AM271" s="34">
        <f>IF(AM270=MiscData!$AB$91,1,AM270+1)</f>
        <v>6</v>
      </c>
    </row>
    <row r="272" spans="1:39">
      <c r="A272" s="389">
        <f t="shared" si="114"/>
        <v>271</v>
      </c>
      <c r="B272" s="395" t="str">
        <f t="shared" si="92"/>
        <v>Apr 2014</v>
      </c>
      <c r="C272" s="396" t="str">
        <f t="shared" si="93"/>
        <v>LS</v>
      </c>
      <c r="D272" s="396" t="str">
        <f t="shared" si="94"/>
        <v>KUUM_364</v>
      </c>
      <c r="E272" s="394">
        <f t="shared" si="95"/>
        <v>1</v>
      </c>
      <c r="F272" s="397">
        <v>0</v>
      </c>
      <c r="G272" s="394">
        <f t="shared" si="96"/>
        <v>59</v>
      </c>
      <c r="H272" s="394">
        <v>0</v>
      </c>
      <c r="I272" s="390">
        <f t="shared" si="97"/>
        <v>63.11</v>
      </c>
      <c r="J272" s="390">
        <f t="shared" si="98"/>
        <v>1.75</v>
      </c>
      <c r="K272" s="391">
        <f t="shared" si="110"/>
        <v>63.11</v>
      </c>
      <c r="L272" s="398">
        <v>0</v>
      </c>
      <c r="M272" s="398">
        <v>0</v>
      </c>
      <c r="N272" s="164">
        <f t="shared" si="99"/>
        <v>63.11</v>
      </c>
      <c r="O272" s="399">
        <f t="shared" si="100"/>
        <v>63.11</v>
      </c>
      <c r="P272" s="392">
        <f t="shared" si="111"/>
        <v>1</v>
      </c>
      <c r="Q272" s="164">
        <f t="shared" si="101"/>
        <v>0.18</v>
      </c>
      <c r="R272" s="164">
        <f t="shared" si="102"/>
        <v>0</v>
      </c>
      <c r="S272" s="164">
        <f t="shared" si="103"/>
        <v>1.01</v>
      </c>
      <c r="T272" s="164">
        <f t="shared" si="104"/>
        <v>0</v>
      </c>
      <c r="U272" s="164">
        <f t="shared" si="105"/>
        <v>64.3</v>
      </c>
      <c r="V272" s="393">
        <f t="shared" si="106"/>
        <v>64.3</v>
      </c>
      <c r="W272" s="393">
        <f t="shared" si="107"/>
        <v>0</v>
      </c>
      <c r="Y272" s="393">
        <f t="shared" si="112"/>
        <v>1.75</v>
      </c>
      <c r="Z272" s="393">
        <f t="shared" si="113"/>
        <v>61.36</v>
      </c>
      <c r="AD272" s="395">
        <f>IF(AH272&gt;AH271,AD271,IF(AD271&lt;MiscData!$F$1,EOMONTH(AD271,1),EOMONTH(AD271,-11)))</f>
        <v>41759</v>
      </c>
      <c r="AE272" s="389" t="str">
        <f t="shared" si="108"/>
        <v>20140101KUUM_364</v>
      </c>
      <c r="AF272" s="437" t="str">
        <f t="shared" si="109"/>
        <v>20140101LS</v>
      </c>
      <c r="AG272" s="438"/>
      <c r="AH272" s="34">
        <f>IF(AH271=MiscData!$AB$91,1,AH271+1)</f>
        <v>7</v>
      </c>
      <c r="AI272" s="34">
        <f>IF(AD272&lt;=MiscData!$B$23,MiscData!$C$23,IF(AD272&lt;=MiscData!$B$24,MiscData!$C$24,MiscData!$C$25))</f>
        <v>20140101</v>
      </c>
      <c r="AK272" s="439" t="str">
        <f>VLOOKUP(AM272,MiscData!$AB$4:$ACB$113,2,FALSE)</f>
        <v>KUUM_364</v>
      </c>
      <c r="AL272" s="439" t="str">
        <f>VLOOKUP(AM272,MiscData!$AB$4:$AE$115,4,FALSE)</f>
        <v>LS</v>
      </c>
      <c r="AM272" s="34">
        <f>IF(AM271=MiscData!$AB$91,1,AM271+1)</f>
        <v>7</v>
      </c>
    </row>
    <row r="273" spans="1:39">
      <c r="A273" s="389">
        <f t="shared" si="114"/>
        <v>272</v>
      </c>
      <c r="B273" s="395" t="str">
        <f t="shared" si="92"/>
        <v>Apr 2014</v>
      </c>
      <c r="C273" s="396" t="str">
        <f t="shared" si="93"/>
        <v>LS</v>
      </c>
      <c r="D273" s="396" t="str">
        <f t="shared" si="94"/>
        <v>KUUM_365</v>
      </c>
      <c r="E273" s="394">
        <f t="shared" si="95"/>
        <v>5</v>
      </c>
      <c r="F273" s="397">
        <v>0</v>
      </c>
      <c r="G273" s="394">
        <f t="shared" si="96"/>
        <v>305</v>
      </c>
      <c r="H273" s="394">
        <v>0</v>
      </c>
      <c r="I273" s="390">
        <f t="shared" si="97"/>
        <v>80.94</v>
      </c>
      <c r="J273" s="390">
        <f t="shared" si="98"/>
        <v>1.75</v>
      </c>
      <c r="K273" s="391">
        <f t="shared" si="110"/>
        <v>404.7</v>
      </c>
      <c r="L273" s="398">
        <v>0</v>
      </c>
      <c r="M273" s="398">
        <v>0</v>
      </c>
      <c r="N273" s="164">
        <f t="shared" si="99"/>
        <v>404.7</v>
      </c>
      <c r="O273" s="399">
        <f t="shared" si="100"/>
        <v>404.7</v>
      </c>
      <c r="P273" s="392">
        <f t="shared" si="111"/>
        <v>1</v>
      </c>
      <c r="Q273" s="164">
        <f t="shared" si="101"/>
        <v>0.95</v>
      </c>
      <c r="R273" s="164">
        <f t="shared" si="102"/>
        <v>0</v>
      </c>
      <c r="S273" s="164">
        <f t="shared" si="103"/>
        <v>6.49</v>
      </c>
      <c r="T273" s="164">
        <f t="shared" si="104"/>
        <v>0</v>
      </c>
      <c r="U273" s="164">
        <f t="shared" si="105"/>
        <v>412.14</v>
      </c>
      <c r="V273" s="393">
        <f t="shared" si="106"/>
        <v>412.14</v>
      </c>
      <c r="W273" s="393">
        <f t="shared" si="107"/>
        <v>0</v>
      </c>
      <c r="Y273" s="393">
        <f t="shared" si="112"/>
        <v>8.75</v>
      </c>
      <c r="Z273" s="393">
        <f t="shared" si="113"/>
        <v>395.95</v>
      </c>
      <c r="AD273" s="395">
        <f>IF(AH273&gt;AH272,AD272,IF(AD272&lt;MiscData!$F$1,EOMONTH(AD272,1),EOMONTH(AD272,-11)))</f>
        <v>41759</v>
      </c>
      <c r="AE273" s="389" t="str">
        <f t="shared" si="108"/>
        <v>20140101KUUM_365</v>
      </c>
      <c r="AF273" s="437" t="str">
        <f t="shared" si="109"/>
        <v>20140101LS</v>
      </c>
      <c r="AG273" s="438"/>
      <c r="AH273" s="34">
        <f>IF(AH272=MiscData!$AB$91,1,AH272+1)</f>
        <v>8</v>
      </c>
      <c r="AI273" s="34">
        <f>IF(AD273&lt;=MiscData!$B$23,MiscData!$C$23,IF(AD273&lt;=MiscData!$B$24,MiscData!$C$24,MiscData!$C$25))</f>
        <v>20140101</v>
      </c>
      <c r="AK273" s="439" t="str">
        <f>VLOOKUP(AM273,MiscData!$AB$4:$ACB$113,2,FALSE)</f>
        <v>KUUM_365</v>
      </c>
      <c r="AL273" s="439" t="str">
        <f>VLOOKUP(AM273,MiscData!$AB$4:$AE$115,4,FALSE)</f>
        <v>LS</v>
      </c>
      <c r="AM273" s="34">
        <f>IF(AM272=MiscData!$AB$91,1,AM272+1)</f>
        <v>8</v>
      </c>
    </row>
    <row r="274" spans="1:39">
      <c r="A274" s="389">
        <f t="shared" si="114"/>
        <v>273</v>
      </c>
      <c r="B274" s="395" t="str">
        <f t="shared" si="92"/>
        <v>Apr 2014</v>
      </c>
      <c r="C274" s="396" t="str">
        <f t="shared" si="93"/>
        <v>LS</v>
      </c>
      <c r="D274" s="396" t="str">
        <f t="shared" si="94"/>
        <v>KUUM_366</v>
      </c>
      <c r="E274" s="394">
        <f t="shared" si="95"/>
        <v>9</v>
      </c>
      <c r="F274" s="397">
        <v>0</v>
      </c>
      <c r="G274" s="394">
        <f t="shared" si="96"/>
        <v>541</v>
      </c>
      <c r="H274" s="394">
        <v>0</v>
      </c>
      <c r="I274" s="390">
        <f t="shared" si="97"/>
        <v>78.97</v>
      </c>
      <c r="J274" s="390">
        <f t="shared" si="98"/>
        <v>1.75</v>
      </c>
      <c r="K274" s="391">
        <f t="shared" si="110"/>
        <v>710.73</v>
      </c>
      <c r="L274" s="398">
        <v>0</v>
      </c>
      <c r="M274" s="398">
        <v>0</v>
      </c>
      <c r="N274" s="164">
        <f t="shared" si="99"/>
        <v>710.73</v>
      </c>
      <c r="O274" s="399">
        <f t="shared" si="100"/>
        <v>710.73</v>
      </c>
      <c r="P274" s="392">
        <f t="shared" si="111"/>
        <v>1</v>
      </c>
      <c r="Q274" s="164">
        <f t="shared" si="101"/>
        <v>1.69</v>
      </c>
      <c r="R274" s="164">
        <f t="shared" si="102"/>
        <v>0</v>
      </c>
      <c r="S274" s="164">
        <f t="shared" si="103"/>
        <v>11.4</v>
      </c>
      <c r="T274" s="164">
        <f t="shared" si="104"/>
        <v>0</v>
      </c>
      <c r="U274" s="164">
        <f t="shared" si="105"/>
        <v>723.82</v>
      </c>
      <c r="V274" s="393">
        <f t="shared" si="106"/>
        <v>723.82</v>
      </c>
      <c r="W274" s="393">
        <f t="shared" si="107"/>
        <v>0</v>
      </c>
      <c r="Y274" s="393">
        <f t="shared" si="112"/>
        <v>15.75</v>
      </c>
      <c r="Z274" s="393">
        <f t="shared" si="113"/>
        <v>694.98</v>
      </c>
      <c r="AD274" s="395">
        <f>IF(AH274&gt;AH273,AD273,IF(AD273&lt;MiscData!$F$1,EOMONTH(AD273,1),EOMONTH(AD273,-11)))</f>
        <v>41759</v>
      </c>
      <c r="AE274" s="389" t="str">
        <f t="shared" si="108"/>
        <v>20140101KUUM_366</v>
      </c>
      <c r="AF274" s="437" t="str">
        <f t="shared" si="109"/>
        <v>20140101LS</v>
      </c>
      <c r="AG274" s="438"/>
      <c r="AH274" s="34">
        <f>IF(AH273=MiscData!$AB$91,1,AH273+1)</f>
        <v>9</v>
      </c>
      <c r="AI274" s="34">
        <f>IF(AD274&lt;=MiscData!$B$23,MiscData!$C$23,IF(AD274&lt;=MiscData!$B$24,MiscData!$C$24,MiscData!$C$25))</f>
        <v>20140101</v>
      </c>
      <c r="AK274" s="439" t="str">
        <f>VLOOKUP(AM274,MiscData!$AB$4:$ACB$113,2,FALSE)</f>
        <v>KUUM_366</v>
      </c>
      <c r="AL274" s="439" t="str">
        <f>VLOOKUP(AM274,MiscData!$AB$4:$AE$115,4,FALSE)</f>
        <v>LS</v>
      </c>
      <c r="AM274" s="34">
        <f>IF(AM273=MiscData!$AB$91,1,AM273+1)</f>
        <v>9</v>
      </c>
    </row>
    <row r="275" spans="1:39">
      <c r="A275" s="389">
        <f t="shared" si="114"/>
        <v>274</v>
      </c>
      <c r="B275" s="395" t="str">
        <f t="shared" si="92"/>
        <v>Apr 2014</v>
      </c>
      <c r="C275" s="396" t="str">
        <f t="shared" si="93"/>
        <v>LS</v>
      </c>
      <c r="D275" s="396" t="str">
        <f t="shared" si="94"/>
        <v>KUUM_367</v>
      </c>
      <c r="E275" s="394">
        <f t="shared" si="95"/>
        <v>25</v>
      </c>
      <c r="F275" s="397">
        <v>0</v>
      </c>
      <c r="G275" s="394">
        <f t="shared" si="96"/>
        <v>1664</v>
      </c>
      <c r="H275" s="394">
        <v>0</v>
      </c>
      <c r="I275" s="390">
        <f t="shared" si="97"/>
        <v>61.230000000000004</v>
      </c>
      <c r="J275" s="390">
        <f t="shared" si="98"/>
        <v>1.75</v>
      </c>
      <c r="K275" s="391">
        <f t="shared" si="110"/>
        <v>1530.75</v>
      </c>
      <c r="L275" s="398">
        <v>0</v>
      </c>
      <c r="M275" s="398">
        <v>0</v>
      </c>
      <c r="N275" s="164">
        <f t="shared" si="99"/>
        <v>1530.75</v>
      </c>
      <c r="O275" s="399">
        <f t="shared" si="100"/>
        <v>1530.75</v>
      </c>
      <c r="P275" s="392">
        <f t="shared" si="111"/>
        <v>1</v>
      </c>
      <c r="Q275" s="164">
        <f t="shared" si="101"/>
        <v>5.18</v>
      </c>
      <c r="R275" s="164">
        <f t="shared" si="102"/>
        <v>0</v>
      </c>
      <c r="S275" s="164">
        <f t="shared" si="103"/>
        <v>24.57</v>
      </c>
      <c r="T275" s="164">
        <f t="shared" si="104"/>
        <v>0</v>
      </c>
      <c r="U275" s="164">
        <f t="shared" si="105"/>
        <v>1560.5</v>
      </c>
      <c r="V275" s="393">
        <f t="shared" si="106"/>
        <v>1560.5</v>
      </c>
      <c r="W275" s="393">
        <f t="shared" si="107"/>
        <v>0</v>
      </c>
      <c r="Y275" s="393">
        <f t="shared" si="112"/>
        <v>43.75</v>
      </c>
      <c r="Z275" s="393">
        <f t="shared" si="113"/>
        <v>1487</v>
      </c>
      <c r="AD275" s="395">
        <f>IF(AH275&gt;AH274,AD274,IF(AD274&lt;MiscData!$F$1,EOMONTH(AD274,1),EOMONTH(AD274,-11)))</f>
        <v>41759</v>
      </c>
      <c r="AE275" s="389" t="str">
        <f t="shared" si="108"/>
        <v>20140101KUUM_367</v>
      </c>
      <c r="AF275" s="437" t="str">
        <f t="shared" si="109"/>
        <v>20140101LS</v>
      </c>
      <c r="AG275" s="438"/>
      <c r="AH275" s="34">
        <f>IF(AH274=MiscData!$AB$91,1,AH274+1)</f>
        <v>10</v>
      </c>
      <c r="AI275" s="34">
        <f>IF(AD275&lt;=MiscData!$B$23,MiscData!$C$23,IF(AD275&lt;=MiscData!$B$24,MiscData!$C$24,MiscData!$C$25))</f>
        <v>20140101</v>
      </c>
      <c r="AK275" s="439" t="str">
        <f>VLOOKUP(AM275,MiscData!$AB$4:$ACB$113,2,FALSE)</f>
        <v>KUUM_367</v>
      </c>
      <c r="AL275" s="439" t="str">
        <f>VLOOKUP(AM275,MiscData!$AB$4:$AE$115,4,FALSE)</f>
        <v>LS</v>
      </c>
      <c r="AM275" s="34">
        <f>IF(AM274=MiscData!$AB$91,1,AM274+1)</f>
        <v>10</v>
      </c>
    </row>
    <row r="276" spans="1:39">
      <c r="A276" s="389">
        <f t="shared" si="114"/>
        <v>275</v>
      </c>
      <c r="B276" s="395" t="str">
        <f t="shared" si="92"/>
        <v>Apr 2014</v>
      </c>
      <c r="C276" s="396" t="str">
        <f t="shared" si="93"/>
        <v>LS</v>
      </c>
      <c r="D276" s="396" t="str">
        <f t="shared" si="94"/>
        <v>KUUM_368</v>
      </c>
      <c r="E276" s="394">
        <f t="shared" si="95"/>
        <v>1</v>
      </c>
      <c r="F276" s="397">
        <v>0</v>
      </c>
      <c r="G276" s="394">
        <f t="shared" si="96"/>
        <v>59</v>
      </c>
      <c r="H276" s="394">
        <v>0</v>
      </c>
      <c r="I276" s="390">
        <f t="shared" si="97"/>
        <v>56.69</v>
      </c>
      <c r="J276" s="390">
        <f t="shared" si="98"/>
        <v>1.75</v>
      </c>
      <c r="K276" s="391">
        <f t="shared" si="110"/>
        <v>56.69</v>
      </c>
      <c r="L276" s="398">
        <v>0</v>
      </c>
      <c r="M276" s="398">
        <v>0</v>
      </c>
      <c r="N276" s="164">
        <f t="shared" si="99"/>
        <v>56.69</v>
      </c>
      <c r="O276" s="399">
        <f t="shared" si="100"/>
        <v>56.69</v>
      </c>
      <c r="P276" s="392">
        <f t="shared" si="111"/>
        <v>1</v>
      </c>
      <c r="Q276" s="164">
        <f t="shared" si="101"/>
        <v>0.18</v>
      </c>
      <c r="R276" s="164">
        <f t="shared" si="102"/>
        <v>0</v>
      </c>
      <c r="S276" s="164">
        <f t="shared" si="103"/>
        <v>0.91</v>
      </c>
      <c r="T276" s="164">
        <f t="shared" si="104"/>
        <v>0</v>
      </c>
      <c r="U276" s="164">
        <f t="shared" si="105"/>
        <v>57.78</v>
      </c>
      <c r="V276" s="393">
        <f t="shared" si="106"/>
        <v>57.779999999999994</v>
      </c>
      <c r="W276" s="393">
        <f t="shared" si="107"/>
        <v>0</v>
      </c>
      <c r="Y276" s="393">
        <f t="shared" si="112"/>
        <v>1.75</v>
      </c>
      <c r="Z276" s="393">
        <f t="shared" si="113"/>
        <v>54.94</v>
      </c>
      <c r="AD276" s="395">
        <f>IF(AH276&gt;AH275,AD275,IF(AD275&lt;MiscData!$F$1,EOMONTH(AD275,1),EOMONTH(AD275,-11)))</f>
        <v>41759</v>
      </c>
      <c r="AE276" s="389" t="str">
        <f t="shared" si="108"/>
        <v>20140101KUUM_368</v>
      </c>
      <c r="AF276" s="437" t="str">
        <f t="shared" si="109"/>
        <v>20140101LS</v>
      </c>
      <c r="AG276" s="438"/>
      <c r="AH276" s="34">
        <f>IF(AH275=MiscData!$AB$91,1,AH275+1)</f>
        <v>11</v>
      </c>
      <c r="AI276" s="34">
        <f>IF(AD276&lt;=MiscData!$B$23,MiscData!$C$23,IF(AD276&lt;=MiscData!$B$24,MiscData!$C$24,MiscData!$C$25))</f>
        <v>20140101</v>
      </c>
      <c r="AK276" s="439" t="str">
        <f>VLOOKUP(AM276,MiscData!$AB$4:$ACB$113,2,FALSE)</f>
        <v>KUUM_368</v>
      </c>
      <c r="AL276" s="439" t="str">
        <f>VLOOKUP(AM276,MiscData!$AB$4:$AE$115,4,FALSE)</f>
        <v>LS</v>
      </c>
      <c r="AM276" s="34">
        <f>IF(AM275=MiscData!$AB$91,1,AM275+1)</f>
        <v>11</v>
      </c>
    </row>
    <row r="277" spans="1:39">
      <c r="A277" s="389">
        <f t="shared" si="114"/>
        <v>276</v>
      </c>
      <c r="B277" s="395" t="str">
        <f t="shared" si="92"/>
        <v>Apr 2014</v>
      </c>
      <c r="C277" s="396" t="str">
        <f t="shared" si="93"/>
        <v>LS</v>
      </c>
      <c r="D277" s="396" t="str">
        <f t="shared" si="94"/>
        <v>KUUM_370</v>
      </c>
      <c r="E277" s="394">
        <f t="shared" si="95"/>
        <v>15</v>
      </c>
      <c r="F277" s="397">
        <v>0</v>
      </c>
      <c r="G277" s="394">
        <f t="shared" si="96"/>
        <v>906</v>
      </c>
      <c r="H277" s="394">
        <v>0</v>
      </c>
      <c r="I277" s="390">
        <f t="shared" si="97"/>
        <v>74.52</v>
      </c>
      <c r="J277" s="390">
        <f t="shared" si="98"/>
        <v>1.75</v>
      </c>
      <c r="K277" s="391">
        <f t="shared" si="110"/>
        <v>1117.8</v>
      </c>
      <c r="L277" s="398">
        <v>0</v>
      </c>
      <c r="M277" s="398">
        <v>0</v>
      </c>
      <c r="N277" s="164">
        <f t="shared" si="99"/>
        <v>1117.8</v>
      </c>
      <c r="O277" s="399">
        <f t="shared" si="100"/>
        <v>1117.8000000000002</v>
      </c>
      <c r="P277" s="392">
        <f t="shared" si="111"/>
        <v>1</v>
      </c>
      <c r="Q277" s="164">
        <f t="shared" si="101"/>
        <v>2.72</v>
      </c>
      <c r="R277" s="164">
        <f t="shared" si="102"/>
        <v>0</v>
      </c>
      <c r="S277" s="164">
        <f t="shared" si="103"/>
        <v>17.36</v>
      </c>
      <c r="T277" s="164">
        <f t="shared" si="104"/>
        <v>0</v>
      </c>
      <c r="U277" s="164">
        <f t="shared" si="105"/>
        <v>1137.8800000000001</v>
      </c>
      <c r="V277" s="393">
        <f t="shared" si="106"/>
        <v>1137.8799999999999</v>
      </c>
      <c r="W277" s="393">
        <f t="shared" si="107"/>
        <v>0</v>
      </c>
      <c r="Y277" s="393">
        <f t="shared" si="112"/>
        <v>26.25</v>
      </c>
      <c r="Z277" s="393">
        <f t="shared" si="113"/>
        <v>1091.5500000000002</v>
      </c>
      <c r="AD277" s="395">
        <f>IF(AH277&gt;AH276,AD276,IF(AD276&lt;MiscData!$F$1,EOMONTH(AD276,1),EOMONTH(AD276,-11)))</f>
        <v>41759</v>
      </c>
      <c r="AE277" s="389" t="str">
        <f t="shared" si="108"/>
        <v>20140101KUUM_370</v>
      </c>
      <c r="AF277" s="437" t="str">
        <f t="shared" si="109"/>
        <v>20140101LS</v>
      </c>
      <c r="AG277" s="438"/>
      <c r="AH277" s="34">
        <f>IF(AH276=MiscData!$AB$91,1,AH276+1)</f>
        <v>12</v>
      </c>
      <c r="AI277" s="34">
        <f>IF(AD277&lt;=MiscData!$B$23,MiscData!$C$23,IF(AD277&lt;=MiscData!$B$24,MiscData!$C$24,MiscData!$C$25))</f>
        <v>20140101</v>
      </c>
      <c r="AK277" s="439" t="str">
        <f>VLOOKUP(AM277,MiscData!$AB$4:$ACB$113,2,FALSE)</f>
        <v>KUUM_370</v>
      </c>
      <c r="AL277" s="439" t="str">
        <f>VLOOKUP(AM277,MiscData!$AB$4:$AE$115,4,FALSE)</f>
        <v>LS</v>
      </c>
      <c r="AM277" s="34">
        <f>IF(AM276=MiscData!$AB$91,1,AM276+1)</f>
        <v>12</v>
      </c>
    </row>
    <row r="278" spans="1:39">
      <c r="A278" s="389">
        <f t="shared" si="114"/>
        <v>277</v>
      </c>
      <c r="B278" s="395" t="str">
        <f t="shared" si="92"/>
        <v>Apr 2014</v>
      </c>
      <c r="C278" s="396" t="str">
        <f t="shared" si="93"/>
        <v>LS</v>
      </c>
      <c r="D278" s="396" t="str">
        <f t="shared" si="94"/>
        <v>KUUM_372</v>
      </c>
      <c r="E278" s="394">
        <f t="shared" si="95"/>
        <v>1</v>
      </c>
      <c r="F278" s="397">
        <v>0</v>
      </c>
      <c r="G278" s="394">
        <f t="shared" si="96"/>
        <v>59</v>
      </c>
      <c r="H278" s="394">
        <v>0</v>
      </c>
      <c r="I278" s="390">
        <f t="shared" si="97"/>
        <v>82.3</v>
      </c>
      <c r="J278" s="390">
        <f t="shared" si="98"/>
        <v>1.75</v>
      </c>
      <c r="K278" s="391">
        <f t="shared" si="110"/>
        <v>82.3</v>
      </c>
      <c r="L278" s="398">
        <v>0</v>
      </c>
      <c r="M278" s="398">
        <v>0</v>
      </c>
      <c r="N278" s="164">
        <f t="shared" si="99"/>
        <v>82.3</v>
      </c>
      <c r="O278" s="399">
        <f t="shared" si="100"/>
        <v>82.3</v>
      </c>
      <c r="P278" s="392">
        <f t="shared" si="111"/>
        <v>1</v>
      </c>
      <c r="Q278" s="164">
        <f t="shared" si="101"/>
        <v>0.18</v>
      </c>
      <c r="R278" s="164">
        <f t="shared" si="102"/>
        <v>0</v>
      </c>
      <c r="S278" s="164">
        <f t="shared" si="103"/>
        <v>1.32</v>
      </c>
      <c r="T278" s="164">
        <f t="shared" si="104"/>
        <v>0</v>
      </c>
      <c r="U278" s="164">
        <f t="shared" si="105"/>
        <v>83.8</v>
      </c>
      <c r="V278" s="393">
        <f t="shared" si="106"/>
        <v>83.8</v>
      </c>
      <c r="W278" s="393">
        <f t="shared" si="107"/>
        <v>0</v>
      </c>
      <c r="Y278" s="393">
        <f t="shared" si="112"/>
        <v>1.75</v>
      </c>
      <c r="Z278" s="393">
        <f t="shared" si="113"/>
        <v>80.55</v>
      </c>
      <c r="AD278" s="395">
        <f>IF(AH278&gt;AH277,AD277,IF(AD277&lt;MiscData!$F$1,EOMONTH(AD277,1),EOMONTH(AD277,-11)))</f>
        <v>41759</v>
      </c>
      <c r="AE278" s="389" t="str">
        <f t="shared" si="108"/>
        <v>20140101KUUM_372</v>
      </c>
      <c r="AF278" s="437" t="str">
        <f t="shared" si="109"/>
        <v>20140101LS</v>
      </c>
      <c r="AG278" s="438"/>
      <c r="AH278" s="34">
        <f>IF(AH277=MiscData!$AB$91,1,AH277+1)</f>
        <v>13</v>
      </c>
      <c r="AI278" s="34">
        <f>IF(AD278&lt;=MiscData!$B$23,MiscData!$C$23,IF(AD278&lt;=MiscData!$B$24,MiscData!$C$24,MiscData!$C$25))</f>
        <v>20140101</v>
      </c>
      <c r="AK278" s="439" t="str">
        <f>VLOOKUP(AM278,MiscData!$AB$4:$ACB$113,2,FALSE)</f>
        <v>KUUM_372</v>
      </c>
      <c r="AL278" s="439" t="str">
        <f>VLOOKUP(AM278,MiscData!$AB$4:$AE$115,4,FALSE)</f>
        <v>LS</v>
      </c>
      <c r="AM278" s="34">
        <f>IF(AM277=MiscData!$AB$91,1,AM277+1)</f>
        <v>13</v>
      </c>
    </row>
    <row r="279" spans="1:39">
      <c r="A279" s="389">
        <f t="shared" si="114"/>
        <v>278</v>
      </c>
      <c r="B279" s="395" t="str">
        <f t="shared" si="92"/>
        <v>Apr 2014</v>
      </c>
      <c r="C279" s="396" t="str">
        <f t="shared" si="93"/>
        <v>LS</v>
      </c>
      <c r="D279" s="396" t="str">
        <f t="shared" si="94"/>
        <v>KUUM_373</v>
      </c>
      <c r="E279" s="394">
        <f t="shared" si="95"/>
        <v>20</v>
      </c>
      <c r="F279" s="397">
        <v>0</v>
      </c>
      <c r="G279" s="394">
        <f t="shared" si="96"/>
        <v>1356</v>
      </c>
      <c r="H279" s="394">
        <v>0</v>
      </c>
      <c r="I279" s="390">
        <f t="shared" si="97"/>
        <v>74.52</v>
      </c>
      <c r="J279" s="390">
        <f t="shared" si="98"/>
        <v>1.75</v>
      </c>
      <c r="K279" s="391">
        <f t="shared" si="110"/>
        <v>1490.4</v>
      </c>
      <c r="L279" s="398">
        <v>0</v>
      </c>
      <c r="M279" s="398">
        <v>0</v>
      </c>
      <c r="N279" s="164">
        <f t="shared" si="99"/>
        <v>1490.4</v>
      </c>
      <c r="O279" s="399">
        <f t="shared" si="100"/>
        <v>1490.3999999999999</v>
      </c>
      <c r="P279" s="392">
        <f t="shared" si="111"/>
        <v>1</v>
      </c>
      <c r="Q279" s="164">
        <f t="shared" si="101"/>
        <v>4.2300000000000004</v>
      </c>
      <c r="R279" s="164">
        <f t="shared" si="102"/>
        <v>0</v>
      </c>
      <c r="S279" s="164">
        <f t="shared" si="103"/>
        <v>23.91</v>
      </c>
      <c r="T279" s="164">
        <f t="shared" si="104"/>
        <v>0</v>
      </c>
      <c r="U279" s="164">
        <f t="shared" si="105"/>
        <v>1518.54</v>
      </c>
      <c r="V279" s="393">
        <f t="shared" si="106"/>
        <v>1518.5400000000002</v>
      </c>
      <c r="W279" s="393">
        <f t="shared" si="107"/>
        <v>0</v>
      </c>
      <c r="Y279" s="393">
        <f t="shared" si="112"/>
        <v>35</v>
      </c>
      <c r="Z279" s="393">
        <f t="shared" si="113"/>
        <v>1455.3999999999999</v>
      </c>
      <c r="AD279" s="395">
        <f>IF(AH279&gt;AH278,AD278,IF(AD278&lt;MiscData!$F$1,EOMONTH(AD278,1),EOMONTH(AD278,-11)))</f>
        <v>41759</v>
      </c>
      <c r="AE279" s="389" t="str">
        <f t="shared" si="108"/>
        <v>20140101KUUM_373</v>
      </c>
      <c r="AF279" s="437" t="str">
        <f t="shared" si="109"/>
        <v>20140101LS</v>
      </c>
      <c r="AG279" s="438"/>
      <c r="AH279" s="34">
        <f>IF(AH278=MiscData!$AB$91,1,AH278+1)</f>
        <v>14</v>
      </c>
      <c r="AI279" s="34">
        <f>IF(AD279&lt;=MiscData!$B$23,MiscData!$C$23,IF(AD279&lt;=MiscData!$B$24,MiscData!$C$24,MiscData!$C$25))</f>
        <v>20140101</v>
      </c>
      <c r="AK279" s="439" t="str">
        <f>VLOOKUP(AM279,MiscData!$AB$4:$ACB$113,2,FALSE)</f>
        <v>KUUM_373</v>
      </c>
      <c r="AL279" s="439" t="str">
        <f>VLOOKUP(AM279,MiscData!$AB$4:$AE$115,4,FALSE)</f>
        <v>LS</v>
      </c>
      <c r="AM279" s="34">
        <f>IF(AM278=MiscData!$AB$91,1,AM278+1)</f>
        <v>14</v>
      </c>
    </row>
    <row r="280" spans="1:39">
      <c r="A280" s="389">
        <f t="shared" si="114"/>
        <v>279</v>
      </c>
      <c r="B280" s="395" t="str">
        <f t="shared" si="92"/>
        <v>Apr 2014</v>
      </c>
      <c r="C280" s="396" t="str">
        <f t="shared" si="93"/>
        <v>LS</v>
      </c>
      <c r="D280" s="396" t="str">
        <f t="shared" si="94"/>
        <v>KUUM_374</v>
      </c>
      <c r="E280" s="394">
        <f t="shared" si="95"/>
        <v>4</v>
      </c>
      <c r="F280" s="397">
        <v>0</v>
      </c>
      <c r="G280" s="394">
        <f t="shared" si="96"/>
        <v>254</v>
      </c>
      <c r="H280" s="394">
        <v>0</v>
      </c>
      <c r="I280" s="390">
        <f t="shared" si="97"/>
        <v>75.88</v>
      </c>
      <c r="J280" s="390">
        <f t="shared" si="98"/>
        <v>1.75</v>
      </c>
      <c r="K280" s="391">
        <f t="shared" si="110"/>
        <v>303.52</v>
      </c>
      <c r="L280" s="398">
        <v>0</v>
      </c>
      <c r="M280" s="398">
        <v>0</v>
      </c>
      <c r="N280" s="164">
        <f t="shared" si="99"/>
        <v>303.52</v>
      </c>
      <c r="O280" s="399">
        <f t="shared" si="100"/>
        <v>303.52000000000004</v>
      </c>
      <c r="P280" s="392">
        <f t="shared" si="111"/>
        <v>1</v>
      </c>
      <c r="Q280" s="164">
        <f t="shared" si="101"/>
        <v>0.79</v>
      </c>
      <c r="R280" s="164">
        <f t="shared" si="102"/>
        <v>0</v>
      </c>
      <c r="S280" s="164">
        <f t="shared" si="103"/>
        <v>4.8600000000000003</v>
      </c>
      <c r="T280" s="164">
        <f t="shared" si="104"/>
        <v>0</v>
      </c>
      <c r="U280" s="164">
        <f t="shared" si="105"/>
        <v>309.17</v>
      </c>
      <c r="V280" s="393">
        <f t="shared" si="106"/>
        <v>309.17</v>
      </c>
      <c r="W280" s="393">
        <f t="shared" si="107"/>
        <v>0</v>
      </c>
      <c r="Y280" s="393">
        <f t="shared" si="112"/>
        <v>7</v>
      </c>
      <c r="Z280" s="393">
        <f t="shared" si="113"/>
        <v>296.52000000000004</v>
      </c>
      <c r="AD280" s="395">
        <f>IF(AH280&gt;AH279,AD279,IF(AD279&lt;MiscData!$F$1,EOMONTH(AD279,1),EOMONTH(AD279,-11)))</f>
        <v>41759</v>
      </c>
      <c r="AE280" s="389" t="str">
        <f t="shared" si="108"/>
        <v>20140101KUUM_374</v>
      </c>
      <c r="AF280" s="437" t="str">
        <f t="shared" si="109"/>
        <v>20140101LS</v>
      </c>
      <c r="AG280" s="438"/>
      <c r="AH280" s="34">
        <f>IF(AH279=MiscData!$AB$91,1,AH279+1)</f>
        <v>15</v>
      </c>
      <c r="AI280" s="34">
        <f>IF(AD280&lt;=MiscData!$B$23,MiscData!$C$23,IF(AD280&lt;=MiscData!$B$24,MiscData!$C$24,MiscData!$C$25))</f>
        <v>20140101</v>
      </c>
      <c r="AK280" s="439" t="str">
        <f>VLOOKUP(AM280,MiscData!$AB$4:$ACB$113,2,FALSE)</f>
        <v>KUUM_374</v>
      </c>
      <c r="AL280" s="439" t="str">
        <f>VLOOKUP(AM280,MiscData!$AB$4:$AE$115,4,FALSE)</f>
        <v>LS</v>
      </c>
      <c r="AM280" s="34">
        <f>IF(AM279=MiscData!$AB$91,1,AM279+1)</f>
        <v>15</v>
      </c>
    </row>
    <row r="281" spans="1:39">
      <c r="A281" s="389">
        <f t="shared" si="114"/>
        <v>280</v>
      </c>
      <c r="B281" s="395" t="str">
        <f t="shared" si="92"/>
        <v>Apr 2014</v>
      </c>
      <c r="C281" s="396" t="str">
        <f t="shared" si="93"/>
        <v>LS</v>
      </c>
      <c r="D281" s="396" t="str">
        <f t="shared" si="94"/>
        <v>KUUM_375</v>
      </c>
      <c r="E281" s="394">
        <f t="shared" si="95"/>
        <v>3</v>
      </c>
      <c r="F281" s="397">
        <v>0</v>
      </c>
      <c r="G281" s="394">
        <f t="shared" si="96"/>
        <v>204</v>
      </c>
      <c r="H281" s="394">
        <v>0</v>
      </c>
      <c r="I281" s="390">
        <f t="shared" si="97"/>
        <v>78.97</v>
      </c>
      <c r="J281" s="390">
        <f t="shared" si="98"/>
        <v>1.75</v>
      </c>
      <c r="K281" s="391">
        <f t="shared" si="110"/>
        <v>236.91</v>
      </c>
      <c r="L281" s="398">
        <v>0</v>
      </c>
      <c r="M281" s="398">
        <v>0</v>
      </c>
      <c r="N281" s="164">
        <f t="shared" si="99"/>
        <v>236.91</v>
      </c>
      <c r="O281" s="399">
        <f t="shared" si="100"/>
        <v>236.91</v>
      </c>
      <c r="P281" s="392">
        <f t="shared" si="111"/>
        <v>1</v>
      </c>
      <c r="Q281" s="164">
        <f t="shared" si="101"/>
        <v>0.63</v>
      </c>
      <c r="R281" s="164">
        <f t="shared" si="102"/>
        <v>0</v>
      </c>
      <c r="S281" s="164">
        <f t="shared" si="103"/>
        <v>3.8</v>
      </c>
      <c r="T281" s="164">
        <f t="shared" si="104"/>
        <v>0</v>
      </c>
      <c r="U281" s="164">
        <f t="shared" si="105"/>
        <v>241.34</v>
      </c>
      <c r="V281" s="393">
        <f t="shared" si="106"/>
        <v>241.34</v>
      </c>
      <c r="W281" s="393">
        <f t="shared" si="107"/>
        <v>0</v>
      </c>
      <c r="Y281" s="393">
        <f t="shared" si="112"/>
        <v>5.25</v>
      </c>
      <c r="Z281" s="393">
        <f t="shared" si="113"/>
        <v>231.66</v>
      </c>
      <c r="AD281" s="395">
        <f>IF(AH281&gt;AH280,AD280,IF(AD280&lt;MiscData!$F$1,EOMONTH(AD280,1),EOMONTH(AD280,-11)))</f>
        <v>41759</v>
      </c>
      <c r="AE281" s="389" t="str">
        <f t="shared" si="108"/>
        <v>20140101KUUM_375</v>
      </c>
      <c r="AF281" s="437" t="str">
        <f t="shared" si="109"/>
        <v>20140101LS</v>
      </c>
      <c r="AG281" s="438"/>
      <c r="AH281" s="34">
        <f>IF(AH280=MiscData!$AB$91,1,AH280+1)</f>
        <v>16</v>
      </c>
      <c r="AI281" s="34">
        <f>IF(AD281&lt;=MiscData!$B$23,MiscData!$C$23,IF(AD281&lt;=MiscData!$B$24,MiscData!$C$24,MiscData!$C$25))</f>
        <v>20140101</v>
      </c>
      <c r="AK281" s="439" t="str">
        <f>VLOOKUP(AM281,MiscData!$AB$4:$ACB$113,2,FALSE)</f>
        <v>KUUM_375</v>
      </c>
      <c r="AL281" s="439" t="str">
        <f>VLOOKUP(AM281,MiscData!$AB$4:$AE$115,4,FALSE)</f>
        <v>LS</v>
      </c>
      <c r="AM281" s="34">
        <f>IF(AM280=MiscData!$AB$91,1,AM280+1)</f>
        <v>16</v>
      </c>
    </row>
    <row r="282" spans="1:39">
      <c r="A282" s="389">
        <f t="shared" si="114"/>
        <v>281</v>
      </c>
      <c r="B282" s="395" t="str">
        <f t="shared" si="92"/>
        <v>Apr 2014</v>
      </c>
      <c r="C282" s="396" t="str">
        <f t="shared" si="93"/>
        <v>LS</v>
      </c>
      <c r="D282" s="396" t="str">
        <f t="shared" si="94"/>
        <v>KUUM_376</v>
      </c>
      <c r="E282" s="394">
        <f t="shared" si="95"/>
        <v>2</v>
      </c>
      <c r="F282" s="397">
        <v>0</v>
      </c>
      <c r="G282" s="394">
        <f t="shared" si="96"/>
        <v>136</v>
      </c>
      <c r="H282" s="394">
        <v>0</v>
      </c>
      <c r="I282" s="390">
        <f t="shared" si="97"/>
        <v>77.259999999999991</v>
      </c>
      <c r="J282" s="390">
        <f t="shared" si="98"/>
        <v>1.75</v>
      </c>
      <c r="K282" s="391">
        <f t="shared" si="110"/>
        <v>154.52000000000001</v>
      </c>
      <c r="L282" s="398">
        <v>0</v>
      </c>
      <c r="M282" s="398">
        <v>0</v>
      </c>
      <c r="N282" s="164">
        <f t="shared" si="99"/>
        <v>154.52000000000001</v>
      </c>
      <c r="O282" s="399">
        <f t="shared" si="100"/>
        <v>154.51999999999998</v>
      </c>
      <c r="P282" s="392">
        <f t="shared" si="111"/>
        <v>1</v>
      </c>
      <c r="Q282" s="164">
        <f t="shared" si="101"/>
        <v>0.42</v>
      </c>
      <c r="R282" s="164">
        <f t="shared" si="102"/>
        <v>0</v>
      </c>
      <c r="S282" s="164">
        <f t="shared" si="103"/>
        <v>2.48</v>
      </c>
      <c r="T282" s="164">
        <f t="shared" si="104"/>
        <v>0</v>
      </c>
      <c r="U282" s="164">
        <f t="shared" si="105"/>
        <v>157.41999999999999</v>
      </c>
      <c r="V282" s="393">
        <f t="shared" si="106"/>
        <v>157.41999999999999</v>
      </c>
      <c r="W282" s="393">
        <f t="shared" si="107"/>
        <v>0</v>
      </c>
      <c r="Y282" s="393">
        <f t="shared" si="112"/>
        <v>3.5</v>
      </c>
      <c r="Z282" s="393">
        <f t="shared" si="113"/>
        <v>151.01999999999998</v>
      </c>
      <c r="AD282" s="395">
        <f>IF(AH282&gt;AH281,AD281,IF(AD281&lt;MiscData!$F$1,EOMONTH(AD281,1),EOMONTH(AD281,-11)))</f>
        <v>41759</v>
      </c>
      <c r="AE282" s="389" t="str">
        <f t="shared" si="108"/>
        <v>20140101KUUM_376</v>
      </c>
      <c r="AF282" s="437" t="str">
        <f t="shared" si="109"/>
        <v>20140101LS</v>
      </c>
      <c r="AG282" s="438"/>
      <c r="AH282" s="34">
        <f>IF(AH281=MiscData!$AB$91,1,AH281+1)</f>
        <v>17</v>
      </c>
      <c r="AI282" s="34">
        <f>IF(AD282&lt;=MiscData!$B$23,MiscData!$C$23,IF(AD282&lt;=MiscData!$B$24,MiscData!$C$24,MiscData!$C$25))</f>
        <v>20140101</v>
      </c>
      <c r="AK282" s="439" t="str">
        <f>VLOOKUP(AM282,MiscData!$AB$4:$ACB$113,2,FALSE)</f>
        <v>KUUM_376</v>
      </c>
      <c r="AL282" s="439" t="str">
        <f>VLOOKUP(AM282,MiscData!$AB$4:$AE$115,4,FALSE)</f>
        <v>LS</v>
      </c>
      <c r="AM282" s="34">
        <f>IF(AM281=MiscData!$AB$91,1,AM281+1)</f>
        <v>17</v>
      </c>
    </row>
    <row r="283" spans="1:39">
      <c r="A283" s="389">
        <f t="shared" si="114"/>
        <v>282</v>
      </c>
      <c r="B283" s="395" t="str">
        <f t="shared" si="92"/>
        <v>Apr 2014</v>
      </c>
      <c r="C283" s="396" t="str">
        <f t="shared" si="93"/>
        <v>LS</v>
      </c>
      <c r="D283" s="396" t="str">
        <f t="shared" si="94"/>
        <v>KUUM_377</v>
      </c>
      <c r="E283" s="394">
        <f t="shared" si="95"/>
        <v>51</v>
      </c>
      <c r="F283" s="397">
        <v>0</v>
      </c>
      <c r="G283" s="394">
        <f t="shared" si="96"/>
        <v>3370</v>
      </c>
      <c r="H283" s="394">
        <v>58</v>
      </c>
      <c r="I283" s="390">
        <f t="shared" si="97"/>
        <v>64.19</v>
      </c>
      <c r="J283" s="390">
        <f t="shared" si="98"/>
        <v>1.75</v>
      </c>
      <c r="K283" s="391">
        <f t="shared" si="110"/>
        <v>3273.69</v>
      </c>
      <c r="L283" s="398">
        <v>0</v>
      </c>
      <c r="M283" s="398">
        <v>0</v>
      </c>
      <c r="N283" s="164">
        <f t="shared" si="99"/>
        <v>3273.69</v>
      </c>
      <c r="O283" s="399">
        <f t="shared" si="100"/>
        <v>3273.69</v>
      </c>
      <c r="P283" s="392">
        <f t="shared" si="111"/>
        <v>1</v>
      </c>
      <c r="Q283" s="164">
        <f t="shared" si="101"/>
        <v>10.52</v>
      </c>
      <c r="R283" s="164">
        <f t="shared" si="102"/>
        <v>0</v>
      </c>
      <c r="S283" s="164">
        <f t="shared" si="103"/>
        <v>52.54</v>
      </c>
      <c r="T283" s="164">
        <f t="shared" si="104"/>
        <v>0</v>
      </c>
      <c r="U283" s="164">
        <f t="shared" si="105"/>
        <v>3336.75</v>
      </c>
      <c r="V283" s="393">
        <f t="shared" si="106"/>
        <v>3336.75</v>
      </c>
      <c r="W283" s="393">
        <f t="shared" si="107"/>
        <v>0</v>
      </c>
      <c r="Y283" s="393">
        <f t="shared" si="112"/>
        <v>89.25</v>
      </c>
      <c r="Z283" s="393">
        <f t="shared" si="113"/>
        <v>3184.44</v>
      </c>
      <c r="AD283" s="395">
        <f>IF(AH283&gt;AH282,AD282,IF(AD282&lt;MiscData!$F$1,EOMONTH(AD282,1),EOMONTH(AD282,-11)))</f>
        <v>41759</v>
      </c>
      <c r="AE283" s="389" t="str">
        <f t="shared" si="108"/>
        <v>20140101KUUM_377</v>
      </c>
      <c r="AF283" s="437" t="str">
        <f t="shared" si="109"/>
        <v>20140101LS</v>
      </c>
      <c r="AG283" s="438"/>
      <c r="AH283" s="34">
        <f>IF(AH282=MiscData!$AB$91,1,AH282+1)</f>
        <v>18</v>
      </c>
      <c r="AI283" s="34">
        <f>IF(AD283&lt;=MiscData!$B$23,MiscData!$C$23,IF(AD283&lt;=MiscData!$B$24,MiscData!$C$24,MiscData!$C$25))</f>
        <v>20140101</v>
      </c>
      <c r="AK283" s="439" t="str">
        <f>VLOOKUP(AM283,MiscData!$AB$4:$ACB$113,2,FALSE)</f>
        <v>KUUM_377</v>
      </c>
      <c r="AL283" s="439" t="str">
        <f>VLOOKUP(AM283,MiscData!$AB$4:$AE$115,4,FALSE)</f>
        <v>LS</v>
      </c>
      <c r="AM283" s="34">
        <f>IF(AM282=MiscData!$AB$91,1,AM282+1)</f>
        <v>18</v>
      </c>
    </row>
    <row r="284" spans="1:39">
      <c r="A284" s="389">
        <f t="shared" si="114"/>
        <v>283</v>
      </c>
      <c r="B284" s="395" t="str">
        <f t="shared" si="92"/>
        <v>Apr 2014</v>
      </c>
      <c r="C284" s="396" t="str">
        <f t="shared" si="93"/>
        <v>LS</v>
      </c>
      <c r="D284" s="396" t="str">
        <f t="shared" si="94"/>
        <v>KUUM_378</v>
      </c>
      <c r="E284" s="394">
        <f t="shared" si="95"/>
        <v>2</v>
      </c>
      <c r="F284" s="397">
        <v>0</v>
      </c>
      <c r="G284" s="394">
        <f t="shared" si="96"/>
        <v>119</v>
      </c>
      <c r="H284" s="394">
        <v>0</v>
      </c>
      <c r="I284" s="390">
        <f t="shared" si="97"/>
        <v>75.899999999999991</v>
      </c>
      <c r="J284" s="390">
        <f t="shared" si="98"/>
        <v>1.75</v>
      </c>
      <c r="K284" s="391">
        <f t="shared" si="110"/>
        <v>151.80000000000001</v>
      </c>
      <c r="L284" s="398">
        <v>0</v>
      </c>
      <c r="M284" s="398">
        <v>0</v>
      </c>
      <c r="N284" s="164">
        <f t="shared" si="99"/>
        <v>151.80000000000001</v>
      </c>
      <c r="O284" s="399">
        <f t="shared" si="100"/>
        <v>151.79999999999998</v>
      </c>
      <c r="P284" s="392">
        <f t="shared" si="111"/>
        <v>1</v>
      </c>
      <c r="Q284" s="164">
        <f t="shared" si="101"/>
        <v>0.37</v>
      </c>
      <c r="R284" s="164">
        <f t="shared" si="102"/>
        <v>0</v>
      </c>
      <c r="S284" s="164">
        <f t="shared" si="103"/>
        <v>2.4300000000000002</v>
      </c>
      <c r="T284" s="164">
        <f t="shared" si="104"/>
        <v>0</v>
      </c>
      <c r="U284" s="164">
        <f t="shared" si="105"/>
        <v>154.6</v>
      </c>
      <c r="V284" s="393">
        <f t="shared" si="106"/>
        <v>154.60000000000002</v>
      </c>
      <c r="W284" s="393">
        <f t="shared" si="107"/>
        <v>0</v>
      </c>
      <c r="Y284" s="393">
        <f t="shared" si="112"/>
        <v>3.5</v>
      </c>
      <c r="Z284" s="393">
        <f t="shared" si="113"/>
        <v>148.29999999999998</v>
      </c>
      <c r="AD284" s="395">
        <f>IF(AH284&gt;AH283,AD283,IF(AD283&lt;MiscData!$F$1,EOMONTH(AD283,1),EOMONTH(AD283,-11)))</f>
        <v>41759</v>
      </c>
      <c r="AE284" s="389" t="str">
        <f t="shared" si="108"/>
        <v>20140101KUUM_378</v>
      </c>
      <c r="AF284" s="437" t="str">
        <f t="shared" si="109"/>
        <v>20140101LS</v>
      </c>
      <c r="AG284" s="438"/>
      <c r="AH284" s="34">
        <f>IF(AH283=MiscData!$AB$91,1,AH283+1)</f>
        <v>19</v>
      </c>
      <c r="AI284" s="34">
        <f>IF(AD284&lt;=MiscData!$B$23,MiscData!$C$23,IF(AD284&lt;=MiscData!$B$24,MiscData!$C$24,MiscData!$C$25))</f>
        <v>20140101</v>
      </c>
      <c r="AK284" s="439" t="str">
        <f>VLOOKUP(AM284,MiscData!$AB$4:$ACB$113,2,FALSE)</f>
        <v>KUUM_378</v>
      </c>
      <c r="AL284" s="439" t="str">
        <f>VLOOKUP(AM284,MiscData!$AB$4:$AE$115,4,FALSE)</f>
        <v>LS</v>
      </c>
      <c r="AM284" s="34">
        <f>IF(AM283=MiscData!$AB$91,1,AM283+1)</f>
        <v>19</v>
      </c>
    </row>
    <row r="285" spans="1:39">
      <c r="A285" s="389">
        <f t="shared" si="114"/>
        <v>284</v>
      </c>
      <c r="B285" s="395" t="str">
        <f t="shared" si="92"/>
        <v>Apr 2014</v>
      </c>
      <c r="C285" s="396" t="str">
        <f t="shared" si="93"/>
        <v>LS</v>
      </c>
      <c r="D285" s="396" t="str">
        <f t="shared" si="94"/>
        <v>KUUM_401</v>
      </c>
      <c r="E285" s="394">
        <f t="shared" si="95"/>
        <v>52</v>
      </c>
      <c r="F285" s="397">
        <v>0</v>
      </c>
      <c r="G285" s="394">
        <f t="shared" si="96"/>
        <v>1359</v>
      </c>
      <c r="H285" s="394">
        <v>0</v>
      </c>
      <c r="I285" s="390">
        <f t="shared" si="97"/>
        <v>14.860000000000001</v>
      </c>
      <c r="J285" s="390">
        <f t="shared" si="98"/>
        <v>0.80000000000000071</v>
      </c>
      <c r="K285" s="391">
        <f t="shared" si="110"/>
        <v>772.72</v>
      </c>
      <c r="L285" s="398">
        <v>0</v>
      </c>
      <c r="M285" s="398">
        <v>0</v>
      </c>
      <c r="N285" s="164">
        <f t="shared" si="99"/>
        <v>772.72</v>
      </c>
      <c r="O285" s="399">
        <f t="shared" si="100"/>
        <v>772.72</v>
      </c>
      <c r="P285" s="392">
        <f t="shared" si="111"/>
        <v>1</v>
      </c>
      <c r="Q285" s="164">
        <f t="shared" si="101"/>
        <v>3.23</v>
      </c>
      <c r="R285" s="164">
        <f t="shared" si="102"/>
        <v>0</v>
      </c>
      <c r="S285" s="164">
        <f t="shared" si="103"/>
        <v>10.15</v>
      </c>
      <c r="T285" s="164">
        <f t="shared" si="104"/>
        <v>0</v>
      </c>
      <c r="U285" s="164">
        <f t="shared" si="105"/>
        <v>786.1</v>
      </c>
      <c r="V285" s="393">
        <f t="shared" si="106"/>
        <v>786.1</v>
      </c>
      <c r="W285" s="393">
        <f t="shared" si="107"/>
        <v>0</v>
      </c>
      <c r="Y285" s="393">
        <f t="shared" si="112"/>
        <v>41.6</v>
      </c>
      <c r="Z285" s="393">
        <f t="shared" si="113"/>
        <v>731.12</v>
      </c>
      <c r="AD285" s="395">
        <f>IF(AH285&gt;AH284,AD284,IF(AD284&lt;MiscData!$F$1,EOMONTH(AD284,1),EOMONTH(AD284,-11)))</f>
        <v>41759</v>
      </c>
      <c r="AE285" s="389" t="str">
        <f t="shared" si="108"/>
        <v>20140101KUUM_401</v>
      </c>
      <c r="AF285" s="437" t="str">
        <f t="shared" si="109"/>
        <v>20140101LS</v>
      </c>
      <c r="AG285" s="438"/>
      <c r="AH285" s="34">
        <f>IF(AH284=MiscData!$AB$91,1,AH284+1)</f>
        <v>20</v>
      </c>
      <c r="AI285" s="34">
        <f>IF(AD285&lt;=MiscData!$B$23,MiscData!$C$23,IF(AD285&lt;=MiscData!$B$24,MiscData!$C$24,MiscData!$C$25))</f>
        <v>20140101</v>
      </c>
      <c r="AK285" s="439" t="str">
        <f>VLOOKUP(AM285,MiscData!$AB$4:$ACB$113,2,FALSE)</f>
        <v>KUUM_401</v>
      </c>
      <c r="AL285" s="439" t="str">
        <f>VLOOKUP(AM285,MiscData!$AB$4:$AE$115,4,FALSE)</f>
        <v>LS</v>
      </c>
      <c r="AM285" s="34">
        <f>IF(AM284=MiscData!$AB$91,1,AM284+1)</f>
        <v>20</v>
      </c>
    </row>
    <row r="286" spans="1:39">
      <c r="A286" s="389">
        <f t="shared" si="114"/>
        <v>285</v>
      </c>
      <c r="B286" s="395" t="str">
        <f t="shared" si="92"/>
        <v>Apr 2014</v>
      </c>
      <c r="C286" s="396" t="str">
        <f t="shared" si="93"/>
        <v>RLS</v>
      </c>
      <c r="D286" s="396" t="str">
        <f t="shared" si="94"/>
        <v>KUUM_404</v>
      </c>
      <c r="E286" s="394">
        <f t="shared" si="95"/>
        <v>7206</v>
      </c>
      <c r="F286" s="397">
        <v>1</v>
      </c>
      <c r="G286" s="394">
        <f t="shared" si="96"/>
        <v>472181</v>
      </c>
      <c r="H286" s="394">
        <v>0</v>
      </c>
      <c r="I286" s="390">
        <f t="shared" si="97"/>
        <v>10.570000000000002</v>
      </c>
      <c r="J286" s="390">
        <f t="shared" si="98"/>
        <v>1.9900000000000002</v>
      </c>
      <c r="K286" s="391">
        <f t="shared" si="110"/>
        <v>76177.990000000005</v>
      </c>
      <c r="L286" s="398">
        <v>-563.76</v>
      </c>
      <c r="M286" s="398">
        <v>0</v>
      </c>
      <c r="N286" s="164">
        <f t="shared" si="99"/>
        <v>75614.23000000001</v>
      </c>
      <c r="O286" s="399">
        <f t="shared" si="100"/>
        <v>75614.23</v>
      </c>
      <c r="P286" s="392">
        <f t="shared" si="111"/>
        <v>1</v>
      </c>
      <c r="Q286" s="164">
        <f t="shared" si="101"/>
        <v>1019.41</v>
      </c>
      <c r="R286" s="164">
        <f t="shared" si="102"/>
        <v>0</v>
      </c>
      <c r="S286" s="164">
        <f t="shared" si="103"/>
        <v>935.23</v>
      </c>
      <c r="T286" s="164">
        <f t="shared" si="104"/>
        <v>0</v>
      </c>
      <c r="U286" s="164">
        <f t="shared" si="105"/>
        <v>77568.87</v>
      </c>
      <c r="V286" s="393">
        <f t="shared" si="106"/>
        <v>77568.87000000001</v>
      </c>
      <c r="W286" s="393">
        <f t="shared" si="107"/>
        <v>0</v>
      </c>
      <c r="Y286" s="393">
        <f t="shared" si="112"/>
        <v>14339.94</v>
      </c>
      <c r="Z286" s="393">
        <f t="shared" si="113"/>
        <v>61274.289999999994</v>
      </c>
      <c r="AD286" s="395">
        <f>IF(AH286&gt;AH285,AD285,IF(AD285&lt;MiscData!$F$1,EOMONTH(AD285,1),EOMONTH(AD285,-11)))</f>
        <v>41759</v>
      </c>
      <c r="AE286" s="389" t="str">
        <f t="shared" si="108"/>
        <v>20140101KUUM_404</v>
      </c>
      <c r="AF286" s="437" t="str">
        <f t="shared" si="109"/>
        <v>20140101RLS</v>
      </c>
      <c r="AG286" s="438"/>
      <c r="AH286" s="34">
        <f>IF(AH285=MiscData!$AB$91,1,AH285+1)</f>
        <v>21</v>
      </c>
      <c r="AI286" s="34">
        <f>IF(AD286&lt;=MiscData!$B$23,MiscData!$C$23,IF(AD286&lt;=MiscData!$B$24,MiscData!$C$24,MiscData!$C$25))</f>
        <v>20140101</v>
      </c>
      <c r="AK286" s="439" t="str">
        <f>VLOOKUP(AM286,MiscData!$AB$4:$ACB$113,2,FALSE)</f>
        <v>KUUM_404</v>
      </c>
      <c r="AL286" s="439" t="str">
        <f>VLOOKUP(AM286,MiscData!$AB$4:$AE$115,4,FALSE)</f>
        <v>RLS</v>
      </c>
      <c r="AM286" s="34">
        <f>IF(AM285=MiscData!$AB$91,1,AM285+1)</f>
        <v>21</v>
      </c>
    </row>
    <row r="287" spans="1:39">
      <c r="A287" s="389">
        <f t="shared" si="114"/>
        <v>286</v>
      </c>
      <c r="B287" s="395" t="str">
        <f t="shared" si="92"/>
        <v>Apr 2014</v>
      </c>
      <c r="C287" s="396" t="str">
        <f t="shared" si="93"/>
        <v>RLS</v>
      </c>
      <c r="D287" s="396" t="str">
        <f t="shared" si="94"/>
        <v>KUUM_405</v>
      </c>
      <c r="E287" s="394">
        <f t="shared" si="95"/>
        <v>0</v>
      </c>
      <c r="F287" s="397">
        <v>0</v>
      </c>
      <c r="G287" s="394">
        <f t="shared" si="96"/>
        <v>0</v>
      </c>
      <c r="H287" s="394">
        <v>0</v>
      </c>
      <c r="I287" s="390">
        <f t="shared" si="97"/>
        <v>0</v>
      </c>
      <c r="J287" s="390">
        <f t="shared" si="98"/>
        <v>0</v>
      </c>
      <c r="K287" s="391">
        <f t="shared" si="110"/>
        <v>0</v>
      </c>
      <c r="L287" s="398">
        <v>0</v>
      </c>
      <c r="M287" s="398">
        <v>0</v>
      </c>
      <c r="N287" s="164">
        <f>SUM(K287:M287)</f>
        <v>0</v>
      </c>
      <c r="O287" s="399">
        <f t="shared" si="100"/>
        <v>0</v>
      </c>
      <c r="P287" s="392">
        <f t="shared" si="111"/>
        <v>1</v>
      </c>
      <c r="Q287" s="164">
        <f t="shared" si="101"/>
        <v>0</v>
      </c>
      <c r="R287" s="164">
        <f t="shared" si="102"/>
        <v>0</v>
      </c>
      <c r="S287" s="164">
        <f t="shared" si="103"/>
        <v>0</v>
      </c>
      <c r="T287" s="164">
        <f t="shared" si="104"/>
        <v>0</v>
      </c>
      <c r="U287" s="164">
        <f t="shared" si="105"/>
        <v>0</v>
      </c>
      <c r="V287" s="393">
        <f t="shared" si="106"/>
        <v>0</v>
      </c>
      <c r="W287" s="393">
        <f t="shared" si="107"/>
        <v>0</v>
      </c>
      <c r="Y287" s="393">
        <f t="shared" si="112"/>
        <v>0</v>
      </c>
      <c r="Z287" s="393">
        <f t="shared" si="113"/>
        <v>0</v>
      </c>
      <c r="AD287" s="395">
        <f>IF(AH287&gt;AH286,AD286,IF(AD286&lt;MiscData!$F$1,EOMONTH(AD286,1),EOMONTH(AD286,-11)))</f>
        <v>41759</v>
      </c>
      <c r="AE287" s="389" t="str">
        <f t="shared" si="108"/>
        <v>20140101KUUM_405</v>
      </c>
      <c r="AF287" s="437" t="str">
        <f t="shared" si="109"/>
        <v>20140101RLS</v>
      </c>
      <c r="AG287" s="438"/>
      <c r="AH287" s="34">
        <f>IF(AH286=MiscData!$AB$91,1,AH286+1)</f>
        <v>22</v>
      </c>
      <c r="AI287" s="34">
        <f>IF(AD287&lt;=MiscData!$B$23,MiscData!$C$23,IF(AD287&lt;=MiscData!$B$24,MiscData!$C$24,MiscData!$C$25))</f>
        <v>20140101</v>
      </c>
      <c r="AK287" s="439" t="str">
        <f>VLOOKUP(AM287,MiscData!$AB$4:$ACB$113,2,FALSE)</f>
        <v>KUUM_405</v>
      </c>
      <c r="AL287" s="439" t="str">
        <f>VLOOKUP(AM287,MiscData!$AB$4:$AE$115,4,FALSE)</f>
        <v>RLS</v>
      </c>
      <c r="AM287" s="34">
        <f>IF(AM286=MiscData!$AB$91,1,AM286+1)</f>
        <v>22</v>
      </c>
    </row>
    <row r="288" spans="1:39">
      <c r="A288" s="389">
        <f t="shared" si="114"/>
        <v>287</v>
      </c>
      <c r="B288" s="395" t="str">
        <f t="shared" si="92"/>
        <v>Apr 2014</v>
      </c>
      <c r="C288" s="396" t="str">
        <f t="shared" si="93"/>
        <v>LS</v>
      </c>
      <c r="D288" s="396" t="str">
        <f t="shared" si="94"/>
        <v>KUUM_407</v>
      </c>
      <c r="E288" s="394">
        <f t="shared" si="95"/>
        <v>0</v>
      </c>
      <c r="F288" s="397">
        <v>0</v>
      </c>
      <c r="G288" s="394">
        <f t="shared" si="96"/>
        <v>0</v>
      </c>
      <c r="H288" s="394">
        <v>0</v>
      </c>
      <c r="I288" s="390">
        <f t="shared" si="97"/>
        <v>0</v>
      </c>
      <c r="J288" s="390">
        <f t="shared" si="98"/>
        <v>0</v>
      </c>
      <c r="K288" s="391">
        <f t="shared" si="110"/>
        <v>0</v>
      </c>
      <c r="L288" s="398">
        <v>0</v>
      </c>
      <c r="M288" s="398">
        <v>0</v>
      </c>
      <c r="N288" s="164">
        <f t="shared" ref="N288:N351" si="115">SUM(K288:M288)</f>
        <v>0</v>
      </c>
      <c r="O288" s="399">
        <f t="shared" si="100"/>
        <v>0</v>
      </c>
      <c r="P288" s="392">
        <f t="shared" si="111"/>
        <v>1</v>
      </c>
      <c r="Q288" s="164">
        <f t="shared" si="101"/>
        <v>0</v>
      </c>
      <c r="R288" s="164">
        <f t="shared" si="102"/>
        <v>0</v>
      </c>
      <c r="S288" s="164">
        <f t="shared" si="103"/>
        <v>0</v>
      </c>
      <c r="T288" s="164">
        <f t="shared" si="104"/>
        <v>0</v>
      </c>
      <c r="U288" s="164">
        <f t="shared" si="105"/>
        <v>0</v>
      </c>
      <c r="V288" s="393">
        <f t="shared" si="106"/>
        <v>0</v>
      </c>
      <c r="W288" s="393">
        <f t="shared" si="107"/>
        <v>0</v>
      </c>
      <c r="Y288" s="393">
        <f t="shared" si="112"/>
        <v>0</v>
      </c>
      <c r="Z288" s="393">
        <f t="shared" si="113"/>
        <v>0</v>
      </c>
      <c r="AD288" s="395">
        <f>IF(AH288&gt;AH287,AD287,IF(AD287&lt;MiscData!$F$1,EOMONTH(AD287,1),EOMONTH(AD287,-11)))</f>
        <v>41759</v>
      </c>
      <c r="AE288" s="389" t="str">
        <f t="shared" si="108"/>
        <v>20140101KUUM_407</v>
      </c>
      <c r="AF288" s="437" t="str">
        <f t="shared" si="109"/>
        <v>20140101LS</v>
      </c>
      <c r="AG288" s="438"/>
      <c r="AH288" s="34">
        <f>IF(AH287=MiscData!$AB$91,1,AH287+1)</f>
        <v>23</v>
      </c>
      <c r="AI288" s="34">
        <f>IF(AD288&lt;=MiscData!$B$23,MiscData!$C$23,IF(AD288&lt;=MiscData!$B$24,MiscData!$C$24,MiscData!$C$25))</f>
        <v>20140101</v>
      </c>
      <c r="AK288" s="439" t="str">
        <f>VLOOKUP(AM288,MiscData!$AB$4:$ACB$113,2,FALSE)</f>
        <v>KUUM_407</v>
      </c>
      <c r="AL288" s="439" t="str">
        <f>VLOOKUP(AM288,MiscData!$AB$4:$AE$115,4,FALSE)</f>
        <v>LS</v>
      </c>
      <c r="AM288" s="34">
        <f>IF(AM287=MiscData!$AB$91,1,AM287+1)</f>
        <v>23</v>
      </c>
    </row>
    <row r="289" spans="1:39">
      <c r="A289" s="389">
        <f t="shared" si="114"/>
        <v>288</v>
      </c>
      <c r="B289" s="395" t="str">
        <f t="shared" si="92"/>
        <v>Apr 2014</v>
      </c>
      <c r="C289" s="396" t="str">
        <f t="shared" si="93"/>
        <v>RLS</v>
      </c>
      <c r="D289" s="396" t="str">
        <f t="shared" si="94"/>
        <v>KUUM_409</v>
      </c>
      <c r="E289" s="394">
        <f t="shared" si="95"/>
        <v>141</v>
      </c>
      <c r="F289" s="397">
        <v>0</v>
      </c>
      <c r="G289" s="394">
        <f t="shared" si="96"/>
        <v>21137</v>
      </c>
      <c r="H289" s="394">
        <v>0</v>
      </c>
      <c r="I289" s="390">
        <f t="shared" si="97"/>
        <v>11.71</v>
      </c>
      <c r="J289" s="390">
        <f t="shared" si="98"/>
        <v>4.5299999999999994</v>
      </c>
      <c r="K289" s="391">
        <f t="shared" si="110"/>
        <v>1651.11</v>
      </c>
      <c r="L289" s="398">
        <v>0</v>
      </c>
      <c r="M289" s="398">
        <v>0</v>
      </c>
      <c r="N289" s="164">
        <f t="shared" si="115"/>
        <v>1651.11</v>
      </c>
      <c r="O289" s="399">
        <f t="shared" si="100"/>
        <v>1651.1100000000001</v>
      </c>
      <c r="P289" s="392">
        <f t="shared" si="111"/>
        <v>1</v>
      </c>
      <c r="Q289" s="164">
        <f t="shared" si="101"/>
        <v>48.65</v>
      </c>
      <c r="R289" s="164">
        <f t="shared" si="102"/>
        <v>0</v>
      </c>
      <c r="S289" s="164">
        <f t="shared" si="103"/>
        <v>21.9</v>
      </c>
      <c r="T289" s="164">
        <f t="shared" si="104"/>
        <v>0</v>
      </c>
      <c r="U289" s="164">
        <f t="shared" si="105"/>
        <v>1721.66</v>
      </c>
      <c r="V289" s="393">
        <f t="shared" si="106"/>
        <v>1721.66</v>
      </c>
      <c r="W289" s="393">
        <f t="shared" si="107"/>
        <v>0</v>
      </c>
      <c r="Y289" s="393">
        <f t="shared" si="112"/>
        <v>638.73</v>
      </c>
      <c r="Z289" s="393">
        <f t="shared" si="113"/>
        <v>1012.3800000000001</v>
      </c>
      <c r="AD289" s="395">
        <f>IF(AH289&gt;AH288,AD288,IF(AD288&lt;MiscData!$F$1,EOMONTH(AD288,1),EOMONTH(AD288,-11)))</f>
        <v>41759</v>
      </c>
      <c r="AE289" s="389" t="str">
        <f t="shared" si="108"/>
        <v>20140101KUUM_409</v>
      </c>
      <c r="AF289" s="437" t="str">
        <f t="shared" si="109"/>
        <v>20140101RLS</v>
      </c>
      <c r="AG289" s="438"/>
      <c r="AH289" s="34">
        <f>IF(AH288=MiscData!$AB$91,1,AH288+1)</f>
        <v>24</v>
      </c>
      <c r="AI289" s="34">
        <f>IF(AD289&lt;=MiscData!$B$23,MiscData!$C$23,IF(AD289&lt;=MiscData!$B$24,MiscData!$C$24,MiscData!$C$25))</f>
        <v>20140101</v>
      </c>
      <c r="AK289" s="439" t="str">
        <f>VLOOKUP(AM289,MiscData!$AB$4:$ACB$113,2,FALSE)</f>
        <v>KUUM_409</v>
      </c>
      <c r="AL289" s="439" t="str">
        <f>VLOOKUP(AM289,MiscData!$AB$4:$AE$115,4,FALSE)</f>
        <v>RLS</v>
      </c>
      <c r="AM289" s="34">
        <f>IF(AM288=MiscData!$AB$91,1,AM288+1)</f>
        <v>24</v>
      </c>
    </row>
    <row r="290" spans="1:39">
      <c r="A290" s="389">
        <f t="shared" si="114"/>
        <v>289</v>
      </c>
      <c r="B290" s="395" t="str">
        <f t="shared" ref="B290:B321" si="116">TEXT(AD290,"mmm yyyy")</f>
        <v>Apr 2014</v>
      </c>
      <c r="C290" s="396" t="str">
        <f t="shared" ref="C290:C321" si="117">AL290</f>
        <v>RLS</v>
      </c>
      <c r="D290" s="396" t="str">
        <f t="shared" ref="D290:D321" si="118">AK290</f>
        <v>KUUM_410</v>
      </c>
      <c r="E290" s="394">
        <f t="shared" si="95"/>
        <v>240</v>
      </c>
      <c r="F290" s="397">
        <v>0</v>
      </c>
      <c r="G290" s="394">
        <f t="shared" si="96"/>
        <v>4596</v>
      </c>
      <c r="H290" s="394">
        <v>0</v>
      </c>
      <c r="I290" s="390">
        <f t="shared" ref="I290:I321" si="119">SUMIF(_Lights_Tariff_Category,$AE290,_Lights_Rates)</f>
        <v>20.259999999999998</v>
      </c>
      <c r="J290" s="390">
        <f t="shared" ref="J290:J321" si="120">SUMIF(_Lights_Tariff_Category,$AE290,_Rates_Lights_BaseFAC)</f>
        <v>0.57000000000000028</v>
      </c>
      <c r="K290" s="391">
        <f t="shared" si="110"/>
        <v>4862.3999999999996</v>
      </c>
      <c r="L290" s="398">
        <v>0</v>
      </c>
      <c r="M290" s="398">
        <v>0</v>
      </c>
      <c r="N290" s="164">
        <f t="shared" si="115"/>
        <v>4862.3999999999996</v>
      </c>
      <c r="O290" s="399">
        <f t="shared" si="100"/>
        <v>4862.4000000000005</v>
      </c>
      <c r="P290" s="392">
        <f t="shared" si="111"/>
        <v>1</v>
      </c>
      <c r="Q290" s="164">
        <f t="shared" si="101"/>
        <v>9.73</v>
      </c>
      <c r="R290" s="164">
        <f t="shared" si="102"/>
        <v>0</v>
      </c>
      <c r="S290" s="164">
        <f t="shared" si="103"/>
        <v>59.47</v>
      </c>
      <c r="T290" s="164">
        <f t="shared" si="104"/>
        <v>0</v>
      </c>
      <c r="U290" s="164">
        <f t="shared" si="105"/>
        <v>4931.6000000000004</v>
      </c>
      <c r="V290" s="393">
        <f t="shared" si="106"/>
        <v>4931.5999999999995</v>
      </c>
      <c r="W290" s="393">
        <f t="shared" si="107"/>
        <v>0</v>
      </c>
      <c r="Y290" s="393">
        <f t="shared" si="112"/>
        <v>136.80000000000001</v>
      </c>
      <c r="Z290" s="393">
        <f t="shared" si="113"/>
        <v>4725.6000000000004</v>
      </c>
      <c r="AD290" s="395">
        <f>IF(AH290&gt;AH289,AD289,IF(AD289&lt;MiscData!$F$1,EOMONTH(AD289,1),EOMONTH(AD289,-11)))</f>
        <v>41759</v>
      </c>
      <c r="AE290" s="389" t="str">
        <f t="shared" si="108"/>
        <v>20140101KUUM_410</v>
      </c>
      <c r="AF290" s="437" t="str">
        <f t="shared" si="109"/>
        <v>20140101RLS</v>
      </c>
      <c r="AG290" s="438"/>
      <c r="AH290" s="34">
        <f>IF(AH289=MiscData!$AB$91,1,AH289+1)</f>
        <v>25</v>
      </c>
      <c r="AI290" s="34">
        <f>IF(AD290&lt;=MiscData!$B$23,MiscData!$C$23,IF(AD290&lt;=MiscData!$B$24,MiscData!$C$24,MiscData!$C$25))</f>
        <v>20140101</v>
      </c>
      <c r="AK290" s="439" t="str">
        <f>VLOOKUP(AM290,MiscData!$AB$4:$ACB$113,2,FALSE)</f>
        <v>KUUM_410</v>
      </c>
      <c r="AL290" s="439" t="str">
        <f>VLOOKUP(AM290,MiscData!$AB$4:$AE$115,4,FALSE)</f>
        <v>RLS</v>
      </c>
      <c r="AM290" s="34">
        <f>IF(AM289=MiscData!$AB$91,1,AM289+1)</f>
        <v>25</v>
      </c>
    </row>
    <row r="291" spans="1:39">
      <c r="A291" s="389">
        <f t="shared" si="114"/>
        <v>290</v>
      </c>
      <c r="B291" s="395" t="str">
        <f t="shared" si="116"/>
        <v>Apr 2014</v>
      </c>
      <c r="C291" s="396" t="str">
        <f t="shared" si="117"/>
        <v>LS</v>
      </c>
      <c r="D291" s="396" t="str">
        <f t="shared" si="118"/>
        <v>KUUM_411</v>
      </c>
      <c r="E291" s="394">
        <f t="shared" si="95"/>
        <v>150</v>
      </c>
      <c r="F291" s="397">
        <v>0</v>
      </c>
      <c r="G291" s="394">
        <f t="shared" si="96"/>
        <v>3889</v>
      </c>
      <c r="H291" s="394">
        <v>0</v>
      </c>
      <c r="I291" s="390">
        <f t="shared" si="119"/>
        <v>21.38</v>
      </c>
      <c r="J291" s="390">
        <f t="shared" si="120"/>
        <v>0.79999999999999716</v>
      </c>
      <c r="K291" s="391">
        <f t="shared" si="110"/>
        <v>3207</v>
      </c>
      <c r="L291" s="398">
        <v>-60.58</v>
      </c>
      <c r="M291" s="398">
        <v>0</v>
      </c>
      <c r="N291" s="164">
        <f t="shared" si="115"/>
        <v>3146.42</v>
      </c>
      <c r="O291" s="399">
        <f t="shared" si="100"/>
        <v>3146.42</v>
      </c>
      <c r="P291" s="392">
        <f t="shared" si="111"/>
        <v>1</v>
      </c>
      <c r="Q291" s="164">
        <f t="shared" si="101"/>
        <v>8.26</v>
      </c>
      <c r="R291" s="164">
        <f t="shared" si="102"/>
        <v>0</v>
      </c>
      <c r="S291" s="164">
        <f t="shared" si="103"/>
        <v>38.49</v>
      </c>
      <c r="T291" s="164">
        <f t="shared" si="104"/>
        <v>0</v>
      </c>
      <c r="U291" s="164">
        <f t="shared" si="105"/>
        <v>3193.17</v>
      </c>
      <c r="V291" s="393">
        <f t="shared" si="106"/>
        <v>3193.17</v>
      </c>
      <c r="W291" s="393">
        <f t="shared" si="107"/>
        <v>0</v>
      </c>
      <c r="Y291" s="393">
        <f t="shared" ref="Y291:Y322" si="121">ROUND(E291*J291,2)</f>
        <v>120</v>
      </c>
      <c r="Z291" s="393">
        <f t="shared" si="113"/>
        <v>3026.42</v>
      </c>
      <c r="AD291" s="395">
        <f>IF(AH291&gt;AH290,AD290,IF(AD290&lt;MiscData!$F$1,EOMONTH(AD290,1),EOMONTH(AD290,-11)))</f>
        <v>41759</v>
      </c>
      <c r="AE291" s="389" t="str">
        <f t="shared" si="108"/>
        <v>20140101KUUM_411</v>
      </c>
      <c r="AF291" s="437" t="str">
        <f t="shared" si="109"/>
        <v>20140101LS</v>
      </c>
      <c r="AG291" s="438"/>
      <c r="AH291" s="34">
        <f>IF(AH290=MiscData!$AB$91,1,AH290+1)</f>
        <v>26</v>
      </c>
      <c r="AI291" s="34">
        <f>IF(AD291&lt;=MiscData!$B$23,MiscData!$C$23,IF(AD291&lt;=MiscData!$B$24,MiscData!$C$24,MiscData!$C$25))</f>
        <v>20140101</v>
      </c>
      <c r="AK291" s="439" t="str">
        <f>VLOOKUP(AM291,MiscData!$AB$4:$ACB$113,2,FALSE)</f>
        <v>KUUM_411</v>
      </c>
      <c r="AL291" s="439" t="str">
        <f>VLOOKUP(AM291,MiscData!$AB$4:$AE$115,4,FALSE)</f>
        <v>LS</v>
      </c>
      <c r="AM291" s="34">
        <f>IF(AM290=MiscData!$AB$91,1,AM290+1)</f>
        <v>26</v>
      </c>
    </row>
    <row r="292" spans="1:39">
      <c r="A292" s="389">
        <f t="shared" si="114"/>
        <v>291</v>
      </c>
      <c r="B292" s="395" t="str">
        <f t="shared" si="116"/>
        <v>Apr 2014</v>
      </c>
      <c r="C292" s="396" t="str">
        <f t="shared" si="117"/>
        <v>RLS</v>
      </c>
      <c r="D292" s="396" t="str">
        <f t="shared" si="118"/>
        <v>KUUM_412</v>
      </c>
      <c r="E292" s="394">
        <f t="shared" si="95"/>
        <v>28</v>
      </c>
      <c r="F292" s="397">
        <v>0</v>
      </c>
      <c r="G292" s="394">
        <f t="shared" si="96"/>
        <v>752</v>
      </c>
      <c r="H292" s="394">
        <v>0</v>
      </c>
      <c r="I292" s="390">
        <f t="shared" si="119"/>
        <v>30.84</v>
      </c>
      <c r="J292" s="390">
        <f t="shared" si="120"/>
        <v>0.79999999999999716</v>
      </c>
      <c r="K292" s="391">
        <f t="shared" si="110"/>
        <v>863.52</v>
      </c>
      <c r="L292" s="398">
        <v>0</v>
      </c>
      <c r="M292" s="398">
        <v>0</v>
      </c>
      <c r="N292" s="164">
        <f t="shared" si="115"/>
        <v>863.52</v>
      </c>
      <c r="O292" s="399">
        <f t="shared" si="100"/>
        <v>863.52</v>
      </c>
      <c r="P292" s="392">
        <f t="shared" si="111"/>
        <v>1</v>
      </c>
      <c r="Q292" s="164">
        <f t="shared" si="101"/>
        <v>1.59</v>
      </c>
      <c r="R292" s="164">
        <f t="shared" si="102"/>
        <v>0</v>
      </c>
      <c r="S292" s="164">
        <f t="shared" si="103"/>
        <v>10.55</v>
      </c>
      <c r="T292" s="164">
        <f t="shared" si="104"/>
        <v>0</v>
      </c>
      <c r="U292" s="164">
        <f t="shared" si="105"/>
        <v>875.66</v>
      </c>
      <c r="V292" s="393">
        <f t="shared" si="106"/>
        <v>875.66</v>
      </c>
      <c r="W292" s="393">
        <f t="shared" si="107"/>
        <v>0</v>
      </c>
      <c r="Y292" s="393">
        <f t="shared" si="121"/>
        <v>22.4</v>
      </c>
      <c r="Z292" s="393">
        <f t="shared" si="113"/>
        <v>841.12</v>
      </c>
      <c r="AD292" s="395">
        <f>IF(AH292&gt;AH291,AD291,IF(AD291&lt;MiscData!$F$1,EOMONTH(AD291,1),EOMONTH(AD291,-11)))</f>
        <v>41759</v>
      </c>
      <c r="AE292" s="389" t="str">
        <f t="shared" si="108"/>
        <v>20140101KUUM_412</v>
      </c>
      <c r="AF292" s="437" t="str">
        <f t="shared" si="109"/>
        <v>20140101RLS</v>
      </c>
      <c r="AG292" s="438"/>
      <c r="AH292" s="34">
        <f>IF(AH291=MiscData!$AB$91,1,AH291+1)</f>
        <v>27</v>
      </c>
      <c r="AI292" s="34">
        <f>IF(AD292&lt;=MiscData!$B$23,MiscData!$C$23,IF(AD292&lt;=MiscData!$B$24,MiscData!$C$24,MiscData!$C$25))</f>
        <v>20140101</v>
      </c>
      <c r="AK292" s="439" t="str">
        <f>VLOOKUP(AM292,MiscData!$AB$4:$ACB$113,2,FALSE)</f>
        <v>KUUM_412</v>
      </c>
      <c r="AL292" s="439" t="str">
        <f>VLOOKUP(AM292,MiscData!$AB$4:$AE$115,4,FALSE)</f>
        <v>RLS</v>
      </c>
      <c r="AM292" s="34">
        <f>IF(AM291=MiscData!$AB$91,1,AM291+1)</f>
        <v>27</v>
      </c>
    </row>
    <row r="293" spans="1:39">
      <c r="A293" s="389">
        <f t="shared" si="114"/>
        <v>292</v>
      </c>
      <c r="B293" s="395" t="str">
        <f t="shared" si="116"/>
        <v>Apr 2014</v>
      </c>
      <c r="C293" s="396" t="str">
        <f t="shared" si="117"/>
        <v>RLS</v>
      </c>
      <c r="D293" s="396" t="str">
        <f t="shared" si="118"/>
        <v>KUUM_413</v>
      </c>
      <c r="E293" s="394">
        <f t="shared" si="95"/>
        <v>96</v>
      </c>
      <c r="F293" s="397">
        <v>0</v>
      </c>
      <c r="G293" s="394">
        <f t="shared" si="96"/>
        <v>3617</v>
      </c>
      <c r="H293" s="394">
        <v>0</v>
      </c>
      <c r="I293" s="390">
        <f t="shared" si="119"/>
        <v>31.22</v>
      </c>
      <c r="J293" s="390">
        <f t="shared" si="120"/>
        <v>1.129999999999999</v>
      </c>
      <c r="K293" s="391">
        <f t="shared" si="110"/>
        <v>2997.12</v>
      </c>
      <c r="L293" s="398">
        <v>0</v>
      </c>
      <c r="M293" s="398">
        <v>0</v>
      </c>
      <c r="N293" s="164">
        <f t="shared" si="115"/>
        <v>2997.12</v>
      </c>
      <c r="O293" s="399">
        <f t="shared" si="100"/>
        <v>2997.12</v>
      </c>
      <c r="P293" s="392">
        <f t="shared" si="111"/>
        <v>1</v>
      </c>
      <c r="Q293" s="164">
        <f t="shared" si="101"/>
        <v>7.66</v>
      </c>
      <c r="R293" s="164">
        <f t="shared" si="102"/>
        <v>0</v>
      </c>
      <c r="S293" s="164">
        <f t="shared" si="103"/>
        <v>36.659999999999997</v>
      </c>
      <c r="T293" s="164">
        <f t="shared" si="104"/>
        <v>0</v>
      </c>
      <c r="U293" s="164">
        <f t="shared" si="105"/>
        <v>3041.44</v>
      </c>
      <c r="V293" s="393">
        <f t="shared" si="106"/>
        <v>3041.4399999999996</v>
      </c>
      <c r="W293" s="393">
        <f t="shared" si="107"/>
        <v>0</v>
      </c>
      <c r="Y293" s="393">
        <f t="shared" si="121"/>
        <v>108.48</v>
      </c>
      <c r="Z293" s="393">
        <f t="shared" si="113"/>
        <v>2888.64</v>
      </c>
      <c r="AD293" s="395">
        <f>IF(AH293&gt;AH292,AD292,IF(AD292&lt;MiscData!$F$1,EOMONTH(AD292,1),EOMONTH(AD292,-11)))</f>
        <v>41759</v>
      </c>
      <c r="AE293" s="389" t="str">
        <f t="shared" si="108"/>
        <v>20140101KUUM_413</v>
      </c>
      <c r="AF293" s="437" t="str">
        <f t="shared" si="109"/>
        <v>20140101RLS</v>
      </c>
      <c r="AG293" s="438"/>
      <c r="AH293" s="34">
        <f>IF(AH292=MiscData!$AB$91,1,AH292+1)</f>
        <v>28</v>
      </c>
      <c r="AI293" s="34">
        <f>IF(AD293&lt;=MiscData!$B$23,MiscData!$C$23,IF(AD293&lt;=MiscData!$B$24,MiscData!$C$24,MiscData!$C$25))</f>
        <v>20140101</v>
      </c>
      <c r="AK293" s="439" t="str">
        <f>VLOOKUP(AM293,MiscData!$AB$4:$ACB$113,2,FALSE)</f>
        <v>KUUM_413</v>
      </c>
      <c r="AL293" s="439" t="str">
        <f>VLOOKUP(AM293,MiscData!$AB$4:$AE$115,4,FALSE)</f>
        <v>RLS</v>
      </c>
      <c r="AM293" s="34">
        <f>IF(AM292=MiscData!$AB$91,1,AM292+1)</f>
        <v>28</v>
      </c>
    </row>
    <row r="294" spans="1:39">
      <c r="A294" s="389">
        <f t="shared" si="114"/>
        <v>293</v>
      </c>
      <c r="B294" s="395" t="str">
        <f t="shared" si="116"/>
        <v>Apr 2014</v>
      </c>
      <c r="C294" s="396" t="str">
        <f t="shared" si="117"/>
        <v>LS</v>
      </c>
      <c r="D294" s="396" t="str">
        <f t="shared" si="118"/>
        <v>KUUM_414</v>
      </c>
      <c r="E294" s="394">
        <f t="shared" si="95"/>
        <v>21</v>
      </c>
      <c r="F294" s="397">
        <v>0</v>
      </c>
      <c r="G294" s="394">
        <f t="shared" si="96"/>
        <v>568</v>
      </c>
      <c r="H294" s="394">
        <v>0</v>
      </c>
      <c r="I294" s="390">
        <f t="shared" si="119"/>
        <v>30.84</v>
      </c>
      <c r="J294" s="390">
        <f t="shared" si="120"/>
        <v>0.79999999999999716</v>
      </c>
      <c r="K294" s="391">
        <f t="shared" si="110"/>
        <v>647.64</v>
      </c>
      <c r="L294" s="398">
        <v>0</v>
      </c>
      <c r="M294" s="398">
        <v>0</v>
      </c>
      <c r="N294" s="164">
        <f t="shared" si="115"/>
        <v>647.64</v>
      </c>
      <c r="O294" s="399">
        <f t="shared" si="100"/>
        <v>647.64</v>
      </c>
      <c r="P294" s="392">
        <f t="shared" si="111"/>
        <v>1</v>
      </c>
      <c r="Q294" s="164">
        <f t="shared" si="101"/>
        <v>1.78</v>
      </c>
      <c r="R294" s="164">
        <f t="shared" si="102"/>
        <v>0</v>
      </c>
      <c r="S294" s="164">
        <f t="shared" si="103"/>
        <v>10.39</v>
      </c>
      <c r="T294" s="164">
        <f t="shared" si="104"/>
        <v>0</v>
      </c>
      <c r="U294" s="164">
        <f t="shared" si="105"/>
        <v>659.81</v>
      </c>
      <c r="V294" s="393">
        <f t="shared" si="106"/>
        <v>659.81</v>
      </c>
      <c r="W294" s="393">
        <f t="shared" si="107"/>
        <v>0</v>
      </c>
      <c r="Y294" s="393">
        <f t="shared" si="121"/>
        <v>16.8</v>
      </c>
      <c r="Z294" s="393">
        <f t="shared" si="113"/>
        <v>630.84</v>
      </c>
      <c r="AD294" s="395">
        <f>IF(AH294&gt;AH293,AD293,IF(AD293&lt;MiscData!$F$1,EOMONTH(AD293,1),EOMONTH(AD293,-11)))</f>
        <v>41759</v>
      </c>
      <c r="AE294" s="389" t="str">
        <f t="shared" si="108"/>
        <v>20140101KUUM_414</v>
      </c>
      <c r="AF294" s="437" t="str">
        <f t="shared" si="109"/>
        <v>20140101LS</v>
      </c>
      <c r="AG294" s="438"/>
      <c r="AH294" s="34">
        <f>IF(AH293=MiscData!$AB$91,1,AH293+1)</f>
        <v>29</v>
      </c>
      <c r="AI294" s="34">
        <f>IF(AD294&lt;=MiscData!$B$23,MiscData!$C$23,IF(AD294&lt;=MiscData!$B$24,MiscData!$C$24,MiscData!$C$25))</f>
        <v>20140101</v>
      </c>
      <c r="AK294" s="439" t="str">
        <f>VLOOKUP(AM294,MiscData!$AB$4:$ACB$113,2,FALSE)</f>
        <v>KUUM_414</v>
      </c>
      <c r="AL294" s="439" t="str">
        <f>VLOOKUP(AM294,MiscData!$AB$4:$AE$115,4,FALSE)</f>
        <v>LS</v>
      </c>
      <c r="AM294" s="34">
        <f>IF(AM293=MiscData!$AB$91,1,AM293+1)</f>
        <v>29</v>
      </c>
    </row>
    <row r="295" spans="1:39">
      <c r="A295" s="389">
        <f t="shared" si="114"/>
        <v>294</v>
      </c>
      <c r="B295" s="395" t="str">
        <f t="shared" si="116"/>
        <v>Apr 2014</v>
      </c>
      <c r="C295" s="396" t="str">
        <f t="shared" si="117"/>
        <v>LS</v>
      </c>
      <c r="D295" s="396" t="str">
        <f t="shared" si="118"/>
        <v>KUUM_415</v>
      </c>
      <c r="E295" s="394">
        <f t="shared" si="95"/>
        <v>10</v>
      </c>
      <c r="F295" s="397">
        <v>0</v>
      </c>
      <c r="G295" s="394">
        <f t="shared" si="96"/>
        <v>381</v>
      </c>
      <c r="H295" s="394">
        <v>0</v>
      </c>
      <c r="I295" s="390">
        <f t="shared" si="119"/>
        <v>31.22</v>
      </c>
      <c r="J295" s="390">
        <f t="shared" si="120"/>
        <v>1.129999999999999</v>
      </c>
      <c r="K295" s="391">
        <f t="shared" si="110"/>
        <v>312.2</v>
      </c>
      <c r="L295" s="398">
        <v>0</v>
      </c>
      <c r="M295" s="398">
        <v>0</v>
      </c>
      <c r="N295" s="164">
        <f t="shared" si="115"/>
        <v>312.2</v>
      </c>
      <c r="O295" s="399">
        <f t="shared" si="100"/>
        <v>312.2</v>
      </c>
      <c r="P295" s="392">
        <f t="shared" si="111"/>
        <v>1</v>
      </c>
      <c r="Q295" s="164">
        <f t="shared" si="101"/>
        <v>1.19</v>
      </c>
      <c r="R295" s="164">
        <f t="shared" si="102"/>
        <v>0</v>
      </c>
      <c r="S295" s="164">
        <f t="shared" si="103"/>
        <v>5.01</v>
      </c>
      <c r="T295" s="164">
        <f t="shared" si="104"/>
        <v>0</v>
      </c>
      <c r="U295" s="164">
        <f t="shared" si="105"/>
        <v>318.39999999999998</v>
      </c>
      <c r="V295" s="393">
        <f t="shared" si="106"/>
        <v>318.39999999999998</v>
      </c>
      <c r="W295" s="393">
        <f t="shared" si="107"/>
        <v>0</v>
      </c>
      <c r="Y295" s="393">
        <f t="shared" si="121"/>
        <v>11.3</v>
      </c>
      <c r="Z295" s="393">
        <f t="shared" si="113"/>
        <v>300.89999999999998</v>
      </c>
      <c r="AD295" s="395">
        <f>IF(AH295&gt;AH294,AD294,IF(AD294&lt;MiscData!$F$1,EOMONTH(AD294,1),EOMONTH(AD294,-11)))</f>
        <v>41759</v>
      </c>
      <c r="AE295" s="389" t="str">
        <f t="shared" si="108"/>
        <v>20140101KUUM_415</v>
      </c>
      <c r="AF295" s="437" t="str">
        <f t="shared" si="109"/>
        <v>20140101LS</v>
      </c>
      <c r="AG295" s="438"/>
      <c r="AH295" s="34">
        <f>IF(AH294=MiscData!$AB$91,1,AH294+1)</f>
        <v>30</v>
      </c>
      <c r="AI295" s="34">
        <f>IF(AD295&lt;=MiscData!$B$23,MiscData!$C$23,IF(AD295&lt;=MiscData!$B$24,MiscData!$C$24,MiscData!$C$25))</f>
        <v>20140101</v>
      </c>
      <c r="AK295" s="439" t="str">
        <f>VLOOKUP(AM295,MiscData!$AB$4:$ACB$113,2,FALSE)</f>
        <v>KUUM_415</v>
      </c>
      <c r="AL295" s="439" t="str">
        <f>VLOOKUP(AM295,MiscData!$AB$4:$AE$115,4,FALSE)</f>
        <v>LS</v>
      </c>
      <c r="AM295" s="34">
        <f>IF(AM294=MiscData!$AB$91,1,AM294+1)</f>
        <v>30</v>
      </c>
    </row>
    <row r="296" spans="1:39">
      <c r="A296" s="389">
        <f t="shared" si="114"/>
        <v>295</v>
      </c>
      <c r="B296" s="395" t="str">
        <f t="shared" si="116"/>
        <v>Apr 2014</v>
      </c>
      <c r="C296" s="396" t="str">
        <f t="shared" si="117"/>
        <v>LS</v>
      </c>
      <c r="D296" s="396" t="str">
        <f t="shared" si="118"/>
        <v>KUUM_420</v>
      </c>
      <c r="E296" s="394">
        <f t="shared" si="95"/>
        <v>465</v>
      </c>
      <c r="F296" s="397">
        <v>0</v>
      </c>
      <c r="G296" s="394">
        <f t="shared" si="96"/>
        <v>17721</v>
      </c>
      <c r="H296" s="394">
        <v>0</v>
      </c>
      <c r="I296" s="390">
        <f t="shared" si="119"/>
        <v>15.360000000000001</v>
      </c>
      <c r="J296" s="390">
        <f t="shared" si="120"/>
        <v>1.1300000000000008</v>
      </c>
      <c r="K296" s="391">
        <f t="shared" si="110"/>
        <v>7142.4</v>
      </c>
      <c r="L296" s="398">
        <v>0</v>
      </c>
      <c r="M296" s="398">
        <v>0</v>
      </c>
      <c r="N296" s="164">
        <f t="shared" si="115"/>
        <v>7142.4</v>
      </c>
      <c r="O296" s="399">
        <f t="shared" si="100"/>
        <v>7142.4</v>
      </c>
      <c r="P296" s="392">
        <f t="shared" si="111"/>
        <v>1</v>
      </c>
      <c r="Q296" s="164">
        <f t="shared" si="101"/>
        <v>42.31</v>
      </c>
      <c r="R296" s="164">
        <f t="shared" si="102"/>
        <v>0</v>
      </c>
      <c r="S296" s="164">
        <f t="shared" si="103"/>
        <v>94.79</v>
      </c>
      <c r="T296" s="164">
        <f t="shared" si="104"/>
        <v>0</v>
      </c>
      <c r="U296" s="164">
        <f t="shared" si="105"/>
        <v>7279.5</v>
      </c>
      <c r="V296" s="393">
        <f t="shared" si="106"/>
        <v>7279.5</v>
      </c>
      <c r="W296" s="393">
        <f t="shared" si="107"/>
        <v>0</v>
      </c>
      <c r="Y296" s="393">
        <f t="shared" si="121"/>
        <v>525.45000000000005</v>
      </c>
      <c r="Z296" s="393">
        <f t="shared" si="113"/>
        <v>6616.95</v>
      </c>
      <c r="AD296" s="395">
        <f>IF(AH296&gt;AH295,AD295,IF(AD295&lt;MiscData!$F$1,EOMONTH(AD295,1),EOMONTH(AD295,-11)))</f>
        <v>41759</v>
      </c>
      <c r="AE296" s="389" t="str">
        <f t="shared" si="108"/>
        <v>20140101KUUM_420</v>
      </c>
      <c r="AF296" s="437" t="str">
        <f t="shared" si="109"/>
        <v>20140101LS</v>
      </c>
      <c r="AG296" s="438"/>
      <c r="AH296" s="34">
        <f>IF(AH295=MiscData!$AB$91,1,AH295+1)</f>
        <v>31</v>
      </c>
      <c r="AI296" s="34">
        <f>IF(AD296&lt;=MiscData!$B$23,MiscData!$C$23,IF(AD296&lt;=MiscData!$B$24,MiscData!$C$24,MiscData!$C$25))</f>
        <v>20140101</v>
      </c>
      <c r="AK296" s="439" t="str">
        <f>VLOOKUP(AM296,MiscData!$AB$4:$ACB$113,2,FALSE)</f>
        <v>KUUM_420</v>
      </c>
      <c r="AL296" s="439" t="str">
        <f>VLOOKUP(AM296,MiscData!$AB$4:$AE$115,4,FALSE)</f>
        <v>LS</v>
      </c>
      <c r="AM296" s="34">
        <f>IF(AM295=MiscData!$AB$91,1,AM295+1)</f>
        <v>31</v>
      </c>
    </row>
    <row r="297" spans="1:39">
      <c r="A297" s="389">
        <f t="shared" si="114"/>
        <v>296</v>
      </c>
      <c r="B297" s="395" t="str">
        <f t="shared" si="116"/>
        <v>Apr 2014</v>
      </c>
      <c r="C297" s="396" t="str">
        <f t="shared" si="117"/>
        <v>RLS</v>
      </c>
      <c r="D297" s="396" t="str">
        <f t="shared" si="118"/>
        <v>KUUM_421</v>
      </c>
      <c r="E297" s="394">
        <f t="shared" si="95"/>
        <v>5</v>
      </c>
      <c r="F297" s="397">
        <v>0</v>
      </c>
      <c r="G297" s="394">
        <f t="shared" si="96"/>
        <v>182</v>
      </c>
      <c r="H297" s="394">
        <v>0</v>
      </c>
      <c r="I297" s="390">
        <f t="shared" si="119"/>
        <v>3.39</v>
      </c>
      <c r="J297" s="390">
        <f t="shared" si="120"/>
        <v>0.98999999999999977</v>
      </c>
      <c r="K297" s="391">
        <f t="shared" si="110"/>
        <v>16.95</v>
      </c>
      <c r="L297" s="398">
        <v>0</v>
      </c>
      <c r="M297" s="398">
        <v>0</v>
      </c>
      <c r="N297" s="164">
        <f t="shared" si="115"/>
        <v>16.95</v>
      </c>
      <c r="O297" s="399">
        <f t="shared" si="100"/>
        <v>16.95</v>
      </c>
      <c r="P297" s="392">
        <f t="shared" si="111"/>
        <v>1</v>
      </c>
      <c r="Q297" s="164">
        <f t="shared" si="101"/>
        <v>0.5</v>
      </c>
      <c r="R297" s="164">
        <f t="shared" si="102"/>
        <v>0</v>
      </c>
      <c r="S297" s="164">
        <f t="shared" si="103"/>
        <v>0.25</v>
      </c>
      <c r="T297" s="164">
        <f t="shared" si="104"/>
        <v>0</v>
      </c>
      <c r="U297" s="164">
        <f t="shared" si="105"/>
        <v>17.7</v>
      </c>
      <c r="V297" s="393">
        <f t="shared" si="106"/>
        <v>17.7</v>
      </c>
      <c r="W297" s="393">
        <f t="shared" si="107"/>
        <v>0</v>
      </c>
      <c r="Y297" s="393">
        <f t="shared" si="121"/>
        <v>4.95</v>
      </c>
      <c r="Z297" s="393">
        <f t="shared" si="113"/>
        <v>12</v>
      </c>
      <c r="AD297" s="395">
        <f>IF(AH297&gt;AH296,AD296,IF(AD296&lt;MiscData!$F$1,EOMONTH(AD296,1),EOMONTH(AD296,-11)))</f>
        <v>41759</v>
      </c>
      <c r="AE297" s="389" t="str">
        <f t="shared" si="108"/>
        <v>20140101KUUM_421</v>
      </c>
      <c r="AF297" s="437" t="str">
        <f t="shared" si="109"/>
        <v>20140101RLS</v>
      </c>
      <c r="AG297" s="438"/>
      <c r="AH297" s="34">
        <f>IF(AH296=MiscData!$AB$91,1,AH296+1)</f>
        <v>32</v>
      </c>
      <c r="AI297" s="34">
        <f>IF(AD297&lt;=MiscData!$B$23,MiscData!$C$23,IF(AD297&lt;=MiscData!$B$24,MiscData!$C$24,MiscData!$C$25))</f>
        <v>20140101</v>
      </c>
      <c r="AK297" s="439" t="str">
        <f>VLOOKUP(AM297,MiscData!$AB$4:$ACB$113,2,FALSE)</f>
        <v>KUUM_421</v>
      </c>
      <c r="AL297" s="439" t="str">
        <f>VLOOKUP(AM297,MiscData!$AB$4:$AE$115,4,FALSE)</f>
        <v>RLS</v>
      </c>
      <c r="AM297" s="34">
        <f>IF(AM296=MiscData!$AB$91,1,AM296+1)</f>
        <v>32</v>
      </c>
    </row>
    <row r="298" spans="1:39">
      <c r="A298" s="389">
        <f t="shared" si="114"/>
        <v>297</v>
      </c>
      <c r="B298" s="395" t="str">
        <f t="shared" si="116"/>
        <v>Apr 2014</v>
      </c>
      <c r="C298" s="396" t="str">
        <f t="shared" si="117"/>
        <v>RLS</v>
      </c>
      <c r="D298" s="396" t="str">
        <f t="shared" si="118"/>
        <v>KUUM_422</v>
      </c>
      <c r="E298" s="394">
        <f t="shared" si="95"/>
        <v>676</v>
      </c>
      <c r="F298" s="397">
        <v>0</v>
      </c>
      <c r="G298" s="394">
        <f t="shared" si="96"/>
        <v>44244</v>
      </c>
      <c r="H298" s="394">
        <v>0</v>
      </c>
      <c r="I298" s="390">
        <f t="shared" si="119"/>
        <v>4.5400000000000009</v>
      </c>
      <c r="J298" s="390">
        <f t="shared" si="120"/>
        <v>1.9400000000000004</v>
      </c>
      <c r="K298" s="391">
        <f t="shared" si="110"/>
        <v>3069.04</v>
      </c>
      <c r="L298" s="398">
        <v>-3.92</v>
      </c>
      <c r="M298" s="398">
        <v>0</v>
      </c>
      <c r="N298" s="164">
        <f t="shared" si="115"/>
        <v>3065.12</v>
      </c>
      <c r="O298" s="399">
        <f t="shared" si="100"/>
        <v>3065.12</v>
      </c>
      <c r="P298" s="392">
        <f t="shared" si="111"/>
        <v>1</v>
      </c>
      <c r="Q298" s="164">
        <f t="shared" si="101"/>
        <v>105.31</v>
      </c>
      <c r="R298" s="164">
        <f t="shared" si="102"/>
        <v>0</v>
      </c>
      <c r="S298" s="164">
        <f t="shared" si="103"/>
        <v>41.74</v>
      </c>
      <c r="T298" s="164">
        <f t="shared" si="104"/>
        <v>0</v>
      </c>
      <c r="U298" s="164">
        <f t="shared" si="105"/>
        <v>3212.17</v>
      </c>
      <c r="V298" s="393">
        <f t="shared" si="106"/>
        <v>3212.1699999999996</v>
      </c>
      <c r="W298" s="393">
        <f t="shared" si="107"/>
        <v>0</v>
      </c>
      <c r="Y298" s="393">
        <f t="shared" si="121"/>
        <v>1311.44</v>
      </c>
      <c r="Z298" s="393">
        <f t="shared" si="113"/>
        <v>1753.6799999999998</v>
      </c>
      <c r="AD298" s="395">
        <f>IF(AH298&gt;AH297,AD297,IF(AD297&lt;MiscData!$F$1,EOMONTH(AD297,1),EOMONTH(AD297,-11)))</f>
        <v>41759</v>
      </c>
      <c r="AE298" s="389" t="str">
        <f t="shared" si="108"/>
        <v>20140101KUUM_422</v>
      </c>
      <c r="AF298" s="437" t="str">
        <f t="shared" si="109"/>
        <v>20140101RLS</v>
      </c>
      <c r="AG298" s="438"/>
      <c r="AH298" s="34">
        <f>IF(AH297=MiscData!$AB$91,1,AH297+1)</f>
        <v>33</v>
      </c>
      <c r="AI298" s="34">
        <f>IF(AD298&lt;=MiscData!$B$23,MiscData!$C$23,IF(AD298&lt;=MiscData!$B$24,MiscData!$C$24,MiscData!$C$25))</f>
        <v>20140101</v>
      </c>
      <c r="AK298" s="439" t="str">
        <f>VLOOKUP(AM298,MiscData!$AB$4:$ACB$113,2,FALSE)</f>
        <v>KUUM_422</v>
      </c>
      <c r="AL298" s="439" t="str">
        <f>VLOOKUP(AM298,MiscData!$AB$4:$AE$115,4,FALSE)</f>
        <v>RLS</v>
      </c>
      <c r="AM298" s="34">
        <f>IF(AM297=MiscData!$AB$91,1,AM297+1)</f>
        <v>33</v>
      </c>
    </row>
    <row r="299" spans="1:39">
      <c r="A299" s="389">
        <f t="shared" si="114"/>
        <v>298</v>
      </c>
      <c r="B299" s="395" t="str">
        <f t="shared" si="116"/>
        <v>Apr 2014</v>
      </c>
      <c r="C299" s="396" t="str">
        <f t="shared" si="117"/>
        <v>RLS</v>
      </c>
      <c r="D299" s="396" t="str">
        <f t="shared" si="118"/>
        <v>KUUM_424</v>
      </c>
      <c r="E299" s="394">
        <f t="shared" si="95"/>
        <v>65</v>
      </c>
      <c r="F299" s="397">
        <v>0</v>
      </c>
      <c r="G299" s="394">
        <f t="shared" si="96"/>
        <v>7032</v>
      </c>
      <c r="H299" s="394">
        <v>123</v>
      </c>
      <c r="I299" s="390">
        <f t="shared" si="119"/>
        <v>6.78</v>
      </c>
      <c r="J299" s="390">
        <f t="shared" si="120"/>
        <v>0.69999999999999929</v>
      </c>
      <c r="K299" s="391">
        <f t="shared" si="110"/>
        <v>440.7</v>
      </c>
      <c r="L299" s="398">
        <v>0</v>
      </c>
      <c r="M299" s="398">
        <v>0</v>
      </c>
      <c r="N299" s="164">
        <f t="shared" si="115"/>
        <v>440.7</v>
      </c>
      <c r="O299" s="399">
        <f t="shared" si="100"/>
        <v>440.7</v>
      </c>
      <c r="P299" s="392">
        <f t="shared" si="111"/>
        <v>1</v>
      </c>
      <c r="Q299" s="164">
        <f t="shared" si="101"/>
        <v>19.89</v>
      </c>
      <c r="R299" s="164">
        <f t="shared" si="102"/>
        <v>0</v>
      </c>
      <c r="S299" s="164">
        <f t="shared" si="103"/>
        <v>6.85</v>
      </c>
      <c r="T299" s="164">
        <f t="shared" si="104"/>
        <v>0</v>
      </c>
      <c r="U299" s="164">
        <f t="shared" si="105"/>
        <v>467.44</v>
      </c>
      <c r="V299" s="393">
        <f t="shared" si="106"/>
        <v>467.44</v>
      </c>
      <c r="W299" s="393">
        <f t="shared" si="107"/>
        <v>0</v>
      </c>
      <c r="Y299" s="393">
        <f t="shared" si="121"/>
        <v>45.5</v>
      </c>
      <c r="Z299" s="393">
        <f t="shared" si="113"/>
        <v>395.2</v>
      </c>
      <c r="AD299" s="395">
        <f>IF(AH299&gt;AH298,AD298,IF(AD298&lt;MiscData!$F$1,EOMONTH(AD298,1),EOMONTH(AD298,-11)))</f>
        <v>41759</v>
      </c>
      <c r="AE299" s="389" t="str">
        <f t="shared" si="108"/>
        <v>20140101KUUM_424</v>
      </c>
      <c r="AF299" s="437" t="str">
        <f t="shared" si="109"/>
        <v>20140101RLS</v>
      </c>
      <c r="AG299" s="438"/>
      <c r="AH299" s="34">
        <f>IF(AH298=MiscData!$AB$91,1,AH298+1)</f>
        <v>34</v>
      </c>
      <c r="AI299" s="34">
        <f>IF(AD299&lt;=MiscData!$B$23,MiscData!$C$23,IF(AD299&lt;=MiscData!$B$24,MiscData!$C$24,MiscData!$C$25))</f>
        <v>20140101</v>
      </c>
      <c r="AK299" s="439" t="str">
        <f>VLOOKUP(AM299,MiscData!$AB$4:$ACB$113,2,FALSE)</f>
        <v>KUUM_424</v>
      </c>
      <c r="AL299" s="439" t="str">
        <f>VLOOKUP(AM299,MiscData!$AB$4:$AE$115,4,FALSE)</f>
        <v>RLS</v>
      </c>
      <c r="AM299" s="34">
        <f>IF(AM298=MiscData!$AB$91,1,AM298+1)</f>
        <v>34</v>
      </c>
    </row>
    <row r="300" spans="1:39">
      <c r="A300" s="389">
        <f t="shared" si="114"/>
        <v>299</v>
      </c>
      <c r="B300" s="395" t="str">
        <f t="shared" si="116"/>
        <v>Apr 2014</v>
      </c>
      <c r="C300" s="396" t="str">
        <f t="shared" si="117"/>
        <v>RLS</v>
      </c>
      <c r="D300" s="396" t="str">
        <f t="shared" si="118"/>
        <v>KUUM_425</v>
      </c>
      <c r="E300" s="394">
        <f t="shared" si="95"/>
        <v>2</v>
      </c>
      <c r="F300" s="397">
        <v>0</v>
      </c>
      <c r="G300" s="394">
        <f t="shared" si="96"/>
        <v>283</v>
      </c>
      <c r="H300" s="394">
        <v>0</v>
      </c>
      <c r="I300" s="390">
        <f t="shared" si="119"/>
        <v>9.06</v>
      </c>
      <c r="J300" s="390">
        <f t="shared" si="120"/>
        <v>4.3000000000000007</v>
      </c>
      <c r="K300" s="391">
        <f t="shared" si="110"/>
        <v>18.12</v>
      </c>
      <c r="L300" s="398">
        <v>0</v>
      </c>
      <c r="M300" s="398">
        <v>0</v>
      </c>
      <c r="N300" s="164">
        <f t="shared" si="115"/>
        <v>18.12</v>
      </c>
      <c r="O300" s="399">
        <f t="shared" si="100"/>
        <v>18.12</v>
      </c>
      <c r="P300" s="392">
        <f t="shared" si="111"/>
        <v>1</v>
      </c>
      <c r="Q300" s="164">
        <f t="shared" si="101"/>
        <v>0.6</v>
      </c>
      <c r="R300" s="164">
        <f t="shared" si="102"/>
        <v>0</v>
      </c>
      <c r="S300" s="164">
        <f t="shared" si="103"/>
        <v>0.22</v>
      </c>
      <c r="T300" s="164">
        <f t="shared" si="104"/>
        <v>0</v>
      </c>
      <c r="U300" s="164">
        <f t="shared" si="105"/>
        <v>18.940000000000001</v>
      </c>
      <c r="V300" s="393">
        <f t="shared" si="106"/>
        <v>18.940000000000001</v>
      </c>
      <c r="W300" s="393">
        <f t="shared" si="107"/>
        <v>0</v>
      </c>
      <c r="Y300" s="393">
        <f t="shared" si="121"/>
        <v>8.6</v>
      </c>
      <c r="Z300" s="393">
        <f t="shared" si="113"/>
        <v>9.5200000000000014</v>
      </c>
      <c r="AD300" s="395">
        <f>IF(AH300&gt;AH299,AD299,IF(AD299&lt;MiscData!$F$1,EOMONTH(AD299,1),EOMONTH(AD299,-11)))</f>
        <v>41759</v>
      </c>
      <c r="AE300" s="389" t="str">
        <f t="shared" si="108"/>
        <v>20140101KUUM_425</v>
      </c>
      <c r="AF300" s="437" t="str">
        <f t="shared" si="109"/>
        <v>20140101RLS</v>
      </c>
      <c r="AG300" s="438"/>
      <c r="AH300" s="34">
        <f>IF(AH299=MiscData!$AB$91,1,AH299+1)</f>
        <v>35</v>
      </c>
      <c r="AI300" s="34">
        <f>IF(AD300&lt;=MiscData!$B$23,MiscData!$C$23,IF(AD300&lt;=MiscData!$B$24,MiscData!$C$24,MiscData!$C$25))</f>
        <v>20140101</v>
      </c>
      <c r="AK300" s="439" t="str">
        <f>VLOOKUP(AM300,MiscData!$AB$4:$ACB$113,2,FALSE)</f>
        <v>KUUM_425</v>
      </c>
      <c r="AL300" s="439" t="str">
        <f>VLOOKUP(AM300,MiscData!$AB$4:$AE$115,4,FALSE)</f>
        <v>RLS</v>
      </c>
      <c r="AM300" s="34">
        <f>IF(AM299=MiscData!$AB$91,1,AM299+1)</f>
        <v>35</v>
      </c>
    </row>
    <row r="301" spans="1:39">
      <c r="A301" s="389">
        <f t="shared" si="114"/>
        <v>300</v>
      </c>
      <c r="B301" s="395" t="str">
        <f t="shared" si="116"/>
        <v>Apr 2014</v>
      </c>
      <c r="C301" s="396" t="str">
        <f t="shared" si="117"/>
        <v>RLS</v>
      </c>
      <c r="D301" s="396" t="str">
        <f t="shared" si="118"/>
        <v>KUUM_426</v>
      </c>
      <c r="E301" s="394">
        <f t="shared" si="95"/>
        <v>172</v>
      </c>
      <c r="F301" s="397">
        <v>0</v>
      </c>
      <c r="G301" s="394">
        <f t="shared" si="96"/>
        <v>4517</v>
      </c>
      <c r="H301" s="394">
        <v>0</v>
      </c>
      <c r="I301" s="390">
        <f t="shared" si="119"/>
        <v>7.4399999999999995</v>
      </c>
      <c r="J301" s="390">
        <f t="shared" si="120"/>
        <v>0.79999999999999982</v>
      </c>
      <c r="K301" s="391">
        <f t="shared" si="110"/>
        <v>1279.68</v>
      </c>
      <c r="L301" s="398">
        <v>-6.94</v>
      </c>
      <c r="M301" s="398">
        <v>0</v>
      </c>
      <c r="N301" s="164">
        <f t="shared" si="115"/>
        <v>1272.74</v>
      </c>
      <c r="O301" s="399">
        <f t="shared" si="100"/>
        <v>1272.74</v>
      </c>
      <c r="P301" s="392">
        <f t="shared" si="111"/>
        <v>1</v>
      </c>
      <c r="Q301" s="164">
        <f t="shared" si="101"/>
        <v>9.92</v>
      </c>
      <c r="R301" s="164">
        <f t="shared" si="102"/>
        <v>0</v>
      </c>
      <c r="S301" s="164">
        <f t="shared" si="103"/>
        <v>15.4</v>
      </c>
      <c r="T301" s="164">
        <f t="shared" si="104"/>
        <v>0</v>
      </c>
      <c r="U301" s="164">
        <f t="shared" si="105"/>
        <v>1298.06</v>
      </c>
      <c r="V301" s="393">
        <f t="shared" si="106"/>
        <v>1298.0600000000002</v>
      </c>
      <c r="W301" s="393">
        <f t="shared" si="107"/>
        <v>0</v>
      </c>
      <c r="Y301" s="393">
        <f t="shared" si="121"/>
        <v>137.6</v>
      </c>
      <c r="Z301" s="393">
        <f t="shared" si="113"/>
        <v>1135.1400000000001</v>
      </c>
      <c r="AD301" s="395">
        <f>IF(AH301&gt;AH300,AD300,IF(AD300&lt;MiscData!$F$1,EOMONTH(AD300,1),EOMONTH(AD300,-11)))</f>
        <v>41759</v>
      </c>
      <c r="AE301" s="389" t="str">
        <f t="shared" si="108"/>
        <v>20140101KUUM_426</v>
      </c>
      <c r="AF301" s="437" t="str">
        <f t="shared" si="109"/>
        <v>20140101RLS</v>
      </c>
      <c r="AG301" s="438"/>
      <c r="AH301" s="34">
        <f>IF(AH300=MiscData!$AB$91,1,AH300+1)</f>
        <v>36</v>
      </c>
      <c r="AI301" s="34">
        <f>IF(AD301&lt;=MiscData!$B$23,MiscData!$C$23,IF(AD301&lt;=MiscData!$B$24,MiscData!$C$24,MiscData!$C$25))</f>
        <v>20140101</v>
      </c>
      <c r="AK301" s="439" t="str">
        <f>VLOOKUP(AM301,MiscData!$AB$4:$ACB$113,2,FALSE)</f>
        <v>KUUM_426</v>
      </c>
      <c r="AL301" s="439" t="str">
        <f>VLOOKUP(AM301,MiscData!$AB$4:$AE$115,4,FALSE)</f>
        <v>RLS</v>
      </c>
      <c r="AM301" s="34">
        <f>IF(AM300=MiscData!$AB$91,1,AM300+1)</f>
        <v>36</v>
      </c>
    </row>
    <row r="302" spans="1:39">
      <c r="A302" s="389">
        <f t="shared" si="114"/>
        <v>301</v>
      </c>
      <c r="B302" s="395" t="str">
        <f t="shared" si="116"/>
        <v>Apr 2014</v>
      </c>
      <c r="C302" s="396" t="str">
        <f t="shared" si="117"/>
        <v>LS</v>
      </c>
      <c r="D302" s="396" t="str">
        <f t="shared" si="118"/>
        <v>KUUM_428</v>
      </c>
      <c r="E302" s="394">
        <f t="shared" si="95"/>
        <v>36644</v>
      </c>
      <c r="F302" s="397">
        <v>1</v>
      </c>
      <c r="G302" s="394">
        <f t="shared" si="96"/>
        <v>1360504</v>
      </c>
      <c r="H302" s="394">
        <v>0</v>
      </c>
      <c r="I302" s="390">
        <f t="shared" si="119"/>
        <v>7.84</v>
      </c>
      <c r="J302" s="390">
        <f t="shared" si="120"/>
        <v>1.1299999999999999</v>
      </c>
      <c r="K302" s="391">
        <f t="shared" si="110"/>
        <v>287296.8</v>
      </c>
      <c r="L302" s="398">
        <v>-1723.65</v>
      </c>
      <c r="M302" s="398">
        <v>0</v>
      </c>
      <c r="N302" s="164">
        <f t="shared" si="115"/>
        <v>285573.14999999997</v>
      </c>
      <c r="O302" s="399">
        <f t="shared" si="100"/>
        <v>285573.15000000002</v>
      </c>
      <c r="P302" s="392">
        <f t="shared" si="111"/>
        <v>1</v>
      </c>
      <c r="Q302" s="164">
        <f t="shared" si="101"/>
        <v>2917.74</v>
      </c>
      <c r="R302" s="164">
        <f t="shared" si="102"/>
        <v>0</v>
      </c>
      <c r="S302" s="164">
        <f t="shared" si="103"/>
        <v>3618.61</v>
      </c>
      <c r="T302" s="164">
        <f t="shared" si="104"/>
        <v>0</v>
      </c>
      <c r="U302" s="164">
        <f t="shared" si="105"/>
        <v>292109.5</v>
      </c>
      <c r="V302" s="393">
        <f t="shared" si="106"/>
        <v>292109.49999999994</v>
      </c>
      <c r="W302" s="393">
        <f t="shared" si="107"/>
        <v>0</v>
      </c>
      <c r="Y302" s="393">
        <f t="shared" si="121"/>
        <v>41407.72</v>
      </c>
      <c r="Z302" s="393">
        <f t="shared" si="113"/>
        <v>244165.43000000002</v>
      </c>
      <c r="AD302" s="395">
        <f>IF(AH302&gt;AH301,AD301,IF(AD301&lt;MiscData!$F$1,EOMONTH(AD301,1),EOMONTH(AD301,-11)))</f>
        <v>41759</v>
      </c>
      <c r="AE302" s="389" t="str">
        <f t="shared" si="108"/>
        <v>20140101KUUM_428</v>
      </c>
      <c r="AF302" s="437" t="str">
        <f t="shared" si="109"/>
        <v>20140101LS</v>
      </c>
      <c r="AG302" s="438"/>
      <c r="AH302" s="34">
        <f>IF(AH301=MiscData!$AB$91,1,AH301+1)</f>
        <v>37</v>
      </c>
      <c r="AI302" s="34">
        <f>IF(AD302&lt;=MiscData!$B$23,MiscData!$C$23,IF(AD302&lt;=MiscData!$B$24,MiscData!$C$24,MiscData!$C$25))</f>
        <v>20140101</v>
      </c>
      <c r="AK302" s="439" t="str">
        <f>VLOOKUP(AM302,MiscData!$AB$4:$ACB$113,2,FALSE)</f>
        <v>KUUM_428</v>
      </c>
      <c r="AL302" s="439" t="str">
        <f>VLOOKUP(AM302,MiscData!$AB$4:$AE$115,4,FALSE)</f>
        <v>LS</v>
      </c>
      <c r="AM302" s="34">
        <f>IF(AM301=MiscData!$AB$91,1,AM301+1)</f>
        <v>37</v>
      </c>
    </row>
    <row r="303" spans="1:39">
      <c r="A303" s="389">
        <f t="shared" si="114"/>
        <v>302</v>
      </c>
      <c r="B303" s="395" t="str">
        <f t="shared" si="116"/>
        <v>Apr 2014</v>
      </c>
      <c r="C303" s="396" t="str">
        <f t="shared" si="117"/>
        <v>LS</v>
      </c>
      <c r="D303" s="396" t="str">
        <f t="shared" si="118"/>
        <v>KUUM_429</v>
      </c>
      <c r="E303" s="394">
        <f t="shared" si="95"/>
        <v>0</v>
      </c>
      <c r="F303" s="397">
        <v>0</v>
      </c>
      <c r="G303" s="394">
        <f t="shared" si="96"/>
        <v>0</v>
      </c>
      <c r="H303" s="394">
        <v>0</v>
      </c>
      <c r="I303" s="390">
        <f t="shared" si="119"/>
        <v>0</v>
      </c>
      <c r="J303" s="390">
        <f t="shared" si="120"/>
        <v>0</v>
      </c>
      <c r="K303" s="391">
        <f t="shared" si="110"/>
        <v>0</v>
      </c>
      <c r="L303" s="398">
        <v>0</v>
      </c>
      <c r="M303" s="398">
        <v>0</v>
      </c>
      <c r="N303" s="164">
        <f t="shared" si="115"/>
        <v>0</v>
      </c>
      <c r="O303" s="399">
        <f t="shared" si="100"/>
        <v>0</v>
      </c>
      <c r="P303" s="392">
        <f t="shared" si="111"/>
        <v>1</v>
      </c>
      <c r="Q303" s="164">
        <f t="shared" si="101"/>
        <v>0</v>
      </c>
      <c r="R303" s="164">
        <f t="shared" si="102"/>
        <v>0</v>
      </c>
      <c r="S303" s="164">
        <f t="shared" si="103"/>
        <v>0</v>
      </c>
      <c r="T303" s="164">
        <f t="shared" si="104"/>
        <v>0</v>
      </c>
      <c r="U303" s="164">
        <f t="shared" si="105"/>
        <v>0</v>
      </c>
      <c r="V303" s="393">
        <f t="shared" si="106"/>
        <v>0</v>
      </c>
      <c r="W303" s="393">
        <f t="shared" si="107"/>
        <v>0</v>
      </c>
      <c r="Y303" s="393">
        <f t="shared" si="121"/>
        <v>0</v>
      </c>
      <c r="Z303" s="393">
        <f t="shared" si="113"/>
        <v>0</v>
      </c>
      <c r="AD303" s="395">
        <f>IF(AH303&gt;AH302,AD302,IF(AD302&lt;MiscData!$F$1,EOMONTH(AD302,1),EOMONTH(AD302,-11)))</f>
        <v>41759</v>
      </c>
      <c r="AE303" s="389" t="str">
        <f t="shared" si="108"/>
        <v>20140101KUUM_429</v>
      </c>
      <c r="AF303" s="437" t="str">
        <f t="shared" si="109"/>
        <v>20140101LS</v>
      </c>
      <c r="AG303" s="438"/>
      <c r="AH303" s="34">
        <f>IF(AH302=MiscData!$AB$91,1,AH302+1)</f>
        <v>38</v>
      </c>
      <c r="AI303" s="34">
        <f>IF(AD303&lt;=MiscData!$B$23,MiscData!$C$23,IF(AD303&lt;=MiscData!$B$24,MiscData!$C$24,MiscData!$C$25))</f>
        <v>20140101</v>
      </c>
      <c r="AK303" s="439" t="str">
        <f>VLOOKUP(AM303,MiscData!$AB$4:$ACB$113,2,FALSE)</f>
        <v>KUUM_429</v>
      </c>
      <c r="AL303" s="439" t="str">
        <f>VLOOKUP(AM303,MiscData!$AB$4:$AE$115,4,FALSE)</f>
        <v>LS</v>
      </c>
      <c r="AM303" s="34">
        <f>IF(AM302=MiscData!$AB$91,1,AM302+1)</f>
        <v>38</v>
      </c>
    </row>
    <row r="304" spans="1:39">
      <c r="A304" s="389">
        <f t="shared" si="114"/>
        <v>303</v>
      </c>
      <c r="B304" s="395" t="str">
        <f t="shared" si="116"/>
        <v>Apr 2014</v>
      </c>
      <c r="C304" s="396" t="str">
        <f t="shared" si="117"/>
        <v>LS</v>
      </c>
      <c r="D304" s="396" t="str">
        <f t="shared" si="118"/>
        <v>KUUM_430</v>
      </c>
      <c r="E304" s="394">
        <f t="shared" si="95"/>
        <v>1180</v>
      </c>
      <c r="F304" s="397">
        <v>0</v>
      </c>
      <c r="G304" s="394">
        <f t="shared" si="96"/>
        <v>44594</v>
      </c>
      <c r="H304" s="394">
        <v>0</v>
      </c>
      <c r="I304" s="390">
        <f t="shared" si="119"/>
        <v>22</v>
      </c>
      <c r="J304" s="390">
        <f t="shared" si="120"/>
        <v>1.129999999999999</v>
      </c>
      <c r="K304" s="391">
        <f t="shared" si="110"/>
        <v>25960</v>
      </c>
      <c r="L304" s="398">
        <v>0</v>
      </c>
      <c r="M304" s="398">
        <v>0</v>
      </c>
      <c r="N304" s="164">
        <f t="shared" si="115"/>
        <v>25960</v>
      </c>
      <c r="O304" s="399">
        <f t="shared" si="100"/>
        <v>25960</v>
      </c>
      <c r="P304" s="392">
        <f t="shared" si="111"/>
        <v>1</v>
      </c>
      <c r="Q304" s="164">
        <f t="shared" si="101"/>
        <v>103.02</v>
      </c>
      <c r="R304" s="164">
        <f t="shared" si="102"/>
        <v>0</v>
      </c>
      <c r="S304" s="164">
        <f t="shared" si="103"/>
        <v>335.45</v>
      </c>
      <c r="T304" s="164">
        <f t="shared" si="104"/>
        <v>0</v>
      </c>
      <c r="U304" s="164">
        <f t="shared" si="105"/>
        <v>26398.47</v>
      </c>
      <c r="V304" s="393">
        <f t="shared" si="106"/>
        <v>26398.47</v>
      </c>
      <c r="W304" s="393">
        <f t="shared" si="107"/>
        <v>0</v>
      </c>
      <c r="Y304" s="393">
        <f t="shared" si="121"/>
        <v>1333.4</v>
      </c>
      <c r="Z304" s="393">
        <f t="shared" si="113"/>
        <v>24626.6</v>
      </c>
      <c r="AD304" s="395">
        <f>IF(AH304&gt;AH303,AD303,IF(AD303&lt;MiscData!$F$1,EOMONTH(AD303,1),EOMONTH(AD303,-11)))</f>
        <v>41759</v>
      </c>
      <c r="AE304" s="389" t="str">
        <f t="shared" si="108"/>
        <v>20140101KUUM_430</v>
      </c>
      <c r="AF304" s="437" t="str">
        <f t="shared" si="109"/>
        <v>20140101LS</v>
      </c>
      <c r="AG304" s="438"/>
      <c r="AH304" s="34">
        <f>IF(AH303=MiscData!$AB$91,1,AH303+1)</f>
        <v>39</v>
      </c>
      <c r="AI304" s="34">
        <f>IF(AD304&lt;=MiscData!$B$23,MiscData!$C$23,IF(AD304&lt;=MiscData!$B$24,MiscData!$C$24,MiscData!$C$25))</f>
        <v>20140101</v>
      </c>
      <c r="AK304" s="439" t="str">
        <f>VLOOKUP(AM304,MiscData!$AB$4:$ACB$113,2,FALSE)</f>
        <v>KUUM_430</v>
      </c>
      <c r="AL304" s="439" t="str">
        <f>VLOOKUP(AM304,MiscData!$AB$4:$AE$115,4,FALSE)</f>
        <v>LS</v>
      </c>
      <c r="AM304" s="34">
        <f>IF(AM303=MiscData!$AB$91,1,AM303+1)</f>
        <v>39</v>
      </c>
    </row>
    <row r="305" spans="1:39">
      <c r="A305" s="389">
        <f t="shared" si="114"/>
        <v>304</v>
      </c>
      <c r="B305" s="395" t="str">
        <f t="shared" si="116"/>
        <v>Apr 2014</v>
      </c>
      <c r="C305" s="396" t="str">
        <f t="shared" si="117"/>
        <v>RLS</v>
      </c>
      <c r="D305" s="396" t="str">
        <f t="shared" si="118"/>
        <v>KUUM_434</v>
      </c>
      <c r="E305" s="394">
        <f t="shared" si="95"/>
        <v>5</v>
      </c>
      <c r="F305" s="397">
        <v>0</v>
      </c>
      <c r="G305" s="394">
        <f t="shared" si="96"/>
        <v>547</v>
      </c>
      <c r="H305" s="394">
        <v>0</v>
      </c>
      <c r="I305" s="390">
        <f t="shared" si="119"/>
        <v>7.74</v>
      </c>
      <c r="J305" s="390">
        <f t="shared" si="120"/>
        <v>0.69999999999999929</v>
      </c>
      <c r="K305" s="391">
        <f t="shared" si="110"/>
        <v>38.700000000000003</v>
      </c>
      <c r="L305" s="398">
        <v>0</v>
      </c>
      <c r="M305" s="398">
        <v>0</v>
      </c>
      <c r="N305" s="164">
        <f t="shared" si="115"/>
        <v>38.700000000000003</v>
      </c>
      <c r="O305" s="399">
        <f t="shared" si="100"/>
        <v>38.699999999999996</v>
      </c>
      <c r="P305" s="392">
        <f t="shared" si="111"/>
        <v>1</v>
      </c>
      <c r="Q305" s="164">
        <f t="shared" si="101"/>
        <v>1.7</v>
      </c>
      <c r="R305" s="164">
        <f t="shared" si="102"/>
        <v>0</v>
      </c>
      <c r="S305" s="164">
        <f t="shared" si="103"/>
        <v>0.65</v>
      </c>
      <c r="T305" s="164">
        <f t="shared" si="104"/>
        <v>0</v>
      </c>
      <c r="U305" s="164">
        <f t="shared" si="105"/>
        <v>41.05</v>
      </c>
      <c r="V305" s="393">
        <f t="shared" si="106"/>
        <v>41.050000000000004</v>
      </c>
      <c r="W305" s="393">
        <f t="shared" si="107"/>
        <v>0</v>
      </c>
      <c r="Y305" s="393">
        <f t="shared" si="121"/>
        <v>3.5</v>
      </c>
      <c r="Z305" s="393">
        <f t="shared" si="113"/>
        <v>35.199999999999996</v>
      </c>
      <c r="AD305" s="395">
        <f>IF(AH305&gt;AH304,AD304,IF(AD304&lt;MiscData!$F$1,EOMONTH(AD304,1),EOMONTH(AD304,-11)))</f>
        <v>41759</v>
      </c>
      <c r="AE305" s="389" t="str">
        <f t="shared" si="108"/>
        <v>20140101KUUM_434</v>
      </c>
      <c r="AF305" s="437" t="str">
        <f t="shared" si="109"/>
        <v>20140101RLS</v>
      </c>
      <c r="AG305" s="438"/>
      <c r="AH305" s="34">
        <f>IF(AH304=MiscData!$AB$91,1,AH304+1)</f>
        <v>40</v>
      </c>
      <c r="AI305" s="34">
        <f>IF(AD305&lt;=MiscData!$B$23,MiscData!$C$23,IF(AD305&lt;=MiscData!$B$24,MiscData!$C$24,MiscData!$C$25))</f>
        <v>20140101</v>
      </c>
      <c r="AK305" s="439" t="str">
        <f>VLOOKUP(AM305,MiscData!$AB$4:$ACB$113,2,FALSE)</f>
        <v>KUUM_434</v>
      </c>
      <c r="AL305" s="439" t="str">
        <f>VLOOKUP(AM305,MiscData!$AB$4:$AE$115,4,FALSE)</f>
        <v>RLS</v>
      </c>
      <c r="AM305" s="34">
        <f>IF(AM304=MiscData!$AB$91,1,AM304+1)</f>
        <v>40</v>
      </c>
    </row>
    <row r="306" spans="1:39">
      <c r="A306" s="389">
        <f t="shared" si="114"/>
        <v>305</v>
      </c>
      <c r="B306" s="395" t="str">
        <f t="shared" si="116"/>
        <v>Apr 2014</v>
      </c>
      <c r="C306" s="396" t="str">
        <f t="shared" si="117"/>
        <v>RLS</v>
      </c>
      <c r="D306" s="396" t="str">
        <f t="shared" si="118"/>
        <v>KUUM_440</v>
      </c>
      <c r="E306" s="394">
        <f t="shared" si="95"/>
        <v>2</v>
      </c>
      <c r="F306" s="397">
        <v>0</v>
      </c>
      <c r="G306" s="394">
        <f t="shared" si="96"/>
        <v>39</v>
      </c>
      <c r="H306" s="394">
        <v>0</v>
      </c>
      <c r="I306" s="390">
        <f t="shared" si="119"/>
        <v>13.610000000000001</v>
      </c>
      <c r="J306" s="390">
        <f t="shared" si="120"/>
        <v>0.57000000000000028</v>
      </c>
      <c r="K306" s="391">
        <f t="shared" si="110"/>
        <v>27.22</v>
      </c>
      <c r="L306" s="398">
        <v>0</v>
      </c>
      <c r="M306" s="398">
        <v>0</v>
      </c>
      <c r="N306" s="164">
        <f t="shared" si="115"/>
        <v>27.22</v>
      </c>
      <c r="O306" s="399">
        <f t="shared" si="100"/>
        <v>27.22</v>
      </c>
      <c r="P306" s="392">
        <f t="shared" si="111"/>
        <v>1</v>
      </c>
      <c r="Q306" s="164">
        <f t="shared" si="101"/>
        <v>0.08</v>
      </c>
      <c r="R306" s="164">
        <f t="shared" si="102"/>
        <v>0</v>
      </c>
      <c r="S306" s="164">
        <f t="shared" si="103"/>
        <v>0.34</v>
      </c>
      <c r="T306" s="164">
        <f t="shared" si="104"/>
        <v>0</v>
      </c>
      <c r="U306" s="164">
        <f t="shared" si="105"/>
        <v>27.64</v>
      </c>
      <c r="V306" s="393">
        <f t="shared" si="106"/>
        <v>27.639999999999997</v>
      </c>
      <c r="W306" s="393">
        <f t="shared" si="107"/>
        <v>0</v>
      </c>
      <c r="Y306" s="393">
        <f t="shared" si="121"/>
        <v>1.1399999999999999</v>
      </c>
      <c r="Z306" s="393">
        <f t="shared" si="113"/>
        <v>26.08</v>
      </c>
      <c r="AD306" s="395">
        <f>IF(AH306&gt;AH305,AD305,IF(AD305&lt;MiscData!$F$1,EOMONTH(AD305,1),EOMONTH(AD305,-11)))</f>
        <v>41759</v>
      </c>
      <c r="AE306" s="389" t="str">
        <f t="shared" si="108"/>
        <v>20140101KUUM_440</v>
      </c>
      <c r="AF306" s="437" t="str">
        <f t="shared" si="109"/>
        <v>20140101RLS</v>
      </c>
      <c r="AG306" s="438"/>
      <c r="AH306" s="34">
        <f>IF(AH305=MiscData!$AB$91,1,AH305+1)</f>
        <v>41</v>
      </c>
      <c r="AI306" s="34">
        <f>IF(AD306&lt;=MiscData!$B$23,MiscData!$C$23,IF(AD306&lt;=MiscData!$B$24,MiscData!$C$24,MiscData!$C$25))</f>
        <v>20140101</v>
      </c>
      <c r="AK306" s="439" t="str">
        <f>VLOOKUP(AM306,MiscData!$AB$4:$ACB$113,2,FALSE)</f>
        <v>KUUM_440</v>
      </c>
      <c r="AL306" s="439" t="str">
        <f>VLOOKUP(AM306,MiscData!$AB$4:$AE$115,4,FALSE)</f>
        <v>RLS</v>
      </c>
      <c r="AM306" s="34">
        <f>IF(AM305=MiscData!$AB$91,1,AM305+1)</f>
        <v>41</v>
      </c>
    </row>
    <row r="307" spans="1:39">
      <c r="A307" s="389">
        <f t="shared" si="114"/>
        <v>306</v>
      </c>
      <c r="B307" s="395" t="str">
        <f t="shared" si="116"/>
        <v>Apr 2014</v>
      </c>
      <c r="C307" s="396" t="str">
        <f t="shared" si="117"/>
        <v>RLS</v>
      </c>
      <c r="D307" s="396" t="str">
        <f t="shared" si="118"/>
        <v>KUUM_446</v>
      </c>
      <c r="E307" s="394">
        <f t="shared" si="95"/>
        <v>1081</v>
      </c>
      <c r="F307" s="397">
        <v>0</v>
      </c>
      <c r="G307" s="394">
        <f t="shared" si="96"/>
        <v>71543</v>
      </c>
      <c r="H307" s="394">
        <v>0</v>
      </c>
      <c r="I307" s="390">
        <f t="shared" si="119"/>
        <v>9.5600000000000023</v>
      </c>
      <c r="J307" s="390">
        <f t="shared" si="120"/>
        <v>1.9900000000000002</v>
      </c>
      <c r="K307" s="391">
        <f t="shared" si="110"/>
        <v>10334.36</v>
      </c>
      <c r="L307" s="398">
        <v>-7.25</v>
      </c>
      <c r="M307" s="398">
        <v>0</v>
      </c>
      <c r="N307" s="164">
        <f t="shared" si="115"/>
        <v>10327.11</v>
      </c>
      <c r="O307" s="399">
        <f t="shared" si="100"/>
        <v>10327.11</v>
      </c>
      <c r="P307" s="392">
        <f t="shared" si="111"/>
        <v>1</v>
      </c>
      <c r="Q307" s="164">
        <f t="shared" si="101"/>
        <v>165.41</v>
      </c>
      <c r="R307" s="164">
        <f t="shared" si="102"/>
        <v>0</v>
      </c>
      <c r="S307" s="164">
        <f t="shared" si="103"/>
        <v>135.49</v>
      </c>
      <c r="T307" s="164">
        <f t="shared" si="104"/>
        <v>0</v>
      </c>
      <c r="U307" s="164">
        <f t="shared" si="105"/>
        <v>10628.01</v>
      </c>
      <c r="V307" s="393">
        <f t="shared" si="106"/>
        <v>10628.01</v>
      </c>
      <c r="W307" s="393">
        <f t="shared" si="107"/>
        <v>0</v>
      </c>
      <c r="Y307" s="393">
        <f t="shared" si="121"/>
        <v>2151.19</v>
      </c>
      <c r="Z307" s="393">
        <f t="shared" si="113"/>
        <v>8175.92</v>
      </c>
      <c r="AD307" s="395">
        <f>IF(AH307&gt;AH306,AD306,IF(AD306&lt;MiscData!$F$1,EOMONTH(AD306,1),EOMONTH(AD306,-11)))</f>
        <v>41759</v>
      </c>
      <c r="AE307" s="389" t="str">
        <f t="shared" si="108"/>
        <v>20140101KUUM_446</v>
      </c>
      <c r="AF307" s="437" t="str">
        <f t="shared" si="109"/>
        <v>20140101RLS</v>
      </c>
      <c r="AG307" s="438"/>
      <c r="AH307" s="34">
        <f>IF(AH306=MiscData!$AB$91,1,AH306+1)</f>
        <v>42</v>
      </c>
      <c r="AI307" s="34">
        <f>IF(AD307&lt;=MiscData!$B$23,MiscData!$C$23,IF(AD307&lt;=MiscData!$B$24,MiscData!$C$24,MiscData!$C$25))</f>
        <v>20140101</v>
      </c>
      <c r="AK307" s="439" t="str">
        <f>VLOOKUP(AM307,MiscData!$AB$4:$ACB$113,2,FALSE)</f>
        <v>KUUM_446</v>
      </c>
      <c r="AL307" s="439" t="str">
        <f>VLOOKUP(AM307,MiscData!$AB$4:$AE$115,4,FALSE)</f>
        <v>RLS</v>
      </c>
      <c r="AM307" s="34">
        <f>IF(AM306=MiscData!$AB$91,1,AM306+1)</f>
        <v>42</v>
      </c>
    </row>
    <row r="308" spans="1:39">
      <c r="A308" s="389">
        <f t="shared" si="114"/>
        <v>307</v>
      </c>
      <c r="B308" s="395" t="str">
        <f t="shared" si="116"/>
        <v>Apr 2014</v>
      </c>
      <c r="C308" s="396" t="str">
        <f t="shared" si="117"/>
        <v>RLS</v>
      </c>
      <c r="D308" s="396" t="str">
        <f t="shared" si="118"/>
        <v>KUUM_447</v>
      </c>
      <c r="E308" s="394">
        <f t="shared" si="95"/>
        <v>742</v>
      </c>
      <c r="F308" s="397">
        <v>0</v>
      </c>
      <c r="G308" s="394">
        <f t="shared" si="96"/>
        <v>71643</v>
      </c>
      <c r="H308" s="394">
        <v>0</v>
      </c>
      <c r="I308" s="390">
        <f t="shared" si="119"/>
        <v>11.32</v>
      </c>
      <c r="J308" s="390">
        <f t="shared" si="120"/>
        <v>2.8400000000000016</v>
      </c>
      <c r="K308" s="391">
        <f t="shared" si="110"/>
        <v>8399.44</v>
      </c>
      <c r="L308" s="398">
        <v>0</v>
      </c>
      <c r="M308" s="398">
        <v>0</v>
      </c>
      <c r="N308" s="164">
        <f t="shared" si="115"/>
        <v>8399.44</v>
      </c>
      <c r="O308" s="399">
        <f t="shared" si="100"/>
        <v>8399.44</v>
      </c>
      <c r="P308" s="392">
        <f t="shared" si="111"/>
        <v>1</v>
      </c>
      <c r="Q308" s="164">
        <f t="shared" si="101"/>
        <v>220.74</v>
      </c>
      <c r="R308" s="164">
        <f t="shared" si="102"/>
        <v>0</v>
      </c>
      <c r="S308" s="164">
        <f t="shared" si="103"/>
        <v>136.61000000000001</v>
      </c>
      <c r="T308" s="164">
        <f t="shared" si="104"/>
        <v>0</v>
      </c>
      <c r="U308" s="164">
        <f t="shared" si="105"/>
        <v>8756.7900000000009</v>
      </c>
      <c r="V308" s="393">
        <f t="shared" si="106"/>
        <v>8756.7900000000009</v>
      </c>
      <c r="W308" s="393">
        <f t="shared" si="107"/>
        <v>0</v>
      </c>
      <c r="Y308" s="393">
        <f t="shared" si="121"/>
        <v>2107.2800000000002</v>
      </c>
      <c r="Z308" s="393">
        <f t="shared" si="113"/>
        <v>6292.16</v>
      </c>
      <c r="AD308" s="395">
        <f>IF(AH308&gt;AH307,AD307,IF(AD307&lt;MiscData!$F$1,EOMONTH(AD307,1),EOMONTH(AD307,-11)))</f>
        <v>41759</v>
      </c>
      <c r="AE308" s="389" t="str">
        <f t="shared" si="108"/>
        <v>20140101KUUM_447</v>
      </c>
      <c r="AF308" s="437" t="str">
        <f t="shared" si="109"/>
        <v>20140101RLS</v>
      </c>
      <c r="AG308" s="438"/>
      <c r="AH308" s="34">
        <f>IF(AH307=MiscData!$AB$91,1,AH307+1)</f>
        <v>43</v>
      </c>
      <c r="AI308" s="34">
        <f>IF(AD308&lt;=MiscData!$B$23,MiscData!$C$23,IF(AD308&lt;=MiscData!$B$24,MiscData!$C$24,MiscData!$C$25))</f>
        <v>20140101</v>
      </c>
      <c r="AK308" s="439" t="str">
        <f>VLOOKUP(AM308,MiscData!$AB$4:$ACB$113,2,FALSE)</f>
        <v>KUUM_447</v>
      </c>
      <c r="AL308" s="439" t="str">
        <f>VLOOKUP(AM308,MiscData!$AB$4:$AE$115,4,FALSE)</f>
        <v>RLS</v>
      </c>
      <c r="AM308" s="34">
        <f>IF(AM307=MiscData!$AB$91,1,AM307+1)</f>
        <v>43</v>
      </c>
    </row>
    <row r="309" spans="1:39">
      <c r="A309" s="389">
        <f t="shared" si="114"/>
        <v>308</v>
      </c>
      <c r="B309" s="395" t="str">
        <f t="shared" si="116"/>
        <v>Apr 2014</v>
      </c>
      <c r="C309" s="396" t="str">
        <f t="shared" si="117"/>
        <v>RLS</v>
      </c>
      <c r="D309" s="396" t="str">
        <f t="shared" si="118"/>
        <v>KUUM_448</v>
      </c>
      <c r="E309" s="394">
        <f t="shared" si="95"/>
        <v>1480</v>
      </c>
      <c r="F309" s="397">
        <v>0</v>
      </c>
      <c r="G309" s="394">
        <f t="shared" si="96"/>
        <v>213646</v>
      </c>
      <c r="H309" s="394">
        <v>0</v>
      </c>
      <c r="I309" s="390">
        <f t="shared" si="119"/>
        <v>12.809999999999999</v>
      </c>
      <c r="J309" s="390">
        <f t="shared" si="120"/>
        <v>4.37</v>
      </c>
      <c r="K309" s="391">
        <f t="shared" si="110"/>
        <v>18958.8</v>
      </c>
      <c r="L309" s="398">
        <v>-25.62</v>
      </c>
      <c r="M309" s="398">
        <v>0</v>
      </c>
      <c r="N309" s="164">
        <f t="shared" si="115"/>
        <v>18933.18</v>
      </c>
      <c r="O309" s="399">
        <f t="shared" si="100"/>
        <v>18933.18</v>
      </c>
      <c r="P309" s="392">
        <f t="shared" si="111"/>
        <v>1</v>
      </c>
      <c r="Q309" s="164">
        <f t="shared" si="101"/>
        <v>542.19000000000005</v>
      </c>
      <c r="R309" s="164">
        <f t="shared" si="102"/>
        <v>0</v>
      </c>
      <c r="S309" s="164">
        <f t="shared" si="103"/>
        <v>267.81</v>
      </c>
      <c r="T309" s="164">
        <f t="shared" si="104"/>
        <v>0</v>
      </c>
      <c r="U309" s="164">
        <f t="shared" si="105"/>
        <v>19743.18</v>
      </c>
      <c r="V309" s="393">
        <f t="shared" si="106"/>
        <v>19743.18</v>
      </c>
      <c r="W309" s="393">
        <f t="shared" si="107"/>
        <v>0</v>
      </c>
      <c r="Y309" s="393">
        <f t="shared" si="121"/>
        <v>6467.6</v>
      </c>
      <c r="Z309" s="393">
        <f t="shared" si="113"/>
        <v>12465.58</v>
      </c>
      <c r="AD309" s="395">
        <f>IF(AH309&gt;AH308,AD308,IF(AD308&lt;MiscData!$F$1,EOMONTH(AD308,1),EOMONTH(AD308,-11)))</f>
        <v>41759</v>
      </c>
      <c r="AE309" s="389" t="str">
        <f t="shared" si="108"/>
        <v>20140101KUUM_448</v>
      </c>
      <c r="AF309" s="437" t="str">
        <f t="shared" si="109"/>
        <v>20140101RLS</v>
      </c>
      <c r="AG309" s="438"/>
      <c r="AH309" s="34">
        <f>IF(AH308=MiscData!$AB$91,1,AH308+1)</f>
        <v>44</v>
      </c>
      <c r="AI309" s="34">
        <f>IF(AD309&lt;=MiscData!$B$23,MiscData!$C$23,IF(AD309&lt;=MiscData!$B$24,MiscData!$C$24,MiscData!$C$25))</f>
        <v>20140101</v>
      </c>
      <c r="AK309" s="439" t="str">
        <f>VLOOKUP(AM309,MiscData!$AB$4:$ACB$113,2,FALSE)</f>
        <v>KUUM_448</v>
      </c>
      <c r="AL309" s="439" t="str">
        <f>VLOOKUP(AM309,MiscData!$AB$4:$AE$115,4,FALSE)</f>
        <v>RLS</v>
      </c>
      <c r="AM309" s="34">
        <f>IF(AM308=MiscData!$AB$91,1,AM308+1)</f>
        <v>44</v>
      </c>
    </row>
    <row r="310" spans="1:39">
      <c r="A310" s="389">
        <f t="shared" si="114"/>
        <v>309</v>
      </c>
      <c r="B310" s="395" t="str">
        <f t="shared" si="116"/>
        <v>Apr 2014</v>
      </c>
      <c r="C310" s="396" t="str">
        <f t="shared" si="117"/>
        <v>LS</v>
      </c>
      <c r="D310" s="396" t="str">
        <f t="shared" si="118"/>
        <v>KUUM_450</v>
      </c>
      <c r="E310" s="394">
        <f t="shared" si="95"/>
        <v>660</v>
      </c>
      <c r="F310" s="397">
        <v>0</v>
      </c>
      <c r="G310" s="394">
        <f t="shared" si="96"/>
        <v>31479</v>
      </c>
      <c r="H310" s="394">
        <v>0</v>
      </c>
      <c r="I310" s="390">
        <f t="shared" si="119"/>
        <v>14.25</v>
      </c>
      <c r="J310" s="390">
        <f t="shared" si="120"/>
        <v>1.9699999999999989</v>
      </c>
      <c r="K310" s="391">
        <f t="shared" si="110"/>
        <v>9405</v>
      </c>
      <c r="L310" s="398">
        <v>-22.32</v>
      </c>
      <c r="M310" s="398">
        <v>0</v>
      </c>
      <c r="N310" s="164">
        <f t="shared" si="115"/>
        <v>9382.68</v>
      </c>
      <c r="O310" s="399">
        <f t="shared" si="100"/>
        <v>9382.6799999999985</v>
      </c>
      <c r="P310" s="392">
        <f t="shared" si="111"/>
        <v>1</v>
      </c>
      <c r="Q310" s="164">
        <f t="shared" si="101"/>
        <v>68.2</v>
      </c>
      <c r="R310" s="164">
        <f t="shared" si="102"/>
        <v>0</v>
      </c>
      <c r="S310" s="164">
        <f t="shared" si="103"/>
        <v>118</v>
      </c>
      <c r="T310" s="164">
        <f t="shared" si="104"/>
        <v>0</v>
      </c>
      <c r="U310" s="164">
        <f t="shared" si="105"/>
        <v>9568.8799999999992</v>
      </c>
      <c r="V310" s="393">
        <f t="shared" si="106"/>
        <v>9568.880000000001</v>
      </c>
      <c r="W310" s="393">
        <f t="shared" si="107"/>
        <v>0</v>
      </c>
      <c r="Y310" s="393">
        <f t="shared" si="121"/>
        <v>1300.2</v>
      </c>
      <c r="Z310" s="393">
        <f t="shared" si="113"/>
        <v>8082.4799999999987</v>
      </c>
      <c r="AD310" s="395">
        <f>IF(AH310&gt;AH309,AD309,IF(AD309&lt;MiscData!$F$1,EOMONTH(AD309,1),EOMONTH(AD309,-11)))</f>
        <v>41759</v>
      </c>
      <c r="AE310" s="389" t="str">
        <f t="shared" si="108"/>
        <v>20140101KUUM_450</v>
      </c>
      <c r="AF310" s="437" t="str">
        <f t="shared" si="109"/>
        <v>20140101LS</v>
      </c>
      <c r="AG310" s="438"/>
      <c r="AH310" s="34">
        <f>IF(AH309=MiscData!$AB$91,1,AH309+1)</f>
        <v>45</v>
      </c>
      <c r="AI310" s="34">
        <f>IF(AD310&lt;=MiscData!$B$23,MiscData!$C$23,IF(AD310&lt;=MiscData!$B$24,MiscData!$C$24,MiscData!$C$25))</f>
        <v>20140101</v>
      </c>
      <c r="AK310" s="439" t="str">
        <f>VLOOKUP(AM310,MiscData!$AB$4:$ACB$113,2,FALSE)</f>
        <v>KUUM_450</v>
      </c>
      <c r="AL310" s="439" t="str">
        <f>VLOOKUP(AM310,MiscData!$AB$4:$AE$115,4,FALSE)</f>
        <v>LS</v>
      </c>
      <c r="AM310" s="34">
        <f>IF(AM309=MiscData!$AB$91,1,AM309+1)</f>
        <v>45</v>
      </c>
    </row>
    <row r="311" spans="1:39">
      <c r="A311" s="389">
        <f t="shared" si="114"/>
        <v>310</v>
      </c>
      <c r="B311" s="395" t="str">
        <f t="shared" si="116"/>
        <v>Apr 2014</v>
      </c>
      <c r="C311" s="396" t="str">
        <f t="shared" si="117"/>
        <v>LS</v>
      </c>
      <c r="D311" s="396" t="str">
        <f t="shared" si="118"/>
        <v>KUUM_451</v>
      </c>
      <c r="E311" s="394">
        <f t="shared" si="95"/>
        <v>5128</v>
      </c>
      <c r="F311" s="397">
        <v>0</v>
      </c>
      <c r="G311" s="394">
        <f t="shared" si="96"/>
        <v>574590</v>
      </c>
      <c r="H311" s="394">
        <v>0</v>
      </c>
      <c r="I311" s="390">
        <f t="shared" si="119"/>
        <v>20.200000000000003</v>
      </c>
      <c r="J311" s="390">
        <f t="shared" si="120"/>
        <v>4.2900000000000027</v>
      </c>
      <c r="K311" s="391">
        <f t="shared" si="110"/>
        <v>103585.60000000001</v>
      </c>
      <c r="L311" s="398">
        <v>36.06</v>
      </c>
      <c r="M311" s="398">
        <v>0</v>
      </c>
      <c r="N311" s="164">
        <f t="shared" si="115"/>
        <v>103621.66</v>
      </c>
      <c r="O311" s="399">
        <f t="shared" si="100"/>
        <v>103621.66</v>
      </c>
      <c r="P311" s="392">
        <f t="shared" si="111"/>
        <v>1</v>
      </c>
      <c r="Q311" s="164">
        <f t="shared" si="101"/>
        <v>1240.08</v>
      </c>
      <c r="R311" s="164">
        <f t="shared" si="102"/>
        <v>0</v>
      </c>
      <c r="S311" s="164">
        <f t="shared" si="103"/>
        <v>1297.3699999999999</v>
      </c>
      <c r="T311" s="164">
        <f t="shared" si="104"/>
        <v>0</v>
      </c>
      <c r="U311" s="164">
        <f t="shared" si="105"/>
        <v>106159.11</v>
      </c>
      <c r="V311" s="393">
        <f t="shared" si="106"/>
        <v>106159.11</v>
      </c>
      <c r="W311" s="393">
        <f t="shared" si="107"/>
        <v>0</v>
      </c>
      <c r="Y311" s="393">
        <f t="shared" si="121"/>
        <v>21999.119999999999</v>
      </c>
      <c r="Z311" s="393">
        <f t="shared" si="113"/>
        <v>81622.540000000008</v>
      </c>
      <c r="AD311" s="395">
        <f>IF(AH311&gt;AH310,AD310,IF(AD310&lt;MiscData!$F$1,EOMONTH(AD310,1),EOMONTH(AD310,-11)))</f>
        <v>41759</v>
      </c>
      <c r="AE311" s="389" t="str">
        <f t="shared" si="108"/>
        <v>20140101KUUM_451</v>
      </c>
      <c r="AF311" s="437" t="str">
        <f t="shared" si="109"/>
        <v>20140101LS</v>
      </c>
      <c r="AG311" s="438"/>
      <c r="AH311" s="34">
        <f>IF(AH310=MiscData!$AB$91,1,AH310+1)</f>
        <v>46</v>
      </c>
      <c r="AI311" s="34">
        <f>IF(AD311&lt;=MiscData!$B$23,MiscData!$C$23,IF(AD311&lt;=MiscData!$B$24,MiscData!$C$24,MiscData!$C$25))</f>
        <v>20140101</v>
      </c>
      <c r="AK311" s="439" t="str">
        <f>VLOOKUP(AM311,MiscData!$AB$4:$ACB$113,2,FALSE)</f>
        <v>KUUM_451</v>
      </c>
      <c r="AL311" s="439" t="str">
        <f>VLOOKUP(AM311,MiscData!$AB$4:$AE$115,4,FALSE)</f>
        <v>LS</v>
      </c>
      <c r="AM311" s="34">
        <f>IF(AM310=MiscData!$AB$91,1,AM310+1)</f>
        <v>46</v>
      </c>
    </row>
    <row r="312" spans="1:39">
      <c r="A312" s="389">
        <f t="shared" si="114"/>
        <v>311</v>
      </c>
      <c r="B312" s="395" t="str">
        <f t="shared" si="116"/>
        <v>Apr 2014</v>
      </c>
      <c r="C312" s="396" t="str">
        <f t="shared" si="117"/>
        <v>LS</v>
      </c>
      <c r="D312" s="396" t="str">
        <f t="shared" si="118"/>
        <v>KUUM_452</v>
      </c>
      <c r="E312" s="394">
        <f t="shared" si="95"/>
        <v>1045</v>
      </c>
      <c r="F312" s="397">
        <v>0</v>
      </c>
      <c r="G312" s="394">
        <f t="shared" si="96"/>
        <v>357912</v>
      </c>
      <c r="H312" s="394">
        <v>0</v>
      </c>
      <c r="I312" s="390">
        <f t="shared" si="119"/>
        <v>42.350000000000009</v>
      </c>
      <c r="J312" s="390">
        <f t="shared" si="120"/>
        <v>10.410000000000004</v>
      </c>
      <c r="K312" s="391">
        <f t="shared" si="110"/>
        <v>44255.75</v>
      </c>
      <c r="L312" s="398">
        <v>-183.5</v>
      </c>
      <c r="M312" s="398">
        <v>0</v>
      </c>
      <c r="N312" s="164">
        <f t="shared" si="115"/>
        <v>44072.25</v>
      </c>
      <c r="O312" s="399">
        <f t="shared" si="100"/>
        <v>44072.25</v>
      </c>
      <c r="P312" s="392">
        <f t="shared" si="111"/>
        <v>1</v>
      </c>
      <c r="Q312" s="164">
        <f t="shared" si="101"/>
        <v>767.93</v>
      </c>
      <c r="R312" s="164">
        <f t="shared" si="102"/>
        <v>0</v>
      </c>
      <c r="S312" s="164">
        <f t="shared" si="103"/>
        <v>552.5</v>
      </c>
      <c r="T312" s="164">
        <f t="shared" si="104"/>
        <v>0</v>
      </c>
      <c r="U312" s="164">
        <f t="shared" si="105"/>
        <v>45392.68</v>
      </c>
      <c r="V312" s="393">
        <f t="shared" si="106"/>
        <v>45392.68</v>
      </c>
      <c r="W312" s="393">
        <f t="shared" si="107"/>
        <v>0</v>
      </c>
      <c r="Y312" s="393">
        <f t="shared" si="121"/>
        <v>10878.45</v>
      </c>
      <c r="Z312" s="393">
        <f t="shared" si="113"/>
        <v>33193.800000000003</v>
      </c>
      <c r="AD312" s="395">
        <f>IF(AH312&gt;AH311,AD311,IF(AD311&lt;MiscData!$F$1,EOMONTH(AD311,1),EOMONTH(AD311,-11)))</f>
        <v>41759</v>
      </c>
      <c r="AE312" s="389" t="str">
        <f t="shared" si="108"/>
        <v>20140101KUUM_452</v>
      </c>
      <c r="AF312" s="437" t="str">
        <f t="shared" si="109"/>
        <v>20140101LS</v>
      </c>
      <c r="AG312" s="438"/>
      <c r="AH312" s="34">
        <f>IF(AH311=MiscData!$AB$91,1,AH311+1)</f>
        <v>47</v>
      </c>
      <c r="AI312" s="34">
        <f>IF(AD312&lt;=MiscData!$B$23,MiscData!$C$23,IF(AD312&lt;=MiscData!$B$24,MiscData!$C$24,MiscData!$C$25))</f>
        <v>20140101</v>
      </c>
      <c r="AK312" s="439" t="str">
        <f>VLOOKUP(AM312,MiscData!$AB$4:$ACB$113,2,FALSE)</f>
        <v>KUUM_452</v>
      </c>
      <c r="AL312" s="439" t="str">
        <f>VLOOKUP(AM312,MiscData!$AB$4:$AE$115,4,FALSE)</f>
        <v>LS</v>
      </c>
      <c r="AM312" s="34">
        <f>IF(AM311=MiscData!$AB$91,1,AM311+1)</f>
        <v>47</v>
      </c>
    </row>
    <row r="313" spans="1:39">
      <c r="A313" s="389">
        <f t="shared" si="114"/>
        <v>312</v>
      </c>
      <c r="B313" s="395" t="str">
        <f t="shared" si="116"/>
        <v>Apr 2014</v>
      </c>
      <c r="C313" s="396" t="str">
        <f t="shared" si="117"/>
        <v>RLS</v>
      </c>
      <c r="D313" s="396" t="str">
        <f t="shared" si="118"/>
        <v>KUUM_454</v>
      </c>
      <c r="E313" s="394">
        <f t="shared" si="95"/>
        <v>150</v>
      </c>
      <c r="F313" s="397">
        <v>0</v>
      </c>
      <c r="G313" s="394">
        <f t="shared" si="96"/>
        <v>7191</v>
      </c>
      <c r="H313" s="394">
        <v>0</v>
      </c>
      <c r="I313" s="390">
        <f t="shared" si="119"/>
        <v>18.649999999999999</v>
      </c>
      <c r="J313" s="390">
        <f t="shared" si="120"/>
        <v>1.9699999999999989</v>
      </c>
      <c r="K313" s="391">
        <f t="shared" si="110"/>
        <v>2797.5</v>
      </c>
      <c r="L313" s="398">
        <v>0</v>
      </c>
      <c r="M313" s="398">
        <v>0</v>
      </c>
      <c r="N313" s="164">
        <f t="shared" si="115"/>
        <v>2797.5</v>
      </c>
      <c r="O313" s="399">
        <f t="shared" si="100"/>
        <v>2797.5</v>
      </c>
      <c r="P313" s="392">
        <f t="shared" si="111"/>
        <v>1</v>
      </c>
      <c r="Q313" s="164">
        <f t="shared" si="101"/>
        <v>15.75</v>
      </c>
      <c r="R313" s="164">
        <f t="shared" si="102"/>
        <v>0</v>
      </c>
      <c r="S313" s="164">
        <f t="shared" si="103"/>
        <v>35.11</v>
      </c>
      <c r="T313" s="164">
        <f t="shared" si="104"/>
        <v>0</v>
      </c>
      <c r="U313" s="164">
        <f t="shared" si="105"/>
        <v>2848.36</v>
      </c>
      <c r="V313" s="393">
        <f t="shared" si="106"/>
        <v>2848.36</v>
      </c>
      <c r="W313" s="393">
        <f t="shared" si="107"/>
        <v>0</v>
      </c>
      <c r="Y313" s="393">
        <f t="shared" si="121"/>
        <v>295.5</v>
      </c>
      <c r="Z313" s="393">
        <f t="shared" si="113"/>
        <v>2502</v>
      </c>
      <c r="AD313" s="395">
        <f>IF(AH313&gt;AH312,AD312,IF(AD312&lt;MiscData!$F$1,EOMONTH(AD312,1),EOMONTH(AD312,-11)))</f>
        <v>41759</v>
      </c>
      <c r="AE313" s="389" t="str">
        <f t="shared" si="108"/>
        <v>20140101KUUM_454</v>
      </c>
      <c r="AF313" s="437" t="str">
        <f t="shared" si="109"/>
        <v>20140101RLS</v>
      </c>
      <c r="AG313" s="438"/>
      <c r="AH313" s="34">
        <f>IF(AH312=MiscData!$AB$91,1,AH312+1)</f>
        <v>48</v>
      </c>
      <c r="AI313" s="34">
        <f>IF(AD313&lt;=MiscData!$B$23,MiscData!$C$23,IF(AD313&lt;=MiscData!$B$24,MiscData!$C$24,MiscData!$C$25))</f>
        <v>20140101</v>
      </c>
      <c r="AK313" s="439" t="str">
        <f>VLOOKUP(AM313,MiscData!$AB$4:$ACB$113,2,FALSE)</f>
        <v>KUUM_454</v>
      </c>
      <c r="AL313" s="439" t="str">
        <f>VLOOKUP(AM313,MiscData!$AB$4:$AE$115,4,FALSE)</f>
        <v>RLS</v>
      </c>
      <c r="AM313" s="34">
        <f>IF(AM312=MiscData!$AB$91,1,AM312+1)</f>
        <v>48</v>
      </c>
    </row>
    <row r="314" spans="1:39">
      <c r="A314" s="389">
        <f t="shared" si="114"/>
        <v>313</v>
      </c>
      <c r="B314" s="395" t="str">
        <f t="shared" si="116"/>
        <v>Apr 2014</v>
      </c>
      <c r="C314" s="396" t="str">
        <f t="shared" si="117"/>
        <v>RLS</v>
      </c>
      <c r="D314" s="396" t="str">
        <f t="shared" si="118"/>
        <v>KUUM_455</v>
      </c>
      <c r="E314" s="394">
        <f t="shared" si="95"/>
        <v>1022</v>
      </c>
      <c r="F314" s="397">
        <v>0</v>
      </c>
      <c r="G314" s="394">
        <f t="shared" si="96"/>
        <v>113937</v>
      </c>
      <c r="H314" s="394">
        <v>0</v>
      </c>
      <c r="I314" s="390">
        <f t="shared" si="119"/>
        <v>24.59</v>
      </c>
      <c r="J314" s="390">
        <f t="shared" si="120"/>
        <v>4.2899999999999991</v>
      </c>
      <c r="K314" s="391">
        <f t="shared" si="110"/>
        <v>25130.98</v>
      </c>
      <c r="L314" s="398">
        <v>-55.74</v>
      </c>
      <c r="M314" s="398">
        <v>0</v>
      </c>
      <c r="N314" s="164">
        <f t="shared" si="115"/>
        <v>25075.239999999998</v>
      </c>
      <c r="O314" s="399">
        <f t="shared" si="100"/>
        <v>25075.24</v>
      </c>
      <c r="P314" s="392">
        <f t="shared" si="111"/>
        <v>1</v>
      </c>
      <c r="Q314" s="164">
        <f t="shared" si="101"/>
        <v>246.75</v>
      </c>
      <c r="R314" s="164">
        <f t="shared" si="102"/>
        <v>0</v>
      </c>
      <c r="S314" s="164">
        <f t="shared" si="103"/>
        <v>312.33999999999997</v>
      </c>
      <c r="T314" s="164">
        <f t="shared" si="104"/>
        <v>0</v>
      </c>
      <c r="U314" s="164">
        <f t="shared" si="105"/>
        <v>25634.33</v>
      </c>
      <c r="V314" s="393">
        <f t="shared" si="106"/>
        <v>25634.329999999998</v>
      </c>
      <c r="W314" s="393">
        <f t="shared" si="107"/>
        <v>0</v>
      </c>
      <c r="Y314" s="393">
        <f t="shared" si="121"/>
        <v>4384.38</v>
      </c>
      <c r="Z314" s="393">
        <f t="shared" si="113"/>
        <v>20690.86</v>
      </c>
      <c r="AD314" s="395">
        <f>IF(AH314&gt;AH313,AD313,IF(AD313&lt;MiscData!$F$1,EOMONTH(AD313,1),EOMONTH(AD313,-11)))</f>
        <v>41759</v>
      </c>
      <c r="AE314" s="389" t="str">
        <f t="shared" si="108"/>
        <v>20140101KUUM_455</v>
      </c>
      <c r="AF314" s="437" t="str">
        <f t="shared" si="109"/>
        <v>20140101RLS</v>
      </c>
      <c r="AG314" s="438"/>
      <c r="AH314" s="34">
        <f>IF(AH313=MiscData!$AB$91,1,AH313+1)</f>
        <v>49</v>
      </c>
      <c r="AI314" s="34">
        <f>IF(AD314&lt;=MiscData!$B$23,MiscData!$C$23,IF(AD314&lt;=MiscData!$B$24,MiscData!$C$24,MiscData!$C$25))</f>
        <v>20140101</v>
      </c>
      <c r="AK314" s="439" t="str">
        <f>VLOOKUP(AM314,MiscData!$AB$4:$ACB$113,2,FALSE)</f>
        <v>KUUM_455</v>
      </c>
      <c r="AL314" s="439" t="str">
        <f>VLOOKUP(AM314,MiscData!$AB$4:$AE$115,4,FALSE)</f>
        <v>RLS</v>
      </c>
      <c r="AM314" s="34">
        <f>IF(AM313=MiscData!$AB$91,1,AM313+1)</f>
        <v>49</v>
      </c>
    </row>
    <row r="315" spans="1:39">
      <c r="A315" s="389">
        <f t="shared" si="114"/>
        <v>314</v>
      </c>
      <c r="B315" s="395" t="str">
        <f t="shared" si="116"/>
        <v>Apr 2014</v>
      </c>
      <c r="C315" s="396" t="str">
        <f t="shared" si="117"/>
        <v>RLS</v>
      </c>
      <c r="D315" s="396" t="str">
        <f t="shared" si="118"/>
        <v>KUUM_456</v>
      </c>
      <c r="E315" s="394">
        <f t="shared" si="95"/>
        <v>140</v>
      </c>
      <c r="F315" s="397">
        <v>0</v>
      </c>
      <c r="G315" s="394">
        <f t="shared" si="96"/>
        <v>9167</v>
      </c>
      <c r="H315" s="394">
        <v>0</v>
      </c>
      <c r="I315" s="390">
        <f t="shared" si="119"/>
        <v>11.870000000000001</v>
      </c>
      <c r="J315" s="390">
        <f t="shared" si="120"/>
        <v>1.9900000000000002</v>
      </c>
      <c r="K315" s="391">
        <f t="shared" si="110"/>
        <v>1661.8</v>
      </c>
      <c r="L315" s="398">
        <v>0</v>
      </c>
      <c r="M315" s="398">
        <v>0</v>
      </c>
      <c r="N315" s="164">
        <f t="shared" si="115"/>
        <v>1661.8</v>
      </c>
      <c r="O315" s="399">
        <f t="shared" si="100"/>
        <v>1661.8</v>
      </c>
      <c r="P315" s="392">
        <f t="shared" si="111"/>
        <v>1</v>
      </c>
      <c r="Q315" s="164">
        <f t="shared" si="101"/>
        <v>20.76</v>
      </c>
      <c r="R315" s="164">
        <f t="shared" si="102"/>
        <v>0</v>
      </c>
      <c r="S315" s="164">
        <f t="shared" si="103"/>
        <v>21.4</v>
      </c>
      <c r="T315" s="164">
        <f t="shared" si="104"/>
        <v>0</v>
      </c>
      <c r="U315" s="164">
        <f t="shared" si="105"/>
        <v>1703.96</v>
      </c>
      <c r="V315" s="393">
        <f t="shared" si="106"/>
        <v>1703.96</v>
      </c>
      <c r="W315" s="393">
        <f t="shared" si="107"/>
        <v>0</v>
      </c>
      <c r="Y315" s="393">
        <f t="shared" si="121"/>
        <v>278.60000000000002</v>
      </c>
      <c r="Z315" s="393">
        <f t="shared" si="113"/>
        <v>1383.1999999999998</v>
      </c>
      <c r="AD315" s="395">
        <f>IF(AH315&gt;AH314,AD314,IF(AD314&lt;MiscData!$F$1,EOMONTH(AD314,1),EOMONTH(AD314,-11)))</f>
        <v>41759</v>
      </c>
      <c r="AE315" s="389" t="str">
        <f t="shared" si="108"/>
        <v>20140101KUUM_456</v>
      </c>
      <c r="AF315" s="437" t="str">
        <f t="shared" si="109"/>
        <v>20140101RLS</v>
      </c>
      <c r="AG315" s="438"/>
      <c r="AH315" s="34">
        <f>IF(AH314=MiscData!$AB$91,1,AH314+1)</f>
        <v>50</v>
      </c>
      <c r="AI315" s="34">
        <f>IF(AD315&lt;=MiscData!$B$23,MiscData!$C$23,IF(AD315&lt;=MiscData!$B$24,MiscData!$C$24,MiscData!$C$25))</f>
        <v>20140101</v>
      </c>
      <c r="AK315" s="439" t="str">
        <f>VLOOKUP(AM315,MiscData!$AB$4:$ACB$113,2,FALSE)</f>
        <v>KUUM_456</v>
      </c>
      <c r="AL315" s="439" t="str">
        <f>VLOOKUP(AM315,MiscData!$AB$4:$AE$115,4,FALSE)</f>
        <v>RLS</v>
      </c>
      <c r="AM315" s="34">
        <f>IF(AM314=MiscData!$AB$91,1,AM314+1)</f>
        <v>50</v>
      </c>
    </row>
    <row r="316" spans="1:39">
      <c r="A316" s="389">
        <f t="shared" si="114"/>
        <v>315</v>
      </c>
      <c r="B316" s="395" t="str">
        <f t="shared" si="116"/>
        <v>Apr 2014</v>
      </c>
      <c r="C316" s="396" t="str">
        <f t="shared" si="117"/>
        <v>RLS</v>
      </c>
      <c r="D316" s="396" t="str">
        <f t="shared" si="118"/>
        <v>KUUM_457</v>
      </c>
      <c r="E316" s="394">
        <f t="shared" si="95"/>
        <v>453</v>
      </c>
      <c r="F316" s="397">
        <v>0</v>
      </c>
      <c r="G316" s="394">
        <f t="shared" si="96"/>
        <v>43841</v>
      </c>
      <c r="H316" s="394">
        <v>0</v>
      </c>
      <c r="I316" s="390">
        <f t="shared" si="119"/>
        <v>13.360000000000001</v>
      </c>
      <c r="J316" s="390">
        <f t="shared" si="120"/>
        <v>2.84</v>
      </c>
      <c r="K316" s="391">
        <f t="shared" si="110"/>
        <v>6052.08</v>
      </c>
      <c r="L316" s="398">
        <v>0</v>
      </c>
      <c r="M316" s="398">
        <v>0</v>
      </c>
      <c r="N316" s="164">
        <f t="shared" si="115"/>
        <v>6052.08</v>
      </c>
      <c r="O316" s="399">
        <f t="shared" si="100"/>
        <v>6052.08</v>
      </c>
      <c r="P316" s="392">
        <f t="shared" si="111"/>
        <v>1</v>
      </c>
      <c r="Q316" s="164">
        <f t="shared" si="101"/>
        <v>136.69</v>
      </c>
      <c r="R316" s="164">
        <f t="shared" si="102"/>
        <v>0</v>
      </c>
      <c r="S316" s="164">
        <f t="shared" si="103"/>
        <v>98.98</v>
      </c>
      <c r="T316" s="164">
        <f t="shared" si="104"/>
        <v>0</v>
      </c>
      <c r="U316" s="164">
        <f t="shared" si="105"/>
        <v>6287.75</v>
      </c>
      <c r="V316" s="393">
        <f t="shared" si="106"/>
        <v>6287.7499999999991</v>
      </c>
      <c r="W316" s="393">
        <f t="shared" si="107"/>
        <v>0</v>
      </c>
      <c r="Y316" s="393">
        <f t="shared" si="121"/>
        <v>1286.52</v>
      </c>
      <c r="Z316" s="393">
        <f t="shared" si="113"/>
        <v>4765.5599999999995</v>
      </c>
      <c r="AD316" s="395">
        <f>IF(AH316&gt;AH315,AD315,IF(AD315&lt;MiscData!$F$1,EOMONTH(AD315,1),EOMONTH(AD315,-11)))</f>
        <v>41759</v>
      </c>
      <c r="AE316" s="389" t="str">
        <f t="shared" si="108"/>
        <v>20140101KUUM_457</v>
      </c>
      <c r="AF316" s="437" t="str">
        <f t="shared" si="109"/>
        <v>20140101RLS</v>
      </c>
      <c r="AG316" s="438"/>
      <c r="AH316" s="34">
        <f>IF(AH315=MiscData!$AB$91,1,AH315+1)</f>
        <v>51</v>
      </c>
      <c r="AI316" s="34">
        <f>IF(AD316&lt;=MiscData!$B$23,MiscData!$C$23,IF(AD316&lt;=MiscData!$B$24,MiscData!$C$24,MiscData!$C$25))</f>
        <v>20140101</v>
      </c>
      <c r="AK316" s="439" t="str">
        <f>VLOOKUP(AM316,MiscData!$AB$4:$ACB$113,2,FALSE)</f>
        <v>KUUM_457</v>
      </c>
      <c r="AL316" s="439" t="str">
        <f>VLOOKUP(AM316,MiscData!$AB$4:$AE$115,4,FALSE)</f>
        <v>RLS</v>
      </c>
      <c r="AM316" s="34">
        <f>IF(AM315=MiscData!$AB$91,1,AM315+1)</f>
        <v>51</v>
      </c>
    </row>
    <row r="317" spans="1:39">
      <c r="A317" s="389">
        <f t="shared" si="114"/>
        <v>316</v>
      </c>
      <c r="B317" s="395" t="str">
        <f t="shared" si="116"/>
        <v>Apr 2014</v>
      </c>
      <c r="C317" s="396" t="str">
        <f t="shared" si="117"/>
        <v>RLS</v>
      </c>
      <c r="D317" s="396" t="str">
        <f t="shared" si="118"/>
        <v>KUUM_458</v>
      </c>
      <c r="E317" s="394">
        <f t="shared" si="95"/>
        <v>1479</v>
      </c>
      <c r="F317" s="397">
        <v>0</v>
      </c>
      <c r="G317" s="394">
        <f t="shared" si="96"/>
        <v>217321</v>
      </c>
      <c r="H317" s="394">
        <v>0</v>
      </c>
      <c r="I317" s="390">
        <f t="shared" si="119"/>
        <v>15.079999999999998</v>
      </c>
      <c r="J317" s="390">
        <f t="shared" si="120"/>
        <v>4.3699999999999992</v>
      </c>
      <c r="K317" s="391">
        <f t="shared" si="110"/>
        <v>22303.32</v>
      </c>
      <c r="L317" s="398">
        <v>-54.15</v>
      </c>
      <c r="M317" s="398">
        <v>0</v>
      </c>
      <c r="N317" s="164">
        <f t="shared" si="115"/>
        <v>22249.17</v>
      </c>
      <c r="O317" s="399">
        <f t="shared" si="100"/>
        <v>22249.170000000002</v>
      </c>
      <c r="P317" s="392">
        <f t="shared" si="111"/>
        <v>1</v>
      </c>
      <c r="Q317" s="164">
        <f t="shared" si="101"/>
        <v>610.52</v>
      </c>
      <c r="R317" s="164">
        <f t="shared" si="102"/>
        <v>0</v>
      </c>
      <c r="S317" s="164">
        <f t="shared" si="103"/>
        <v>338.69</v>
      </c>
      <c r="T317" s="164">
        <f t="shared" si="104"/>
        <v>0</v>
      </c>
      <c r="U317" s="164">
        <f t="shared" si="105"/>
        <v>23198.38</v>
      </c>
      <c r="V317" s="393">
        <f t="shared" si="106"/>
        <v>23198.379999999997</v>
      </c>
      <c r="W317" s="393">
        <f t="shared" si="107"/>
        <v>0</v>
      </c>
      <c r="Y317" s="393">
        <f t="shared" si="121"/>
        <v>6463.23</v>
      </c>
      <c r="Z317" s="393">
        <f t="shared" si="113"/>
        <v>15785.940000000002</v>
      </c>
      <c r="AD317" s="395">
        <f>IF(AH317&gt;AH316,AD316,IF(AD316&lt;MiscData!$F$1,EOMONTH(AD316,1),EOMONTH(AD316,-11)))</f>
        <v>41759</v>
      </c>
      <c r="AE317" s="389" t="str">
        <f t="shared" si="108"/>
        <v>20140101KUUM_458</v>
      </c>
      <c r="AF317" s="437" t="str">
        <f t="shared" si="109"/>
        <v>20140101RLS</v>
      </c>
      <c r="AG317" s="438"/>
      <c r="AH317" s="34">
        <f>IF(AH316=MiscData!$AB$91,1,AH316+1)</f>
        <v>52</v>
      </c>
      <c r="AI317" s="34">
        <f>IF(AD317&lt;=MiscData!$B$23,MiscData!$C$23,IF(AD317&lt;=MiscData!$B$24,MiscData!$C$24,MiscData!$C$25))</f>
        <v>20140101</v>
      </c>
      <c r="AK317" s="439" t="str">
        <f>VLOOKUP(AM317,MiscData!$AB$4:$ACB$113,2,FALSE)</f>
        <v>KUUM_458</v>
      </c>
      <c r="AL317" s="439" t="str">
        <f>VLOOKUP(AM317,MiscData!$AB$4:$AE$115,4,FALSE)</f>
        <v>RLS</v>
      </c>
      <c r="AM317" s="34">
        <f>IF(AM316=MiscData!$AB$91,1,AM316+1)</f>
        <v>52</v>
      </c>
    </row>
    <row r="318" spans="1:39">
      <c r="A318" s="389">
        <f t="shared" si="114"/>
        <v>317</v>
      </c>
      <c r="B318" s="395" t="str">
        <f t="shared" si="116"/>
        <v>Apr 2014</v>
      </c>
      <c r="C318" s="396" t="str">
        <f t="shared" si="117"/>
        <v>RLS</v>
      </c>
      <c r="D318" s="396" t="str">
        <f t="shared" si="118"/>
        <v>KUUM_459</v>
      </c>
      <c r="E318" s="394">
        <f t="shared" si="95"/>
        <v>224</v>
      </c>
      <c r="F318" s="397">
        <v>0</v>
      </c>
      <c r="G318" s="394">
        <f t="shared" si="96"/>
        <v>76873</v>
      </c>
      <c r="H318" s="394">
        <v>0</v>
      </c>
      <c r="I318" s="390">
        <f t="shared" si="119"/>
        <v>46.740000000000009</v>
      </c>
      <c r="J318" s="390">
        <f t="shared" si="120"/>
        <v>10.410000000000004</v>
      </c>
      <c r="K318" s="391">
        <f t="shared" si="110"/>
        <v>10469.76</v>
      </c>
      <c r="L318" s="398">
        <v>0</v>
      </c>
      <c r="M318" s="398">
        <v>0</v>
      </c>
      <c r="N318" s="164">
        <f t="shared" si="115"/>
        <v>10469.76</v>
      </c>
      <c r="O318" s="399">
        <f t="shared" si="100"/>
        <v>10469.76</v>
      </c>
      <c r="P318" s="392">
        <f t="shared" si="111"/>
        <v>1</v>
      </c>
      <c r="Q318" s="164">
        <f t="shared" si="101"/>
        <v>164.45</v>
      </c>
      <c r="R318" s="164">
        <f t="shared" si="102"/>
        <v>0</v>
      </c>
      <c r="S318" s="164">
        <f t="shared" si="103"/>
        <v>130.65</v>
      </c>
      <c r="T318" s="164">
        <f t="shared" si="104"/>
        <v>0</v>
      </c>
      <c r="U318" s="164">
        <f t="shared" si="105"/>
        <v>10764.86</v>
      </c>
      <c r="V318" s="393">
        <f t="shared" si="106"/>
        <v>10764.86</v>
      </c>
      <c r="W318" s="393">
        <f t="shared" si="107"/>
        <v>0</v>
      </c>
      <c r="Y318" s="393">
        <f t="shared" si="121"/>
        <v>2331.84</v>
      </c>
      <c r="Z318" s="393">
        <f t="shared" si="113"/>
        <v>8137.92</v>
      </c>
      <c r="AD318" s="395">
        <f>IF(AH318&gt;AH317,AD317,IF(AD317&lt;MiscData!$F$1,EOMONTH(AD317,1),EOMONTH(AD317,-11)))</f>
        <v>41759</v>
      </c>
      <c r="AE318" s="389" t="str">
        <f t="shared" si="108"/>
        <v>20140101KUUM_459</v>
      </c>
      <c r="AF318" s="437" t="str">
        <f t="shared" si="109"/>
        <v>20140101RLS</v>
      </c>
      <c r="AG318" s="438"/>
      <c r="AH318" s="34">
        <f>IF(AH317=MiscData!$AB$91,1,AH317+1)</f>
        <v>53</v>
      </c>
      <c r="AI318" s="34">
        <f>IF(AD318&lt;=MiscData!$B$23,MiscData!$C$23,IF(AD318&lt;=MiscData!$B$24,MiscData!$C$24,MiscData!$C$25))</f>
        <v>20140101</v>
      </c>
      <c r="AK318" s="439" t="str">
        <f>VLOOKUP(AM318,MiscData!$AB$4:$ACB$113,2,FALSE)</f>
        <v>KUUM_459</v>
      </c>
      <c r="AL318" s="439" t="str">
        <f>VLOOKUP(AM318,MiscData!$AB$4:$AE$115,4,FALSE)</f>
        <v>RLS</v>
      </c>
      <c r="AM318" s="34">
        <f>IF(AM317=MiscData!$AB$91,1,AM317+1)</f>
        <v>53</v>
      </c>
    </row>
    <row r="319" spans="1:39">
      <c r="A319" s="389">
        <f t="shared" si="114"/>
        <v>318</v>
      </c>
      <c r="B319" s="395" t="str">
        <f t="shared" si="116"/>
        <v>Apr 2014</v>
      </c>
      <c r="C319" s="396" t="str">
        <f t="shared" si="117"/>
        <v>RLS</v>
      </c>
      <c r="D319" s="396" t="str">
        <f t="shared" si="118"/>
        <v>KUUM_460</v>
      </c>
      <c r="E319" s="394">
        <f t="shared" si="95"/>
        <v>26</v>
      </c>
      <c r="F319" s="397">
        <v>0</v>
      </c>
      <c r="G319" s="394">
        <f t="shared" si="96"/>
        <v>1296</v>
      </c>
      <c r="H319" s="394">
        <v>1869</v>
      </c>
      <c r="I319" s="390">
        <f t="shared" si="119"/>
        <v>27.15</v>
      </c>
      <c r="J319" s="390">
        <f t="shared" si="120"/>
        <v>1.9699999999999989</v>
      </c>
      <c r="K319" s="391">
        <f t="shared" si="110"/>
        <v>705.9</v>
      </c>
      <c r="L319" s="398">
        <v>0</v>
      </c>
      <c r="M319" s="398">
        <v>0</v>
      </c>
      <c r="N319" s="164">
        <f t="shared" si="115"/>
        <v>705.9</v>
      </c>
      <c r="O319" s="399">
        <f t="shared" si="100"/>
        <v>705.9</v>
      </c>
      <c r="P319" s="392">
        <f t="shared" si="111"/>
        <v>1</v>
      </c>
      <c r="Q319" s="164">
        <f t="shared" si="101"/>
        <v>3.34</v>
      </c>
      <c r="R319" s="164">
        <f t="shared" si="102"/>
        <v>0</v>
      </c>
      <c r="S319" s="164">
        <f t="shared" si="103"/>
        <v>9.7899999999999991</v>
      </c>
      <c r="T319" s="164">
        <f t="shared" si="104"/>
        <v>0</v>
      </c>
      <c r="U319" s="164">
        <f t="shared" si="105"/>
        <v>719.03</v>
      </c>
      <c r="V319" s="393">
        <f t="shared" si="106"/>
        <v>719.03</v>
      </c>
      <c r="W319" s="393">
        <f t="shared" si="107"/>
        <v>0</v>
      </c>
      <c r="Y319" s="393">
        <f t="shared" si="121"/>
        <v>51.22</v>
      </c>
      <c r="Z319" s="393">
        <f t="shared" si="113"/>
        <v>654.67999999999995</v>
      </c>
      <c r="AD319" s="395">
        <f>IF(AH319&gt;AH318,AD318,IF(AD318&lt;MiscData!$F$1,EOMONTH(AD318,1),EOMONTH(AD318,-11)))</f>
        <v>41759</v>
      </c>
      <c r="AE319" s="389" t="str">
        <f t="shared" si="108"/>
        <v>20140101KUUM_460</v>
      </c>
      <c r="AF319" s="437" t="str">
        <f t="shared" si="109"/>
        <v>20140101RLS</v>
      </c>
      <c r="AG319" s="438"/>
      <c r="AH319" s="34">
        <f>IF(AH318=MiscData!$AB$91,1,AH318+1)</f>
        <v>54</v>
      </c>
      <c r="AI319" s="34">
        <f>IF(AD319&lt;=MiscData!$B$23,MiscData!$C$23,IF(AD319&lt;=MiscData!$B$24,MiscData!$C$24,MiscData!$C$25))</f>
        <v>20140101</v>
      </c>
      <c r="AK319" s="439" t="str">
        <f>VLOOKUP(AM319,MiscData!$AB$4:$ACB$113,2,FALSE)</f>
        <v>KUUM_460</v>
      </c>
      <c r="AL319" s="439" t="str">
        <f>VLOOKUP(AM319,MiscData!$AB$4:$AE$115,4,FALSE)</f>
        <v>RLS</v>
      </c>
      <c r="AM319" s="34">
        <f>IF(AM318=MiscData!$AB$91,1,AM318+1)</f>
        <v>54</v>
      </c>
    </row>
    <row r="320" spans="1:39">
      <c r="A320" s="389">
        <f t="shared" si="114"/>
        <v>319</v>
      </c>
      <c r="B320" s="395" t="str">
        <f t="shared" si="116"/>
        <v>Apr 2014</v>
      </c>
      <c r="C320" s="396" t="str">
        <f t="shared" si="117"/>
        <v>RLS</v>
      </c>
      <c r="D320" s="396" t="str">
        <f t="shared" si="118"/>
        <v>KUUM_461</v>
      </c>
      <c r="E320" s="394">
        <f t="shared" si="95"/>
        <v>6930</v>
      </c>
      <c r="F320" s="397">
        <v>0</v>
      </c>
      <c r="G320" s="394">
        <f t="shared" si="96"/>
        <v>133527</v>
      </c>
      <c r="H320" s="394">
        <v>0</v>
      </c>
      <c r="I320" s="390">
        <f t="shared" si="119"/>
        <v>7.54</v>
      </c>
      <c r="J320" s="390">
        <f t="shared" si="120"/>
        <v>0.57000000000000028</v>
      </c>
      <c r="K320" s="391">
        <f t="shared" si="110"/>
        <v>52252.2</v>
      </c>
      <c r="L320" s="398">
        <v>0</v>
      </c>
      <c r="M320" s="398">
        <v>0</v>
      </c>
      <c r="N320" s="164">
        <f t="shared" si="115"/>
        <v>52252.2</v>
      </c>
      <c r="O320" s="399">
        <f t="shared" si="100"/>
        <v>52252.200000000004</v>
      </c>
      <c r="P320" s="392">
        <f t="shared" si="111"/>
        <v>1</v>
      </c>
      <c r="Q320" s="164">
        <f t="shared" si="101"/>
        <v>322.37</v>
      </c>
      <c r="R320" s="164">
        <f t="shared" si="102"/>
        <v>0</v>
      </c>
      <c r="S320" s="164">
        <f t="shared" si="103"/>
        <v>697.3</v>
      </c>
      <c r="T320" s="164">
        <f t="shared" si="104"/>
        <v>0</v>
      </c>
      <c r="U320" s="164">
        <f t="shared" si="105"/>
        <v>53271.87</v>
      </c>
      <c r="V320" s="393">
        <f t="shared" si="106"/>
        <v>53271.87</v>
      </c>
      <c r="W320" s="393">
        <f t="shared" si="107"/>
        <v>0</v>
      </c>
      <c r="Y320" s="393">
        <f t="shared" si="121"/>
        <v>3950.1</v>
      </c>
      <c r="Z320" s="393">
        <f t="shared" si="113"/>
        <v>48302.100000000006</v>
      </c>
      <c r="AD320" s="395">
        <f>IF(AH320&gt;AH319,AD319,IF(AD319&lt;MiscData!$F$1,EOMONTH(AD319,1),EOMONTH(AD319,-11)))</f>
        <v>41759</v>
      </c>
      <c r="AE320" s="389" t="str">
        <f t="shared" si="108"/>
        <v>20140101KUUM_461</v>
      </c>
      <c r="AF320" s="437" t="str">
        <f t="shared" si="109"/>
        <v>20140101RLS</v>
      </c>
      <c r="AG320" s="438"/>
      <c r="AH320" s="34">
        <f>IF(AH319=MiscData!$AB$91,1,AH319+1)</f>
        <v>55</v>
      </c>
      <c r="AI320" s="34">
        <f>IF(AD320&lt;=MiscData!$B$23,MiscData!$C$23,IF(AD320&lt;=MiscData!$B$24,MiscData!$C$24,MiscData!$C$25))</f>
        <v>20140101</v>
      </c>
      <c r="AK320" s="439" t="str">
        <f>VLOOKUP(AM320,MiscData!$AB$4:$ACB$113,2,FALSE)</f>
        <v>KUUM_461</v>
      </c>
      <c r="AL320" s="439" t="str">
        <f>VLOOKUP(AM320,MiscData!$AB$4:$AE$115,4,FALSE)</f>
        <v>RLS</v>
      </c>
      <c r="AM320" s="34">
        <f>IF(AM319=MiscData!$AB$91,1,AM319+1)</f>
        <v>55</v>
      </c>
    </row>
    <row r="321" spans="1:39">
      <c r="A321" s="389">
        <f t="shared" si="114"/>
        <v>320</v>
      </c>
      <c r="B321" s="395" t="str">
        <f t="shared" si="116"/>
        <v>Apr 2014</v>
      </c>
      <c r="C321" s="396" t="str">
        <f t="shared" si="117"/>
        <v>LS</v>
      </c>
      <c r="D321" s="396" t="str">
        <f t="shared" si="118"/>
        <v>KUUM_462</v>
      </c>
      <c r="E321" s="394">
        <f t="shared" ref="E321:E377" si="122">SUMIFS(_1055_Light_Count,_1055_RevMonth,$B321,_1055_RateCategory,$D321)</f>
        <v>8850</v>
      </c>
      <c r="F321" s="397">
        <v>0</v>
      </c>
      <c r="G321" s="394">
        <f t="shared" ref="G321:G377" si="123">SUMIFS(_SBR_KWH,_SBR_Revenue_Month,$B321,_SBR_Rate_Category,$D321)</f>
        <v>238864</v>
      </c>
      <c r="H321" s="394">
        <v>0</v>
      </c>
      <c r="I321" s="390">
        <f t="shared" si="119"/>
        <v>8.66</v>
      </c>
      <c r="J321" s="390">
        <f t="shared" si="120"/>
        <v>0.79999999999999893</v>
      </c>
      <c r="K321" s="391">
        <f t="shared" si="110"/>
        <v>76641</v>
      </c>
      <c r="L321" s="398">
        <v>5.69</v>
      </c>
      <c r="M321" s="398">
        <v>0</v>
      </c>
      <c r="N321" s="164">
        <f t="shared" si="115"/>
        <v>76646.69</v>
      </c>
      <c r="O321" s="399">
        <f t="shared" ref="O321:O377" si="124">U321-SUM(Q321:T321)</f>
        <v>76646.689999999988</v>
      </c>
      <c r="P321" s="392">
        <f t="shared" si="111"/>
        <v>1</v>
      </c>
      <c r="Q321" s="164">
        <f t="shared" ref="Q321:Q377" si="125">SUMIFS(_SBR_FAC,_SBR_Revenue_Month,$B321,_SBR_Rate_Category,$D321)</f>
        <v>615.82000000000005</v>
      </c>
      <c r="R321" s="164">
        <f t="shared" ref="R321:R377" si="126">SUMIFS(_SBR_DSM,_SBR_Revenue_Month,$B321,_SBR_Rate_Category,$D321)</f>
        <v>0</v>
      </c>
      <c r="S321" s="164">
        <f t="shared" ref="S321:S377" si="127">SUMIFS(_SBR_ECR,_SBR_Revenue_Month,$B321,_SBR_Rate_Category,$D321)</f>
        <v>1074.78</v>
      </c>
      <c r="T321" s="164">
        <f t="shared" ref="T321:T377" si="128">SUMIFS(_SBR_MSR,_SBR_Revenue_Month,$B321,_SBR_Rate_Category,$D321)</f>
        <v>0</v>
      </c>
      <c r="U321" s="164">
        <f t="shared" ref="U321:U377" si="129">SUMIFS(_SBR_Revenue_Actual,_SBR_Revenue_Month,$B321,_SBR_Rate_Category,$D321)</f>
        <v>78337.289999999994</v>
      </c>
      <c r="V321" s="393">
        <f t="shared" ref="V321:V377" si="130">SUM(N321,Q321:T321)</f>
        <v>78337.290000000008</v>
      </c>
      <c r="W321" s="393">
        <f t="shared" ref="W321:W377" si="131">U321-V321</f>
        <v>0</v>
      </c>
      <c r="Y321" s="393">
        <f t="shared" si="121"/>
        <v>7080</v>
      </c>
      <c r="Z321" s="393">
        <f t="shared" si="113"/>
        <v>69566.689999999988</v>
      </c>
      <c r="AD321" s="395">
        <f>IF(AH321&gt;AH320,AD320,IF(AD320&lt;MiscData!$F$1,EOMONTH(AD320,1),EOMONTH(AD320,-11)))</f>
        <v>41759</v>
      </c>
      <c r="AE321" s="389" t="str">
        <f t="shared" ref="AE321:AE377" si="132">CONCATENATE(AI321&amp;AK321)</f>
        <v>20140101KUUM_462</v>
      </c>
      <c r="AF321" s="437" t="str">
        <f t="shared" ref="AF321:AF377" si="133">CONCATENATE(AI321&amp;AL321)</f>
        <v>20140101LS</v>
      </c>
      <c r="AG321" s="438"/>
      <c r="AH321" s="34">
        <f>IF(AH320=MiscData!$AB$91,1,AH320+1)</f>
        <v>56</v>
      </c>
      <c r="AI321" s="34">
        <f>IF(AD321&lt;=MiscData!$B$23,MiscData!$C$23,IF(AD321&lt;=MiscData!$B$24,MiscData!$C$24,MiscData!$C$25))</f>
        <v>20140101</v>
      </c>
      <c r="AK321" s="439" t="str">
        <f>VLOOKUP(AM321,MiscData!$AB$4:$ACB$113,2,FALSE)</f>
        <v>KUUM_462</v>
      </c>
      <c r="AL321" s="439" t="str">
        <f>VLOOKUP(AM321,MiscData!$AB$4:$AE$115,4,FALSE)</f>
        <v>LS</v>
      </c>
      <c r="AM321" s="34">
        <f>IF(AM320=MiscData!$AB$91,1,AM320+1)</f>
        <v>56</v>
      </c>
    </row>
    <row r="322" spans="1:39">
      <c r="A322" s="389">
        <f t="shared" si="114"/>
        <v>321</v>
      </c>
      <c r="B322" s="395" t="str">
        <f t="shared" ref="B322:B353" si="134">TEXT(AD322,"mmm yyyy")</f>
        <v>Apr 2014</v>
      </c>
      <c r="C322" s="396" t="str">
        <f t="shared" ref="C322:C353" si="135">AL322</f>
        <v>LS</v>
      </c>
      <c r="D322" s="396" t="str">
        <f t="shared" ref="D322:D353" si="136">AK322</f>
        <v>KUUM_463</v>
      </c>
      <c r="E322" s="394">
        <f t="shared" si="122"/>
        <v>19941</v>
      </c>
      <c r="F322" s="397">
        <v>48</v>
      </c>
      <c r="G322" s="394">
        <f t="shared" si="123"/>
        <v>768695</v>
      </c>
      <c r="H322" s="394">
        <v>0</v>
      </c>
      <c r="I322" s="390">
        <f t="shared" ref="I322:I353" si="137">SUMIF(_Lights_Tariff_Category,$AE322,_Lights_Rates)</f>
        <v>9.14</v>
      </c>
      <c r="J322" s="390">
        <f t="shared" ref="J322:J353" si="138">SUMIF(_Lights_Tariff_Category,$AE322,_Rates_Lights_BaseFAC)</f>
        <v>1.1299999999999999</v>
      </c>
      <c r="K322" s="391">
        <f t="shared" si="110"/>
        <v>182699.46</v>
      </c>
      <c r="L322" s="398">
        <v>3557.38</v>
      </c>
      <c r="M322" s="398">
        <v>0</v>
      </c>
      <c r="N322" s="164">
        <f t="shared" si="115"/>
        <v>186256.84</v>
      </c>
      <c r="O322" s="399">
        <f t="shared" si="124"/>
        <v>186256.84000000003</v>
      </c>
      <c r="P322" s="392">
        <f t="shared" si="111"/>
        <v>1</v>
      </c>
      <c r="Q322" s="164">
        <f t="shared" si="125"/>
        <v>1801.76</v>
      </c>
      <c r="R322" s="164">
        <f t="shared" si="126"/>
        <v>0</v>
      </c>
      <c r="S322" s="164">
        <f t="shared" si="127"/>
        <v>2428.29</v>
      </c>
      <c r="T322" s="164">
        <f t="shared" si="128"/>
        <v>0</v>
      </c>
      <c r="U322" s="164">
        <f t="shared" si="129"/>
        <v>190486.89</v>
      </c>
      <c r="V322" s="393">
        <f t="shared" si="130"/>
        <v>190486.89</v>
      </c>
      <c r="W322" s="393">
        <f t="shared" si="131"/>
        <v>0</v>
      </c>
      <c r="Y322" s="393">
        <f t="shared" si="121"/>
        <v>22533.33</v>
      </c>
      <c r="Z322" s="393">
        <f t="shared" ref="Z322:Z378" si="139">O322-Y322</f>
        <v>163723.51</v>
      </c>
      <c r="AD322" s="395">
        <f>IF(AH322&gt;AH321,AD321,IF(AD321&lt;MiscData!$F$1,EOMONTH(AD321,1),EOMONTH(AD321,-11)))</f>
        <v>41759</v>
      </c>
      <c r="AE322" s="389" t="str">
        <f t="shared" si="132"/>
        <v>20140101KUUM_463</v>
      </c>
      <c r="AF322" s="437" t="str">
        <f t="shared" si="133"/>
        <v>20140101LS</v>
      </c>
      <c r="AG322" s="438"/>
      <c r="AH322" s="34">
        <f>IF(AH321=MiscData!$AB$91,1,AH321+1)</f>
        <v>57</v>
      </c>
      <c r="AI322" s="34">
        <f>IF(AD322&lt;=MiscData!$B$23,MiscData!$C$23,IF(AD322&lt;=MiscData!$B$24,MiscData!$C$24,MiscData!$C$25))</f>
        <v>20140101</v>
      </c>
      <c r="AK322" s="439" t="str">
        <f>VLOOKUP(AM322,MiscData!$AB$4:$ACB$113,2,FALSE)</f>
        <v>KUUM_463</v>
      </c>
      <c r="AL322" s="439" t="str">
        <f>VLOOKUP(AM322,MiscData!$AB$4:$AE$115,4,FALSE)</f>
        <v>LS</v>
      </c>
      <c r="AM322" s="34">
        <f>IF(AM321=MiscData!$AB$91,1,AM321+1)</f>
        <v>57</v>
      </c>
    </row>
    <row r="323" spans="1:39">
      <c r="A323" s="389">
        <f t="shared" ref="A323:A379" si="140">A322+1</f>
        <v>322</v>
      </c>
      <c r="B323" s="395" t="str">
        <f t="shared" si="134"/>
        <v>Apr 2014</v>
      </c>
      <c r="C323" s="396" t="str">
        <f t="shared" si="135"/>
        <v>LS</v>
      </c>
      <c r="D323" s="396" t="str">
        <f t="shared" si="136"/>
        <v>KUUM_464</v>
      </c>
      <c r="E323" s="394">
        <f t="shared" si="122"/>
        <v>7556</v>
      </c>
      <c r="F323" s="397">
        <v>0</v>
      </c>
      <c r="G323" s="394">
        <f t="shared" si="123"/>
        <v>591568</v>
      </c>
      <c r="H323" s="394">
        <v>0</v>
      </c>
      <c r="I323" s="390">
        <f t="shared" si="137"/>
        <v>14.25</v>
      </c>
      <c r="J323" s="390">
        <f t="shared" si="138"/>
        <v>2.33</v>
      </c>
      <c r="K323" s="391">
        <f t="shared" ref="K323:K386" si="141">ROUND(($E323+$F323)*$I323,2)</f>
        <v>107673</v>
      </c>
      <c r="L323" s="398">
        <v>24.51</v>
      </c>
      <c r="M323" s="398">
        <v>0</v>
      </c>
      <c r="N323" s="164">
        <f t="shared" si="115"/>
        <v>107697.51</v>
      </c>
      <c r="O323" s="399">
        <f t="shared" si="124"/>
        <v>107697.51</v>
      </c>
      <c r="P323" s="392">
        <f t="shared" ref="P323:P386" si="142">IF(AND(N323=0,O323=0),1,IF(N323=0,0,ROUND(O323/N323,6)))</f>
        <v>1</v>
      </c>
      <c r="Q323" s="164">
        <f t="shared" si="125"/>
        <v>1386.33</v>
      </c>
      <c r="R323" s="164">
        <f t="shared" si="126"/>
        <v>0</v>
      </c>
      <c r="S323" s="164">
        <f t="shared" si="127"/>
        <v>1422.19</v>
      </c>
      <c r="T323" s="164">
        <f t="shared" si="128"/>
        <v>0</v>
      </c>
      <c r="U323" s="164">
        <f t="shared" si="129"/>
        <v>110506.03</v>
      </c>
      <c r="V323" s="393">
        <f t="shared" si="130"/>
        <v>110506.03</v>
      </c>
      <c r="W323" s="393">
        <f t="shared" si="131"/>
        <v>0</v>
      </c>
      <c r="Y323" s="393">
        <f t="shared" ref="Y323:Y354" si="143">ROUND(E323*J323,2)</f>
        <v>17605.48</v>
      </c>
      <c r="Z323" s="393">
        <f t="shared" si="139"/>
        <v>90092.03</v>
      </c>
      <c r="AD323" s="395">
        <f>IF(AH323&gt;AH322,AD322,IF(AD322&lt;MiscData!$F$1,EOMONTH(AD322,1),EOMONTH(AD322,-11)))</f>
        <v>41759</v>
      </c>
      <c r="AE323" s="389" t="str">
        <f t="shared" si="132"/>
        <v>20140101KUUM_464</v>
      </c>
      <c r="AF323" s="437" t="str">
        <f t="shared" si="133"/>
        <v>20140101LS</v>
      </c>
      <c r="AG323" s="438"/>
      <c r="AH323" s="34">
        <f>IF(AH322=MiscData!$AB$91,1,AH322+1)</f>
        <v>58</v>
      </c>
      <c r="AI323" s="34">
        <f>IF(AD323&lt;=MiscData!$B$23,MiscData!$C$23,IF(AD323&lt;=MiscData!$B$24,MiscData!$C$24,MiscData!$C$25))</f>
        <v>20140101</v>
      </c>
      <c r="AK323" s="439" t="str">
        <f>VLOOKUP(AM323,MiscData!$AB$4:$ACB$113,2,FALSE)</f>
        <v>KUUM_464</v>
      </c>
      <c r="AL323" s="439" t="str">
        <f>VLOOKUP(AM323,MiscData!$AB$4:$AE$115,4,FALSE)</f>
        <v>LS</v>
      </c>
      <c r="AM323" s="34">
        <f>IF(AM322=MiscData!$AB$91,1,AM322+1)</f>
        <v>58</v>
      </c>
    </row>
    <row r="324" spans="1:39">
      <c r="A324" s="389">
        <f t="shared" si="140"/>
        <v>323</v>
      </c>
      <c r="B324" s="395" t="str">
        <f t="shared" si="134"/>
        <v>Apr 2014</v>
      </c>
      <c r="C324" s="396" t="str">
        <f t="shared" si="135"/>
        <v>LS</v>
      </c>
      <c r="D324" s="396" t="str">
        <f t="shared" si="136"/>
        <v>KUUM_465</v>
      </c>
      <c r="E324" s="394">
        <f t="shared" si="122"/>
        <v>2806</v>
      </c>
      <c r="F324" s="397">
        <v>0</v>
      </c>
      <c r="G324" s="394">
        <f t="shared" si="123"/>
        <v>422257</v>
      </c>
      <c r="H324" s="394">
        <v>0</v>
      </c>
      <c r="I324" s="390">
        <f t="shared" si="137"/>
        <v>22.84</v>
      </c>
      <c r="J324" s="390">
        <f t="shared" si="138"/>
        <v>4.5299999999999976</v>
      </c>
      <c r="K324" s="391">
        <f t="shared" si="141"/>
        <v>64089.04</v>
      </c>
      <c r="L324" s="398">
        <v>-75.67</v>
      </c>
      <c r="M324" s="398">
        <v>0</v>
      </c>
      <c r="N324" s="164">
        <f t="shared" si="115"/>
        <v>64013.37</v>
      </c>
      <c r="O324" s="399">
        <f t="shared" si="124"/>
        <v>64013.37</v>
      </c>
      <c r="P324" s="392">
        <f t="shared" si="142"/>
        <v>1</v>
      </c>
      <c r="Q324" s="164">
        <f t="shared" si="125"/>
        <v>945.57</v>
      </c>
      <c r="R324" s="164">
        <f t="shared" si="126"/>
        <v>0</v>
      </c>
      <c r="S324" s="164">
        <f t="shared" si="127"/>
        <v>819.42</v>
      </c>
      <c r="T324" s="164">
        <f t="shared" si="128"/>
        <v>0</v>
      </c>
      <c r="U324" s="164">
        <f t="shared" si="129"/>
        <v>65778.36</v>
      </c>
      <c r="V324" s="393">
        <f t="shared" si="130"/>
        <v>65778.36</v>
      </c>
      <c r="W324" s="393">
        <f t="shared" si="131"/>
        <v>0</v>
      </c>
      <c r="Y324" s="393">
        <f t="shared" si="143"/>
        <v>12711.18</v>
      </c>
      <c r="Z324" s="393">
        <f t="shared" si="139"/>
        <v>51302.19</v>
      </c>
      <c r="AD324" s="395">
        <f>IF(AH324&gt;AH323,AD323,IF(AD323&lt;MiscData!$F$1,EOMONTH(AD323,1),EOMONTH(AD323,-11)))</f>
        <v>41759</v>
      </c>
      <c r="AE324" s="389" t="str">
        <f t="shared" si="132"/>
        <v>20140101KUUM_465</v>
      </c>
      <c r="AF324" s="437" t="str">
        <f t="shared" si="133"/>
        <v>20140101LS</v>
      </c>
      <c r="AG324" s="438"/>
      <c r="AH324" s="34">
        <f>IF(AH323=MiscData!$AB$91,1,AH323+1)</f>
        <v>59</v>
      </c>
      <c r="AI324" s="34">
        <f>IF(AD324&lt;=MiscData!$B$23,MiscData!$C$23,IF(AD324&lt;=MiscData!$B$24,MiscData!$C$24,MiscData!$C$25))</f>
        <v>20140101</v>
      </c>
      <c r="AK324" s="439" t="str">
        <f>VLOOKUP(AM324,MiscData!$AB$4:$ACB$113,2,FALSE)</f>
        <v>KUUM_465</v>
      </c>
      <c r="AL324" s="439" t="str">
        <f>VLOOKUP(AM324,MiscData!$AB$4:$AE$115,4,FALSE)</f>
        <v>LS</v>
      </c>
      <c r="AM324" s="34">
        <f>IF(AM323=MiscData!$AB$91,1,AM323+1)</f>
        <v>59</v>
      </c>
    </row>
    <row r="325" spans="1:39">
      <c r="A325" s="389">
        <f t="shared" si="140"/>
        <v>324</v>
      </c>
      <c r="B325" s="395" t="str">
        <f t="shared" si="134"/>
        <v>Apr 2014</v>
      </c>
      <c r="C325" s="396" t="str">
        <f t="shared" si="135"/>
        <v>RLS</v>
      </c>
      <c r="D325" s="396" t="str">
        <f t="shared" si="136"/>
        <v>KUUM_466</v>
      </c>
      <c r="E325" s="394">
        <f t="shared" si="122"/>
        <v>854</v>
      </c>
      <c r="F325" s="397">
        <v>0</v>
      </c>
      <c r="G325" s="394">
        <f t="shared" si="123"/>
        <v>16723</v>
      </c>
      <c r="H325" s="394">
        <v>0</v>
      </c>
      <c r="I325" s="390">
        <f t="shared" si="137"/>
        <v>9.620000000000001</v>
      </c>
      <c r="J325" s="390">
        <f t="shared" si="138"/>
        <v>0.57000000000000028</v>
      </c>
      <c r="K325" s="391">
        <f t="shared" si="141"/>
        <v>8215.48</v>
      </c>
      <c r="L325" s="398">
        <v>0</v>
      </c>
      <c r="M325" s="398">
        <v>0</v>
      </c>
      <c r="N325" s="164">
        <f t="shared" si="115"/>
        <v>8215.48</v>
      </c>
      <c r="O325" s="399">
        <f t="shared" si="124"/>
        <v>8215.48</v>
      </c>
      <c r="P325" s="392">
        <f t="shared" si="142"/>
        <v>1</v>
      </c>
      <c r="Q325" s="164">
        <f t="shared" si="125"/>
        <v>39.549999999999997</v>
      </c>
      <c r="R325" s="164">
        <f t="shared" si="126"/>
        <v>0</v>
      </c>
      <c r="S325" s="164">
        <f t="shared" si="127"/>
        <v>108.14</v>
      </c>
      <c r="T325" s="164">
        <f t="shared" si="128"/>
        <v>0</v>
      </c>
      <c r="U325" s="164">
        <f t="shared" si="129"/>
        <v>8363.17</v>
      </c>
      <c r="V325" s="393">
        <f t="shared" si="130"/>
        <v>8363.1699999999983</v>
      </c>
      <c r="W325" s="393">
        <f t="shared" si="131"/>
        <v>0</v>
      </c>
      <c r="Y325" s="393">
        <f t="shared" si="143"/>
        <v>486.78</v>
      </c>
      <c r="Z325" s="393">
        <f t="shared" si="139"/>
        <v>7728.7</v>
      </c>
      <c r="AD325" s="395">
        <f>IF(AH325&gt;AH324,AD324,IF(AD324&lt;MiscData!$F$1,EOMONTH(AD324,1),EOMONTH(AD324,-11)))</f>
        <v>41759</v>
      </c>
      <c r="AE325" s="389" t="str">
        <f t="shared" si="132"/>
        <v>20140101KUUM_466</v>
      </c>
      <c r="AF325" s="437" t="str">
        <f t="shared" si="133"/>
        <v>20140101RLS</v>
      </c>
      <c r="AG325" s="438"/>
      <c r="AH325" s="34">
        <f>IF(AH324=MiscData!$AB$91,1,AH324+1)</f>
        <v>60</v>
      </c>
      <c r="AI325" s="34">
        <f>IF(AD325&lt;=MiscData!$B$23,MiscData!$C$23,IF(AD325&lt;=MiscData!$B$24,MiscData!$C$24,MiscData!$C$25))</f>
        <v>20140101</v>
      </c>
      <c r="AK325" s="439" t="str">
        <f>VLOOKUP(AM325,MiscData!$AB$4:$ACB$113,2,FALSE)</f>
        <v>KUUM_466</v>
      </c>
      <c r="AL325" s="439" t="str">
        <f>VLOOKUP(AM325,MiscData!$AB$4:$AE$115,4,FALSE)</f>
        <v>RLS</v>
      </c>
      <c r="AM325" s="34">
        <f>IF(AM324=MiscData!$AB$91,1,AM324+1)</f>
        <v>60</v>
      </c>
    </row>
    <row r="326" spans="1:39">
      <c r="A326" s="389">
        <f t="shared" si="140"/>
        <v>325</v>
      </c>
      <c r="B326" s="395" t="str">
        <f t="shared" si="134"/>
        <v>Apr 2014</v>
      </c>
      <c r="C326" s="396" t="str">
        <f t="shared" si="135"/>
        <v>LS</v>
      </c>
      <c r="D326" s="396" t="str">
        <f t="shared" si="136"/>
        <v>KUUM_467</v>
      </c>
      <c r="E326" s="394">
        <f t="shared" si="122"/>
        <v>1355</v>
      </c>
      <c r="F326" s="397">
        <v>0</v>
      </c>
      <c r="G326" s="394">
        <f t="shared" si="123"/>
        <v>36448</v>
      </c>
      <c r="H326" s="394">
        <v>0</v>
      </c>
      <c r="I326" s="390">
        <f t="shared" si="137"/>
        <v>10.770000000000001</v>
      </c>
      <c r="J326" s="390">
        <f t="shared" si="138"/>
        <v>0.80000000000000071</v>
      </c>
      <c r="K326" s="391">
        <f t="shared" si="141"/>
        <v>14593.35</v>
      </c>
      <c r="L326" s="398">
        <v>35.9</v>
      </c>
      <c r="M326" s="398">
        <v>0</v>
      </c>
      <c r="N326" s="164">
        <f t="shared" si="115"/>
        <v>14629.25</v>
      </c>
      <c r="O326" s="399">
        <f t="shared" si="124"/>
        <v>14629.25</v>
      </c>
      <c r="P326" s="392">
        <f t="shared" si="142"/>
        <v>1</v>
      </c>
      <c r="Q326" s="164">
        <f t="shared" si="125"/>
        <v>86.5</v>
      </c>
      <c r="R326" s="164">
        <f t="shared" si="126"/>
        <v>0</v>
      </c>
      <c r="S326" s="164">
        <f t="shared" si="127"/>
        <v>193.05</v>
      </c>
      <c r="T326" s="164">
        <f t="shared" si="128"/>
        <v>0</v>
      </c>
      <c r="U326" s="164">
        <f t="shared" si="129"/>
        <v>14908.8</v>
      </c>
      <c r="V326" s="393">
        <f t="shared" si="130"/>
        <v>14908.8</v>
      </c>
      <c r="W326" s="393">
        <f t="shared" si="131"/>
        <v>0</v>
      </c>
      <c r="Y326" s="393">
        <f t="shared" si="143"/>
        <v>1084</v>
      </c>
      <c r="Z326" s="393">
        <f t="shared" si="139"/>
        <v>13545.25</v>
      </c>
      <c r="AD326" s="395">
        <f>IF(AH326&gt;AH325,AD325,IF(AD325&lt;MiscData!$F$1,EOMONTH(AD325,1),EOMONTH(AD325,-11)))</f>
        <v>41759</v>
      </c>
      <c r="AE326" s="389" t="str">
        <f t="shared" si="132"/>
        <v>20140101KUUM_467</v>
      </c>
      <c r="AF326" s="437" t="str">
        <f t="shared" si="133"/>
        <v>20140101LS</v>
      </c>
      <c r="AG326" s="438"/>
      <c r="AH326" s="34">
        <f>IF(AH325=MiscData!$AB$91,1,AH325+1)</f>
        <v>61</v>
      </c>
      <c r="AI326" s="34">
        <f>IF(AD326&lt;=MiscData!$B$23,MiscData!$C$23,IF(AD326&lt;=MiscData!$B$24,MiscData!$C$24,MiscData!$C$25))</f>
        <v>20140101</v>
      </c>
      <c r="AK326" s="439" t="str">
        <f>VLOOKUP(AM326,MiscData!$AB$4:$ACB$113,2,FALSE)</f>
        <v>KUUM_467</v>
      </c>
      <c r="AL326" s="439" t="str">
        <f>VLOOKUP(AM326,MiscData!$AB$4:$AE$115,4,FALSE)</f>
        <v>LS</v>
      </c>
      <c r="AM326" s="34">
        <f>IF(AM325=MiscData!$AB$91,1,AM325+1)</f>
        <v>61</v>
      </c>
    </row>
    <row r="327" spans="1:39">
      <c r="A327" s="389">
        <f t="shared" si="140"/>
        <v>326</v>
      </c>
      <c r="B327" s="395" t="str">
        <f t="shared" si="134"/>
        <v>Apr 2014</v>
      </c>
      <c r="C327" s="396" t="str">
        <f t="shared" si="135"/>
        <v>LS</v>
      </c>
      <c r="D327" s="396" t="str">
        <f t="shared" si="136"/>
        <v>KUUM_468</v>
      </c>
      <c r="E327" s="394">
        <f t="shared" si="122"/>
        <v>4025</v>
      </c>
      <c r="F327" s="397">
        <v>0</v>
      </c>
      <c r="G327" s="394">
        <f t="shared" si="123"/>
        <v>152011</v>
      </c>
      <c r="H327" s="394">
        <v>0</v>
      </c>
      <c r="I327" s="390">
        <f t="shared" si="137"/>
        <v>11.16</v>
      </c>
      <c r="J327" s="390">
        <f t="shared" si="138"/>
        <v>1.129999999999999</v>
      </c>
      <c r="K327" s="391">
        <f t="shared" si="141"/>
        <v>44919</v>
      </c>
      <c r="L327" s="398">
        <v>-57.28</v>
      </c>
      <c r="M327" s="398">
        <v>0</v>
      </c>
      <c r="N327" s="164">
        <f t="shared" si="115"/>
        <v>44861.72</v>
      </c>
      <c r="O327" s="399">
        <f t="shared" si="124"/>
        <v>44861.719999999994</v>
      </c>
      <c r="P327" s="392">
        <f t="shared" si="142"/>
        <v>1</v>
      </c>
      <c r="Q327" s="164">
        <f t="shared" si="125"/>
        <v>331.89</v>
      </c>
      <c r="R327" s="164">
        <f t="shared" si="126"/>
        <v>0</v>
      </c>
      <c r="S327" s="164">
        <f t="shared" si="127"/>
        <v>562.09</v>
      </c>
      <c r="T327" s="164">
        <f t="shared" si="128"/>
        <v>0</v>
      </c>
      <c r="U327" s="164">
        <f t="shared" si="129"/>
        <v>45755.7</v>
      </c>
      <c r="V327" s="393">
        <f t="shared" si="130"/>
        <v>45755.7</v>
      </c>
      <c r="W327" s="393">
        <f t="shared" si="131"/>
        <v>0</v>
      </c>
      <c r="Y327" s="393">
        <f t="shared" si="143"/>
        <v>4548.25</v>
      </c>
      <c r="Z327" s="393">
        <f t="shared" si="139"/>
        <v>40313.469999999994</v>
      </c>
      <c r="AD327" s="395">
        <f>IF(AH327&gt;AH326,AD326,IF(AD326&lt;MiscData!$F$1,EOMONTH(AD326,1),EOMONTH(AD326,-11)))</f>
        <v>41759</v>
      </c>
      <c r="AE327" s="389" t="str">
        <f t="shared" si="132"/>
        <v>20140101KUUM_468</v>
      </c>
      <c r="AF327" s="437" t="str">
        <f t="shared" si="133"/>
        <v>20140101LS</v>
      </c>
      <c r="AG327" s="438"/>
      <c r="AH327" s="34">
        <f>IF(AH326=MiscData!$AB$91,1,AH326+1)</f>
        <v>62</v>
      </c>
      <c r="AI327" s="34">
        <f>IF(AD327&lt;=MiscData!$B$23,MiscData!$C$23,IF(AD327&lt;=MiscData!$B$24,MiscData!$C$24,MiscData!$C$25))</f>
        <v>20140101</v>
      </c>
      <c r="AK327" s="439" t="str">
        <f>VLOOKUP(AM327,MiscData!$AB$4:$ACB$113,2,FALSE)</f>
        <v>KUUM_468</v>
      </c>
      <c r="AL327" s="439" t="str">
        <f>VLOOKUP(AM327,MiscData!$AB$4:$AE$115,4,FALSE)</f>
        <v>LS</v>
      </c>
      <c r="AM327" s="34">
        <f>IF(AM326=MiscData!$AB$91,1,AM326+1)</f>
        <v>62</v>
      </c>
    </row>
    <row r="328" spans="1:39">
      <c r="A328" s="389">
        <f t="shared" si="140"/>
        <v>327</v>
      </c>
      <c r="B328" s="395" t="str">
        <f t="shared" si="134"/>
        <v>Apr 2014</v>
      </c>
      <c r="C328" s="396" t="str">
        <f t="shared" si="135"/>
        <v>RLS</v>
      </c>
      <c r="D328" s="396" t="str">
        <f t="shared" si="136"/>
        <v>KUUM_469</v>
      </c>
      <c r="E328" s="394">
        <f t="shared" si="122"/>
        <v>294</v>
      </c>
      <c r="F328" s="397">
        <v>0</v>
      </c>
      <c r="G328" s="394">
        <f t="shared" si="123"/>
        <v>33107</v>
      </c>
      <c r="H328" s="394">
        <v>0</v>
      </c>
      <c r="I328" s="390">
        <f t="shared" si="137"/>
        <v>33.100000000000009</v>
      </c>
      <c r="J328" s="390">
        <f t="shared" si="138"/>
        <v>4.2900000000000063</v>
      </c>
      <c r="K328" s="391">
        <f t="shared" si="141"/>
        <v>9731.4</v>
      </c>
      <c r="L328" s="398">
        <v>0.01</v>
      </c>
      <c r="M328" s="398">
        <v>0</v>
      </c>
      <c r="N328" s="164">
        <f t="shared" si="115"/>
        <v>9731.41</v>
      </c>
      <c r="O328" s="399">
        <f t="shared" si="124"/>
        <v>9731.41</v>
      </c>
      <c r="P328" s="392">
        <f t="shared" si="142"/>
        <v>1</v>
      </c>
      <c r="Q328" s="164">
        <f t="shared" si="125"/>
        <v>71.739999999999995</v>
      </c>
      <c r="R328" s="164">
        <f t="shared" si="126"/>
        <v>0</v>
      </c>
      <c r="S328" s="164">
        <f t="shared" si="127"/>
        <v>121.3</v>
      </c>
      <c r="T328" s="164">
        <f t="shared" si="128"/>
        <v>0</v>
      </c>
      <c r="U328" s="164">
        <f t="shared" si="129"/>
        <v>9924.4500000000007</v>
      </c>
      <c r="V328" s="393">
        <f t="shared" si="130"/>
        <v>9924.4499999999989</v>
      </c>
      <c r="W328" s="393">
        <f t="shared" si="131"/>
        <v>0</v>
      </c>
      <c r="Y328" s="393">
        <f t="shared" si="143"/>
        <v>1261.26</v>
      </c>
      <c r="Z328" s="393">
        <f t="shared" si="139"/>
        <v>8470.15</v>
      </c>
      <c r="AD328" s="395">
        <f>IF(AH328&gt;AH327,AD327,IF(AD327&lt;MiscData!$F$1,EOMONTH(AD327,1),EOMONTH(AD327,-11)))</f>
        <v>41759</v>
      </c>
      <c r="AE328" s="389" t="str">
        <f t="shared" si="132"/>
        <v>20140101KUUM_469</v>
      </c>
      <c r="AF328" s="437" t="str">
        <f t="shared" si="133"/>
        <v>20140101RLS</v>
      </c>
      <c r="AG328" s="438"/>
      <c r="AH328" s="34">
        <f>IF(AH327=MiscData!$AB$91,1,AH327+1)</f>
        <v>63</v>
      </c>
      <c r="AI328" s="34">
        <f>IF(AD328&lt;=MiscData!$B$23,MiscData!$C$23,IF(AD328&lt;=MiscData!$B$24,MiscData!$C$24,MiscData!$C$25))</f>
        <v>20140101</v>
      </c>
      <c r="AK328" s="439" t="str">
        <f>VLOOKUP(AM328,MiscData!$AB$4:$ACB$113,2,FALSE)</f>
        <v>KUUM_469</v>
      </c>
      <c r="AL328" s="439" t="str">
        <f>VLOOKUP(AM328,MiscData!$AB$4:$AE$115,4,FALSE)</f>
        <v>RLS</v>
      </c>
      <c r="AM328" s="34">
        <f>IF(AM327=MiscData!$AB$91,1,AM327+1)</f>
        <v>63</v>
      </c>
    </row>
    <row r="329" spans="1:39">
      <c r="A329" s="389">
        <f t="shared" si="140"/>
        <v>328</v>
      </c>
      <c r="B329" s="395" t="str">
        <f t="shared" si="134"/>
        <v>Apr 2014</v>
      </c>
      <c r="C329" s="396" t="str">
        <f t="shared" si="135"/>
        <v>RLS</v>
      </c>
      <c r="D329" s="396" t="str">
        <f t="shared" si="136"/>
        <v>KUUM_470</v>
      </c>
      <c r="E329" s="394">
        <f t="shared" si="122"/>
        <v>61</v>
      </c>
      <c r="F329" s="397">
        <v>0</v>
      </c>
      <c r="G329" s="394">
        <f t="shared" si="123"/>
        <v>21414</v>
      </c>
      <c r="H329" s="394">
        <v>0</v>
      </c>
      <c r="I329" s="390">
        <f t="shared" si="137"/>
        <v>55.250000000000007</v>
      </c>
      <c r="J329" s="390">
        <f t="shared" si="138"/>
        <v>10.410000000000004</v>
      </c>
      <c r="K329" s="391">
        <f t="shared" si="141"/>
        <v>3370.25</v>
      </c>
      <c r="L329" s="398">
        <v>0.01</v>
      </c>
      <c r="M329" s="398">
        <v>0</v>
      </c>
      <c r="N329" s="164">
        <f t="shared" si="115"/>
        <v>3370.26</v>
      </c>
      <c r="O329" s="399">
        <f t="shared" si="124"/>
        <v>3370.2599999999998</v>
      </c>
      <c r="P329" s="392">
        <f t="shared" si="142"/>
        <v>1</v>
      </c>
      <c r="Q329" s="164">
        <f t="shared" si="125"/>
        <v>45.39</v>
      </c>
      <c r="R329" s="164">
        <f t="shared" si="126"/>
        <v>0</v>
      </c>
      <c r="S329" s="164">
        <f t="shared" si="127"/>
        <v>41.66</v>
      </c>
      <c r="T329" s="164">
        <f t="shared" si="128"/>
        <v>0</v>
      </c>
      <c r="U329" s="164">
        <f t="shared" si="129"/>
        <v>3457.31</v>
      </c>
      <c r="V329" s="393">
        <f t="shared" si="130"/>
        <v>3457.31</v>
      </c>
      <c r="W329" s="393">
        <f t="shared" si="131"/>
        <v>0</v>
      </c>
      <c r="Y329" s="393">
        <f t="shared" si="143"/>
        <v>635.01</v>
      </c>
      <c r="Z329" s="393">
        <f t="shared" si="139"/>
        <v>2735.25</v>
      </c>
      <c r="AD329" s="395">
        <f>IF(AH329&gt;AH328,AD328,IF(AD328&lt;MiscData!$F$1,EOMONTH(AD328,1),EOMONTH(AD328,-11)))</f>
        <v>41759</v>
      </c>
      <c r="AE329" s="389" t="str">
        <f t="shared" si="132"/>
        <v>20140101KUUM_470</v>
      </c>
      <c r="AF329" s="437" t="str">
        <f t="shared" si="133"/>
        <v>20140101RLS</v>
      </c>
      <c r="AG329" s="438"/>
      <c r="AH329" s="34">
        <f>IF(AH328=MiscData!$AB$91,1,AH328+1)</f>
        <v>64</v>
      </c>
      <c r="AI329" s="34">
        <f>IF(AD329&lt;=MiscData!$B$23,MiscData!$C$23,IF(AD329&lt;=MiscData!$B$24,MiscData!$C$24,MiscData!$C$25))</f>
        <v>20140101</v>
      </c>
      <c r="AK329" s="439" t="str">
        <f>VLOOKUP(AM329,MiscData!$AB$4:$ACB$113,2,FALSE)</f>
        <v>KUUM_470</v>
      </c>
      <c r="AL329" s="439" t="str">
        <f>VLOOKUP(AM329,MiscData!$AB$4:$AE$115,4,FALSE)</f>
        <v>RLS</v>
      </c>
      <c r="AM329" s="34">
        <f>IF(AM328=MiscData!$AB$91,1,AM328+1)</f>
        <v>64</v>
      </c>
    </row>
    <row r="330" spans="1:39">
      <c r="A330" s="389">
        <f t="shared" si="140"/>
        <v>329</v>
      </c>
      <c r="B330" s="395" t="str">
        <f t="shared" si="134"/>
        <v>Apr 2014</v>
      </c>
      <c r="C330" s="396" t="str">
        <f t="shared" si="135"/>
        <v>RLS</v>
      </c>
      <c r="D330" s="396" t="str">
        <f t="shared" si="136"/>
        <v>KUUM_471</v>
      </c>
      <c r="E330" s="394">
        <f t="shared" si="122"/>
        <v>3666</v>
      </c>
      <c r="F330" s="397">
        <v>0</v>
      </c>
      <c r="G330" s="394">
        <f t="shared" si="123"/>
        <v>72368</v>
      </c>
      <c r="H330" s="394">
        <v>0</v>
      </c>
      <c r="I330" s="390">
        <f t="shared" si="137"/>
        <v>10.49</v>
      </c>
      <c r="J330" s="390">
        <f t="shared" si="138"/>
        <v>0.56999999999999851</v>
      </c>
      <c r="K330" s="391">
        <f t="shared" si="141"/>
        <v>38456.339999999997</v>
      </c>
      <c r="L330" s="398">
        <v>0</v>
      </c>
      <c r="M330" s="398">
        <v>0</v>
      </c>
      <c r="N330" s="164">
        <f t="shared" si="115"/>
        <v>38456.339999999997</v>
      </c>
      <c r="O330" s="399">
        <f t="shared" si="124"/>
        <v>38456.339999999997</v>
      </c>
      <c r="P330" s="392">
        <f t="shared" si="142"/>
        <v>1</v>
      </c>
      <c r="Q330" s="164">
        <f t="shared" si="125"/>
        <v>225.69</v>
      </c>
      <c r="R330" s="164">
        <f t="shared" si="126"/>
        <v>0</v>
      </c>
      <c r="S330" s="164">
        <f t="shared" si="127"/>
        <v>618.71</v>
      </c>
      <c r="T330" s="164">
        <f t="shared" si="128"/>
        <v>0</v>
      </c>
      <c r="U330" s="164">
        <f t="shared" si="129"/>
        <v>39300.74</v>
      </c>
      <c r="V330" s="393">
        <f t="shared" si="130"/>
        <v>39300.74</v>
      </c>
      <c r="W330" s="393">
        <f t="shared" si="131"/>
        <v>0</v>
      </c>
      <c r="Y330" s="393">
        <f t="shared" si="143"/>
        <v>2089.62</v>
      </c>
      <c r="Z330" s="393">
        <f t="shared" si="139"/>
        <v>36366.719999999994</v>
      </c>
      <c r="AD330" s="395">
        <f>IF(AH330&gt;AH329,AD329,IF(AD329&lt;MiscData!$F$1,EOMONTH(AD329,1),EOMONTH(AD329,-11)))</f>
        <v>41759</v>
      </c>
      <c r="AE330" s="389" t="str">
        <f t="shared" si="132"/>
        <v>20140101KUUM_471</v>
      </c>
      <c r="AF330" s="437" t="str">
        <f t="shared" si="133"/>
        <v>20140101RLS</v>
      </c>
      <c r="AG330" s="438"/>
      <c r="AH330" s="34">
        <f>IF(AH329=MiscData!$AB$91,1,AH329+1)</f>
        <v>65</v>
      </c>
      <c r="AI330" s="34">
        <f>IF(AD330&lt;=MiscData!$B$23,MiscData!$C$23,IF(AD330&lt;=MiscData!$B$24,MiscData!$C$24,MiscData!$C$25))</f>
        <v>20140101</v>
      </c>
      <c r="AK330" s="439" t="str">
        <f>VLOOKUP(AM330,MiscData!$AB$4:$ACB$113,2,FALSE)</f>
        <v>KUUM_471</v>
      </c>
      <c r="AL330" s="439" t="str">
        <f>VLOOKUP(AM330,MiscData!$AB$4:$AE$115,4,FALSE)</f>
        <v>RLS</v>
      </c>
      <c r="AM330" s="34">
        <f>IF(AM329=MiscData!$AB$91,1,AM329+1)</f>
        <v>65</v>
      </c>
    </row>
    <row r="331" spans="1:39">
      <c r="A331" s="389">
        <f t="shared" si="140"/>
        <v>330</v>
      </c>
      <c r="B331" s="395" t="str">
        <f t="shared" si="134"/>
        <v>Apr 2014</v>
      </c>
      <c r="C331" s="396" t="str">
        <f t="shared" si="135"/>
        <v>LS</v>
      </c>
      <c r="D331" s="396" t="str">
        <f t="shared" si="136"/>
        <v>KUUM_472</v>
      </c>
      <c r="E331" s="394">
        <f t="shared" si="122"/>
        <v>8743</v>
      </c>
      <c r="F331" s="397">
        <v>0</v>
      </c>
      <c r="G331" s="394">
        <f t="shared" si="123"/>
        <v>238682</v>
      </c>
      <c r="H331" s="394">
        <v>0</v>
      </c>
      <c r="I331" s="390">
        <f t="shared" si="137"/>
        <v>11.600000000000001</v>
      </c>
      <c r="J331" s="390">
        <f t="shared" si="138"/>
        <v>0.80000000000000071</v>
      </c>
      <c r="K331" s="391">
        <f t="shared" si="141"/>
        <v>101418.8</v>
      </c>
      <c r="L331" s="398">
        <v>-4.8</v>
      </c>
      <c r="M331" s="398">
        <v>0</v>
      </c>
      <c r="N331" s="164">
        <f t="shared" si="115"/>
        <v>101414</v>
      </c>
      <c r="O331" s="399">
        <f t="shared" si="124"/>
        <v>101414</v>
      </c>
      <c r="P331" s="392">
        <f t="shared" si="142"/>
        <v>1</v>
      </c>
      <c r="Q331" s="164">
        <f t="shared" si="125"/>
        <v>742.27</v>
      </c>
      <c r="R331" s="164">
        <f t="shared" si="126"/>
        <v>0</v>
      </c>
      <c r="S331" s="164">
        <f t="shared" si="127"/>
        <v>1630.51</v>
      </c>
      <c r="T331" s="164">
        <f t="shared" si="128"/>
        <v>0</v>
      </c>
      <c r="U331" s="164">
        <f t="shared" si="129"/>
        <v>103786.78</v>
      </c>
      <c r="V331" s="393">
        <f t="shared" si="130"/>
        <v>103786.78</v>
      </c>
      <c r="W331" s="393">
        <f t="shared" si="131"/>
        <v>0</v>
      </c>
      <c r="Y331" s="393">
        <f t="shared" si="143"/>
        <v>6994.4</v>
      </c>
      <c r="Z331" s="393">
        <f t="shared" si="139"/>
        <v>94419.6</v>
      </c>
      <c r="AD331" s="395">
        <f>IF(AH331&gt;AH330,AD330,IF(AD330&lt;MiscData!$F$1,EOMONTH(AD330,1),EOMONTH(AD330,-11)))</f>
        <v>41759</v>
      </c>
      <c r="AE331" s="389" t="str">
        <f t="shared" si="132"/>
        <v>20140101KUUM_472</v>
      </c>
      <c r="AF331" s="437" t="str">
        <f t="shared" si="133"/>
        <v>20140101LS</v>
      </c>
      <c r="AG331" s="438"/>
      <c r="AH331" s="34">
        <f>IF(AH330=MiscData!$AB$91,1,AH330+1)</f>
        <v>66</v>
      </c>
      <c r="AI331" s="34">
        <f>IF(AD331&lt;=MiscData!$B$23,MiscData!$C$23,IF(AD331&lt;=MiscData!$B$24,MiscData!$C$24,MiscData!$C$25))</f>
        <v>20140101</v>
      </c>
      <c r="AK331" s="439" t="str">
        <f>VLOOKUP(AM331,MiscData!$AB$4:$ACB$113,2,FALSE)</f>
        <v>KUUM_472</v>
      </c>
      <c r="AL331" s="439" t="str">
        <f>VLOOKUP(AM331,MiscData!$AB$4:$AE$115,4,FALSE)</f>
        <v>LS</v>
      </c>
      <c r="AM331" s="34">
        <f>IF(AM330=MiscData!$AB$91,1,AM330+1)</f>
        <v>66</v>
      </c>
    </row>
    <row r="332" spans="1:39">
      <c r="A332" s="389">
        <f t="shared" si="140"/>
        <v>331</v>
      </c>
      <c r="B332" s="395" t="str">
        <f t="shared" si="134"/>
        <v>Apr 2014</v>
      </c>
      <c r="C332" s="396" t="str">
        <f t="shared" si="135"/>
        <v>LS</v>
      </c>
      <c r="D332" s="396" t="str">
        <f t="shared" si="136"/>
        <v>KUUM_473</v>
      </c>
      <c r="E332" s="394">
        <f t="shared" si="122"/>
        <v>3396</v>
      </c>
      <c r="F332" s="397">
        <v>0</v>
      </c>
      <c r="G332" s="394">
        <f t="shared" si="123"/>
        <v>129425</v>
      </c>
      <c r="H332" s="394">
        <v>0</v>
      </c>
      <c r="I332" s="390">
        <f t="shared" si="137"/>
        <v>12.3</v>
      </c>
      <c r="J332" s="390">
        <f t="shared" si="138"/>
        <v>1.129999999999999</v>
      </c>
      <c r="K332" s="391">
        <f t="shared" si="141"/>
        <v>41770.800000000003</v>
      </c>
      <c r="L332" s="398">
        <v>-53.44</v>
      </c>
      <c r="M332" s="398">
        <v>0</v>
      </c>
      <c r="N332" s="164">
        <f t="shared" si="115"/>
        <v>41717.360000000001</v>
      </c>
      <c r="O332" s="399">
        <f t="shared" si="124"/>
        <v>41717.360000000001</v>
      </c>
      <c r="P332" s="392">
        <f t="shared" si="142"/>
        <v>1</v>
      </c>
      <c r="Q332" s="164">
        <f t="shared" si="125"/>
        <v>354.88</v>
      </c>
      <c r="R332" s="164">
        <f t="shared" si="126"/>
        <v>0</v>
      </c>
      <c r="S332" s="164">
        <f t="shared" si="127"/>
        <v>611.34</v>
      </c>
      <c r="T332" s="164">
        <f t="shared" si="128"/>
        <v>0</v>
      </c>
      <c r="U332" s="164">
        <f t="shared" si="129"/>
        <v>42683.58</v>
      </c>
      <c r="V332" s="393">
        <f t="shared" si="130"/>
        <v>42683.579999999994</v>
      </c>
      <c r="W332" s="393">
        <f t="shared" si="131"/>
        <v>0</v>
      </c>
      <c r="Y332" s="393">
        <f t="shared" si="143"/>
        <v>3837.48</v>
      </c>
      <c r="Z332" s="393">
        <f t="shared" si="139"/>
        <v>37879.879999999997</v>
      </c>
      <c r="AD332" s="395">
        <f>IF(AH332&gt;AH331,AD331,IF(AD331&lt;MiscData!$F$1,EOMONTH(AD331,1),EOMONTH(AD331,-11)))</f>
        <v>41759</v>
      </c>
      <c r="AE332" s="389" t="str">
        <f t="shared" si="132"/>
        <v>20140101KUUM_473</v>
      </c>
      <c r="AF332" s="437" t="str">
        <f t="shared" si="133"/>
        <v>20140101LS</v>
      </c>
      <c r="AG332" s="438"/>
      <c r="AH332" s="34">
        <f>IF(AH331=MiscData!$AB$91,1,AH331+1)</f>
        <v>67</v>
      </c>
      <c r="AI332" s="34">
        <f>IF(AD332&lt;=MiscData!$B$23,MiscData!$C$23,IF(AD332&lt;=MiscData!$B$24,MiscData!$C$24,MiscData!$C$25))</f>
        <v>20140101</v>
      </c>
      <c r="AK332" s="439" t="str">
        <f>VLOOKUP(AM332,MiscData!$AB$4:$ACB$113,2,FALSE)</f>
        <v>KUUM_473</v>
      </c>
      <c r="AL332" s="439" t="str">
        <f>VLOOKUP(AM332,MiscData!$AB$4:$AE$115,4,FALSE)</f>
        <v>LS</v>
      </c>
      <c r="AM332" s="34">
        <f>IF(AM331=MiscData!$AB$91,1,AM331+1)</f>
        <v>67</v>
      </c>
    </row>
    <row r="333" spans="1:39">
      <c r="A333" s="389">
        <f t="shared" si="140"/>
        <v>332</v>
      </c>
      <c r="B333" s="395" t="str">
        <f t="shared" si="134"/>
        <v>Apr 2014</v>
      </c>
      <c r="C333" s="396" t="str">
        <f t="shared" si="135"/>
        <v>LS</v>
      </c>
      <c r="D333" s="396" t="str">
        <f t="shared" si="136"/>
        <v>KUUM_474</v>
      </c>
      <c r="E333" s="394">
        <f t="shared" si="122"/>
        <v>5167</v>
      </c>
      <c r="F333" s="397">
        <v>0</v>
      </c>
      <c r="G333" s="394">
        <f t="shared" si="123"/>
        <v>407328</v>
      </c>
      <c r="H333" s="394">
        <v>0</v>
      </c>
      <c r="I333" s="390">
        <f t="shared" si="137"/>
        <v>17.41</v>
      </c>
      <c r="J333" s="390">
        <f t="shared" si="138"/>
        <v>2.33</v>
      </c>
      <c r="K333" s="391">
        <f t="shared" si="141"/>
        <v>89957.47</v>
      </c>
      <c r="L333" s="398">
        <v>0</v>
      </c>
      <c r="M333" s="398">
        <v>0</v>
      </c>
      <c r="N333" s="164">
        <f t="shared" si="115"/>
        <v>89957.47</v>
      </c>
      <c r="O333" s="399">
        <f t="shared" si="124"/>
        <v>89957.47</v>
      </c>
      <c r="P333" s="392">
        <f t="shared" si="142"/>
        <v>1</v>
      </c>
      <c r="Q333" s="164">
        <f t="shared" si="125"/>
        <v>1114.51</v>
      </c>
      <c r="R333" s="164">
        <f t="shared" si="126"/>
        <v>0</v>
      </c>
      <c r="S333" s="164">
        <f t="shared" si="127"/>
        <v>1322.3</v>
      </c>
      <c r="T333" s="164">
        <f t="shared" si="128"/>
        <v>0</v>
      </c>
      <c r="U333" s="164">
        <f t="shared" si="129"/>
        <v>92394.28</v>
      </c>
      <c r="V333" s="393">
        <f t="shared" si="130"/>
        <v>92394.28</v>
      </c>
      <c r="W333" s="393">
        <f t="shared" si="131"/>
        <v>0</v>
      </c>
      <c r="Y333" s="393">
        <f t="shared" si="143"/>
        <v>12039.11</v>
      </c>
      <c r="Z333" s="393">
        <f t="shared" si="139"/>
        <v>77918.36</v>
      </c>
      <c r="AD333" s="395">
        <f>IF(AH333&gt;AH332,AD332,IF(AD332&lt;MiscData!$F$1,EOMONTH(AD332,1),EOMONTH(AD332,-11)))</f>
        <v>41759</v>
      </c>
      <c r="AE333" s="389" t="str">
        <f t="shared" si="132"/>
        <v>20140101KUUM_474</v>
      </c>
      <c r="AF333" s="437" t="str">
        <f t="shared" si="133"/>
        <v>20140101LS</v>
      </c>
      <c r="AG333" s="438"/>
      <c r="AH333" s="34">
        <f>IF(AH332=MiscData!$AB$91,1,AH332+1)</f>
        <v>68</v>
      </c>
      <c r="AI333" s="34">
        <f>IF(AD333&lt;=MiscData!$B$23,MiscData!$C$23,IF(AD333&lt;=MiscData!$B$24,MiscData!$C$24,MiscData!$C$25))</f>
        <v>20140101</v>
      </c>
      <c r="AK333" s="439" t="str">
        <f>VLOOKUP(AM333,MiscData!$AB$4:$ACB$113,2,FALSE)</f>
        <v>KUUM_474</v>
      </c>
      <c r="AL333" s="439" t="str">
        <f>VLOOKUP(AM333,MiscData!$AB$4:$AE$115,4,FALSE)</f>
        <v>LS</v>
      </c>
      <c r="AM333" s="34">
        <f>IF(AM332=MiscData!$AB$91,1,AM332+1)</f>
        <v>68</v>
      </c>
    </row>
    <row r="334" spans="1:39">
      <c r="A334" s="389">
        <f t="shared" si="140"/>
        <v>333</v>
      </c>
      <c r="B334" s="395" t="str">
        <f t="shared" si="134"/>
        <v>Apr 2014</v>
      </c>
      <c r="C334" s="396" t="str">
        <f t="shared" si="135"/>
        <v>LS</v>
      </c>
      <c r="D334" s="396" t="str">
        <f t="shared" si="136"/>
        <v>KUUM_475</v>
      </c>
      <c r="E334" s="394">
        <f t="shared" si="122"/>
        <v>515</v>
      </c>
      <c r="F334" s="397">
        <v>0</v>
      </c>
      <c r="G334" s="394">
        <f t="shared" si="123"/>
        <v>78787</v>
      </c>
      <c r="H334" s="394">
        <v>0</v>
      </c>
      <c r="I334" s="390">
        <f t="shared" si="137"/>
        <v>24.46</v>
      </c>
      <c r="J334" s="390">
        <f t="shared" si="138"/>
        <v>4.5300000000000011</v>
      </c>
      <c r="K334" s="391">
        <f t="shared" si="141"/>
        <v>12596.9</v>
      </c>
      <c r="L334" s="398">
        <v>0</v>
      </c>
      <c r="M334" s="398">
        <v>0</v>
      </c>
      <c r="N334" s="164">
        <f t="shared" si="115"/>
        <v>12596.9</v>
      </c>
      <c r="O334" s="399">
        <f t="shared" si="124"/>
        <v>12596.9</v>
      </c>
      <c r="P334" s="392">
        <f t="shared" si="142"/>
        <v>1</v>
      </c>
      <c r="Q334" s="164">
        <f t="shared" si="125"/>
        <v>216.23</v>
      </c>
      <c r="R334" s="164">
        <f t="shared" si="126"/>
        <v>0</v>
      </c>
      <c r="S334" s="164">
        <f t="shared" si="127"/>
        <v>186.26</v>
      </c>
      <c r="T334" s="164">
        <f t="shared" si="128"/>
        <v>0</v>
      </c>
      <c r="U334" s="164">
        <f t="shared" si="129"/>
        <v>12999.39</v>
      </c>
      <c r="V334" s="393">
        <f t="shared" si="130"/>
        <v>12999.39</v>
      </c>
      <c r="W334" s="393">
        <f t="shared" si="131"/>
        <v>0</v>
      </c>
      <c r="Y334" s="393">
        <f t="shared" si="143"/>
        <v>2332.9499999999998</v>
      </c>
      <c r="Z334" s="393">
        <f t="shared" si="139"/>
        <v>10263.950000000001</v>
      </c>
      <c r="AD334" s="395">
        <f>IF(AH334&gt;AH333,AD333,IF(AD333&lt;MiscData!$F$1,EOMONTH(AD333,1),EOMONTH(AD333,-11)))</f>
        <v>41759</v>
      </c>
      <c r="AE334" s="389" t="str">
        <f t="shared" si="132"/>
        <v>20140101KUUM_475</v>
      </c>
      <c r="AF334" s="437" t="str">
        <f t="shared" si="133"/>
        <v>20140101LS</v>
      </c>
      <c r="AG334" s="438"/>
      <c r="AH334" s="34">
        <f>IF(AH333=MiscData!$AB$91,1,AH333+1)</f>
        <v>69</v>
      </c>
      <c r="AI334" s="34">
        <f>IF(AD334&lt;=MiscData!$B$23,MiscData!$C$23,IF(AD334&lt;=MiscData!$B$24,MiscData!$C$24,MiscData!$C$25))</f>
        <v>20140101</v>
      </c>
      <c r="AK334" s="439" t="str">
        <f>VLOOKUP(AM334,MiscData!$AB$4:$ACB$113,2,FALSE)</f>
        <v>KUUM_475</v>
      </c>
      <c r="AL334" s="439" t="str">
        <f>VLOOKUP(AM334,MiscData!$AB$4:$AE$115,4,FALSE)</f>
        <v>LS</v>
      </c>
      <c r="AM334" s="34">
        <f>IF(AM333=MiscData!$AB$91,1,AM333+1)</f>
        <v>69</v>
      </c>
    </row>
    <row r="335" spans="1:39">
      <c r="A335" s="389">
        <f t="shared" si="140"/>
        <v>334</v>
      </c>
      <c r="B335" s="395" t="str">
        <f t="shared" si="134"/>
        <v>Apr 2014</v>
      </c>
      <c r="C335" s="396" t="str">
        <f t="shared" si="135"/>
        <v>LS</v>
      </c>
      <c r="D335" s="396" t="str">
        <f t="shared" si="136"/>
        <v>KUUM_476</v>
      </c>
      <c r="E335" s="394">
        <f t="shared" si="122"/>
        <v>4569</v>
      </c>
      <c r="F335" s="397">
        <v>0</v>
      </c>
      <c r="G335" s="394">
        <f t="shared" si="123"/>
        <v>124839</v>
      </c>
      <c r="H335" s="394">
        <v>0</v>
      </c>
      <c r="I335" s="390">
        <f t="shared" si="137"/>
        <v>16.79</v>
      </c>
      <c r="J335" s="390">
        <f t="shared" si="138"/>
        <v>0.79999999999999893</v>
      </c>
      <c r="K335" s="391">
        <f t="shared" si="141"/>
        <v>76713.509999999995</v>
      </c>
      <c r="L335" s="398">
        <v>-16.8</v>
      </c>
      <c r="M335" s="398">
        <v>0</v>
      </c>
      <c r="N335" s="164">
        <f t="shared" si="115"/>
        <v>76696.709999999992</v>
      </c>
      <c r="O335" s="399">
        <f t="shared" si="124"/>
        <v>76696.709999999992</v>
      </c>
      <c r="P335" s="392">
        <f t="shared" si="142"/>
        <v>1</v>
      </c>
      <c r="Q335" s="164">
        <f t="shared" si="125"/>
        <v>388.97</v>
      </c>
      <c r="R335" s="164">
        <f t="shared" si="126"/>
        <v>0</v>
      </c>
      <c r="S335" s="164">
        <f t="shared" si="127"/>
        <v>1232.0999999999999</v>
      </c>
      <c r="T335" s="164">
        <f t="shared" si="128"/>
        <v>0</v>
      </c>
      <c r="U335" s="164">
        <f t="shared" si="129"/>
        <v>78317.78</v>
      </c>
      <c r="V335" s="393">
        <f t="shared" si="130"/>
        <v>78317.78</v>
      </c>
      <c r="W335" s="393">
        <f t="shared" si="131"/>
        <v>0</v>
      </c>
      <c r="Y335" s="393">
        <f t="shared" si="143"/>
        <v>3655.2</v>
      </c>
      <c r="Z335" s="393">
        <f t="shared" si="139"/>
        <v>73041.509999999995</v>
      </c>
      <c r="AD335" s="395">
        <f>IF(AH335&gt;AH334,AD334,IF(AD334&lt;MiscData!$F$1,EOMONTH(AD334,1),EOMONTH(AD334,-11)))</f>
        <v>41759</v>
      </c>
      <c r="AE335" s="389" t="str">
        <f t="shared" si="132"/>
        <v>20140101KUUM_476</v>
      </c>
      <c r="AF335" s="437" t="str">
        <f t="shared" si="133"/>
        <v>20140101LS</v>
      </c>
      <c r="AG335" s="438"/>
      <c r="AH335" s="34">
        <f>IF(AH334=MiscData!$AB$91,1,AH334+1)</f>
        <v>70</v>
      </c>
      <c r="AI335" s="34">
        <f>IF(AD335&lt;=MiscData!$B$23,MiscData!$C$23,IF(AD335&lt;=MiscData!$B$24,MiscData!$C$24,MiscData!$C$25))</f>
        <v>20140101</v>
      </c>
      <c r="AK335" s="439" t="str">
        <f>VLOOKUP(AM335,MiscData!$AB$4:$ACB$113,2,FALSE)</f>
        <v>KUUM_476</v>
      </c>
      <c r="AL335" s="439" t="str">
        <f>VLOOKUP(AM335,MiscData!$AB$4:$AE$115,4,FALSE)</f>
        <v>LS</v>
      </c>
      <c r="AM335" s="34">
        <f>IF(AM334=MiscData!$AB$91,1,AM334+1)</f>
        <v>70</v>
      </c>
    </row>
    <row r="336" spans="1:39">
      <c r="A336" s="389">
        <f t="shared" si="140"/>
        <v>335</v>
      </c>
      <c r="B336" s="395" t="str">
        <f t="shared" si="134"/>
        <v>Apr 2014</v>
      </c>
      <c r="C336" s="396" t="str">
        <f t="shared" si="135"/>
        <v>LS</v>
      </c>
      <c r="D336" s="396" t="str">
        <f t="shared" si="136"/>
        <v>KUUM_477</v>
      </c>
      <c r="E336" s="394">
        <f t="shared" si="122"/>
        <v>1063</v>
      </c>
      <c r="F336" s="397">
        <v>0</v>
      </c>
      <c r="G336" s="394">
        <f t="shared" si="123"/>
        <v>40276</v>
      </c>
      <c r="H336" s="394">
        <v>0</v>
      </c>
      <c r="I336" s="390">
        <f t="shared" si="137"/>
        <v>20.97</v>
      </c>
      <c r="J336" s="390">
        <f t="shared" si="138"/>
        <v>1.129999999999999</v>
      </c>
      <c r="K336" s="391">
        <f t="shared" si="141"/>
        <v>22291.11</v>
      </c>
      <c r="L336" s="398">
        <v>-86.5</v>
      </c>
      <c r="M336" s="398">
        <v>0</v>
      </c>
      <c r="N336" s="164">
        <f t="shared" si="115"/>
        <v>22204.61</v>
      </c>
      <c r="O336" s="399">
        <f t="shared" si="124"/>
        <v>22204.61</v>
      </c>
      <c r="P336" s="392">
        <f t="shared" si="142"/>
        <v>1</v>
      </c>
      <c r="Q336" s="164">
        <f t="shared" si="125"/>
        <v>106.74</v>
      </c>
      <c r="R336" s="164">
        <f t="shared" si="126"/>
        <v>0</v>
      </c>
      <c r="S336" s="164">
        <f t="shared" si="127"/>
        <v>316.17</v>
      </c>
      <c r="T336" s="164">
        <f t="shared" si="128"/>
        <v>0</v>
      </c>
      <c r="U336" s="164">
        <f t="shared" si="129"/>
        <v>22627.52</v>
      </c>
      <c r="V336" s="393">
        <f t="shared" si="130"/>
        <v>22627.52</v>
      </c>
      <c r="W336" s="393">
        <f t="shared" si="131"/>
        <v>0</v>
      </c>
      <c r="Y336" s="393">
        <f t="shared" si="143"/>
        <v>1201.19</v>
      </c>
      <c r="Z336" s="393">
        <f t="shared" si="139"/>
        <v>21003.420000000002</v>
      </c>
      <c r="AD336" s="395">
        <f>IF(AH336&gt;AH335,AD335,IF(AD335&lt;MiscData!$F$1,EOMONTH(AD335,1),EOMONTH(AD335,-11)))</f>
        <v>41759</v>
      </c>
      <c r="AE336" s="389" t="str">
        <f t="shared" si="132"/>
        <v>20140101KUUM_477</v>
      </c>
      <c r="AF336" s="437" t="str">
        <f t="shared" si="133"/>
        <v>20140101LS</v>
      </c>
      <c r="AG336" s="438"/>
      <c r="AH336" s="34">
        <f>IF(AH335=MiscData!$AB$91,1,AH335+1)</f>
        <v>71</v>
      </c>
      <c r="AI336" s="34">
        <f>IF(AD336&lt;=MiscData!$B$23,MiscData!$C$23,IF(AD336&lt;=MiscData!$B$24,MiscData!$C$24,MiscData!$C$25))</f>
        <v>20140101</v>
      </c>
      <c r="AK336" s="439" t="str">
        <f>VLOOKUP(AM336,MiscData!$AB$4:$ACB$113,2,FALSE)</f>
        <v>KUUM_477</v>
      </c>
      <c r="AL336" s="439" t="str">
        <f>VLOOKUP(AM336,MiscData!$AB$4:$AE$115,4,FALSE)</f>
        <v>LS</v>
      </c>
      <c r="AM336" s="34">
        <f>IF(AM335=MiscData!$AB$91,1,AM335+1)</f>
        <v>71</v>
      </c>
    </row>
    <row r="337" spans="1:39">
      <c r="A337" s="389">
        <f t="shared" si="140"/>
        <v>336</v>
      </c>
      <c r="B337" s="395" t="str">
        <f t="shared" si="134"/>
        <v>Apr 2014</v>
      </c>
      <c r="C337" s="396" t="str">
        <f t="shared" si="135"/>
        <v>LS</v>
      </c>
      <c r="D337" s="396" t="str">
        <f t="shared" si="136"/>
        <v>KUUM_478</v>
      </c>
      <c r="E337" s="394">
        <f t="shared" si="122"/>
        <v>1411</v>
      </c>
      <c r="F337" s="397">
        <v>0</v>
      </c>
      <c r="G337" s="394">
        <f t="shared" si="123"/>
        <v>111040</v>
      </c>
      <c r="H337" s="394">
        <v>24</v>
      </c>
      <c r="I337" s="390">
        <f t="shared" si="137"/>
        <v>26.86</v>
      </c>
      <c r="J337" s="390">
        <f t="shared" si="138"/>
        <v>2.3299999999999983</v>
      </c>
      <c r="K337" s="391">
        <f t="shared" si="141"/>
        <v>37899.46</v>
      </c>
      <c r="L337" s="398">
        <v>150.22</v>
      </c>
      <c r="M337" s="398">
        <v>0</v>
      </c>
      <c r="N337" s="164">
        <f t="shared" si="115"/>
        <v>38049.68</v>
      </c>
      <c r="O337" s="399">
        <f t="shared" si="124"/>
        <v>38049.68</v>
      </c>
      <c r="P337" s="392">
        <f t="shared" si="142"/>
        <v>1</v>
      </c>
      <c r="Q337" s="164">
        <f t="shared" si="125"/>
        <v>284.08999999999997</v>
      </c>
      <c r="R337" s="164">
        <f t="shared" si="126"/>
        <v>0</v>
      </c>
      <c r="S337" s="164">
        <f t="shared" si="127"/>
        <v>530.62</v>
      </c>
      <c r="T337" s="164">
        <f t="shared" si="128"/>
        <v>0</v>
      </c>
      <c r="U337" s="164">
        <f t="shared" si="129"/>
        <v>38864.39</v>
      </c>
      <c r="V337" s="393">
        <f t="shared" si="130"/>
        <v>38864.39</v>
      </c>
      <c r="W337" s="393">
        <f t="shared" si="131"/>
        <v>0</v>
      </c>
      <c r="Y337" s="393">
        <f t="shared" si="143"/>
        <v>3287.63</v>
      </c>
      <c r="Z337" s="393">
        <f t="shared" si="139"/>
        <v>34762.050000000003</v>
      </c>
      <c r="AD337" s="395">
        <f>IF(AH337&gt;AH336,AD336,IF(AD336&lt;MiscData!$F$1,EOMONTH(AD336,1),EOMONTH(AD336,-11)))</f>
        <v>41759</v>
      </c>
      <c r="AE337" s="389" t="str">
        <f t="shared" si="132"/>
        <v>20140101KUUM_478</v>
      </c>
      <c r="AF337" s="437" t="str">
        <f t="shared" si="133"/>
        <v>20140101LS</v>
      </c>
      <c r="AG337" s="438"/>
      <c r="AH337" s="34">
        <f>IF(AH336=MiscData!$AB$91,1,AH336+1)</f>
        <v>72</v>
      </c>
      <c r="AI337" s="34">
        <f>IF(AD337&lt;=MiscData!$B$23,MiscData!$C$23,IF(AD337&lt;=MiscData!$B$24,MiscData!$C$24,MiscData!$C$25))</f>
        <v>20140101</v>
      </c>
      <c r="AK337" s="439" t="str">
        <f>VLOOKUP(AM337,MiscData!$AB$4:$ACB$113,2,FALSE)</f>
        <v>KUUM_478</v>
      </c>
      <c r="AL337" s="439" t="str">
        <f>VLOOKUP(AM337,MiscData!$AB$4:$AE$115,4,FALSE)</f>
        <v>LS</v>
      </c>
      <c r="AM337" s="34">
        <f>IF(AM336=MiscData!$AB$91,1,AM336+1)</f>
        <v>72</v>
      </c>
    </row>
    <row r="338" spans="1:39">
      <c r="A338" s="389">
        <f t="shared" si="140"/>
        <v>337</v>
      </c>
      <c r="B338" s="395" t="str">
        <f t="shared" si="134"/>
        <v>Apr 2014</v>
      </c>
      <c r="C338" s="396" t="str">
        <f t="shared" si="135"/>
        <v>LS</v>
      </c>
      <c r="D338" s="396" t="str">
        <f t="shared" si="136"/>
        <v>KUUM_479</v>
      </c>
      <c r="E338" s="394">
        <f t="shared" si="122"/>
        <v>951</v>
      </c>
      <c r="F338" s="397">
        <v>0</v>
      </c>
      <c r="G338" s="394">
        <f t="shared" si="123"/>
        <v>142763</v>
      </c>
      <c r="H338" s="394">
        <v>-1313</v>
      </c>
      <c r="I338" s="390">
        <f t="shared" si="137"/>
        <v>33.119999999999997</v>
      </c>
      <c r="J338" s="390">
        <f t="shared" si="138"/>
        <v>4.529999999999994</v>
      </c>
      <c r="K338" s="391">
        <f t="shared" si="141"/>
        <v>31497.119999999999</v>
      </c>
      <c r="L338" s="398">
        <v>-30.91</v>
      </c>
      <c r="M338" s="398">
        <v>0</v>
      </c>
      <c r="N338" s="164">
        <f t="shared" si="115"/>
        <v>31466.21</v>
      </c>
      <c r="O338" s="399">
        <f t="shared" si="124"/>
        <v>31466.210000000003</v>
      </c>
      <c r="P338" s="392">
        <f t="shared" si="142"/>
        <v>1</v>
      </c>
      <c r="Q338" s="164">
        <f t="shared" si="125"/>
        <v>321.07</v>
      </c>
      <c r="R338" s="164">
        <f t="shared" si="126"/>
        <v>0</v>
      </c>
      <c r="S338" s="164">
        <f t="shared" si="127"/>
        <v>402.69</v>
      </c>
      <c r="T338" s="164">
        <f t="shared" si="128"/>
        <v>0</v>
      </c>
      <c r="U338" s="164">
        <f t="shared" si="129"/>
        <v>32189.97</v>
      </c>
      <c r="V338" s="393">
        <f t="shared" si="130"/>
        <v>32189.969999999998</v>
      </c>
      <c r="W338" s="393">
        <f t="shared" si="131"/>
        <v>0</v>
      </c>
      <c r="Y338" s="393">
        <f t="shared" si="143"/>
        <v>4308.03</v>
      </c>
      <c r="Z338" s="393">
        <f t="shared" si="139"/>
        <v>27158.180000000004</v>
      </c>
      <c r="AD338" s="395">
        <f>IF(AH338&gt;AH337,AD337,IF(AD337&lt;MiscData!$F$1,EOMONTH(AD337,1),EOMONTH(AD337,-11)))</f>
        <v>41759</v>
      </c>
      <c r="AE338" s="389" t="str">
        <f t="shared" si="132"/>
        <v>20140101KUUM_479</v>
      </c>
      <c r="AF338" s="437" t="str">
        <f t="shared" si="133"/>
        <v>20140101LS</v>
      </c>
      <c r="AG338" s="438"/>
      <c r="AH338" s="34">
        <f>IF(AH337=MiscData!$AB$91,1,AH337+1)</f>
        <v>73</v>
      </c>
      <c r="AI338" s="34">
        <f>IF(AD338&lt;=MiscData!$B$23,MiscData!$C$23,IF(AD338&lt;=MiscData!$B$24,MiscData!$C$24,MiscData!$C$25))</f>
        <v>20140101</v>
      </c>
      <c r="AK338" s="439" t="str">
        <f>VLOOKUP(AM338,MiscData!$AB$4:$ACB$113,2,FALSE)</f>
        <v>KUUM_479</v>
      </c>
      <c r="AL338" s="439" t="str">
        <f>VLOOKUP(AM338,MiscData!$AB$4:$AE$115,4,FALSE)</f>
        <v>LS</v>
      </c>
      <c r="AM338" s="34">
        <f>IF(AM337=MiscData!$AB$91,1,AM337+1)</f>
        <v>73</v>
      </c>
    </row>
    <row r="339" spans="1:39">
      <c r="A339" s="389">
        <f t="shared" si="140"/>
        <v>338</v>
      </c>
      <c r="B339" s="395" t="str">
        <f t="shared" si="134"/>
        <v>Apr 2014</v>
      </c>
      <c r="C339" s="396" t="str">
        <f t="shared" si="135"/>
        <v>LS</v>
      </c>
      <c r="D339" s="396" t="str">
        <f t="shared" si="136"/>
        <v>KUUM_486</v>
      </c>
      <c r="E339" s="394">
        <f t="shared" si="122"/>
        <v>0</v>
      </c>
      <c r="F339" s="397">
        <v>0</v>
      </c>
      <c r="G339" s="394">
        <f t="shared" si="123"/>
        <v>0</v>
      </c>
      <c r="H339" s="394">
        <v>2841</v>
      </c>
      <c r="I339" s="390">
        <f t="shared" si="137"/>
        <v>0</v>
      </c>
      <c r="J339" s="390">
        <f t="shared" si="138"/>
        <v>0</v>
      </c>
      <c r="K339" s="391">
        <f t="shared" si="141"/>
        <v>0</v>
      </c>
      <c r="L339" s="398">
        <v>0</v>
      </c>
      <c r="M339" s="398">
        <v>0</v>
      </c>
      <c r="N339" s="164">
        <f t="shared" si="115"/>
        <v>0</v>
      </c>
      <c r="O339" s="399">
        <f t="shared" si="124"/>
        <v>0</v>
      </c>
      <c r="P339" s="392">
        <f t="shared" si="142"/>
        <v>1</v>
      </c>
      <c r="Q339" s="164">
        <f t="shared" si="125"/>
        <v>0</v>
      </c>
      <c r="R339" s="164">
        <f t="shared" si="126"/>
        <v>0</v>
      </c>
      <c r="S339" s="164">
        <f t="shared" si="127"/>
        <v>0</v>
      </c>
      <c r="T339" s="164">
        <f t="shared" si="128"/>
        <v>0</v>
      </c>
      <c r="U339" s="164">
        <f t="shared" si="129"/>
        <v>0</v>
      </c>
      <c r="V339" s="393">
        <f t="shared" si="130"/>
        <v>0</v>
      </c>
      <c r="W339" s="393">
        <f t="shared" si="131"/>
        <v>0</v>
      </c>
      <c r="Y339" s="393">
        <f t="shared" si="143"/>
        <v>0</v>
      </c>
      <c r="Z339" s="393">
        <f t="shared" si="139"/>
        <v>0</v>
      </c>
      <c r="AD339" s="395">
        <f>IF(AH339&gt;AH338,AD338,IF(AD338&lt;MiscData!$F$1,EOMONTH(AD338,1),EOMONTH(AD338,-11)))</f>
        <v>41759</v>
      </c>
      <c r="AE339" s="389" t="str">
        <f t="shared" si="132"/>
        <v>20140101KUUM_486</v>
      </c>
      <c r="AF339" s="437" t="str">
        <f t="shared" si="133"/>
        <v>20140101LS</v>
      </c>
      <c r="AG339" s="438"/>
      <c r="AH339" s="34">
        <f>IF(AH338=MiscData!$AB$91,1,AH338+1)</f>
        <v>74</v>
      </c>
      <c r="AI339" s="34">
        <f>IF(AD339&lt;=MiscData!$B$23,MiscData!$C$23,IF(AD339&lt;=MiscData!$B$24,MiscData!$C$24,MiscData!$C$25))</f>
        <v>20140101</v>
      </c>
      <c r="AK339" s="439" t="str">
        <f>VLOOKUP(AM339,MiscData!$AB$4:$ACB$113,2,FALSE)</f>
        <v>KUUM_486</v>
      </c>
      <c r="AL339" s="439" t="str">
        <f>VLOOKUP(AM339,MiscData!$AB$4:$AE$115,4,FALSE)</f>
        <v>LS</v>
      </c>
      <c r="AM339" s="34">
        <f>IF(AM338=MiscData!$AB$91,1,AM338+1)</f>
        <v>74</v>
      </c>
    </row>
    <row r="340" spans="1:39">
      <c r="A340" s="389">
        <f t="shared" si="140"/>
        <v>339</v>
      </c>
      <c r="B340" s="395" t="str">
        <f t="shared" si="134"/>
        <v>Apr 2014</v>
      </c>
      <c r="C340" s="396" t="str">
        <f t="shared" si="135"/>
        <v>LS</v>
      </c>
      <c r="D340" s="396" t="str">
        <f t="shared" si="136"/>
        <v>KUUM_487</v>
      </c>
      <c r="E340" s="394">
        <f t="shared" si="122"/>
        <v>11147</v>
      </c>
      <c r="F340" s="397">
        <v>0</v>
      </c>
      <c r="G340" s="394">
        <f t="shared" si="123"/>
        <v>413239</v>
      </c>
      <c r="H340" s="394">
        <v>0</v>
      </c>
      <c r="I340" s="390">
        <f t="shared" si="137"/>
        <v>9</v>
      </c>
      <c r="J340" s="390">
        <f t="shared" si="138"/>
        <v>1.1299999999999999</v>
      </c>
      <c r="K340" s="391">
        <f t="shared" si="141"/>
        <v>100323</v>
      </c>
      <c r="L340" s="398">
        <v>-708.2</v>
      </c>
      <c r="M340" s="398">
        <v>0</v>
      </c>
      <c r="N340" s="164">
        <f t="shared" si="115"/>
        <v>99614.8</v>
      </c>
      <c r="O340" s="399">
        <f t="shared" si="124"/>
        <v>99614.8</v>
      </c>
      <c r="P340" s="392">
        <f t="shared" si="142"/>
        <v>1</v>
      </c>
      <c r="Q340" s="164">
        <f t="shared" si="125"/>
        <v>886.89</v>
      </c>
      <c r="R340" s="164">
        <f t="shared" si="126"/>
        <v>0</v>
      </c>
      <c r="S340" s="164">
        <f t="shared" si="127"/>
        <v>1219.54</v>
      </c>
      <c r="T340" s="164">
        <f t="shared" si="128"/>
        <v>0</v>
      </c>
      <c r="U340" s="164">
        <f t="shared" si="129"/>
        <v>101721.23</v>
      </c>
      <c r="V340" s="393">
        <f t="shared" si="130"/>
        <v>101721.23</v>
      </c>
      <c r="W340" s="393">
        <f t="shared" si="131"/>
        <v>0</v>
      </c>
      <c r="Y340" s="393">
        <f t="shared" si="143"/>
        <v>12596.11</v>
      </c>
      <c r="Z340" s="393">
        <f t="shared" si="139"/>
        <v>87018.69</v>
      </c>
      <c r="AD340" s="395">
        <f>IF(AH340&gt;AH339,AD339,IF(AD339&lt;MiscData!$F$1,EOMONTH(AD339,1),EOMONTH(AD339,-11)))</f>
        <v>41759</v>
      </c>
      <c r="AE340" s="389" t="str">
        <f t="shared" si="132"/>
        <v>20140101KUUM_487</v>
      </c>
      <c r="AF340" s="437" t="str">
        <f t="shared" si="133"/>
        <v>20140101LS</v>
      </c>
      <c r="AG340" s="438"/>
      <c r="AH340" s="34">
        <f>IF(AH339=MiscData!$AB$91,1,AH339+1)</f>
        <v>75</v>
      </c>
      <c r="AI340" s="34">
        <f>IF(AD340&lt;=MiscData!$B$23,MiscData!$C$23,IF(AD340&lt;=MiscData!$B$24,MiscData!$C$24,MiscData!$C$25))</f>
        <v>20140101</v>
      </c>
      <c r="AK340" s="439" t="str">
        <f>VLOOKUP(AM340,MiscData!$AB$4:$ACB$113,2,FALSE)</f>
        <v>KUUM_487</v>
      </c>
      <c r="AL340" s="439" t="str">
        <f>VLOOKUP(AM340,MiscData!$AB$4:$AE$115,4,FALSE)</f>
        <v>LS</v>
      </c>
      <c r="AM340" s="34">
        <f>IF(AM339=MiscData!$AB$91,1,AM339+1)</f>
        <v>75</v>
      </c>
    </row>
    <row r="341" spans="1:39">
      <c r="A341" s="389">
        <f t="shared" si="140"/>
        <v>340</v>
      </c>
      <c r="B341" s="395" t="str">
        <f t="shared" si="134"/>
        <v>Apr 2014</v>
      </c>
      <c r="C341" s="396" t="str">
        <f t="shared" si="135"/>
        <v>LS</v>
      </c>
      <c r="D341" s="396" t="str">
        <f t="shared" si="136"/>
        <v>KUUM_488</v>
      </c>
      <c r="E341" s="394">
        <f t="shared" si="122"/>
        <v>6632</v>
      </c>
      <c r="F341" s="397">
        <v>-16</v>
      </c>
      <c r="G341" s="394">
        <f t="shared" si="123"/>
        <v>512569</v>
      </c>
      <c r="H341" s="394">
        <v>0</v>
      </c>
      <c r="I341" s="390">
        <f t="shared" si="137"/>
        <v>13.639999999999999</v>
      </c>
      <c r="J341" s="390">
        <f t="shared" si="138"/>
        <v>2.33</v>
      </c>
      <c r="K341" s="391">
        <f t="shared" si="141"/>
        <v>90242.240000000005</v>
      </c>
      <c r="L341" s="398">
        <v>232.84</v>
      </c>
      <c r="M341" s="398">
        <v>0</v>
      </c>
      <c r="N341" s="164">
        <f t="shared" si="115"/>
        <v>90475.08</v>
      </c>
      <c r="O341" s="399">
        <f t="shared" si="124"/>
        <v>90475.08</v>
      </c>
      <c r="P341" s="392">
        <f t="shared" si="142"/>
        <v>1</v>
      </c>
      <c r="Q341" s="164">
        <f t="shared" si="125"/>
        <v>1103.8499999999999</v>
      </c>
      <c r="R341" s="164">
        <f t="shared" si="126"/>
        <v>0</v>
      </c>
      <c r="S341" s="164">
        <f t="shared" si="127"/>
        <v>1145.54</v>
      </c>
      <c r="T341" s="164">
        <f t="shared" si="128"/>
        <v>0</v>
      </c>
      <c r="U341" s="164">
        <f t="shared" si="129"/>
        <v>92724.47</v>
      </c>
      <c r="V341" s="393">
        <f t="shared" si="130"/>
        <v>92724.47</v>
      </c>
      <c r="W341" s="393">
        <f t="shared" si="131"/>
        <v>0</v>
      </c>
      <c r="Y341" s="393">
        <f t="shared" si="143"/>
        <v>15452.56</v>
      </c>
      <c r="Z341" s="393">
        <f t="shared" si="139"/>
        <v>75022.52</v>
      </c>
      <c r="AD341" s="395">
        <f>IF(AH341&gt;AH340,AD340,IF(AD340&lt;MiscData!$F$1,EOMONTH(AD340,1),EOMONTH(AD340,-11)))</f>
        <v>41759</v>
      </c>
      <c r="AE341" s="389" t="str">
        <f t="shared" si="132"/>
        <v>20140101KUUM_488</v>
      </c>
      <c r="AF341" s="437" t="str">
        <f t="shared" si="133"/>
        <v>20140101LS</v>
      </c>
      <c r="AG341" s="438"/>
      <c r="AH341" s="34">
        <f>IF(AH340=MiscData!$AB$91,1,AH340+1)</f>
        <v>76</v>
      </c>
      <c r="AI341" s="34">
        <f>IF(AD341&lt;=MiscData!$B$23,MiscData!$C$23,IF(AD341&lt;=MiscData!$B$24,MiscData!$C$24,MiscData!$C$25))</f>
        <v>20140101</v>
      </c>
      <c r="AK341" s="439" t="str">
        <f>VLOOKUP(AM341,MiscData!$AB$4:$ACB$113,2,FALSE)</f>
        <v>KUUM_488</v>
      </c>
      <c r="AL341" s="439" t="str">
        <f>VLOOKUP(AM341,MiscData!$AB$4:$AE$115,4,FALSE)</f>
        <v>LS</v>
      </c>
      <c r="AM341" s="34">
        <f>IF(AM340=MiscData!$AB$91,1,AM340+1)</f>
        <v>76</v>
      </c>
    </row>
    <row r="342" spans="1:39">
      <c r="A342" s="389">
        <f t="shared" si="140"/>
        <v>341</v>
      </c>
      <c r="B342" s="395" t="str">
        <f t="shared" si="134"/>
        <v>Apr 2014</v>
      </c>
      <c r="C342" s="396" t="str">
        <f t="shared" si="135"/>
        <v>LS</v>
      </c>
      <c r="D342" s="396" t="str">
        <f t="shared" si="136"/>
        <v>KUUM_489</v>
      </c>
      <c r="E342" s="394">
        <f t="shared" si="122"/>
        <v>8347</v>
      </c>
      <c r="F342" s="397">
        <v>18</v>
      </c>
      <c r="G342" s="394">
        <f t="shared" si="123"/>
        <v>1248214</v>
      </c>
      <c r="H342" s="394">
        <v>0</v>
      </c>
      <c r="I342" s="390">
        <f t="shared" si="137"/>
        <v>19.46</v>
      </c>
      <c r="J342" s="390">
        <f t="shared" si="138"/>
        <v>4.5300000000000011</v>
      </c>
      <c r="K342" s="391">
        <f t="shared" si="141"/>
        <v>162782.9</v>
      </c>
      <c r="L342" s="398">
        <v>-1371.68</v>
      </c>
      <c r="M342" s="398">
        <v>0</v>
      </c>
      <c r="N342" s="164">
        <f t="shared" si="115"/>
        <v>161411.22</v>
      </c>
      <c r="O342" s="399">
        <f t="shared" si="124"/>
        <v>161411.22</v>
      </c>
      <c r="P342" s="392">
        <f t="shared" si="142"/>
        <v>1</v>
      </c>
      <c r="Q342" s="164">
        <f t="shared" si="125"/>
        <v>2735.78</v>
      </c>
      <c r="R342" s="164">
        <f t="shared" si="126"/>
        <v>0</v>
      </c>
      <c r="S342" s="164">
        <f t="shared" si="127"/>
        <v>2023.45</v>
      </c>
      <c r="T342" s="164">
        <f t="shared" si="128"/>
        <v>0</v>
      </c>
      <c r="U342" s="164">
        <f t="shared" si="129"/>
        <v>166170.45000000001</v>
      </c>
      <c r="V342" s="393">
        <f t="shared" si="130"/>
        <v>166170.45000000001</v>
      </c>
      <c r="W342" s="393">
        <f t="shared" si="131"/>
        <v>0</v>
      </c>
      <c r="Y342" s="393">
        <f t="shared" si="143"/>
        <v>37811.910000000003</v>
      </c>
      <c r="Z342" s="393">
        <f t="shared" si="139"/>
        <v>123599.31</v>
      </c>
      <c r="AD342" s="395">
        <f>IF(AH342&gt;AH341,AD341,IF(AD341&lt;MiscData!$F$1,EOMONTH(AD341,1),EOMONTH(AD341,-11)))</f>
        <v>41759</v>
      </c>
      <c r="AE342" s="389" t="str">
        <f t="shared" si="132"/>
        <v>20140101KUUM_489</v>
      </c>
      <c r="AF342" s="437" t="str">
        <f t="shared" si="133"/>
        <v>20140101LS</v>
      </c>
      <c r="AG342" s="438"/>
      <c r="AH342" s="34">
        <f>IF(AH341=MiscData!$AB$91,1,AH341+1)</f>
        <v>77</v>
      </c>
      <c r="AI342" s="34">
        <f>IF(AD342&lt;=MiscData!$B$23,MiscData!$C$23,IF(AD342&lt;=MiscData!$B$24,MiscData!$C$24,MiscData!$C$25))</f>
        <v>20140101</v>
      </c>
      <c r="AK342" s="439" t="str">
        <f>VLOOKUP(AM342,MiscData!$AB$4:$ACB$113,2,FALSE)</f>
        <v>KUUM_489</v>
      </c>
      <c r="AL342" s="439" t="str">
        <f>VLOOKUP(AM342,MiscData!$AB$4:$AE$115,4,FALSE)</f>
        <v>LS</v>
      </c>
      <c r="AM342" s="34">
        <f>IF(AM341=MiscData!$AB$91,1,AM341+1)</f>
        <v>77</v>
      </c>
    </row>
    <row r="343" spans="1:39">
      <c r="A343" s="389">
        <f t="shared" si="140"/>
        <v>342</v>
      </c>
      <c r="B343" s="395" t="str">
        <f t="shared" si="134"/>
        <v>Apr 2014</v>
      </c>
      <c r="C343" s="396" t="str">
        <f t="shared" si="135"/>
        <v>LS</v>
      </c>
      <c r="D343" s="396" t="str">
        <f t="shared" si="136"/>
        <v>KUUM_490</v>
      </c>
      <c r="E343" s="394">
        <f t="shared" si="122"/>
        <v>58</v>
      </c>
      <c r="F343" s="397">
        <v>0</v>
      </c>
      <c r="G343" s="394">
        <f t="shared" si="123"/>
        <v>2776</v>
      </c>
      <c r="H343" s="394">
        <v>0</v>
      </c>
      <c r="I343" s="390">
        <f t="shared" si="137"/>
        <v>15.47</v>
      </c>
      <c r="J343" s="390">
        <f t="shared" si="138"/>
        <v>1.9700000000000006</v>
      </c>
      <c r="K343" s="391">
        <f t="shared" si="141"/>
        <v>897.26</v>
      </c>
      <c r="L343" s="398">
        <v>0</v>
      </c>
      <c r="M343" s="398">
        <v>0</v>
      </c>
      <c r="N343" s="164">
        <f t="shared" si="115"/>
        <v>897.26</v>
      </c>
      <c r="O343" s="399">
        <f t="shared" si="124"/>
        <v>897.26</v>
      </c>
      <c r="P343" s="392">
        <f t="shared" si="142"/>
        <v>1</v>
      </c>
      <c r="Q343" s="164">
        <f t="shared" si="125"/>
        <v>5.95</v>
      </c>
      <c r="R343" s="164">
        <f t="shared" si="126"/>
        <v>0</v>
      </c>
      <c r="S343" s="164">
        <f t="shared" si="127"/>
        <v>11.08</v>
      </c>
      <c r="T343" s="164">
        <f t="shared" si="128"/>
        <v>0</v>
      </c>
      <c r="U343" s="164">
        <f t="shared" si="129"/>
        <v>914.29</v>
      </c>
      <c r="V343" s="393">
        <f t="shared" si="130"/>
        <v>914.29000000000008</v>
      </c>
      <c r="W343" s="393">
        <f t="shared" si="131"/>
        <v>0</v>
      </c>
      <c r="Y343" s="393">
        <f t="shared" si="143"/>
        <v>114.26</v>
      </c>
      <c r="Z343" s="393">
        <f t="shared" si="139"/>
        <v>783</v>
      </c>
      <c r="AD343" s="395">
        <f>IF(AH343&gt;AH342,AD342,IF(AD342&lt;MiscData!$F$1,EOMONTH(AD342,1),EOMONTH(AD342,-11)))</f>
        <v>41759</v>
      </c>
      <c r="AE343" s="389" t="str">
        <f t="shared" si="132"/>
        <v>20140101KUUM_490</v>
      </c>
      <c r="AF343" s="437" t="str">
        <f t="shared" si="133"/>
        <v>20140101LS</v>
      </c>
      <c r="AG343" s="438"/>
      <c r="AH343" s="34">
        <f>IF(AH342=MiscData!$AB$91,1,AH342+1)</f>
        <v>78</v>
      </c>
      <c r="AI343" s="34">
        <f>IF(AD343&lt;=MiscData!$B$23,MiscData!$C$23,IF(AD343&lt;=MiscData!$B$24,MiscData!$C$24,MiscData!$C$25))</f>
        <v>20140101</v>
      </c>
      <c r="AK343" s="439" t="str">
        <f>VLOOKUP(AM343,MiscData!$AB$4:$ACB$113,2,FALSE)</f>
        <v>KUUM_490</v>
      </c>
      <c r="AL343" s="439" t="str">
        <f>VLOOKUP(AM343,MiscData!$AB$4:$AE$115,4,FALSE)</f>
        <v>LS</v>
      </c>
      <c r="AM343" s="34">
        <f>IF(AM342=MiscData!$AB$91,1,AM342+1)</f>
        <v>78</v>
      </c>
    </row>
    <row r="344" spans="1:39">
      <c r="A344" s="389">
        <f t="shared" si="140"/>
        <v>343</v>
      </c>
      <c r="B344" s="395" t="str">
        <f t="shared" si="134"/>
        <v>Apr 2014</v>
      </c>
      <c r="C344" s="396" t="str">
        <f t="shared" si="135"/>
        <v>LS</v>
      </c>
      <c r="D344" s="396" t="str">
        <f t="shared" si="136"/>
        <v>KUUM_491</v>
      </c>
      <c r="E344" s="394">
        <f t="shared" si="122"/>
        <v>301</v>
      </c>
      <c r="F344" s="397">
        <v>0</v>
      </c>
      <c r="G344" s="394">
        <f t="shared" si="123"/>
        <v>33049</v>
      </c>
      <c r="H344" s="394">
        <v>0</v>
      </c>
      <c r="I344" s="390">
        <f t="shared" si="137"/>
        <v>21.930000000000003</v>
      </c>
      <c r="J344" s="390">
        <f t="shared" si="138"/>
        <v>4.2900000000000027</v>
      </c>
      <c r="K344" s="391">
        <f t="shared" si="141"/>
        <v>6600.93</v>
      </c>
      <c r="L344" s="398">
        <v>-70.180000000000007</v>
      </c>
      <c r="M344" s="398">
        <v>0</v>
      </c>
      <c r="N344" s="164">
        <f t="shared" si="115"/>
        <v>6530.75</v>
      </c>
      <c r="O344" s="399">
        <f t="shared" si="124"/>
        <v>6530.75</v>
      </c>
      <c r="P344" s="392">
        <f t="shared" si="142"/>
        <v>1</v>
      </c>
      <c r="Q344" s="164">
        <f t="shared" si="125"/>
        <v>71.12</v>
      </c>
      <c r="R344" s="164">
        <f t="shared" si="126"/>
        <v>0</v>
      </c>
      <c r="S344" s="164">
        <f t="shared" si="127"/>
        <v>81.209999999999994</v>
      </c>
      <c r="T344" s="164">
        <f t="shared" si="128"/>
        <v>0</v>
      </c>
      <c r="U344" s="164">
        <f t="shared" si="129"/>
        <v>6683.08</v>
      </c>
      <c r="V344" s="393">
        <f t="shared" si="130"/>
        <v>6683.08</v>
      </c>
      <c r="W344" s="393">
        <f t="shared" si="131"/>
        <v>0</v>
      </c>
      <c r="Y344" s="393">
        <f t="shared" si="143"/>
        <v>1291.29</v>
      </c>
      <c r="Z344" s="393">
        <f t="shared" si="139"/>
        <v>5239.46</v>
      </c>
      <c r="AD344" s="395">
        <f>IF(AH344&gt;AH343,AD343,IF(AD343&lt;MiscData!$F$1,EOMONTH(AD343,1),EOMONTH(AD343,-11)))</f>
        <v>41759</v>
      </c>
      <c r="AE344" s="389" t="str">
        <f t="shared" si="132"/>
        <v>20140101KUUM_491</v>
      </c>
      <c r="AF344" s="437" t="str">
        <f t="shared" si="133"/>
        <v>20140101LS</v>
      </c>
      <c r="AG344" s="438"/>
      <c r="AH344" s="34">
        <f>IF(AH343=MiscData!$AB$91,1,AH343+1)</f>
        <v>79</v>
      </c>
      <c r="AI344" s="34">
        <f>IF(AD344&lt;=MiscData!$B$23,MiscData!$C$23,IF(AD344&lt;=MiscData!$B$24,MiscData!$C$24,MiscData!$C$25))</f>
        <v>20140101</v>
      </c>
      <c r="AK344" s="439" t="str">
        <f>VLOOKUP(AM344,MiscData!$AB$4:$ACB$113,2,FALSE)</f>
        <v>KUUM_491</v>
      </c>
      <c r="AL344" s="439" t="str">
        <f>VLOOKUP(AM344,MiscData!$AB$4:$AE$115,4,FALSE)</f>
        <v>LS</v>
      </c>
      <c r="AM344" s="34">
        <f>IF(AM343=MiscData!$AB$91,1,AM343+1)</f>
        <v>79</v>
      </c>
    </row>
    <row r="345" spans="1:39">
      <c r="A345" s="389">
        <f t="shared" si="140"/>
        <v>344</v>
      </c>
      <c r="B345" s="395" t="str">
        <f t="shared" si="134"/>
        <v>Apr 2014</v>
      </c>
      <c r="C345" s="396" t="str">
        <f t="shared" si="135"/>
        <v>LS</v>
      </c>
      <c r="D345" s="396" t="str">
        <f t="shared" si="136"/>
        <v>KUUM_492</v>
      </c>
      <c r="E345" s="394">
        <f t="shared" si="122"/>
        <v>2</v>
      </c>
      <c r="F345" s="397">
        <v>0</v>
      </c>
      <c r="G345" s="394">
        <f t="shared" si="123"/>
        <v>51</v>
      </c>
      <c r="H345" s="394">
        <v>0</v>
      </c>
      <c r="I345" s="390">
        <f t="shared" si="137"/>
        <v>15.370000000000001</v>
      </c>
      <c r="J345" s="390">
        <f t="shared" si="138"/>
        <v>0.80000000000000071</v>
      </c>
      <c r="K345" s="391">
        <f t="shared" si="141"/>
        <v>30.74</v>
      </c>
      <c r="L345" s="398">
        <v>0</v>
      </c>
      <c r="M345" s="398">
        <v>0</v>
      </c>
      <c r="N345" s="164">
        <f t="shared" si="115"/>
        <v>30.74</v>
      </c>
      <c r="O345" s="399">
        <f t="shared" si="124"/>
        <v>30.740000000000002</v>
      </c>
      <c r="P345" s="392">
        <f t="shared" si="142"/>
        <v>1</v>
      </c>
      <c r="Q345" s="164">
        <f t="shared" si="125"/>
        <v>0.11</v>
      </c>
      <c r="R345" s="164">
        <f t="shared" si="126"/>
        <v>0</v>
      </c>
      <c r="S345" s="164">
        <f t="shared" si="127"/>
        <v>0.38</v>
      </c>
      <c r="T345" s="164">
        <f t="shared" si="128"/>
        <v>0</v>
      </c>
      <c r="U345" s="164">
        <f t="shared" si="129"/>
        <v>31.23</v>
      </c>
      <c r="V345" s="393">
        <f t="shared" si="130"/>
        <v>31.229999999999997</v>
      </c>
      <c r="W345" s="393">
        <f t="shared" si="131"/>
        <v>0</v>
      </c>
      <c r="Y345" s="393">
        <f t="shared" si="143"/>
        <v>1.6</v>
      </c>
      <c r="Z345" s="393">
        <f t="shared" si="139"/>
        <v>29.14</v>
      </c>
      <c r="AD345" s="395">
        <f>IF(AH345&gt;AH344,AD344,IF(AD344&lt;MiscData!$F$1,EOMONTH(AD344,1),EOMONTH(AD344,-11)))</f>
        <v>41759</v>
      </c>
      <c r="AE345" s="389" t="str">
        <f t="shared" si="132"/>
        <v>20140101KUUM_492</v>
      </c>
      <c r="AF345" s="437" t="str">
        <f t="shared" si="133"/>
        <v>20140101LS</v>
      </c>
      <c r="AG345" s="438"/>
      <c r="AH345" s="34">
        <f>IF(AH344=MiscData!$AB$91,1,AH344+1)</f>
        <v>80</v>
      </c>
      <c r="AI345" s="34">
        <f>IF(AD345&lt;=MiscData!$B$23,MiscData!$C$23,IF(AD345&lt;=MiscData!$B$24,MiscData!$C$24,MiscData!$C$25))</f>
        <v>20140101</v>
      </c>
      <c r="AK345" s="439" t="str">
        <f>VLOOKUP(AM345,MiscData!$AB$4:$ACB$113,2,FALSE)</f>
        <v>KUUM_492</v>
      </c>
      <c r="AL345" s="439" t="str">
        <f>VLOOKUP(AM345,MiscData!$AB$4:$AE$115,4,FALSE)</f>
        <v>LS</v>
      </c>
      <c r="AM345" s="34">
        <f>IF(AM344=MiscData!$AB$91,1,AM344+1)</f>
        <v>80</v>
      </c>
    </row>
    <row r="346" spans="1:39">
      <c r="A346" s="389">
        <f t="shared" si="140"/>
        <v>345</v>
      </c>
      <c r="B346" s="395" t="str">
        <f t="shared" si="134"/>
        <v>Apr 2014</v>
      </c>
      <c r="C346" s="396" t="str">
        <f t="shared" si="135"/>
        <v>LS</v>
      </c>
      <c r="D346" s="396" t="str">
        <f t="shared" si="136"/>
        <v>KUUM_493</v>
      </c>
      <c r="E346" s="394">
        <f t="shared" si="122"/>
        <v>43</v>
      </c>
      <c r="F346" s="397">
        <v>0</v>
      </c>
      <c r="G346" s="394">
        <f t="shared" si="123"/>
        <v>14638</v>
      </c>
      <c r="H346" s="394">
        <v>0</v>
      </c>
      <c r="I346" s="390">
        <f t="shared" si="137"/>
        <v>45.7</v>
      </c>
      <c r="J346" s="390">
        <f t="shared" si="138"/>
        <v>10.409999999999997</v>
      </c>
      <c r="K346" s="391">
        <f t="shared" si="141"/>
        <v>1965.1</v>
      </c>
      <c r="L346" s="398">
        <v>0</v>
      </c>
      <c r="M346" s="398">
        <v>0</v>
      </c>
      <c r="N346" s="164">
        <f t="shared" si="115"/>
        <v>1965.1</v>
      </c>
      <c r="O346" s="399">
        <f t="shared" si="124"/>
        <v>1965.1</v>
      </c>
      <c r="P346" s="392">
        <f t="shared" si="142"/>
        <v>1</v>
      </c>
      <c r="Q346" s="164">
        <f t="shared" si="125"/>
        <v>31.03</v>
      </c>
      <c r="R346" s="164">
        <f t="shared" si="126"/>
        <v>0</v>
      </c>
      <c r="S346" s="164">
        <f t="shared" si="127"/>
        <v>24.38</v>
      </c>
      <c r="T346" s="164">
        <f t="shared" si="128"/>
        <v>0</v>
      </c>
      <c r="U346" s="164">
        <f t="shared" si="129"/>
        <v>2020.51</v>
      </c>
      <c r="V346" s="393">
        <f t="shared" si="130"/>
        <v>2020.51</v>
      </c>
      <c r="W346" s="393">
        <f t="shared" si="131"/>
        <v>0</v>
      </c>
      <c r="Y346" s="393">
        <f t="shared" si="143"/>
        <v>447.63</v>
      </c>
      <c r="Z346" s="393">
        <f t="shared" si="139"/>
        <v>1517.4699999999998</v>
      </c>
      <c r="AD346" s="395">
        <f>IF(AH346&gt;AH345,AD345,IF(AD345&lt;MiscData!$F$1,EOMONTH(AD345,1),EOMONTH(AD345,-11)))</f>
        <v>41759</v>
      </c>
      <c r="AE346" s="389" t="str">
        <f t="shared" si="132"/>
        <v>20140101KUUM_493</v>
      </c>
      <c r="AF346" s="437" t="str">
        <f t="shared" si="133"/>
        <v>20140101LS</v>
      </c>
      <c r="AG346" s="438"/>
      <c r="AH346" s="34">
        <f>IF(AH345=MiscData!$AB$91,1,AH345+1)</f>
        <v>81</v>
      </c>
      <c r="AI346" s="34">
        <f>IF(AD346&lt;=MiscData!$B$23,MiscData!$C$23,IF(AD346&lt;=MiscData!$B$24,MiscData!$C$24,MiscData!$C$25))</f>
        <v>20140101</v>
      </c>
      <c r="AK346" s="439" t="str">
        <f>VLOOKUP(AM346,MiscData!$AB$4:$ACB$113,2,FALSE)</f>
        <v>KUUM_493</v>
      </c>
      <c r="AL346" s="439" t="str">
        <f>VLOOKUP(AM346,MiscData!$AB$4:$AE$115,4,FALSE)</f>
        <v>LS</v>
      </c>
      <c r="AM346" s="34">
        <f>IF(AM345=MiscData!$AB$91,1,AM345+1)</f>
        <v>81</v>
      </c>
    </row>
    <row r="347" spans="1:39">
      <c r="A347" s="389">
        <f t="shared" si="140"/>
        <v>346</v>
      </c>
      <c r="B347" s="395" t="str">
        <f t="shared" si="134"/>
        <v>Apr 2014</v>
      </c>
      <c r="C347" s="396" t="str">
        <f t="shared" si="135"/>
        <v>LS</v>
      </c>
      <c r="D347" s="396" t="str">
        <f t="shared" si="136"/>
        <v>KUUM_494</v>
      </c>
      <c r="E347" s="394">
        <f t="shared" si="122"/>
        <v>168</v>
      </c>
      <c r="F347" s="397">
        <v>0</v>
      </c>
      <c r="G347" s="394">
        <f t="shared" si="123"/>
        <v>8108</v>
      </c>
      <c r="H347" s="394">
        <v>0</v>
      </c>
      <c r="I347" s="390">
        <f t="shared" si="137"/>
        <v>28.37</v>
      </c>
      <c r="J347" s="390">
        <f t="shared" si="138"/>
        <v>1.9699999999999989</v>
      </c>
      <c r="K347" s="391">
        <f t="shared" si="141"/>
        <v>4766.16</v>
      </c>
      <c r="L347" s="398">
        <v>0</v>
      </c>
      <c r="M347" s="398">
        <v>0</v>
      </c>
      <c r="N347" s="164">
        <f t="shared" si="115"/>
        <v>4766.16</v>
      </c>
      <c r="O347" s="399">
        <f t="shared" si="124"/>
        <v>4766.16</v>
      </c>
      <c r="P347" s="392">
        <f t="shared" si="142"/>
        <v>1</v>
      </c>
      <c r="Q347" s="164">
        <f t="shared" si="125"/>
        <v>18.809999999999999</v>
      </c>
      <c r="R347" s="164">
        <f t="shared" si="126"/>
        <v>0</v>
      </c>
      <c r="S347" s="164">
        <f t="shared" si="127"/>
        <v>61.73</v>
      </c>
      <c r="T347" s="164">
        <f t="shared" si="128"/>
        <v>0</v>
      </c>
      <c r="U347" s="164">
        <f t="shared" si="129"/>
        <v>4846.7</v>
      </c>
      <c r="V347" s="393">
        <f t="shared" si="130"/>
        <v>4846.7</v>
      </c>
      <c r="W347" s="393">
        <f t="shared" si="131"/>
        <v>0</v>
      </c>
      <c r="Y347" s="393">
        <f t="shared" si="143"/>
        <v>330.96</v>
      </c>
      <c r="Z347" s="393">
        <f t="shared" si="139"/>
        <v>4435.2</v>
      </c>
      <c r="AD347" s="395">
        <f>IF(AH347&gt;AH346,AD346,IF(AD346&lt;MiscData!$F$1,EOMONTH(AD346,1),EOMONTH(AD346,-11)))</f>
        <v>41759</v>
      </c>
      <c r="AE347" s="389" t="str">
        <f t="shared" si="132"/>
        <v>20140101KUUM_494</v>
      </c>
      <c r="AF347" s="437" t="str">
        <f t="shared" si="133"/>
        <v>20140101LS</v>
      </c>
      <c r="AG347" s="438"/>
      <c r="AH347" s="34">
        <f>IF(AH346=MiscData!$AB$91,1,AH346+1)</f>
        <v>82</v>
      </c>
      <c r="AI347" s="34">
        <f>IF(AD347&lt;=MiscData!$B$23,MiscData!$C$23,IF(AD347&lt;=MiscData!$B$24,MiscData!$C$24,MiscData!$C$25))</f>
        <v>20140101</v>
      </c>
      <c r="AK347" s="439" t="str">
        <f>VLOOKUP(AM347,MiscData!$AB$4:$ACB$113,2,FALSE)</f>
        <v>KUUM_494</v>
      </c>
      <c r="AL347" s="439" t="str">
        <f>VLOOKUP(AM347,MiscData!$AB$4:$AE$115,4,FALSE)</f>
        <v>LS</v>
      </c>
      <c r="AM347" s="34">
        <f>IF(AM346=MiscData!$AB$91,1,AM346+1)</f>
        <v>82</v>
      </c>
    </row>
    <row r="348" spans="1:39">
      <c r="A348" s="389">
        <f t="shared" si="140"/>
        <v>347</v>
      </c>
      <c r="B348" s="395" t="str">
        <f t="shared" si="134"/>
        <v>Apr 2014</v>
      </c>
      <c r="C348" s="396" t="str">
        <f t="shared" si="135"/>
        <v>LS</v>
      </c>
      <c r="D348" s="396" t="str">
        <f t="shared" si="136"/>
        <v>KUUM_495</v>
      </c>
      <c r="E348" s="394">
        <f t="shared" si="122"/>
        <v>620</v>
      </c>
      <c r="F348" s="397">
        <v>0</v>
      </c>
      <c r="G348" s="394">
        <f t="shared" si="123"/>
        <v>68106</v>
      </c>
      <c r="H348" s="394">
        <v>0</v>
      </c>
      <c r="I348" s="390">
        <f t="shared" si="137"/>
        <v>34.830000000000005</v>
      </c>
      <c r="J348" s="390">
        <f t="shared" si="138"/>
        <v>4.2899999999999991</v>
      </c>
      <c r="K348" s="391">
        <f t="shared" si="141"/>
        <v>21594.6</v>
      </c>
      <c r="L348" s="398">
        <v>-185.76</v>
      </c>
      <c r="M348" s="398">
        <v>0</v>
      </c>
      <c r="N348" s="164">
        <f t="shared" si="115"/>
        <v>21408.84</v>
      </c>
      <c r="O348" s="399">
        <f t="shared" si="124"/>
        <v>21408.84</v>
      </c>
      <c r="P348" s="392">
        <f t="shared" si="142"/>
        <v>1</v>
      </c>
      <c r="Q348" s="164">
        <f t="shared" si="125"/>
        <v>145.09</v>
      </c>
      <c r="R348" s="164">
        <f t="shared" si="126"/>
        <v>0</v>
      </c>
      <c r="S348" s="164">
        <f t="shared" si="127"/>
        <v>263.81</v>
      </c>
      <c r="T348" s="164">
        <f t="shared" si="128"/>
        <v>0</v>
      </c>
      <c r="U348" s="164">
        <f t="shared" si="129"/>
        <v>21817.74</v>
      </c>
      <c r="V348" s="393">
        <f t="shared" si="130"/>
        <v>21817.74</v>
      </c>
      <c r="W348" s="393">
        <f t="shared" si="131"/>
        <v>0</v>
      </c>
      <c r="Y348" s="393">
        <f t="shared" si="143"/>
        <v>2659.8</v>
      </c>
      <c r="Z348" s="393">
        <f t="shared" si="139"/>
        <v>18749.04</v>
      </c>
      <c r="AD348" s="395">
        <f>IF(AH348&gt;AH347,AD347,IF(AD347&lt;MiscData!$F$1,EOMONTH(AD347,1),EOMONTH(AD347,-11)))</f>
        <v>41759</v>
      </c>
      <c r="AE348" s="389" t="str">
        <f t="shared" si="132"/>
        <v>20140101KUUM_495</v>
      </c>
      <c r="AF348" s="437" t="str">
        <f t="shared" si="133"/>
        <v>20140101LS</v>
      </c>
      <c r="AG348" s="438"/>
      <c r="AH348" s="34">
        <f>IF(AH347=MiscData!$AB$91,1,AH347+1)</f>
        <v>83</v>
      </c>
      <c r="AI348" s="34">
        <f>IF(AD348&lt;=MiscData!$B$23,MiscData!$C$23,IF(AD348&lt;=MiscData!$B$24,MiscData!$C$24,MiscData!$C$25))</f>
        <v>20140101</v>
      </c>
      <c r="AK348" s="439" t="str">
        <f>VLOOKUP(AM348,MiscData!$AB$4:$ACB$113,2,FALSE)</f>
        <v>KUUM_495</v>
      </c>
      <c r="AL348" s="439" t="str">
        <f>VLOOKUP(AM348,MiscData!$AB$4:$AE$115,4,FALSE)</f>
        <v>LS</v>
      </c>
      <c r="AM348" s="34">
        <f>IF(AM347=MiscData!$AB$91,1,AM347+1)</f>
        <v>83</v>
      </c>
    </row>
    <row r="349" spans="1:39">
      <c r="A349" s="389">
        <f t="shared" si="140"/>
        <v>348</v>
      </c>
      <c r="B349" s="395" t="str">
        <f t="shared" si="134"/>
        <v>Apr 2014</v>
      </c>
      <c r="C349" s="396" t="str">
        <f t="shared" si="135"/>
        <v>LS</v>
      </c>
      <c r="D349" s="396" t="str">
        <f t="shared" si="136"/>
        <v>KUUM_496</v>
      </c>
      <c r="E349" s="394">
        <f t="shared" si="122"/>
        <v>157</v>
      </c>
      <c r="F349" s="397">
        <v>0</v>
      </c>
      <c r="G349" s="394">
        <f t="shared" si="123"/>
        <v>52698</v>
      </c>
      <c r="H349" s="394">
        <v>0</v>
      </c>
      <c r="I349" s="390">
        <f t="shared" si="137"/>
        <v>58.59</v>
      </c>
      <c r="J349" s="390">
        <f t="shared" si="138"/>
        <v>10.409999999999997</v>
      </c>
      <c r="K349" s="391">
        <f t="shared" si="141"/>
        <v>9198.6299999999992</v>
      </c>
      <c r="L349" s="398">
        <v>-121.09</v>
      </c>
      <c r="M349" s="398">
        <v>0</v>
      </c>
      <c r="N349" s="164">
        <f t="shared" si="115"/>
        <v>9077.5399999999991</v>
      </c>
      <c r="O349" s="399">
        <f t="shared" si="124"/>
        <v>9077.5400000000009</v>
      </c>
      <c r="P349" s="392">
        <f t="shared" si="142"/>
        <v>1</v>
      </c>
      <c r="Q349" s="164">
        <f t="shared" si="125"/>
        <v>115.14</v>
      </c>
      <c r="R349" s="164">
        <f t="shared" si="126"/>
        <v>0</v>
      </c>
      <c r="S349" s="164">
        <f t="shared" si="127"/>
        <v>114.35</v>
      </c>
      <c r="T349" s="164">
        <f t="shared" si="128"/>
        <v>0</v>
      </c>
      <c r="U349" s="164">
        <f t="shared" si="129"/>
        <v>9307.0300000000007</v>
      </c>
      <c r="V349" s="393">
        <f t="shared" si="130"/>
        <v>9307.0299999999988</v>
      </c>
      <c r="W349" s="393">
        <f t="shared" si="131"/>
        <v>0</v>
      </c>
      <c r="Y349" s="393">
        <f t="shared" si="143"/>
        <v>1634.37</v>
      </c>
      <c r="Z349" s="393">
        <f t="shared" si="139"/>
        <v>7443.170000000001</v>
      </c>
      <c r="AD349" s="395">
        <f>IF(AH349&gt;AH348,AD348,IF(AD348&lt;MiscData!$F$1,EOMONTH(AD348,1),EOMONTH(AD348,-11)))</f>
        <v>41759</v>
      </c>
      <c r="AE349" s="389" t="str">
        <f t="shared" si="132"/>
        <v>20140101KUUM_496</v>
      </c>
      <c r="AF349" s="437" t="str">
        <f t="shared" si="133"/>
        <v>20140101LS</v>
      </c>
      <c r="AG349" s="438"/>
      <c r="AH349" s="34">
        <f>IF(AH348=MiscData!$AB$91,1,AH348+1)</f>
        <v>84</v>
      </c>
      <c r="AI349" s="34">
        <f>IF(AD349&lt;=MiscData!$B$23,MiscData!$C$23,IF(AD349&lt;=MiscData!$B$24,MiscData!$C$24,MiscData!$C$25))</f>
        <v>20140101</v>
      </c>
      <c r="AK349" s="439" t="str">
        <f>VLOOKUP(AM349,MiscData!$AB$4:$ACB$113,2,FALSE)</f>
        <v>KUUM_496</v>
      </c>
      <c r="AL349" s="439" t="str">
        <f>VLOOKUP(AM349,MiscData!$AB$4:$AE$115,4,FALSE)</f>
        <v>LS</v>
      </c>
      <c r="AM349" s="34">
        <f>IF(AM348=MiscData!$AB$91,1,AM348+1)</f>
        <v>84</v>
      </c>
    </row>
    <row r="350" spans="1:39">
      <c r="A350" s="389">
        <f t="shared" si="140"/>
        <v>349</v>
      </c>
      <c r="B350" s="395" t="str">
        <f t="shared" si="134"/>
        <v>Apr 2014</v>
      </c>
      <c r="C350" s="396" t="str">
        <f t="shared" si="135"/>
        <v>LS</v>
      </c>
      <c r="D350" s="396" t="str">
        <f t="shared" si="136"/>
        <v>KUUM_497</v>
      </c>
      <c r="E350" s="394">
        <f t="shared" si="122"/>
        <v>10</v>
      </c>
      <c r="F350" s="397">
        <v>0</v>
      </c>
      <c r="G350" s="394">
        <f t="shared" si="123"/>
        <v>369</v>
      </c>
      <c r="H350" s="394">
        <v>0</v>
      </c>
      <c r="I350" s="390">
        <f t="shared" si="137"/>
        <v>15.35</v>
      </c>
      <c r="J350" s="390">
        <f t="shared" si="138"/>
        <v>1.1300000000000008</v>
      </c>
      <c r="K350" s="391">
        <f t="shared" si="141"/>
        <v>153.5</v>
      </c>
      <c r="L350" s="398">
        <v>0</v>
      </c>
      <c r="M350" s="398">
        <v>0</v>
      </c>
      <c r="N350" s="164">
        <f t="shared" si="115"/>
        <v>153.5</v>
      </c>
      <c r="O350" s="399">
        <f t="shared" si="124"/>
        <v>153.5</v>
      </c>
      <c r="P350" s="392">
        <f t="shared" si="142"/>
        <v>1</v>
      </c>
      <c r="Q350" s="164">
        <f t="shared" si="125"/>
        <v>0.78</v>
      </c>
      <c r="R350" s="164">
        <f t="shared" si="126"/>
        <v>0</v>
      </c>
      <c r="S350" s="164">
        <f t="shared" si="127"/>
        <v>1.89</v>
      </c>
      <c r="T350" s="164">
        <f t="shared" si="128"/>
        <v>0</v>
      </c>
      <c r="U350" s="164">
        <f t="shared" si="129"/>
        <v>156.16999999999999</v>
      </c>
      <c r="V350" s="393">
        <f t="shared" si="130"/>
        <v>156.16999999999999</v>
      </c>
      <c r="W350" s="393">
        <f t="shared" si="131"/>
        <v>0</v>
      </c>
      <c r="Y350" s="393">
        <f t="shared" si="143"/>
        <v>11.3</v>
      </c>
      <c r="Z350" s="393">
        <f t="shared" si="139"/>
        <v>142.19999999999999</v>
      </c>
      <c r="AD350" s="395">
        <f>IF(AH350&gt;AH349,AD349,IF(AD349&lt;MiscData!$F$1,EOMONTH(AD349,1),EOMONTH(AD349,-11)))</f>
        <v>41759</v>
      </c>
      <c r="AE350" s="389" t="str">
        <f t="shared" si="132"/>
        <v>20140101KUUM_497</v>
      </c>
      <c r="AF350" s="437" t="str">
        <f t="shared" si="133"/>
        <v>20140101LS</v>
      </c>
      <c r="AG350" s="438"/>
      <c r="AH350" s="34">
        <f>IF(AH349=MiscData!$AB$91,1,AH349+1)</f>
        <v>85</v>
      </c>
      <c r="AI350" s="34">
        <f>IF(AD350&lt;=MiscData!$B$23,MiscData!$C$23,IF(AD350&lt;=MiscData!$B$24,MiscData!$C$24,MiscData!$C$25))</f>
        <v>20140101</v>
      </c>
      <c r="AK350" s="439" t="str">
        <f>VLOOKUP(AM350,MiscData!$AB$4:$ACB$113,2,FALSE)</f>
        <v>KUUM_497</v>
      </c>
      <c r="AL350" s="439" t="str">
        <f>VLOOKUP(AM350,MiscData!$AB$4:$AE$115,4,FALSE)</f>
        <v>LS</v>
      </c>
      <c r="AM350" s="34">
        <f>IF(AM349=MiscData!$AB$91,1,AM349+1)</f>
        <v>85</v>
      </c>
    </row>
    <row r="351" spans="1:39">
      <c r="A351" s="389">
        <f t="shared" si="140"/>
        <v>350</v>
      </c>
      <c r="B351" s="395" t="str">
        <f t="shared" si="134"/>
        <v>Apr 2014</v>
      </c>
      <c r="C351" s="396" t="str">
        <f t="shared" si="135"/>
        <v>LS</v>
      </c>
      <c r="D351" s="396" t="str">
        <f t="shared" si="136"/>
        <v>KUUM_498</v>
      </c>
      <c r="E351" s="394">
        <f t="shared" si="122"/>
        <v>12</v>
      </c>
      <c r="F351" s="397">
        <v>0</v>
      </c>
      <c r="G351" s="394">
        <f t="shared" si="123"/>
        <v>573</v>
      </c>
      <c r="H351" s="394">
        <v>0</v>
      </c>
      <c r="I351" s="390">
        <f t="shared" si="137"/>
        <v>17.72</v>
      </c>
      <c r="J351" s="390">
        <f t="shared" si="138"/>
        <v>2.33</v>
      </c>
      <c r="K351" s="391">
        <f t="shared" si="141"/>
        <v>212.64</v>
      </c>
      <c r="L351" s="398">
        <v>0</v>
      </c>
      <c r="M351" s="398">
        <v>0</v>
      </c>
      <c r="N351" s="164">
        <f t="shared" si="115"/>
        <v>212.64</v>
      </c>
      <c r="O351" s="399">
        <f t="shared" si="124"/>
        <v>212.64000000000001</v>
      </c>
      <c r="P351" s="392">
        <f t="shared" si="142"/>
        <v>1</v>
      </c>
      <c r="Q351" s="164">
        <f t="shared" si="125"/>
        <v>3.38</v>
      </c>
      <c r="R351" s="164">
        <f t="shared" si="126"/>
        <v>0</v>
      </c>
      <c r="S351" s="164">
        <f t="shared" si="127"/>
        <v>-2.46</v>
      </c>
      <c r="T351" s="164">
        <f t="shared" si="128"/>
        <v>0</v>
      </c>
      <c r="U351" s="164">
        <f t="shared" si="129"/>
        <v>213.56</v>
      </c>
      <c r="V351" s="393">
        <f t="shared" si="130"/>
        <v>213.55999999999997</v>
      </c>
      <c r="W351" s="393">
        <f t="shared" si="131"/>
        <v>0</v>
      </c>
      <c r="Y351" s="393">
        <f t="shared" si="143"/>
        <v>27.96</v>
      </c>
      <c r="Z351" s="393">
        <f t="shared" si="139"/>
        <v>184.68</v>
      </c>
      <c r="AD351" s="395">
        <f>IF(AH351&gt;AH350,AD350,IF(AD350&lt;MiscData!$F$1,EOMONTH(AD350,1),EOMONTH(AD350,-11)))</f>
        <v>41759</v>
      </c>
      <c r="AE351" s="389" t="str">
        <f t="shared" si="132"/>
        <v>20140101KUUM_498</v>
      </c>
      <c r="AF351" s="437" t="str">
        <f t="shared" si="133"/>
        <v>20140101LS</v>
      </c>
      <c r="AG351" s="438"/>
      <c r="AH351" s="34">
        <f>IF(AH350=MiscData!$AB$91,1,AH350+1)</f>
        <v>86</v>
      </c>
      <c r="AI351" s="34">
        <f>IF(AD351&lt;=MiscData!$B$23,MiscData!$C$23,IF(AD351&lt;=MiscData!$B$24,MiscData!$C$24,MiscData!$C$25))</f>
        <v>20140101</v>
      </c>
      <c r="AK351" s="439" t="str">
        <f>VLOOKUP(AM351,MiscData!$AB$4:$ACB$113,2,FALSE)</f>
        <v>KUUM_498</v>
      </c>
      <c r="AL351" s="439" t="str">
        <f>VLOOKUP(AM351,MiscData!$AB$4:$AE$115,4,FALSE)</f>
        <v>LS</v>
      </c>
      <c r="AM351" s="34">
        <f>IF(AM350=MiscData!$AB$91,1,AM350+1)</f>
        <v>86</v>
      </c>
    </row>
    <row r="352" spans="1:39">
      <c r="A352" s="389">
        <f t="shared" si="140"/>
        <v>351</v>
      </c>
      <c r="B352" s="395" t="str">
        <f t="shared" si="134"/>
        <v>Apr 2014</v>
      </c>
      <c r="C352" s="396" t="str">
        <f t="shared" si="135"/>
        <v>LS</v>
      </c>
      <c r="D352" s="396" t="str">
        <f t="shared" si="136"/>
        <v>KUUM_499</v>
      </c>
      <c r="E352" s="394">
        <f t="shared" si="122"/>
        <v>24</v>
      </c>
      <c r="F352" s="397">
        <v>0</v>
      </c>
      <c r="G352" s="394">
        <f t="shared" si="123"/>
        <v>3606</v>
      </c>
      <c r="H352" s="394">
        <v>0</v>
      </c>
      <c r="I352" s="390">
        <f t="shared" si="137"/>
        <v>21.490000000000002</v>
      </c>
      <c r="J352" s="390">
        <f t="shared" si="138"/>
        <v>4.5300000000000011</v>
      </c>
      <c r="K352" s="391">
        <f t="shared" si="141"/>
        <v>515.76</v>
      </c>
      <c r="L352" s="398">
        <v>0</v>
      </c>
      <c r="M352" s="398">
        <v>0</v>
      </c>
      <c r="N352" s="164">
        <f t="shared" ref="N352:N374" si="144">SUM(K352:M352)</f>
        <v>515.76</v>
      </c>
      <c r="O352" s="399">
        <f t="shared" si="124"/>
        <v>515.76</v>
      </c>
      <c r="P352" s="392">
        <f t="shared" si="142"/>
        <v>1</v>
      </c>
      <c r="Q352" s="164">
        <f t="shared" si="125"/>
        <v>7.82</v>
      </c>
      <c r="R352" s="164">
        <f t="shared" si="126"/>
        <v>0</v>
      </c>
      <c r="S352" s="164">
        <f t="shared" si="127"/>
        <v>6.48</v>
      </c>
      <c r="T352" s="164">
        <f t="shared" si="128"/>
        <v>0</v>
      </c>
      <c r="U352" s="164">
        <f t="shared" si="129"/>
        <v>530.05999999999995</v>
      </c>
      <c r="V352" s="393">
        <f t="shared" si="130"/>
        <v>530.06000000000006</v>
      </c>
      <c r="W352" s="393">
        <f t="shared" si="131"/>
        <v>0</v>
      </c>
      <c r="Y352" s="393">
        <f t="shared" si="143"/>
        <v>108.72</v>
      </c>
      <c r="Z352" s="393">
        <f t="shared" si="139"/>
        <v>407.03999999999996</v>
      </c>
      <c r="AD352" s="395">
        <f>IF(AH352&gt;AH351,AD351,IF(AD351&lt;MiscData!$F$1,EOMONTH(AD351,1),EOMONTH(AD351,-11)))</f>
        <v>41759</v>
      </c>
      <c r="AE352" s="389" t="str">
        <f t="shared" si="132"/>
        <v>20140101KUUM_499</v>
      </c>
      <c r="AF352" s="437" t="str">
        <f t="shared" si="133"/>
        <v>20140101LS</v>
      </c>
      <c r="AG352" s="438"/>
      <c r="AH352" s="34">
        <f>IF(AH351=MiscData!$AB$91,1,AH351+1)</f>
        <v>87</v>
      </c>
      <c r="AI352" s="34">
        <f>IF(AD352&lt;=MiscData!$B$23,MiscData!$C$23,IF(AD352&lt;=MiscData!$B$24,MiscData!$C$24,MiscData!$C$25))</f>
        <v>20140101</v>
      </c>
      <c r="AK352" s="439" t="str">
        <f>VLOOKUP(AM352,MiscData!$AB$4:$ACB$113,2,FALSE)</f>
        <v>KUUM_499</v>
      </c>
      <c r="AL352" s="439" t="str">
        <f>VLOOKUP(AM352,MiscData!$AB$4:$AE$115,4,FALSE)</f>
        <v>LS</v>
      </c>
      <c r="AM352" s="34">
        <f>IF(AM351=MiscData!$AB$91,1,AM351+1)</f>
        <v>87</v>
      </c>
    </row>
    <row r="353" spans="1:39">
      <c r="A353" s="389">
        <f t="shared" si="140"/>
        <v>352</v>
      </c>
      <c r="B353" s="395" t="str">
        <f t="shared" si="134"/>
        <v>Apr 2014</v>
      </c>
      <c r="C353" s="396" t="str">
        <f t="shared" si="135"/>
        <v>ODL</v>
      </c>
      <c r="D353" s="396" t="str">
        <f t="shared" si="136"/>
        <v>ODL</v>
      </c>
      <c r="E353" s="394">
        <f t="shared" si="122"/>
        <v>0</v>
      </c>
      <c r="F353" s="397">
        <v>0</v>
      </c>
      <c r="G353" s="394">
        <f t="shared" si="123"/>
        <v>0</v>
      </c>
      <c r="H353" s="394">
        <v>0</v>
      </c>
      <c r="I353" s="390">
        <f t="shared" si="137"/>
        <v>0</v>
      </c>
      <c r="J353" s="390">
        <f t="shared" si="138"/>
        <v>0</v>
      </c>
      <c r="K353" s="391">
        <f t="shared" si="141"/>
        <v>0</v>
      </c>
      <c r="L353" s="398">
        <v>0</v>
      </c>
      <c r="M353" s="398">
        <v>0</v>
      </c>
      <c r="N353" s="164">
        <f t="shared" si="144"/>
        <v>0</v>
      </c>
      <c r="O353" s="399">
        <f t="shared" si="124"/>
        <v>0</v>
      </c>
      <c r="P353" s="392">
        <f t="shared" si="142"/>
        <v>1</v>
      </c>
      <c r="Q353" s="164">
        <f t="shared" si="125"/>
        <v>0</v>
      </c>
      <c r="R353" s="164">
        <f t="shared" si="126"/>
        <v>0</v>
      </c>
      <c r="S353" s="164">
        <f t="shared" si="127"/>
        <v>0</v>
      </c>
      <c r="T353" s="164">
        <f t="shared" si="128"/>
        <v>0</v>
      </c>
      <c r="U353" s="164">
        <f t="shared" si="129"/>
        <v>0</v>
      </c>
      <c r="V353" s="393">
        <f t="shared" si="130"/>
        <v>0</v>
      </c>
      <c r="W353" s="393">
        <f t="shared" si="131"/>
        <v>0</v>
      </c>
      <c r="Y353" s="393">
        <f t="shared" si="143"/>
        <v>0</v>
      </c>
      <c r="Z353" s="393">
        <f t="shared" si="139"/>
        <v>0</v>
      </c>
      <c r="AD353" s="395">
        <f>IF(AH353&gt;AH352,AD352,IF(AD352&lt;MiscData!$F$1,EOMONTH(AD352,1),EOMONTH(AD352,-11)))</f>
        <v>41759</v>
      </c>
      <c r="AE353" s="389" t="str">
        <f t="shared" si="132"/>
        <v>20140101ODL</v>
      </c>
      <c r="AF353" s="437" t="str">
        <f t="shared" si="133"/>
        <v>20140101ODL</v>
      </c>
      <c r="AG353" s="438"/>
      <c r="AH353" s="34">
        <f>IF(AH352=MiscData!$AB$91,1,AH352+1)</f>
        <v>88</v>
      </c>
      <c r="AI353" s="34">
        <f>IF(AD353&lt;=MiscData!$B$23,MiscData!$C$23,IF(AD353&lt;=MiscData!$B$24,MiscData!$C$24,MiscData!$C$25))</f>
        <v>20140101</v>
      </c>
      <c r="AK353" s="439" t="str">
        <f>VLOOKUP(AM353,MiscData!$AB$4:$ACB$113,2,FALSE)</f>
        <v>ODL</v>
      </c>
      <c r="AL353" s="439" t="str">
        <f>VLOOKUP(AM353,MiscData!$AB$4:$AE$115,4,FALSE)</f>
        <v>ODL</v>
      </c>
      <c r="AM353" s="34">
        <f>IF(AM352=MiscData!$AB$91,1,AM352+1)</f>
        <v>88</v>
      </c>
    </row>
    <row r="354" spans="1:39">
      <c r="A354" s="389">
        <f t="shared" si="140"/>
        <v>353</v>
      </c>
      <c r="B354" s="395" t="str">
        <f t="shared" ref="B354:B377" si="145">TEXT(AD354,"mmm yyyy")</f>
        <v>May 2014</v>
      </c>
      <c r="C354" s="396" t="str">
        <f t="shared" ref="C354:C377" si="146">AL354</f>
        <v>LS</v>
      </c>
      <c r="D354" s="396" t="str">
        <f t="shared" ref="D354:D377" si="147">AK354</f>
        <v>KUUM_300</v>
      </c>
      <c r="E354" s="394">
        <f t="shared" si="122"/>
        <v>0</v>
      </c>
      <c r="F354" s="397">
        <v>0</v>
      </c>
      <c r="G354" s="394">
        <f t="shared" si="123"/>
        <v>0</v>
      </c>
      <c r="H354" s="394"/>
      <c r="I354" s="390">
        <f t="shared" ref="I354:I377" si="148">SUMIF(_Lights_Tariff_Category,$AE354,_Lights_Rates)</f>
        <v>22.49</v>
      </c>
      <c r="J354" s="390">
        <f t="shared" ref="J354:J377" si="149">SUMIF(_Lights_Tariff_Category,$AE354,_Rates_Lights_BaseFAC)</f>
        <v>0.58000000000000185</v>
      </c>
      <c r="K354" s="391">
        <f t="shared" si="141"/>
        <v>0</v>
      </c>
      <c r="L354" s="398">
        <v>0</v>
      </c>
      <c r="M354" s="398">
        <v>0</v>
      </c>
      <c r="N354" s="164">
        <f t="shared" si="144"/>
        <v>0</v>
      </c>
      <c r="O354" s="399">
        <f t="shared" si="124"/>
        <v>0</v>
      </c>
      <c r="P354" s="392">
        <f t="shared" si="142"/>
        <v>1</v>
      </c>
      <c r="Q354" s="164">
        <f t="shared" si="125"/>
        <v>0</v>
      </c>
      <c r="R354" s="164">
        <f t="shared" si="126"/>
        <v>0</v>
      </c>
      <c r="S354" s="164">
        <f t="shared" si="127"/>
        <v>0</v>
      </c>
      <c r="T354" s="164">
        <f t="shared" si="128"/>
        <v>0</v>
      </c>
      <c r="U354" s="164">
        <f t="shared" si="129"/>
        <v>0</v>
      </c>
      <c r="V354" s="393">
        <f t="shared" si="130"/>
        <v>0</v>
      </c>
      <c r="W354" s="393">
        <f t="shared" si="131"/>
        <v>0</v>
      </c>
      <c r="Y354" s="393">
        <f t="shared" si="143"/>
        <v>0</v>
      </c>
      <c r="Z354" s="393">
        <f t="shared" si="139"/>
        <v>0</v>
      </c>
      <c r="AD354" s="395">
        <f>IF(AH354&gt;AH353,AD353,IF(AD353&lt;MiscData!$F$1,EOMONTH(AD353,1),EOMONTH(AD353,-11)))</f>
        <v>41790</v>
      </c>
      <c r="AE354" s="389" t="str">
        <f t="shared" si="132"/>
        <v>20140101KUUM_300</v>
      </c>
      <c r="AF354" s="437" t="str">
        <f t="shared" si="133"/>
        <v>20140101LS</v>
      </c>
      <c r="AG354" s="438"/>
      <c r="AH354" s="34">
        <f>IF(AH353=MiscData!$AB$91,1,AH353+1)</f>
        <v>1</v>
      </c>
      <c r="AI354" s="34">
        <f>IF(AD354&lt;=MiscData!$B$23,MiscData!$C$23,IF(AD354&lt;=MiscData!$B$24,MiscData!$C$24,MiscData!$C$25))</f>
        <v>20140101</v>
      </c>
      <c r="AK354" s="439" t="str">
        <f>VLOOKUP(AM354,MiscData!$AB$4:$ACB$113,2,FALSE)</f>
        <v>KUUM_300</v>
      </c>
      <c r="AL354" s="439" t="str">
        <f>VLOOKUP(AM354,MiscData!$AB$4:$AE$115,4,FALSE)</f>
        <v>LS</v>
      </c>
      <c r="AM354" s="34">
        <f>IF(AM353=MiscData!$AB$91,1,AM353+1)</f>
        <v>1</v>
      </c>
    </row>
    <row r="355" spans="1:39">
      <c r="A355" s="389">
        <f t="shared" si="140"/>
        <v>354</v>
      </c>
      <c r="B355" s="395" t="str">
        <f t="shared" si="145"/>
        <v>May 2014</v>
      </c>
      <c r="C355" s="396" t="str">
        <f t="shared" si="146"/>
        <v>LS</v>
      </c>
      <c r="D355" s="396" t="str">
        <f t="shared" si="147"/>
        <v>KUUM_301</v>
      </c>
      <c r="E355" s="394">
        <f t="shared" si="122"/>
        <v>0</v>
      </c>
      <c r="F355" s="397">
        <v>0</v>
      </c>
      <c r="G355" s="394">
        <f t="shared" si="123"/>
        <v>0</v>
      </c>
      <c r="H355" s="394"/>
      <c r="I355" s="390">
        <f t="shared" si="148"/>
        <v>23.5</v>
      </c>
      <c r="J355" s="390">
        <f t="shared" si="149"/>
        <v>1.129999999999999</v>
      </c>
      <c r="K355" s="391">
        <f t="shared" si="141"/>
        <v>0</v>
      </c>
      <c r="L355" s="398">
        <v>0</v>
      </c>
      <c r="M355" s="398">
        <v>0</v>
      </c>
      <c r="N355" s="164">
        <f t="shared" si="144"/>
        <v>0</v>
      </c>
      <c r="O355" s="399">
        <f t="shared" si="124"/>
        <v>0</v>
      </c>
      <c r="P355" s="392">
        <f t="shared" si="142"/>
        <v>1</v>
      </c>
      <c r="Q355" s="164">
        <f t="shared" si="125"/>
        <v>0</v>
      </c>
      <c r="R355" s="164">
        <f t="shared" si="126"/>
        <v>0</v>
      </c>
      <c r="S355" s="164">
        <f t="shared" si="127"/>
        <v>0</v>
      </c>
      <c r="T355" s="164">
        <f t="shared" si="128"/>
        <v>0</v>
      </c>
      <c r="U355" s="164">
        <f t="shared" si="129"/>
        <v>0</v>
      </c>
      <c r="V355" s="393">
        <f t="shared" si="130"/>
        <v>0</v>
      </c>
      <c r="W355" s="393">
        <f t="shared" si="131"/>
        <v>0</v>
      </c>
      <c r="Y355" s="393">
        <f t="shared" ref="Y355:Y378" si="150">ROUND(E355*J355,2)</f>
        <v>0</v>
      </c>
      <c r="Z355" s="393">
        <f t="shared" si="139"/>
        <v>0</v>
      </c>
      <c r="AD355" s="395">
        <f>IF(AH355&gt;AH354,AD354,IF(AD354&lt;MiscData!$F$1,EOMONTH(AD354,1),EOMONTH(AD354,-11)))</f>
        <v>41790</v>
      </c>
      <c r="AE355" s="389" t="str">
        <f t="shared" si="132"/>
        <v>20140101KUUM_301</v>
      </c>
      <c r="AF355" s="437" t="str">
        <f t="shared" si="133"/>
        <v>20140101LS</v>
      </c>
      <c r="AG355" s="438"/>
      <c r="AH355" s="34">
        <f>IF(AH354=MiscData!$AB$91,1,AH354+1)</f>
        <v>2</v>
      </c>
      <c r="AI355" s="34">
        <f>IF(AD355&lt;=MiscData!$B$23,MiscData!$C$23,IF(AD355&lt;=MiscData!$B$24,MiscData!$C$24,MiscData!$C$25))</f>
        <v>20140101</v>
      </c>
      <c r="AK355" s="439" t="str">
        <f>VLOOKUP(AM355,MiscData!$AB$4:$ACB$113,2,FALSE)</f>
        <v>KUUM_301</v>
      </c>
      <c r="AL355" s="439" t="str">
        <f>VLOOKUP(AM355,MiscData!$AB$4:$AE$115,4,FALSE)</f>
        <v>LS</v>
      </c>
      <c r="AM355" s="34">
        <f>IF(AM354=MiscData!$AB$91,1,AM354+1)</f>
        <v>2</v>
      </c>
    </row>
    <row r="356" spans="1:39">
      <c r="A356" s="389">
        <f t="shared" si="140"/>
        <v>355</v>
      </c>
      <c r="B356" s="395" t="str">
        <f t="shared" si="145"/>
        <v>May 2014</v>
      </c>
      <c r="C356" s="396" t="str">
        <f t="shared" si="146"/>
        <v>LS</v>
      </c>
      <c r="D356" s="396" t="str">
        <f t="shared" si="147"/>
        <v>KUUM_360</v>
      </c>
      <c r="E356" s="394">
        <f t="shared" si="122"/>
        <v>178</v>
      </c>
      <c r="F356" s="397">
        <v>0</v>
      </c>
      <c r="G356" s="394">
        <f t="shared" si="123"/>
        <v>9961</v>
      </c>
      <c r="H356" s="394">
        <v>0</v>
      </c>
      <c r="I356" s="390">
        <f t="shared" si="148"/>
        <v>55.33</v>
      </c>
      <c r="J356" s="390">
        <f t="shared" si="149"/>
        <v>1.75</v>
      </c>
      <c r="K356" s="391">
        <f t="shared" si="141"/>
        <v>9848.74</v>
      </c>
      <c r="L356" s="398">
        <v>0</v>
      </c>
      <c r="M356" s="398">
        <v>0</v>
      </c>
      <c r="N356" s="164">
        <f t="shared" si="144"/>
        <v>9848.74</v>
      </c>
      <c r="O356" s="399">
        <f t="shared" si="124"/>
        <v>9848.74</v>
      </c>
      <c r="P356" s="392">
        <f t="shared" si="142"/>
        <v>1</v>
      </c>
      <c r="Q356" s="164">
        <f t="shared" si="125"/>
        <v>21.42</v>
      </c>
      <c r="R356" s="164">
        <f t="shared" si="126"/>
        <v>0</v>
      </c>
      <c r="S356" s="164">
        <f t="shared" si="127"/>
        <v>122.57</v>
      </c>
      <c r="T356" s="164">
        <f t="shared" si="128"/>
        <v>0</v>
      </c>
      <c r="U356" s="164">
        <f t="shared" si="129"/>
        <v>9992.73</v>
      </c>
      <c r="V356" s="393">
        <f t="shared" si="130"/>
        <v>9992.73</v>
      </c>
      <c r="W356" s="393">
        <f t="shared" si="131"/>
        <v>0</v>
      </c>
      <c r="Y356" s="393">
        <f t="shared" si="150"/>
        <v>311.5</v>
      </c>
      <c r="Z356" s="393">
        <f t="shared" si="139"/>
        <v>9537.24</v>
      </c>
      <c r="AD356" s="395">
        <f>IF(AH356&gt;AH355,AD355,IF(AD355&lt;MiscData!$F$1,EOMONTH(AD355,1),EOMONTH(AD355,-11)))</f>
        <v>41790</v>
      </c>
      <c r="AE356" s="389" t="str">
        <f t="shared" si="132"/>
        <v>20140101KUUM_360</v>
      </c>
      <c r="AF356" s="437" t="str">
        <f t="shared" si="133"/>
        <v>20140101LS</v>
      </c>
      <c r="AG356" s="438"/>
      <c r="AH356" s="34">
        <f>IF(AH355=MiscData!$AB$91,1,AH355+1)</f>
        <v>3</v>
      </c>
      <c r="AI356" s="34">
        <f>IF(AD356&lt;=MiscData!$B$23,MiscData!$C$23,IF(AD356&lt;=MiscData!$B$24,MiscData!$C$24,MiscData!$C$25))</f>
        <v>20140101</v>
      </c>
      <c r="AK356" s="439" t="str">
        <f>VLOOKUP(AM356,MiscData!$AB$4:$ACB$113,2,FALSE)</f>
        <v>KUUM_360</v>
      </c>
      <c r="AL356" s="439" t="str">
        <f>VLOOKUP(AM356,MiscData!$AB$4:$AE$115,4,FALSE)</f>
        <v>LS</v>
      </c>
      <c r="AM356" s="34">
        <f>IF(AM355=MiscData!$AB$91,1,AM355+1)</f>
        <v>3</v>
      </c>
    </row>
    <row r="357" spans="1:39">
      <c r="A357" s="389">
        <f t="shared" si="140"/>
        <v>356</v>
      </c>
      <c r="B357" s="395" t="str">
        <f t="shared" si="145"/>
        <v>May 2014</v>
      </c>
      <c r="C357" s="396" t="str">
        <f t="shared" si="146"/>
        <v>LS</v>
      </c>
      <c r="D357" s="396" t="str">
        <f t="shared" si="147"/>
        <v>KUUM_361</v>
      </c>
      <c r="E357" s="394">
        <f t="shared" si="122"/>
        <v>25</v>
      </c>
      <c r="F357" s="397">
        <v>0</v>
      </c>
      <c r="G357" s="394">
        <f t="shared" si="123"/>
        <v>1427</v>
      </c>
      <c r="H357" s="394">
        <v>0</v>
      </c>
      <c r="I357" s="390">
        <f t="shared" si="148"/>
        <v>83.16</v>
      </c>
      <c r="J357" s="390">
        <f t="shared" si="149"/>
        <v>1.75</v>
      </c>
      <c r="K357" s="391">
        <f t="shared" si="141"/>
        <v>2079</v>
      </c>
      <c r="L357" s="398">
        <v>0</v>
      </c>
      <c r="M357" s="398">
        <v>0</v>
      </c>
      <c r="N357" s="164">
        <f t="shared" si="144"/>
        <v>2079</v>
      </c>
      <c r="O357" s="399">
        <f t="shared" si="124"/>
        <v>2079</v>
      </c>
      <c r="P357" s="392">
        <f t="shared" si="142"/>
        <v>1</v>
      </c>
      <c r="Q357" s="164">
        <f t="shared" si="125"/>
        <v>3.04</v>
      </c>
      <c r="R357" s="164">
        <f t="shared" si="126"/>
        <v>0</v>
      </c>
      <c r="S357" s="164">
        <f t="shared" si="127"/>
        <v>25.38</v>
      </c>
      <c r="T357" s="164">
        <f t="shared" si="128"/>
        <v>0</v>
      </c>
      <c r="U357" s="164">
        <f t="shared" si="129"/>
        <v>2107.42</v>
      </c>
      <c r="V357" s="393">
        <f t="shared" si="130"/>
        <v>2107.42</v>
      </c>
      <c r="W357" s="393">
        <f t="shared" si="131"/>
        <v>0</v>
      </c>
      <c r="Y357" s="393">
        <f t="shared" si="150"/>
        <v>43.75</v>
      </c>
      <c r="Z357" s="393">
        <f t="shared" si="139"/>
        <v>2035.25</v>
      </c>
      <c r="AD357" s="395">
        <f>IF(AH357&gt;AH356,AD356,IF(AD356&lt;MiscData!$F$1,EOMONTH(AD356,1),EOMONTH(AD356,-11)))</f>
        <v>41790</v>
      </c>
      <c r="AE357" s="389" t="str">
        <f t="shared" si="132"/>
        <v>20140101KUUM_361</v>
      </c>
      <c r="AF357" s="437" t="str">
        <f t="shared" si="133"/>
        <v>20140101LS</v>
      </c>
      <c r="AG357" s="438"/>
      <c r="AH357" s="34">
        <f>IF(AH356=MiscData!$AB$91,1,AH356+1)</f>
        <v>4</v>
      </c>
      <c r="AI357" s="34">
        <f>IF(AD357&lt;=MiscData!$B$23,MiscData!$C$23,IF(AD357&lt;=MiscData!$B$24,MiscData!$C$24,MiscData!$C$25))</f>
        <v>20140101</v>
      </c>
      <c r="AK357" s="439" t="str">
        <f>VLOOKUP(AM357,MiscData!$AB$4:$ACB$113,2,FALSE)</f>
        <v>KUUM_361</v>
      </c>
      <c r="AL357" s="439" t="str">
        <f>VLOOKUP(AM357,MiscData!$AB$4:$AE$115,4,FALSE)</f>
        <v>LS</v>
      </c>
      <c r="AM357" s="34">
        <f>IF(AM356=MiscData!$AB$91,1,AM356+1)</f>
        <v>4</v>
      </c>
    </row>
    <row r="358" spans="1:39">
      <c r="A358" s="389">
        <f t="shared" si="140"/>
        <v>357</v>
      </c>
      <c r="B358" s="395" t="str">
        <f t="shared" si="145"/>
        <v>May 2014</v>
      </c>
      <c r="C358" s="396" t="str">
        <f t="shared" si="146"/>
        <v>LS</v>
      </c>
      <c r="D358" s="396" t="str">
        <f t="shared" si="147"/>
        <v>KUUM_362</v>
      </c>
      <c r="E358" s="394">
        <f t="shared" si="122"/>
        <v>43</v>
      </c>
      <c r="F358" s="397">
        <v>0</v>
      </c>
      <c r="G358" s="394">
        <f t="shared" si="123"/>
        <v>1982</v>
      </c>
      <c r="H358" s="394">
        <v>0</v>
      </c>
      <c r="I358" s="390">
        <f t="shared" si="148"/>
        <v>59.78</v>
      </c>
      <c r="J358" s="390">
        <f t="shared" si="149"/>
        <v>1.75</v>
      </c>
      <c r="K358" s="391">
        <f t="shared" si="141"/>
        <v>2570.54</v>
      </c>
      <c r="L358" s="398">
        <v>0</v>
      </c>
      <c r="M358" s="398">
        <v>0</v>
      </c>
      <c r="N358" s="164">
        <f t="shared" si="144"/>
        <v>2570.54</v>
      </c>
      <c r="O358" s="399">
        <f t="shared" si="124"/>
        <v>2570.54</v>
      </c>
      <c r="P358" s="392">
        <f t="shared" si="142"/>
        <v>1</v>
      </c>
      <c r="Q358" s="164">
        <f t="shared" si="125"/>
        <v>4.2</v>
      </c>
      <c r="R358" s="164">
        <f t="shared" si="126"/>
        <v>0</v>
      </c>
      <c r="S358" s="164">
        <f t="shared" si="127"/>
        <v>31.41</v>
      </c>
      <c r="T358" s="164">
        <f t="shared" si="128"/>
        <v>0</v>
      </c>
      <c r="U358" s="164">
        <f t="shared" si="129"/>
        <v>2606.15</v>
      </c>
      <c r="V358" s="393">
        <f t="shared" si="130"/>
        <v>2606.1499999999996</v>
      </c>
      <c r="W358" s="393">
        <f t="shared" si="131"/>
        <v>0</v>
      </c>
      <c r="Y358" s="393">
        <f t="shared" si="150"/>
        <v>75.25</v>
      </c>
      <c r="Z358" s="393">
        <f t="shared" si="139"/>
        <v>2495.29</v>
      </c>
      <c r="AD358" s="395">
        <f>IF(AH358&gt;AH357,AD357,IF(AD357&lt;MiscData!$F$1,EOMONTH(AD357,1),EOMONTH(AD357,-11)))</f>
        <v>41790</v>
      </c>
      <c r="AE358" s="389" t="str">
        <f t="shared" si="132"/>
        <v>20140101KUUM_362</v>
      </c>
      <c r="AF358" s="437" t="str">
        <f t="shared" si="133"/>
        <v>20140101LS</v>
      </c>
      <c r="AG358" s="438"/>
      <c r="AH358" s="34">
        <f>IF(AH357=MiscData!$AB$91,1,AH357+1)</f>
        <v>5</v>
      </c>
      <c r="AI358" s="34">
        <f>IF(AD358&lt;=MiscData!$B$23,MiscData!$C$23,IF(AD358&lt;=MiscData!$B$24,MiscData!$C$24,MiscData!$C$25))</f>
        <v>20140101</v>
      </c>
      <c r="AK358" s="439" t="str">
        <f>VLOOKUP(AM358,MiscData!$AB$4:$ACB$113,2,FALSE)</f>
        <v>KUUM_362</v>
      </c>
      <c r="AL358" s="439" t="str">
        <f>VLOOKUP(AM358,MiscData!$AB$4:$AE$115,4,FALSE)</f>
        <v>LS</v>
      </c>
      <c r="AM358" s="34">
        <f>IF(AM357=MiscData!$AB$91,1,AM357+1)</f>
        <v>5</v>
      </c>
    </row>
    <row r="359" spans="1:39">
      <c r="A359" s="389">
        <f t="shared" si="140"/>
        <v>358</v>
      </c>
      <c r="B359" s="395" t="str">
        <f t="shared" si="145"/>
        <v>May 2014</v>
      </c>
      <c r="C359" s="396" t="str">
        <f t="shared" si="146"/>
        <v>LS</v>
      </c>
      <c r="D359" s="396" t="str">
        <f t="shared" si="147"/>
        <v>KUUM_363</v>
      </c>
      <c r="E359" s="394">
        <f t="shared" si="122"/>
        <v>5</v>
      </c>
      <c r="F359" s="397">
        <v>0</v>
      </c>
      <c r="G359" s="394">
        <f t="shared" si="123"/>
        <v>295</v>
      </c>
      <c r="H359" s="394">
        <v>0</v>
      </c>
      <c r="I359" s="390">
        <f t="shared" si="148"/>
        <v>61.75</v>
      </c>
      <c r="J359" s="390">
        <f t="shared" si="149"/>
        <v>1.75</v>
      </c>
      <c r="K359" s="391">
        <f t="shared" si="141"/>
        <v>308.75</v>
      </c>
      <c r="L359" s="398">
        <v>0</v>
      </c>
      <c r="M359" s="398">
        <v>0</v>
      </c>
      <c r="N359" s="164">
        <f t="shared" si="144"/>
        <v>308.75</v>
      </c>
      <c r="O359" s="399">
        <f t="shared" si="124"/>
        <v>308.75</v>
      </c>
      <c r="P359" s="392">
        <f t="shared" si="142"/>
        <v>1</v>
      </c>
      <c r="Q359" s="164">
        <f t="shared" si="125"/>
        <v>0.63</v>
      </c>
      <c r="R359" s="164">
        <f t="shared" si="126"/>
        <v>0</v>
      </c>
      <c r="S359" s="164">
        <f t="shared" si="127"/>
        <v>3.77</v>
      </c>
      <c r="T359" s="164">
        <f t="shared" si="128"/>
        <v>0</v>
      </c>
      <c r="U359" s="164">
        <f t="shared" si="129"/>
        <v>313.14999999999998</v>
      </c>
      <c r="V359" s="393">
        <f t="shared" si="130"/>
        <v>313.14999999999998</v>
      </c>
      <c r="W359" s="393">
        <f t="shared" si="131"/>
        <v>0</v>
      </c>
      <c r="Y359" s="393">
        <f t="shared" si="150"/>
        <v>8.75</v>
      </c>
      <c r="Z359" s="393">
        <f t="shared" si="139"/>
        <v>300</v>
      </c>
      <c r="AD359" s="395">
        <f>IF(AH359&gt;AH358,AD358,IF(AD358&lt;MiscData!$F$1,EOMONTH(AD358,1),EOMONTH(AD358,-11)))</f>
        <v>41790</v>
      </c>
      <c r="AE359" s="389" t="str">
        <f t="shared" si="132"/>
        <v>20140101KUUM_363</v>
      </c>
      <c r="AF359" s="437" t="str">
        <f t="shared" si="133"/>
        <v>20140101LS</v>
      </c>
      <c r="AG359" s="438"/>
      <c r="AH359" s="34">
        <f>IF(AH358=MiscData!$AB$91,1,AH358+1)</f>
        <v>6</v>
      </c>
      <c r="AI359" s="34">
        <f>IF(AD359&lt;=MiscData!$B$23,MiscData!$C$23,IF(AD359&lt;=MiscData!$B$24,MiscData!$C$24,MiscData!$C$25))</f>
        <v>20140101</v>
      </c>
      <c r="AK359" s="439" t="str">
        <f>VLOOKUP(AM359,MiscData!$AB$4:$ACB$113,2,FALSE)</f>
        <v>KUUM_363</v>
      </c>
      <c r="AL359" s="439" t="str">
        <f>VLOOKUP(AM359,MiscData!$AB$4:$AE$115,4,FALSE)</f>
        <v>LS</v>
      </c>
      <c r="AM359" s="34">
        <f>IF(AM358=MiscData!$AB$91,1,AM358+1)</f>
        <v>6</v>
      </c>
    </row>
    <row r="360" spans="1:39">
      <c r="A360" s="389">
        <f t="shared" si="140"/>
        <v>359</v>
      </c>
      <c r="B360" s="395" t="str">
        <f t="shared" si="145"/>
        <v>May 2014</v>
      </c>
      <c r="C360" s="396" t="str">
        <f t="shared" si="146"/>
        <v>LS</v>
      </c>
      <c r="D360" s="396" t="str">
        <f t="shared" si="147"/>
        <v>KUUM_364</v>
      </c>
      <c r="E360" s="394">
        <f t="shared" si="122"/>
        <v>1</v>
      </c>
      <c r="F360" s="397">
        <v>0</v>
      </c>
      <c r="G360" s="394">
        <f t="shared" si="123"/>
        <v>59</v>
      </c>
      <c r="H360" s="394">
        <v>0</v>
      </c>
      <c r="I360" s="390">
        <f t="shared" si="148"/>
        <v>63.11</v>
      </c>
      <c r="J360" s="390">
        <f t="shared" si="149"/>
        <v>1.75</v>
      </c>
      <c r="K360" s="391">
        <f t="shared" si="141"/>
        <v>63.11</v>
      </c>
      <c r="L360" s="398">
        <v>0</v>
      </c>
      <c r="M360" s="398">
        <v>0</v>
      </c>
      <c r="N360" s="164">
        <f t="shared" si="144"/>
        <v>63.11</v>
      </c>
      <c r="O360" s="399">
        <f t="shared" si="124"/>
        <v>63.110000000000007</v>
      </c>
      <c r="P360" s="392">
        <f t="shared" si="142"/>
        <v>1</v>
      </c>
      <c r="Q360" s="164">
        <f t="shared" si="125"/>
        <v>0.13</v>
      </c>
      <c r="R360" s="164">
        <f t="shared" si="126"/>
        <v>0</v>
      </c>
      <c r="S360" s="164">
        <f t="shared" si="127"/>
        <v>0.77</v>
      </c>
      <c r="T360" s="164">
        <f t="shared" si="128"/>
        <v>0</v>
      </c>
      <c r="U360" s="164">
        <f t="shared" si="129"/>
        <v>64.010000000000005</v>
      </c>
      <c r="V360" s="393">
        <f t="shared" si="130"/>
        <v>64.010000000000005</v>
      </c>
      <c r="W360" s="393">
        <f t="shared" si="131"/>
        <v>0</v>
      </c>
      <c r="Y360" s="393">
        <f t="shared" si="150"/>
        <v>1.75</v>
      </c>
      <c r="Z360" s="393">
        <f t="shared" si="139"/>
        <v>61.360000000000007</v>
      </c>
      <c r="AD360" s="395">
        <f>IF(AH360&gt;AH359,AD359,IF(AD359&lt;MiscData!$F$1,EOMONTH(AD359,1),EOMONTH(AD359,-11)))</f>
        <v>41790</v>
      </c>
      <c r="AE360" s="389" t="str">
        <f t="shared" si="132"/>
        <v>20140101KUUM_364</v>
      </c>
      <c r="AF360" s="437" t="str">
        <f t="shared" si="133"/>
        <v>20140101LS</v>
      </c>
      <c r="AG360" s="438"/>
      <c r="AH360" s="34">
        <f>IF(AH359=MiscData!$AB$91,1,AH359+1)</f>
        <v>7</v>
      </c>
      <c r="AI360" s="34">
        <f>IF(AD360&lt;=MiscData!$B$23,MiscData!$C$23,IF(AD360&lt;=MiscData!$B$24,MiscData!$C$24,MiscData!$C$25))</f>
        <v>20140101</v>
      </c>
      <c r="AK360" s="439" t="str">
        <f>VLOOKUP(AM360,MiscData!$AB$4:$ACB$113,2,FALSE)</f>
        <v>KUUM_364</v>
      </c>
      <c r="AL360" s="439" t="str">
        <f>VLOOKUP(AM360,MiscData!$AB$4:$AE$115,4,FALSE)</f>
        <v>LS</v>
      </c>
      <c r="AM360" s="34">
        <f>IF(AM359=MiscData!$AB$91,1,AM359+1)</f>
        <v>7</v>
      </c>
    </row>
    <row r="361" spans="1:39">
      <c r="A361" s="389">
        <f t="shared" si="140"/>
        <v>360</v>
      </c>
      <c r="B361" s="395" t="str">
        <f t="shared" si="145"/>
        <v>May 2014</v>
      </c>
      <c r="C361" s="396" t="str">
        <f t="shared" si="146"/>
        <v>LS</v>
      </c>
      <c r="D361" s="396" t="str">
        <f t="shared" si="147"/>
        <v>KUUM_365</v>
      </c>
      <c r="E361" s="394">
        <f t="shared" si="122"/>
        <v>5</v>
      </c>
      <c r="F361" s="397">
        <v>0</v>
      </c>
      <c r="G361" s="394">
        <f t="shared" si="123"/>
        <v>292</v>
      </c>
      <c r="H361" s="394">
        <v>0</v>
      </c>
      <c r="I361" s="390">
        <f t="shared" si="148"/>
        <v>80.94</v>
      </c>
      <c r="J361" s="390">
        <f t="shared" si="149"/>
        <v>1.75</v>
      </c>
      <c r="K361" s="391">
        <f t="shared" si="141"/>
        <v>404.7</v>
      </c>
      <c r="L361" s="398">
        <v>0</v>
      </c>
      <c r="M361" s="398">
        <v>0</v>
      </c>
      <c r="N361" s="164">
        <f t="shared" si="144"/>
        <v>404.7</v>
      </c>
      <c r="O361" s="399">
        <f t="shared" si="124"/>
        <v>404.7</v>
      </c>
      <c r="P361" s="392">
        <f t="shared" si="142"/>
        <v>1</v>
      </c>
      <c r="Q361" s="164">
        <f t="shared" si="125"/>
        <v>0.62</v>
      </c>
      <c r="R361" s="164">
        <f t="shared" si="126"/>
        <v>0</v>
      </c>
      <c r="S361" s="164">
        <f t="shared" si="127"/>
        <v>4.95</v>
      </c>
      <c r="T361" s="164">
        <f t="shared" si="128"/>
        <v>0</v>
      </c>
      <c r="U361" s="164">
        <f t="shared" si="129"/>
        <v>410.27</v>
      </c>
      <c r="V361" s="393">
        <f t="shared" si="130"/>
        <v>410.27</v>
      </c>
      <c r="W361" s="393">
        <f t="shared" si="131"/>
        <v>0</v>
      </c>
      <c r="Y361" s="393">
        <f t="shared" si="150"/>
        <v>8.75</v>
      </c>
      <c r="Z361" s="393">
        <f t="shared" si="139"/>
        <v>395.95</v>
      </c>
      <c r="AD361" s="395">
        <f>IF(AH361&gt;AH360,AD360,IF(AD360&lt;MiscData!$F$1,EOMONTH(AD360,1),EOMONTH(AD360,-11)))</f>
        <v>41790</v>
      </c>
      <c r="AE361" s="389" t="str">
        <f t="shared" si="132"/>
        <v>20140101KUUM_365</v>
      </c>
      <c r="AF361" s="437" t="str">
        <f t="shared" si="133"/>
        <v>20140101LS</v>
      </c>
      <c r="AG361" s="438"/>
      <c r="AH361" s="34">
        <f>IF(AH360=MiscData!$AB$91,1,AH360+1)</f>
        <v>8</v>
      </c>
      <c r="AI361" s="34">
        <f>IF(AD361&lt;=MiscData!$B$23,MiscData!$C$23,IF(AD361&lt;=MiscData!$B$24,MiscData!$C$24,MiscData!$C$25))</f>
        <v>20140101</v>
      </c>
      <c r="AK361" s="439" t="str">
        <f>VLOOKUP(AM361,MiscData!$AB$4:$ACB$113,2,FALSE)</f>
        <v>KUUM_365</v>
      </c>
      <c r="AL361" s="439" t="str">
        <f>VLOOKUP(AM361,MiscData!$AB$4:$AE$115,4,FALSE)</f>
        <v>LS</v>
      </c>
      <c r="AM361" s="34">
        <f>IF(AM360=MiscData!$AB$91,1,AM360+1)</f>
        <v>8</v>
      </c>
    </row>
    <row r="362" spans="1:39">
      <c r="A362" s="389">
        <f t="shared" si="140"/>
        <v>361</v>
      </c>
      <c r="B362" s="395" t="str">
        <f t="shared" si="145"/>
        <v>May 2014</v>
      </c>
      <c r="C362" s="396" t="str">
        <f t="shared" si="146"/>
        <v>LS</v>
      </c>
      <c r="D362" s="396" t="str">
        <f t="shared" si="147"/>
        <v>KUUM_366</v>
      </c>
      <c r="E362" s="394">
        <f t="shared" si="122"/>
        <v>9</v>
      </c>
      <c r="F362" s="397">
        <v>0</v>
      </c>
      <c r="G362" s="394">
        <f t="shared" si="123"/>
        <v>528</v>
      </c>
      <c r="H362" s="394">
        <v>0</v>
      </c>
      <c r="I362" s="390">
        <f t="shared" si="148"/>
        <v>78.97</v>
      </c>
      <c r="J362" s="390">
        <f t="shared" si="149"/>
        <v>1.75</v>
      </c>
      <c r="K362" s="391">
        <f t="shared" si="141"/>
        <v>710.73</v>
      </c>
      <c r="L362" s="398">
        <v>0</v>
      </c>
      <c r="M362" s="398">
        <v>0</v>
      </c>
      <c r="N362" s="164">
        <f t="shared" si="144"/>
        <v>710.73</v>
      </c>
      <c r="O362" s="399">
        <f t="shared" si="124"/>
        <v>710.73</v>
      </c>
      <c r="P362" s="392">
        <f t="shared" si="142"/>
        <v>1</v>
      </c>
      <c r="Q362" s="164">
        <f t="shared" si="125"/>
        <v>1.1200000000000001</v>
      </c>
      <c r="R362" s="164">
        <f t="shared" si="126"/>
        <v>0</v>
      </c>
      <c r="S362" s="164">
        <f t="shared" si="127"/>
        <v>8.68</v>
      </c>
      <c r="T362" s="164">
        <f t="shared" si="128"/>
        <v>0</v>
      </c>
      <c r="U362" s="164">
        <f t="shared" si="129"/>
        <v>720.53</v>
      </c>
      <c r="V362" s="393">
        <f t="shared" si="130"/>
        <v>720.53</v>
      </c>
      <c r="W362" s="393">
        <f t="shared" si="131"/>
        <v>0</v>
      </c>
      <c r="Y362" s="393">
        <f t="shared" si="150"/>
        <v>15.75</v>
      </c>
      <c r="Z362" s="393">
        <f t="shared" si="139"/>
        <v>694.98</v>
      </c>
      <c r="AD362" s="395">
        <f>IF(AH362&gt;AH361,AD361,IF(AD361&lt;MiscData!$F$1,EOMONTH(AD361,1),EOMONTH(AD361,-11)))</f>
        <v>41790</v>
      </c>
      <c r="AE362" s="389" t="str">
        <f t="shared" si="132"/>
        <v>20140101KUUM_366</v>
      </c>
      <c r="AF362" s="437" t="str">
        <f t="shared" si="133"/>
        <v>20140101LS</v>
      </c>
      <c r="AG362" s="438"/>
      <c r="AH362" s="34">
        <f>IF(AH361=MiscData!$AB$91,1,AH361+1)</f>
        <v>9</v>
      </c>
      <c r="AI362" s="34">
        <f>IF(AD362&lt;=MiscData!$B$23,MiscData!$C$23,IF(AD362&lt;=MiscData!$B$24,MiscData!$C$24,MiscData!$C$25))</f>
        <v>20140101</v>
      </c>
      <c r="AK362" s="439" t="str">
        <f>VLOOKUP(AM362,MiscData!$AB$4:$ACB$113,2,FALSE)</f>
        <v>KUUM_366</v>
      </c>
      <c r="AL362" s="439" t="str">
        <f>VLOOKUP(AM362,MiscData!$AB$4:$AE$115,4,FALSE)</f>
        <v>LS</v>
      </c>
      <c r="AM362" s="34">
        <f>IF(AM361=MiscData!$AB$91,1,AM361+1)</f>
        <v>9</v>
      </c>
    </row>
    <row r="363" spans="1:39">
      <c r="A363" s="389">
        <f t="shared" si="140"/>
        <v>362</v>
      </c>
      <c r="B363" s="395" t="str">
        <f t="shared" si="145"/>
        <v>May 2014</v>
      </c>
      <c r="C363" s="396" t="str">
        <f t="shared" si="146"/>
        <v>LS</v>
      </c>
      <c r="D363" s="396" t="str">
        <f t="shared" si="147"/>
        <v>KUUM_367</v>
      </c>
      <c r="E363" s="394">
        <f t="shared" si="122"/>
        <v>25</v>
      </c>
      <c r="F363" s="397">
        <v>0</v>
      </c>
      <c r="G363" s="394">
        <f t="shared" si="123"/>
        <v>1420</v>
      </c>
      <c r="H363" s="394">
        <v>0</v>
      </c>
      <c r="I363" s="390">
        <f t="shared" si="148"/>
        <v>61.230000000000004</v>
      </c>
      <c r="J363" s="390">
        <f t="shared" si="149"/>
        <v>1.75</v>
      </c>
      <c r="K363" s="391">
        <f t="shared" si="141"/>
        <v>1530.75</v>
      </c>
      <c r="L363" s="398">
        <v>0</v>
      </c>
      <c r="M363" s="398">
        <v>0</v>
      </c>
      <c r="N363" s="164">
        <f t="shared" si="144"/>
        <v>1530.75</v>
      </c>
      <c r="O363" s="399">
        <f t="shared" si="124"/>
        <v>1530.75</v>
      </c>
      <c r="P363" s="392">
        <f t="shared" si="142"/>
        <v>1</v>
      </c>
      <c r="Q363" s="164">
        <f t="shared" si="125"/>
        <v>3.02</v>
      </c>
      <c r="R363" s="164">
        <f t="shared" si="126"/>
        <v>0</v>
      </c>
      <c r="S363" s="164">
        <f t="shared" si="127"/>
        <v>18.71</v>
      </c>
      <c r="T363" s="164">
        <f t="shared" si="128"/>
        <v>0</v>
      </c>
      <c r="U363" s="164">
        <f t="shared" si="129"/>
        <v>1552.48</v>
      </c>
      <c r="V363" s="393">
        <f t="shared" si="130"/>
        <v>1552.48</v>
      </c>
      <c r="W363" s="393">
        <f t="shared" si="131"/>
        <v>0</v>
      </c>
      <c r="Y363" s="393">
        <f t="shared" si="150"/>
        <v>43.75</v>
      </c>
      <c r="Z363" s="393">
        <f t="shared" si="139"/>
        <v>1487</v>
      </c>
      <c r="AD363" s="395">
        <f>IF(AH363&gt;AH362,AD362,IF(AD362&lt;MiscData!$F$1,EOMONTH(AD362,1),EOMONTH(AD362,-11)))</f>
        <v>41790</v>
      </c>
      <c r="AE363" s="389" t="str">
        <f t="shared" si="132"/>
        <v>20140101KUUM_367</v>
      </c>
      <c r="AF363" s="437" t="str">
        <f t="shared" si="133"/>
        <v>20140101LS</v>
      </c>
      <c r="AG363" s="438"/>
      <c r="AH363" s="34">
        <f>IF(AH362=MiscData!$AB$91,1,AH362+1)</f>
        <v>10</v>
      </c>
      <c r="AI363" s="34">
        <f>IF(AD363&lt;=MiscData!$B$23,MiscData!$C$23,IF(AD363&lt;=MiscData!$B$24,MiscData!$C$24,MiscData!$C$25))</f>
        <v>20140101</v>
      </c>
      <c r="AK363" s="439" t="str">
        <f>VLOOKUP(AM363,MiscData!$AB$4:$ACB$113,2,FALSE)</f>
        <v>KUUM_367</v>
      </c>
      <c r="AL363" s="439" t="str">
        <f>VLOOKUP(AM363,MiscData!$AB$4:$AE$115,4,FALSE)</f>
        <v>LS</v>
      </c>
      <c r="AM363" s="34">
        <f>IF(AM362=MiscData!$AB$91,1,AM362+1)</f>
        <v>10</v>
      </c>
    </row>
    <row r="364" spans="1:39">
      <c r="A364" s="389">
        <f t="shared" si="140"/>
        <v>363</v>
      </c>
      <c r="B364" s="395" t="str">
        <f t="shared" si="145"/>
        <v>May 2014</v>
      </c>
      <c r="C364" s="396" t="str">
        <f t="shared" si="146"/>
        <v>LS</v>
      </c>
      <c r="D364" s="396" t="str">
        <f t="shared" si="147"/>
        <v>KUUM_368</v>
      </c>
      <c r="E364" s="394">
        <f t="shared" si="122"/>
        <v>1</v>
      </c>
      <c r="F364" s="397">
        <v>0</v>
      </c>
      <c r="G364" s="394">
        <f t="shared" si="123"/>
        <v>59</v>
      </c>
      <c r="H364" s="394">
        <v>0</v>
      </c>
      <c r="I364" s="390">
        <f t="shared" si="148"/>
        <v>56.69</v>
      </c>
      <c r="J364" s="390">
        <f t="shared" si="149"/>
        <v>1.75</v>
      </c>
      <c r="K364" s="391">
        <f t="shared" si="141"/>
        <v>56.69</v>
      </c>
      <c r="L364" s="398">
        <v>0</v>
      </c>
      <c r="M364" s="398">
        <v>0</v>
      </c>
      <c r="N364" s="164">
        <f t="shared" si="144"/>
        <v>56.69</v>
      </c>
      <c r="O364" s="399">
        <f t="shared" si="124"/>
        <v>56.69</v>
      </c>
      <c r="P364" s="392">
        <f t="shared" si="142"/>
        <v>1</v>
      </c>
      <c r="Q364" s="164">
        <f t="shared" si="125"/>
        <v>0.13</v>
      </c>
      <c r="R364" s="164">
        <f t="shared" si="126"/>
        <v>0</v>
      </c>
      <c r="S364" s="164">
        <f t="shared" si="127"/>
        <v>0.69</v>
      </c>
      <c r="T364" s="164">
        <f t="shared" si="128"/>
        <v>0</v>
      </c>
      <c r="U364" s="164">
        <f t="shared" si="129"/>
        <v>57.51</v>
      </c>
      <c r="V364" s="393">
        <f t="shared" si="130"/>
        <v>57.51</v>
      </c>
      <c r="W364" s="393">
        <f t="shared" si="131"/>
        <v>0</v>
      </c>
      <c r="Y364" s="393">
        <f t="shared" si="150"/>
        <v>1.75</v>
      </c>
      <c r="Z364" s="393">
        <f t="shared" si="139"/>
        <v>54.94</v>
      </c>
      <c r="AD364" s="395">
        <f>IF(AH364&gt;AH363,AD363,IF(AD363&lt;MiscData!$F$1,EOMONTH(AD363,1),EOMONTH(AD363,-11)))</f>
        <v>41790</v>
      </c>
      <c r="AE364" s="389" t="str">
        <f t="shared" si="132"/>
        <v>20140101KUUM_368</v>
      </c>
      <c r="AF364" s="437" t="str">
        <f t="shared" si="133"/>
        <v>20140101LS</v>
      </c>
      <c r="AG364" s="438"/>
      <c r="AH364" s="34">
        <f>IF(AH363=MiscData!$AB$91,1,AH363+1)</f>
        <v>11</v>
      </c>
      <c r="AI364" s="34">
        <f>IF(AD364&lt;=MiscData!$B$23,MiscData!$C$23,IF(AD364&lt;=MiscData!$B$24,MiscData!$C$24,MiscData!$C$25))</f>
        <v>20140101</v>
      </c>
      <c r="AK364" s="439" t="str">
        <f>VLOOKUP(AM364,MiscData!$AB$4:$ACB$113,2,FALSE)</f>
        <v>KUUM_368</v>
      </c>
      <c r="AL364" s="439" t="str">
        <f>VLOOKUP(AM364,MiscData!$AB$4:$AE$115,4,FALSE)</f>
        <v>LS</v>
      </c>
      <c r="AM364" s="34">
        <f>IF(AM363=MiscData!$AB$91,1,AM363+1)</f>
        <v>11</v>
      </c>
    </row>
    <row r="365" spans="1:39">
      <c r="A365" s="389">
        <f t="shared" si="140"/>
        <v>364</v>
      </c>
      <c r="B365" s="395" t="str">
        <f t="shared" si="145"/>
        <v>May 2014</v>
      </c>
      <c r="C365" s="396" t="str">
        <f t="shared" si="146"/>
        <v>LS</v>
      </c>
      <c r="D365" s="396" t="str">
        <f t="shared" si="147"/>
        <v>KUUM_370</v>
      </c>
      <c r="E365" s="394">
        <f t="shared" si="122"/>
        <v>15</v>
      </c>
      <c r="F365" s="397">
        <v>0</v>
      </c>
      <c r="G365" s="394">
        <f t="shared" si="123"/>
        <v>860</v>
      </c>
      <c r="H365" s="394">
        <v>0</v>
      </c>
      <c r="I365" s="390">
        <f t="shared" si="148"/>
        <v>74.52</v>
      </c>
      <c r="J365" s="390">
        <f t="shared" si="149"/>
        <v>1.75</v>
      </c>
      <c r="K365" s="391">
        <f t="shared" si="141"/>
        <v>1117.8</v>
      </c>
      <c r="L365" s="398">
        <v>0</v>
      </c>
      <c r="M365" s="398">
        <v>0</v>
      </c>
      <c r="N365" s="164">
        <f t="shared" si="144"/>
        <v>1117.8</v>
      </c>
      <c r="O365" s="399">
        <f t="shared" si="124"/>
        <v>1117.8000000000002</v>
      </c>
      <c r="P365" s="392">
        <f t="shared" si="142"/>
        <v>1</v>
      </c>
      <c r="Q365" s="164">
        <f t="shared" si="125"/>
        <v>1.97</v>
      </c>
      <c r="R365" s="164">
        <f t="shared" si="126"/>
        <v>0</v>
      </c>
      <c r="S365" s="164">
        <f t="shared" si="127"/>
        <v>15.11</v>
      </c>
      <c r="T365" s="164">
        <f t="shared" si="128"/>
        <v>0</v>
      </c>
      <c r="U365" s="164">
        <f t="shared" si="129"/>
        <v>1134.8800000000001</v>
      </c>
      <c r="V365" s="393">
        <f t="shared" si="130"/>
        <v>1134.8799999999999</v>
      </c>
      <c r="W365" s="393">
        <f t="shared" si="131"/>
        <v>0</v>
      </c>
      <c r="Y365" s="393">
        <f t="shared" si="150"/>
        <v>26.25</v>
      </c>
      <c r="Z365" s="393">
        <f t="shared" si="139"/>
        <v>1091.5500000000002</v>
      </c>
      <c r="AD365" s="395">
        <f>IF(AH365&gt;AH364,AD364,IF(AD364&lt;MiscData!$F$1,EOMONTH(AD364,1),EOMONTH(AD364,-11)))</f>
        <v>41790</v>
      </c>
      <c r="AE365" s="389" t="str">
        <f t="shared" si="132"/>
        <v>20140101KUUM_370</v>
      </c>
      <c r="AF365" s="437" t="str">
        <f t="shared" si="133"/>
        <v>20140101LS</v>
      </c>
      <c r="AG365" s="438"/>
      <c r="AH365" s="34">
        <f>IF(AH364=MiscData!$AB$91,1,AH364+1)</f>
        <v>12</v>
      </c>
      <c r="AI365" s="34">
        <f>IF(AD365&lt;=MiscData!$B$23,MiscData!$C$23,IF(AD365&lt;=MiscData!$B$24,MiscData!$C$24,MiscData!$C$25))</f>
        <v>20140101</v>
      </c>
      <c r="AK365" s="439" t="str">
        <f>VLOOKUP(AM365,MiscData!$AB$4:$ACB$113,2,FALSE)</f>
        <v>KUUM_370</v>
      </c>
      <c r="AL365" s="439" t="str">
        <f>VLOOKUP(AM365,MiscData!$AB$4:$AE$115,4,FALSE)</f>
        <v>LS</v>
      </c>
      <c r="AM365" s="34">
        <f>IF(AM364=MiscData!$AB$91,1,AM364+1)</f>
        <v>12</v>
      </c>
    </row>
    <row r="366" spans="1:39">
      <c r="A366" s="389">
        <f t="shared" si="140"/>
        <v>365</v>
      </c>
      <c r="B366" s="395" t="str">
        <f t="shared" si="145"/>
        <v>May 2014</v>
      </c>
      <c r="C366" s="396" t="str">
        <f t="shared" si="146"/>
        <v>LS</v>
      </c>
      <c r="D366" s="396" t="str">
        <f t="shared" si="147"/>
        <v>KUUM_372</v>
      </c>
      <c r="E366" s="394">
        <f t="shared" si="122"/>
        <v>1</v>
      </c>
      <c r="F366" s="397">
        <v>0</v>
      </c>
      <c r="G366" s="394">
        <f t="shared" si="123"/>
        <v>59</v>
      </c>
      <c r="H366" s="394">
        <v>0</v>
      </c>
      <c r="I366" s="390">
        <f t="shared" si="148"/>
        <v>82.3</v>
      </c>
      <c r="J366" s="390">
        <f t="shared" si="149"/>
        <v>1.75</v>
      </c>
      <c r="K366" s="391">
        <f t="shared" si="141"/>
        <v>82.3</v>
      </c>
      <c r="L366" s="398">
        <v>0</v>
      </c>
      <c r="M366" s="398">
        <v>0</v>
      </c>
      <c r="N366" s="164">
        <f t="shared" si="144"/>
        <v>82.3</v>
      </c>
      <c r="O366" s="399">
        <f t="shared" si="124"/>
        <v>82.3</v>
      </c>
      <c r="P366" s="392">
        <f t="shared" si="142"/>
        <v>1</v>
      </c>
      <c r="Q366" s="164">
        <f t="shared" si="125"/>
        <v>0.13</v>
      </c>
      <c r="R366" s="164">
        <f t="shared" si="126"/>
        <v>0</v>
      </c>
      <c r="S366" s="164">
        <f t="shared" si="127"/>
        <v>1.01</v>
      </c>
      <c r="T366" s="164">
        <f t="shared" si="128"/>
        <v>0</v>
      </c>
      <c r="U366" s="164">
        <f t="shared" si="129"/>
        <v>83.44</v>
      </c>
      <c r="V366" s="393">
        <f t="shared" si="130"/>
        <v>83.44</v>
      </c>
      <c r="W366" s="393">
        <f t="shared" si="131"/>
        <v>0</v>
      </c>
      <c r="Y366" s="393">
        <f t="shared" si="150"/>
        <v>1.75</v>
      </c>
      <c r="Z366" s="393">
        <f t="shared" si="139"/>
        <v>80.55</v>
      </c>
      <c r="AD366" s="395">
        <f>IF(AH366&gt;AH365,AD365,IF(AD365&lt;MiscData!$F$1,EOMONTH(AD365,1),EOMONTH(AD365,-11)))</f>
        <v>41790</v>
      </c>
      <c r="AE366" s="389" t="str">
        <f t="shared" si="132"/>
        <v>20140101KUUM_372</v>
      </c>
      <c r="AF366" s="437" t="str">
        <f t="shared" si="133"/>
        <v>20140101LS</v>
      </c>
      <c r="AG366" s="438"/>
      <c r="AH366" s="34">
        <f>IF(AH365=MiscData!$AB$91,1,AH365+1)</f>
        <v>13</v>
      </c>
      <c r="AI366" s="34">
        <f>IF(AD366&lt;=MiscData!$B$23,MiscData!$C$23,IF(AD366&lt;=MiscData!$B$24,MiscData!$C$24,MiscData!$C$25))</f>
        <v>20140101</v>
      </c>
      <c r="AK366" s="439" t="str">
        <f>VLOOKUP(AM366,MiscData!$AB$4:$ACB$113,2,FALSE)</f>
        <v>KUUM_372</v>
      </c>
      <c r="AL366" s="439" t="str">
        <f>VLOOKUP(AM366,MiscData!$AB$4:$AE$115,4,FALSE)</f>
        <v>LS</v>
      </c>
      <c r="AM366" s="34">
        <f>IF(AM365=MiscData!$AB$91,1,AM365+1)</f>
        <v>13</v>
      </c>
    </row>
    <row r="367" spans="1:39">
      <c r="A367" s="389">
        <f t="shared" si="140"/>
        <v>366</v>
      </c>
      <c r="B367" s="395" t="str">
        <f t="shared" si="145"/>
        <v>May 2014</v>
      </c>
      <c r="C367" s="396" t="str">
        <f t="shared" si="146"/>
        <v>LS</v>
      </c>
      <c r="D367" s="396" t="str">
        <f t="shared" si="147"/>
        <v>KUUM_373</v>
      </c>
      <c r="E367" s="394">
        <f t="shared" si="122"/>
        <v>20</v>
      </c>
      <c r="F367" s="397">
        <v>0</v>
      </c>
      <c r="G367" s="394">
        <f t="shared" si="123"/>
        <v>1112</v>
      </c>
      <c r="H367" s="394">
        <v>0</v>
      </c>
      <c r="I367" s="390">
        <f t="shared" si="148"/>
        <v>74.52</v>
      </c>
      <c r="J367" s="390">
        <f t="shared" si="149"/>
        <v>1.75</v>
      </c>
      <c r="K367" s="391">
        <f t="shared" si="141"/>
        <v>1490.4</v>
      </c>
      <c r="L367" s="398">
        <v>0</v>
      </c>
      <c r="M367" s="398">
        <v>0</v>
      </c>
      <c r="N367" s="164">
        <f t="shared" si="144"/>
        <v>1490.4</v>
      </c>
      <c r="O367" s="399">
        <f t="shared" si="124"/>
        <v>1490.4</v>
      </c>
      <c r="P367" s="392">
        <f t="shared" si="142"/>
        <v>1</v>
      </c>
      <c r="Q367" s="164">
        <f t="shared" si="125"/>
        <v>2.36</v>
      </c>
      <c r="R367" s="164">
        <f t="shared" si="126"/>
        <v>0</v>
      </c>
      <c r="S367" s="164">
        <f t="shared" si="127"/>
        <v>18.21</v>
      </c>
      <c r="T367" s="164">
        <f t="shared" si="128"/>
        <v>0</v>
      </c>
      <c r="U367" s="164">
        <f t="shared" si="129"/>
        <v>1510.97</v>
      </c>
      <c r="V367" s="393">
        <f t="shared" si="130"/>
        <v>1510.97</v>
      </c>
      <c r="W367" s="393">
        <f t="shared" si="131"/>
        <v>0</v>
      </c>
      <c r="Y367" s="393">
        <f t="shared" si="150"/>
        <v>35</v>
      </c>
      <c r="Z367" s="393">
        <f t="shared" si="139"/>
        <v>1455.4</v>
      </c>
      <c r="AD367" s="395">
        <f>IF(AH367&gt;AH366,AD366,IF(AD366&lt;MiscData!$F$1,EOMONTH(AD366,1),EOMONTH(AD366,-11)))</f>
        <v>41790</v>
      </c>
      <c r="AE367" s="389" t="str">
        <f t="shared" si="132"/>
        <v>20140101KUUM_373</v>
      </c>
      <c r="AF367" s="437" t="str">
        <f t="shared" si="133"/>
        <v>20140101LS</v>
      </c>
      <c r="AG367" s="438"/>
      <c r="AH367" s="34">
        <f>IF(AH366=MiscData!$AB$91,1,AH366+1)</f>
        <v>14</v>
      </c>
      <c r="AI367" s="34">
        <f>IF(AD367&lt;=MiscData!$B$23,MiscData!$C$23,IF(AD367&lt;=MiscData!$B$24,MiscData!$C$24,MiscData!$C$25))</f>
        <v>20140101</v>
      </c>
      <c r="AK367" s="439" t="str">
        <f>VLOOKUP(AM367,MiscData!$AB$4:$ACB$113,2,FALSE)</f>
        <v>KUUM_373</v>
      </c>
      <c r="AL367" s="439" t="str">
        <f>VLOOKUP(AM367,MiscData!$AB$4:$AE$115,4,FALSE)</f>
        <v>LS</v>
      </c>
      <c r="AM367" s="34">
        <f>IF(AM366=MiscData!$AB$91,1,AM366+1)</f>
        <v>14</v>
      </c>
    </row>
    <row r="368" spans="1:39">
      <c r="A368" s="389">
        <f t="shared" si="140"/>
        <v>367</v>
      </c>
      <c r="B368" s="395" t="str">
        <f t="shared" si="145"/>
        <v>May 2014</v>
      </c>
      <c r="C368" s="396" t="str">
        <f t="shared" si="146"/>
        <v>LS</v>
      </c>
      <c r="D368" s="396" t="str">
        <f t="shared" si="147"/>
        <v>KUUM_374</v>
      </c>
      <c r="E368" s="394">
        <f t="shared" si="122"/>
        <v>4</v>
      </c>
      <c r="F368" s="397">
        <v>0</v>
      </c>
      <c r="G368" s="394">
        <f t="shared" si="123"/>
        <v>229</v>
      </c>
      <c r="H368" s="394">
        <v>0</v>
      </c>
      <c r="I368" s="390">
        <f t="shared" si="148"/>
        <v>75.88</v>
      </c>
      <c r="J368" s="390">
        <f t="shared" si="149"/>
        <v>1.75</v>
      </c>
      <c r="K368" s="391">
        <f t="shared" si="141"/>
        <v>303.52</v>
      </c>
      <c r="L368" s="398">
        <v>0</v>
      </c>
      <c r="M368" s="398">
        <v>0</v>
      </c>
      <c r="N368" s="164">
        <f t="shared" si="144"/>
        <v>303.52</v>
      </c>
      <c r="O368" s="399">
        <f t="shared" si="124"/>
        <v>303.52</v>
      </c>
      <c r="P368" s="392">
        <f t="shared" si="142"/>
        <v>1</v>
      </c>
      <c r="Q368" s="164">
        <f t="shared" si="125"/>
        <v>0.49</v>
      </c>
      <c r="R368" s="164">
        <f t="shared" si="126"/>
        <v>0</v>
      </c>
      <c r="S368" s="164">
        <f t="shared" si="127"/>
        <v>3.7</v>
      </c>
      <c r="T368" s="164">
        <f t="shared" si="128"/>
        <v>0</v>
      </c>
      <c r="U368" s="164">
        <f t="shared" si="129"/>
        <v>307.70999999999998</v>
      </c>
      <c r="V368" s="393">
        <f t="shared" si="130"/>
        <v>307.70999999999998</v>
      </c>
      <c r="W368" s="393">
        <f t="shared" si="131"/>
        <v>0</v>
      </c>
      <c r="Y368" s="393">
        <f t="shared" si="150"/>
        <v>7</v>
      </c>
      <c r="Z368" s="393">
        <f t="shared" si="139"/>
        <v>296.52</v>
      </c>
      <c r="AD368" s="395">
        <f>IF(AH368&gt;AH367,AD367,IF(AD367&lt;MiscData!$F$1,EOMONTH(AD367,1),EOMONTH(AD367,-11)))</f>
        <v>41790</v>
      </c>
      <c r="AE368" s="389" t="str">
        <f t="shared" si="132"/>
        <v>20140101KUUM_374</v>
      </c>
      <c r="AF368" s="437" t="str">
        <f t="shared" si="133"/>
        <v>20140101LS</v>
      </c>
      <c r="AG368" s="438"/>
      <c r="AH368" s="34">
        <f>IF(AH367=MiscData!$AB$91,1,AH367+1)</f>
        <v>15</v>
      </c>
      <c r="AI368" s="34">
        <f>IF(AD368&lt;=MiscData!$B$23,MiscData!$C$23,IF(AD368&lt;=MiscData!$B$24,MiscData!$C$24,MiscData!$C$25))</f>
        <v>20140101</v>
      </c>
      <c r="AK368" s="439" t="str">
        <f>VLOOKUP(AM368,MiscData!$AB$4:$ACB$113,2,FALSE)</f>
        <v>KUUM_374</v>
      </c>
      <c r="AL368" s="439" t="str">
        <f>VLOOKUP(AM368,MiscData!$AB$4:$AE$115,4,FALSE)</f>
        <v>LS</v>
      </c>
      <c r="AM368" s="34">
        <f>IF(AM367=MiscData!$AB$91,1,AM367+1)</f>
        <v>15</v>
      </c>
    </row>
    <row r="369" spans="1:39">
      <c r="A369" s="389">
        <f t="shared" si="140"/>
        <v>368</v>
      </c>
      <c r="B369" s="395" t="str">
        <f t="shared" si="145"/>
        <v>May 2014</v>
      </c>
      <c r="C369" s="396" t="str">
        <f t="shared" si="146"/>
        <v>LS</v>
      </c>
      <c r="D369" s="396" t="str">
        <f t="shared" si="147"/>
        <v>KUUM_375</v>
      </c>
      <c r="E369" s="394">
        <f t="shared" si="122"/>
        <v>3</v>
      </c>
      <c r="F369" s="397">
        <v>0</v>
      </c>
      <c r="G369" s="394">
        <f t="shared" si="123"/>
        <v>167</v>
      </c>
      <c r="H369" s="394">
        <v>0</v>
      </c>
      <c r="I369" s="390">
        <f t="shared" si="148"/>
        <v>78.97</v>
      </c>
      <c r="J369" s="390">
        <f t="shared" si="149"/>
        <v>1.75</v>
      </c>
      <c r="K369" s="391">
        <f t="shared" si="141"/>
        <v>236.91</v>
      </c>
      <c r="L369" s="398">
        <v>0</v>
      </c>
      <c r="M369" s="398">
        <v>0</v>
      </c>
      <c r="N369" s="164">
        <f t="shared" si="144"/>
        <v>236.91</v>
      </c>
      <c r="O369" s="399">
        <f t="shared" si="124"/>
        <v>236.91</v>
      </c>
      <c r="P369" s="392">
        <f t="shared" si="142"/>
        <v>1</v>
      </c>
      <c r="Q369" s="164">
        <f t="shared" si="125"/>
        <v>0.36</v>
      </c>
      <c r="R369" s="164">
        <f t="shared" si="126"/>
        <v>0</v>
      </c>
      <c r="S369" s="164">
        <f t="shared" si="127"/>
        <v>2.89</v>
      </c>
      <c r="T369" s="164">
        <f t="shared" si="128"/>
        <v>0</v>
      </c>
      <c r="U369" s="164">
        <f t="shared" si="129"/>
        <v>240.16</v>
      </c>
      <c r="V369" s="393">
        <f t="shared" si="130"/>
        <v>240.16</v>
      </c>
      <c r="W369" s="393">
        <f t="shared" si="131"/>
        <v>0</v>
      </c>
      <c r="Y369" s="393">
        <f t="shared" si="150"/>
        <v>5.25</v>
      </c>
      <c r="Z369" s="393">
        <f t="shared" si="139"/>
        <v>231.66</v>
      </c>
      <c r="AD369" s="395">
        <f>IF(AH369&gt;AH368,AD368,IF(AD368&lt;MiscData!$F$1,EOMONTH(AD368,1),EOMONTH(AD368,-11)))</f>
        <v>41790</v>
      </c>
      <c r="AE369" s="389" t="str">
        <f t="shared" si="132"/>
        <v>20140101KUUM_375</v>
      </c>
      <c r="AF369" s="437" t="str">
        <f t="shared" si="133"/>
        <v>20140101LS</v>
      </c>
      <c r="AG369" s="438"/>
      <c r="AH369" s="34">
        <f>IF(AH368=MiscData!$AB$91,1,AH368+1)</f>
        <v>16</v>
      </c>
      <c r="AI369" s="34">
        <f>IF(AD369&lt;=MiscData!$B$23,MiscData!$C$23,IF(AD369&lt;=MiscData!$B$24,MiscData!$C$24,MiscData!$C$25))</f>
        <v>20140101</v>
      </c>
      <c r="AK369" s="439" t="str">
        <f>VLOOKUP(AM369,MiscData!$AB$4:$ACB$113,2,FALSE)</f>
        <v>KUUM_375</v>
      </c>
      <c r="AL369" s="439" t="str">
        <f>VLOOKUP(AM369,MiscData!$AB$4:$AE$115,4,FALSE)</f>
        <v>LS</v>
      </c>
      <c r="AM369" s="34">
        <f>IF(AM368=MiscData!$AB$91,1,AM368+1)</f>
        <v>16</v>
      </c>
    </row>
    <row r="370" spans="1:39">
      <c r="A370" s="389">
        <f t="shared" si="140"/>
        <v>369</v>
      </c>
      <c r="B370" s="395" t="str">
        <f t="shared" si="145"/>
        <v>May 2014</v>
      </c>
      <c r="C370" s="396" t="str">
        <f t="shared" si="146"/>
        <v>LS</v>
      </c>
      <c r="D370" s="396" t="str">
        <f t="shared" si="147"/>
        <v>KUUM_376</v>
      </c>
      <c r="E370" s="394">
        <f t="shared" si="122"/>
        <v>2</v>
      </c>
      <c r="F370" s="397">
        <v>0</v>
      </c>
      <c r="G370" s="394">
        <f t="shared" si="123"/>
        <v>111</v>
      </c>
      <c r="H370" s="394">
        <v>3355</v>
      </c>
      <c r="I370" s="390">
        <f t="shared" si="148"/>
        <v>77.259999999999991</v>
      </c>
      <c r="J370" s="390">
        <f t="shared" si="149"/>
        <v>1.75</v>
      </c>
      <c r="K370" s="391">
        <f t="shared" si="141"/>
        <v>154.52000000000001</v>
      </c>
      <c r="L370" s="398">
        <v>0</v>
      </c>
      <c r="M370" s="398">
        <v>0</v>
      </c>
      <c r="N370" s="164">
        <f t="shared" si="144"/>
        <v>154.52000000000001</v>
      </c>
      <c r="O370" s="399">
        <f t="shared" si="124"/>
        <v>154.52000000000001</v>
      </c>
      <c r="P370" s="392">
        <f t="shared" si="142"/>
        <v>1</v>
      </c>
      <c r="Q370" s="164">
        <f t="shared" si="125"/>
        <v>0.24</v>
      </c>
      <c r="R370" s="164">
        <f t="shared" si="126"/>
        <v>0</v>
      </c>
      <c r="S370" s="164">
        <f t="shared" si="127"/>
        <v>1.89</v>
      </c>
      <c r="T370" s="164">
        <f t="shared" si="128"/>
        <v>0</v>
      </c>
      <c r="U370" s="164">
        <f t="shared" si="129"/>
        <v>156.65</v>
      </c>
      <c r="V370" s="393">
        <f t="shared" si="130"/>
        <v>156.65</v>
      </c>
      <c r="W370" s="393">
        <f t="shared" si="131"/>
        <v>0</v>
      </c>
      <c r="Y370" s="393">
        <f t="shared" si="150"/>
        <v>3.5</v>
      </c>
      <c r="Z370" s="393">
        <f t="shared" si="139"/>
        <v>151.02000000000001</v>
      </c>
      <c r="AD370" s="395">
        <f>IF(AH370&gt;AH369,AD369,IF(AD369&lt;MiscData!$F$1,EOMONTH(AD369,1),EOMONTH(AD369,-11)))</f>
        <v>41790</v>
      </c>
      <c r="AE370" s="389" t="str">
        <f t="shared" si="132"/>
        <v>20140101KUUM_376</v>
      </c>
      <c r="AF370" s="437" t="str">
        <f t="shared" si="133"/>
        <v>20140101LS</v>
      </c>
      <c r="AG370" s="438"/>
      <c r="AH370" s="34">
        <f>IF(AH369=MiscData!$AB$91,1,AH369+1)</f>
        <v>17</v>
      </c>
      <c r="AI370" s="34">
        <f>IF(AD370&lt;=MiscData!$B$23,MiscData!$C$23,IF(AD370&lt;=MiscData!$B$24,MiscData!$C$24,MiscData!$C$25))</f>
        <v>20140101</v>
      </c>
      <c r="AK370" s="439" t="str">
        <f>VLOOKUP(AM370,MiscData!$AB$4:$ACB$113,2,FALSE)</f>
        <v>KUUM_376</v>
      </c>
      <c r="AL370" s="439" t="str">
        <f>VLOOKUP(AM370,MiscData!$AB$4:$AE$115,4,FALSE)</f>
        <v>LS</v>
      </c>
      <c r="AM370" s="34">
        <f>IF(AM369=MiscData!$AB$91,1,AM369+1)</f>
        <v>17</v>
      </c>
    </row>
    <row r="371" spans="1:39">
      <c r="A371" s="389">
        <f t="shared" si="140"/>
        <v>370</v>
      </c>
      <c r="B371" s="395" t="str">
        <f t="shared" si="145"/>
        <v>May 2014</v>
      </c>
      <c r="C371" s="396" t="str">
        <f t="shared" si="146"/>
        <v>LS</v>
      </c>
      <c r="D371" s="396" t="str">
        <f t="shared" si="147"/>
        <v>KUUM_377</v>
      </c>
      <c r="E371" s="394">
        <f t="shared" si="122"/>
        <v>51</v>
      </c>
      <c r="F371" s="397">
        <v>0</v>
      </c>
      <c r="G371" s="394">
        <f t="shared" si="123"/>
        <v>2869</v>
      </c>
      <c r="H371" s="394">
        <v>0</v>
      </c>
      <c r="I371" s="390">
        <f t="shared" si="148"/>
        <v>64.19</v>
      </c>
      <c r="J371" s="390">
        <f t="shared" si="149"/>
        <v>1.75</v>
      </c>
      <c r="K371" s="391">
        <f t="shared" si="141"/>
        <v>3273.69</v>
      </c>
      <c r="L371" s="398">
        <v>0</v>
      </c>
      <c r="M371" s="398">
        <v>0</v>
      </c>
      <c r="N371" s="164">
        <f t="shared" si="144"/>
        <v>3273.69</v>
      </c>
      <c r="O371" s="399">
        <f t="shared" si="124"/>
        <v>3273.69</v>
      </c>
      <c r="P371" s="392">
        <f t="shared" si="142"/>
        <v>1</v>
      </c>
      <c r="Q371" s="164">
        <f t="shared" si="125"/>
        <v>6.09</v>
      </c>
      <c r="R371" s="164">
        <f t="shared" si="126"/>
        <v>0</v>
      </c>
      <c r="S371" s="164">
        <f t="shared" si="127"/>
        <v>40.020000000000003</v>
      </c>
      <c r="T371" s="164">
        <f t="shared" si="128"/>
        <v>0</v>
      </c>
      <c r="U371" s="164">
        <f t="shared" si="129"/>
        <v>3319.8</v>
      </c>
      <c r="V371" s="393">
        <f t="shared" si="130"/>
        <v>3319.8</v>
      </c>
      <c r="W371" s="393">
        <f t="shared" si="131"/>
        <v>0</v>
      </c>
      <c r="Y371" s="393">
        <f t="shared" si="150"/>
        <v>89.25</v>
      </c>
      <c r="Z371" s="393">
        <f t="shared" si="139"/>
        <v>3184.44</v>
      </c>
      <c r="AD371" s="395">
        <f>IF(AH371&gt;AH370,AD370,IF(AD370&lt;MiscData!$F$1,EOMONTH(AD370,1),EOMONTH(AD370,-11)))</f>
        <v>41790</v>
      </c>
      <c r="AE371" s="389" t="str">
        <f t="shared" si="132"/>
        <v>20140101KUUM_377</v>
      </c>
      <c r="AF371" s="437" t="str">
        <f t="shared" si="133"/>
        <v>20140101LS</v>
      </c>
      <c r="AG371" s="438"/>
      <c r="AH371" s="34">
        <f>IF(AH370=MiscData!$AB$91,1,AH370+1)</f>
        <v>18</v>
      </c>
      <c r="AI371" s="34">
        <f>IF(AD371&lt;=MiscData!$B$23,MiscData!$C$23,IF(AD371&lt;=MiscData!$B$24,MiscData!$C$24,MiscData!$C$25))</f>
        <v>20140101</v>
      </c>
      <c r="AK371" s="439" t="str">
        <f>VLOOKUP(AM371,MiscData!$AB$4:$ACB$113,2,FALSE)</f>
        <v>KUUM_377</v>
      </c>
      <c r="AL371" s="439" t="str">
        <f>VLOOKUP(AM371,MiscData!$AB$4:$AE$115,4,FALSE)</f>
        <v>LS</v>
      </c>
      <c r="AM371" s="34">
        <f>IF(AM370=MiscData!$AB$91,1,AM370+1)</f>
        <v>18</v>
      </c>
    </row>
    <row r="372" spans="1:39">
      <c r="A372" s="389">
        <f t="shared" si="140"/>
        <v>371</v>
      </c>
      <c r="B372" s="395" t="str">
        <f t="shared" si="145"/>
        <v>May 2014</v>
      </c>
      <c r="C372" s="396" t="str">
        <f t="shared" si="146"/>
        <v>LS</v>
      </c>
      <c r="D372" s="396" t="str">
        <f t="shared" si="147"/>
        <v>KUUM_378</v>
      </c>
      <c r="E372" s="394">
        <f t="shared" si="122"/>
        <v>2</v>
      </c>
      <c r="F372" s="397">
        <v>0</v>
      </c>
      <c r="G372" s="394">
        <f t="shared" si="123"/>
        <v>111</v>
      </c>
      <c r="H372" s="394">
        <v>0</v>
      </c>
      <c r="I372" s="390">
        <f t="shared" si="148"/>
        <v>75.899999999999991</v>
      </c>
      <c r="J372" s="390">
        <f t="shared" si="149"/>
        <v>1.75</v>
      </c>
      <c r="K372" s="391">
        <f t="shared" si="141"/>
        <v>151.80000000000001</v>
      </c>
      <c r="L372" s="398">
        <v>0</v>
      </c>
      <c r="M372" s="398">
        <v>0</v>
      </c>
      <c r="N372" s="164">
        <f t="shared" si="144"/>
        <v>151.80000000000001</v>
      </c>
      <c r="O372" s="399">
        <f t="shared" si="124"/>
        <v>151.79999999999998</v>
      </c>
      <c r="P372" s="392">
        <f t="shared" si="142"/>
        <v>1</v>
      </c>
      <c r="Q372" s="164">
        <f t="shared" si="125"/>
        <v>0.24</v>
      </c>
      <c r="R372" s="164">
        <f t="shared" si="126"/>
        <v>0</v>
      </c>
      <c r="S372" s="164">
        <f t="shared" si="127"/>
        <v>1.85</v>
      </c>
      <c r="T372" s="164">
        <f t="shared" si="128"/>
        <v>0</v>
      </c>
      <c r="U372" s="164">
        <f t="shared" si="129"/>
        <v>153.88999999999999</v>
      </c>
      <c r="V372" s="393">
        <f t="shared" si="130"/>
        <v>153.89000000000001</v>
      </c>
      <c r="W372" s="393">
        <f t="shared" si="131"/>
        <v>0</v>
      </c>
      <c r="Y372" s="393">
        <f t="shared" si="150"/>
        <v>3.5</v>
      </c>
      <c r="Z372" s="393">
        <f t="shared" si="139"/>
        <v>148.29999999999998</v>
      </c>
      <c r="AD372" s="395">
        <f>IF(AH372&gt;AH371,AD371,IF(AD371&lt;MiscData!$F$1,EOMONTH(AD371,1),EOMONTH(AD371,-11)))</f>
        <v>41790</v>
      </c>
      <c r="AE372" s="389" t="str">
        <f t="shared" si="132"/>
        <v>20140101KUUM_378</v>
      </c>
      <c r="AF372" s="437" t="str">
        <f t="shared" si="133"/>
        <v>20140101LS</v>
      </c>
      <c r="AG372" s="438"/>
      <c r="AH372" s="34">
        <f>IF(AH371=MiscData!$AB$91,1,AH371+1)</f>
        <v>19</v>
      </c>
      <c r="AI372" s="34">
        <f>IF(AD372&lt;=MiscData!$B$23,MiscData!$C$23,IF(AD372&lt;=MiscData!$B$24,MiscData!$C$24,MiscData!$C$25))</f>
        <v>20140101</v>
      </c>
      <c r="AK372" s="439" t="str">
        <f>VLOOKUP(AM372,MiscData!$AB$4:$ACB$113,2,FALSE)</f>
        <v>KUUM_378</v>
      </c>
      <c r="AL372" s="439" t="str">
        <f>VLOOKUP(AM372,MiscData!$AB$4:$AE$115,4,FALSE)</f>
        <v>LS</v>
      </c>
      <c r="AM372" s="34">
        <f>IF(AM371=MiscData!$AB$91,1,AM371+1)</f>
        <v>19</v>
      </c>
    </row>
    <row r="373" spans="1:39">
      <c r="A373" s="389">
        <f t="shared" si="140"/>
        <v>372</v>
      </c>
      <c r="B373" s="395" t="str">
        <f t="shared" si="145"/>
        <v>May 2014</v>
      </c>
      <c r="C373" s="396" t="str">
        <f t="shared" si="146"/>
        <v>LS</v>
      </c>
      <c r="D373" s="396" t="str">
        <f t="shared" si="147"/>
        <v>KUUM_401</v>
      </c>
      <c r="E373" s="394">
        <f t="shared" si="122"/>
        <v>52</v>
      </c>
      <c r="F373" s="397">
        <v>0</v>
      </c>
      <c r="G373" s="394">
        <f t="shared" si="123"/>
        <v>1267</v>
      </c>
      <c r="H373" s="394">
        <v>0</v>
      </c>
      <c r="I373" s="390">
        <f t="shared" si="148"/>
        <v>14.860000000000001</v>
      </c>
      <c r="J373" s="390">
        <f t="shared" si="149"/>
        <v>0.80000000000000071</v>
      </c>
      <c r="K373" s="391">
        <f t="shared" si="141"/>
        <v>772.72</v>
      </c>
      <c r="L373" s="398">
        <v>0</v>
      </c>
      <c r="M373" s="398">
        <v>0</v>
      </c>
      <c r="N373" s="164">
        <f t="shared" si="144"/>
        <v>772.72</v>
      </c>
      <c r="O373" s="399">
        <f t="shared" si="124"/>
        <v>772.71999999999991</v>
      </c>
      <c r="P373" s="392">
        <f t="shared" si="142"/>
        <v>1</v>
      </c>
      <c r="Q373" s="164">
        <f t="shared" si="125"/>
        <v>4.05</v>
      </c>
      <c r="R373" s="164">
        <f t="shared" si="126"/>
        <v>0</v>
      </c>
      <c r="S373" s="164">
        <f t="shared" si="127"/>
        <v>15.27</v>
      </c>
      <c r="T373" s="164">
        <f t="shared" si="128"/>
        <v>0</v>
      </c>
      <c r="U373" s="164">
        <f t="shared" si="129"/>
        <v>792.04</v>
      </c>
      <c r="V373" s="393">
        <f t="shared" si="130"/>
        <v>792.04</v>
      </c>
      <c r="W373" s="393">
        <f t="shared" si="131"/>
        <v>0</v>
      </c>
      <c r="Y373" s="393">
        <f t="shared" si="150"/>
        <v>41.6</v>
      </c>
      <c r="Z373" s="393">
        <f t="shared" si="139"/>
        <v>731.11999999999989</v>
      </c>
      <c r="AD373" s="395">
        <f>IF(AH373&gt;AH372,AD372,IF(AD372&lt;MiscData!$F$1,EOMONTH(AD372,1),EOMONTH(AD372,-11)))</f>
        <v>41790</v>
      </c>
      <c r="AE373" s="389" t="str">
        <f t="shared" si="132"/>
        <v>20140101KUUM_401</v>
      </c>
      <c r="AF373" s="437" t="str">
        <f t="shared" si="133"/>
        <v>20140101LS</v>
      </c>
      <c r="AG373" s="438"/>
      <c r="AH373" s="34">
        <f>IF(AH372=MiscData!$AB$91,1,AH372+1)</f>
        <v>20</v>
      </c>
      <c r="AI373" s="34">
        <f>IF(AD373&lt;=MiscData!$B$23,MiscData!$C$23,IF(AD373&lt;=MiscData!$B$24,MiscData!$C$24,MiscData!$C$25))</f>
        <v>20140101</v>
      </c>
      <c r="AK373" s="439" t="str">
        <f>VLOOKUP(AM373,MiscData!$AB$4:$ACB$113,2,FALSE)</f>
        <v>KUUM_401</v>
      </c>
      <c r="AL373" s="439" t="str">
        <f>VLOOKUP(AM373,MiscData!$AB$4:$AE$115,4,FALSE)</f>
        <v>LS</v>
      </c>
      <c r="AM373" s="34">
        <f>IF(AM372=MiscData!$AB$91,1,AM372+1)</f>
        <v>20</v>
      </c>
    </row>
    <row r="374" spans="1:39">
      <c r="A374" s="389">
        <f t="shared" si="140"/>
        <v>373</v>
      </c>
      <c r="B374" s="395" t="str">
        <f t="shared" si="145"/>
        <v>May 2014</v>
      </c>
      <c r="C374" s="396" t="str">
        <f t="shared" si="146"/>
        <v>RLS</v>
      </c>
      <c r="D374" s="396" t="str">
        <f t="shared" si="147"/>
        <v>KUUM_404</v>
      </c>
      <c r="E374" s="394">
        <f t="shared" si="122"/>
        <v>7101</v>
      </c>
      <c r="F374" s="397">
        <v>49</v>
      </c>
      <c r="G374" s="394">
        <f t="shared" si="123"/>
        <v>424496</v>
      </c>
      <c r="H374" s="394">
        <v>0</v>
      </c>
      <c r="I374" s="390">
        <f t="shared" si="148"/>
        <v>10.570000000000002</v>
      </c>
      <c r="J374" s="390">
        <f t="shared" si="149"/>
        <v>1.9900000000000002</v>
      </c>
      <c r="K374" s="391">
        <f t="shared" si="141"/>
        <v>75575.5</v>
      </c>
      <c r="L374" s="398">
        <v>-982.56</v>
      </c>
      <c r="M374" s="398">
        <v>0</v>
      </c>
      <c r="N374" s="164">
        <f t="shared" si="144"/>
        <v>74592.94</v>
      </c>
      <c r="O374" s="399">
        <f t="shared" si="124"/>
        <v>74592.94</v>
      </c>
      <c r="P374" s="392">
        <f t="shared" si="142"/>
        <v>1</v>
      </c>
      <c r="Q374" s="164">
        <f t="shared" si="125"/>
        <v>1510.18</v>
      </c>
      <c r="R374" s="164">
        <f t="shared" si="126"/>
        <v>0</v>
      </c>
      <c r="S374" s="164">
        <f t="shared" si="127"/>
        <v>1658.45</v>
      </c>
      <c r="T374" s="164">
        <f t="shared" si="128"/>
        <v>0</v>
      </c>
      <c r="U374" s="164">
        <f t="shared" si="129"/>
        <v>77761.570000000007</v>
      </c>
      <c r="V374" s="393">
        <f t="shared" si="130"/>
        <v>77761.569999999992</v>
      </c>
      <c r="W374" s="393">
        <f t="shared" si="131"/>
        <v>0</v>
      </c>
      <c r="Y374" s="393">
        <f t="shared" si="150"/>
        <v>14130.99</v>
      </c>
      <c r="Z374" s="393">
        <f t="shared" si="139"/>
        <v>60461.950000000004</v>
      </c>
      <c r="AD374" s="395">
        <f>IF(AH374&gt;AH373,AD373,IF(AD373&lt;MiscData!$F$1,EOMONTH(AD373,1),EOMONTH(AD373,-11)))</f>
        <v>41790</v>
      </c>
      <c r="AE374" s="389" t="str">
        <f t="shared" si="132"/>
        <v>20140101KUUM_404</v>
      </c>
      <c r="AF374" s="437" t="str">
        <f t="shared" si="133"/>
        <v>20140101RLS</v>
      </c>
      <c r="AG374" s="438"/>
      <c r="AH374" s="34">
        <f>IF(AH373=MiscData!$AB$91,1,AH373+1)</f>
        <v>21</v>
      </c>
      <c r="AI374" s="34">
        <f>IF(AD374&lt;=MiscData!$B$23,MiscData!$C$23,IF(AD374&lt;=MiscData!$B$24,MiscData!$C$24,MiscData!$C$25))</f>
        <v>20140101</v>
      </c>
      <c r="AK374" s="439" t="str">
        <f>VLOOKUP(AM374,MiscData!$AB$4:$ACB$113,2,FALSE)</f>
        <v>KUUM_404</v>
      </c>
      <c r="AL374" s="439" t="str">
        <f>VLOOKUP(AM374,MiscData!$AB$4:$AE$115,4,FALSE)</f>
        <v>RLS</v>
      </c>
      <c r="AM374" s="34">
        <f>IF(AM373=MiscData!$AB$91,1,AM373+1)</f>
        <v>21</v>
      </c>
    </row>
    <row r="375" spans="1:39">
      <c r="A375" s="389">
        <f t="shared" si="140"/>
        <v>374</v>
      </c>
      <c r="B375" s="395" t="str">
        <f t="shared" si="145"/>
        <v>May 2014</v>
      </c>
      <c r="C375" s="396" t="str">
        <f t="shared" si="146"/>
        <v>RLS</v>
      </c>
      <c r="D375" s="396" t="str">
        <f t="shared" si="147"/>
        <v>KUUM_405</v>
      </c>
      <c r="E375" s="394">
        <f t="shared" si="122"/>
        <v>0</v>
      </c>
      <c r="F375" s="397">
        <v>0</v>
      </c>
      <c r="G375" s="394">
        <f t="shared" si="123"/>
        <v>0</v>
      </c>
      <c r="H375" s="394">
        <v>0</v>
      </c>
      <c r="I375" s="390">
        <f t="shared" si="148"/>
        <v>0</v>
      </c>
      <c r="J375" s="390">
        <f t="shared" si="149"/>
        <v>0</v>
      </c>
      <c r="K375" s="391">
        <f t="shared" si="141"/>
        <v>0</v>
      </c>
      <c r="L375" s="398">
        <v>0</v>
      </c>
      <c r="M375" s="398">
        <v>0</v>
      </c>
      <c r="N375" s="164">
        <f>SUM(K375:M375)</f>
        <v>0</v>
      </c>
      <c r="O375" s="399">
        <f t="shared" si="124"/>
        <v>0</v>
      </c>
      <c r="P375" s="392">
        <f t="shared" si="142"/>
        <v>1</v>
      </c>
      <c r="Q375" s="164">
        <f t="shared" si="125"/>
        <v>0</v>
      </c>
      <c r="R375" s="164">
        <f t="shared" si="126"/>
        <v>0</v>
      </c>
      <c r="S375" s="164">
        <f t="shared" si="127"/>
        <v>0</v>
      </c>
      <c r="T375" s="164">
        <f t="shared" si="128"/>
        <v>0</v>
      </c>
      <c r="U375" s="164">
        <f t="shared" si="129"/>
        <v>0</v>
      </c>
      <c r="V375" s="393">
        <f t="shared" si="130"/>
        <v>0</v>
      </c>
      <c r="W375" s="393">
        <f t="shared" si="131"/>
        <v>0</v>
      </c>
      <c r="Y375" s="393">
        <f t="shared" si="150"/>
        <v>0</v>
      </c>
      <c r="Z375" s="393">
        <f t="shared" si="139"/>
        <v>0</v>
      </c>
      <c r="AD375" s="395">
        <f>IF(AH375&gt;AH374,AD374,IF(AD374&lt;MiscData!$F$1,EOMONTH(AD374,1),EOMONTH(AD374,-11)))</f>
        <v>41790</v>
      </c>
      <c r="AE375" s="389" t="str">
        <f t="shared" si="132"/>
        <v>20140101KUUM_405</v>
      </c>
      <c r="AF375" s="437" t="str">
        <f t="shared" si="133"/>
        <v>20140101RLS</v>
      </c>
      <c r="AG375" s="438"/>
      <c r="AH375" s="34">
        <f>IF(AH374=MiscData!$AB$91,1,AH374+1)</f>
        <v>22</v>
      </c>
      <c r="AI375" s="34">
        <f>IF(AD375&lt;=MiscData!$B$23,MiscData!$C$23,IF(AD375&lt;=MiscData!$B$24,MiscData!$C$24,MiscData!$C$25))</f>
        <v>20140101</v>
      </c>
      <c r="AK375" s="439" t="str">
        <f>VLOOKUP(AM375,MiscData!$AB$4:$ACB$113,2,FALSE)</f>
        <v>KUUM_405</v>
      </c>
      <c r="AL375" s="439" t="str">
        <f>VLOOKUP(AM375,MiscData!$AB$4:$AE$115,4,FALSE)</f>
        <v>RLS</v>
      </c>
      <c r="AM375" s="34">
        <f>IF(AM374=MiscData!$AB$91,1,AM374+1)</f>
        <v>22</v>
      </c>
    </row>
    <row r="376" spans="1:39">
      <c r="A376" s="389">
        <f t="shared" si="140"/>
        <v>375</v>
      </c>
      <c r="B376" s="395" t="str">
        <f t="shared" si="145"/>
        <v>May 2014</v>
      </c>
      <c r="C376" s="396" t="str">
        <f t="shared" si="146"/>
        <v>LS</v>
      </c>
      <c r="D376" s="396" t="str">
        <f t="shared" si="147"/>
        <v>KUUM_407</v>
      </c>
      <c r="E376" s="394">
        <f t="shared" si="122"/>
        <v>0</v>
      </c>
      <c r="F376" s="397">
        <v>0</v>
      </c>
      <c r="G376" s="394">
        <f t="shared" si="123"/>
        <v>0</v>
      </c>
      <c r="H376" s="394">
        <v>0</v>
      </c>
      <c r="I376" s="390">
        <f t="shared" si="148"/>
        <v>0</v>
      </c>
      <c r="J376" s="390">
        <f t="shared" si="149"/>
        <v>0</v>
      </c>
      <c r="K376" s="391">
        <f t="shared" si="141"/>
        <v>0</v>
      </c>
      <c r="L376" s="398">
        <v>0</v>
      </c>
      <c r="M376" s="398">
        <v>0</v>
      </c>
      <c r="N376" s="164">
        <f t="shared" ref="N376:N439" si="151">SUM(K376:M376)</f>
        <v>0</v>
      </c>
      <c r="O376" s="399">
        <f t="shared" si="124"/>
        <v>0</v>
      </c>
      <c r="P376" s="392">
        <f t="shared" si="142"/>
        <v>1</v>
      </c>
      <c r="Q376" s="164">
        <f t="shared" si="125"/>
        <v>0</v>
      </c>
      <c r="R376" s="164">
        <f t="shared" si="126"/>
        <v>0</v>
      </c>
      <c r="S376" s="164">
        <f t="shared" si="127"/>
        <v>0</v>
      </c>
      <c r="T376" s="164">
        <f t="shared" si="128"/>
        <v>0</v>
      </c>
      <c r="U376" s="164">
        <f t="shared" si="129"/>
        <v>0</v>
      </c>
      <c r="V376" s="393">
        <f t="shared" si="130"/>
        <v>0</v>
      </c>
      <c r="W376" s="393">
        <f t="shared" si="131"/>
        <v>0</v>
      </c>
      <c r="Y376" s="393">
        <f t="shared" si="150"/>
        <v>0</v>
      </c>
      <c r="Z376" s="393">
        <f t="shared" si="139"/>
        <v>0</v>
      </c>
      <c r="AD376" s="395">
        <f>IF(AH376&gt;AH375,AD375,IF(AD375&lt;MiscData!$F$1,EOMONTH(AD375,1),EOMONTH(AD375,-11)))</f>
        <v>41790</v>
      </c>
      <c r="AE376" s="389" t="str">
        <f t="shared" si="132"/>
        <v>20140101KUUM_407</v>
      </c>
      <c r="AF376" s="437" t="str">
        <f t="shared" si="133"/>
        <v>20140101LS</v>
      </c>
      <c r="AG376" s="438"/>
      <c r="AH376" s="34">
        <f>IF(AH375=MiscData!$AB$91,1,AH375+1)</f>
        <v>23</v>
      </c>
      <c r="AI376" s="34">
        <f>IF(AD376&lt;=MiscData!$B$23,MiscData!$C$23,IF(AD376&lt;=MiscData!$B$24,MiscData!$C$24,MiscData!$C$25))</f>
        <v>20140101</v>
      </c>
      <c r="AK376" s="439" t="str">
        <f>VLOOKUP(AM376,MiscData!$AB$4:$ACB$113,2,FALSE)</f>
        <v>KUUM_407</v>
      </c>
      <c r="AL376" s="439" t="str">
        <f>VLOOKUP(AM376,MiscData!$AB$4:$AE$115,4,FALSE)</f>
        <v>LS</v>
      </c>
      <c r="AM376" s="34">
        <f>IF(AM375=MiscData!$AB$91,1,AM375+1)</f>
        <v>23</v>
      </c>
    </row>
    <row r="377" spans="1:39">
      <c r="A377" s="389">
        <f t="shared" si="140"/>
        <v>376</v>
      </c>
      <c r="B377" s="395" t="str">
        <f t="shared" si="145"/>
        <v>May 2014</v>
      </c>
      <c r="C377" s="396" t="str">
        <f t="shared" si="146"/>
        <v>RLS</v>
      </c>
      <c r="D377" s="396" t="str">
        <f t="shared" si="147"/>
        <v>KUUM_409</v>
      </c>
      <c r="E377" s="394">
        <f t="shared" si="122"/>
        <v>141</v>
      </c>
      <c r="F377" s="397">
        <v>0</v>
      </c>
      <c r="G377" s="394">
        <f t="shared" si="123"/>
        <v>19685</v>
      </c>
      <c r="H377" s="394">
        <v>0</v>
      </c>
      <c r="I377" s="390">
        <f t="shared" si="148"/>
        <v>11.71</v>
      </c>
      <c r="J377" s="390">
        <f t="shared" si="149"/>
        <v>4.5299999999999994</v>
      </c>
      <c r="K377" s="391">
        <f t="shared" si="141"/>
        <v>1651.11</v>
      </c>
      <c r="L377" s="398">
        <v>0</v>
      </c>
      <c r="M377" s="398">
        <v>0</v>
      </c>
      <c r="N377" s="164">
        <f t="shared" si="151"/>
        <v>1651.11</v>
      </c>
      <c r="O377" s="399">
        <f t="shared" si="124"/>
        <v>1651.1100000000001</v>
      </c>
      <c r="P377" s="392">
        <f t="shared" si="142"/>
        <v>1</v>
      </c>
      <c r="Q377" s="164">
        <f t="shared" si="125"/>
        <v>65</v>
      </c>
      <c r="R377" s="164">
        <f t="shared" si="126"/>
        <v>0</v>
      </c>
      <c r="S377" s="164">
        <f t="shared" si="127"/>
        <v>34.840000000000003</v>
      </c>
      <c r="T377" s="164">
        <f t="shared" si="128"/>
        <v>0</v>
      </c>
      <c r="U377" s="164">
        <f t="shared" si="129"/>
        <v>1750.95</v>
      </c>
      <c r="V377" s="393">
        <f t="shared" si="130"/>
        <v>1750.9499999999998</v>
      </c>
      <c r="W377" s="393">
        <f t="shared" si="131"/>
        <v>0</v>
      </c>
      <c r="Y377" s="393">
        <f t="shared" si="150"/>
        <v>638.73</v>
      </c>
      <c r="Z377" s="393">
        <f t="shared" si="139"/>
        <v>1012.3800000000001</v>
      </c>
      <c r="AD377" s="395">
        <f>IF(AH377&gt;AH376,AD376,IF(AD376&lt;MiscData!$F$1,EOMONTH(AD376,1),EOMONTH(AD376,-11)))</f>
        <v>41790</v>
      </c>
      <c r="AE377" s="389" t="str">
        <f t="shared" si="132"/>
        <v>20140101KUUM_409</v>
      </c>
      <c r="AF377" s="437" t="str">
        <f t="shared" si="133"/>
        <v>20140101RLS</v>
      </c>
      <c r="AG377" s="438"/>
      <c r="AH377" s="34">
        <f>IF(AH376=MiscData!$AB$91,1,AH376+1)</f>
        <v>24</v>
      </c>
      <c r="AI377" s="34">
        <f>IF(AD377&lt;=MiscData!$B$23,MiscData!$C$23,IF(AD377&lt;=MiscData!$B$24,MiscData!$C$24,MiscData!$C$25))</f>
        <v>20140101</v>
      </c>
      <c r="AK377" s="439" t="str">
        <f>VLOOKUP(AM377,MiscData!$AB$4:$ACB$113,2,FALSE)</f>
        <v>KUUM_409</v>
      </c>
      <c r="AL377" s="439" t="str">
        <f>VLOOKUP(AM377,MiscData!$AB$4:$AE$115,4,FALSE)</f>
        <v>RLS</v>
      </c>
      <c r="AM377" s="34">
        <f>IF(AM376=MiscData!$AB$91,1,AM376+1)</f>
        <v>24</v>
      </c>
    </row>
    <row r="378" spans="1:39">
      <c r="A378" s="389">
        <f t="shared" si="140"/>
        <v>377</v>
      </c>
      <c r="B378" s="395" t="str">
        <f t="shared" ref="B378:B441" si="152">TEXT(AD378,"mmm yyyy")</f>
        <v>May 2014</v>
      </c>
      <c r="C378" s="396" t="str">
        <f t="shared" ref="C378:C441" si="153">AL378</f>
        <v>RLS</v>
      </c>
      <c r="D378" s="396" t="str">
        <f t="shared" ref="D378:D441" si="154">AK378</f>
        <v>KUUM_410</v>
      </c>
      <c r="E378" s="394">
        <f t="shared" ref="E378:E441" si="155">SUMIFS(_1055_Light_Count,_1055_RevMonth,$B378,_1055_RateCategory,$D378)</f>
        <v>240</v>
      </c>
      <c r="F378" s="397">
        <v>0</v>
      </c>
      <c r="G378" s="394">
        <f t="shared" ref="G378:G441" si="156">SUMIFS(_SBR_KWH,_SBR_Revenue_Month,$B378,_SBR_Rate_Category,$D378)</f>
        <v>4220</v>
      </c>
      <c r="H378" s="394">
        <v>0</v>
      </c>
      <c r="I378" s="390">
        <f t="shared" ref="I378:I441" si="157">SUMIF(_Lights_Tariff_Category,$AE378,_Lights_Rates)</f>
        <v>20.259999999999998</v>
      </c>
      <c r="J378" s="390">
        <f t="shared" ref="J378:J441" si="158">SUMIF(_Lights_Tariff_Category,$AE378,_Rates_Lights_BaseFAC)</f>
        <v>0.57000000000000028</v>
      </c>
      <c r="K378" s="391">
        <f t="shared" si="141"/>
        <v>4862.3999999999996</v>
      </c>
      <c r="L378" s="398">
        <v>0</v>
      </c>
      <c r="M378" s="398">
        <v>0</v>
      </c>
      <c r="N378" s="164">
        <f t="shared" si="151"/>
        <v>4862.3999999999996</v>
      </c>
      <c r="O378" s="399">
        <f t="shared" ref="O378:O441" si="159">U378-SUM(Q378:T378)</f>
        <v>4862.4000000000005</v>
      </c>
      <c r="P378" s="392">
        <f t="shared" si="142"/>
        <v>1</v>
      </c>
      <c r="Q378" s="164">
        <f t="shared" ref="Q378:Q441" si="160">SUMIFS(_SBR_FAC,_SBR_Revenue_Month,$B378,_SBR_Rate_Category,$D378)</f>
        <v>15.05</v>
      </c>
      <c r="R378" s="164">
        <f t="shared" ref="R378:R441" si="161">SUMIFS(_SBR_DSM,_SBR_Revenue_Month,$B378,_SBR_Rate_Category,$D378)</f>
        <v>0</v>
      </c>
      <c r="S378" s="164">
        <f t="shared" ref="S378:S441" si="162">SUMIFS(_SBR_ECR,_SBR_Revenue_Month,$B378,_SBR_Rate_Category,$D378)</f>
        <v>106.81</v>
      </c>
      <c r="T378" s="164">
        <f t="shared" ref="T378:T441" si="163">SUMIFS(_SBR_MSR,_SBR_Revenue_Month,$B378,_SBR_Rate_Category,$D378)</f>
        <v>0</v>
      </c>
      <c r="U378" s="164">
        <f t="shared" ref="U378:U441" si="164">SUMIFS(_SBR_Revenue_Actual,_SBR_Revenue_Month,$B378,_SBR_Rate_Category,$D378)</f>
        <v>4984.26</v>
      </c>
      <c r="V378" s="393">
        <f t="shared" ref="V378:V441" si="165">SUM(N378,Q378:T378)</f>
        <v>4984.26</v>
      </c>
      <c r="W378" s="393">
        <f t="shared" ref="W378:W441" si="166">U378-V378</f>
        <v>0</v>
      </c>
      <c r="Y378" s="393">
        <f t="shared" si="150"/>
        <v>136.80000000000001</v>
      </c>
      <c r="Z378" s="393">
        <f t="shared" si="139"/>
        <v>4725.6000000000004</v>
      </c>
      <c r="AD378" s="395">
        <f>IF(AH378&gt;AH377,AD377,IF(AD377&lt;MiscData!$F$1,EOMONTH(AD377,1),EOMONTH(AD377,-11)))</f>
        <v>41790</v>
      </c>
      <c r="AE378" s="389" t="str">
        <f t="shared" ref="AE378:AE441" si="167">CONCATENATE(AI378&amp;AK378)</f>
        <v>20140101KUUM_410</v>
      </c>
      <c r="AF378" s="437" t="str">
        <f t="shared" ref="AF378:AF441" si="168">CONCATENATE(AI378&amp;AL378)</f>
        <v>20140101RLS</v>
      </c>
      <c r="AG378" s="438"/>
      <c r="AH378" s="34">
        <f>IF(AH377=MiscData!$AB$91,1,AH377+1)</f>
        <v>25</v>
      </c>
      <c r="AI378" s="34">
        <f>IF(AD378&lt;=MiscData!$B$23,MiscData!$C$23,IF(AD378&lt;=MiscData!$B$24,MiscData!$C$24,MiscData!$C$25))</f>
        <v>20140101</v>
      </c>
      <c r="AK378" s="439" t="str">
        <f>VLOOKUP(AM378,MiscData!$AB$4:$ACB$113,2,FALSE)</f>
        <v>KUUM_410</v>
      </c>
      <c r="AL378" s="439" t="str">
        <f>VLOOKUP(AM378,MiscData!$AB$4:$AE$115,4,FALSE)</f>
        <v>RLS</v>
      </c>
      <c r="AM378" s="34">
        <f>IF(AM377=MiscData!$AB$91,1,AM377+1)</f>
        <v>25</v>
      </c>
    </row>
    <row r="379" spans="1:39">
      <c r="A379" s="389">
        <f t="shared" si="140"/>
        <v>378</v>
      </c>
      <c r="B379" s="395" t="str">
        <f t="shared" si="152"/>
        <v>May 2014</v>
      </c>
      <c r="C379" s="396" t="str">
        <f t="shared" si="153"/>
        <v>LS</v>
      </c>
      <c r="D379" s="396" t="str">
        <f t="shared" si="154"/>
        <v>KUUM_411</v>
      </c>
      <c r="E379" s="394">
        <f t="shared" si="155"/>
        <v>150</v>
      </c>
      <c r="F379" s="397">
        <v>0</v>
      </c>
      <c r="G379" s="394">
        <f t="shared" si="156"/>
        <v>3617</v>
      </c>
      <c r="H379" s="394">
        <v>0</v>
      </c>
      <c r="I379" s="390">
        <f t="shared" si="157"/>
        <v>21.38</v>
      </c>
      <c r="J379" s="390">
        <f t="shared" si="158"/>
        <v>0.79999999999999716</v>
      </c>
      <c r="K379" s="391">
        <f t="shared" si="141"/>
        <v>3207</v>
      </c>
      <c r="L379" s="398">
        <v>0</v>
      </c>
      <c r="M379" s="398">
        <v>0</v>
      </c>
      <c r="N379" s="164">
        <f t="shared" si="151"/>
        <v>3207</v>
      </c>
      <c r="O379" s="399">
        <f t="shared" si="159"/>
        <v>3207</v>
      </c>
      <c r="P379" s="392">
        <f t="shared" si="142"/>
        <v>1</v>
      </c>
      <c r="Q379" s="164">
        <f t="shared" si="160"/>
        <v>12.92</v>
      </c>
      <c r="R379" s="164">
        <f t="shared" si="161"/>
        <v>0</v>
      </c>
      <c r="S379" s="164">
        <f t="shared" si="162"/>
        <v>70.510000000000005</v>
      </c>
      <c r="T379" s="164">
        <f t="shared" si="163"/>
        <v>0</v>
      </c>
      <c r="U379" s="164">
        <f t="shared" si="164"/>
        <v>3290.43</v>
      </c>
      <c r="V379" s="393">
        <f t="shared" si="165"/>
        <v>3290.4300000000003</v>
      </c>
      <c r="W379" s="393">
        <f t="shared" si="166"/>
        <v>0</v>
      </c>
      <c r="Y379" s="393">
        <f t="shared" ref="Y379:Y442" si="169">ROUND(E379*J379,2)</f>
        <v>120</v>
      </c>
      <c r="Z379" s="393">
        <f t="shared" ref="Z379:Z442" si="170">O379-Y379</f>
        <v>3087</v>
      </c>
      <c r="AD379" s="395">
        <f>IF(AH379&gt;AH378,AD378,IF(AD378&lt;MiscData!$F$1,EOMONTH(AD378,1),EOMONTH(AD378,-11)))</f>
        <v>41790</v>
      </c>
      <c r="AE379" s="389" t="str">
        <f t="shared" si="167"/>
        <v>20140101KUUM_411</v>
      </c>
      <c r="AF379" s="437" t="str">
        <f t="shared" si="168"/>
        <v>20140101LS</v>
      </c>
      <c r="AG379" s="438"/>
      <c r="AH379" s="34">
        <f>IF(AH378=MiscData!$AB$91,1,AH378+1)</f>
        <v>26</v>
      </c>
      <c r="AI379" s="34">
        <f>IF(AD379&lt;=MiscData!$B$23,MiscData!$C$23,IF(AD379&lt;=MiscData!$B$24,MiscData!$C$24,MiscData!$C$25))</f>
        <v>20140101</v>
      </c>
      <c r="AK379" s="439" t="str">
        <f>VLOOKUP(AM379,MiscData!$AB$4:$ACB$113,2,FALSE)</f>
        <v>KUUM_411</v>
      </c>
      <c r="AL379" s="439" t="str">
        <f>VLOOKUP(AM379,MiscData!$AB$4:$AE$115,4,FALSE)</f>
        <v>LS</v>
      </c>
      <c r="AM379" s="34">
        <f>IF(AM378=MiscData!$AB$91,1,AM378+1)</f>
        <v>26</v>
      </c>
    </row>
    <row r="380" spans="1:39">
      <c r="A380" s="389">
        <f t="shared" ref="A380:A443" si="171">A379+1</f>
        <v>379</v>
      </c>
      <c r="B380" s="395" t="str">
        <f t="shared" si="152"/>
        <v>May 2014</v>
      </c>
      <c r="C380" s="396" t="str">
        <f t="shared" si="153"/>
        <v>RLS</v>
      </c>
      <c r="D380" s="396" t="str">
        <f t="shared" si="154"/>
        <v>KUUM_412</v>
      </c>
      <c r="E380" s="394">
        <f t="shared" si="155"/>
        <v>28</v>
      </c>
      <c r="F380" s="397">
        <v>0</v>
      </c>
      <c r="G380" s="394">
        <f t="shared" si="156"/>
        <v>697</v>
      </c>
      <c r="H380" s="394">
        <v>0</v>
      </c>
      <c r="I380" s="390">
        <f t="shared" si="157"/>
        <v>30.84</v>
      </c>
      <c r="J380" s="390">
        <f t="shared" si="158"/>
        <v>0.79999999999999716</v>
      </c>
      <c r="K380" s="391">
        <f t="shared" si="141"/>
        <v>863.52</v>
      </c>
      <c r="L380" s="398">
        <v>0</v>
      </c>
      <c r="M380" s="398">
        <v>0</v>
      </c>
      <c r="N380" s="164">
        <f t="shared" si="151"/>
        <v>863.52</v>
      </c>
      <c r="O380" s="399">
        <f t="shared" si="159"/>
        <v>863.52</v>
      </c>
      <c r="P380" s="392">
        <f t="shared" si="142"/>
        <v>1</v>
      </c>
      <c r="Q380" s="164">
        <f t="shared" si="160"/>
        <v>2.4900000000000002</v>
      </c>
      <c r="R380" s="164">
        <f t="shared" si="161"/>
        <v>0</v>
      </c>
      <c r="S380" s="164">
        <f t="shared" si="162"/>
        <v>18.97</v>
      </c>
      <c r="T380" s="164">
        <f t="shared" si="163"/>
        <v>0</v>
      </c>
      <c r="U380" s="164">
        <f t="shared" si="164"/>
        <v>884.98</v>
      </c>
      <c r="V380" s="393">
        <f t="shared" si="165"/>
        <v>884.98</v>
      </c>
      <c r="W380" s="393">
        <f t="shared" si="166"/>
        <v>0</v>
      </c>
      <c r="Y380" s="393">
        <f t="shared" si="169"/>
        <v>22.4</v>
      </c>
      <c r="Z380" s="393">
        <f t="shared" si="170"/>
        <v>841.12</v>
      </c>
      <c r="AD380" s="395">
        <f>IF(AH380&gt;AH379,AD379,IF(AD379&lt;MiscData!$F$1,EOMONTH(AD379,1),EOMONTH(AD379,-11)))</f>
        <v>41790</v>
      </c>
      <c r="AE380" s="389" t="str">
        <f t="shared" si="167"/>
        <v>20140101KUUM_412</v>
      </c>
      <c r="AF380" s="437" t="str">
        <f t="shared" si="168"/>
        <v>20140101RLS</v>
      </c>
      <c r="AG380" s="438"/>
      <c r="AH380" s="34">
        <f>IF(AH379=MiscData!$AB$91,1,AH379+1)</f>
        <v>27</v>
      </c>
      <c r="AI380" s="34">
        <f>IF(AD380&lt;=MiscData!$B$23,MiscData!$C$23,IF(AD380&lt;=MiscData!$B$24,MiscData!$C$24,MiscData!$C$25))</f>
        <v>20140101</v>
      </c>
      <c r="AK380" s="439" t="str">
        <f>VLOOKUP(AM380,MiscData!$AB$4:$ACB$113,2,FALSE)</f>
        <v>KUUM_412</v>
      </c>
      <c r="AL380" s="439" t="str">
        <f>VLOOKUP(AM380,MiscData!$AB$4:$AE$115,4,FALSE)</f>
        <v>RLS</v>
      </c>
      <c r="AM380" s="34">
        <f>IF(AM379=MiscData!$AB$91,1,AM379+1)</f>
        <v>27</v>
      </c>
    </row>
    <row r="381" spans="1:39">
      <c r="A381" s="389">
        <f t="shared" si="171"/>
        <v>380</v>
      </c>
      <c r="B381" s="395" t="str">
        <f t="shared" si="152"/>
        <v>May 2014</v>
      </c>
      <c r="C381" s="396" t="str">
        <f t="shared" si="153"/>
        <v>RLS</v>
      </c>
      <c r="D381" s="396" t="str">
        <f t="shared" si="154"/>
        <v>KUUM_413</v>
      </c>
      <c r="E381" s="394">
        <f t="shared" si="155"/>
        <v>96</v>
      </c>
      <c r="F381" s="397">
        <v>0</v>
      </c>
      <c r="G381" s="394">
        <f t="shared" si="156"/>
        <v>3357</v>
      </c>
      <c r="H381" s="394">
        <v>0</v>
      </c>
      <c r="I381" s="390">
        <f t="shared" si="157"/>
        <v>31.22</v>
      </c>
      <c r="J381" s="390">
        <f t="shared" si="158"/>
        <v>1.129999999999999</v>
      </c>
      <c r="K381" s="391">
        <f t="shared" si="141"/>
        <v>2997.12</v>
      </c>
      <c r="L381" s="398">
        <v>0</v>
      </c>
      <c r="M381" s="398">
        <v>0</v>
      </c>
      <c r="N381" s="164">
        <f t="shared" si="151"/>
        <v>2997.12</v>
      </c>
      <c r="O381" s="399">
        <f t="shared" si="159"/>
        <v>2997.12</v>
      </c>
      <c r="P381" s="392">
        <f t="shared" si="142"/>
        <v>1</v>
      </c>
      <c r="Q381" s="164">
        <f t="shared" si="160"/>
        <v>11.99</v>
      </c>
      <c r="R381" s="164">
        <f t="shared" si="161"/>
        <v>0</v>
      </c>
      <c r="S381" s="164">
        <f t="shared" si="162"/>
        <v>65.89</v>
      </c>
      <c r="T381" s="164">
        <f t="shared" si="163"/>
        <v>0</v>
      </c>
      <c r="U381" s="164">
        <f t="shared" si="164"/>
        <v>3075</v>
      </c>
      <c r="V381" s="393">
        <f t="shared" si="165"/>
        <v>3074.9999999999995</v>
      </c>
      <c r="W381" s="393">
        <f t="shared" si="166"/>
        <v>0</v>
      </c>
      <c r="Y381" s="393">
        <f t="shared" si="169"/>
        <v>108.48</v>
      </c>
      <c r="Z381" s="393">
        <f t="shared" si="170"/>
        <v>2888.64</v>
      </c>
      <c r="AD381" s="395">
        <f>IF(AH381&gt;AH380,AD380,IF(AD380&lt;MiscData!$F$1,EOMONTH(AD380,1),EOMONTH(AD380,-11)))</f>
        <v>41790</v>
      </c>
      <c r="AE381" s="389" t="str">
        <f t="shared" si="167"/>
        <v>20140101KUUM_413</v>
      </c>
      <c r="AF381" s="437" t="str">
        <f t="shared" si="168"/>
        <v>20140101RLS</v>
      </c>
      <c r="AG381" s="438"/>
      <c r="AH381" s="34">
        <f>IF(AH380=MiscData!$AB$91,1,AH380+1)</f>
        <v>28</v>
      </c>
      <c r="AI381" s="34">
        <f>IF(AD381&lt;=MiscData!$B$23,MiscData!$C$23,IF(AD381&lt;=MiscData!$B$24,MiscData!$C$24,MiscData!$C$25))</f>
        <v>20140101</v>
      </c>
      <c r="AK381" s="439" t="str">
        <f>VLOOKUP(AM381,MiscData!$AB$4:$ACB$113,2,FALSE)</f>
        <v>KUUM_413</v>
      </c>
      <c r="AL381" s="439" t="str">
        <f>VLOOKUP(AM381,MiscData!$AB$4:$AE$115,4,FALSE)</f>
        <v>RLS</v>
      </c>
      <c r="AM381" s="34">
        <f>IF(AM380=MiscData!$AB$91,1,AM380+1)</f>
        <v>28</v>
      </c>
    </row>
    <row r="382" spans="1:39">
      <c r="A382" s="389">
        <f t="shared" si="171"/>
        <v>381</v>
      </c>
      <c r="B382" s="395" t="str">
        <f t="shared" si="152"/>
        <v>May 2014</v>
      </c>
      <c r="C382" s="396" t="str">
        <f t="shared" si="153"/>
        <v>LS</v>
      </c>
      <c r="D382" s="396" t="str">
        <f t="shared" si="154"/>
        <v>KUUM_414</v>
      </c>
      <c r="E382" s="394">
        <f t="shared" si="155"/>
        <v>21</v>
      </c>
      <c r="F382" s="397">
        <v>0</v>
      </c>
      <c r="G382" s="394">
        <f t="shared" si="156"/>
        <v>566</v>
      </c>
      <c r="H382" s="394">
        <v>0</v>
      </c>
      <c r="I382" s="390">
        <f t="shared" si="157"/>
        <v>30.84</v>
      </c>
      <c r="J382" s="390">
        <f t="shared" si="158"/>
        <v>0.79999999999999716</v>
      </c>
      <c r="K382" s="391">
        <f t="shared" si="141"/>
        <v>647.64</v>
      </c>
      <c r="L382" s="398">
        <v>0</v>
      </c>
      <c r="M382" s="398">
        <v>0</v>
      </c>
      <c r="N382" s="164">
        <f t="shared" si="151"/>
        <v>647.64</v>
      </c>
      <c r="O382" s="399">
        <f t="shared" si="159"/>
        <v>647.64</v>
      </c>
      <c r="P382" s="392">
        <f t="shared" si="142"/>
        <v>1</v>
      </c>
      <c r="Q382" s="164">
        <f t="shared" si="160"/>
        <v>1.2</v>
      </c>
      <c r="R382" s="164">
        <f t="shared" si="161"/>
        <v>0</v>
      </c>
      <c r="S382" s="164">
        <f t="shared" si="162"/>
        <v>7.92</v>
      </c>
      <c r="T382" s="164">
        <f t="shared" si="163"/>
        <v>0</v>
      </c>
      <c r="U382" s="164">
        <f t="shared" si="164"/>
        <v>656.76</v>
      </c>
      <c r="V382" s="393">
        <f t="shared" si="165"/>
        <v>656.76</v>
      </c>
      <c r="W382" s="393">
        <f t="shared" si="166"/>
        <v>0</v>
      </c>
      <c r="Y382" s="393">
        <f t="shared" si="169"/>
        <v>16.8</v>
      </c>
      <c r="Z382" s="393">
        <f t="shared" si="170"/>
        <v>630.84</v>
      </c>
      <c r="AD382" s="395">
        <f>IF(AH382&gt;AH381,AD381,IF(AD381&lt;MiscData!$F$1,EOMONTH(AD381,1),EOMONTH(AD381,-11)))</f>
        <v>41790</v>
      </c>
      <c r="AE382" s="389" t="str">
        <f t="shared" si="167"/>
        <v>20140101KUUM_414</v>
      </c>
      <c r="AF382" s="437" t="str">
        <f t="shared" si="168"/>
        <v>20140101LS</v>
      </c>
      <c r="AG382" s="438"/>
      <c r="AH382" s="34">
        <f>IF(AH381=MiscData!$AB$91,1,AH381+1)</f>
        <v>29</v>
      </c>
      <c r="AI382" s="34">
        <f>IF(AD382&lt;=MiscData!$B$23,MiscData!$C$23,IF(AD382&lt;=MiscData!$B$24,MiscData!$C$24,MiscData!$C$25))</f>
        <v>20140101</v>
      </c>
      <c r="AK382" s="439" t="str">
        <f>VLOOKUP(AM382,MiscData!$AB$4:$ACB$113,2,FALSE)</f>
        <v>KUUM_414</v>
      </c>
      <c r="AL382" s="439" t="str">
        <f>VLOOKUP(AM382,MiscData!$AB$4:$AE$115,4,FALSE)</f>
        <v>LS</v>
      </c>
      <c r="AM382" s="34">
        <f>IF(AM381=MiscData!$AB$91,1,AM381+1)</f>
        <v>29</v>
      </c>
    </row>
    <row r="383" spans="1:39">
      <c r="A383" s="389">
        <f t="shared" si="171"/>
        <v>382</v>
      </c>
      <c r="B383" s="395" t="str">
        <f t="shared" si="152"/>
        <v>May 2014</v>
      </c>
      <c r="C383" s="396" t="str">
        <f t="shared" si="153"/>
        <v>LS</v>
      </c>
      <c r="D383" s="396" t="str">
        <f t="shared" si="154"/>
        <v>KUUM_415</v>
      </c>
      <c r="E383" s="394">
        <f t="shared" si="155"/>
        <v>10</v>
      </c>
      <c r="F383" s="397">
        <v>0</v>
      </c>
      <c r="G383" s="394">
        <f t="shared" si="156"/>
        <v>380</v>
      </c>
      <c r="H383" s="394">
        <v>0</v>
      </c>
      <c r="I383" s="390">
        <f t="shared" si="157"/>
        <v>31.22</v>
      </c>
      <c r="J383" s="390">
        <f t="shared" si="158"/>
        <v>1.129999999999999</v>
      </c>
      <c r="K383" s="391">
        <f t="shared" si="141"/>
        <v>312.2</v>
      </c>
      <c r="L383" s="398">
        <v>0</v>
      </c>
      <c r="M383" s="398">
        <v>0</v>
      </c>
      <c r="N383" s="164">
        <f t="shared" si="151"/>
        <v>312.2</v>
      </c>
      <c r="O383" s="399">
        <f t="shared" si="159"/>
        <v>312.2</v>
      </c>
      <c r="P383" s="392">
        <f t="shared" si="142"/>
        <v>1</v>
      </c>
      <c r="Q383" s="164">
        <f t="shared" si="160"/>
        <v>0.81</v>
      </c>
      <c r="R383" s="164">
        <f t="shared" si="161"/>
        <v>0</v>
      </c>
      <c r="S383" s="164">
        <f t="shared" si="162"/>
        <v>3.82</v>
      </c>
      <c r="T383" s="164">
        <f t="shared" si="163"/>
        <v>0</v>
      </c>
      <c r="U383" s="164">
        <f t="shared" si="164"/>
        <v>316.83</v>
      </c>
      <c r="V383" s="393">
        <f t="shared" si="165"/>
        <v>316.83</v>
      </c>
      <c r="W383" s="393">
        <f t="shared" si="166"/>
        <v>0</v>
      </c>
      <c r="Y383" s="393">
        <f t="shared" si="169"/>
        <v>11.3</v>
      </c>
      <c r="Z383" s="393">
        <f t="shared" si="170"/>
        <v>300.89999999999998</v>
      </c>
      <c r="AD383" s="395">
        <f>IF(AH383&gt;AH382,AD382,IF(AD382&lt;MiscData!$F$1,EOMONTH(AD382,1),EOMONTH(AD382,-11)))</f>
        <v>41790</v>
      </c>
      <c r="AE383" s="389" t="str">
        <f t="shared" si="167"/>
        <v>20140101KUUM_415</v>
      </c>
      <c r="AF383" s="437" t="str">
        <f t="shared" si="168"/>
        <v>20140101LS</v>
      </c>
      <c r="AG383" s="438"/>
      <c r="AH383" s="34">
        <f>IF(AH382=MiscData!$AB$91,1,AH382+1)</f>
        <v>30</v>
      </c>
      <c r="AI383" s="34">
        <f>IF(AD383&lt;=MiscData!$B$23,MiscData!$C$23,IF(AD383&lt;=MiscData!$B$24,MiscData!$C$24,MiscData!$C$25))</f>
        <v>20140101</v>
      </c>
      <c r="AK383" s="439" t="str">
        <f>VLOOKUP(AM383,MiscData!$AB$4:$ACB$113,2,FALSE)</f>
        <v>KUUM_415</v>
      </c>
      <c r="AL383" s="439" t="str">
        <f>VLOOKUP(AM383,MiscData!$AB$4:$AE$115,4,FALSE)</f>
        <v>LS</v>
      </c>
      <c r="AM383" s="34">
        <f>IF(AM382=MiscData!$AB$91,1,AM382+1)</f>
        <v>30</v>
      </c>
    </row>
    <row r="384" spans="1:39">
      <c r="A384" s="389">
        <f t="shared" si="171"/>
        <v>383</v>
      </c>
      <c r="B384" s="395" t="str">
        <f t="shared" si="152"/>
        <v>May 2014</v>
      </c>
      <c r="C384" s="396" t="str">
        <f t="shared" si="153"/>
        <v>LS</v>
      </c>
      <c r="D384" s="396" t="str">
        <f t="shared" si="154"/>
        <v>KUUM_420</v>
      </c>
      <c r="E384" s="394">
        <f t="shared" si="155"/>
        <v>466</v>
      </c>
      <c r="F384" s="397">
        <v>0</v>
      </c>
      <c r="G384" s="394">
        <f t="shared" si="156"/>
        <v>16149</v>
      </c>
      <c r="H384" s="394">
        <v>0</v>
      </c>
      <c r="I384" s="390">
        <f t="shared" si="157"/>
        <v>15.360000000000001</v>
      </c>
      <c r="J384" s="390">
        <f t="shared" si="158"/>
        <v>1.1300000000000008</v>
      </c>
      <c r="K384" s="391">
        <f t="shared" si="141"/>
        <v>7157.76</v>
      </c>
      <c r="L384" s="398">
        <v>-38.909999999999997</v>
      </c>
      <c r="M384" s="398">
        <v>0</v>
      </c>
      <c r="N384" s="164">
        <f t="shared" si="151"/>
        <v>7118.85</v>
      </c>
      <c r="O384" s="399">
        <f t="shared" si="159"/>
        <v>7118.85</v>
      </c>
      <c r="P384" s="392">
        <f t="shared" si="142"/>
        <v>1</v>
      </c>
      <c r="Q384" s="164">
        <f t="shared" si="160"/>
        <v>51.08</v>
      </c>
      <c r="R384" s="164">
        <f t="shared" si="161"/>
        <v>0</v>
      </c>
      <c r="S384" s="164">
        <f t="shared" si="162"/>
        <v>139.12</v>
      </c>
      <c r="T384" s="164">
        <f t="shared" si="163"/>
        <v>0</v>
      </c>
      <c r="U384" s="164">
        <f t="shared" si="164"/>
        <v>7309.05</v>
      </c>
      <c r="V384" s="393">
        <f t="shared" si="165"/>
        <v>7309.05</v>
      </c>
      <c r="W384" s="393">
        <f t="shared" si="166"/>
        <v>0</v>
      </c>
      <c r="Y384" s="393">
        <f t="shared" si="169"/>
        <v>526.58000000000004</v>
      </c>
      <c r="Z384" s="393">
        <f t="shared" si="170"/>
        <v>6592.27</v>
      </c>
      <c r="AD384" s="395">
        <f>IF(AH384&gt;AH383,AD383,IF(AD383&lt;MiscData!$F$1,EOMONTH(AD383,1),EOMONTH(AD383,-11)))</f>
        <v>41790</v>
      </c>
      <c r="AE384" s="389" t="str">
        <f t="shared" si="167"/>
        <v>20140101KUUM_420</v>
      </c>
      <c r="AF384" s="437" t="str">
        <f t="shared" si="168"/>
        <v>20140101LS</v>
      </c>
      <c r="AG384" s="438"/>
      <c r="AH384" s="34">
        <f>IF(AH383=MiscData!$AB$91,1,AH383+1)</f>
        <v>31</v>
      </c>
      <c r="AI384" s="34">
        <f>IF(AD384&lt;=MiscData!$B$23,MiscData!$C$23,IF(AD384&lt;=MiscData!$B$24,MiscData!$C$24,MiscData!$C$25))</f>
        <v>20140101</v>
      </c>
      <c r="AK384" s="439" t="str">
        <f>VLOOKUP(AM384,MiscData!$AB$4:$ACB$113,2,FALSE)</f>
        <v>KUUM_420</v>
      </c>
      <c r="AL384" s="439" t="str">
        <f>VLOOKUP(AM384,MiscData!$AB$4:$AE$115,4,FALSE)</f>
        <v>LS</v>
      </c>
      <c r="AM384" s="34">
        <f>IF(AM383=MiscData!$AB$91,1,AM383+1)</f>
        <v>31</v>
      </c>
    </row>
    <row r="385" spans="1:39">
      <c r="A385" s="389">
        <f t="shared" si="171"/>
        <v>384</v>
      </c>
      <c r="B385" s="395" t="str">
        <f t="shared" si="152"/>
        <v>May 2014</v>
      </c>
      <c r="C385" s="396" t="str">
        <f t="shared" si="153"/>
        <v>RLS</v>
      </c>
      <c r="D385" s="396" t="str">
        <f t="shared" si="154"/>
        <v>KUUM_421</v>
      </c>
      <c r="E385" s="394">
        <f t="shared" si="155"/>
        <v>5</v>
      </c>
      <c r="F385" s="397">
        <v>0</v>
      </c>
      <c r="G385" s="394">
        <f t="shared" si="156"/>
        <v>152</v>
      </c>
      <c r="H385" s="394">
        <v>0</v>
      </c>
      <c r="I385" s="390">
        <f t="shared" si="157"/>
        <v>3.39</v>
      </c>
      <c r="J385" s="390">
        <f t="shared" si="158"/>
        <v>0.98999999999999977</v>
      </c>
      <c r="K385" s="391">
        <f t="shared" si="141"/>
        <v>16.95</v>
      </c>
      <c r="L385" s="398">
        <v>0</v>
      </c>
      <c r="M385" s="398">
        <v>0</v>
      </c>
      <c r="N385" s="164">
        <f t="shared" si="151"/>
        <v>16.95</v>
      </c>
      <c r="O385" s="399">
        <f t="shared" si="159"/>
        <v>16.95</v>
      </c>
      <c r="P385" s="392">
        <f t="shared" si="142"/>
        <v>1</v>
      </c>
      <c r="Q385" s="164">
        <f t="shared" si="160"/>
        <v>0.41</v>
      </c>
      <c r="R385" s="164">
        <f t="shared" si="161"/>
        <v>0</v>
      </c>
      <c r="S385" s="164">
        <f t="shared" si="162"/>
        <v>0.28999999999999998</v>
      </c>
      <c r="T385" s="164">
        <f t="shared" si="163"/>
        <v>0</v>
      </c>
      <c r="U385" s="164">
        <f t="shared" si="164"/>
        <v>17.649999999999999</v>
      </c>
      <c r="V385" s="393">
        <f t="shared" si="165"/>
        <v>17.649999999999999</v>
      </c>
      <c r="W385" s="393">
        <f t="shared" si="166"/>
        <v>0</v>
      </c>
      <c r="Y385" s="393">
        <f t="shared" si="169"/>
        <v>4.95</v>
      </c>
      <c r="Z385" s="393">
        <f t="shared" si="170"/>
        <v>12</v>
      </c>
      <c r="AD385" s="395">
        <f>IF(AH385&gt;AH384,AD384,IF(AD384&lt;MiscData!$F$1,EOMONTH(AD384,1),EOMONTH(AD384,-11)))</f>
        <v>41790</v>
      </c>
      <c r="AE385" s="389" t="str">
        <f t="shared" si="167"/>
        <v>20140101KUUM_421</v>
      </c>
      <c r="AF385" s="437" t="str">
        <f t="shared" si="168"/>
        <v>20140101RLS</v>
      </c>
      <c r="AG385" s="438"/>
      <c r="AH385" s="34">
        <f>IF(AH384=MiscData!$AB$91,1,AH384+1)</f>
        <v>32</v>
      </c>
      <c r="AI385" s="34">
        <f>IF(AD385&lt;=MiscData!$B$23,MiscData!$C$23,IF(AD385&lt;=MiscData!$B$24,MiscData!$C$24,MiscData!$C$25))</f>
        <v>20140101</v>
      </c>
      <c r="AK385" s="439" t="str">
        <f>VLOOKUP(AM385,MiscData!$AB$4:$ACB$113,2,FALSE)</f>
        <v>KUUM_421</v>
      </c>
      <c r="AL385" s="439" t="str">
        <f>VLOOKUP(AM385,MiscData!$AB$4:$AE$115,4,FALSE)</f>
        <v>RLS</v>
      </c>
      <c r="AM385" s="34">
        <f>IF(AM384=MiscData!$AB$91,1,AM384+1)</f>
        <v>32</v>
      </c>
    </row>
    <row r="386" spans="1:39">
      <c r="A386" s="389">
        <f t="shared" si="171"/>
        <v>385</v>
      </c>
      <c r="B386" s="395" t="str">
        <f t="shared" si="152"/>
        <v>May 2014</v>
      </c>
      <c r="C386" s="396" t="str">
        <f t="shared" si="153"/>
        <v>RLS</v>
      </c>
      <c r="D386" s="396" t="str">
        <f t="shared" si="154"/>
        <v>KUUM_422</v>
      </c>
      <c r="E386" s="394">
        <f t="shared" si="155"/>
        <v>674</v>
      </c>
      <c r="F386" s="397">
        <v>0</v>
      </c>
      <c r="G386" s="394">
        <f t="shared" si="156"/>
        <v>39662</v>
      </c>
      <c r="H386" s="394">
        <v>1275</v>
      </c>
      <c r="I386" s="390">
        <f t="shared" si="157"/>
        <v>4.5400000000000009</v>
      </c>
      <c r="J386" s="390">
        <f t="shared" si="158"/>
        <v>1.9400000000000004</v>
      </c>
      <c r="K386" s="391">
        <f t="shared" si="141"/>
        <v>3059.96</v>
      </c>
      <c r="L386" s="398">
        <v>-5.15</v>
      </c>
      <c r="M386" s="398">
        <v>0</v>
      </c>
      <c r="N386" s="164">
        <f t="shared" si="151"/>
        <v>3054.81</v>
      </c>
      <c r="O386" s="399">
        <f t="shared" si="159"/>
        <v>3054.81</v>
      </c>
      <c r="P386" s="392">
        <f t="shared" si="142"/>
        <v>1</v>
      </c>
      <c r="Q386" s="164">
        <f t="shared" si="160"/>
        <v>126.38</v>
      </c>
      <c r="R386" s="164">
        <f t="shared" si="161"/>
        <v>0</v>
      </c>
      <c r="S386" s="164">
        <f t="shared" si="162"/>
        <v>62.06</v>
      </c>
      <c r="T386" s="164">
        <f t="shared" si="163"/>
        <v>0</v>
      </c>
      <c r="U386" s="164">
        <f t="shared" si="164"/>
        <v>3243.25</v>
      </c>
      <c r="V386" s="393">
        <f t="shared" si="165"/>
        <v>3243.25</v>
      </c>
      <c r="W386" s="393">
        <f t="shared" si="166"/>
        <v>0</v>
      </c>
      <c r="Y386" s="393">
        <f t="shared" si="169"/>
        <v>1307.56</v>
      </c>
      <c r="Z386" s="393">
        <f t="shared" si="170"/>
        <v>1747.25</v>
      </c>
      <c r="AD386" s="395">
        <f>IF(AH386&gt;AH385,AD385,IF(AD385&lt;MiscData!$F$1,EOMONTH(AD385,1),EOMONTH(AD385,-11)))</f>
        <v>41790</v>
      </c>
      <c r="AE386" s="389" t="str">
        <f t="shared" si="167"/>
        <v>20140101KUUM_422</v>
      </c>
      <c r="AF386" s="437" t="str">
        <f t="shared" si="168"/>
        <v>20140101RLS</v>
      </c>
      <c r="AG386" s="438"/>
      <c r="AH386" s="34">
        <f>IF(AH385=MiscData!$AB$91,1,AH385+1)</f>
        <v>33</v>
      </c>
      <c r="AI386" s="34">
        <f>IF(AD386&lt;=MiscData!$B$23,MiscData!$C$23,IF(AD386&lt;=MiscData!$B$24,MiscData!$C$24,MiscData!$C$25))</f>
        <v>20140101</v>
      </c>
      <c r="AK386" s="439" t="str">
        <f>VLOOKUP(AM386,MiscData!$AB$4:$ACB$113,2,FALSE)</f>
        <v>KUUM_422</v>
      </c>
      <c r="AL386" s="439" t="str">
        <f>VLOOKUP(AM386,MiscData!$AB$4:$AE$115,4,FALSE)</f>
        <v>RLS</v>
      </c>
      <c r="AM386" s="34">
        <f>IF(AM385=MiscData!$AB$91,1,AM385+1)</f>
        <v>33</v>
      </c>
    </row>
    <row r="387" spans="1:39">
      <c r="A387" s="389">
        <f t="shared" si="171"/>
        <v>386</v>
      </c>
      <c r="B387" s="395" t="str">
        <f t="shared" si="152"/>
        <v>May 2014</v>
      </c>
      <c r="C387" s="396" t="str">
        <f t="shared" si="153"/>
        <v>RLS</v>
      </c>
      <c r="D387" s="396" t="str">
        <f t="shared" si="154"/>
        <v>KUUM_424</v>
      </c>
      <c r="E387" s="394">
        <f t="shared" si="155"/>
        <v>47</v>
      </c>
      <c r="F387" s="397">
        <v>0</v>
      </c>
      <c r="G387" s="394">
        <f t="shared" si="156"/>
        <v>4825</v>
      </c>
      <c r="H387" s="394">
        <v>0</v>
      </c>
      <c r="I387" s="390">
        <f t="shared" si="157"/>
        <v>6.78</v>
      </c>
      <c r="J387" s="390">
        <f t="shared" si="158"/>
        <v>0.69999999999999929</v>
      </c>
      <c r="K387" s="391">
        <f t="shared" ref="K387:K450" si="172">ROUND(($E387+$F387)*$I387,2)</f>
        <v>318.66000000000003</v>
      </c>
      <c r="L387" s="398">
        <v>0</v>
      </c>
      <c r="M387" s="398">
        <v>0</v>
      </c>
      <c r="N387" s="164">
        <f t="shared" si="151"/>
        <v>318.66000000000003</v>
      </c>
      <c r="O387" s="399">
        <f t="shared" si="159"/>
        <v>318.65999999999997</v>
      </c>
      <c r="P387" s="392">
        <f t="shared" ref="P387:P450" si="173">IF(AND(N387=0,O387=0),1,IF(N387=0,0,ROUND(O387/N387,6)))</f>
        <v>1</v>
      </c>
      <c r="Q387" s="164">
        <f t="shared" si="160"/>
        <v>13.04</v>
      </c>
      <c r="R387" s="164">
        <f t="shared" si="161"/>
        <v>0</v>
      </c>
      <c r="S387" s="164">
        <f t="shared" si="162"/>
        <v>5.45</v>
      </c>
      <c r="T387" s="164">
        <f t="shared" si="163"/>
        <v>0</v>
      </c>
      <c r="U387" s="164">
        <f t="shared" si="164"/>
        <v>337.15</v>
      </c>
      <c r="V387" s="393">
        <f t="shared" si="165"/>
        <v>337.15000000000003</v>
      </c>
      <c r="W387" s="393">
        <f t="shared" si="166"/>
        <v>0</v>
      </c>
      <c r="Y387" s="393">
        <f t="shared" si="169"/>
        <v>32.9</v>
      </c>
      <c r="Z387" s="393">
        <f t="shared" si="170"/>
        <v>285.76</v>
      </c>
      <c r="AD387" s="395">
        <f>IF(AH387&gt;AH386,AD386,IF(AD386&lt;MiscData!$F$1,EOMONTH(AD386,1),EOMONTH(AD386,-11)))</f>
        <v>41790</v>
      </c>
      <c r="AE387" s="389" t="str">
        <f t="shared" si="167"/>
        <v>20140101KUUM_424</v>
      </c>
      <c r="AF387" s="437" t="str">
        <f t="shared" si="168"/>
        <v>20140101RLS</v>
      </c>
      <c r="AG387" s="438"/>
      <c r="AH387" s="34">
        <f>IF(AH386=MiscData!$AB$91,1,AH386+1)</f>
        <v>34</v>
      </c>
      <c r="AI387" s="34">
        <f>IF(AD387&lt;=MiscData!$B$23,MiscData!$C$23,IF(AD387&lt;=MiscData!$B$24,MiscData!$C$24,MiscData!$C$25))</f>
        <v>20140101</v>
      </c>
      <c r="AK387" s="439" t="str">
        <f>VLOOKUP(AM387,MiscData!$AB$4:$ACB$113,2,FALSE)</f>
        <v>KUUM_424</v>
      </c>
      <c r="AL387" s="439" t="str">
        <f>VLOOKUP(AM387,MiscData!$AB$4:$AE$115,4,FALSE)</f>
        <v>RLS</v>
      </c>
      <c r="AM387" s="34">
        <f>IF(AM386=MiscData!$AB$91,1,AM386+1)</f>
        <v>34</v>
      </c>
    </row>
    <row r="388" spans="1:39">
      <c r="A388" s="389">
        <f t="shared" si="171"/>
        <v>387</v>
      </c>
      <c r="B388" s="395" t="str">
        <f t="shared" si="152"/>
        <v>May 2014</v>
      </c>
      <c r="C388" s="396" t="str">
        <f t="shared" si="153"/>
        <v>RLS</v>
      </c>
      <c r="D388" s="396" t="str">
        <f t="shared" si="154"/>
        <v>KUUM_425</v>
      </c>
      <c r="E388" s="394">
        <f t="shared" si="155"/>
        <v>2</v>
      </c>
      <c r="F388" s="397">
        <v>0</v>
      </c>
      <c r="G388" s="394">
        <f t="shared" si="156"/>
        <v>279</v>
      </c>
      <c r="H388" s="394">
        <v>0</v>
      </c>
      <c r="I388" s="390">
        <f t="shared" si="157"/>
        <v>9.06</v>
      </c>
      <c r="J388" s="390">
        <f t="shared" si="158"/>
        <v>4.3000000000000007</v>
      </c>
      <c r="K388" s="391">
        <f t="shared" si="172"/>
        <v>18.12</v>
      </c>
      <c r="L388" s="398">
        <v>0</v>
      </c>
      <c r="M388" s="398">
        <v>0</v>
      </c>
      <c r="N388" s="164">
        <f t="shared" si="151"/>
        <v>18.12</v>
      </c>
      <c r="O388" s="399">
        <f t="shared" si="159"/>
        <v>18.12</v>
      </c>
      <c r="P388" s="392">
        <f t="shared" si="173"/>
        <v>1</v>
      </c>
      <c r="Q388" s="164">
        <f t="shared" si="160"/>
        <v>0.99</v>
      </c>
      <c r="R388" s="164">
        <f t="shared" si="161"/>
        <v>0</v>
      </c>
      <c r="S388" s="164">
        <f t="shared" si="162"/>
        <v>0.42</v>
      </c>
      <c r="T388" s="164">
        <f t="shared" si="163"/>
        <v>0</v>
      </c>
      <c r="U388" s="164">
        <f t="shared" si="164"/>
        <v>19.53</v>
      </c>
      <c r="V388" s="393">
        <f t="shared" si="165"/>
        <v>19.53</v>
      </c>
      <c r="W388" s="393">
        <f t="shared" si="166"/>
        <v>0</v>
      </c>
      <c r="Y388" s="393">
        <f t="shared" si="169"/>
        <v>8.6</v>
      </c>
      <c r="Z388" s="393">
        <f t="shared" si="170"/>
        <v>9.5200000000000014</v>
      </c>
      <c r="AD388" s="395">
        <f>IF(AH388&gt;AH387,AD387,IF(AD387&lt;MiscData!$F$1,EOMONTH(AD387,1),EOMONTH(AD387,-11)))</f>
        <v>41790</v>
      </c>
      <c r="AE388" s="389" t="str">
        <f t="shared" si="167"/>
        <v>20140101KUUM_425</v>
      </c>
      <c r="AF388" s="437" t="str">
        <f t="shared" si="168"/>
        <v>20140101RLS</v>
      </c>
      <c r="AG388" s="438"/>
      <c r="AH388" s="34">
        <f>IF(AH387=MiscData!$AB$91,1,AH387+1)</f>
        <v>35</v>
      </c>
      <c r="AI388" s="34">
        <f>IF(AD388&lt;=MiscData!$B$23,MiscData!$C$23,IF(AD388&lt;=MiscData!$B$24,MiscData!$C$24,MiscData!$C$25))</f>
        <v>20140101</v>
      </c>
      <c r="AK388" s="439" t="str">
        <f>VLOOKUP(AM388,MiscData!$AB$4:$ACB$113,2,FALSE)</f>
        <v>KUUM_425</v>
      </c>
      <c r="AL388" s="439" t="str">
        <f>VLOOKUP(AM388,MiscData!$AB$4:$AE$115,4,FALSE)</f>
        <v>RLS</v>
      </c>
      <c r="AM388" s="34">
        <f>IF(AM387=MiscData!$AB$91,1,AM387+1)</f>
        <v>35</v>
      </c>
    </row>
    <row r="389" spans="1:39">
      <c r="A389" s="389">
        <f t="shared" si="171"/>
        <v>388</v>
      </c>
      <c r="B389" s="395" t="str">
        <f t="shared" si="152"/>
        <v>May 2014</v>
      </c>
      <c r="C389" s="396" t="str">
        <f t="shared" si="153"/>
        <v>RLS</v>
      </c>
      <c r="D389" s="396" t="str">
        <f t="shared" si="154"/>
        <v>KUUM_426</v>
      </c>
      <c r="E389" s="394">
        <f t="shared" si="155"/>
        <v>170</v>
      </c>
      <c r="F389" s="397">
        <v>0</v>
      </c>
      <c r="G389" s="394">
        <f t="shared" si="156"/>
        <v>4106</v>
      </c>
      <c r="H389" s="394">
        <v>0</v>
      </c>
      <c r="I389" s="390">
        <f t="shared" si="157"/>
        <v>7.4399999999999995</v>
      </c>
      <c r="J389" s="390">
        <f t="shared" si="158"/>
        <v>0.79999999999999982</v>
      </c>
      <c r="K389" s="391">
        <f t="shared" si="172"/>
        <v>1264.8</v>
      </c>
      <c r="L389" s="398">
        <v>-8.27</v>
      </c>
      <c r="M389" s="398">
        <v>0</v>
      </c>
      <c r="N389" s="164">
        <f t="shared" si="151"/>
        <v>1256.53</v>
      </c>
      <c r="O389" s="399">
        <f t="shared" si="159"/>
        <v>1256.53</v>
      </c>
      <c r="P389" s="392">
        <f t="shared" si="173"/>
        <v>1</v>
      </c>
      <c r="Q389" s="164">
        <f t="shared" si="160"/>
        <v>14.75</v>
      </c>
      <c r="R389" s="164">
        <f t="shared" si="161"/>
        <v>0</v>
      </c>
      <c r="S389" s="164">
        <f t="shared" si="162"/>
        <v>27.08</v>
      </c>
      <c r="T389" s="164">
        <f t="shared" si="163"/>
        <v>0</v>
      </c>
      <c r="U389" s="164">
        <f t="shared" si="164"/>
        <v>1298.3599999999999</v>
      </c>
      <c r="V389" s="393">
        <f t="shared" si="165"/>
        <v>1298.3599999999999</v>
      </c>
      <c r="W389" s="393">
        <f t="shared" si="166"/>
        <v>0</v>
      </c>
      <c r="Y389" s="393">
        <f t="shared" si="169"/>
        <v>136</v>
      </c>
      <c r="Z389" s="393">
        <f t="shared" si="170"/>
        <v>1120.53</v>
      </c>
      <c r="AD389" s="395">
        <f>IF(AH389&gt;AH388,AD388,IF(AD388&lt;MiscData!$F$1,EOMONTH(AD388,1),EOMONTH(AD388,-11)))</f>
        <v>41790</v>
      </c>
      <c r="AE389" s="389" t="str">
        <f t="shared" si="167"/>
        <v>20140101KUUM_426</v>
      </c>
      <c r="AF389" s="437" t="str">
        <f t="shared" si="168"/>
        <v>20140101RLS</v>
      </c>
      <c r="AG389" s="438"/>
      <c r="AH389" s="34">
        <f>IF(AH388=MiscData!$AB$91,1,AH388+1)</f>
        <v>36</v>
      </c>
      <c r="AI389" s="34">
        <f>IF(AD389&lt;=MiscData!$B$23,MiscData!$C$23,IF(AD389&lt;=MiscData!$B$24,MiscData!$C$24,MiscData!$C$25))</f>
        <v>20140101</v>
      </c>
      <c r="AK389" s="439" t="str">
        <f>VLOOKUP(AM389,MiscData!$AB$4:$ACB$113,2,FALSE)</f>
        <v>KUUM_426</v>
      </c>
      <c r="AL389" s="439" t="str">
        <f>VLOOKUP(AM389,MiscData!$AB$4:$AE$115,4,FALSE)</f>
        <v>RLS</v>
      </c>
      <c r="AM389" s="34">
        <f>IF(AM388=MiscData!$AB$91,1,AM388+1)</f>
        <v>36</v>
      </c>
    </row>
    <row r="390" spans="1:39">
      <c r="A390" s="389">
        <f t="shared" si="171"/>
        <v>389</v>
      </c>
      <c r="B390" s="395" t="str">
        <f t="shared" si="152"/>
        <v>May 2014</v>
      </c>
      <c r="C390" s="396" t="str">
        <f t="shared" si="153"/>
        <v>LS</v>
      </c>
      <c r="D390" s="396" t="str">
        <f t="shared" si="154"/>
        <v>KUUM_428</v>
      </c>
      <c r="E390" s="394">
        <f t="shared" si="155"/>
        <v>36658</v>
      </c>
      <c r="F390" s="397">
        <v>33</v>
      </c>
      <c r="G390" s="394">
        <f t="shared" si="156"/>
        <v>1236726</v>
      </c>
      <c r="H390" s="394">
        <v>0</v>
      </c>
      <c r="I390" s="390">
        <f t="shared" si="157"/>
        <v>7.84</v>
      </c>
      <c r="J390" s="390">
        <f t="shared" si="158"/>
        <v>1.1299999999999999</v>
      </c>
      <c r="K390" s="391">
        <f t="shared" si="172"/>
        <v>287657.44</v>
      </c>
      <c r="L390" s="398">
        <v>-2435.33</v>
      </c>
      <c r="M390" s="398">
        <v>0</v>
      </c>
      <c r="N390" s="164">
        <f t="shared" si="151"/>
        <v>285222.11</v>
      </c>
      <c r="O390" s="399">
        <f t="shared" si="159"/>
        <v>285222.11000000004</v>
      </c>
      <c r="P390" s="392">
        <f t="shared" si="173"/>
        <v>1</v>
      </c>
      <c r="Q390" s="164">
        <f t="shared" si="160"/>
        <v>4341.84</v>
      </c>
      <c r="R390" s="164">
        <f t="shared" si="161"/>
        <v>0</v>
      </c>
      <c r="S390" s="164">
        <f t="shared" si="162"/>
        <v>6192.89</v>
      </c>
      <c r="T390" s="164">
        <f t="shared" si="163"/>
        <v>0</v>
      </c>
      <c r="U390" s="164">
        <f t="shared" si="164"/>
        <v>295756.84000000003</v>
      </c>
      <c r="V390" s="393">
        <f t="shared" si="165"/>
        <v>295756.84000000003</v>
      </c>
      <c r="W390" s="393">
        <f t="shared" si="166"/>
        <v>0</v>
      </c>
      <c r="Y390" s="393">
        <f t="shared" si="169"/>
        <v>41423.54</v>
      </c>
      <c r="Z390" s="393">
        <f t="shared" si="170"/>
        <v>243798.57000000004</v>
      </c>
      <c r="AD390" s="395">
        <f>IF(AH390&gt;AH389,AD389,IF(AD389&lt;MiscData!$F$1,EOMONTH(AD389,1),EOMONTH(AD389,-11)))</f>
        <v>41790</v>
      </c>
      <c r="AE390" s="389" t="str">
        <f t="shared" si="167"/>
        <v>20140101KUUM_428</v>
      </c>
      <c r="AF390" s="437" t="str">
        <f t="shared" si="168"/>
        <v>20140101LS</v>
      </c>
      <c r="AG390" s="438"/>
      <c r="AH390" s="34">
        <f>IF(AH389=MiscData!$AB$91,1,AH389+1)</f>
        <v>37</v>
      </c>
      <c r="AI390" s="34">
        <f>IF(AD390&lt;=MiscData!$B$23,MiscData!$C$23,IF(AD390&lt;=MiscData!$B$24,MiscData!$C$24,MiscData!$C$25))</f>
        <v>20140101</v>
      </c>
      <c r="AK390" s="439" t="str">
        <f>VLOOKUP(AM390,MiscData!$AB$4:$ACB$113,2,FALSE)</f>
        <v>KUUM_428</v>
      </c>
      <c r="AL390" s="439" t="str">
        <f>VLOOKUP(AM390,MiscData!$AB$4:$AE$115,4,FALSE)</f>
        <v>LS</v>
      </c>
      <c r="AM390" s="34">
        <f>IF(AM389=MiscData!$AB$91,1,AM389+1)</f>
        <v>37</v>
      </c>
    </row>
    <row r="391" spans="1:39">
      <c r="A391" s="389">
        <f t="shared" si="171"/>
        <v>390</v>
      </c>
      <c r="B391" s="395" t="str">
        <f t="shared" si="152"/>
        <v>May 2014</v>
      </c>
      <c r="C391" s="396" t="str">
        <f t="shared" si="153"/>
        <v>LS</v>
      </c>
      <c r="D391" s="396" t="str">
        <f t="shared" si="154"/>
        <v>KUUM_429</v>
      </c>
      <c r="E391" s="394">
        <f t="shared" si="155"/>
        <v>0</v>
      </c>
      <c r="F391" s="397">
        <v>0</v>
      </c>
      <c r="G391" s="394">
        <f t="shared" si="156"/>
        <v>0</v>
      </c>
      <c r="H391" s="394">
        <v>0</v>
      </c>
      <c r="I391" s="390">
        <f t="shared" si="157"/>
        <v>0</v>
      </c>
      <c r="J391" s="390">
        <f t="shared" si="158"/>
        <v>0</v>
      </c>
      <c r="K391" s="391">
        <f t="shared" si="172"/>
        <v>0</v>
      </c>
      <c r="L391" s="398">
        <v>0</v>
      </c>
      <c r="M391" s="398">
        <v>0</v>
      </c>
      <c r="N391" s="164">
        <f t="shared" si="151"/>
        <v>0</v>
      </c>
      <c r="O391" s="399">
        <f t="shared" si="159"/>
        <v>0</v>
      </c>
      <c r="P391" s="392">
        <f t="shared" si="173"/>
        <v>1</v>
      </c>
      <c r="Q391" s="164">
        <f t="shared" si="160"/>
        <v>0</v>
      </c>
      <c r="R391" s="164">
        <f t="shared" si="161"/>
        <v>0</v>
      </c>
      <c r="S391" s="164">
        <f t="shared" si="162"/>
        <v>0</v>
      </c>
      <c r="T391" s="164">
        <f t="shared" si="163"/>
        <v>0</v>
      </c>
      <c r="U391" s="164">
        <f t="shared" si="164"/>
        <v>0</v>
      </c>
      <c r="V391" s="393">
        <f t="shared" si="165"/>
        <v>0</v>
      </c>
      <c r="W391" s="393">
        <f t="shared" si="166"/>
        <v>0</v>
      </c>
      <c r="Y391" s="393">
        <f t="shared" si="169"/>
        <v>0</v>
      </c>
      <c r="Z391" s="393">
        <f t="shared" si="170"/>
        <v>0</v>
      </c>
      <c r="AD391" s="395">
        <f>IF(AH391&gt;AH390,AD390,IF(AD390&lt;MiscData!$F$1,EOMONTH(AD390,1),EOMONTH(AD390,-11)))</f>
        <v>41790</v>
      </c>
      <c r="AE391" s="389" t="str">
        <f t="shared" si="167"/>
        <v>20140101KUUM_429</v>
      </c>
      <c r="AF391" s="437" t="str">
        <f t="shared" si="168"/>
        <v>20140101LS</v>
      </c>
      <c r="AG391" s="438"/>
      <c r="AH391" s="34">
        <f>IF(AH390=MiscData!$AB$91,1,AH390+1)</f>
        <v>38</v>
      </c>
      <c r="AI391" s="34">
        <f>IF(AD391&lt;=MiscData!$B$23,MiscData!$C$23,IF(AD391&lt;=MiscData!$B$24,MiscData!$C$24,MiscData!$C$25))</f>
        <v>20140101</v>
      </c>
      <c r="AK391" s="439" t="str">
        <f>VLOOKUP(AM391,MiscData!$AB$4:$ACB$113,2,FALSE)</f>
        <v>KUUM_429</v>
      </c>
      <c r="AL391" s="439" t="str">
        <f>VLOOKUP(AM391,MiscData!$AB$4:$AE$115,4,FALSE)</f>
        <v>LS</v>
      </c>
      <c r="AM391" s="34">
        <f>IF(AM390=MiscData!$AB$91,1,AM390+1)</f>
        <v>38</v>
      </c>
    </row>
    <row r="392" spans="1:39">
      <c r="A392" s="389">
        <f t="shared" si="171"/>
        <v>391</v>
      </c>
      <c r="B392" s="395" t="str">
        <f t="shared" si="152"/>
        <v>May 2014</v>
      </c>
      <c r="C392" s="396" t="str">
        <f t="shared" si="153"/>
        <v>LS</v>
      </c>
      <c r="D392" s="396" t="str">
        <f t="shared" si="154"/>
        <v>KUUM_430</v>
      </c>
      <c r="E392" s="394">
        <f t="shared" si="155"/>
        <v>1185</v>
      </c>
      <c r="F392" s="397">
        <v>0</v>
      </c>
      <c r="G392" s="394">
        <f t="shared" si="156"/>
        <v>40922</v>
      </c>
      <c r="H392" s="394">
        <v>0</v>
      </c>
      <c r="I392" s="390">
        <f t="shared" si="157"/>
        <v>22</v>
      </c>
      <c r="J392" s="390">
        <f t="shared" si="158"/>
        <v>1.129999999999999</v>
      </c>
      <c r="K392" s="391">
        <f t="shared" si="172"/>
        <v>26070</v>
      </c>
      <c r="L392" s="398">
        <v>-66</v>
      </c>
      <c r="M392" s="398">
        <v>0</v>
      </c>
      <c r="N392" s="164">
        <f t="shared" si="151"/>
        <v>26004</v>
      </c>
      <c r="O392" s="399">
        <f t="shared" si="159"/>
        <v>26004</v>
      </c>
      <c r="P392" s="392">
        <f t="shared" si="173"/>
        <v>1</v>
      </c>
      <c r="Q392" s="164">
        <f t="shared" si="160"/>
        <v>134.83000000000001</v>
      </c>
      <c r="R392" s="164">
        <f t="shared" si="161"/>
        <v>0</v>
      </c>
      <c r="S392" s="164">
        <f t="shared" si="162"/>
        <v>528.04</v>
      </c>
      <c r="T392" s="164">
        <f t="shared" si="163"/>
        <v>0</v>
      </c>
      <c r="U392" s="164">
        <f t="shared" si="164"/>
        <v>26666.87</v>
      </c>
      <c r="V392" s="393">
        <f t="shared" si="165"/>
        <v>26666.870000000003</v>
      </c>
      <c r="W392" s="393">
        <f t="shared" si="166"/>
        <v>0</v>
      </c>
      <c r="Y392" s="393">
        <f t="shared" si="169"/>
        <v>1339.05</v>
      </c>
      <c r="Z392" s="393">
        <f t="shared" si="170"/>
        <v>24664.95</v>
      </c>
      <c r="AD392" s="395">
        <f>IF(AH392&gt;AH391,AD391,IF(AD391&lt;MiscData!$F$1,EOMONTH(AD391,1),EOMONTH(AD391,-11)))</f>
        <v>41790</v>
      </c>
      <c r="AE392" s="389" t="str">
        <f t="shared" si="167"/>
        <v>20140101KUUM_430</v>
      </c>
      <c r="AF392" s="437" t="str">
        <f t="shared" si="168"/>
        <v>20140101LS</v>
      </c>
      <c r="AG392" s="438"/>
      <c r="AH392" s="34">
        <f>IF(AH391=MiscData!$AB$91,1,AH391+1)</f>
        <v>39</v>
      </c>
      <c r="AI392" s="34">
        <f>IF(AD392&lt;=MiscData!$B$23,MiscData!$C$23,IF(AD392&lt;=MiscData!$B$24,MiscData!$C$24,MiscData!$C$25))</f>
        <v>20140101</v>
      </c>
      <c r="AK392" s="439" t="str">
        <f>VLOOKUP(AM392,MiscData!$AB$4:$ACB$113,2,FALSE)</f>
        <v>KUUM_430</v>
      </c>
      <c r="AL392" s="439" t="str">
        <f>VLOOKUP(AM392,MiscData!$AB$4:$AE$115,4,FALSE)</f>
        <v>LS</v>
      </c>
      <c r="AM392" s="34">
        <f>IF(AM391=MiscData!$AB$91,1,AM391+1)</f>
        <v>39</v>
      </c>
    </row>
    <row r="393" spans="1:39">
      <c r="A393" s="389">
        <f t="shared" si="171"/>
        <v>392</v>
      </c>
      <c r="B393" s="395" t="str">
        <f t="shared" si="152"/>
        <v>May 2014</v>
      </c>
      <c r="C393" s="396" t="str">
        <f t="shared" si="153"/>
        <v>RLS</v>
      </c>
      <c r="D393" s="396" t="str">
        <f t="shared" si="154"/>
        <v>KUUM_434</v>
      </c>
      <c r="E393" s="394">
        <f t="shared" si="155"/>
        <v>3</v>
      </c>
      <c r="F393" s="397">
        <v>0</v>
      </c>
      <c r="G393" s="394">
        <f t="shared" si="156"/>
        <v>327</v>
      </c>
      <c r="H393" s="394">
        <v>0</v>
      </c>
      <c r="I393" s="390">
        <f t="shared" si="157"/>
        <v>7.74</v>
      </c>
      <c r="J393" s="390">
        <f t="shared" si="158"/>
        <v>0.69999999999999929</v>
      </c>
      <c r="K393" s="391">
        <f t="shared" si="172"/>
        <v>23.22</v>
      </c>
      <c r="L393" s="398">
        <v>0</v>
      </c>
      <c r="M393" s="398">
        <v>0</v>
      </c>
      <c r="N393" s="164">
        <f t="shared" si="151"/>
        <v>23.22</v>
      </c>
      <c r="O393" s="399">
        <f t="shared" si="159"/>
        <v>23.22</v>
      </c>
      <c r="P393" s="392">
        <f t="shared" si="173"/>
        <v>1</v>
      </c>
      <c r="Q393" s="164">
        <f t="shared" si="160"/>
        <v>0.69</v>
      </c>
      <c r="R393" s="164">
        <f t="shared" si="161"/>
        <v>0</v>
      </c>
      <c r="S393" s="164">
        <f t="shared" si="162"/>
        <v>0.28999999999999998</v>
      </c>
      <c r="T393" s="164">
        <f t="shared" si="163"/>
        <v>0</v>
      </c>
      <c r="U393" s="164">
        <f t="shared" si="164"/>
        <v>24.2</v>
      </c>
      <c r="V393" s="393">
        <f t="shared" si="165"/>
        <v>24.2</v>
      </c>
      <c r="W393" s="393">
        <f t="shared" si="166"/>
        <v>0</v>
      </c>
      <c r="Y393" s="393">
        <f t="shared" si="169"/>
        <v>2.1</v>
      </c>
      <c r="Z393" s="393">
        <f t="shared" si="170"/>
        <v>21.119999999999997</v>
      </c>
      <c r="AD393" s="395">
        <f>IF(AH393&gt;AH392,AD392,IF(AD392&lt;MiscData!$F$1,EOMONTH(AD392,1),EOMONTH(AD392,-11)))</f>
        <v>41790</v>
      </c>
      <c r="AE393" s="389" t="str">
        <f t="shared" si="167"/>
        <v>20140101KUUM_434</v>
      </c>
      <c r="AF393" s="437" t="str">
        <f t="shared" si="168"/>
        <v>20140101RLS</v>
      </c>
      <c r="AG393" s="438"/>
      <c r="AH393" s="34">
        <f>IF(AH392=MiscData!$AB$91,1,AH392+1)</f>
        <v>40</v>
      </c>
      <c r="AI393" s="34">
        <f>IF(AD393&lt;=MiscData!$B$23,MiscData!$C$23,IF(AD393&lt;=MiscData!$B$24,MiscData!$C$24,MiscData!$C$25))</f>
        <v>20140101</v>
      </c>
      <c r="AK393" s="439" t="str">
        <f>VLOOKUP(AM393,MiscData!$AB$4:$ACB$113,2,FALSE)</f>
        <v>KUUM_434</v>
      </c>
      <c r="AL393" s="439" t="str">
        <f>VLOOKUP(AM393,MiscData!$AB$4:$AE$115,4,FALSE)</f>
        <v>RLS</v>
      </c>
      <c r="AM393" s="34">
        <f>IF(AM392=MiscData!$AB$91,1,AM392+1)</f>
        <v>40</v>
      </c>
    </row>
    <row r="394" spans="1:39">
      <c r="A394" s="389">
        <f t="shared" si="171"/>
        <v>393</v>
      </c>
      <c r="B394" s="395" t="str">
        <f t="shared" si="152"/>
        <v>May 2014</v>
      </c>
      <c r="C394" s="396" t="str">
        <f t="shared" si="153"/>
        <v>RLS</v>
      </c>
      <c r="D394" s="396" t="str">
        <f t="shared" si="154"/>
        <v>KUUM_440</v>
      </c>
      <c r="E394" s="394">
        <f t="shared" si="155"/>
        <v>2</v>
      </c>
      <c r="F394" s="397">
        <v>0</v>
      </c>
      <c r="G394" s="394">
        <f t="shared" si="156"/>
        <v>34</v>
      </c>
      <c r="H394" s="394">
        <v>0</v>
      </c>
      <c r="I394" s="390">
        <f t="shared" si="157"/>
        <v>13.610000000000001</v>
      </c>
      <c r="J394" s="390">
        <f t="shared" si="158"/>
        <v>0.57000000000000028</v>
      </c>
      <c r="K394" s="391">
        <f t="shared" si="172"/>
        <v>27.22</v>
      </c>
      <c r="L394" s="398">
        <v>0</v>
      </c>
      <c r="M394" s="398">
        <v>0</v>
      </c>
      <c r="N394" s="164">
        <f t="shared" si="151"/>
        <v>27.22</v>
      </c>
      <c r="O394" s="399">
        <f t="shared" si="159"/>
        <v>27.220000000000002</v>
      </c>
      <c r="P394" s="392">
        <f t="shared" si="173"/>
        <v>1</v>
      </c>
      <c r="Q394" s="164">
        <f t="shared" si="160"/>
        <v>0.12</v>
      </c>
      <c r="R394" s="164">
        <f t="shared" si="161"/>
        <v>0</v>
      </c>
      <c r="S394" s="164">
        <f t="shared" si="162"/>
        <v>0.6</v>
      </c>
      <c r="T394" s="164">
        <f t="shared" si="163"/>
        <v>0</v>
      </c>
      <c r="U394" s="164">
        <f t="shared" si="164"/>
        <v>27.94</v>
      </c>
      <c r="V394" s="393">
        <f t="shared" si="165"/>
        <v>27.94</v>
      </c>
      <c r="W394" s="393">
        <f t="shared" si="166"/>
        <v>0</v>
      </c>
      <c r="Y394" s="393">
        <f t="shared" si="169"/>
        <v>1.1399999999999999</v>
      </c>
      <c r="Z394" s="393">
        <f t="shared" si="170"/>
        <v>26.080000000000002</v>
      </c>
      <c r="AD394" s="395">
        <f>IF(AH394&gt;AH393,AD393,IF(AD393&lt;MiscData!$F$1,EOMONTH(AD393,1),EOMONTH(AD393,-11)))</f>
        <v>41790</v>
      </c>
      <c r="AE394" s="389" t="str">
        <f t="shared" si="167"/>
        <v>20140101KUUM_440</v>
      </c>
      <c r="AF394" s="437" t="str">
        <f t="shared" si="168"/>
        <v>20140101RLS</v>
      </c>
      <c r="AG394" s="438"/>
      <c r="AH394" s="34">
        <f>IF(AH393=MiscData!$AB$91,1,AH393+1)</f>
        <v>41</v>
      </c>
      <c r="AI394" s="34">
        <f>IF(AD394&lt;=MiscData!$B$23,MiscData!$C$23,IF(AD394&lt;=MiscData!$B$24,MiscData!$C$24,MiscData!$C$25))</f>
        <v>20140101</v>
      </c>
      <c r="AK394" s="439" t="str">
        <f>VLOOKUP(AM394,MiscData!$AB$4:$ACB$113,2,FALSE)</f>
        <v>KUUM_440</v>
      </c>
      <c r="AL394" s="439" t="str">
        <f>VLOOKUP(AM394,MiscData!$AB$4:$AE$115,4,FALSE)</f>
        <v>RLS</v>
      </c>
      <c r="AM394" s="34">
        <f>IF(AM393=MiscData!$AB$91,1,AM393+1)</f>
        <v>41</v>
      </c>
    </row>
    <row r="395" spans="1:39">
      <c r="A395" s="389">
        <f t="shared" si="171"/>
        <v>394</v>
      </c>
      <c r="B395" s="395" t="str">
        <f t="shared" si="152"/>
        <v>May 2014</v>
      </c>
      <c r="C395" s="396" t="str">
        <f t="shared" si="153"/>
        <v>RLS</v>
      </c>
      <c r="D395" s="396" t="str">
        <f t="shared" si="154"/>
        <v>KUUM_446</v>
      </c>
      <c r="E395" s="394">
        <f t="shared" si="155"/>
        <v>1080</v>
      </c>
      <c r="F395" s="397">
        <v>0</v>
      </c>
      <c r="G395" s="394">
        <f t="shared" si="156"/>
        <v>66536</v>
      </c>
      <c r="H395" s="394">
        <v>0</v>
      </c>
      <c r="I395" s="390">
        <f t="shared" si="157"/>
        <v>9.5600000000000023</v>
      </c>
      <c r="J395" s="390">
        <f t="shared" si="158"/>
        <v>1.9900000000000002</v>
      </c>
      <c r="K395" s="391">
        <f t="shared" si="172"/>
        <v>10324.799999999999</v>
      </c>
      <c r="L395" s="398">
        <v>0</v>
      </c>
      <c r="M395" s="398">
        <v>0</v>
      </c>
      <c r="N395" s="164">
        <f t="shared" si="151"/>
        <v>10324.799999999999</v>
      </c>
      <c r="O395" s="399">
        <f t="shared" si="159"/>
        <v>10324.799999999999</v>
      </c>
      <c r="P395" s="392">
        <f t="shared" si="173"/>
        <v>1</v>
      </c>
      <c r="Q395" s="164">
        <f t="shared" si="160"/>
        <v>217.84</v>
      </c>
      <c r="R395" s="164">
        <f t="shared" si="161"/>
        <v>0</v>
      </c>
      <c r="S395" s="164">
        <f t="shared" si="162"/>
        <v>212.01</v>
      </c>
      <c r="T395" s="164">
        <f t="shared" si="163"/>
        <v>0</v>
      </c>
      <c r="U395" s="164">
        <f t="shared" si="164"/>
        <v>10754.65</v>
      </c>
      <c r="V395" s="393">
        <f t="shared" si="165"/>
        <v>10754.65</v>
      </c>
      <c r="W395" s="393">
        <f t="shared" si="166"/>
        <v>0</v>
      </c>
      <c r="Y395" s="393">
        <f t="shared" si="169"/>
        <v>2149.1999999999998</v>
      </c>
      <c r="Z395" s="393">
        <f t="shared" si="170"/>
        <v>8175.5999999999995</v>
      </c>
      <c r="AD395" s="395">
        <f>IF(AH395&gt;AH394,AD394,IF(AD394&lt;MiscData!$F$1,EOMONTH(AD394,1),EOMONTH(AD394,-11)))</f>
        <v>41790</v>
      </c>
      <c r="AE395" s="389" t="str">
        <f t="shared" si="167"/>
        <v>20140101KUUM_446</v>
      </c>
      <c r="AF395" s="437" t="str">
        <f t="shared" si="168"/>
        <v>20140101RLS</v>
      </c>
      <c r="AG395" s="438"/>
      <c r="AH395" s="34">
        <f>IF(AH394=MiscData!$AB$91,1,AH394+1)</f>
        <v>42</v>
      </c>
      <c r="AI395" s="34">
        <f>IF(AD395&lt;=MiscData!$B$23,MiscData!$C$23,IF(AD395&lt;=MiscData!$B$24,MiscData!$C$24,MiscData!$C$25))</f>
        <v>20140101</v>
      </c>
      <c r="AK395" s="439" t="str">
        <f>VLOOKUP(AM395,MiscData!$AB$4:$ACB$113,2,FALSE)</f>
        <v>KUUM_446</v>
      </c>
      <c r="AL395" s="439" t="str">
        <f>VLOOKUP(AM395,MiscData!$AB$4:$AE$115,4,FALSE)</f>
        <v>RLS</v>
      </c>
      <c r="AM395" s="34">
        <f>IF(AM394=MiscData!$AB$91,1,AM394+1)</f>
        <v>42</v>
      </c>
    </row>
    <row r="396" spans="1:39">
      <c r="A396" s="389">
        <f t="shared" si="171"/>
        <v>395</v>
      </c>
      <c r="B396" s="395" t="str">
        <f t="shared" si="152"/>
        <v>May 2014</v>
      </c>
      <c r="C396" s="396" t="str">
        <f t="shared" si="153"/>
        <v>RLS</v>
      </c>
      <c r="D396" s="396" t="str">
        <f t="shared" si="154"/>
        <v>KUUM_447</v>
      </c>
      <c r="E396" s="394">
        <f t="shared" si="155"/>
        <v>742</v>
      </c>
      <c r="F396" s="397">
        <v>0</v>
      </c>
      <c r="G396" s="394">
        <f t="shared" si="156"/>
        <v>66765</v>
      </c>
      <c r="H396" s="394">
        <v>0</v>
      </c>
      <c r="I396" s="390">
        <f t="shared" si="157"/>
        <v>11.32</v>
      </c>
      <c r="J396" s="390">
        <f t="shared" si="158"/>
        <v>2.8400000000000016</v>
      </c>
      <c r="K396" s="391">
        <f t="shared" si="172"/>
        <v>8399.44</v>
      </c>
      <c r="L396" s="398">
        <v>-35.1</v>
      </c>
      <c r="M396" s="398">
        <v>0</v>
      </c>
      <c r="N396" s="164">
        <f t="shared" si="151"/>
        <v>8364.34</v>
      </c>
      <c r="O396" s="399">
        <f t="shared" si="159"/>
        <v>8364.34</v>
      </c>
      <c r="P396" s="392">
        <f t="shared" si="173"/>
        <v>1</v>
      </c>
      <c r="Q396" s="164">
        <f t="shared" si="160"/>
        <v>145.25</v>
      </c>
      <c r="R396" s="164">
        <f t="shared" si="161"/>
        <v>0</v>
      </c>
      <c r="S396" s="164">
        <f t="shared" si="162"/>
        <v>107.2</v>
      </c>
      <c r="T396" s="164">
        <f t="shared" si="163"/>
        <v>0</v>
      </c>
      <c r="U396" s="164">
        <f t="shared" si="164"/>
        <v>8616.7900000000009</v>
      </c>
      <c r="V396" s="393">
        <f t="shared" si="165"/>
        <v>8616.7900000000009</v>
      </c>
      <c r="W396" s="393">
        <f t="shared" si="166"/>
        <v>0</v>
      </c>
      <c r="Y396" s="393">
        <f t="shared" si="169"/>
        <v>2107.2800000000002</v>
      </c>
      <c r="Z396" s="393">
        <f t="shared" si="170"/>
        <v>6257.0599999999995</v>
      </c>
      <c r="AD396" s="395">
        <f>IF(AH396&gt;AH395,AD395,IF(AD395&lt;MiscData!$F$1,EOMONTH(AD395,1),EOMONTH(AD395,-11)))</f>
        <v>41790</v>
      </c>
      <c r="AE396" s="389" t="str">
        <f t="shared" si="167"/>
        <v>20140101KUUM_447</v>
      </c>
      <c r="AF396" s="437" t="str">
        <f t="shared" si="168"/>
        <v>20140101RLS</v>
      </c>
      <c r="AG396" s="438"/>
      <c r="AH396" s="34">
        <f>IF(AH395=MiscData!$AB$91,1,AH395+1)</f>
        <v>43</v>
      </c>
      <c r="AI396" s="34">
        <f>IF(AD396&lt;=MiscData!$B$23,MiscData!$C$23,IF(AD396&lt;=MiscData!$B$24,MiscData!$C$24,MiscData!$C$25))</f>
        <v>20140101</v>
      </c>
      <c r="AK396" s="439" t="str">
        <f>VLOOKUP(AM396,MiscData!$AB$4:$ACB$113,2,FALSE)</f>
        <v>KUUM_447</v>
      </c>
      <c r="AL396" s="439" t="str">
        <f>VLOOKUP(AM396,MiscData!$AB$4:$AE$115,4,FALSE)</f>
        <v>RLS</v>
      </c>
      <c r="AM396" s="34">
        <f>IF(AM395=MiscData!$AB$91,1,AM395+1)</f>
        <v>43</v>
      </c>
    </row>
    <row r="397" spans="1:39">
      <c r="A397" s="389">
        <f t="shared" si="171"/>
        <v>396</v>
      </c>
      <c r="B397" s="395" t="str">
        <f t="shared" si="152"/>
        <v>May 2014</v>
      </c>
      <c r="C397" s="396" t="str">
        <f t="shared" si="153"/>
        <v>RLS</v>
      </c>
      <c r="D397" s="396" t="str">
        <f t="shared" si="154"/>
        <v>KUUM_448</v>
      </c>
      <c r="E397" s="394">
        <f t="shared" si="155"/>
        <v>1477</v>
      </c>
      <c r="F397" s="397">
        <v>0</v>
      </c>
      <c r="G397" s="394">
        <f t="shared" si="156"/>
        <v>202882</v>
      </c>
      <c r="H397" s="394">
        <v>0</v>
      </c>
      <c r="I397" s="390">
        <f t="shared" si="157"/>
        <v>12.809999999999999</v>
      </c>
      <c r="J397" s="390">
        <f t="shared" si="158"/>
        <v>4.37</v>
      </c>
      <c r="K397" s="391">
        <f t="shared" si="172"/>
        <v>18920.37</v>
      </c>
      <c r="L397" s="398">
        <v>-46.2</v>
      </c>
      <c r="M397" s="398">
        <v>0</v>
      </c>
      <c r="N397" s="164">
        <f t="shared" si="151"/>
        <v>18874.169999999998</v>
      </c>
      <c r="O397" s="399">
        <f t="shared" si="159"/>
        <v>18874.170000000002</v>
      </c>
      <c r="P397" s="392">
        <f t="shared" si="173"/>
        <v>1</v>
      </c>
      <c r="Q397" s="164">
        <f t="shared" si="160"/>
        <v>601.08000000000004</v>
      </c>
      <c r="R397" s="164">
        <f t="shared" si="161"/>
        <v>0</v>
      </c>
      <c r="S397" s="164">
        <f t="shared" si="162"/>
        <v>350.88</v>
      </c>
      <c r="T397" s="164">
        <f t="shared" si="163"/>
        <v>0</v>
      </c>
      <c r="U397" s="164">
        <f t="shared" si="164"/>
        <v>19826.13</v>
      </c>
      <c r="V397" s="393">
        <f t="shared" si="165"/>
        <v>19826.13</v>
      </c>
      <c r="W397" s="393">
        <f t="shared" si="166"/>
        <v>0</v>
      </c>
      <c r="Y397" s="393">
        <f t="shared" si="169"/>
        <v>6454.49</v>
      </c>
      <c r="Z397" s="393">
        <f t="shared" si="170"/>
        <v>12419.680000000002</v>
      </c>
      <c r="AD397" s="395">
        <f>IF(AH397&gt;AH396,AD396,IF(AD396&lt;MiscData!$F$1,EOMONTH(AD396,1),EOMONTH(AD396,-11)))</f>
        <v>41790</v>
      </c>
      <c r="AE397" s="389" t="str">
        <f t="shared" si="167"/>
        <v>20140101KUUM_448</v>
      </c>
      <c r="AF397" s="437" t="str">
        <f t="shared" si="168"/>
        <v>20140101RLS</v>
      </c>
      <c r="AG397" s="438"/>
      <c r="AH397" s="34">
        <f>IF(AH396=MiscData!$AB$91,1,AH396+1)</f>
        <v>44</v>
      </c>
      <c r="AI397" s="34">
        <f>IF(AD397&lt;=MiscData!$B$23,MiscData!$C$23,IF(AD397&lt;=MiscData!$B$24,MiscData!$C$24,MiscData!$C$25))</f>
        <v>20140101</v>
      </c>
      <c r="AK397" s="439" t="str">
        <f>VLOOKUP(AM397,MiscData!$AB$4:$ACB$113,2,FALSE)</f>
        <v>KUUM_448</v>
      </c>
      <c r="AL397" s="439" t="str">
        <f>VLOOKUP(AM397,MiscData!$AB$4:$AE$115,4,FALSE)</f>
        <v>RLS</v>
      </c>
      <c r="AM397" s="34">
        <f>IF(AM396=MiscData!$AB$91,1,AM396+1)</f>
        <v>44</v>
      </c>
    </row>
    <row r="398" spans="1:39">
      <c r="A398" s="389">
        <f t="shared" si="171"/>
        <v>397</v>
      </c>
      <c r="B398" s="395" t="str">
        <f t="shared" si="152"/>
        <v>May 2014</v>
      </c>
      <c r="C398" s="396" t="str">
        <f t="shared" si="153"/>
        <v>LS</v>
      </c>
      <c r="D398" s="396" t="str">
        <f t="shared" si="154"/>
        <v>KUUM_450</v>
      </c>
      <c r="E398" s="394">
        <f t="shared" si="155"/>
        <v>669</v>
      </c>
      <c r="F398" s="397">
        <v>0</v>
      </c>
      <c r="G398" s="394">
        <f t="shared" si="156"/>
        <v>29418</v>
      </c>
      <c r="H398" s="394">
        <v>0</v>
      </c>
      <c r="I398" s="390">
        <f t="shared" si="157"/>
        <v>14.25</v>
      </c>
      <c r="J398" s="390">
        <f t="shared" si="158"/>
        <v>1.9699999999999989</v>
      </c>
      <c r="K398" s="391">
        <f t="shared" si="172"/>
        <v>9533.25</v>
      </c>
      <c r="L398" s="398">
        <v>6.64</v>
      </c>
      <c r="M398" s="398">
        <v>0</v>
      </c>
      <c r="N398" s="164">
        <f t="shared" si="151"/>
        <v>9539.89</v>
      </c>
      <c r="O398" s="399">
        <f t="shared" si="159"/>
        <v>9539.89</v>
      </c>
      <c r="P398" s="392">
        <f t="shared" si="173"/>
        <v>1</v>
      </c>
      <c r="Q398" s="164">
        <f t="shared" si="160"/>
        <v>103.44</v>
      </c>
      <c r="R398" s="164">
        <f t="shared" si="161"/>
        <v>0</v>
      </c>
      <c r="S398" s="164">
        <f t="shared" si="162"/>
        <v>209.22</v>
      </c>
      <c r="T398" s="164">
        <f t="shared" si="163"/>
        <v>0</v>
      </c>
      <c r="U398" s="164">
        <f t="shared" si="164"/>
        <v>9852.5499999999993</v>
      </c>
      <c r="V398" s="393">
        <f t="shared" si="165"/>
        <v>9852.5499999999993</v>
      </c>
      <c r="W398" s="393">
        <f t="shared" si="166"/>
        <v>0</v>
      </c>
      <c r="Y398" s="393">
        <f t="shared" si="169"/>
        <v>1317.93</v>
      </c>
      <c r="Z398" s="393">
        <f t="shared" si="170"/>
        <v>8221.9599999999991</v>
      </c>
      <c r="AD398" s="395">
        <f>IF(AH398&gt;AH397,AD397,IF(AD397&lt;MiscData!$F$1,EOMONTH(AD397,1),EOMONTH(AD397,-11)))</f>
        <v>41790</v>
      </c>
      <c r="AE398" s="389" t="str">
        <f t="shared" si="167"/>
        <v>20140101KUUM_450</v>
      </c>
      <c r="AF398" s="437" t="str">
        <f t="shared" si="168"/>
        <v>20140101LS</v>
      </c>
      <c r="AG398" s="438"/>
      <c r="AH398" s="34">
        <f>IF(AH397=MiscData!$AB$91,1,AH397+1)</f>
        <v>45</v>
      </c>
      <c r="AI398" s="34">
        <f>IF(AD398&lt;=MiscData!$B$23,MiscData!$C$23,IF(AD398&lt;=MiscData!$B$24,MiscData!$C$24,MiscData!$C$25))</f>
        <v>20140101</v>
      </c>
      <c r="AK398" s="439" t="str">
        <f>VLOOKUP(AM398,MiscData!$AB$4:$ACB$113,2,FALSE)</f>
        <v>KUUM_450</v>
      </c>
      <c r="AL398" s="439" t="str">
        <f>VLOOKUP(AM398,MiscData!$AB$4:$AE$115,4,FALSE)</f>
        <v>LS</v>
      </c>
      <c r="AM398" s="34">
        <f>IF(AM397=MiscData!$AB$91,1,AM397+1)</f>
        <v>45</v>
      </c>
    </row>
    <row r="399" spans="1:39">
      <c r="A399" s="389">
        <f t="shared" si="171"/>
        <v>398</v>
      </c>
      <c r="B399" s="395" t="str">
        <f t="shared" si="152"/>
        <v>May 2014</v>
      </c>
      <c r="C399" s="396" t="str">
        <f t="shared" si="153"/>
        <v>LS</v>
      </c>
      <c r="D399" s="396" t="str">
        <f t="shared" si="154"/>
        <v>KUUM_451</v>
      </c>
      <c r="E399" s="394">
        <f t="shared" si="155"/>
        <v>5180</v>
      </c>
      <c r="F399" s="397">
        <v>0</v>
      </c>
      <c r="G399" s="394">
        <f t="shared" si="156"/>
        <v>532466</v>
      </c>
      <c r="H399" s="394">
        <v>0</v>
      </c>
      <c r="I399" s="390">
        <f t="shared" si="157"/>
        <v>20.200000000000003</v>
      </c>
      <c r="J399" s="390">
        <f t="shared" si="158"/>
        <v>4.2900000000000027</v>
      </c>
      <c r="K399" s="391">
        <f t="shared" si="172"/>
        <v>104636</v>
      </c>
      <c r="L399" s="398">
        <v>302.45</v>
      </c>
      <c r="M399" s="398">
        <v>0</v>
      </c>
      <c r="N399" s="164">
        <f t="shared" si="151"/>
        <v>104938.45</v>
      </c>
      <c r="O399" s="399">
        <f t="shared" si="159"/>
        <v>104938.45</v>
      </c>
      <c r="P399" s="392">
        <f t="shared" si="173"/>
        <v>1</v>
      </c>
      <c r="Q399" s="164">
        <f t="shared" si="160"/>
        <v>1869.12</v>
      </c>
      <c r="R399" s="164">
        <f t="shared" si="161"/>
        <v>0</v>
      </c>
      <c r="S399" s="164">
        <f t="shared" si="162"/>
        <v>2296.8000000000002</v>
      </c>
      <c r="T399" s="164">
        <f t="shared" si="163"/>
        <v>0</v>
      </c>
      <c r="U399" s="164">
        <f t="shared" si="164"/>
        <v>109104.37</v>
      </c>
      <c r="V399" s="393">
        <f t="shared" si="165"/>
        <v>109104.37</v>
      </c>
      <c r="W399" s="393">
        <f t="shared" si="166"/>
        <v>0</v>
      </c>
      <c r="Y399" s="393">
        <f t="shared" si="169"/>
        <v>22222.2</v>
      </c>
      <c r="Z399" s="393">
        <f t="shared" si="170"/>
        <v>82716.25</v>
      </c>
      <c r="AD399" s="395">
        <f>IF(AH399&gt;AH398,AD398,IF(AD398&lt;MiscData!$F$1,EOMONTH(AD398,1),EOMONTH(AD398,-11)))</f>
        <v>41790</v>
      </c>
      <c r="AE399" s="389" t="str">
        <f t="shared" si="167"/>
        <v>20140101KUUM_451</v>
      </c>
      <c r="AF399" s="437" t="str">
        <f t="shared" si="168"/>
        <v>20140101LS</v>
      </c>
      <c r="AG399" s="438"/>
      <c r="AH399" s="34">
        <f>IF(AH398=MiscData!$AB$91,1,AH398+1)</f>
        <v>46</v>
      </c>
      <c r="AI399" s="34">
        <f>IF(AD399&lt;=MiscData!$B$23,MiscData!$C$23,IF(AD399&lt;=MiscData!$B$24,MiscData!$C$24,MiscData!$C$25))</f>
        <v>20140101</v>
      </c>
      <c r="AK399" s="439" t="str">
        <f>VLOOKUP(AM399,MiscData!$AB$4:$ACB$113,2,FALSE)</f>
        <v>KUUM_451</v>
      </c>
      <c r="AL399" s="439" t="str">
        <f>VLOOKUP(AM399,MiscData!$AB$4:$AE$115,4,FALSE)</f>
        <v>LS</v>
      </c>
      <c r="AM399" s="34">
        <f>IF(AM398=MiscData!$AB$91,1,AM398+1)</f>
        <v>46</v>
      </c>
    </row>
    <row r="400" spans="1:39">
      <c r="A400" s="389">
        <f t="shared" si="171"/>
        <v>399</v>
      </c>
      <c r="B400" s="395" t="str">
        <f t="shared" si="152"/>
        <v>May 2014</v>
      </c>
      <c r="C400" s="396" t="str">
        <f t="shared" si="153"/>
        <v>LS</v>
      </c>
      <c r="D400" s="396" t="str">
        <f t="shared" si="154"/>
        <v>KUUM_452</v>
      </c>
      <c r="E400" s="394">
        <f t="shared" si="155"/>
        <v>1038</v>
      </c>
      <c r="F400" s="397">
        <v>0</v>
      </c>
      <c r="G400" s="394">
        <f t="shared" si="156"/>
        <v>325327</v>
      </c>
      <c r="H400" s="394">
        <v>0</v>
      </c>
      <c r="I400" s="390">
        <f t="shared" si="157"/>
        <v>42.350000000000009</v>
      </c>
      <c r="J400" s="390">
        <f t="shared" si="158"/>
        <v>10.410000000000004</v>
      </c>
      <c r="K400" s="391">
        <f t="shared" si="172"/>
        <v>43959.3</v>
      </c>
      <c r="L400" s="398">
        <v>-113.42</v>
      </c>
      <c r="M400" s="398">
        <v>0</v>
      </c>
      <c r="N400" s="164">
        <f t="shared" si="151"/>
        <v>43845.880000000005</v>
      </c>
      <c r="O400" s="399">
        <f t="shared" si="159"/>
        <v>43845.88</v>
      </c>
      <c r="P400" s="392">
        <f t="shared" si="173"/>
        <v>1</v>
      </c>
      <c r="Q400" s="164">
        <f t="shared" si="160"/>
        <v>1149</v>
      </c>
      <c r="R400" s="164">
        <f t="shared" si="161"/>
        <v>0</v>
      </c>
      <c r="S400" s="164">
        <f t="shared" si="162"/>
        <v>974.48</v>
      </c>
      <c r="T400" s="164">
        <f t="shared" si="163"/>
        <v>0</v>
      </c>
      <c r="U400" s="164">
        <f t="shared" si="164"/>
        <v>45969.36</v>
      </c>
      <c r="V400" s="393">
        <f t="shared" si="165"/>
        <v>45969.360000000008</v>
      </c>
      <c r="W400" s="393">
        <f t="shared" si="166"/>
        <v>0</v>
      </c>
      <c r="Y400" s="393">
        <f t="shared" si="169"/>
        <v>10805.58</v>
      </c>
      <c r="Z400" s="393">
        <f t="shared" si="170"/>
        <v>33040.299999999996</v>
      </c>
      <c r="AD400" s="395">
        <f>IF(AH400&gt;AH399,AD399,IF(AD399&lt;MiscData!$F$1,EOMONTH(AD399,1),EOMONTH(AD399,-11)))</f>
        <v>41790</v>
      </c>
      <c r="AE400" s="389" t="str">
        <f t="shared" si="167"/>
        <v>20140101KUUM_452</v>
      </c>
      <c r="AF400" s="437" t="str">
        <f t="shared" si="168"/>
        <v>20140101LS</v>
      </c>
      <c r="AG400" s="438"/>
      <c r="AH400" s="34">
        <f>IF(AH399=MiscData!$AB$91,1,AH399+1)</f>
        <v>47</v>
      </c>
      <c r="AI400" s="34">
        <f>IF(AD400&lt;=MiscData!$B$23,MiscData!$C$23,IF(AD400&lt;=MiscData!$B$24,MiscData!$C$24,MiscData!$C$25))</f>
        <v>20140101</v>
      </c>
      <c r="AK400" s="439" t="str">
        <f>VLOOKUP(AM400,MiscData!$AB$4:$ACB$113,2,FALSE)</f>
        <v>KUUM_452</v>
      </c>
      <c r="AL400" s="439" t="str">
        <f>VLOOKUP(AM400,MiscData!$AB$4:$AE$115,4,FALSE)</f>
        <v>LS</v>
      </c>
      <c r="AM400" s="34">
        <f>IF(AM399=MiscData!$AB$91,1,AM399+1)</f>
        <v>47</v>
      </c>
    </row>
    <row r="401" spans="1:39">
      <c r="A401" s="389">
        <f t="shared" si="171"/>
        <v>400</v>
      </c>
      <c r="B401" s="395" t="str">
        <f t="shared" si="152"/>
        <v>May 2014</v>
      </c>
      <c r="C401" s="396" t="str">
        <f t="shared" si="153"/>
        <v>RLS</v>
      </c>
      <c r="D401" s="396" t="str">
        <f t="shared" si="154"/>
        <v>KUUM_454</v>
      </c>
      <c r="E401" s="394">
        <f t="shared" si="155"/>
        <v>151</v>
      </c>
      <c r="F401" s="397">
        <v>0</v>
      </c>
      <c r="G401" s="394">
        <f t="shared" si="156"/>
        <v>6671</v>
      </c>
      <c r="H401" s="394">
        <v>0</v>
      </c>
      <c r="I401" s="390">
        <f t="shared" si="157"/>
        <v>18.649999999999999</v>
      </c>
      <c r="J401" s="390">
        <f t="shared" si="158"/>
        <v>1.9699999999999989</v>
      </c>
      <c r="K401" s="391">
        <f t="shared" si="172"/>
        <v>2816.15</v>
      </c>
      <c r="L401" s="398">
        <v>-11.81</v>
      </c>
      <c r="M401" s="398">
        <v>0</v>
      </c>
      <c r="N401" s="164">
        <f t="shared" si="151"/>
        <v>2804.34</v>
      </c>
      <c r="O401" s="399">
        <f t="shared" si="159"/>
        <v>2804.3399999999997</v>
      </c>
      <c r="P401" s="392">
        <f t="shared" si="173"/>
        <v>1</v>
      </c>
      <c r="Q401" s="164">
        <f t="shared" si="160"/>
        <v>23.2</v>
      </c>
      <c r="R401" s="164">
        <f t="shared" si="161"/>
        <v>0</v>
      </c>
      <c r="S401" s="164">
        <f t="shared" si="162"/>
        <v>60.12</v>
      </c>
      <c r="T401" s="164">
        <f t="shared" si="163"/>
        <v>0</v>
      </c>
      <c r="U401" s="164">
        <f t="shared" si="164"/>
        <v>2887.66</v>
      </c>
      <c r="V401" s="393">
        <f t="shared" si="165"/>
        <v>2887.66</v>
      </c>
      <c r="W401" s="393">
        <f t="shared" si="166"/>
        <v>0</v>
      </c>
      <c r="Y401" s="393">
        <f t="shared" si="169"/>
        <v>297.47000000000003</v>
      </c>
      <c r="Z401" s="393">
        <f t="shared" si="170"/>
        <v>2506.87</v>
      </c>
      <c r="AD401" s="395">
        <f>IF(AH401&gt;AH400,AD400,IF(AD400&lt;MiscData!$F$1,EOMONTH(AD400,1),EOMONTH(AD400,-11)))</f>
        <v>41790</v>
      </c>
      <c r="AE401" s="389" t="str">
        <f t="shared" si="167"/>
        <v>20140101KUUM_454</v>
      </c>
      <c r="AF401" s="437" t="str">
        <f t="shared" si="168"/>
        <v>20140101RLS</v>
      </c>
      <c r="AG401" s="438"/>
      <c r="AH401" s="34">
        <f>IF(AH400=MiscData!$AB$91,1,AH400+1)</f>
        <v>48</v>
      </c>
      <c r="AI401" s="34">
        <f>IF(AD401&lt;=MiscData!$B$23,MiscData!$C$23,IF(AD401&lt;=MiscData!$B$24,MiscData!$C$24,MiscData!$C$25))</f>
        <v>20140101</v>
      </c>
      <c r="AK401" s="439" t="str">
        <f>VLOOKUP(AM401,MiscData!$AB$4:$ACB$113,2,FALSE)</f>
        <v>KUUM_454</v>
      </c>
      <c r="AL401" s="439" t="str">
        <f>VLOOKUP(AM401,MiscData!$AB$4:$AE$115,4,FALSE)</f>
        <v>RLS</v>
      </c>
      <c r="AM401" s="34">
        <f>IF(AM400=MiscData!$AB$91,1,AM400+1)</f>
        <v>48</v>
      </c>
    </row>
    <row r="402" spans="1:39">
      <c r="A402" s="389">
        <f t="shared" si="171"/>
        <v>401</v>
      </c>
      <c r="B402" s="395" t="str">
        <f t="shared" si="152"/>
        <v>May 2014</v>
      </c>
      <c r="C402" s="396" t="str">
        <f t="shared" si="153"/>
        <v>RLS</v>
      </c>
      <c r="D402" s="396" t="str">
        <f t="shared" si="154"/>
        <v>KUUM_455</v>
      </c>
      <c r="E402" s="394">
        <f t="shared" si="155"/>
        <v>1051</v>
      </c>
      <c r="F402" s="397">
        <v>0</v>
      </c>
      <c r="G402" s="394">
        <f t="shared" si="156"/>
        <v>108538</v>
      </c>
      <c r="H402" s="394">
        <v>0</v>
      </c>
      <c r="I402" s="390">
        <f t="shared" si="157"/>
        <v>24.59</v>
      </c>
      <c r="J402" s="390">
        <f t="shared" si="158"/>
        <v>4.2899999999999991</v>
      </c>
      <c r="K402" s="391">
        <f t="shared" si="172"/>
        <v>25844.09</v>
      </c>
      <c r="L402" s="398">
        <v>115.57</v>
      </c>
      <c r="M402" s="398">
        <v>0</v>
      </c>
      <c r="N402" s="164">
        <f t="shared" si="151"/>
        <v>25959.66</v>
      </c>
      <c r="O402" s="399">
        <f t="shared" si="159"/>
        <v>25959.66</v>
      </c>
      <c r="P402" s="392">
        <f t="shared" si="173"/>
        <v>1</v>
      </c>
      <c r="Q402" s="164">
        <f t="shared" si="160"/>
        <v>379.79</v>
      </c>
      <c r="R402" s="164">
        <f t="shared" si="161"/>
        <v>0</v>
      </c>
      <c r="S402" s="164">
        <f t="shared" si="162"/>
        <v>565.58000000000004</v>
      </c>
      <c r="T402" s="164">
        <f t="shared" si="163"/>
        <v>0</v>
      </c>
      <c r="U402" s="164">
        <f t="shared" si="164"/>
        <v>26905.03</v>
      </c>
      <c r="V402" s="393">
        <f t="shared" si="165"/>
        <v>26905.030000000002</v>
      </c>
      <c r="W402" s="393">
        <f t="shared" si="166"/>
        <v>0</v>
      </c>
      <c r="Y402" s="393">
        <f t="shared" si="169"/>
        <v>4508.79</v>
      </c>
      <c r="Z402" s="393">
        <f t="shared" si="170"/>
        <v>21450.87</v>
      </c>
      <c r="AD402" s="395">
        <f>IF(AH402&gt;AH401,AD401,IF(AD401&lt;MiscData!$F$1,EOMONTH(AD401,1),EOMONTH(AD401,-11)))</f>
        <v>41790</v>
      </c>
      <c r="AE402" s="389" t="str">
        <f t="shared" si="167"/>
        <v>20140101KUUM_455</v>
      </c>
      <c r="AF402" s="437" t="str">
        <f t="shared" si="168"/>
        <v>20140101RLS</v>
      </c>
      <c r="AG402" s="438"/>
      <c r="AH402" s="34">
        <f>IF(AH401=MiscData!$AB$91,1,AH401+1)</f>
        <v>49</v>
      </c>
      <c r="AI402" s="34">
        <f>IF(AD402&lt;=MiscData!$B$23,MiscData!$C$23,IF(AD402&lt;=MiscData!$B$24,MiscData!$C$24,MiscData!$C$25))</f>
        <v>20140101</v>
      </c>
      <c r="AK402" s="439" t="str">
        <f>VLOOKUP(AM402,MiscData!$AB$4:$ACB$113,2,FALSE)</f>
        <v>KUUM_455</v>
      </c>
      <c r="AL402" s="439" t="str">
        <f>VLOOKUP(AM402,MiscData!$AB$4:$AE$115,4,FALSE)</f>
        <v>RLS</v>
      </c>
      <c r="AM402" s="34">
        <f>IF(AM401=MiscData!$AB$91,1,AM401+1)</f>
        <v>49</v>
      </c>
    </row>
    <row r="403" spans="1:39">
      <c r="A403" s="389">
        <f t="shared" si="171"/>
        <v>402</v>
      </c>
      <c r="B403" s="395" t="str">
        <f t="shared" si="152"/>
        <v>May 2014</v>
      </c>
      <c r="C403" s="396" t="str">
        <f t="shared" si="153"/>
        <v>RLS</v>
      </c>
      <c r="D403" s="396" t="str">
        <f t="shared" si="154"/>
        <v>KUUM_456</v>
      </c>
      <c r="E403" s="394">
        <f t="shared" si="155"/>
        <v>140</v>
      </c>
      <c r="F403" s="397">
        <v>0</v>
      </c>
      <c r="G403" s="394">
        <f t="shared" si="156"/>
        <v>8667</v>
      </c>
      <c r="H403" s="394">
        <v>0</v>
      </c>
      <c r="I403" s="390">
        <f t="shared" si="157"/>
        <v>11.870000000000001</v>
      </c>
      <c r="J403" s="390">
        <f t="shared" si="158"/>
        <v>1.9900000000000002</v>
      </c>
      <c r="K403" s="391">
        <f t="shared" si="172"/>
        <v>1661.8</v>
      </c>
      <c r="L403" s="398">
        <v>0</v>
      </c>
      <c r="M403" s="398">
        <v>0</v>
      </c>
      <c r="N403" s="164">
        <f t="shared" si="151"/>
        <v>1661.8</v>
      </c>
      <c r="O403" s="399">
        <f t="shared" si="159"/>
        <v>1661.8000000000002</v>
      </c>
      <c r="P403" s="392">
        <f t="shared" si="173"/>
        <v>1</v>
      </c>
      <c r="Q403" s="164">
        <f t="shared" si="160"/>
        <v>29.04</v>
      </c>
      <c r="R403" s="164">
        <f t="shared" si="161"/>
        <v>0</v>
      </c>
      <c r="S403" s="164">
        <f t="shared" si="162"/>
        <v>34.81</v>
      </c>
      <c r="T403" s="164">
        <f t="shared" si="163"/>
        <v>0</v>
      </c>
      <c r="U403" s="164">
        <f t="shared" si="164"/>
        <v>1725.65</v>
      </c>
      <c r="V403" s="393">
        <f t="shared" si="165"/>
        <v>1725.6499999999999</v>
      </c>
      <c r="W403" s="393">
        <f t="shared" si="166"/>
        <v>0</v>
      </c>
      <c r="Y403" s="393">
        <f t="shared" si="169"/>
        <v>278.60000000000002</v>
      </c>
      <c r="Z403" s="393">
        <f t="shared" si="170"/>
        <v>1383.2000000000003</v>
      </c>
      <c r="AD403" s="395">
        <f>IF(AH403&gt;AH402,AD402,IF(AD402&lt;MiscData!$F$1,EOMONTH(AD402,1),EOMONTH(AD402,-11)))</f>
        <v>41790</v>
      </c>
      <c r="AE403" s="389" t="str">
        <f t="shared" si="167"/>
        <v>20140101KUUM_456</v>
      </c>
      <c r="AF403" s="437" t="str">
        <f t="shared" si="168"/>
        <v>20140101RLS</v>
      </c>
      <c r="AG403" s="438"/>
      <c r="AH403" s="34">
        <f>IF(AH402=MiscData!$AB$91,1,AH402+1)</f>
        <v>50</v>
      </c>
      <c r="AI403" s="34">
        <f>IF(AD403&lt;=MiscData!$B$23,MiscData!$C$23,IF(AD403&lt;=MiscData!$B$24,MiscData!$C$24,MiscData!$C$25))</f>
        <v>20140101</v>
      </c>
      <c r="AK403" s="439" t="str">
        <f>VLOOKUP(AM403,MiscData!$AB$4:$ACB$113,2,FALSE)</f>
        <v>KUUM_456</v>
      </c>
      <c r="AL403" s="439" t="str">
        <f>VLOOKUP(AM403,MiscData!$AB$4:$AE$115,4,FALSE)</f>
        <v>RLS</v>
      </c>
      <c r="AM403" s="34">
        <f>IF(AM402=MiscData!$AB$91,1,AM402+1)</f>
        <v>50</v>
      </c>
    </row>
    <row r="404" spans="1:39">
      <c r="A404" s="389">
        <f t="shared" si="171"/>
        <v>403</v>
      </c>
      <c r="B404" s="395" t="str">
        <f t="shared" si="152"/>
        <v>May 2014</v>
      </c>
      <c r="C404" s="396" t="str">
        <f t="shared" si="153"/>
        <v>RLS</v>
      </c>
      <c r="D404" s="396" t="str">
        <f t="shared" si="154"/>
        <v>KUUM_457</v>
      </c>
      <c r="E404" s="394">
        <f t="shared" si="155"/>
        <v>453</v>
      </c>
      <c r="F404" s="397">
        <v>0</v>
      </c>
      <c r="G404" s="394">
        <f t="shared" si="156"/>
        <v>41184</v>
      </c>
      <c r="H404" s="394">
        <v>0</v>
      </c>
      <c r="I404" s="390">
        <f t="shared" si="157"/>
        <v>13.360000000000001</v>
      </c>
      <c r="J404" s="390">
        <f t="shared" si="158"/>
        <v>2.84</v>
      </c>
      <c r="K404" s="391">
        <f t="shared" si="172"/>
        <v>6052.08</v>
      </c>
      <c r="L404" s="398">
        <v>0</v>
      </c>
      <c r="M404" s="398">
        <v>0</v>
      </c>
      <c r="N404" s="164">
        <f t="shared" si="151"/>
        <v>6052.08</v>
      </c>
      <c r="O404" s="399">
        <f t="shared" si="159"/>
        <v>6052.08</v>
      </c>
      <c r="P404" s="392">
        <f t="shared" si="173"/>
        <v>1</v>
      </c>
      <c r="Q404" s="164">
        <f t="shared" si="160"/>
        <v>87.44</v>
      </c>
      <c r="R404" s="164">
        <f t="shared" si="161"/>
        <v>0</v>
      </c>
      <c r="S404" s="164">
        <f t="shared" si="162"/>
        <v>75.040000000000006</v>
      </c>
      <c r="T404" s="164">
        <f t="shared" si="163"/>
        <v>0</v>
      </c>
      <c r="U404" s="164">
        <f t="shared" si="164"/>
        <v>6214.56</v>
      </c>
      <c r="V404" s="393">
        <f t="shared" si="165"/>
        <v>6214.5599999999995</v>
      </c>
      <c r="W404" s="393">
        <f t="shared" si="166"/>
        <v>0</v>
      </c>
      <c r="Y404" s="393">
        <f t="shared" si="169"/>
        <v>1286.52</v>
      </c>
      <c r="Z404" s="393">
        <f t="shared" si="170"/>
        <v>4765.5599999999995</v>
      </c>
      <c r="AD404" s="395">
        <f>IF(AH404&gt;AH403,AD403,IF(AD403&lt;MiscData!$F$1,EOMONTH(AD403,1),EOMONTH(AD403,-11)))</f>
        <v>41790</v>
      </c>
      <c r="AE404" s="389" t="str">
        <f t="shared" si="167"/>
        <v>20140101KUUM_457</v>
      </c>
      <c r="AF404" s="437" t="str">
        <f t="shared" si="168"/>
        <v>20140101RLS</v>
      </c>
      <c r="AG404" s="438"/>
      <c r="AH404" s="34">
        <f>IF(AH403=MiscData!$AB$91,1,AH403+1)</f>
        <v>51</v>
      </c>
      <c r="AI404" s="34">
        <f>IF(AD404&lt;=MiscData!$B$23,MiscData!$C$23,IF(AD404&lt;=MiscData!$B$24,MiscData!$C$24,MiscData!$C$25))</f>
        <v>20140101</v>
      </c>
      <c r="AK404" s="439" t="str">
        <f>VLOOKUP(AM404,MiscData!$AB$4:$ACB$113,2,FALSE)</f>
        <v>KUUM_457</v>
      </c>
      <c r="AL404" s="439" t="str">
        <f>VLOOKUP(AM404,MiscData!$AB$4:$AE$115,4,FALSE)</f>
        <v>RLS</v>
      </c>
      <c r="AM404" s="34">
        <f>IF(AM403=MiscData!$AB$91,1,AM403+1)</f>
        <v>51</v>
      </c>
    </row>
    <row r="405" spans="1:39">
      <c r="A405" s="389">
        <f t="shared" si="171"/>
        <v>404</v>
      </c>
      <c r="B405" s="395" t="str">
        <f t="shared" si="152"/>
        <v>May 2014</v>
      </c>
      <c r="C405" s="396" t="str">
        <f t="shared" si="153"/>
        <v>RLS</v>
      </c>
      <c r="D405" s="396" t="str">
        <f t="shared" si="154"/>
        <v>KUUM_458</v>
      </c>
      <c r="E405" s="394">
        <f t="shared" si="155"/>
        <v>1473</v>
      </c>
      <c r="F405" s="397">
        <v>0</v>
      </c>
      <c r="G405" s="394">
        <f t="shared" si="156"/>
        <v>203596</v>
      </c>
      <c r="H405" s="394">
        <v>0</v>
      </c>
      <c r="I405" s="390">
        <f t="shared" si="157"/>
        <v>15.079999999999998</v>
      </c>
      <c r="J405" s="390">
        <f t="shared" si="158"/>
        <v>4.3699999999999992</v>
      </c>
      <c r="K405" s="391">
        <f t="shared" si="172"/>
        <v>22212.84</v>
      </c>
      <c r="L405" s="398">
        <v>-27.62</v>
      </c>
      <c r="M405" s="398">
        <v>0</v>
      </c>
      <c r="N405" s="164">
        <f t="shared" si="151"/>
        <v>22185.22</v>
      </c>
      <c r="O405" s="399">
        <f t="shared" si="159"/>
        <v>22185.22</v>
      </c>
      <c r="P405" s="392">
        <f t="shared" si="173"/>
        <v>1</v>
      </c>
      <c r="Q405" s="164">
        <f t="shared" si="160"/>
        <v>521.57000000000005</v>
      </c>
      <c r="R405" s="164">
        <f t="shared" si="161"/>
        <v>0</v>
      </c>
      <c r="S405" s="164">
        <f t="shared" si="162"/>
        <v>347.61</v>
      </c>
      <c r="T405" s="164">
        <f t="shared" si="163"/>
        <v>0</v>
      </c>
      <c r="U405" s="164">
        <f t="shared" si="164"/>
        <v>23054.400000000001</v>
      </c>
      <c r="V405" s="393">
        <f t="shared" si="165"/>
        <v>23054.400000000001</v>
      </c>
      <c r="W405" s="393">
        <f t="shared" si="166"/>
        <v>0</v>
      </c>
      <c r="Y405" s="393">
        <f t="shared" si="169"/>
        <v>6437.01</v>
      </c>
      <c r="Z405" s="393">
        <f t="shared" si="170"/>
        <v>15748.210000000001</v>
      </c>
      <c r="AD405" s="395">
        <f>IF(AH405&gt;AH404,AD404,IF(AD404&lt;MiscData!$F$1,EOMONTH(AD404,1),EOMONTH(AD404,-11)))</f>
        <v>41790</v>
      </c>
      <c r="AE405" s="389" t="str">
        <f t="shared" si="167"/>
        <v>20140101KUUM_458</v>
      </c>
      <c r="AF405" s="437" t="str">
        <f t="shared" si="168"/>
        <v>20140101RLS</v>
      </c>
      <c r="AG405" s="438"/>
      <c r="AH405" s="34">
        <f>IF(AH404=MiscData!$AB$91,1,AH404+1)</f>
        <v>52</v>
      </c>
      <c r="AI405" s="34">
        <f>IF(AD405&lt;=MiscData!$B$23,MiscData!$C$23,IF(AD405&lt;=MiscData!$B$24,MiscData!$C$24,MiscData!$C$25))</f>
        <v>20140101</v>
      </c>
      <c r="AK405" s="439" t="str">
        <f>VLOOKUP(AM405,MiscData!$AB$4:$ACB$113,2,FALSE)</f>
        <v>KUUM_458</v>
      </c>
      <c r="AL405" s="439" t="str">
        <f>VLOOKUP(AM405,MiscData!$AB$4:$AE$115,4,FALSE)</f>
        <v>RLS</v>
      </c>
      <c r="AM405" s="34">
        <f>IF(AM404=MiscData!$AB$91,1,AM404+1)</f>
        <v>52</v>
      </c>
    </row>
    <row r="406" spans="1:39">
      <c r="A406" s="389">
        <f t="shared" si="171"/>
        <v>405</v>
      </c>
      <c r="B406" s="395" t="str">
        <f t="shared" si="152"/>
        <v>May 2014</v>
      </c>
      <c r="C406" s="396" t="str">
        <f t="shared" si="153"/>
        <v>RLS</v>
      </c>
      <c r="D406" s="396" t="str">
        <f t="shared" si="154"/>
        <v>KUUM_459</v>
      </c>
      <c r="E406" s="394">
        <f t="shared" si="155"/>
        <v>223</v>
      </c>
      <c r="F406" s="397">
        <v>0</v>
      </c>
      <c r="G406" s="394">
        <f t="shared" si="156"/>
        <v>69200</v>
      </c>
      <c r="H406" s="394">
        <v>0</v>
      </c>
      <c r="I406" s="390">
        <f t="shared" si="157"/>
        <v>46.740000000000009</v>
      </c>
      <c r="J406" s="390">
        <f t="shared" si="158"/>
        <v>10.410000000000004</v>
      </c>
      <c r="K406" s="391">
        <f t="shared" si="172"/>
        <v>10423.02</v>
      </c>
      <c r="L406" s="398">
        <v>-15.58</v>
      </c>
      <c r="M406" s="398">
        <v>0</v>
      </c>
      <c r="N406" s="164">
        <f t="shared" si="151"/>
        <v>10407.44</v>
      </c>
      <c r="O406" s="399">
        <f t="shared" si="159"/>
        <v>10407.439999999999</v>
      </c>
      <c r="P406" s="392">
        <f t="shared" si="173"/>
        <v>1</v>
      </c>
      <c r="Q406" s="164">
        <f t="shared" si="160"/>
        <v>245.12</v>
      </c>
      <c r="R406" s="164">
        <f t="shared" si="161"/>
        <v>0</v>
      </c>
      <c r="S406" s="164">
        <f t="shared" si="162"/>
        <v>231.67</v>
      </c>
      <c r="T406" s="164">
        <f t="shared" si="163"/>
        <v>0</v>
      </c>
      <c r="U406" s="164">
        <f t="shared" si="164"/>
        <v>10884.23</v>
      </c>
      <c r="V406" s="393">
        <f t="shared" si="165"/>
        <v>10884.230000000001</v>
      </c>
      <c r="W406" s="393">
        <f t="shared" si="166"/>
        <v>0</v>
      </c>
      <c r="Y406" s="393">
        <f t="shared" si="169"/>
        <v>2321.4299999999998</v>
      </c>
      <c r="Z406" s="393">
        <f t="shared" si="170"/>
        <v>8086.0099999999984</v>
      </c>
      <c r="AD406" s="395">
        <f>IF(AH406&gt;AH405,AD405,IF(AD405&lt;MiscData!$F$1,EOMONTH(AD405,1),EOMONTH(AD405,-11)))</f>
        <v>41790</v>
      </c>
      <c r="AE406" s="389" t="str">
        <f t="shared" si="167"/>
        <v>20140101KUUM_459</v>
      </c>
      <c r="AF406" s="437" t="str">
        <f t="shared" si="168"/>
        <v>20140101RLS</v>
      </c>
      <c r="AG406" s="438"/>
      <c r="AH406" s="34">
        <f>IF(AH405=MiscData!$AB$91,1,AH405+1)</f>
        <v>53</v>
      </c>
      <c r="AI406" s="34">
        <f>IF(AD406&lt;=MiscData!$B$23,MiscData!$C$23,IF(AD406&lt;=MiscData!$B$24,MiscData!$C$24,MiscData!$C$25))</f>
        <v>20140101</v>
      </c>
      <c r="AK406" s="439" t="str">
        <f>VLOOKUP(AM406,MiscData!$AB$4:$ACB$113,2,FALSE)</f>
        <v>KUUM_459</v>
      </c>
      <c r="AL406" s="439" t="str">
        <f>VLOOKUP(AM406,MiscData!$AB$4:$AE$115,4,FALSE)</f>
        <v>RLS</v>
      </c>
      <c r="AM406" s="34">
        <f>IF(AM405=MiscData!$AB$91,1,AM405+1)</f>
        <v>53</v>
      </c>
    </row>
    <row r="407" spans="1:39">
      <c r="A407" s="389">
        <f t="shared" si="171"/>
        <v>406</v>
      </c>
      <c r="B407" s="395" t="str">
        <f t="shared" si="152"/>
        <v>May 2014</v>
      </c>
      <c r="C407" s="396" t="str">
        <f t="shared" si="153"/>
        <v>RLS</v>
      </c>
      <c r="D407" s="396" t="str">
        <f t="shared" si="154"/>
        <v>KUUM_460</v>
      </c>
      <c r="E407" s="394">
        <f t="shared" si="155"/>
        <v>26</v>
      </c>
      <c r="F407" s="397">
        <v>0</v>
      </c>
      <c r="G407" s="394">
        <f t="shared" si="156"/>
        <v>1151</v>
      </c>
      <c r="H407" s="394">
        <v>0</v>
      </c>
      <c r="I407" s="390">
        <f t="shared" si="157"/>
        <v>27.15</v>
      </c>
      <c r="J407" s="390">
        <f t="shared" si="158"/>
        <v>1.9699999999999989</v>
      </c>
      <c r="K407" s="391">
        <f t="shared" si="172"/>
        <v>705.9</v>
      </c>
      <c r="L407" s="398">
        <v>0</v>
      </c>
      <c r="M407" s="398">
        <v>0</v>
      </c>
      <c r="N407" s="164">
        <f t="shared" si="151"/>
        <v>705.9</v>
      </c>
      <c r="O407" s="399">
        <f t="shared" si="159"/>
        <v>705.9</v>
      </c>
      <c r="P407" s="392">
        <f t="shared" si="173"/>
        <v>1</v>
      </c>
      <c r="Q407" s="164">
        <f t="shared" si="160"/>
        <v>3.38</v>
      </c>
      <c r="R407" s="164">
        <f t="shared" si="161"/>
        <v>0</v>
      </c>
      <c r="S407" s="164">
        <f t="shared" si="162"/>
        <v>12.62</v>
      </c>
      <c r="T407" s="164">
        <f t="shared" si="163"/>
        <v>0</v>
      </c>
      <c r="U407" s="164">
        <f t="shared" si="164"/>
        <v>721.9</v>
      </c>
      <c r="V407" s="393">
        <f t="shared" si="165"/>
        <v>721.9</v>
      </c>
      <c r="W407" s="393">
        <f t="shared" si="166"/>
        <v>0</v>
      </c>
      <c r="Y407" s="393">
        <f t="shared" si="169"/>
        <v>51.22</v>
      </c>
      <c r="Z407" s="393">
        <f t="shared" si="170"/>
        <v>654.67999999999995</v>
      </c>
      <c r="AD407" s="395">
        <f>IF(AH407&gt;AH406,AD406,IF(AD406&lt;MiscData!$F$1,EOMONTH(AD406,1),EOMONTH(AD406,-11)))</f>
        <v>41790</v>
      </c>
      <c r="AE407" s="389" t="str">
        <f t="shared" si="167"/>
        <v>20140101KUUM_460</v>
      </c>
      <c r="AF407" s="437" t="str">
        <f t="shared" si="168"/>
        <v>20140101RLS</v>
      </c>
      <c r="AG407" s="438"/>
      <c r="AH407" s="34">
        <f>IF(AH406=MiscData!$AB$91,1,AH406+1)</f>
        <v>54</v>
      </c>
      <c r="AI407" s="34">
        <f>IF(AD407&lt;=MiscData!$B$23,MiscData!$C$23,IF(AD407&lt;=MiscData!$B$24,MiscData!$C$24,MiscData!$C$25))</f>
        <v>20140101</v>
      </c>
      <c r="AK407" s="439" t="str">
        <f>VLOOKUP(AM407,MiscData!$AB$4:$ACB$113,2,FALSE)</f>
        <v>KUUM_460</v>
      </c>
      <c r="AL407" s="439" t="str">
        <f>VLOOKUP(AM407,MiscData!$AB$4:$AE$115,4,FALSE)</f>
        <v>RLS</v>
      </c>
      <c r="AM407" s="34">
        <f>IF(AM406=MiscData!$AB$91,1,AM406+1)</f>
        <v>54</v>
      </c>
    </row>
    <row r="408" spans="1:39">
      <c r="A408" s="389">
        <f t="shared" si="171"/>
        <v>407</v>
      </c>
      <c r="B408" s="395" t="str">
        <f t="shared" si="152"/>
        <v>May 2014</v>
      </c>
      <c r="C408" s="396" t="str">
        <f t="shared" si="153"/>
        <v>RLS</v>
      </c>
      <c r="D408" s="396" t="str">
        <f t="shared" si="154"/>
        <v>KUUM_461</v>
      </c>
      <c r="E408" s="394">
        <f t="shared" si="155"/>
        <v>4370</v>
      </c>
      <c r="F408" s="397">
        <v>0</v>
      </c>
      <c r="G408" s="394">
        <f t="shared" si="156"/>
        <v>124739</v>
      </c>
      <c r="H408" s="394">
        <v>0</v>
      </c>
      <c r="I408" s="390">
        <f t="shared" si="157"/>
        <v>7.54</v>
      </c>
      <c r="J408" s="390">
        <f t="shared" si="158"/>
        <v>0.57000000000000028</v>
      </c>
      <c r="K408" s="391">
        <f t="shared" si="172"/>
        <v>32949.800000000003</v>
      </c>
      <c r="L408" s="398">
        <v>19271.14</v>
      </c>
      <c r="M408" s="398">
        <v>0</v>
      </c>
      <c r="N408" s="164">
        <f t="shared" si="151"/>
        <v>52220.94</v>
      </c>
      <c r="O408" s="399">
        <f t="shared" si="159"/>
        <v>52220.94</v>
      </c>
      <c r="P408" s="392">
        <f t="shared" si="173"/>
        <v>1</v>
      </c>
      <c r="Q408" s="164">
        <f t="shared" si="160"/>
        <v>392.27</v>
      </c>
      <c r="R408" s="164">
        <f t="shared" si="161"/>
        <v>0</v>
      </c>
      <c r="S408" s="164">
        <f t="shared" si="162"/>
        <v>1009.33</v>
      </c>
      <c r="T408" s="164">
        <f t="shared" si="163"/>
        <v>0</v>
      </c>
      <c r="U408" s="164">
        <f t="shared" si="164"/>
        <v>53622.54</v>
      </c>
      <c r="V408" s="393">
        <f t="shared" si="165"/>
        <v>53622.54</v>
      </c>
      <c r="W408" s="393">
        <f t="shared" si="166"/>
        <v>0</v>
      </c>
      <c r="Y408" s="393">
        <f t="shared" si="169"/>
        <v>2490.9</v>
      </c>
      <c r="Z408" s="393">
        <f t="shared" si="170"/>
        <v>49730.04</v>
      </c>
      <c r="AD408" s="395">
        <f>IF(AH408&gt;AH407,AD407,IF(AD407&lt;MiscData!$F$1,EOMONTH(AD407,1),EOMONTH(AD407,-11)))</f>
        <v>41790</v>
      </c>
      <c r="AE408" s="389" t="str">
        <f t="shared" si="167"/>
        <v>20140101KUUM_461</v>
      </c>
      <c r="AF408" s="437" t="str">
        <f t="shared" si="168"/>
        <v>20140101RLS</v>
      </c>
      <c r="AG408" s="438"/>
      <c r="AH408" s="34">
        <f>IF(AH407=MiscData!$AB$91,1,AH407+1)</f>
        <v>55</v>
      </c>
      <c r="AI408" s="34">
        <f>IF(AD408&lt;=MiscData!$B$23,MiscData!$C$23,IF(AD408&lt;=MiscData!$B$24,MiscData!$C$24,MiscData!$C$25))</f>
        <v>20140101</v>
      </c>
      <c r="AK408" s="439" t="str">
        <f>VLOOKUP(AM408,MiscData!$AB$4:$ACB$113,2,FALSE)</f>
        <v>KUUM_461</v>
      </c>
      <c r="AL408" s="439" t="str">
        <f>VLOOKUP(AM408,MiscData!$AB$4:$AE$115,4,FALSE)</f>
        <v>RLS</v>
      </c>
      <c r="AM408" s="34">
        <f>IF(AM407=MiscData!$AB$91,1,AM407+1)</f>
        <v>55</v>
      </c>
    </row>
    <row r="409" spans="1:39">
      <c r="A409" s="389">
        <f t="shared" si="171"/>
        <v>408</v>
      </c>
      <c r="B409" s="395" t="str">
        <f t="shared" si="152"/>
        <v>May 2014</v>
      </c>
      <c r="C409" s="396" t="str">
        <f t="shared" si="153"/>
        <v>LS</v>
      </c>
      <c r="D409" s="396" t="str">
        <f t="shared" si="154"/>
        <v>KUUM_462</v>
      </c>
      <c r="E409" s="394">
        <f t="shared" si="155"/>
        <v>8851</v>
      </c>
      <c r="F409" s="397">
        <v>0</v>
      </c>
      <c r="G409" s="394">
        <f t="shared" si="156"/>
        <v>223648</v>
      </c>
      <c r="H409" s="394">
        <v>0</v>
      </c>
      <c r="I409" s="390">
        <f t="shared" si="157"/>
        <v>8.66</v>
      </c>
      <c r="J409" s="390">
        <f t="shared" si="158"/>
        <v>0.79999999999999893</v>
      </c>
      <c r="K409" s="391">
        <f t="shared" si="172"/>
        <v>76649.66</v>
      </c>
      <c r="L409" s="398">
        <v>2.31</v>
      </c>
      <c r="M409" s="398">
        <v>0</v>
      </c>
      <c r="N409" s="164">
        <f t="shared" si="151"/>
        <v>76651.97</v>
      </c>
      <c r="O409" s="399">
        <f t="shared" si="159"/>
        <v>76651.97</v>
      </c>
      <c r="P409" s="392">
        <f t="shared" si="173"/>
        <v>1</v>
      </c>
      <c r="Q409" s="164">
        <f t="shared" si="160"/>
        <v>647.91999999999996</v>
      </c>
      <c r="R409" s="164">
        <f t="shared" si="161"/>
        <v>0</v>
      </c>
      <c r="S409" s="164">
        <f t="shared" si="162"/>
        <v>1356.7</v>
      </c>
      <c r="T409" s="164">
        <f t="shared" si="163"/>
        <v>0</v>
      </c>
      <c r="U409" s="164">
        <f t="shared" si="164"/>
        <v>78656.59</v>
      </c>
      <c r="V409" s="393">
        <f t="shared" si="165"/>
        <v>78656.59</v>
      </c>
      <c r="W409" s="393">
        <f t="shared" si="166"/>
        <v>0</v>
      </c>
      <c r="Y409" s="393">
        <f t="shared" si="169"/>
        <v>7080.8</v>
      </c>
      <c r="Z409" s="393">
        <f t="shared" si="170"/>
        <v>69571.17</v>
      </c>
      <c r="AD409" s="395">
        <f>IF(AH409&gt;AH408,AD408,IF(AD408&lt;MiscData!$F$1,EOMONTH(AD408,1),EOMONTH(AD408,-11)))</f>
        <v>41790</v>
      </c>
      <c r="AE409" s="389" t="str">
        <f t="shared" si="167"/>
        <v>20140101KUUM_462</v>
      </c>
      <c r="AF409" s="437" t="str">
        <f t="shared" si="168"/>
        <v>20140101LS</v>
      </c>
      <c r="AG409" s="438"/>
      <c r="AH409" s="34">
        <f>IF(AH408=MiscData!$AB$91,1,AH408+1)</f>
        <v>56</v>
      </c>
      <c r="AI409" s="34">
        <f>IF(AD409&lt;=MiscData!$B$23,MiscData!$C$23,IF(AD409&lt;=MiscData!$B$24,MiscData!$C$24,MiscData!$C$25))</f>
        <v>20140101</v>
      </c>
      <c r="AK409" s="439" t="str">
        <f>VLOOKUP(AM409,MiscData!$AB$4:$ACB$113,2,FALSE)</f>
        <v>KUUM_462</v>
      </c>
      <c r="AL409" s="439" t="str">
        <f>VLOOKUP(AM409,MiscData!$AB$4:$AE$115,4,FALSE)</f>
        <v>LS</v>
      </c>
      <c r="AM409" s="34">
        <f>IF(AM408=MiscData!$AB$91,1,AM408+1)</f>
        <v>56</v>
      </c>
    </row>
    <row r="410" spans="1:39">
      <c r="A410" s="389">
        <f t="shared" si="171"/>
        <v>409</v>
      </c>
      <c r="B410" s="395" t="str">
        <f t="shared" si="152"/>
        <v>May 2014</v>
      </c>
      <c r="C410" s="396" t="str">
        <f t="shared" si="153"/>
        <v>LS</v>
      </c>
      <c r="D410" s="396" t="str">
        <f t="shared" si="154"/>
        <v>KUUM_463</v>
      </c>
      <c r="E410" s="394">
        <f t="shared" si="155"/>
        <v>20240</v>
      </c>
      <c r="F410" s="397">
        <v>0</v>
      </c>
      <c r="G410" s="394">
        <f t="shared" si="156"/>
        <v>693781</v>
      </c>
      <c r="H410" s="394">
        <v>0</v>
      </c>
      <c r="I410" s="390">
        <f t="shared" si="157"/>
        <v>9.14</v>
      </c>
      <c r="J410" s="390">
        <f t="shared" si="158"/>
        <v>1.1299999999999999</v>
      </c>
      <c r="K410" s="391">
        <f t="shared" si="172"/>
        <v>184993.6</v>
      </c>
      <c r="L410" s="398">
        <v>-2513.3200000000002</v>
      </c>
      <c r="M410" s="398">
        <v>0</v>
      </c>
      <c r="N410" s="164">
        <f t="shared" si="151"/>
        <v>182480.28</v>
      </c>
      <c r="O410" s="399">
        <f t="shared" si="159"/>
        <v>182480.28</v>
      </c>
      <c r="P410" s="392">
        <f t="shared" si="173"/>
        <v>1</v>
      </c>
      <c r="Q410" s="164">
        <f t="shared" si="160"/>
        <v>2274.92</v>
      </c>
      <c r="R410" s="164">
        <f t="shared" si="161"/>
        <v>0</v>
      </c>
      <c r="S410" s="164">
        <f t="shared" si="162"/>
        <v>3712.41</v>
      </c>
      <c r="T410" s="164">
        <f t="shared" si="163"/>
        <v>0</v>
      </c>
      <c r="U410" s="164">
        <f t="shared" si="164"/>
        <v>188467.61</v>
      </c>
      <c r="V410" s="393">
        <f t="shared" si="165"/>
        <v>188467.61000000002</v>
      </c>
      <c r="W410" s="393">
        <f t="shared" si="166"/>
        <v>0</v>
      </c>
      <c r="Y410" s="393">
        <f t="shared" si="169"/>
        <v>22871.200000000001</v>
      </c>
      <c r="Z410" s="393">
        <f t="shared" si="170"/>
        <v>159609.07999999999</v>
      </c>
      <c r="AD410" s="395">
        <f>IF(AH410&gt;AH409,AD409,IF(AD409&lt;MiscData!$F$1,EOMONTH(AD409,1),EOMONTH(AD409,-11)))</f>
        <v>41790</v>
      </c>
      <c r="AE410" s="389" t="str">
        <f t="shared" si="167"/>
        <v>20140101KUUM_463</v>
      </c>
      <c r="AF410" s="437" t="str">
        <f t="shared" si="168"/>
        <v>20140101LS</v>
      </c>
      <c r="AG410" s="438"/>
      <c r="AH410" s="34">
        <f>IF(AH409=MiscData!$AB$91,1,AH409+1)</f>
        <v>57</v>
      </c>
      <c r="AI410" s="34">
        <f>IF(AD410&lt;=MiscData!$B$23,MiscData!$C$23,IF(AD410&lt;=MiscData!$B$24,MiscData!$C$24,MiscData!$C$25))</f>
        <v>20140101</v>
      </c>
      <c r="AK410" s="439" t="str">
        <f>VLOOKUP(AM410,MiscData!$AB$4:$ACB$113,2,FALSE)</f>
        <v>KUUM_463</v>
      </c>
      <c r="AL410" s="439" t="str">
        <f>VLOOKUP(AM410,MiscData!$AB$4:$AE$115,4,FALSE)</f>
        <v>LS</v>
      </c>
      <c r="AM410" s="34">
        <f>IF(AM409=MiscData!$AB$91,1,AM409+1)</f>
        <v>57</v>
      </c>
    </row>
    <row r="411" spans="1:39">
      <c r="A411" s="389">
        <f t="shared" si="171"/>
        <v>410</v>
      </c>
      <c r="B411" s="395" t="str">
        <f t="shared" si="152"/>
        <v>May 2014</v>
      </c>
      <c r="C411" s="396" t="str">
        <f t="shared" si="153"/>
        <v>LS</v>
      </c>
      <c r="D411" s="396" t="str">
        <f t="shared" si="154"/>
        <v>KUUM_464</v>
      </c>
      <c r="E411" s="394">
        <f t="shared" si="155"/>
        <v>7395</v>
      </c>
      <c r="F411" s="397">
        <v>0</v>
      </c>
      <c r="G411" s="394">
        <f t="shared" si="156"/>
        <v>549134</v>
      </c>
      <c r="H411" s="394">
        <v>0</v>
      </c>
      <c r="I411" s="390">
        <f t="shared" si="157"/>
        <v>14.25</v>
      </c>
      <c r="J411" s="390">
        <f t="shared" si="158"/>
        <v>2.33</v>
      </c>
      <c r="K411" s="391">
        <f t="shared" si="172"/>
        <v>105378.75</v>
      </c>
      <c r="L411" s="398">
        <v>3211.25</v>
      </c>
      <c r="M411" s="398">
        <v>0</v>
      </c>
      <c r="N411" s="164">
        <f t="shared" si="151"/>
        <v>108590</v>
      </c>
      <c r="O411" s="399">
        <f t="shared" si="159"/>
        <v>108590</v>
      </c>
      <c r="P411" s="392">
        <f t="shared" si="173"/>
        <v>1</v>
      </c>
      <c r="Q411" s="164">
        <f t="shared" si="160"/>
        <v>1776.95</v>
      </c>
      <c r="R411" s="164">
        <f t="shared" si="161"/>
        <v>0</v>
      </c>
      <c r="S411" s="164">
        <f t="shared" si="162"/>
        <v>2185.8200000000002</v>
      </c>
      <c r="T411" s="164">
        <f t="shared" si="163"/>
        <v>0</v>
      </c>
      <c r="U411" s="164">
        <f t="shared" si="164"/>
        <v>112552.77</v>
      </c>
      <c r="V411" s="393">
        <f t="shared" si="165"/>
        <v>112552.77</v>
      </c>
      <c r="W411" s="393">
        <f t="shared" si="166"/>
        <v>0</v>
      </c>
      <c r="Y411" s="393">
        <f t="shared" si="169"/>
        <v>17230.349999999999</v>
      </c>
      <c r="Z411" s="393">
        <f t="shared" si="170"/>
        <v>91359.65</v>
      </c>
      <c r="AD411" s="395">
        <f>IF(AH411&gt;AH410,AD410,IF(AD410&lt;MiscData!$F$1,EOMONTH(AD410,1),EOMONTH(AD410,-11)))</f>
        <v>41790</v>
      </c>
      <c r="AE411" s="389" t="str">
        <f t="shared" si="167"/>
        <v>20140101KUUM_464</v>
      </c>
      <c r="AF411" s="437" t="str">
        <f t="shared" si="168"/>
        <v>20140101LS</v>
      </c>
      <c r="AG411" s="438"/>
      <c r="AH411" s="34">
        <f>IF(AH410=MiscData!$AB$91,1,AH410+1)</f>
        <v>58</v>
      </c>
      <c r="AI411" s="34">
        <f>IF(AD411&lt;=MiscData!$B$23,MiscData!$C$23,IF(AD411&lt;=MiscData!$B$24,MiscData!$C$24,MiscData!$C$25))</f>
        <v>20140101</v>
      </c>
      <c r="AK411" s="439" t="str">
        <f>VLOOKUP(AM411,MiscData!$AB$4:$ACB$113,2,FALSE)</f>
        <v>KUUM_464</v>
      </c>
      <c r="AL411" s="439" t="str">
        <f>VLOOKUP(AM411,MiscData!$AB$4:$AE$115,4,FALSE)</f>
        <v>LS</v>
      </c>
      <c r="AM411" s="34">
        <f>IF(AM410=MiscData!$AB$91,1,AM410+1)</f>
        <v>58</v>
      </c>
    </row>
    <row r="412" spans="1:39">
      <c r="A412" s="389">
        <f t="shared" si="171"/>
        <v>411</v>
      </c>
      <c r="B412" s="395" t="str">
        <f t="shared" si="152"/>
        <v>May 2014</v>
      </c>
      <c r="C412" s="396" t="str">
        <f t="shared" si="153"/>
        <v>LS</v>
      </c>
      <c r="D412" s="396" t="str">
        <f t="shared" si="154"/>
        <v>KUUM_465</v>
      </c>
      <c r="E412" s="394">
        <f t="shared" si="155"/>
        <v>2813</v>
      </c>
      <c r="F412" s="397">
        <v>0</v>
      </c>
      <c r="G412" s="394">
        <f t="shared" si="156"/>
        <v>390816</v>
      </c>
      <c r="H412" s="394">
        <v>0</v>
      </c>
      <c r="I412" s="390">
        <f t="shared" si="157"/>
        <v>22.84</v>
      </c>
      <c r="J412" s="390">
        <f t="shared" si="158"/>
        <v>4.5299999999999976</v>
      </c>
      <c r="K412" s="391">
        <f t="shared" si="172"/>
        <v>64248.92</v>
      </c>
      <c r="L412" s="398">
        <v>-76.14</v>
      </c>
      <c r="M412" s="398">
        <v>0</v>
      </c>
      <c r="N412" s="164">
        <f t="shared" si="151"/>
        <v>64172.78</v>
      </c>
      <c r="O412" s="399">
        <f t="shared" si="159"/>
        <v>64172.78</v>
      </c>
      <c r="P412" s="392">
        <f t="shared" si="173"/>
        <v>1</v>
      </c>
      <c r="Q412" s="164">
        <f t="shared" si="160"/>
        <v>1322.78</v>
      </c>
      <c r="R412" s="164">
        <f t="shared" si="161"/>
        <v>0</v>
      </c>
      <c r="S412" s="164">
        <f t="shared" si="162"/>
        <v>1357.91</v>
      </c>
      <c r="T412" s="164">
        <f t="shared" si="163"/>
        <v>0</v>
      </c>
      <c r="U412" s="164">
        <f t="shared" si="164"/>
        <v>66853.47</v>
      </c>
      <c r="V412" s="393">
        <f t="shared" si="165"/>
        <v>66853.47</v>
      </c>
      <c r="W412" s="393">
        <f t="shared" si="166"/>
        <v>0</v>
      </c>
      <c r="Y412" s="393">
        <f t="shared" si="169"/>
        <v>12742.89</v>
      </c>
      <c r="Z412" s="393">
        <f t="shared" si="170"/>
        <v>51429.89</v>
      </c>
      <c r="AD412" s="395">
        <f>IF(AH412&gt;AH411,AD411,IF(AD411&lt;MiscData!$F$1,EOMONTH(AD411,1),EOMONTH(AD411,-11)))</f>
        <v>41790</v>
      </c>
      <c r="AE412" s="389" t="str">
        <f t="shared" si="167"/>
        <v>20140101KUUM_465</v>
      </c>
      <c r="AF412" s="437" t="str">
        <f t="shared" si="168"/>
        <v>20140101LS</v>
      </c>
      <c r="AG412" s="438"/>
      <c r="AH412" s="34">
        <f>IF(AH411=MiscData!$AB$91,1,AH411+1)</f>
        <v>59</v>
      </c>
      <c r="AI412" s="34">
        <f>IF(AD412&lt;=MiscData!$B$23,MiscData!$C$23,IF(AD412&lt;=MiscData!$B$24,MiscData!$C$24,MiscData!$C$25))</f>
        <v>20140101</v>
      </c>
      <c r="AK412" s="439" t="str">
        <f>VLOOKUP(AM412,MiscData!$AB$4:$ACB$113,2,FALSE)</f>
        <v>KUUM_465</v>
      </c>
      <c r="AL412" s="439" t="str">
        <f>VLOOKUP(AM412,MiscData!$AB$4:$AE$115,4,FALSE)</f>
        <v>LS</v>
      </c>
      <c r="AM412" s="34">
        <f>IF(AM411=MiscData!$AB$91,1,AM411+1)</f>
        <v>59</v>
      </c>
    </row>
    <row r="413" spans="1:39">
      <c r="A413" s="389">
        <f t="shared" si="171"/>
        <v>412</v>
      </c>
      <c r="B413" s="395" t="str">
        <f t="shared" si="152"/>
        <v>May 2014</v>
      </c>
      <c r="C413" s="396" t="str">
        <f t="shared" si="153"/>
        <v>RLS</v>
      </c>
      <c r="D413" s="396" t="str">
        <f t="shared" si="154"/>
        <v>KUUM_466</v>
      </c>
      <c r="E413" s="394">
        <f t="shared" si="155"/>
        <v>858</v>
      </c>
      <c r="F413" s="397">
        <v>0</v>
      </c>
      <c r="G413" s="394">
        <f t="shared" si="156"/>
        <v>15497</v>
      </c>
      <c r="H413" s="394">
        <v>0</v>
      </c>
      <c r="I413" s="390">
        <f t="shared" si="157"/>
        <v>9.620000000000001</v>
      </c>
      <c r="J413" s="390">
        <f t="shared" si="158"/>
        <v>0.57000000000000028</v>
      </c>
      <c r="K413" s="391">
        <f t="shared" si="172"/>
        <v>8253.9599999999991</v>
      </c>
      <c r="L413" s="398">
        <v>-18.600000000000001</v>
      </c>
      <c r="M413" s="398">
        <v>0</v>
      </c>
      <c r="N413" s="164">
        <f t="shared" si="151"/>
        <v>8235.3599999999988</v>
      </c>
      <c r="O413" s="399">
        <f t="shared" si="159"/>
        <v>8235.36</v>
      </c>
      <c r="P413" s="392">
        <f t="shared" si="173"/>
        <v>1</v>
      </c>
      <c r="Q413" s="164">
        <f t="shared" si="160"/>
        <v>49.67</v>
      </c>
      <c r="R413" s="164">
        <f t="shared" si="161"/>
        <v>0</v>
      </c>
      <c r="S413" s="164">
        <f t="shared" si="162"/>
        <v>162.46</v>
      </c>
      <c r="T413" s="164">
        <f t="shared" si="163"/>
        <v>0</v>
      </c>
      <c r="U413" s="164">
        <f t="shared" si="164"/>
        <v>8447.49</v>
      </c>
      <c r="V413" s="393">
        <f t="shared" si="165"/>
        <v>8447.489999999998</v>
      </c>
      <c r="W413" s="393">
        <f t="shared" si="166"/>
        <v>0</v>
      </c>
      <c r="Y413" s="393">
        <f t="shared" si="169"/>
        <v>489.06</v>
      </c>
      <c r="Z413" s="393">
        <f t="shared" si="170"/>
        <v>7746.3</v>
      </c>
      <c r="AD413" s="395">
        <f>IF(AH413&gt;AH412,AD412,IF(AD412&lt;MiscData!$F$1,EOMONTH(AD412,1),EOMONTH(AD412,-11)))</f>
        <v>41790</v>
      </c>
      <c r="AE413" s="389" t="str">
        <f t="shared" si="167"/>
        <v>20140101KUUM_466</v>
      </c>
      <c r="AF413" s="437" t="str">
        <f t="shared" si="168"/>
        <v>20140101RLS</v>
      </c>
      <c r="AG413" s="438"/>
      <c r="AH413" s="34">
        <f>IF(AH412=MiscData!$AB$91,1,AH412+1)</f>
        <v>60</v>
      </c>
      <c r="AI413" s="34">
        <f>IF(AD413&lt;=MiscData!$B$23,MiscData!$C$23,IF(AD413&lt;=MiscData!$B$24,MiscData!$C$24,MiscData!$C$25))</f>
        <v>20140101</v>
      </c>
      <c r="AK413" s="439" t="str">
        <f>VLOOKUP(AM413,MiscData!$AB$4:$ACB$113,2,FALSE)</f>
        <v>KUUM_466</v>
      </c>
      <c r="AL413" s="439" t="str">
        <f>VLOOKUP(AM413,MiscData!$AB$4:$AE$115,4,FALSE)</f>
        <v>RLS</v>
      </c>
      <c r="AM413" s="34">
        <f>IF(AM412=MiscData!$AB$91,1,AM412+1)</f>
        <v>60</v>
      </c>
    </row>
    <row r="414" spans="1:39">
      <c r="A414" s="389">
        <f t="shared" si="171"/>
        <v>413</v>
      </c>
      <c r="B414" s="395" t="str">
        <f t="shared" si="152"/>
        <v>May 2014</v>
      </c>
      <c r="C414" s="396" t="str">
        <f t="shared" si="153"/>
        <v>LS</v>
      </c>
      <c r="D414" s="396" t="str">
        <f t="shared" si="154"/>
        <v>KUUM_467</v>
      </c>
      <c r="E414" s="394">
        <f t="shared" si="155"/>
        <v>1359</v>
      </c>
      <c r="F414" s="397">
        <v>0</v>
      </c>
      <c r="G414" s="394">
        <f t="shared" si="156"/>
        <v>33707</v>
      </c>
      <c r="H414" s="394">
        <v>0</v>
      </c>
      <c r="I414" s="390">
        <f t="shared" si="157"/>
        <v>10.770000000000001</v>
      </c>
      <c r="J414" s="390">
        <f t="shared" si="158"/>
        <v>0.80000000000000071</v>
      </c>
      <c r="K414" s="391">
        <f t="shared" si="172"/>
        <v>14636.43</v>
      </c>
      <c r="L414" s="398">
        <v>33.03</v>
      </c>
      <c r="M414" s="398">
        <v>0</v>
      </c>
      <c r="N414" s="164">
        <f t="shared" si="151"/>
        <v>14669.460000000001</v>
      </c>
      <c r="O414" s="399">
        <f t="shared" si="159"/>
        <v>14669.460000000001</v>
      </c>
      <c r="P414" s="392">
        <f t="shared" si="173"/>
        <v>1</v>
      </c>
      <c r="Q414" s="164">
        <f t="shared" si="160"/>
        <v>107.57</v>
      </c>
      <c r="R414" s="164">
        <f t="shared" si="161"/>
        <v>0</v>
      </c>
      <c r="S414" s="164">
        <f t="shared" si="162"/>
        <v>288.99</v>
      </c>
      <c r="T414" s="164">
        <f t="shared" si="163"/>
        <v>0</v>
      </c>
      <c r="U414" s="164">
        <f t="shared" si="164"/>
        <v>15066.02</v>
      </c>
      <c r="V414" s="393">
        <f t="shared" si="165"/>
        <v>15066.02</v>
      </c>
      <c r="W414" s="393">
        <f t="shared" si="166"/>
        <v>0</v>
      </c>
      <c r="Y414" s="393">
        <f t="shared" si="169"/>
        <v>1087.2</v>
      </c>
      <c r="Z414" s="393">
        <f t="shared" si="170"/>
        <v>13582.26</v>
      </c>
      <c r="AD414" s="395">
        <f>IF(AH414&gt;AH413,AD413,IF(AD413&lt;MiscData!$F$1,EOMONTH(AD413,1),EOMONTH(AD413,-11)))</f>
        <v>41790</v>
      </c>
      <c r="AE414" s="389" t="str">
        <f t="shared" si="167"/>
        <v>20140101KUUM_467</v>
      </c>
      <c r="AF414" s="437" t="str">
        <f t="shared" si="168"/>
        <v>20140101LS</v>
      </c>
      <c r="AG414" s="438"/>
      <c r="AH414" s="34">
        <f>IF(AH413=MiscData!$AB$91,1,AH413+1)</f>
        <v>61</v>
      </c>
      <c r="AI414" s="34">
        <f>IF(AD414&lt;=MiscData!$B$23,MiscData!$C$23,IF(AD414&lt;=MiscData!$B$24,MiscData!$C$24,MiscData!$C$25))</f>
        <v>20140101</v>
      </c>
      <c r="AK414" s="439" t="str">
        <f>VLOOKUP(AM414,MiscData!$AB$4:$ACB$113,2,FALSE)</f>
        <v>KUUM_467</v>
      </c>
      <c r="AL414" s="439" t="str">
        <f>VLOOKUP(AM414,MiscData!$AB$4:$AE$115,4,FALSE)</f>
        <v>LS</v>
      </c>
      <c r="AM414" s="34">
        <f>IF(AM413=MiscData!$AB$91,1,AM413+1)</f>
        <v>61</v>
      </c>
    </row>
    <row r="415" spans="1:39">
      <c r="A415" s="389">
        <f t="shared" si="171"/>
        <v>414</v>
      </c>
      <c r="B415" s="395" t="str">
        <f t="shared" si="152"/>
        <v>May 2014</v>
      </c>
      <c r="C415" s="396" t="str">
        <f t="shared" si="153"/>
        <v>LS</v>
      </c>
      <c r="D415" s="396" t="str">
        <f t="shared" si="154"/>
        <v>KUUM_468</v>
      </c>
      <c r="E415" s="394">
        <f t="shared" si="155"/>
        <v>4029</v>
      </c>
      <c r="F415" s="397">
        <v>0</v>
      </c>
      <c r="G415" s="394">
        <f t="shared" si="156"/>
        <v>139149</v>
      </c>
      <c r="H415" s="394">
        <v>0</v>
      </c>
      <c r="I415" s="390">
        <f t="shared" si="157"/>
        <v>11.16</v>
      </c>
      <c r="J415" s="390">
        <f t="shared" si="158"/>
        <v>1.129999999999999</v>
      </c>
      <c r="K415" s="391">
        <f t="shared" si="172"/>
        <v>44963.64</v>
      </c>
      <c r="L415" s="398">
        <v>-45.75</v>
      </c>
      <c r="M415" s="398">
        <v>0</v>
      </c>
      <c r="N415" s="164">
        <f t="shared" si="151"/>
        <v>44917.89</v>
      </c>
      <c r="O415" s="399">
        <f t="shared" si="159"/>
        <v>44917.89</v>
      </c>
      <c r="P415" s="392">
        <f t="shared" si="173"/>
        <v>1</v>
      </c>
      <c r="Q415" s="164">
        <f t="shared" si="160"/>
        <v>483.04</v>
      </c>
      <c r="R415" s="164">
        <f t="shared" si="161"/>
        <v>0</v>
      </c>
      <c r="S415" s="164">
        <f t="shared" si="162"/>
        <v>967.93</v>
      </c>
      <c r="T415" s="164">
        <f t="shared" si="163"/>
        <v>0</v>
      </c>
      <c r="U415" s="164">
        <f t="shared" si="164"/>
        <v>46368.86</v>
      </c>
      <c r="V415" s="393">
        <f t="shared" si="165"/>
        <v>46368.86</v>
      </c>
      <c r="W415" s="393">
        <f t="shared" si="166"/>
        <v>0</v>
      </c>
      <c r="Y415" s="393">
        <f t="shared" si="169"/>
        <v>4552.7700000000004</v>
      </c>
      <c r="Z415" s="393">
        <f t="shared" si="170"/>
        <v>40365.119999999995</v>
      </c>
      <c r="AD415" s="395">
        <f>IF(AH415&gt;AH414,AD414,IF(AD414&lt;MiscData!$F$1,EOMONTH(AD414,1),EOMONTH(AD414,-11)))</f>
        <v>41790</v>
      </c>
      <c r="AE415" s="389" t="str">
        <f t="shared" si="167"/>
        <v>20140101KUUM_468</v>
      </c>
      <c r="AF415" s="437" t="str">
        <f t="shared" si="168"/>
        <v>20140101LS</v>
      </c>
      <c r="AG415" s="438"/>
      <c r="AH415" s="34">
        <f>IF(AH414=MiscData!$AB$91,1,AH414+1)</f>
        <v>62</v>
      </c>
      <c r="AI415" s="34">
        <f>IF(AD415&lt;=MiscData!$B$23,MiscData!$C$23,IF(AD415&lt;=MiscData!$B$24,MiscData!$C$24,MiscData!$C$25))</f>
        <v>20140101</v>
      </c>
      <c r="AK415" s="439" t="str">
        <f>VLOOKUP(AM415,MiscData!$AB$4:$ACB$113,2,FALSE)</f>
        <v>KUUM_468</v>
      </c>
      <c r="AL415" s="439" t="str">
        <f>VLOOKUP(AM415,MiscData!$AB$4:$AE$115,4,FALSE)</f>
        <v>LS</v>
      </c>
      <c r="AM415" s="34">
        <f>IF(AM414=MiscData!$AB$91,1,AM414+1)</f>
        <v>62</v>
      </c>
    </row>
    <row r="416" spans="1:39">
      <c r="A416" s="389">
        <f t="shared" si="171"/>
        <v>415</v>
      </c>
      <c r="B416" s="395" t="str">
        <f t="shared" si="152"/>
        <v>May 2014</v>
      </c>
      <c r="C416" s="396" t="str">
        <f t="shared" si="153"/>
        <v>RLS</v>
      </c>
      <c r="D416" s="396" t="str">
        <f t="shared" si="154"/>
        <v>KUUM_469</v>
      </c>
      <c r="E416" s="394">
        <f t="shared" si="155"/>
        <v>294</v>
      </c>
      <c r="F416" s="397">
        <v>0</v>
      </c>
      <c r="G416" s="394">
        <f t="shared" si="156"/>
        <v>30191</v>
      </c>
      <c r="H416" s="394">
        <v>0</v>
      </c>
      <c r="I416" s="390">
        <f t="shared" si="157"/>
        <v>33.100000000000009</v>
      </c>
      <c r="J416" s="390">
        <f t="shared" si="158"/>
        <v>4.2900000000000063</v>
      </c>
      <c r="K416" s="391">
        <f t="shared" si="172"/>
        <v>9731.4</v>
      </c>
      <c r="L416" s="398">
        <v>0</v>
      </c>
      <c r="M416" s="398">
        <v>0</v>
      </c>
      <c r="N416" s="164">
        <f t="shared" si="151"/>
        <v>9731.4</v>
      </c>
      <c r="O416" s="399">
        <f t="shared" si="159"/>
        <v>9731.4</v>
      </c>
      <c r="P416" s="392">
        <f t="shared" si="173"/>
        <v>1</v>
      </c>
      <c r="Q416" s="164">
        <f t="shared" si="160"/>
        <v>105.74</v>
      </c>
      <c r="R416" s="164">
        <f t="shared" si="161"/>
        <v>0</v>
      </c>
      <c r="S416" s="164">
        <f t="shared" si="162"/>
        <v>211.18</v>
      </c>
      <c r="T416" s="164">
        <f t="shared" si="163"/>
        <v>0</v>
      </c>
      <c r="U416" s="164">
        <f t="shared" si="164"/>
        <v>10048.32</v>
      </c>
      <c r="V416" s="393">
        <f t="shared" si="165"/>
        <v>10048.32</v>
      </c>
      <c r="W416" s="393">
        <f t="shared" si="166"/>
        <v>0</v>
      </c>
      <c r="Y416" s="393">
        <f t="shared" si="169"/>
        <v>1261.26</v>
      </c>
      <c r="Z416" s="393">
        <f t="shared" si="170"/>
        <v>8470.14</v>
      </c>
      <c r="AD416" s="395">
        <f>IF(AH416&gt;AH415,AD415,IF(AD415&lt;MiscData!$F$1,EOMONTH(AD415,1),EOMONTH(AD415,-11)))</f>
        <v>41790</v>
      </c>
      <c r="AE416" s="389" t="str">
        <f t="shared" si="167"/>
        <v>20140101KUUM_469</v>
      </c>
      <c r="AF416" s="437" t="str">
        <f t="shared" si="168"/>
        <v>20140101RLS</v>
      </c>
      <c r="AG416" s="438"/>
      <c r="AH416" s="34">
        <f>IF(AH415=MiscData!$AB$91,1,AH415+1)</f>
        <v>63</v>
      </c>
      <c r="AI416" s="34">
        <f>IF(AD416&lt;=MiscData!$B$23,MiscData!$C$23,IF(AD416&lt;=MiscData!$B$24,MiscData!$C$24,MiscData!$C$25))</f>
        <v>20140101</v>
      </c>
      <c r="AK416" s="439" t="str">
        <f>VLOOKUP(AM416,MiscData!$AB$4:$ACB$113,2,FALSE)</f>
        <v>KUUM_469</v>
      </c>
      <c r="AL416" s="439" t="str">
        <f>VLOOKUP(AM416,MiscData!$AB$4:$AE$115,4,FALSE)</f>
        <v>RLS</v>
      </c>
      <c r="AM416" s="34">
        <f>IF(AM415=MiscData!$AB$91,1,AM415+1)</f>
        <v>63</v>
      </c>
    </row>
    <row r="417" spans="1:39">
      <c r="A417" s="389">
        <f t="shared" si="171"/>
        <v>416</v>
      </c>
      <c r="B417" s="395" t="str">
        <f t="shared" si="152"/>
        <v>May 2014</v>
      </c>
      <c r="C417" s="396" t="str">
        <f t="shared" si="153"/>
        <v>RLS</v>
      </c>
      <c r="D417" s="396" t="str">
        <f t="shared" si="154"/>
        <v>KUUM_470</v>
      </c>
      <c r="E417" s="394">
        <f t="shared" si="155"/>
        <v>61</v>
      </c>
      <c r="F417" s="397">
        <v>0</v>
      </c>
      <c r="G417" s="394">
        <f t="shared" si="156"/>
        <v>18805</v>
      </c>
      <c r="H417" s="394">
        <v>0</v>
      </c>
      <c r="I417" s="390">
        <f t="shared" si="157"/>
        <v>55.250000000000007</v>
      </c>
      <c r="J417" s="390">
        <f t="shared" si="158"/>
        <v>10.410000000000004</v>
      </c>
      <c r="K417" s="391">
        <f t="shared" si="172"/>
        <v>3370.25</v>
      </c>
      <c r="L417" s="398">
        <v>0</v>
      </c>
      <c r="M417" s="398">
        <v>0</v>
      </c>
      <c r="N417" s="164">
        <f t="shared" si="151"/>
        <v>3370.25</v>
      </c>
      <c r="O417" s="399">
        <f t="shared" si="159"/>
        <v>3370.25</v>
      </c>
      <c r="P417" s="392">
        <f t="shared" si="173"/>
        <v>1</v>
      </c>
      <c r="Q417" s="164">
        <f t="shared" si="160"/>
        <v>67.14</v>
      </c>
      <c r="R417" s="164">
        <f t="shared" si="161"/>
        <v>0</v>
      </c>
      <c r="S417" s="164">
        <f t="shared" si="162"/>
        <v>75.27</v>
      </c>
      <c r="T417" s="164">
        <f t="shared" si="163"/>
        <v>0</v>
      </c>
      <c r="U417" s="164">
        <f t="shared" si="164"/>
        <v>3512.66</v>
      </c>
      <c r="V417" s="393">
        <f t="shared" si="165"/>
        <v>3512.66</v>
      </c>
      <c r="W417" s="393">
        <f t="shared" si="166"/>
        <v>0</v>
      </c>
      <c r="Y417" s="393">
        <f t="shared" si="169"/>
        <v>635.01</v>
      </c>
      <c r="Z417" s="393">
        <f t="shared" si="170"/>
        <v>2735.24</v>
      </c>
      <c r="AD417" s="395">
        <f>IF(AH417&gt;AH416,AD416,IF(AD416&lt;MiscData!$F$1,EOMONTH(AD416,1),EOMONTH(AD416,-11)))</f>
        <v>41790</v>
      </c>
      <c r="AE417" s="389" t="str">
        <f t="shared" si="167"/>
        <v>20140101KUUM_470</v>
      </c>
      <c r="AF417" s="437" t="str">
        <f t="shared" si="168"/>
        <v>20140101RLS</v>
      </c>
      <c r="AG417" s="438"/>
      <c r="AH417" s="34">
        <f>IF(AH416=MiscData!$AB$91,1,AH416+1)</f>
        <v>64</v>
      </c>
      <c r="AI417" s="34">
        <f>IF(AD417&lt;=MiscData!$B$23,MiscData!$C$23,IF(AD417&lt;=MiscData!$B$24,MiscData!$C$24,MiscData!$C$25))</f>
        <v>20140101</v>
      </c>
      <c r="AK417" s="439" t="str">
        <f>VLOOKUP(AM417,MiscData!$AB$4:$ACB$113,2,FALSE)</f>
        <v>KUUM_470</v>
      </c>
      <c r="AL417" s="439" t="str">
        <f>VLOOKUP(AM417,MiscData!$AB$4:$AE$115,4,FALSE)</f>
        <v>RLS</v>
      </c>
      <c r="AM417" s="34">
        <f>IF(AM416=MiscData!$AB$91,1,AM416+1)</f>
        <v>64</v>
      </c>
    </row>
    <row r="418" spans="1:39">
      <c r="A418" s="389">
        <f t="shared" si="171"/>
        <v>417</v>
      </c>
      <c r="B418" s="395" t="str">
        <f t="shared" si="152"/>
        <v>May 2014</v>
      </c>
      <c r="C418" s="396" t="str">
        <f t="shared" si="153"/>
        <v>RLS</v>
      </c>
      <c r="D418" s="396" t="str">
        <f t="shared" si="154"/>
        <v>KUUM_471</v>
      </c>
      <c r="E418" s="394">
        <f t="shared" si="155"/>
        <v>3666</v>
      </c>
      <c r="F418" s="397">
        <v>0</v>
      </c>
      <c r="G418" s="394">
        <f t="shared" si="156"/>
        <v>67777</v>
      </c>
      <c r="H418" s="394">
        <v>0</v>
      </c>
      <c r="I418" s="390">
        <f t="shared" si="157"/>
        <v>10.49</v>
      </c>
      <c r="J418" s="390">
        <f t="shared" si="158"/>
        <v>0.56999999999999851</v>
      </c>
      <c r="K418" s="391">
        <f t="shared" si="172"/>
        <v>38456.339999999997</v>
      </c>
      <c r="L418" s="398">
        <v>0</v>
      </c>
      <c r="M418" s="398">
        <v>0</v>
      </c>
      <c r="N418" s="164">
        <f t="shared" si="151"/>
        <v>38456.339999999997</v>
      </c>
      <c r="O418" s="399">
        <f t="shared" si="159"/>
        <v>38456.339999999997</v>
      </c>
      <c r="P418" s="392">
        <f t="shared" si="173"/>
        <v>1</v>
      </c>
      <c r="Q418" s="164">
        <f t="shared" si="160"/>
        <v>143.81</v>
      </c>
      <c r="R418" s="164">
        <f t="shared" si="161"/>
        <v>0</v>
      </c>
      <c r="S418" s="164">
        <f t="shared" si="162"/>
        <v>471.44</v>
      </c>
      <c r="T418" s="164">
        <f t="shared" si="163"/>
        <v>0</v>
      </c>
      <c r="U418" s="164">
        <f t="shared" si="164"/>
        <v>39071.589999999997</v>
      </c>
      <c r="V418" s="393">
        <f t="shared" si="165"/>
        <v>39071.589999999997</v>
      </c>
      <c r="W418" s="393">
        <f t="shared" si="166"/>
        <v>0</v>
      </c>
      <c r="Y418" s="393">
        <f t="shared" si="169"/>
        <v>2089.62</v>
      </c>
      <c r="Z418" s="393">
        <f t="shared" si="170"/>
        <v>36366.719999999994</v>
      </c>
      <c r="AD418" s="395">
        <f>IF(AH418&gt;AH417,AD417,IF(AD417&lt;MiscData!$F$1,EOMONTH(AD417,1),EOMONTH(AD417,-11)))</f>
        <v>41790</v>
      </c>
      <c r="AE418" s="389" t="str">
        <f t="shared" si="167"/>
        <v>20140101KUUM_471</v>
      </c>
      <c r="AF418" s="437" t="str">
        <f t="shared" si="168"/>
        <v>20140101RLS</v>
      </c>
      <c r="AG418" s="438"/>
      <c r="AH418" s="34">
        <f>IF(AH417=MiscData!$AB$91,1,AH417+1)</f>
        <v>65</v>
      </c>
      <c r="AI418" s="34">
        <f>IF(AD418&lt;=MiscData!$B$23,MiscData!$C$23,IF(AD418&lt;=MiscData!$B$24,MiscData!$C$24,MiscData!$C$25))</f>
        <v>20140101</v>
      </c>
      <c r="AK418" s="439" t="str">
        <f>VLOOKUP(AM418,MiscData!$AB$4:$ACB$113,2,FALSE)</f>
        <v>KUUM_471</v>
      </c>
      <c r="AL418" s="439" t="str">
        <f>VLOOKUP(AM418,MiscData!$AB$4:$AE$115,4,FALSE)</f>
        <v>RLS</v>
      </c>
      <c r="AM418" s="34">
        <f>IF(AM417=MiscData!$AB$91,1,AM417+1)</f>
        <v>65</v>
      </c>
    </row>
    <row r="419" spans="1:39">
      <c r="A419" s="389">
        <f t="shared" si="171"/>
        <v>418</v>
      </c>
      <c r="B419" s="395" t="str">
        <f t="shared" si="152"/>
        <v>May 2014</v>
      </c>
      <c r="C419" s="396" t="str">
        <f t="shared" si="153"/>
        <v>LS</v>
      </c>
      <c r="D419" s="396" t="str">
        <f t="shared" si="154"/>
        <v>KUUM_472</v>
      </c>
      <c r="E419" s="394">
        <f t="shared" si="155"/>
        <v>8741</v>
      </c>
      <c r="F419" s="397">
        <v>0</v>
      </c>
      <c r="G419" s="394">
        <f t="shared" si="156"/>
        <v>223370</v>
      </c>
      <c r="H419" s="394">
        <v>0</v>
      </c>
      <c r="I419" s="390">
        <f t="shared" si="157"/>
        <v>11.600000000000001</v>
      </c>
      <c r="J419" s="390">
        <f t="shared" si="158"/>
        <v>0.80000000000000071</v>
      </c>
      <c r="K419" s="391">
        <f t="shared" si="172"/>
        <v>101395.6</v>
      </c>
      <c r="L419" s="398">
        <v>0</v>
      </c>
      <c r="M419" s="398">
        <v>0</v>
      </c>
      <c r="N419" s="164">
        <f t="shared" si="151"/>
        <v>101395.6</v>
      </c>
      <c r="O419" s="399">
        <f t="shared" si="159"/>
        <v>101395.59999999999</v>
      </c>
      <c r="P419" s="392">
        <f t="shared" si="173"/>
        <v>1</v>
      </c>
      <c r="Q419" s="164">
        <f t="shared" si="160"/>
        <v>476.78</v>
      </c>
      <c r="R419" s="164">
        <f t="shared" si="161"/>
        <v>0</v>
      </c>
      <c r="S419" s="164">
        <f t="shared" si="162"/>
        <v>1253.05</v>
      </c>
      <c r="T419" s="164">
        <f t="shared" si="163"/>
        <v>0</v>
      </c>
      <c r="U419" s="164">
        <f t="shared" si="164"/>
        <v>103125.43</v>
      </c>
      <c r="V419" s="393">
        <f t="shared" si="165"/>
        <v>103125.43000000001</v>
      </c>
      <c r="W419" s="393">
        <f t="shared" si="166"/>
        <v>0</v>
      </c>
      <c r="Y419" s="393">
        <f t="shared" si="169"/>
        <v>6992.8</v>
      </c>
      <c r="Z419" s="393">
        <f t="shared" si="170"/>
        <v>94402.799999999988</v>
      </c>
      <c r="AD419" s="395">
        <f>IF(AH419&gt;AH418,AD418,IF(AD418&lt;MiscData!$F$1,EOMONTH(AD418,1),EOMONTH(AD418,-11)))</f>
        <v>41790</v>
      </c>
      <c r="AE419" s="389" t="str">
        <f t="shared" si="167"/>
        <v>20140101KUUM_472</v>
      </c>
      <c r="AF419" s="437" t="str">
        <f t="shared" si="168"/>
        <v>20140101LS</v>
      </c>
      <c r="AG419" s="438"/>
      <c r="AH419" s="34">
        <f>IF(AH418=MiscData!$AB$91,1,AH418+1)</f>
        <v>66</v>
      </c>
      <c r="AI419" s="34">
        <f>IF(AD419&lt;=MiscData!$B$23,MiscData!$C$23,IF(AD419&lt;=MiscData!$B$24,MiscData!$C$24,MiscData!$C$25))</f>
        <v>20140101</v>
      </c>
      <c r="AK419" s="439" t="str">
        <f>VLOOKUP(AM419,MiscData!$AB$4:$ACB$113,2,FALSE)</f>
        <v>KUUM_472</v>
      </c>
      <c r="AL419" s="439" t="str">
        <f>VLOOKUP(AM419,MiscData!$AB$4:$AE$115,4,FALSE)</f>
        <v>LS</v>
      </c>
      <c r="AM419" s="34">
        <f>IF(AM418=MiscData!$AB$91,1,AM418+1)</f>
        <v>66</v>
      </c>
    </row>
    <row r="420" spans="1:39">
      <c r="A420" s="389">
        <f t="shared" si="171"/>
        <v>419</v>
      </c>
      <c r="B420" s="395" t="str">
        <f t="shared" si="152"/>
        <v>May 2014</v>
      </c>
      <c r="C420" s="396" t="str">
        <f t="shared" si="153"/>
        <v>LS</v>
      </c>
      <c r="D420" s="396" t="str">
        <f t="shared" si="154"/>
        <v>KUUM_473</v>
      </c>
      <c r="E420" s="394">
        <f t="shared" si="155"/>
        <v>3391</v>
      </c>
      <c r="F420" s="397">
        <v>0</v>
      </c>
      <c r="G420" s="394">
        <f t="shared" si="156"/>
        <v>118945</v>
      </c>
      <c r="H420" s="394">
        <v>0</v>
      </c>
      <c r="I420" s="390">
        <f t="shared" si="157"/>
        <v>12.3</v>
      </c>
      <c r="J420" s="390">
        <f t="shared" si="158"/>
        <v>1.129999999999999</v>
      </c>
      <c r="K420" s="391">
        <f t="shared" si="172"/>
        <v>41709.300000000003</v>
      </c>
      <c r="L420" s="398">
        <v>-186.96</v>
      </c>
      <c r="M420" s="398">
        <v>0</v>
      </c>
      <c r="N420" s="164">
        <f t="shared" si="151"/>
        <v>41522.340000000004</v>
      </c>
      <c r="O420" s="399">
        <f t="shared" si="159"/>
        <v>41522.339999999997</v>
      </c>
      <c r="P420" s="392">
        <f t="shared" si="173"/>
        <v>1</v>
      </c>
      <c r="Q420" s="164">
        <f t="shared" si="160"/>
        <v>316.35000000000002</v>
      </c>
      <c r="R420" s="164">
        <f t="shared" si="161"/>
        <v>0</v>
      </c>
      <c r="S420" s="164">
        <f t="shared" si="162"/>
        <v>668.55</v>
      </c>
      <c r="T420" s="164">
        <f t="shared" si="163"/>
        <v>0</v>
      </c>
      <c r="U420" s="164">
        <f t="shared" si="164"/>
        <v>42507.24</v>
      </c>
      <c r="V420" s="393">
        <f t="shared" si="165"/>
        <v>42507.240000000005</v>
      </c>
      <c r="W420" s="393">
        <f t="shared" si="166"/>
        <v>0</v>
      </c>
      <c r="Y420" s="393">
        <f t="shared" si="169"/>
        <v>3831.83</v>
      </c>
      <c r="Z420" s="393">
        <f t="shared" si="170"/>
        <v>37690.509999999995</v>
      </c>
      <c r="AD420" s="395">
        <f>IF(AH420&gt;AH419,AD419,IF(AD419&lt;MiscData!$F$1,EOMONTH(AD419,1),EOMONTH(AD419,-11)))</f>
        <v>41790</v>
      </c>
      <c r="AE420" s="389" t="str">
        <f t="shared" si="167"/>
        <v>20140101KUUM_473</v>
      </c>
      <c r="AF420" s="437" t="str">
        <f t="shared" si="168"/>
        <v>20140101LS</v>
      </c>
      <c r="AG420" s="438"/>
      <c r="AH420" s="34">
        <f>IF(AH419=MiscData!$AB$91,1,AH419+1)</f>
        <v>67</v>
      </c>
      <c r="AI420" s="34">
        <f>IF(AD420&lt;=MiscData!$B$23,MiscData!$C$23,IF(AD420&lt;=MiscData!$B$24,MiscData!$C$24,MiscData!$C$25))</f>
        <v>20140101</v>
      </c>
      <c r="AK420" s="439" t="str">
        <f>VLOOKUP(AM420,MiscData!$AB$4:$ACB$113,2,FALSE)</f>
        <v>KUUM_473</v>
      </c>
      <c r="AL420" s="439" t="str">
        <f>VLOOKUP(AM420,MiscData!$AB$4:$AE$115,4,FALSE)</f>
        <v>LS</v>
      </c>
      <c r="AM420" s="34">
        <f>IF(AM419=MiscData!$AB$91,1,AM419+1)</f>
        <v>67</v>
      </c>
    </row>
    <row r="421" spans="1:39">
      <c r="A421" s="389">
        <f t="shared" si="171"/>
        <v>420</v>
      </c>
      <c r="B421" s="395" t="str">
        <f t="shared" si="152"/>
        <v>May 2014</v>
      </c>
      <c r="C421" s="396" t="str">
        <f t="shared" si="153"/>
        <v>LS</v>
      </c>
      <c r="D421" s="396" t="str">
        <f t="shared" si="154"/>
        <v>KUUM_474</v>
      </c>
      <c r="E421" s="394">
        <f t="shared" si="155"/>
        <v>5167</v>
      </c>
      <c r="F421" s="397">
        <v>0</v>
      </c>
      <c r="G421" s="394">
        <f t="shared" si="156"/>
        <v>378907</v>
      </c>
      <c r="H421" s="394">
        <v>0</v>
      </c>
      <c r="I421" s="390">
        <f t="shared" si="157"/>
        <v>17.41</v>
      </c>
      <c r="J421" s="390">
        <f t="shared" si="158"/>
        <v>2.33</v>
      </c>
      <c r="K421" s="391">
        <f t="shared" si="172"/>
        <v>89957.47</v>
      </c>
      <c r="L421" s="398">
        <v>98.65</v>
      </c>
      <c r="M421" s="398">
        <v>0</v>
      </c>
      <c r="N421" s="164">
        <f t="shared" si="151"/>
        <v>90056.12</v>
      </c>
      <c r="O421" s="399">
        <f t="shared" si="159"/>
        <v>90056.12000000001</v>
      </c>
      <c r="P421" s="392">
        <f t="shared" si="173"/>
        <v>1</v>
      </c>
      <c r="Q421" s="164">
        <f t="shared" si="160"/>
        <v>1011.61</v>
      </c>
      <c r="R421" s="164">
        <f t="shared" si="161"/>
        <v>0</v>
      </c>
      <c r="S421" s="164">
        <f t="shared" si="162"/>
        <v>1458.23</v>
      </c>
      <c r="T421" s="164">
        <f t="shared" si="163"/>
        <v>0</v>
      </c>
      <c r="U421" s="164">
        <f t="shared" si="164"/>
        <v>92525.96</v>
      </c>
      <c r="V421" s="393">
        <f t="shared" si="165"/>
        <v>92525.959999999992</v>
      </c>
      <c r="W421" s="393">
        <f t="shared" si="166"/>
        <v>0</v>
      </c>
      <c r="Y421" s="393">
        <f t="shared" si="169"/>
        <v>12039.11</v>
      </c>
      <c r="Z421" s="393">
        <f t="shared" si="170"/>
        <v>78017.010000000009</v>
      </c>
      <c r="AD421" s="395">
        <f>IF(AH421&gt;AH420,AD420,IF(AD420&lt;MiscData!$F$1,EOMONTH(AD420,1),EOMONTH(AD420,-11)))</f>
        <v>41790</v>
      </c>
      <c r="AE421" s="389" t="str">
        <f t="shared" si="167"/>
        <v>20140101KUUM_474</v>
      </c>
      <c r="AF421" s="437" t="str">
        <f t="shared" si="168"/>
        <v>20140101LS</v>
      </c>
      <c r="AG421" s="438"/>
      <c r="AH421" s="34">
        <f>IF(AH420=MiscData!$AB$91,1,AH420+1)</f>
        <v>68</v>
      </c>
      <c r="AI421" s="34">
        <f>IF(AD421&lt;=MiscData!$B$23,MiscData!$C$23,IF(AD421&lt;=MiscData!$B$24,MiscData!$C$24,MiscData!$C$25))</f>
        <v>20140101</v>
      </c>
      <c r="AK421" s="439" t="str">
        <f>VLOOKUP(AM421,MiscData!$AB$4:$ACB$113,2,FALSE)</f>
        <v>KUUM_474</v>
      </c>
      <c r="AL421" s="439" t="str">
        <f>VLOOKUP(AM421,MiscData!$AB$4:$AE$115,4,FALSE)</f>
        <v>LS</v>
      </c>
      <c r="AM421" s="34">
        <f>IF(AM420=MiscData!$AB$91,1,AM420+1)</f>
        <v>68</v>
      </c>
    </row>
    <row r="422" spans="1:39">
      <c r="A422" s="389">
        <f t="shared" si="171"/>
        <v>421</v>
      </c>
      <c r="B422" s="395" t="str">
        <f t="shared" si="152"/>
        <v>May 2014</v>
      </c>
      <c r="C422" s="396" t="str">
        <f t="shared" si="153"/>
        <v>LS</v>
      </c>
      <c r="D422" s="396" t="str">
        <f t="shared" si="154"/>
        <v>KUUM_475</v>
      </c>
      <c r="E422" s="394">
        <f t="shared" si="155"/>
        <v>515</v>
      </c>
      <c r="F422" s="397">
        <v>0</v>
      </c>
      <c r="G422" s="394">
        <f t="shared" si="156"/>
        <v>74515</v>
      </c>
      <c r="H422" s="394">
        <v>0</v>
      </c>
      <c r="I422" s="390">
        <f t="shared" si="157"/>
        <v>24.46</v>
      </c>
      <c r="J422" s="390">
        <f t="shared" si="158"/>
        <v>4.5300000000000011</v>
      </c>
      <c r="K422" s="391">
        <f t="shared" si="172"/>
        <v>12596.9</v>
      </c>
      <c r="L422" s="398">
        <v>0</v>
      </c>
      <c r="M422" s="398">
        <v>0</v>
      </c>
      <c r="N422" s="164">
        <f t="shared" si="151"/>
        <v>12596.9</v>
      </c>
      <c r="O422" s="399">
        <f t="shared" si="159"/>
        <v>12596.9</v>
      </c>
      <c r="P422" s="392">
        <f t="shared" si="173"/>
        <v>1</v>
      </c>
      <c r="Q422" s="164">
        <f t="shared" si="160"/>
        <v>198.01</v>
      </c>
      <c r="R422" s="164">
        <f t="shared" si="161"/>
        <v>0</v>
      </c>
      <c r="S422" s="164">
        <f t="shared" si="162"/>
        <v>204.3</v>
      </c>
      <c r="T422" s="164">
        <f t="shared" si="163"/>
        <v>0</v>
      </c>
      <c r="U422" s="164">
        <f t="shared" si="164"/>
        <v>12999.21</v>
      </c>
      <c r="V422" s="393">
        <f t="shared" si="165"/>
        <v>12999.21</v>
      </c>
      <c r="W422" s="393">
        <f t="shared" si="166"/>
        <v>0</v>
      </c>
      <c r="Y422" s="393">
        <f t="shared" si="169"/>
        <v>2332.9499999999998</v>
      </c>
      <c r="Z422" s="393">
        <f t="shared" si="170"/>
        <v>10263.950000000001</v>
      </c>
      <c r="AD422" s="395">
        <f>IF(AH422&gt;AH421,AD421,IF(AD421&lt;MiscData!$F$1,EOMONTH(AD421,1),EOMONTH(AD421,-11)))</f>
        <v>41790</v>
      </c>
      <c r="AE422" s="389" t="str">
        <f t="shared" si="167"/>
        <v>20140101KUUM_475</v>
      </c>
      <c r="AF422" s="437" t="str">
        <f t="shared" si="168"/>
        <v>20140101LS</v>
      </c>
      <c r="AG422" s="438"/>
      <c r="AH422" s="34">
        <f>IF(AH421=MiscData!$AB$91,1,AH421+1)</f>
        <v>69</v>
      </c>
      <c r="AI422" s="34">
        <f>IF(AD422&lt;=MiscData!$B$23,MiscData!$C$23,IF(AD422&lt;=MiscData!$B$24,MiscData!$C$24,MiscData!$C$25))</f>
        <v>20140101</v>
      </c>
      <c r="AK422" s="439" t="str">
        <f>VLOOKUP(AM422,MiscData!$AB$4:$ACB$113,2,FALSE)</f>
        <v>KUUM_475</v>
      </c>
      <c r="AL422" s="439" t="str">
        <f>VLOOKUP(AM422,MiscData!$AB$4:$AE$115,4,FALSE)</f>
        <v>LS</v>
      </c>
      <c r="AM422" s="34">
        <f>IF(AM421=MiscData!$AB$91,1,AM421+1)</f>
        <v>69</v>
      </c>
    </row>
    <row r="423" spans="1:39">
      <c r="A423" s="389">
        <f t="shared" si="171"/>
        <v>422</v>
      </c>
      <c r="B423" s="395" t="str">
        <f t="shared" si="152"/>
        <v>May 2014</v>
      </c>
      <c r="C423" s="396" t="str">
        <f t="shared" si="153"/>
        <v>LS</v>
      </c>
      <c r="D423" s="396" t="str">
        <f t="shared" si="154"/>
        <v>KUUM_476</v>
      </c>
      <c r="E423" s="394">
        <f t="shared" si="155"/>
        <v>4565</v>
      </c>
      <c r="F423" s="397">
        <v>0</v>
      </c>
      <c r="G423" s="394">
        <f t="shared" si="156"/>
        <v>116639</v>
      </c>
      <c r="H423" s="394">
        <v>0</v>
      </c>
      <c r="I423" s="390">
        <f t="shared" si="157"/>
        <v>16.79</v>
      </c>
      <c r="J423" s="390">
        <f t="shared" si="158"/>
        <v>0.79999999999999893</v>
      </c>
      <c r="K423" s="391">
        <f t="shared" si="172"/>
        <v>76646.350000000006</v>
      </c>
      <c r="L423" s="398">
        <v>-25.74</v>
      </c>
      <c r="M423" s="398">
        <v>0</v>
      </c>
      <c r="N423" s="164">
        <f t="shared" si="151"/>
        <v>76620.61</v>
      </c>
      <c r="O423" s="399">
        <f t="shared" si="159"/>
        <v>76620.61</v>
      </c>
      <c r="P423" s="392">
        <f t="shared" si="173"/>
        <v>1</v>
      </c>
      <c r="Q423" s="164">
        <f t="shared" si="160"/>
        <v>247.97</v>
      </c>
      <c r="R423" s="164">
        <f t="shared" si="161"/>
        <v>0</v>
      </c>
      <c r="S423" s="164">
        <f t="shared" si="162"/>
        <v>941.08</v>
      </c>
      <c r="T423" s="164">
        <f t="shared" si="163"/>
        <v>0</v>
      </c>
      <c r="U423" s="164">
        <f t="shared" si="164"/>
        <v>77809.66</v>
      </c>
      <c r="V423" s="393">
        <f t="shared" si="165"/>
        <v>77809.66</v>
      </c>
      <c r="W423" s="393">
        <f t="shared" si="166"/>
        <v>0</v>
      </c>
      <c r="Y423" s="393">
        <f t="shared" si="169"/>
        <v>3652</v>
      </c>
      <c r="Z423" s="393">
        <f t="shared" si="170"/>
        <v>72968.61</v>
      </c>
      <c r="AD423" s="395">
        <f>IF(AH423&gt;AH422,AD422,IF(AD422&lt;MiscData!$F$1,EOMONTH(AD422,1),EOMONTH(AD422,-11)))</f>
        <v>41790</v>
      </c>
      <c r="AE423" s="389" t="str">
        <f t="shared" si="167"/>
        <v>20140101KUUM_476</v>
      </c>
      <c r="AF423" s="437" t="str">
        <f t="shared" si="168"/>
        <v>20140101LS</v>
      </c>
      <c r="AG423" s="438"/>
      <c r="AH423" s="34">
        <f>IF(AH422=MiscData!$AB$91,1,AH422+1)</f>
        <v>70</v>
      </c>
      <c r="AI423" s="34">
        <f>IF(AD423&lt;=MiscData!$B$23,MiscData!$C$23,IF(AD423&lt;=MiscData!$B$24,MiscData!$C$24,MiscData!$C$25))</f>
        <v>20140101</v>
      </c>
      <c r="AK423" s="439" t="str">
        <f>VLOOKUP(AM423,MiscData!$AB$4:$ACB$113,2,FALSE)</f>
        <v>KUUM_476</v>
      </c>
      <c r="AL423" s="439" t="str">
        <f>VLOOKUP(AM423,MiscData!$AB$4:$AE$115,4,FALSE)</f>
        <v>LS</v>
      </c>
      <c r="AM423" s="34">
        <f>IF(AM422=MiscData!$AB$91,1,AM422+1)</f>
        <v>70</v>
      </c>
    </row>
    <row r="424" spans="1:39">
      <c r="A424" s="389">
        <f t="shared" si="171"/>
        <v>423</v>
      </c>
      <c r="B424" s="395" t="str">
        <f t="shared" si="152"/>
        <v>May 2014</v>
      </c>
      <c r="C424" s="396" t="str">
        <f t="shared" si="153"/>
        <v>LS</v>
      </c>
      <c r="D424" s="396" t="str">
        <f t="shared" si="154"/>
        <v>KUUM_477</v>
      </c>
      <c r="E424" s="394">
        <f t="shared" si="155"/>
        <v>1052</v>
      </c>
      <c r="F424" s="397">
        <v>0</v>
      </c>
      <c r="G424" s="394">
        <f t="shared" si="156"/>
        <v>37197</v>
      </c>
      <c r="H424" s="394">
        <v>-50</v>
      </c>
      <c r="I424" s="390">
        <f t="shared" si="157"/>
        <v>20.97</v>
      </c>
      <c r="J424" s="390">
        <f t="shared" si="158"/>
        <v>1.129999999999999</v>
      </c>
      <c r="K424" s="391">
        <f t="shared" si="172"/>
        <v>22060.44</v>
      </c>
      <c r="L424" s="398">
        <v>0</v>
      </c>
      <c r="M424" s="398">
        <v>0</v>
      </c>
      <c r="N424" s="164">
        <f t="shared" si="151"/>
        <v>22060.44</v>
      </c>
      <c r="O424" s="399">
        <f t="shared" si="159"/>
        <v>22060.44</v>
      </c>
      <c r="P424" s="392">
        <f t="shared" si="173"/>
        <v>1</v>
      </c>
      <c r="Q424" s="164">
        <f t="shared" si="160"/>
        <v>104.36</v>
      </c>
      <c r="R424" s="164">
        <f t="shared" si="161"/>
        <v>0</v>
      </c>
      <c r="S424" s="164">
        <f t="shared" si="162"/>
        <v>374.77</v>
      </c>
      <c r="T424" s="164">
        <f t="shared" si="163"/>
        <v>0</v>
      </c>
      <c r="U424" s="164">
        <f t="shared" si="164"/>
        <v>22539.57</v>
      </c>
      <c r="V424" s="393">
        <f t="shared" si="165"/>
        <v>22539.57</v>
      </c>
      <c r="W424" s="393">
        <f t="shared" si="166"/>
        <v>0</v>
      </c>
      <c r="Y424" s="393">
        <f t="shared" si="169"/>
        <v>1188.76</v>
      </c>
      <c r="Z424" s="393">
        <f t="shared" si="170"/>
        <v>20871.68</v>
      </c>
      <c r="AD424" s="395">
        <f>IF(AH424&gt;AH423,AD423,IF(AD423&lt;MiscData!$F$1,EOMONTH(AD423,1),EOMONTH(AD423,-11)))</f>
        <v>41790</v>
      </c>
      <c r="AE424" s="389" t="str">
        <f t="shared" si="167"/>
        <v>20140101KUUM_477</v>
      </c>
      <c r="AF424" s="437" t="str">
        <f t="shared" si="168"/>
        <v>20140101LS</v>
      </c>
      <c r="AG424" s="438"/>
      <c r="AH424" s="34">
        <f>IF(AH423=MiscData!$AB$91,1,AH423+1)</f>
        <v>71</v>
      </c>
      <c r="AI424" s="34">
        <f>IF(AD424&lt;=MiscData!$B$23,MiscData!$C$23,IF(AD424&lt;=MiscData!$B$24,MiscData!$C$24,MiscData!$C$25))</f>
        <v>20140101</v>
      </c>
      <c r="AK424" s="439" t="str">
        <f>VLOOKUP(AM424,MiscData!$AB$4:$ACB$113,2,FALSE)</f>
        <v>KUUM_477</v>
      </c>
      <c r="AL424" s="439" t="str">
        <f>VLOOKUP(AM424,MiscData!$AB$4:$AE$115,4,FALSE)</f>
        <v>LS</v>
      </c>
      <c r="AM424" s="34">
        <f>IF(AM423=MiscData!$AB$91,1,AM423+1)</f>
        <v>71</v>
      </c>
    </row>
    <row r="425" spans="1:39">
      <c r="A425" s="389">
        <f t="shared" si="171"/>
        <v>424</v>
      </c>
      <c r="B425" s="395" t="str">
        <f t="shared" si="152"/>
        <v>May 2014</v>
      </c>
      <c r="C425" s="396" t="str">
        <f t="shared" si="153"/>
        <v>LS</v>
      </c>
      <c r="D425" s="396" t="str">
        <f t="shared" si="154"/>
        <v>KUUM_478</v>
      </c>
      <c r="E425" s="394">
        <f t="shared" si="155"/>
        <v>1412</v>
      </c>
      <c r="F425" s="397">
        <v>0</v>
      </c>
      <c r="G425" s="394">
        <f t="shared" si="156"/>
        <v>102574</v>
      </c>
      <c r="H425" s="394">
        <v>0</v>
      </c>
      <c r="I425" s="390">
        <f t="shared" si="157"/>
        <v>26.86</v>
      </c>
      <c r="J425" s="390">
        <f t="shared" si="158"/>
        <v>2.3299999999999983</v>
      </c>
      <c r="K425" s="391">
        <f t="shared" si="172"/>
        <v>37926.32</v>
      </c>
      <c r="L425" s="398">
        <v>-72.52</v>
      </c>
      <c r="M425" s="398">
        <v>0</v>
      </c>
      <c r="N425" s="164">
        <f t="shared" si="151"/>
        <v>37853.800000000003</v>
      </c>
      <c r="O425" s="399">
        <f t="shared" si="159"/>
        <v>37853.800000000003</v>
      </c>
      <c r="P425" s="392">
        <f t="shared" si="173"/>
        <v>1</v>
      </c>
      <c r="Q425" s="164">
        <f t="shared" si="160"/>
        <v>301.06</v>
      </c>
      <c r="R425" s="164">
        <f t="shared" si="161"/>
        <v>0</v>
      </c>
      <c r="S425" s="164">
        <f t="shared" si="162"/>
        <v>678.3</v>
      </c>
      <c r="T425" s="164">
        <f t="shared" si="163"/>
        <v>0</v>
      </c>
      <c r="U425" s="164">
        <f t="shared" si="164"/>
        <v>38833.160000000003</v>
      </c>
      <c r="V425" s="393">
        <f t="shared" si="165"/>
        <v>38833.160000000003</v>
      </c>
      <c r="W425" s="393">
        <f t="shared" si="166"/>
        <v>0</v>
      </c>
      <c r="Y425" s="393">
        <f t="shared" si="169"/>
        <v>3289.96</v>
      </c>
      <c r="Z425" s="393">
        <f t="shared" si="170"/>
        <v>34563.840000000004</v>
      </c>
      <c r="AD425" s="395">
        <f>IF(AH425&gt;AH424,AD424,IF(AD424&lt;MiscData!$F$1,EOMONTH(AD424,1),EOMONTH(AD424,-11)))</f>
        <v>41790</v>
      </c>
      <c r="AE425" s="389" t="str">
        <f t="shared" si="167"/>
        <v>20140101KUUM_478</v>
      </c>
      <c r="AF425" s="437" t="str">
        <f t="shared" si="168"/>
        <v>20140101LS</v>
      </c>
      <c r="AG425" s="438"/>
      <c r="AH425" s="34">
        <f>IF(AH424=MiscData!$AB$91,1,AH424+1)</f>
        <v>72</v>
      </c>
      <c r="AI425" s="34">
        <f>IF(AD425&lt;=MiscData!$B$23,MiscData!$C$23,IF(AD425&lt;=MiscData!$B$24,MiscData!$C$24,MiscData!$C$25))</f>
        <v>20140101</v>
      </c>
      <c r="AK425" s="439" t="str">
        <f>VLOOKUP(AM425,MiscData!$AB$4:$ACB$113,2,FALSE)</f>
        <v>KUUM_478</v>
      </c>
      <c r="AL425" s="439" t="str">
        <f>VLOOKUP(AM425,MiscData!$AB$4:$AE$115,4,FALSE)</f>
        <v>LS</v>
      </c>
      <c r="AM425" s="34">
        <f>IF(AM424=MiscData!$AB$91,1,AM424+1)</f>
        <v>72</v>
      </c>
    </row>
    <row r="426" spans="1:39">
      <c r="A426" s="389">
        <f t="shared" si="171"/>
        <v>425</v>
      </c>
      <c r="B426" s="395" t="str">
        <f t="shared" si="152"/>
        <v>May 2014</v>
      </c>
      <c r="C426" s="396" t="str">
        <f t="shared" si="153"/>
        <v>LS</v>
      </c>
      <c r="D426" s="396" t="str">
        <f t="shared" si="154"/>
        <v>KUUM_479</v>
      </c>
      <c r="E426" s="394">
        <f t="shared" si="155"/>
        <v>949</v>
      </c>
      <c r="F426" s="397">
        <v>0</v>
      </c>
      <c r="G426" s="394">
        <f t="shared" si="156"/>
        <v>131393</v>
      </c>
      <c r="H426" s="394">
        <v>0</v>
      </c>
      <c r="I426" s="390">
        <f t="shared" si="157"/>
        <v>33.119999999999997</v>
      </c>
      <c r="J426" s="390">
        <f t="shared" si="158"/>
        <v>4.529999999999994</v>
      </c>
      <c r="K426" s="391">
        <f t="shared" si="172"/>
        <v>31430.880000000001</v>
      </c>
      <c r="L426" s="398">
        <v>-52.99</v>
      </c>
      <c r="M426" s="398">
        <v>0</v>
      </c>
      <c r="N426" s="164">
        <f t="shared" si="151"/>
        <v>31377.89</v>
      </c>
      <c r="O426" s="399">
        <f t="shared" si="159"/>
        <v>31377.89</v>
      </c>
      <c r="P426" s="392">
        <f t="shared" si="173"/>
        <v>1</v>
      </c>
      <c r="Q426" s="164">
        <f t="shared" si="160"/>
        <v>443.36</v>
      </c>
      <c r="R426" s="164">
        <f t="shared" si="161"/>
        <v>0</v>
      </c>
      <c r="S426" s="164">
        <f t="shared" si="162"/>
        <v>657.72</v>
      </c>
      <c r="T426" s="164">
        <f t="shared" si="163"/>
        <v>0</v>
      </c>
      <c r="U426" s="164">
        <f t="shared" si="164"/>
        <v>32478.97</v>
      </c>
      <c r="V426" s="393">
        <f t="shared" si="165"/>
        <v>32478.97</v>
      </c>
      <c r="W426" s="393">
        <f t="shared" si="166"/>
        <v>0</v>
      </c>
      <c r="Y426" s="393">
        <f t="shared" si="169"/>
        <v>4298.97</v>
      </c>
      <c r="Z426" s="393">
        <f t="shared" si="170"/>
        <v>27078.92</v>
      </c>
      <c r="AD426" s="395">
        <f>IF(AH426&gt;AH425,AD425,IF(AD425&lt;MiscData!$F$1,EOMONTH(AD425,1),EOMONTH(AD425,-11)))</f>
        <v>41790</v>
      </c>
      <c r="AE426" s="389" t="str">
        <f t="shared" si="167"/>
        <v>20140101KUUM_479</v>
      </c>
      <c r="AF426" s="437" t="str">
        <f t="shared" si="168"/>
        <v>20140101LS</v>
      </c>
      <c r="AG426" s="438"/>
      <c r="AH426" s="34">
        <f>IF(AH425=MiscData!$AB$91,1,AH425+1)</f>
        <v>73</v>
      </c>
      <c r="AI426" s="34">
        <f>IF(AD426&lt;=MiscData!$B$23,MiscData!$C$23,IF(AD426&lt;=MiscData!$B$24,MiscData!$C$24,MiscData!$C$25))</f>
        <v>20140101</v>
      </c>
      <c r="AK426" s="439" t="str">
        <f>VLOOKUP(AM426,MiscData!$AB$4:$ACB$113,2,FALSE)</f>
        <v>KUUM_479</v>
      </c>
      <c r="AL426" s="439" t="str">
        <f>VLOOKUP(AM426,MiscData!$AB$4:$AE$115,4,FALSE)</f>
        <v>LS</v>
      </c>
      <c r="AM426" s="34">
        <f>IF(AM425=MiscData!$AB$91,1,AM425+1)</f>
        <v>73</v>
      </c>
    </row>
    <row r="427" spans="1:39">
      <c r="A427" s="389">
        <f t="shared" si="171"/>
        <v>426</v>
      </c>
      <c r="B427" s="395" t="str">
        <f t="shared" si="152"/>
        <v>May 2014</v>
      </c>
      <c r="C427" s="396" t="str">
        <f t="shared" si="153"/>
        <v>LS</v>
      </c>
      <c r="D427" s="396" t="str">
        <f t="shared" si="154"/>
        <v>KUUM_486</v>
      </c>
      <c r="E427" s="394">
        <f t="shared" si="155"/>
        <v>0</v>
      </c>
      <c r="F427" s="397">
        <v>0</v>
      </c>
      <c r="G427" s="394">
        <f t="shared" si="156"/>
        <v>0</v>
      </c>
      <c r="H427" s="394">
        <v>0</v>
      </c>
      <c r="I427" s="390">
        <f t="shared" si="157"/>
        <v>0</v>
      </c>
      <c r="J427" s="390">
        <f t="shared" si="158"/>
        <v>0</v>
      </c>
      <c r="K427" s="391">
        <f t="shared" si="172"/>
        <v>0</v>
      </c>
      <c r="L427" s="398">
        <v>0</v>
      </c>
      <c r="M427" s="398">
        <v>0</v>
      </c>
      <c r="N427" s="164">
        <f t="shared" si="151"/>
        <v>0</v>
      </c>
      <c r="O427" s="399">
        <f t="shared" si="159"/>
        <v>0</v>
      </c>
      <c r="P427" s="392">
        <f t="shared" si="173"/>
        <v>1</v>
      </c>
      <c r="Q427" s="164">
        <f t="shared" si="160"/>
        <v>0</v>
      </c>
      <c r="R427" s="164">
        <f t="shared" si="161"/>
        <v>0</v>
      </c>
      <c r="S427" s="164">
        <f t="shared" si="162"/>
        <v>0</v>
      </c>
      <c r="T427" s="164">
        <f t="shared" si="163"/>
        <v>0</v>
      </c>
      <c r="U427" s="164">
        <f t="shared" si="164"/>
        <v>0</v>
      </c>
      <c r="V427" s="393">
        <f t="shared" si="165"/>
        <v>0</v>
      </c>
      <c r="W427" s="393">
        <f t="shared" si="166"/>
        <v>0</v>
      </c>
      <c r="Y427" s="393">
        <f t="shared" si="169"/>
        <v>0</v>
      </c>
      <c r="Z427" s="393">
        <f t="shared" si="170"/>
        <v>0</v>
      </c>
      <c r="AD427" s="395">
        <f>IF(AH427&gt;AH426,AD426,IF(AD426&lt;MiscData!$F$1,EOMONTH(AD426,1),EOMONTH(AD426,-11)))</f>
        <v>41790</v>
      </c>
      <c r="AE427" s="389" t="str">
        <f t="shared" si="167"/>
        <v>20140101KUUM_486</v>
      </c>
      <c r="AF427" s="437" t="str">
        <f t="shared" si="168"/>
        <v>20140101LS</v>
      </c>
      <c r="AG427" s="438"/>
      <c r="AH427" s="34">
        <f>IF(AH426=MiscData!$AB$91,1,AH426+1)</f>
        <v>74</v>
      </c>
      <c r="AI427" s="34">
        <f>IF(AD427&lt;=MiscData!$B$23,MiscData!$C$23,IF(AD427&lt;=MiscData!$B$24,MiscData!$C$24,MiscData!$C$25))</f>
        <v>20140101</v>
      </c>
      <c r="AK427" s="439" t="str">
        <f>VLOOKUP(AM427,MiscData!$AB$4:$ACB$113,2,FALSE)</f>
        <v>KUUM_486</v>
      </c>
      <c r="AL427" s="439" t="str">
        <f>VLOOKUP(AM427,MiscData!$AB$4:$AE$115,4,FALSE)</f>
        <v>LS</v>
      </c>
      <c r="AM427" s="34">
        <f>IF(AM426=MiscData!$AB$91,1,AM426+1)</f>
        <v>74</v>
      </c>
    </row>
    <row r="428" spans="1:39">
      <c r="A428" s="389">
        <f t="shared" si="171"/>
        <v>427</v>
      </c>
      <c r="B428" s="395" t="str">
        <f t="shared" si="152"/>
        <v>May 2014</v>
      </c>
      <c r="C428" s="396" t="str">
        <f t="shared" si="153"/>
        <v>LS</v>
      </c>
      <c r="D428" s="396" t="str">
        <f t="shared" si="154"/>
        <v>KUUM_487</v>
      </c>
      <c r="E428" s="394">
        <f t="shared" si="155"/>
        <v>11163</v>
      </c>
      <c r="F428" s="397">
        <v>-1</v>
      </c>
      <c r="G428" s="394">
        <f t="shared" si="156"/>
        <v>377034</v>
      </c>
      <c r="H428" s="394">
        <v>0</v>
      </c>
      <c r="I428" s="390">
        <f t="shared" si="157"/>
        <v>9</v>
      </c>
      <c r="J428" s="390">
        <f t="shared" si="158"/>
        <v>1.1299999999999999</v>
      </c>
      <c r="K428" s="391">
        <f t="shared" si="172"/>
        <v>100458</v>
      </c>
      <c r="L428" s="398">
        <v>-672.11</v>
      </c>
      <c r="M428" s="398">
        <v>0</v>
      </c>
      <c r="N428" s="164">
        <f t="shared" si="151"/>
        <v>99785.89</v>
      </c>
      <c r="O428" s="399">
        <f t="shared" si="159"/>
        <v>99785.89</v>
      </c>
      <c r="P428" s="392">
        <f t="shared" si="173"/>
        <v>1</v>
      </c>
      <c r="Q428" s="164">
        <f t="shared" si="160"/>
        <v>1320.7</v>
      </c>
      <c r="R428" s="164">
        <f t="shared" si="161"/>
        <v>0</v>
      </c>
      <c r="S428" s="164">
        <f t="shared" si="162"/>
        <v>2205.5500000000002</v>
      </c>
      <c r="T428" s="164">
        <f t="shared" si="163"/>
        <v>0</v>
      </c>
      <c r="U428" s="164">
        <f t="shared" si="164"/>
        <v>103312.14</v>
      </c>
      <c r="V428" s="393">
        <f t="shared" si="165"/>
        <v>103312.14</v>
      </c>
      <c r="W428" s="393">
        <f t="shared" si="166"/>
        <v>0</v>
      </c>
      <c r="Y428" s="393">
        <f t="shared" si="169"/>
        <v>12614.19</v>
      </c>
      <c r="Z428" s="393">
        <f t="shared" si="170"/>
        <v>87171.7</v>
      </c>
      <c r="AD428" s="395">
        <f>IF(AH428&gt;AH427,AD427,IF(AD427&lt;MiscData!$F$1,EOMONTH(AD427,1),EOMONTH(AD427,-11)))</f>
        <v>41790</v>
      </c>
      <c r="AE428" s="389" t="str">
        <f t="shared" si="167"/>
        <v>20140101KUUM_487</v>
      </c>
      <c r="AF428" s="437" t="str">
        <f t="shared" si="168"/>
        <v>20140101LS</v>
      </c>
      <c r="AG428" s="438"/>
      <c r="AH428" s="34">
        <f>IF(AH427=MiscData!$AB$91,1,AH427+1)</f>
        <v>75</v>
      </c>
      <c r="AI428" s="34">
        <f>IF(AD428&lt;=MiscData!$B$23,MiscData!$C$23,IF(AD428&lt;=MiscData!$B$24,MiscData!$C$24,MiscData!$C$25))</f>
        <v>20140101</v>
      </c>
      <c r="AK428" s="439" t="str">
        <f>VLOOKUP(AM428,MiscData!$AB$4:$ACB$113,2,FALSE)</f>
        <v>KUUM_487</v>
      </c>
      <c r="AL428" s="439" t="str">
        <f>VLOOKUP(AM428,MiscData!$AB$4:$AE$115,4,FALSE)</f>
        <v>LS</v>
      </c>
      <c r="AM428" s="34">
        <f>IF(AM427=MiscData!$AB$91,1,AM427+1)</f>
        <v>75</v>
      </c>
    </row>
    <row r="429" spans="1:39">
      <c r="A429" s="389">
        <f t="shared" si="171"/>
        <v>428</v>
      </c>
      <c r="B429" s="395" t="str">
        <f t="shared" si="152"/>
        <v>May 2014</v>
      </c>
      <c r="C429" s="396" t="str">
        <f t="shared" si="153"/>
        <v>LS</v>
      </c>
      <c r="D429" s="396" t="str">
        <f t="shared" si="154"/>
        <v>KUUM_488</v>
      </c>
      <c r="E429" s="394">
        <f t="shared" si="155"/>
        <v>6636</v>
      </c>
      <c r="F429" s="397">
        <v>0</v>
      </c>
      <c r="G429" s="394">
        <f t="shared" si="156"/>
        <v>467243</v>
      </c>
      <c r="H429" s="394">
        <v>0</v>
      </c>
      <c r="I429" s="390">
        <f t="shared" si="157"/>
        <v>13.639999999999999</v>
      </c>
      <c r="J429" s="390">
        <f t="shared" si="158"/>
        <v>2.33</v>
      </c>
      <c r="K429" s="391">
        <f t="shared" si="172"/>
        <v>90515.04</v>
      </c>
      <c r="L429" s="398">
        <v>-393.46</v>
      </c>
      <c r="M429" s="398">
        <v>0</v>
      </c>
      <c r="N429" s="164">
        <f t="shared" si="151"/>
        <v>90121.579999999987</v>
      </c>
      <c r="O429" s="399">
        <f t="shared" si="159"/>
        <v>90121.58</v>
      </c>
      <c r="P429" s="392">
        <f t="shared" si="173"/>
        <v>1</v>
      </c>
      <c r="Q429" s="164">
        <f t="shared" si="160"/>
        <v>1643.81</v>
      </c>
      <c r="R429" s="164">
        <f t="shared" si="161"/>
        <v>0</v>
      </c>
      <c r="S429" s="164">
        <f t="shared" si="162"/>
        <v>1964.71</v>
      </c>
      <c r="T429" s="164">
        <f t="shared" si="163"/>
        <v>0</v>
      </c>
      <c r="U429" s="164">
        <f t="shared" si="164"/>
        <v>93730.1</v>
      </c>
      <c r="V429" s="393">
        <f t="shared" si="165"/>
        <v>93730.099999999991</v>
      </c>
      <c r="W429" s="393">
        <f t="shared" si="166"/>
        <v>0</v>
      </c>
      <c r="Y429" s="393">
        <f t="shared" si="169"/>
        <v>15461.88</v>
      </c>
      <c r="Z429" s="393">
        <f t="shared" si="170"/>
        <v>74659.7</v>
      </c>
      <c r="AD429" s="395">
        <f>IF(AH429&gt;AH428,AD428,IF(AD428&lt;MiscData!$F$1,EOMONTH(AD428,1),EOMONTH(AD428,-11)))</f>
        <v>41790</v>
      </c>
      <c r="AE429" s="389" t="str">
        <f t="shared" si="167"/>
        <v>20140101KUUM_488</v>
      </c>
      <c r="AF429" s="437" t="str">
        <f t="shared" si="168"/>
        <v>20140101LS</v>
      </c>
      <c r="AG429" s="438"/>
      <c r="AH429" s="34">
        <f>IF(AH428=MiscData!$AB$91,1,AH428+1)</f>
        <v>76</v>
      </c>
      <c r="AI429" s="34">
        <f>IF(AD429&lt;=MiscData!$B$23,MiscData!$C$23,IF(AD429&lt;=MiscData!$B$24,MiscData!$C$24,MiscData!$C$25))</f>
        <v>20140101</v>
      </c>
      <c r="AK429" s="439" t="str">
        <f>VLOOKUP(AM429,MiscData!$AB$4:$ACB$113,2,FALSE)</f>
        <v>KUUM_488</v>
      </c>
      <c r="AL429" s="439" t="str">
        <f>VLOOKUP(AM429,MiscData!$AB$4:$AE$115,4,FALSE)</f>
        <v>LS</v>
      </c>
      <c r="AM429" s="34">
        <f>IF(AM428=MiscData!$AB$91,1,AM428+1)</f>
        <v>76</v>
      </c>
    </row>
    <row r="430" spans="1:39">
      <c r="A430" s="389">
        <f t="shared" si="171"/>
        <v>429</v>
      </c>
      <c r="B430" s="395" t="str">
        <f t="shared" si="152"/>
        <v>May 2014</v>
      </c>
      <c r="C430" s="396" t="str">
        <f t="shared" si="153"/>
        <v>LS</v>
      </c>
      <c r="D430" s="396" t="str">
        <f t="shared" si="154"/>
        <v>KUUM_489</v>
      </c>
      <c r="E430" s="394">
        <f t="shared" si="155"/>
        <v>8310</v>
      </c>
      <c r="F430" s="397">
        <v>32</v>
      </c>
      <c r="G430" s="394">
        <f t="shared" si="156"/>
        <v>1154025</v>
      </c>
      <c r="H430" s="394">
        <v>0</v>
      </c>
      <c r="I430" s="390">
        <f t="shared" si="157"/>
        <v>19.46</v>
      </c>
      <c r="J430" s="390">
        <f t="shared" si="158"/>
        <v>4.5300000000000011</v>
      </c>
      <c r="K430" s="391">
        <f t="shared" si="172"/>
        <v>162335.32</v>
      </c>
      <c r="L430" s="398">
        <v>98.72</v>
      </c>
      <c r="M430" s="398">
        <v>0</v>
      </c>
      <c r="N430" s="164">
        <f t="shared" si="151"/>
        <v>162434.04</v>
      </c>
      <c r="O430" s="399">
        <f t="shared" si="159"/>
        <v>162434.04</v>
      </c>
      <c r="P430" s="392">
        <f t="shared" si="173"/>
        <v>1</v>
      </c>
      <c r="Q430" s="164">
        <f t="shared" si="160"/>
        <v>4008.48</v>
      </c>
      <c r="R430" s="164">
        <f t="shared" si="161"/>
        <v>0</v>
      </c>
      <c r="S430" s="164">
        <f t="shared" si="162"/>
        <v>3552.23</v>
      </c>
      <c r="T430" s="164">
        <f t="shared" si="163"/>
        <v>0</v>
      </c>
      <c r="U430" s="164">
        <f t="shared" si="164"/>
        <v>169994.75</v>
      </c>
      <c r="V430" s="393">
        <f t="shared" si="165"/>
        <v>169994.75000000003</v>
      </c>
      <c r="W430" s="393">
        <f t="shared" si="166"/>
        <v>0</v>
      </c>
      <c r="Y430" s="393">
        <f t="shared" si="169"/>
        <v>37644.300000000003</v>
      </c>
      <c r="Z430" s="393">
        <f t="shared" si="170"/>
        <v>124789.74</v>
      </c>
      <c r="AD430" s="395">
        <f>IF(AH430&gt;AH429,AD429,IF(AD429&lt;MiscData!$F$1,EOMONTH(AD429,1),EOMONTH(AD429,-11)))</f>
        <v>41790</v>
      </c>
      <c r="AE430" s="389" t="str">
        <f t="shared" si="167"/>
        <v>20140101KUUM_489</v>
      </c>
      <c r="AF430" s="437" t="str">
        <f t="shared" si="168"/>
        <v>20140101LS</v>
      </c>
      <c r="AG430" s="438"/>
      <c r="AH430" s="34">
        <f>IF(AH429=MiscData!$AB$91,1,AH429+1)</f>
        <v>77</v>
      </c>
      <c r="AI430" s="34">
        <f>IF(AD430&lt;=MiscData!$B$23,MiscData!$C$23,IF(AD430&lt;=MiscData!$B$24,MiscData!$C$24,MiscData!$C$25))</f>
        <v>20140101</v>
      </c>
      <c r="AK430" s="439" t="str">
        <f>VLOOKUP(AM430,MiscData!$AB$4:$ACB$113,2,FALSE)</f>
        <v>KUUM_489</v>
      </c>
      <c r="AL430" s="439" t="str">
        <f>VLOOKUP(AM430,MiscData!$AB$4:$AE$115,4,FALSE)</f>
        <v>LS</v>
      </c>
      <c r="AM430" s="34">
        <f>IF(AM429=MiscData!$AB$91,1,AM429+1)</f>
        <v>77</v>
      </c>
    </row>
    <row r="431" spans="1:39">
      <c r="A431" s="389">
        <f t="shared" si="171"/>
        <v>430</v>
      </c>
      <c r="B431" s="395" t="str">
        <f t="shared" si="152"/>
        <v>May 2014</v>
      </c>
      <c r="C431" s="396" t="str">
        <f t="shared" si="153"/>
        <v>LS</v>
      </c>
      <c r="D431" s="396" t="str">
        <f t="shared" si="154"/>
        <v>KUUM_490</v>
      </c>
      <c r="E431" s="394">
        <f t="shared" si="155"/>
        <v>58</v>
      </c>
      <c r="F431" s="397">
        <v>0</v>
      </c>
      <c r="G431" s="394">
        <f t="shared" si="156"/>
        <v>2608</v>
      </c>
      <c r="H431" s="394">
        <v>0</v>
      </c>
      <c r="I431" s="390">
        <f t="shared" si="157"/>
        <v>15.47</v>
      </c>
      <c r="J431" s="390">
        <f t="shared" si="158"/>
        <v>1.9700000000000006</v>
      </c>
      <c r="K431" s="391">
        <f t="shared" si="172"/>
        <v>897.26</v>
      </c>
      <c r="L431" s="398">
        <v>0</v>
      </c>
      <c r="M431" s="398">
        <v>0</v>
      </c>
      <c r="N431" s="164">
        <f t="shared" si="151"/>
        <v>897.26</v>
      </c>
      <c r="O431" s="399">
        <f t="shared" si="159"/>
        <v>897.26</v>
      </c>
      <c r="P431" s="392">
        <f t="shared" si="173"/>
        <v>1</v>
      </c>
      <c r="Q431" s="164">
        <f t="shared" si="160"/>
        <v>9.24</v>
      </c>
      <c r="R431" s="164">
        <f t="shared" si="161"/>
        <v>0</v>
      </c>
      <c r="S431" s="164">
        <f t="shared" si="162"/>
        <v>19.68</v>
      </c>
      <c r="T431" s="164">
        <f t="shared" si="163"/>
        <v>0</v>
      </c>
      <c r="U431" s="164">
        <f t="shared" si="164"/>
        <v>926.18</v>
      </c>
      <c r="V431" s="393">
        <f t="shared" si="165"/>
        <v>926.18</v>
      </c>
      <c r="W431" s="393">
        <f t="shared" si="166"/>
        <v>0</v>
      </c>
      <c r="Y431" s="393">
        <f t="shared" si="169"/>
        <v>114.26</v>
      </c>
      <c r="Z431" s="393">
        <f t="shared" si="170"/>
        <v>783</v>
      </c>
      <c r="AD431" s="395">
        <f>IF(AH431&gt;AH430,AD430,IF(AD430&lt;MiscData!$F$1,EOMONTH(AD430,1),EOMONTH(AD430,-11)))</f>
        <v>41790</v>
      </c>
      <c r="AE431" s="389" t="str">
        <f t="shared" si="167"/>
        <v>20140101KUUM_490</v>
      </c>
      <c r="AF431" s="437" t="str">
        <f t="shared" si="168"/>
        <v>20140101LS</v>
      </c>
      <c r="AG431" s="438"/>
      <c r="AH431" s="34">
        <f>IF(AH430=MiscData!$AB$91,1,AH430+1)</f>
        <v>78</v>
      </c>
      <c r="AI431" s="34">
        <f>IF(AD431&lt;=MiscData!$B$23,MiscData!$C$23,IF(AD431&lt;=MiscData!$B$24,MiscData!$C$24,MiscData!$C$25))</f>
        <v>20140101</v>
      </c>
      <c r="AK431" s="439" t="str">
        <f>VLOOKUP(AM431,MiscData!$AB$4:$ACB$113,2,FALSE)</f>
        <v>KUUM_490</v>
      </c>
      <c r="AL431" s="439" t="str">
        <f>VLOOKUP(AM431,MiscData!$AB$4:$AE$115,4,FALSE)</f>
        <v>LS</v>
      </c>
      <c r="AM431" s="34">
        <f>IF(AM430=MiscData!$AB$91,1,AM430+1)</f>
        <v>78</v>
      </c>
    </row>
    <row r="432" spans="1:39">
      <c r="A432" s="389">
        <f t="shared" si="171"/>
        <v>431</v>
      </c>
      <c r="B432" s="395" t="str">
        <f t="shared" si="152"/>
        <v>May 2014</v>
      </c>
      <c r="C432" s="396" t="str">
        <f t="shared" si="153"/>
        <v>LS</v>
      </c>
      <c r="D432" s="396" t="str">
        <f t="shared" si="154"/>
        <v>KUUM_491</v>
      </c>
      <c r="E432" s="394">
        <f t="shared" si="155"/>
        <v>295</v>
      </c>
      <c r="F432" s="397">
        <v>0</v>
      </c>
      <c r="G432" s="394">
        <f t="shared" si="156"/>
        <v>30423</v>
      </c>
      <c r="H432" s="394">
        <v>0</v>
      </c>
      <c r="I432" s="390">
        <f t="shared" si="157"/>
        <v>21.930000000000003</v>
      </c>
      <c r="J432" s="390">
        <f t="shared" si="158"/>
        <v>4.2900000000000027</v>
      </c>
      <c r="K432" s="391">
        <f t="shared" si="172"/>
        <v>6469.35</v>
      </c>
      <c r="L432" s="398">
        <v>0</v>
      </c>
      <c r="M432" s="398">
        <v>0</v>
      </c>
      <c r="N432" s="164">
        <f t="shared" si="151"/>
        <v>6469.35</v>
      </c>
      <c r="O432" s="399">
        <f t="shared" si="159"/>
        <v>6469.3499999999995</v>
      </c>
      <c r="P432" s="392">
        <f t="shared" si="173"/>
        <v>1</v>
      </c>
      <c r="Q432" s="164">
        <f t="shared" si="160"/>
        <v>107.23</v>
      </c>
      <c r="R432" s="164">
        <f t="shared" si="161"/>
        <v>0</v>
      </c>
      <c r="S432" s="164">
        <f t="shared" si="162"/>
        <v>142.16</v>
      </c>
      <c r="T432" s="164">
        <f t="shared" si="163"/>
        <v>0</v>
      </c>
      <c r="U432" s="164">
        <f t="shared" si="164"/>
        <v>6718.74</v>
      </c>
      <c r="V432" s="393">
        <f t="shared" si="165"/>
        <v>6718.74</v>
      </c>
      <c r="W432" s="393">
        <f t="shared" si="166"/>
        <v>0</v>
      </c>
      <c r="Y432" s="393">
        <f t="shared" si="169"/>
        <v>1265.55</v>
      </c>
      <c r="Z432" s="393">
        <f t="shared" si="170"/>
        <v>5203.7999999999993</v>
      </c>
      <c r="AD432" s="395">
        <f>IF(AH432&gt;AH431,AD431,IF(AD431&lt;MiscData!$F$1,EOMONTH(AD431,1),EOMONTH(AD431,-11)))</f>
        <v>41790</v>
      </c>
      <c r="AE432" s="389" t="str">
        <f t="shared" si="167"/>
        <v>20140101KUUM_491</v>
      </c>
      <c r="AF432" s="437" t="str">
        <f t="shared" si="168"/>
        <v>20140101LS</v>
      </c>
      <c r="AG432" s="438"/>
      <c r="AH432" s="34">
        <f>IF(AH431=MiscData!$AB$91,1,AH431+1)</f>
        <v>79</v>
      </c>
      <c r="AI432" s="34">
        <f>IF(AD432&lt;=MiscData!$B$23,MiscData!$C$23,IF(AD432&lt;=MiscData!$B$24,MiscData!$C$24,MiscData!$C$25))</f>
        <v>20140101</v>
      </c>
      <c r="AK432" s="439" t="str">
        <f>VLOOKUP(AM432,MiscData!$AB$4:$ACB$113,2,FALSE)</f>
        <v>KUUM_491</v>
      </c>
      <c r="AL432" s="439" t="str">
        <f>VLOOKUP(AM432,MiscData!$AB$4:$AE$115,4,FALSE)</f>
        <v>LS</v>
      </c>
      <c r="AM432" s="34">
        <f>IF(AM431=MiscData!$AB$91,1,AM431+1)</f>
        <v>79</v>
      </c>
    </row>
    <row r="433" spans="1:39">
      <c r="A433" s="389">
        <f t="shared" si="171"/>
        <v>432</v>
      </c>
      <c r="B433" s="395" t="str">
        <f t="shared" si="152"/>
        <v>May 2014</v>
      </c>
      <c r="C433" s="396" t="str">
        <f t="shared" si="153"/>
        <v>LS</v>
      </c>
      <c r="D433" s="396" t="str">
        <f t="shared" si="154"/>
        <v>KUUM_492</v>
      </c>
      <c r="E433" s="394">
        <f t="shared" si="155"/>
        <v>2</v>
      </c>
      <c r="F433" s="397">
        <v>0</v>
      </c>
      <c r="G433" s="394">
        <f t="shared" si="156"/>
        <v>45</v>
      </c>
      <c r="H433" s="394">
        <v>0</v>
      </c>
      <c r="I433" s="390">
        <f t="shared" si="157"/>
        <v>15.370000000000001</v>
      </c>
      <c r="J433" s="390">
        <f t="shared" si="158"/>
        <v>0.80000000000000071</v>
      </c>
      <c r="K433" s="391">
        <f t="shared" si="172"/>
        <v>30.74</v>
      </c>
      <c r="L433" s="398">
        <v>0</v>
      </c>
      <c r="M433" s="398">
        <v>0</v>
      </c>
      <c r="N433" s="164">
        <f t="shared" si="151"/>
        <v>30.74</v>
      </c>
      <c r="O433" s="399">
        <f t="shared" si="159"/>
        <v>30.74</v>
      </c>
      <c r="P433" s="392">
        <f t="shared" si="173"/>
        <v>1</v>
      </c>
      <c r="Q433" s="164">
        <f t="shared" si="160"/>
        <v>0.16</v>
      </c>
      <c r="R433" s="164">
        <f t="shared" si="161"/>
        <v>0</v>
      </c>
      <c r="S433" s="164">
        <f t="shared" si="162"/>
        <v>0.68</v>
      </c>
      <c r="T433" s="164">
        <f t="shared" si="163"/>
        <v>0</v>
      </c>
      <c r="U433" s="164">
        <f t="shared" si="164"/>
        <v>31.58</v>
      </c>
      <c r="V433" s="393">
        <f t="shared" si="165"/>
        <v>31.58</v>
      </c>
      <c r="W433" s="393">
        <f t="shared" si="166"/>
        <v>0</v>
      </c>
      <c r="Y433" s="393">
        <f t="shared" si="169"/>
        <v>1.6</v>
      </c>
      <c r="Z433" s="393">
        <f t="shared" si="170"/>
        <v>29.139999999999997</v>
      </c>
      <c r="AD433" s="395">
        <f>IF(AH433&gt;AH432,AD432,IF(AD432&lt;MiscData!$F$1,EOMONTH(AD432,1),EOMONTH(AD432,-11)))</f>
        <v>41790</v>
      </c>
      <c r="AE433" s="389" t="str">
        <f t="shared" si="167"/>
        <v>20140101KUUM_492</v>
      </c>
      <c r="AF433" s="437" t="str">
        <f t="shared" si="168"/>
        <v>20140101LS</v>
      </c>
      <c r="AG433" s="438"/>
      <c r="AH433" s="34">
        <f>IF(AH432=MiscData!$AB$91,1,AH432+1)</f>
        <v>80</v>
      </c>
      <c r="AI433" s="34">
        <f>IF(AD433&lt;=MiscData!$B$23,MiscData!$C$23,IF(AD433&lt;=MiscData!$B$24,MiscData!$C$24,MiscData!$C$25))</f>
        <v>20140101</v>
      </c>
      <c r="AK433" s="439" t="str">
        <f>VLOOKUP(AM433,MiscData!$AB$4:$ACB$113,2,FALSE)</f>
        <v>KUUM_492</v>
      </c>
      <c r="AL433" s="439" t="str">
        <f>VLOOKUP(AM433,MiscData!$AB$4:$AE$115,4,FALSE)</f>
        <v>LS</v>
      </c>
      <c r="AM433" s="34">
        <f>IF(AM432=MiscData!$AB$91,1,AM432+1)</f>
        <v>80</v>
      </c>
    </row>
    <row r="434" spans="1:39">
      <c r="A434" s="389">
        <f t="shared" si="171"/>
        <v>433</v>
      </c>
      <c r="B434" s="395" t="str">
        <f t="shared" si="152"/>
        <v>May 2014</v>
      </c>
      <c r="C434" s="396" t="str">
        <f t="shared" si="153"/>
        <v>LS</v>
      </c>
      <c r="D434" s="396" t="str">
        <f t="shared" si="154"/>
        <v>KUUM_493</v>
      </c>
      <c r="E434" s="394">
        <f t="shared" si="155"/>
        <v>43</v>
      </c>
      <c r="F434" s="397">
        <v>0</v>
      </c>
      <c r="G434" s="394">
        <f t="shared" si="156"/>
        <v>13934</v>
      </c>
      <c r="H434" s="394">
        <v>0</v>
      </c>
      <c r="I434" s="390">
        <f t="shared" si="157"/>
        <v>45.7</v>
      </c>
      <c r="J434" s="390">
        <f t="shared" si="158"/>
        <v>10.409999999999997</v>
      </c>
      <c r="K434" s="391">
        <f t="shared" si="172"/>
        <v>1965.1</v>
      </c>
      <c r="L434" s="398">
        <v>0</v>
      </c>
      <c r="M434" s="398">
        <v>0</v>
      </c>
      <c r="N434" s="164">
        <f t="shared" si="151"/>
        <v>1965.1</v>
      </c>
      <c r="O434" s="399">
        <f t="shared" si="159"/>
        <v>1965.1</v>
      </c>
      <c r="P434" s="392">
        <f t="shared" si="173"/>
        <v>1</v>
      </c>
      <c r="Q434" s="164">
        <f t="shared" si="160"/>
        <v>49.73</v>
      </c>
      <c r="R434" s="164">
        <f t="shared" si="161"/>
        <v>0</v>
      </c>
      <c r="S434" s="164">
        <f t="shared" si="162"/>
        <v>44.12</v>
      </c>
      <c r="T434" s="164">
        <f t="shared" si="163"/>
        <v>0</v>
      </c>
      <c r="U434" s="164">
        <f t="shared" si="164"/>
        <v>2058.9499999999998</v>
      </c>
      <c r="V434" s="393">
        <f t="shared" si="165"/>
        <v>2058.9499999999998</v>
      </c>
      <c r="W434" s="393">
        <f t="shared" si="166"/>
        <v>0</v>
      </c>
      <c r="Y434" s="393">
        <f t="shared" si="169"/>
        <v>447.63</v>
      </c>
      <c r="Z434" s="393">
        <f t="shared" si="170"/>
        <v>1517.4699999999998</v>
      </c>
      <c r="AD434" s="395">
        <f>IF(AH434&gt;AH433,AD433,IF(AD433&lt;MiscData!$F$1,EOMONTH(AD433,1),EOMONTH(AD433,-11)))</f>
        <v>41790</v>
      </c>
      <c r="AE434" s="389" t="str">
        <f t="shared" si="167"/>
        <v>20140101KUUM_493</v>
      </c>
      <c r="AF434" s="437" t="str">
        <f t="shared" si="168"/>
        <v>20140101LS</v>
      </c>
      <c r="AG434" s="438"/>
      <c r="AH434" s="34">
        <f>IF(AH433=MiscData!$AB$91,1,AH433+1)</f>
        <v>81</v>
      </c>
      <c r="AI434" s="34">
        <f>IF(AD434&lt;=MiscData!$B$23,MiscData!$C$23,IF(AD434&lt;=MiscData!$B$24,MiscData!$C$24,MiscData!$C$25))</f>
        <v>20140101</v>
      </c>
      <c r="AK434" s="439" t="str">
        <f>VLOOKUP(AM434,MiscData!$AB$4:$ACB$113,2,FALSE)</f>
        <v>KUUM_493</v>
      </c>
      <c r="AL434" s="439" t="str">
        <f>VLOOKUP(AM434,MiscData!$AB$4:$AE$115,4,FALSE)</f>
        <v>LS</v>
      </c>
      <c r="AM434" s="34">
        <f>IF(AM433=MiscData!$AB$91,1,AM433+1)</f>
        <v>81</v>
      </c>
    </row>
    <row r="435" spans="1:39">
      <c r="A435" s="389">
        <f t="shared" si="171"/>
        <v>434</v>
      </c>
      <c r="B435" s="395" t="str">
        <f t="shared" si="152"/>
        <v>May 2014</v>
      </c>
      <c r="C435" s="396" t="str">
        <f t="shared" si="153"/>
        <v>LS</v>
      </c>
      <c r="D435" s="396" t="str">
        <f t="shared" si="154"/>
        <v>KUUM_494</v>
      </c>
      <c r="E435" s="394">
        <f t="shared" si="155"/>
        <v>168</v>
      </c>
      <c r="F435" s="397">
        <v>0</v>
      </c>
      <c r="G435" s="394">
        <f t="shared" si="156"/>
        <v>7629</v>
      </c>
      <c r="H435" s="394">
        <v>0</v>
      </c>
      <c r="I435" s="390">
        <f t="shared" si="157"/>
        <v>28.37</v>
      </c>
      <c r="J435" s="390">
        <f t="shared" si="158"/>
        <v>1.9699999999999989</v>
      </c>
      <c r="K435" s="391">
        <f t="shared" si="172"/>
        <v>4766.16</v>
      </c>
      <c r="L435" s="398">
        <v>0</v>
      </c>
      <c r="M435" s="398">
        <v>0</v>
      </c>
      <c r="N435" s="164">
        <f t="shared" si="151"/>
        <v>4766.16</v>
      </c>
      <c r="O435" s="399">
        <f t="shared" si="159"/>
        <v>4766.1600000000008</v>
      </c>
      <c r="P435" s="392">
        <f t="shared" si="173"/>
        <v>1</v>
      </c>
      <c r="Q435" s="164">
        <f t="shared" si="160"/>
        <v>25.07</v>
      </c>
      <c r="R435" s="164">
        <f t="shared" si="161"/>
        <v>0</v>
      </c>
      <c r="S435" s="164">
        <f t="shared" si="162"/>
        <v>96.37</v>
      </c>
      <c r="T435" s="164">
        <f t="shared" si="163"/>
        <v>0</v>
      </c>
      <c r="U435" s="164">
        <f t="shared" si="164"/>
        <v>4887.6000000000004</v>
      </c>
      <c r="V435" s="393">
        <f t="shared" si="165"/>
        <v>4887.5999999999995</v>
      </c>
      <c r="W435" s="393">
        <f t="shared" si="166"/>
        <v>0</v>
      </c>
      <c r="Y435" s="393">
        <f t="shared" si="169"/>
        <v>330.96</v>
      </c>
      <c r="Z435" s="393">
        <f t="shared" si="170"/>
        <v>4435.2000000000007</v>
      </c>
      <c r="AD435" s="395">
        <f>IF(AH435&gt;AH434,AD434,IF(AD434&lt;MiscData!$F$1,EOMONTH(AD434,1),EOMONTH(AD434,-11)))</f>
        <v>41790</v>
      </c>
      <c r="AE435" s="389" t="str">
        <f t="shared" si="167"/>
        <v>20140101KUUM_494</v>
      </c>
      <c r="AF435" s="437" t="str">
        <f t="shared" si="168"/>
        <v>20140101LS</v>
      </c>
      <c r="AG435" s="438"/>
      <c r="AH435" s="34">
        <f>IF(AH434=MiscData!$AB$91,1,AH434+1)</f>
        <v>82</v>
      </c>
      <c r="AI435" s="34">
        <f>IF(AD435&lt;=MiscData!$B$23,MiscData!$C$23,IF(AD435&lt;=MiscData!$B$24,MiscData!$C$24,MiscData!$C$25))</f>
        <v>20140101</v>
      </c>
      <c r="AK435" s="439" t="str">
        <f>VLOOKUP(AM435,MiscData!$AB$4:$ACB$113,2,FALSE)</f>
        <v>KUUM_494</v>
      </c>
      <c r="AL435" s="439" t="str">
        <f>VLOOKUP(AM435,MiscData!$AB$4:$AE$115,4,FALSE)</f>
        <v>LS</v>
      </c>
      <c r="AM435" s="34">
        <f>IF(AM434=MiscData!$AB$91,1,AM434+1)</f>
        <v>82</v>
      </c>
    </row>
    <row r="436" spans="1:39">
      <c r="A436" s="389">
        <f t="shared" si="171"/>
        <v>435</v>
      </c>
      <c r="B436" s="395" t="str">
        <f t="shared" si="152"/>
        <v>May 2014</v>
      </c>
      <c r="C436" s="396" t="str">
        <f t="shared" si="153"/>
        <v>LS</v>
      </c>
      <c r="D436" s="396" t="str">
        <f t="shared" si="154"/>
        <v>KUUM_495</v>
      </c>
      <c r="E436" s="394">
        <f t="shared" si="155"/>
        <v>621</v>
      </c>
      <c r="F436" s="397">
        <v>0</v>
      </c>
      <c r="G436" s="394">
        <f t="shared" si="156"/>
        <v>63234</v>
      </c>
      <c r="H436" s="394">
        <v>0</v>
      </c>
      <c r="I436" s="390">
        <f t="shared" si="157"/>
        <v>34.830000000000005</v>
      </c>
      <c r="J436" s="390">
        <f t="shared" si="158"/>
        <v>4.2899999999999991</v>
      </c>
      <c r="K436" s="391">
        <f t="shared" si="172"/>
        <v>21629.43</v>
      </c>
      <c r="L436" s="398">
        <v>-116.39</v>
      </c>
      <c r="M436" s="398">
        <v>0</v>
      </c>
      <c r="N436" s="164">
        <f t="shared" si="151"/>
        <v>21513.040000000001</v>
      </c>
      <c r="O436" s="399">
        <f t="shared" si="159"/>
        <v>21513.040000000001</v>
      </c>
      <c r="P436" s="392">
        <f t="shared" si="173"/>
        <v>1</v>
      </c>
      <c r="Q436" s="164">
        <f t="shared" si="160"/>
        <v>224.81</v>
      </c>
      <c r="R436" s="164">
        <f t="shared" si="161"/>
        <v>0</v>
      </c>
      <c r="S436" s="164">
        <f t="shared" si="162"/>
        <v>473.95</v>
      </c>
      <c r="T436" s="164">
        <f t="shared" si="163"/>
        <v>0</v>
      </c>
      <c r="U436" s="164">
        <f t="shared" si="164"/>
        <v>22211.8</v>
      </c>
      <c r="V436" s="393">
        <f t="shared" si="165"/>
        <v>22211.800000000003</v>
      </c>
      <c r="W436" s="393">
        <f t="shared" si="166"/>
        <v>0</v>
      </c>
      <c r="Y436" s="393">
        <f t="shared" si="169"/>
        <v>2664.09</v>
      </c>
      <c r="Z436" s="393">
        <f t="shared" si="170"/>
        <v>18848.95</v>
      </c>
      <c r="AD436" s="395">
        <f>IF(AH436&gt;AH435,AD435,IF(AD435&lt;MiscData!$F$1,EOMONTH(AD435,1),EOMONTH(AD435,-11)))</f>
        <v>41790</v>
      </c>
      <c r="AE436" s="389" t="str">
        <f t="shared" si="167"/>
        <v>20140101KUUM_495</v>
      </c>
      <c r="AF436" s="437" t="str">
        <f t="shared" si="168"/>
        <v>20140101LS</v>
      </c>
      <c r="AG436" s="438"/>
      <c r="AH436" s="34">
        <f>IF(AH435=MiscData!$AB$91,1,AH435+1)</f>
        <v>83</v>
      </c>
      <c r="AI436" s="34">
        <f>IF(AD436&lt;=MiscData!$B$23,MiscData!$C$23,IF(AD436&lt;=MiscData!$B$24,MiscData!$C$24,MiscData!$C$25))</f>
        <v>20140101</v>
      </c>
      <c r="AK436" s="439" t="str">
        <f>VLOOKUP(AM436,MiscData!$AB$4:$ACB$113,2,FALSE)</f>
        <v>KUUM_495</v>
      </c>
      <c r="AL436" s="439" t="str">
        <f>VLOOKUP(AM436,MiscData!$AB$4:$AE$115,4,FALSE)</f>
        <v>LS</v>
      </c>
      <c r="AM436" s="34">
        <f>IF(AM435=MiscData!$AB$91,1,AM435+1)</f>
        <v>83</v>
      </c>
    </row>
    <row r="437" spans="1:39">
      <c r="A437" s="389">
        <f t="shared" si="171"/>
        <v>436</v>
      </c>
      <c r="B437" s="395" t="str">
        <f t="shared" si="152"/>
        <v>May 2014</v>
      </c>
      <c r="C437" s="396" t="str">
        <f t="shared" si="153"/>
        <v>LS</v>
      </c>
      <c r="D437" s="396" t="str">
        <f t="shared" si="154"/>
        <v>KUUM_496</v>
      </c>
      <c r="E437" s="394">
        <f t="shared" si="155"/>
        <v>154</v>
      </c>
      <c r="F437" s="397">
        <v>0</v>
      </c>
      <c r="G437" s="394">
        <f t="shared" si="156"/>
        <v>48358</v>
      </c>
      <c r="H437" s="394">
        <v>0</v>
      </c>
      <c r="I437" s="390">
        <f t="shared" si="157"/>
        <v>58.59</v>
      </c>
      <c r="J437" s="390">
        <f t="shared" si="158"/>
        <v>10.409999999999997</v>
      </c>
      <c r="K437" s="391">
        <f t="shared" si="172"/>
        <v>9022.86</v>
      </c>
      <c r="L437" s="398">
        <v>0</v>
      </c>
      <c r="M437" s="398">
        <v>0</v>
      </c>
      <c r="N437" s="164">
        <f t="shared" si="151"/>
        <v>9022.86</v>
      </c>
      <c r="O437" s="399">
        <f t="shared" si="159"/>
        <v>9022.86</v>
      </c>
      <c r="P437" s="392">
        <f t="shared" si="173"/>
        <v>1</v>
      </c>
      <c r="Q437" s="164">
        <f t="shared" si="160"/>
        <v>168.27</v>
      </c>
      <c r="R437" s="164">
        <f t="shared" si="161"/>
        <v>0</v>
      </c>
      <c r="S437" s="164">
        <f t="shared" si="162"/>
        <v>196.14</v>
      </c>
      <c r="T437" s="164">
        <f t="shared" si="163"/>
        <v>0</v>
      </c>
      <c r="U437" s="164">
        <f t="shared" si="164"/>
        <v>9387.27</v>
      </c>
      <c r="V437" s="393">
        <f t="shared" si="165"/>
        <v>9387.27</v>
      </c>
      <c r="W437" s="393">
        <f t="shared" si="166"/>
        <v>0</v>
      </c>
      <c r="Y437" s="393">
        <f t="shared" si="169"/>
        <v>1603.14</v>
      </c>
      <c r="Z437" s="393">
        <f t="shared" si="170"/>
        <v>7419.72</v>
      </c>
      <c r="AD437" s="395">
        <f>IF(AH437&gt;AH436,AD436,IF(AD436&lt;MiscData!$F$1,EOMONTH(AD436,1),EOMONTH(AD436,-11)))</f>
        <v>41790</v>
      </c>
      <c r="AE437" s="389" t="str">
        <f t="shared" si="167"/>
        <v>20140101KUUM_496</v>
      </c>
      <c r="AF437" s="437" t="str">
        <f t="shared" si="168"/>
        <v>20140101LS</v>
      </c>
      <c r="AG437" s="438"/>
      <c r="AH437" s="34">
        <f>IF(AH436=MiscData!$AB$91,1,AH436+1)</f>
        <v>84</v>
      </c>
      <c r="AI437" s="34">
        <f>IF(AD437&lt;=MiscData!$B$23,MiscData!$C$23,IF(AD437&lt;=MiscData!$B$24,MiscData!$C$24,MiscData!$C$25))</f>
        <v>20140101</v>
      </c>
      <c r="AK437" s="439" t="str">
        <f>VLOOKUP(AM437,MiscData!$AB$4:$ACB$113,2,FALSE)</f>
        <v>KUUM_496</v>
      </c>
      <c r="AL437" s="439" t="str">
        <f>VLOOKUP(AM437,MiscData!$AB$4:$AE$115,4,FALSE)</f>
        <v>LS</v>
      </c>
      <c r="AM437" s="34">
        <f>IF(AM436=MiscData!$AB$91,1,AM436+1)</f>
        <v>84</v>
      </c>
    </row>
    <row r="438" spans="1:39">
      <c r="A438" s="389">
        <f t="shared" si="171"/>
        <v>437</v>
      </c>
      <c r="B438" s="395" t="str">
        <f t="shared" si="152"/>
        <v>May 2014</v>
      </c>
      <c r="C438" s="396" t="str">
        <f t="shared" si="153"/>
        <v>LS</v>
      </c>
      <c r="D438" s="396" t="str">
        <f t="shared" si="154"/>
        <v>KUUM_497</v>
      </c>
      <c r="E438" s="394">
        <f t="shared" si="155"/>
        <v>10</v>
      </c>
      <c r="F438" s="397">
        <v>0</v>
      </c>
      <c r="G438" s="394">
        <f t="shared" si="156"/>
        <v>325</v>
      </c>
      <c r="H438" s="394">
        <v>0</v>
      </c>
      <c r="I438" s="390">
        <f t="shared" si="157"/>
        <v>15.35</v>
      </c>
      <c r="J438" s="390">
        <f t="shared" si="158"/>
        <v>1.1300000000000008</v>
      </c>
      <c r="K438" s="391">
        <f t="shared" si="172"/>
        <v>153.5</v>
      </c>
      <c r="L438" s="398">
        <v>0</v>
      </c>
      <c r="M438" s="398">
        <v>0</v>
      </c>
      <c r="N438" s="164">
        <f t="shared" si="151"/>
        <v>153.5</v>
      </c>
      <c r="O438" s="399">
        <f t="shared" si="159"/>
        <v>153.5</v>
      </c>
      <c r="P438" s="392">
        <f t="shared" si="173"/>
        <v>1</v>
      </c>
      <c r="Q438" s="164">
        <f t="shared" si="160"/>
        <v>1.1499999999999999</v>
      </c>
      <c r="R438" s="164">
        <f t="shared" si="161"/>
        <v>0</v>
      </c>
      <c r="S438" s="164">
        <f t="shared" si="162"/>
        <v>3.39</v>
      </c>
      <c r="T438" s="164">
        <f t="shared" si="163"/>
        <v>0</v>
      </c>
      <c r="U438" s="164">
        <f t="shared" si="164"/>
        <v>158.04</v>
      </c>
      <c r="V438" s="393">
        <f t="shared" si="165"/>
        <v>158.04</v>
      </c>
      <c r="W438" s="393">
        <f t="shared" si="166"/>
        <v>0</v>
      </c>
      <c r="Y438" s="393">
        <f t="shared" si="169"/>
        <v>11.3</v>
      </c>
      <c r="Z438" s="393">
        <f t="shared" si="170"/>
        <v>142.19999999999999</v>
      </c>
      <c r="AD438" s="395">
        <f>IF(AH438&gt;AH437,AD437,IF(AD437&lt;MiscData!$F$1,EOMONTH(AD437,1),EOMONTH(AD437,-11)))</f>
        <v>41790</v>
      </c>
      <c r="AE438" s="389" t="str">
        <f t="shared" si="167"/>
        <v>20140101KUUM_497</v>
      </c>
      <c r="AF438" s="437" t="str">
        <f t="shared" si="168"/>
        <v>20140101LS</v>
      </c>
      <c r="AG438" s="438"/>
      <c r="AH438" s="34">
        <f>IF(AH437=MiscData!$AB$91,1,AH437+1)</f>
        <v>85</v>
      </c>
      <c r="AI438" s="34">
        <f>IF(AD438&lt;=MiscData!$B$23,MiscData!$C$23,IF(AD438&lt;=MiscData!$B$24,MiscData!$C$24,MiscData!$C$25))</f>
        <v>20140101</v>
      </c>
      <c r="AK438" s="439" t="str">
        <f>VLOOKUP(AM438,MiscData!$AB$4:$ACB$113,2,FALSE)</f>
        <v>KUUM_497</v>
      </c>
      <c r="AL438" s="439" t="str">
        <f>VLOOKUP(AM438,MiscData!$AB$4:$AE$115,4,FALSE)</f>
        <v>LS</v>
      </c>
      <c r="AM438" s="34">
        <f>IF(AM437=MiscData!$AB$91,1,AM437+1)</f>
        <v>85</v>
      </c>
    </row>
    <row r="439" spans="1:39">
      <c r="A439" s="389">
        <f t="shared" si="171"/>
        <v>438</v>
      </c>
      <c r="B439" s="395" t="str">
        <f t="shared" si="152"/>
        <v>May 2014</v>
      </c>
      <c r="C439" s="396" t="str">
        <f t="shared" si="153"/>
        <v>LS</v>
      </c>
      <c r="D439" s="396" t="str">
        <f t="shared" si="154"/>
        <v>KUUM_498</v>
      </c>
      <c r="E439" s="394">
        <f t="shared" si="155"/>
        <v>24</v>
      </c>
      <c r="F439" s="397">
        <v>0</v>
      </c>
      <c r="G439" s="394">
        <f t="shared" si="156"/>
        <v>1763</v>
      </c>
      <c r="H439" s="394">
        <v>0</v>
      </c>
      <c r="I439" s="390">
        <f t="shared" si="157"/>
        <v>17.72</v>
      </c>
      <c r="J439" s="390">
        <f t="shared" si="158"/>
        <v>2.33</v>
      </c>
      <c r="K439" s="391">
        <f t="shared" si="172"/>
        <v>425.28</v>
      </c>
      <c r="L439" s="398">
        <v>0</v>
      </c>
      <c r="M439" s="398">
        <v>0</v>
      </c>
      <c r="N439" s="164">
        <f t="shared" si="151"/>
        <v>425.28</v>
      </c>
      <c r="O439" s="399">
        <f t="shared" si="159"/>
        <v>425.28000000000003</v>
      </c>
      <c r="P439" s="392">
        <f t="shared" si="173"/>
        <v>1</v>
      </c>
      <c r="Q439" s="164">
        <f t="shared" si="160"/>
        <v>6.31</v>
      </c>
      <c r="R439" s="164">
        <f t="shared" si="161"/>
        <v>0</v>
      </c>
      <c r="S439" s="164">
        <f t="shared" si="162"/>
        <v>9.4499999999999993</v>
      </c>
      <c r="T439" s="164">
        <f t="shared" si="163"/>
        <v>0</v>
      </c>
      <c r="U439" s="164">
        <f t="shared" si="164"/>
        <v>441.04</v>
      </c>
      <c r="V439" s="393">
        <f t="shared" si="165"/>
        <v>441.03999999999996</v>
      </c>
      <c r="W439" s="393">
        <f t="shared" si="166"/>
        <v>0</v>
      </c>
      <c r="Y439" s="393">
        <f t="shared" si="169"/>
        <v>55.92</v>
      </c>
      <c r="Z439" s="393">
        <f t="shared" si="170"/>
        <v>369.36</v>
      </c>
      <c r="AD439" s="395">
        <f>IF(AH439&gt;AH438,AD438,IF(AD438&lt;MiscData!$F$1,EOMONTH(AD438,1),EOMONTH(AD438,-11)))</f>
        <v>41790</v>
      </c>
      <c r="AE439" s="389" t="str">
        <f t="shared" si="167"/>
        <v>20140101KUUM_498</v>
      </c>
      <c r="AF439" s="437" t="str">
        <f t="shared" si="168"/>
        <v>20140101LS</v>
      </c>
      <c r="AG439" s="438"/>
      <c r="AH439" s="34">
        <f>IF(AH438=MiscData!$AB$91,1,AH438+1)</f>
        <v>86</v>
      </c>
      <c r="AI439" s="34">
        <f>IF(AD439&lt;=MiscData!$B$23,MiscData!$C$23,IF(AD439&lt;=MiscData!$B$24,MiscData!$C$24,MiscData!$C$25))</f>
        <v>20140101</v>
      </c>
      <c r="AK439" s="439" t="str">
        <f>VLOOKUP(AM439,MiscData!$AB$4:$ACB$113,2,FALSE)</f>
        <v>KUUM_498</v>
      </c>
      <c r="AL439" s="439" t="str">
        <f>VLOOKUP(AM439,MiscData!$AB$4:$AE$115,4,FALSE)</f>
        <v>LS</v>
      </c>
      <c r="AM439" s="34">
        <f>IF(AM438=MiscData!$AB$91,1,AM438+1)</f>
        <v>86</v>
      </c>
    </row>
    <row r="440" spans="1:39">
      <c r="A440" s="389">
        <f t="shared" si="171"/>
        <v>439</v>
      </c>
      <c r="B440" s="395" t="str">
        <f t="shared" si="152"/>
        <v>May 2014</v>
      </c>
      <c r="C440" s="396" t="str">
        <f t="shared" si="153"/>
        <v>LS</v>
      </c>
      <c r="D440" s="396" t="str">
        <f t="shared" si="154"/>
        <v>KUUM_499</v>
      </c>
      <c r="E440" s="394">
        <f t="shared" si="155"/>
        <v>24</v>
      </c>
      <c r="F440" s="397">
        <v>0</v>
      </c>
      <c r="G440" s="394">
        <f t="shared" si="156"/>
        <v>3265</v>
      </c>
      <c r="H440" s="394">
        <v>0</v>
      </c>
      <c r="I440" s="390">
        <f t="shared" si="157"/>
        <v>21.490000000000002</v>
      </c>
      <c r="J440" s="390">
        <f t="shared" si="158"/>
        <v>4.5300000000000011</v>
      </c>
      <c r="K440" s="391">
        <f t="shared" si="172"/>
        <v>515.76</v>
      </c>
      <c r="L440" s="398">
        <v>0</v>
      </c>
      <c r="M440" s="398">
        <v>0</v>
      </c>
      <c r="N440" s="164">
        <f t="shared" ref="N440:N503" si="174">SUM(K440:M440)</f>
        <v>515.76</v>
      </c>
      <c r="O440" s="399">
        <f t="shared" si="159"/>
        <v>515.76</v>
      </c>
      <c r="P440" s="392">
        <f t="shared" si="173"/>
        <v>1</v>
      </c>
      <c r="Q440" s="164">
        <f t="shared" si="160"/>
        <v>11.44</v>
      </c>
      <c r="R440" s="164">
        <f t="shared" si="161"/>
        <v>0</v>
      </c>
      <c r="S440" s="164">
        <f t="shared" si="162"/>
        <v>11.34</v>
      </c>
      <c r="T440" s="164">
        <f t="shared" si="163"/>
        <v>0</v>
      </c>
      <c r="U440" s="164">
        <f t="shared" si="164"/>
        <v>538.54</v>
      </c>
      <c r="V440" s="393">
        <f t="shared" si="165"/>
        <v>538.54000000000008</v>
      </c>
      <c r="W440" s="393">
        <f t="shared" si="166"/>
        <v>0</v>
      </c>
      <c r="Y440" s="393">
        <f t="shared" si="169"/>
        <v>108.72</v>
      </c>
      <c r="Z440" s="393">
        <f t="shared" si="170"/>
        <v>407.03999999999996</v>
      </c>
      <c r="AD440" s="395">
        <f>IF(AH440&gt;AH439,AD439,IF(AD439&lt;MiscData!$F$1,EOMONTH(AD439,1),EOMONTH(AD439,-11)))</f>
        <v>41790</v>
      </c>
      <c r="AE440" s="389" t="str">
        <f t="shared" si="167"/>
        <v>20140101KUUM_499</v>
      </c>
      <c r="AF440" s="437" t="str">
        <f t="shared" si="168"/>
        <v>20140101LS</v>
      </c>
      <c r="AG440" s="438"/>
      <c r="AH440" s="34">
        <f>IF(AH439=MiscData!$AB$91,1,AH439+1)</f>
        <v>87</v>
      </c>
      <c r="AI440" s="34">
        <f>IF(AD440&lt;=MiscData!$B$23,MiscData!$C$23,IF(AD440&lt;=MiscData!$B$24,MiscData!$C$24,MiscData!$C$25))</f>
        <v>20140101</v>
      </c>
      <c r="AK440" s="439" t="str">
        <f>VLOOKUP(AM440,MiscData!$AB$4:$ACB$113,2,FALSE)</f>
        <v>KUUM_499</v>
      </c>
      <c r="AL440" s="439" t="str">
        <f>VLOOKUP(AM440,MiscData!$AB$4:$AE$115,4,FALSE)</f>
        <v>LS</v>
      </c>
      <c r="AM440" s="34">
        <f>IF(AM439=MiscData!$AB$91,1,AM439+1)</f>
        <v>87</v>
      </c>
    </row>
    <row r="441" spans="1:39">
      <c r="A441" s="389">
        <f t="shared" si="171"/>
        <v>440</v>
      </c>
      <c r="B441" s="395" t="str">
        <f t="shared" si="152"/>
        <v>May 2014</v>
      </c>
      <c r="C441" s="396" t="str">
        <f t="shared" si="153"/>
        <v>ODL</v>
      </c>
      <c r="D441" s="396" t="str">
        <f t="shared" si="154"/>
        <v>ODL</v>
      </c>
      <c r="E441" s="394">
        <f t="shared" si="155"/>
        <v>0</v>
      </c>
      <c r="F441" s="397">
        <v>0</v>
      </c>
      <c r="G441" s="394">
        <f t="shared" si="156"/>
        <v>0</v>
      </c>
      <c r="H441" s="394">
        <v>0</v>
      </c>
      <c r="I441" s="390">
        <f t="shared" si="157"/>
        <v>0</v>
      </c>
      <c r="J441" s="390">
        <f t="shared" si="158"/>
        <v>0</v>
      </c>
      <c r="K441" s="391">
        <f t="shared" si="172"/>
        <v>0</v>
      </c>
      <c r="L441" s="398">
        <v>0</v>
      </c>
      <c r="M441" s="398">
        <v>0</v>
      </c>
      <c r="N441" s="164">
        <f t="shared" si="174"/>
        <v>0</v>
      </c>
      <c r="O441" s="399">
        <f t="shared" si="159"/>
        <v>0</v>
      </c>
      <c r="P441" s="392">
        <f t="shared" si="173"/>
        <v>1</v>
      </c>
      <c r="Q441" s="164">
        <f t="shared" si="160"/>
        <v>0</v>
      </c>
      <c r="R441" s="164">
        <f t="shared" si="161"/>
        <v>0</v>
      </c>
      <c r="S441" s="164">
        <f t="shared" si="162"/>
        <v>0</v>
      </c>
      <c r="T441" s="164">
        <f t="shared" si="163"/>
        <v>0</v>
      </c>
      <c r="U441" s="164">
        <f t="shared" si="164"/>
        <v>0</v>
      </c>
      <c r="V441" s="393">
        <f t="shared" si="165"/>
        <v>0</v>
      </c>
      <c r="W441" s="393">
        <f t="shared" si="166"/>
        <v>0</v>
      </c>
      <c r="Y441" s="393">
        <f t="shared" si="169"/>
        <v>0</v>
      </c>
      <c r="Z441" s="393">
        <f t="shared" si="170"/>
        <v>0</v>
      </c>
      <c r="AD441" s="395">
        <f>IF(AH441&gt;AH440,AD440,IF(AD440&lt;MiscData!$F$1,EOMONTH(AD440,1),EOMONTH(AD440,-11)))</f>
        <v>41790</v>
      </c>
      <c r="AE441" s="389" t="str">
        <f t="shared" si="167"/>
        <v>20140101ODL</v>
      </c>
      <c r="AF441" s="437" t="str">
        <f t="shared" si="168"/>
        <v>20140101ODL</v>
      </c>
      <c r="AG441" s="438"/>
      <c r="AH441" s="34">
        <f>IF(AH440=MiscData!$AB$91,1,AH440+1)</f>
        <v>88</v>
      </c>
      <c r="AI441" s="34">
        <f>IF(AD441&lt;=MiscData!$B$23,MiscData!$C$23,IF(AD441&lt;=MiscData!$B$24,MiscData!$C$24,MiscData!$C$25))</f>
        <v>20140101</v>
      </c>
      <c r="AK441" s="439" t="str">
        <f>VLOOKUP(AM441,MiscData!$AB$4:$ACB$113,2,FALSE)</f>
        <v>ODL</v>
      </c>
      <c r="AL441" s="439" t="str">
        <f>VLOOKUP(AM441,MiscData!$AB$4:$AE$115,4,FALSE)</f>
        <v>ODL</v>
      </c>
      <c r="AM441" s="34">
        <f>IF(AM440=MiscData!$AB$91,1,AM440+1)</f>
        <v>88</v>
      </c>
    </row>
    <row r="442" spans="1:39">
      <c r="A442" s="389">
        <f t="shared" si="171"/>
        <v>441</v>
      </c>
      <c r="B442" s="395" t="str">
        <f t="shared" ref="B442:B505" si="175">TEXT(AD442,"mmm yyyy")</f>
        <v>Jun 2014</v>
      </c>
      <c r="C442" s="396" t="str">
        <f t="shared" ref="C442:C505" si="176">AL442</f>
        <v>LS</v>
      </c>
      <c r="D442" s="396" t="str">
        <f t="shared" ref="D442:D505" si="177">AK442</f>
        <v>KUUM_300</v>
      </c>
      <c r="E442" s="394">
        <f t="shared" ref="E442:E505" si="178">SUMIFS(_1055_Light_Count,_1055_RevMonth,$B442,_1055_RateCategory,$D442)</f>
        <v>0</v>
      </c>
      <c r="F442" s="397">
        <v>0</v>
      </c>
      <c r="G442" s="394">
        <f t="shared" ref="G442:G505" si="179">SUMIFS(_SBR_KWH,_SBR_Revenue_Month,$B442,_SBR_Rate_Category,$D442)</f>
        <v>0</v>
      </c>
      <c r="H442" s="394"/>
      <c r="I442" s="390">
        <f t="shared" ref="I442:I505" si="180">SUMIF(_Lights_Tariff_Category,$AE442,_Lights_Rates)</f>
        <v>22.49</v>
      </c>
      <c r="J442" s="390">
        <f t="shared" ref="J442:J505" si="181">SUMIF(_Lights_Tariff_Category,$AE442,_Rates_Lights_BaseFAC)</f>
        <v>0.58000000000000185</v>
      </c>
      <c r="K442" s="391">
        <f t="shared" si="172"/>
        <v>0</v>
      </c>
      <c r="L442" s="398">
        <v>0</v>
      </c>
      <c r="M442" s="398">
        <v>0</v>
      </c>
      <c r="N442" s="164">
        <f t="shared" si="174"/>
        <v>0</v>
      </c>
      <c r="O442" s="399">
        <f t="shared" ref="O442:O505" si="182">U442-SUM(Q442:T442)</f>
        <v>0</v>
      </c>
      <c r="P442" s="392">
        <f t="shared" si="173"/>
        <v>1</v>
      </c>
      <c r="Q442" s="164">
        <f t="shared" ref="Q442:Q505" si="183">SUMIFS(_SBR_FAC,_SBR_Revenue_Month,$B442,_SBR_Rate_Category,$D442)</f>
        <v>0</v>
      </c>
      <c r="R442" s="164">
        <f t="shared" ref="R442:R505" si="184">SUMIFS(_SBR_DSM,_SBR_Revenue_Month,$B442,_SBR_Rate_Category,$D442)</f>
        <v>0</v>
      </c>
      <c r="S442" s="164">
        <f t="shared" ref="S442:S505" si="185">SUMIFS(_SBR_ECR,_SBR_Revenue_Month,$B442,_SBR_Rate_Category,$D442)</f>
        <v>0</v>
      </c>
      <c r="T442" s="164">
        <f t="shared" ref="T442:T505" si="186">SUMIFS(_SBR_MSR,_SBR_Revenue_Month,$B442,_SBR_Rate_Category,$D442)</f>
        <v>0</v>
      </c>
      <c r="U442" s="164">
        <f t="shared" ref="U442:U505" si="187">SUMIFS(_SBR_Revenue_Actual,_SBR_Revenue_Month,$B442,_SBR_Rate_Category,$D442)</f>
        <v>0</v>
      </c>
      <c r="V442" s="393">
        <f t="shared" ref="V442:V505" si="188">SUM(N442,Q442:T442)</f>
        <v>0</v>
      </c>
      <c r="W442" s="393">
        <f t="shared" ref="W442:W505" si="189">U442-V442</f>
        <v>0</v>
      </c>
      <c r="Y442" s="393">
        <f t="shared" si="169"/>
        <v>0</v>
      </c>
      <c r="Z442" s="393">
        <f t="shared" si="170"/>
        <v>0</v>
      </c>
      <c r="AD442" s="395">
        <f>IF(AH442&gt;AH441,AD441,IF(AD441&lt;MiscData!$F$1,EOMONTH(AD441,1),EOMONTH(AD441,-11)))</f>
        <v>41820</v>
      </c>
      <c r="AE442" s="389" t="str">
        <f t="shared" ref="AE442:AE505" si="190">CONCATENATE(AI442&amp;AK442)</f>
        <v>20140101KUUM_300</v>
      </c>
      <c r="AF442" s="437" t="str">
        <f t="shared" ref="AF442:AF505" si="191">CONCATENATE(AI442&amp;AL442)</f>
        <v>20140101LS</v>
      </c>
      <c r="AG442" s="438"/>
      <c r="AH442" s="34">
        <f>IF(AH441=MiscData!$AB$91,1,AH441+1)</f>
        <v>1</v>
      </c>
      <c r="AI442" s="34">
        <f>IF(AD442&lt;=MiscData!$B$23,MiscData!$C$23,IF(AD442&lt;=MiscData!$B$24,MiscData!$C$24,MiscData!$C$25))</f>
        <v>20140101</v>
      </c>
      <c r="AK442" s="439" t="str">
        <f>VLOOKUP(AM442,MiscData!$AB$4:$ACB$113,2,FALSE)</f>
        <v>KUUM_300</v>
      </c>
      <c r="AL442" s="439" t="str">
        <f>VLOOKUP(AM442,MiscData!$AB$4:$AE$115,4,FALSE)</f>
        <v>LS</v>
      </c>
      <c r="AM442" s="34">
        <f>IF(AM441=MiscData!$AB$91,1,AM441+1)</f>
        <v>1</v>
      </c>
    </row>
    <row r="443" spans="1:39">
      <c r="A443" s="389">
        <f t="shared" si="171"/>
        <v>442</v>
      </c>
      <c r="B443" s="395" t="str">
        <f t="shared" si="175"/>
        <v>Jun 2014</v>
      </c>
      <c r="C443" s="396" t="str">
        <f t="shared" si="176"/>
        <v>LS</v>
      </c>
      <c r="D443" s="396" t="str">
        <f t="shared" si="177"/>
        <v>KUUM_301</v>
      </c>
      <c r="E443" s="394">
        <f t="shared" si="178"/>
        <v>0</v>
      </c>
      <c r="F443" s="397">
        <v>0</v>
      </c>
      <c r="G443" s="394">
        <f t="shared" si="179"/>
        <v>0</v>
      </c>
      <c r="H443" s="394"/>
      <c r="I443" s="390">
        <f t="shared" si="180"/>
        <v>23.5</v>
      </c>
      <c r="J443" s="390">
        <f t="shared" si="181"/>
        <v>1.129999999999999</v>
      </c>
      <c r="K443" s="391">
        <f t="shared" si="172"/>
        <v>0</v>
      </c>
      <c r="L443" s="398">
        <v>0</v>
      </c>
      <c r="M443" s="398">
        <v>0</v>
      </c>
      <c r="N443" s="164">
        <f t="shared" si="174"/>
        <v>0</v>
      </c>
      <c r="O443" s="399">
        <f t="shared" si="182"/>
        <v>0</v>
      </c>
      <c r="P443" s="392">
        <f t="shared" si="173"/>
        <v>1</v>
      </c>
      <c r="Q443" s="164">
        <f t="shared" si="183"/>
        <v>0</v>
      </c>
      <c r="R443" s="164">
        <f t="shared" si="184"/>
        <v>0</v>
      </c>
      <c r="S443" s="164">
        <f t="shared" si="185"/>
        <v>0</v>
      </c>
      <c r="T443" s="164">
        <f t="shared" si="186"/>
        <v>0</v>
      </c>
      <c r="U443" s="164">
        <f t="shared" si="187"/>
        <v>0</v>
      </c>
      <c r="V443" s="393">
        <f t="shared" si="188"/>
        <v>0</v>
      </c>
      <c r="W443" s="393">
        <f t="shared" si="189"/>
        <v>0</v>
      </c>
      <c r="Y443" s="393">
        <f t="shared" ref="Y443:Y506" si="192">ROUND(E443*J443,2)</f>
        <v>0</v>
      </c>
      <c r="Z443" s="393">
        <f t="shared" ref="Z443:Z506" si="193">O443-Y443</f>
        <v>0</v>
      </c>
      <c r="AD443" s="395">
        <f>IF(AH443&gt;AH442,AD442,IF(AD442&lt;MiscData!$F$1,EOMONTH(AD442,1),EOMONTH(AD442,-11)))</f>
        <v>41820</v>
      </c>
      <c r="AE443" s="389" t="str">
        <f t="shared" si="190"/>
        <v>20140101KUUM_301</v>
      </c>
      <c r="AF443" s="437" t="str">
        <f t="shared" si="191"/>
        <v>20140101LS</v>
      </c>
      <c r="AG443" s="438"/>
      <c r="AH443" s="34">
        <f>IF(AH442=MiscData!$AB$91,1,AH442+1)</f>
        <v>2</v>
      </c>
      <c r="AI443" s="34">
        <f>IF(AD443&lt;=MiscData!$B$23,MiscData!$C$23,IF(AD443&lt;=MiscData!$B$24,MiscData!$C$24,MiscData!$C$25))</f>
        <v>20140101</v>
      </c>
      <c r="AK443" s="439" t="str">
        <f>VLOOKUP(AM443,MiscData!$AB$4:$ACB$113,2,FALSE)</f>
        <v>KUUM_301</v>
      </c>
      <c r="AL443" s="439" t="str">
        <f>VLOOKUP(AM443,MiscData!$AB$4:$AE$115,4,FALSE)</f>
        <v>LS</v>
      </c>
      <c r="AM443" s="34">
        <f>IF(AM442=MiscData!$AB$91,1,AM442+1)</f>
        <v>2</v>
      </c>
    </row>
    <row r="444" spans="1:39">
      <c r="A444" s="389">
        <f t="shared" ref="A444:A507" si="194">A443+1</f>
        <v>443</v>
      </c>
      <c r="B444" s="395" t="str">
        <f t="shared" si="175"/>
        <v>Jun 2014</v>
      </c>
      <c r="C444" s="396" t="str">
        <f t="shared" si="176"/>
        <v>LS</v>
      </c>
      <c r="D444" s="396" t="str">
        <f t="shared" si="177"/>
        <v>KUUM_360</v>
      </c>
      <c r="E444" s="394">
        <f t="shared" si="178"/>
        <v>178</v>
      </c>
      <c r="F444" s="397">
        <v>0</v>
      </c>
      <c r="G444" s="394">
        <f t="shared" si="179"/>
        <v>9125</v>
      </c>
      <c r="H444" s="394"/>
      <c r="I444" s="390">
        <f t="shared" si="180"/>
        <v>55.33</v>
      </c>
      <c r="J444" s="390">
        <f t="shared" si="181"/>
        <v>1.75</v>
      </c>
      <c r="K444" s="391">
        <f t="shared" si="172"/>
        <v>9848.74</v>
      </c>
      <c r="L444" s="398">
        <v>0</v>
      </c>
      <c r="M444" s="398">
        <v>0</v>
      </c>
      <c r="N444" s="164">
        <f t="shared" si="174"/>
        <v>9848.74</v>
      </c>
      <c r="O444" s="399">
        <f t="shared" si="182"/>
        <v>9848.74</v>
      </c>
      <c r="P444" s="392">
        <f t="shared" si="173"/>
        <v>1</v>
      </c>
      <c r="Q444" s="164">
        <f t="shared" si="183"/>
        <v>32.85</v>
      </c>
      <c r="R444" s="164">
        <f t="shared" si="184"/>
        <v>0</v>
      </c>
      <c r="S444" s="164">
        <f t="shared" si="185"/>
        <v>218.18</v>
      </c>
      <c r="T444" s="164">
        <f t="shared" si="186"/>
        <v>0</v>
      </c>
      <c r="U444" s="164">
        <f t="shared" si="187"/>
        <v>10099.77</v>
      </c>
      <c r="V444" s="393">
        <f t="shared" si="188"/>
        <v>10099.77</v>
      </c>
      <c r="W444" s="393">
        <f t="shared" si="189"/>
        <v>0</v>
      </c>
      <c r="Y444" s="393">
        <f t="shared" si="192"/>
        <v>311.5</v>
      </c>
      <c r="Z444" s="393">
        <f t="shared" si="193"/>
        <v>9537.24</v>
      </c>
      <c r="AD444" s="395">
        <f>IF(AH444&gt;AH443,AD443,IF(AD443&lt;MiscData!$F$1,EOMONTH(AD443,1),EOMONTH(AD443,-11)))</f>
        <v>41820</v>
      </c>
      <c r="AE444" s="389" t="str">
        <f t="shared" si="190"/>
        <v>20140101KUUM_360</v>
      </c>
      <c r="AF444" s="437" t="str">
        <f t="shared" si="191"/>
        <v>20140101LS</v>
      </c>
      <c r="AG444" s="438"/>
      <c r="AH444" s="34">
        <f>IF(AH443=MiscData!$AB$91,1,AH443+1)</f>
        <v>3</v>
      </c>
      <c r="AI444" s="34">
        <f>IF(AD444&lt;=MiscData!$B$23,MiscData!$C$23,IF(AD444&lt;=MiscData!$B$24,MiscData!$C$24,MiscData!$C$25))</f>
        <v>20140101</v>
      </c>
      <c r="AK444" s="439" t="str">
        <f>VLOOKUP(AM444,MiscData!$AB$4:$ACB$113,2,FALSE)</f>
        <v>KUUM_360</v>
      </c>
      <c r="AL444" s="439" t="str">
        <f>VLOOKUP(AM444,MiscData!$AB$4:$AE$115,4,FALSE)</f>
        <v>LS</v>
      </c>
      <c r="AM444" s="34">
        <f>IF(AM443=MiscData!$AB$91,1,AM443+1)</f>
        <v>3</v>
      </c>
    </row>
    <row r="445" spans="1:39">
      <c r="A445" s="389">
        <f t="shared" si="194"/>
        <v>444</v>
      </c>
      <c r="B445" s="395" t="str">
        <f t="shared" si="175"/>
        <v>Jun 2014</v>
      </c>
      <c r="C445" s="396" t="str">
        <f t="shared" si="176"/>
        <v>LS</v>
      </c>
      <c r="D445" s="396" t="str">
        <f t="shared" si="177"/>
        <v>KUUM_361</v>
      </c>
      <c r="E445" s="394">
        <f t="shared" si="178"/>
        <v>25</v>
      </c>
      <c r="F445" s="397">
        <v>0</v>
      </c>
      <c r="G445" s="394">
        <f t="shared" si="179"/>
        <v>1265</v>
      </c>
      <c r="H445" s="394"/>
      <c r="I445" s="390">
        <f t="shared" si="180"/>
        <v>83.16</v>
      </c>
      <c r="J445" s="390">
        <f t="shared" si="181"/>
        <v>1.75</v>
      </c>
      <c r="K445" s="391">
        <f t="shared" si="172"/>
        <v>2079</v>
      </c>
      <c r="L445" s="398">
        <v>0</v>
      </c>
      <c r="M445" s="398">
        <v>0</v>
      </c>
      <c r="N445" s="164">
        <f t="shared" si="174"/>
        <v>2079</v>
      </c>
      <c r="O445" s="399">
        <f t="shared" si="182"/>
        <v>2079</v>
      </c>
      <c r="P445" s="392">
        <f t="shared" si="173"/>
        <v>1</v>
      </c>
      <c r="Q445" s="164">
        <f t="shared" si="183"/>
        <v>4.5199999999999996</v>
      </c>
      <c r="R445" s="164">
        <f t="shared" si="184"/>
        <v>0</v>
      </c>
      <c r="S445" s="164">
        <f t="shared" si="185"/>
        <v>45.63</v>
      </c>
      <c r="T445" s="164">
        <f t="shared" si="186"/>
        <v>0</v>
      </c>
      <c r="U445" s="164">
        <f t="shared" si="187"/>
        <v>2129.15</v>
      </c>
      <c r="V445" s="393">
        <f t="shared" si="188"/>
        <v>2129.15</v>
      </c>
      <c r="W445" s="393">
        <f t="shared" si="189"/>
        <v>0</v>
      </c>
      <c r="Y445" s="393">
        <f t="shared" si="192"/>
        <v>43.75</v>
      </c>
      <c r="Z445" s="393">
        <f t="shared" si="193"/>
        <v>2035.25</v>
      </c>
      <c r="AD445" s="395">
        <f>IF(AH445&gt;AH444,AD444,IF(AD444&lt;MiscData!$F$1,EOMONTH(AD444,1),EOMONTH(AD444,-11)))</f>
        <v>41820</v>
      </c>
      <c r="AE445" s="389" t="str">
        <f t="shared" si="190"/>
        <v>20140101KUUM_361</v>
      </c>
      <c r="AF445" s="437" t="str">
        <f t="shared" si="191"/>
        <v>20140101LS</v>
      </c>
      <c r="AG445" s="438"/>
      <c r="AH445" s="34">
        <f>IF(AH444=MiscData!$AB$91,1,AH444+1)</f>
        <v>4</v>
      </c>
      <c r="AI445" s="34">
        <f>IF(AD445&lt;=MiscData!$B$23,MiscData!$C$23,IF(AD445&lt;=MiscData!$B$24,MiscData!$C$24,MiscData!$C$25))</f>
        <v>20140101</v>
      </c>
      <c r="AK445" s="439" t="str">
        <f>VLOOKUP(AM445,MiscData!$AB$4:$ACB$113,2,FALSE)</f>
        <v>KUUM_361</v>
      </c>
      <c r="AL445" s="439" t="str">
        <f>VLOOKUP(AM445,MiscData!$AB$4:$AE$115,4,FALSE)</f>
        <v>LS</v>
      </c>
      <c r="AM445" s="34">
        <f>IF(AM444=MiscData!$AB$91,1,AM444+1)</f>
        <v>4</v>
      </c>
    </row>
    <row r="446" spans="1:39">
      <c r="A446" s="389">
        <f t="shared" si="194"/>
        <v>445</v>
      </c>
      <c r="B446" s="395" t="str">
        <f t="shared" si="175"/>
        <v>Jun 2014</v>
      </c>
      <c r="C446" s="396" t="str">
        <f t="shared" si="176"/>
        <v>LS</v>
      </c>
      <c r="D446" s="396" t="str">
        <f t="shared" si="177"/>
        <v>KUUM_362</v>
      </c>
      <c r="E446" s="394">
        <f t="shared" si="178"/>
        <v>43</v>
      </c>
      <c r="F446" s="397"/>
      <c r="G446" s="394">
        <f t="shared" si="179"/>
        <v>1780</v>
      </c>
      <c r="H446" s="394"/>
      <c r="I446" s="390">
        <f t="shared" si="180"/>
        <v>59.78</v>
      </c>
      <c r="J446" s="390">
        <f t="shared" si="181"/>
        <v>1.75</v>
      </c>
      <c r="K446" s="391">
        <f t="shared" si="172"/>
        <v>2570.54</v>
      </c>
      <c r="L446" s="398">
        <v>0</v>
      </c>
      <c r="M446" s="398">
        <v>0</v>
      </c>
      <c r="N446" s="164">
        <f t="shared" si="174"/>
        <v>2570.54</v>
      </c>
      <c r="O446" s="399">
        <f t="shared" si="182"/>
        <v>2570.54</v>
      </c>
      <c r="P446" s="392">
        <f t="shared" si="173"/>
        <v>1</v>
      </c>
      <c r="Q446" s="164">
        <f t="shared" si="183"/>
        <v>6.35</v>
      </c>
      <c r="R446" s="164">
        <f t="shared" si="184"/>
        <v>0</v>
      </c>
      <c r="S446" s="164">
        <f t="shared" si="185"/>
        <v>56.44</v>
      </c>
      <c r="T446" s="164">
        <f t="shared" si="186"/>
        <v>0</v>
      </c>
      <c r="U446" s="164">
        <f t="shared" si="187"/>
        <v>2633.33</v>
      </c>
      <c r="V446" s="393">
        <f t="shared" si="188"/>
        <v>2633.33</v>
      </c>
      <c r="W446" s="393">
        <f t="shared" si="189"/>
        <v>0</v>
      </c>
      <c r="Y446" s="393">
        <f t="shared" si="192"/>
        <v>75.25</v>
      </c>
      <c r="Z446" s="393">
        <f t="shared" si="193"/>
        <v>2495.29</v>
      </c>
      <c r="AD446" s="395">
        <f>IF(AH446&gt;AH445,AD445,IF(AD445&lt;MiscData!$F$1,EOMONTH(AD445,1),EOMONTH(AD445,-11)))</f>
        <v>41820</v>
      </c>
      <c r="AE446" s="389" t="str">
        <f t="shared" si="190"/>
        <v>20140101KUUM_362</v>
      </c>
      <c r="AF446" s="437" t="str">
        <f t="shared" si="191"/>
        <v>20140101LS</v>
      </c>
      <c r="AG446" s="438"/>
      <c r="AH446" s="34">
        <f>IF(AH445=MiscData!$AB$91,1,AH445+1)</f>
        <v>5</v>
      </c>
      <c r="AI446" s="34">
        <f>IF(AD446&lt;=MiscData!$B$23,MiscData!$C$23,IF(AD446&lt;=MiscData!$B$24,MiscData!$C$24,MiscData!$C$25))</f>
        <v>20140101</v>
      </c>
      <c r="AK446" s="439" t="str">
        <f>VLOOKUP(AM446,MiscData!$AB$4:$ACB$113,2,FALSE)</f>
        <v>KUUM_362</v>
      </c>
      <c r="AL446" s="439" t="str">
        <f>VLOOKUP(AM446,MiscData!$AB$4:$AE$115,4,FALSE)</f>
        <v>LS</v>
      </c>
      <c r="AM446" s="34">
        <f>IF(AM445=MiscData!$AB$91,1,AM445+1)</f>
        <v>5</v>
      </c>
    </row>
    <row r="447" spans="1:39">
      <c r="A447" s="389">
        <f t="shared" si="194"/>
        <v>446</v>
      </c>
      <c r="B447" s="395" t="str">
        <f t="shared" si="175"/>
        <v>Jun 2014</v>
      </c>
      <c r="C447" s="396" t="str">
        <f t="shared" si="176"/>
        <v>LS</v>
      </c>
      <c r="D447" s="396" t="str">
        <f t="shared" si="177"/>
        <v>KUUM_363</v>
      </c>
      <c r="E447" s="394">
        <f t="shared" si="178"/>
        <v>5</v>
      </c>
      <c r="F447" s="397"/>
      <c r="G447" s="394">
        <f t="shared" si="179"/>
        <v>248</v>
      </c>
      <c r="H447" s="394"/>
      <c r="I447" s="390">
        <f t="shared" si="180"/>
        <v>61.75</v>
      </c>
      <c r="J447" s="390">
        <f t="shared" si="181"/>
        <v>1.75</v>
      </c>
      <c r="K447" s="391">
        <f t="shared" si="172"/>
        <v>308.75</v>
      </c>
      <c r="L447" s="398">
        <v>0</v>
      </c>
      <c r="M447" s="398">
        <v>0</v>
      </c>
      <c r="N447" s="164">
        <f t="shared" si="174"/>
        <v>308.75</v>
      </c>
      <c r="O447" s="399">
        <f t="shared" si="182"/>
        <v>308.75</v>
      </c>
      <c r="P447" s="392">
        <f t="shared" si="173"/>
        <v>1</v>
      </c>
      <c r="Q447" s="164">
        <f t="shared" si="183"/>
        <v>0.89</v>
      </c>
      <c r="R447" s="164">
        <f t="shared" si="184"/>
        <v>0</v>
      </c>
      <c r="S447" s="164">
        <f t="shared" si="185"/>
        <v>6.78</v>
      </c>
      <c r="T447" s="164">
        <f t="shared" si="186"/>
        <v>0</v>
      </c>
      <c r="U447" s="164">
        <f t="shared" si="187"/>
        <v>316.42</v>
      </c>
      <c r="V447" s="393">
        <f t="shared" si="188"/>
        <v>316.41999999999996</v>
      </c>
      <c r="W447" s="393">
        <f t="shared" si="189"/>
        <v>0</v>
      </c>
      <c r="Y447" s="393">
        <f t="shared" si="192"/>
        <v>8.75</v>
      </c>
      <c r="Z447" s="393">
        <f t="shared" si="193"/>
        <v>300</v>
      </c>
      <c r="AD447" s="395">
        <f>IF(AH447&gt;AH446,AD446,IF(AD446&lt;MiscData!$F$1,EOMONTH(AD446,1),EOMONTH(AD446,-11)))</f>
        <v>41820</v>
      </c>
      <c r="AE447" s="389" t="str">
        <f t="shared" si="190"/>
        <v>20140101KUUM_363</v>
      </c>
      <c r="AF447" s="437" t="str">
        <f t="shared" si="191"/>
        <v>20140101LS</v>
      </c>
      <c r="AG447" s="438"/>
      <c r="AH447" s="34">
        <f>IF(AH446=MiscData!$AB$91,1,AH446+1)</f>
        <v>6</v>
      </c>
      <c r="AI447" s="34">
        <f>IF(AD447&lt;=MiscData!$B$23,MiscData!$C$23,IF(AD447&lt;=MiscData!$B$24,MiscData!$C$24,MiscData!$C$25))</f>
        <v>20140101</v>
      </c>
      <c r="AK447" s="439" t="str">
        <f>VLOOKUP(AM447,MiscData!$AB$4:$ACB$113,2,FALSE)</f>
        <v>KUUM_363</v>
      </c>
      <c r="AL447" s="439" t="str">
        <f>VLOOKUP(AM447,MiscData!$AB$4:$AE$115,4,FALSE)</f>
        <v>LS</v>
      </c>
      <c r="AM447" s="34">
        <f>IF(AM446=MiscData!$AB$91,1,AM446+1)</f>
        <v>6</v>
      </c>
    </row>
    <row r="448" spans="1:39">
      <c r="A448" s="389">
        <f t="shared" si="194"/>
        <v>447</v>
      </c>
      <c r="B448" s="395" t="str">
        <f t="shared" si="175"/>
        <v>Jun 2014</v>
      </c>
      <c r="C448" s="396" t="str">
        <f t="shared" si="176"/>
        <v>LS</v>
      </c>
      <c r="D448" s="396" t="str">
        <f t="shared" si="177"/>
        <v>KUUM_364</v>
      </c>
      <c r="E448" s="394">
        <f t="shared" si="178"/>
        <v>1</v>
      </c>
      <c r="F448" s="397"/>
      <c r="G448" s="394">
        <f t="shared" si="179"/>
        <v>50</v>
      </c>
      <c r="H448" s="394"/>
      <c r="I448" s="390">
        <f t="shared" si="180"/>
        <v>63.11</v>
      </c>
      <c r="J448" s="390">
        <f t="shared" si="181"/>
        <v>1.75</v>
      </c>
      <c r="K448" s="391">
        <f t="shared" si="172"/>
        <v>63.11</v>
      </c>
      <c r="L448" s="398">
        <v>0</v>
      </c>
      <c r="M448" s="398">
        <v>0</v>
      </c>
      <c r="N448" s="164">
        <f t="shared" si="174"/>
        <v>63.11</v>
      </c>
      <c r="O448" s="399">
        <f t="shared" si="182"/>
        <v>63.110000000000007</v>
      </c>
      <c r="P448" s="392">
        <f t="shared" si="173"/>
        <v>1</v>
      </c>
      <c r="Q448" s="164">
        <f t="shared" si="183"/>
        <v>0.18</v>
      </c>
      <c r="R448" s="164">
        <f t="shared" si="184"/>
        <v>0</v>
      </c>
      <c r="S448" s="164">
        <f t="shared" si="185"/>
        <v>1.39</v>
      </c>
      <c r="T448" s="164">
        <f t="shared" si="186"/>
        <v>0</v>
      </c>
      <c r="U448" s="164">
        <f t="shared" si="187"/>
        <v>64.680000000000007</v>
      </c>
      <c r="V448" s="393">
        <f t="shared" si="188"/>
        <v>64.679999999999993</v>
      </c>
      <c r="W448" s="393">
        <f t="shared" si="189"/>
        <v>0</v>
      </c>
      <c r="Y448" s="393">
        <f t="shared" si="192"/>
        <v>1.75</v>
      </c>
      <c r="Z448" s="393">
        <f t="shared" si="193"/>
        <v>61.360000000000007</v>
      </c>
      <c r="AD448" s="395">
        <f>IF(AH448&gt;AH447,AD447,IF(AD447&lt;MiscData!$F$1,EOMONTH(AD447,1),EOMONTH(AD447,-11)))</f>
        <v>41820</v>
      </c>
      <c r="AE448" s="389" t="str">
        <f t="shared" si="190"/>
        <v>20140101KUUM_364</v>
      </c>
      <c r="AF448" s="437" t="str">
        <f t="shared" si="191"/>
        <v>20140101LS</v>
      </c>
      <c r="AG448" s="438"/>
      <c r="AH448" s="34">
        <f>IF(AH447=MiscData!$AB$91,1,AH447+1)</f>
        <v>7</v>
      </c>
      <c r="AI448" s="34">
        <f>IF(AD448&lt;=MiscData!$B$23,MiscData!$C$23,IF(AD448&lt;=MiscData!$B$24,MiscData!$C$24,MiscData!$C$25))</f>
        <v>20140101</v>
      </c>
      <c r="AK448" s="439" t="str">
        <f>VLOOKUP(AM448,MiscData!$AB$4:$ACB$113,2,FALSE)</f>
        <v>KUUM_364</v>
      </c>
      <c r="AL448" s="439" t="str">
        <f>VLOOKUP(AM448,MiscData!$AB$4:$AE$115,4,FALSE)</f>
        <v>LS</v>
      </c>
      <c r="AM448" s="34">
        <f>IF(AM447=MiscData!$AB$91,1,AM447+1)</f>
        <v>7</v>
      </c>
    </row>
    <row r="449" spans="1:39">
      <c r="A449" s="389">
        <f t="shared" si="194"/>
        <v>448</v>
      </c>
      <c r="B449" s="395" t="str">
        <f t="shared" si="175"/>
        <v>Jun 2014</v>
      </c>
      <c r="C449" s="396" t="str">
        <f t="shared" si="176"/>
        <v>LS</v>
      </c>
      <c r="D449" s="396" t="str">
        <f t="shared" si="177"/>
        <v>KUUM_365</v>
      </c>
      <c r="E449" s="394">
        <f t="shared" si="178"/>
        <v>5</v>
      </c>
      <c r="F449" s="397"/>
      <c r="G449" s="394">
        <f t="shared" si="179"/>
        <v>250</v>
      </c>
      <c r="H449" s="394"/>
      <c r="I449" s="390">
        <f t="shared" si="180"/>
        <v>80.94</v>
      </c>
      <c r="J449" s="390">
        <f t="shared" si="181"/>
        <v>1.75</v>
      </c>
      <c r="K449" s="391">
        <f t="shared" si="172"/>
        <v>404.7</v>
      </c>
      <c r="L449" s="398">
        <v>0</v>
      </c>
      <c r="M449" s="398">
        <v>0</v>
      </c>
      <c r="N449" s="164">
        <f t="shared" si="174"/>
        <v>404.7</v>
      </c>
      <c r="O449" s="399">
        <f t="shared" si="182"/>
        <v>404.7</v>
      </c>
      <c r="P449" s="392">
        <f t="shared" si="173"/>
        <v>1</v>
      </c>
      <c r="Q449" s="164">
        <f t="shared" si="183"/>
        <v>0.9</v>
      </c>
      <c r="R449" s="164">
        <f t="shared" si="184"/>
        <v>0</v>
      </c>
      <c r="S449" s="164">
        <f t="shared" si="185"/>
        <v>8.89</v>
      </c>
      <c r="T449" s="164">
        <f t="shared" si="186"/>
        <v>0</v>
      </c>
      <c r="U449" s="164">
        <f t="shared" si="187"/>
        <v>414.49</v>
      </c>
      <c r="V449" s="393">
        <f t="shared" si="188"/>
        <v>414.48999999999995</v>
      </c>
      <c r="W449" s="393">
        <f t="shared" si="189"/>
        <v>0</v>
      </c>
      <c r="Y449" s="393">
        <f t="shared" si="192"/>
        <v>8.75</v>
      </c>
      <c r="Z449" s="393">
        <f t="shared" si="193"/>
        <v>395.95</v>
      </c>
      <c r="AD449" s="395">
        <f>IF(AH449&gt;AH448,AD448,IF(AD448&lt;MiscData!$F$1,EOMONTH(AD448,1),EOMONTH(AD448,-11)))</f>
        <v>41820</v>
      </c>
      <c r="AE449" s="389" t="str">
        <f t="shared" si="190"/>
        <v>20140101KUUM_365</v>
      </c>
      <c r="AF449" s="437" t="str">
        <f t="shared" si="191"/>
        <v>20140101LS</v>
      </c>
      <c r="AG449" s="438"/>
      <c r="AH449" s="34">
        <f>IF(AH448=MiscData!$AB$91,1,AH448+1)</f>
        <v>8</v>
      </c>
      <c r="AI449" s="34">
        <f>IF(AD449&lt;=MiscData!$B$23,MiscData!$C$23,IF(AD449&lt;=MiscData!$B$24,MiscData!$C$24,MiscData!$C$25))</f>
        <v>20140101</v>
      </c>
      <c r="AK449" s="439" t="str">
        <f>VLOOKUP(AM449,MiscData!$AB$4:$ACB$113,2,FALSE)</f>
        <v>KUUM_365</v>
      </c>
      <c r="AL449" s="439" t="str">
        <f>VLOOKUP(AM449,MiscData!$AB$4:$AE$115,4,FALSE)</f>
        <v>LS</v>
      </c>
      <c r="AM449" s="34">
        <f>IF(AM448=MiscData!$AB$91,1,AM448+1)</f>
        <v>8</v>
      </c>
    </row>
    <row r="450" spans="1:39">
      <c r="A450" s="389">
        <f t="shared" si="194"/>
        <v>449</v>
      </c>
      <c r="B450" s="395" t="str">
        <f t="shared" si="175"/>
        <v>Jun 2014</v>
      </c>
      <c r="C450" s="396" t="str">
        <f t="shared" si="176"/>
        <v>LS</v>
      </c>
      <c r="D450" s="396" t="str">
        <f t="shared" si="177"/>
        <v>KUUM_366</v>
      </c>
      <c r="E450" s="394">
        <f t="shared" si="178"/>
        <v>9</v>
      </c>
      <c r="F450" s="397"/>
      <c r="G450" s="394">
        <f t="shared" si="179"/>
        <v>449</v>
      </c>
      <c r="H450" s="394"/>
      <c r="I450" s="390">
        <f t="shared" si="180"/>
        <v>78.97</v>
      </c>
      <c r="J450" s="390">
        <f t="shared" si="181"/>
        <v>1.75</v>
      </c>
      <c r="K450" s="391">
        <f t="shared" si="172"/>
        <v>710.73</v>
      </c>
      <c r="L450" s="398">
        <v>0</v>
      </c>
      <c r="M450" s="398">
        <v>0</v>
      </c>
      <c r="N450" s="164">
        <f t="shared" si="174"/>
        <v>710.73</v>
      </c>
      <c r="O450" s="399">
        <f t="shared" si="182"/>
        <v>710.73</v>
      </c>
      <c r="P450" s="392">
        <f t="shared" si="173"/>
        <v>1</v>
      </c>
      <c r="Q450" s="164">
        <f t="shared" si="183"/>
        <v>1.61</v>
      </c>
      <c r="R450" s="164">
        <f t="shared" si="184"/>
        <v>0</v>
      </c>
      <c r="S450" s="164">
        <f t="shared" si="185"/>
        <v>15.6</v>
      </c>
      <c r="T450" s="164">
        <f t="shared" si="186"/>
        <v>0</v>
      </c>
      <c r="U450" s="164">
        <f t="shared" si="187"/>
        <v>727.94</v>
      </c>
      <c r="V450" s="393">
        <f t="shared" si="188"/>
        <v>727.94</v>
      </c>
      <c r="W450" s="393">
        <f t="shared" si="189"/>
        <v>0</v>
      </c>
      <c r="Y450" s="393">
        <f t="shared" si="192"/>
        <v>15.75</v>
      </c>
      <c r="Z450" s="393">
        <f t="shared" si="193"/>
        <v>694.98</v>
      </c>
      <c r="AD450" s="395">
        <f>IF(AH450&gt;AH449,AD449,IF(AD449&lt;MiscData!$F$1,EOMONTH(AD449,1),EOMONTH(AD449,-11)))</f>
        <v>41820</v>
      </c>
      <c r="AE450" s="389" t="str">
        <f t="shared" si="190"/>
        <v>20140101KUUM_366</v>
      </c>
      <c r="AF450" s="437" t="str">
        <f t="shared" si="191"/>
        <v>20140101LS</v>
      </c>
      <c r="AG450" s="438"/>
      <c r="AH450" s="34">
        <f>IF(AH449=MiscData!$AB$91,1,AH449+1)</f>
        <v>9</v>
      </c>
      <c r="AI450" s="34">
        <f>IF(AD450&lt;=MiscData!$B$23,MiscData!$C$23,IF(AD450&lt;=MiscData!$B$24,MiscData!$C$24,MiscData!$C$25))</f>
        <v>20140101</v>
      </c>
      <c r="AK450" s="439" t="str">
        <f>VLOOKUP(AM450,MiscData!$AB$4:$ACB$113,2,FALSE)</f>
        <v>KUUM_366</v>
      </c>
      <c r="AL450" s="439" t="str">
        <f>VLOOKUP(AM450,MiscData!$AB$4:$AE$115,4,FALSE)</f>
        <v>LS</v>
      </c>
      <c r="AM450" s="34">
        <f>IF(AM449=MiscData!$AB$91,1,AM449+1)</f>
        <v>9</v>
      </c>
    </row>
    <row r="451" spans="1:39">
      <c r="A451" s="389">
        <f t="shared" si="194"/>
        <v>450</v>
      </c>
      <c r="B451" s="395" t="str">
        <f t="shared" si="175"/>
        <v>Jun 2014</v>
      </c>
      <c r="C451" s="396" t="str">
        <f t="shared" si="176"/>
        <v>LS</v>
      </c>
      <c r="D451" s="396" t="str">
        <f t="shared" si="177"/>
        <v>KUUM_367</v>
      </c>
      <c r="E451" s="394">
        <f t="shared" si="178"/>
        <v>25</v>
      </c>
      <c r="F451" s="397"/>
      <c r="G451" s="394">
        <f t="shared" si="179"/>
        <v>1296</v>
      </c>
      <c r="H451" s="394"/>
      <c r="I451" s="390">
        <f t="shared" si="180"/>
        <v>61.230000000000004</v>
      </c>
      <c r="J451" s="390">
        <f t="shared" si="181"/>
        <v>1.75</v>
      </c>
      <c r="K451" s="391">
        <f t="shared" ref="K451:K514" si="195">ROUND(($E451+$F451)*$I451,2)</f>
        <v>1530.75</v>
      </c>
      <c r="L451" s="398">
        <v>0</v>
      </c>
      <c r="M451" s="398">
        <v>0</v>
      </c>
      <c r="N451" s="164">
        <f t="shared" si="174"/>
        <v>1530.75</v>
      </c>
      <c r="O451" s="399">
        <f t="shared" si="182"/>
        <v>1530.75</v>
      </c>
      <c r="P451" s="392">
        <f t="shared" ref="P451:P514" si="196">IF(AND(N451=0,O451=0),1,IF(N451=0,0,ROUND(O451/N451,6)))</f>
        <v>1</v>
      </c>
      <c r="Q451" s="164">
        <f t="shared" si="183"/>
        <v>4.63</v>
      </c>
      <c r="R451" s="164">
        <f t="shared" si="184"/>
        <v>0</v>
      </c>
      <c r="S451" s="164">
        <f t="shared" si="185"/>
        <v>33.619999999999997</v>
      </c>
      <c r="T451" s="164">
        <f t="shared" si="186"/>
        <v>0</v>
      </c>
      <c r="U451" s="164">
        <f t="shared" si="187"/>
        <v>1569</v>
      </c>
      <c r="V451" s="393">
        <f t="shared" si="188"/>
        <v>1569</v>
      </c>
      <c r="W451" s="393">
        <f t="shared" si="189"/>
        <v>0</v>
      </c>
      <c r="Y451" s="393">
        <f t="shared" si="192"/>
        <v>43.75</v>
      </c>
      <c r="Z451" s="393">
        <f t="shared" si="193"/>
        <v>1487</v>
      </c>
      <c r="AD451" s="395">
        <f>IF(AH451&gt;AH450,AD450,IF(AD450&lt;MiscData!$F$1,EOMONTH(AD450,1),EOMONTH(AD450,-11)))</f>
        <v>41820</v>
      </c>
      <c r="AE451" s="389" t="str">
        <f t="shared" si="190"/>
        <v>20140101KUUM_367</v>
      </c>
      <c r="AF451" s="437" t="str">
        <f t="shared" si="191"/>
        <v>20140101LS</v>
      </c>
      <c r="AG451" s="438"/>
      <c r="AH451" s="34">
        <f>IF(AH450=MiscData!$AB$91,1,AH450+1)</f>
        <v>10</v>
      </c>
      <c r="AI451" s="34">
        <f>IF(AD451&lt;=MiscData!$B$23,MiscData!$C$23,IF(AD451&lt;=MiscData!$B$24,MiscData!$C$24,MiscData!$C$25))</f>
        <v>20140101</v>
      </c>
      <c r="AK451" s="439" t="str">
        <f>VLOOKUP(AM451,MiscData!$AB$4:$ACB$113,2,FALSE)</f>
        <v>KUUM_367</v>
      </c>
      <c r="AL451" s="439" t="str">
        <f>VLOOKUP(AM451,MiscData!$AB$4:$AE$115,4,FALSE)</f>
        <v>LS</v>
      </c>
      <c r="AM451" s="34">
        <f>IF(AM450=MiscData!$AB$91,1,AM450+1)</f>
        <v>10</v>
      </c>
    </row>
    <row r="452" spans="1:39">
      <c r="A452" s="389">
        <f t="shared" si="194"/>
        <v>451</v>
      </c>
      <c r="B452" s="395" t="str">
        <f t="shared" si="175"/>
        <v>Jun 2014</v>
      </c>
      <c r="C452" s="396" t="str">
        <f t="shared" si="176"/>
        <v>LS</v>
      </c>
      <c r="D452" s="396" t="str">
        <f t="shared" si="177"/>
        <v>KUUM_368</v>
      </c>
      <c r="E452" s="394">
        <f t="shared" si="178"/>
        <v>1</v>
      </c>
      <c r="F452" s="397"/>
      <c r="G452" s="394">
        <f t="shared" si="179"/>
        <v>50</v>
      </c>
      <c r="H452" s="394"/>
      <c r="I452" s="390">
        <f t="shared" si="180"/>
        <v>56.69</v>
      </c>
      <c r="J452" s="390">
        <f t="shared" si="181"/>
        <v>1.75</v>
      </c>
      <c r="K452" s="391">
        <f t="shared" si="195"/>
        <v>56.69</v>
      </c>
      <c r="L452" s="398">
        <v>0</v>
      </c>
      <c r="M452" s="398">
        <v>0</v>
      </c>
      <c r="N452" s="164">
        <f t="shared" si="174"/>
        <v>56.69</v>
      </c>
      <c r="O452" s="399">
        <f t="shared" si="182"/>
        <v>56.69</v>
      </c>
      <c r="P452" s="392">
        <f t="shared" si="196"/>
        <v>1</v>
      </c>
      <c r="Q452" s="164">
        <f t="shared" si="183"/>
        <v>0.18</v>
      </c>
      <c r="R452" s="164">
        <f t="shared" si="184"/>
        <v>0</v>
      </c>
      <c r="S452" s="164">
        <f t="shared" si="185"/>
        <v>1.25</v>
      </c>
      <c r="T452" s="164">
        <f t="shared" si="186"/>
        <v>0</v>
      </c>
      <c r="U452" s="164">
        <f t="shared" si="187"/>
        <v>58.12</v>
      </c>
      <c r="V452" s="393">
        <f t="shared" si="188"/>
        <v>58.12</v>
      </c>
      <c r="W452" s="393">
        <f t="shared" si="189"/>
        <v>0</v>
      </c>
      <c r="Y452" s="393">
        <f t="shared" si="192"/>
        <v>1.75</v>
      </c>
      <c r="Z452" s="393">
        <f t="shared" si="193"/>
        <v>54.94</v>
      </c>
      <c r="AD452" s="395">
        <f>IF(AH452&gt;AH451,AD451,IF(AD451&lt;MiscData!$F$1,EOMONTH(AD451,1),EOMONTH(AD451,-11)))</f>
        <v>41820</v>
      </c>
      <c r="AE452" s="389" t="str">
        <f t="shared" si="190"/>
        <v>20140101KUUM_368</v>
      </c>
      <c r="AF452" s="437" t="str">
        <f t="shared" si="191"/>
        <v>20140101LS</v>
      </c>
      <c r="AG452" s="438"/>
      <c r="AH452" s="34">
        <f>IF(AH451=MiscData!$AB$91,1,AH451+1)</f>
        <v>11</v>
      </c>
      <c r="AI452" s="34">
        <f>IF(AD452&lt;=MiscData!$B$23,MiscData!$C$23,IF(AD452&lt;=MiscData!$B$24,MiscData!$C$24,MiscData!$C$25))</f>
        <v>20140101</v>
      </c>
      <c r="AK452" s="439" t="str">
        <f>VLOOKUP(AM452,MiscData!$AB$4:$ACB$113,2,FALSE)</f>
        <v>KUUM_368</v>
      </c>
      <c r="AL452" s="439" t="str">
        <f>VLOOKUP(AM452,MiscData!$AB$4:$AE$115,4,FALSE)</f>
        <v>LS</v>
      </c>
      <c r="AM452" s="34">
        <f>IF(AM451=MiscData!$AB$91,1,AM451+1)</f>
        <v>11</v>
      </c>
    </row>
    <row r="453" spans="1:39">
      <c r="A453" s="389">
        <f t="shared" si="194"/>
        <v>452</v>
      </c>
      <c r="B453" s="395" t="str">
        <f t="shared" si="175"/>
        <v>Jun 2014</v>
      </c>
      <c r="C453" s="396" t="str">
        <f t="shared" si="176"/>
        <v>LS</v>
      </c>
      <c r="D453" s="396" t="str">
        <f t="shared" si="177"/>
        <v>KUUM_370</v>
      </c>
      <c r="E453" s="394">
        <f t="shared" si="178"/>
        <v>15</v>
      </c>
      <c r="F453" s="397"/>
      <c r="G453" s="394">
        <f t="shared" si="179"/>
        <v>753</v>
      </c>
      <c r="H453" s="394"/>
      <c r="I453" s="390">
        <f t="shared" si="180"/>
        <v>74.52</v>
      </c>
      <c r="J453" s="390">
        <f t="shared" si="181"/>
        <v>1.75</v>
      </c>
      <c r="K453" s="391">
        <f t="shared" si="195"/>
        <v>1117.8</v>
      </c>
      <c r="L453" s="398">
        <v>0</v>
      </c>
      <c r="M453" s="398">
        <v>0</v>
      </c>
      <c r="N453" s="164">
        <f t="shared" si="174"/>
        <v>1117.8</v>
      </c>
      <c r="O453" s="399">
        <f t="shared" si="182"/>
        <v>1117.8</v>
      </c>
      <c r="P453" s="392">
        <f t="shared" si="196"/>
        <v>1</v>
      </c>
      <c r="Q453" s="164">
        <f t="shared" si="183"/>
        <v>2.83</v>
      </c>
      <c r="R453" s="164">
        <f t="shared" si="184"/>
        <v>0</v>
      </c>
      <c r="S453" s="164">
        <f t="shared" si="185"/>
        <v>25.74</v>
      </c>
      <c r="T453" s="164">
        <f t="shared" si="186"/>
        <v>0</v>
      </c>
      <c r="U453" s="164">
        <f t="shared" si="187"/>
        <v>1146.3699999999999</v>
      </c>
      <c r="V453" s="393">
        <f t="shared" si="188"/>
        <v>1146.3699999999999</v>
      </c>
      <c r="W453" s="393">
        <f t="shared" si="189"/>
        <v>0</v>
      </c>
      <c r="Y453" s="393">
        <f t="shared" si="192"/>
        <v>26.25</v>
      </c>
      <c r="Z453" s="393">
        <f t="shared" si="193"/>
        <v>1091.55</v>
      </c>
      <c r="AD453" s="395">
        <f>IF(AH453&gt;AH452,AD452,IF(AD452&lt;MiscData!$F$1,EOMONTH(AD452,1),EOMONTH(AD452,-11)))</f>
        <v>41820</v>
      </c>
      <c r="AE453" s="389" t="str">
        <f t="shared" si="190"/>
        <v>20140101KUUM_370</v>
      </c>
      <c r="AF453" s="437" t="str">
        <f t="shared" si="191"/>
        <v>20140101LS</v>
      </c>
      <c r="AG453" s="438"/>
      <c r="AH453" s="34">
        <f>IF(AH452=MiscData!$AB$91,1,AH452+1)</f>
        <v>12</v>
      </c>
      <c r="AI453" s="34">
        <f>IF(AD453&lt;=MiscData!$B$23,MiscData!$C$23,IF(AD453&lt;=MiscData!$B$24,MiscData!$C$24,MiscData!$C$25))</f>
        <v>20140101</v>
      </c>
      <c r="AK453" s="439" t="str">
        <f>VLOOKUP(AM453,MiscData!$AB$4:$ACB$113,2,FALSE)</f>
        <v>KUUM_370</v>
      </c>
      <c r="AL453" s="439" t="str">
        <f>VLOOKUP(AM453,MiscData!$AB$4:$AE$115,4,FALSE)</f>
        <v>LS</v>
      </c>
      <c r="AM453" s="34">
        <f>IF(AM452=MiscData!$AB$91,1,AM452+1)</f>
        <v>12</v>
      </c>
    </row>
    <row r="454" spans="1:39">
      <c r="A454" s="389">
        <f t="shared" si="194"/>
        <v>453</v>
      </c>
      <c r="B454" s="395" t="str">
        <f t="shared" si="175"/>
        <v>Jun 2014</v>
      </c>
      <c r="C454" s="396" t="str">
        <f t="shared" si="176"/>
        <v>LS</v>
      </c>
      <c r="D454" s="396" t="str">
        <f t="shared" si="177"/>
        <v>KUUM_372</v>
      </c>
      <c r="E454" s="394">
        <f t="shared" si="178"/>
        <v>1</v>
      </c>
      <c r="F454" s="397"/>
      <c r="G454" s="394">
        <f t="shared" si="179"/>
        <v>50</v>
      </c>
      <c r="H454" s="394"/>
      <c r="I454" s="390">
        <f t="shared" si="180"/>
        <v>82.3</v>
      </c>
      <c r="J454" s="390">
        <f t="shared" si="181"/>
        <v>1.75</v>
      </c>
      <c r="K454" s="391">
        <f t="shared" si="195"/>
        <v>82.3</v>
      </c>
      <c r="L454" s="398">
        <v>0</v>
      </c>
      <c r="M454" s="398">
        <v>0</v>
      </c>
      <c r="N454" s="164">
        <f t="shared" si="174"/>
        <v>82.3</v>
      </c>
      <c r="O454" s="399">
        <f t="shared" si="182"/>
        <v>82.300000000000011</v>
      </c>
      <c r="P454" s="392">
        <f t="shared" si="196"/>
        <v>1</v>
      </c>
      <c r="Q454" s="164">
        <f t="shared" si="183"/>
        <v>0.18</v>
      </c>
      <c r="R454" s="164">
        <f t="shared" si="184"/>
        <v>0</v>
      </c>
      <c r="S454" s="164">
        <f t="shared" si="185"/>
        <v>1.81</v>
      </c>
      <c r="T454" s="164">
        <f t="shared" si="186"/>
        <v>0</v>
      </c>
      <c r="U454" s="164">
        <f t="shared" si="187"/>
        <v>84.29</v>
      </c>
      <c r="V454" s="393">
        <f t="shared" si="188"/>
        <v>84.29</v>
      </c>
      <c r="W454" s="393">
        <f t="shared" si="189"/>
        <v>0</v>
      </c>
      <c r="Y454" s="393">
        <f t="shared" si="192"/>
        <v>1.75</v>
      </c>
      <c r="Z454" s="393">
        <f t="shared" si="193"/>
        <v>80.550000000000011</v>
      </c>
      <c r="AD454" s="395">
        <f>IF(AH454&gt;AH453,AD453,IF(AD453&lt;MiscData!$F$1,EOMONTH(AD453,1),EOMONTH(AD453,-11)))</f>
        <v>41820</v>
      </c>
      <c r="AE454" s="389" t="str">
        <f t="shared" si="190"/>
        <v>20140101KUUM_372</v>
      </c>
      <c r="AF454" s="437" t="str">
        <f t="shared" si="191"/>
        <v>20140101LS</v>
      </c>
      <c r="AG454" s="438"/>
      <c r="AH454" s="34">
        <f>IF(AH453=MiscData!$AB$91,1,AH453+1)</f>
        <v>13</v>
      </c>
      <c r="AI454" s="34">
        <f>IF(AD454&lt;=MiscData!$B$23,MiscData!$C$23,IF(AD454&lt;=MiscData!$B$24,MiscData!$C$24,MiscData!$C$25))</f>
        <v>20140101</v>
      </c>
      <c r="AK454" s="439" t="str">
        <f>VLOOKUP(AM454,MiscData!$AB$4:$ACB$113,2,FALSE)</f>
        <v>KUUM_372</v>
      </c>
      <c r="AL454" s="439" t="str">
        <f>VLOOKUP(AM454,MiscData!$AB$4:$AE$115,4,FALSE)</f>
        <v>LS</v>
      </c>
      <c r="AM454" s="34">
        <f>IF(AM453=MiscData!$AB$91,1,AM453+1)</f>
        <v>13</v>
      </c>
    </row>
    <row r="455" spans="1:39">
      <c r="A455" s="389">
        <f t="shared" si="194"/>
        <v>454</v>
      </c>
      <c r="B455" s="395" t="str">
        <f t="shared" si="175"/>
        <v>Jun 2014</v>
      </c>
      <c r="C455" s="396" t="str">
        <f t="shared" si="176"/>
        <v>LS</v>
      </c>
      <c r="D455" s="396" t="str">
        <f t="shared" si="177"/>
        <v>KUUM_373</v>
      </c>
      <c r="E455" s="394">
        <f t="shared" si="178"/>
        <v>20</v>
      </c>
      <c r="F455" s="397"/>
      <c r="G455" s="394">
        <f t="shared" si="179"/>
        <v>1037</v>
      </c>
      <c r="H455" s="394"/>
      <c r="I455" s="390">
        <f t="shared" si="180"/>
        <v>74.52</v>
      </c>
      <c r="J455" s="390">
        <f t="shared" si="181"/>
        <v>1.75</v>
      </c>
      <c r="K455" s="391">
        <f t="shared" si="195"/>
        <v>1490.4</v>
      </c>
      <c r="L455" s="398">
        <v>0</v>
      </c>
      <c r="M455" s="398">
        <v>0</v>
      </c>
      <c r="N455" s="164">
        <f t="shared" si="174"/>
        <v>1490.4</v>
      </c>
      <c r="O455" s="399">
        <f t="shared" si="182"/>
        <v>1490.3999999999999</v>
      </c>
      <c r="P455" s="392">
        <f t="shared" si="196"/>
        <v>1</v>
      </c>
      <c r="Q455" s="164">
        <f t="shared" si="183"/>
        <v>3.7</v>
      </c>
      <c r="R455" s="164">
        <f t="shared" si="184"/>
        <v>0</v>
      </c>
      <c r="S455" s="164">
        <f t="shared" si="185"/>
        <v>32.72</v>
      </c>
      <c r="T455" s="164">
        <f t="shared" si="186"/>
        <v>0</v>
      </c>
      <c r="U455" s="164">
        <f t="shared" si="187"/>
        <v>1526.82</v>
      </c>
      <c r="V455" s="393">
        <f t="shared" si="188"/>
        <v>1526.8200000000002</v>
      </c>
      <c r="W455" s="393">
        <f t="shared" si="189"/>
        <v>0</v>
      </c>
      <c r="Y455" s="393">
        <f t="shared" si="192"/>
        <v>35</v>
      </c>
      <c r="Z455" s="393">
        <f t="shared" si="193"/>
        <v>1455.3999999999999</v>
      </c>
      <c r="AD455" s="395">
        <f>IF(AH455&gt;AH454,AD454,IF(AD454&lt;MiscData!$F$1,EOMONTH(AD454,1),EOMONTH(AD454,-11)))</f>
        <v>41820</v>
      </c>
      <c r="AE455" s="389" t="str">
        <f t="shared" si="190"/>
        <v>20140101KUUM_373</v>
      </c>
      <c r="AF455" s="437" t="str">
        <f t="shared" si="191"/>
        <v>20140101LS</v>
      </c>
      <c r="AG455" s="438"/>
      <c r="AH455" s="34">
        <f>IF(AH454=MiscData!$AB$91,1,AH454+1)</f>
        <v>14</v>
      </c>
      <c r="AI455" s="34">
        <f>IF(AD455&lt;=MiscData!$B$23,MiscData!$C$23,IF(AD455&lt;=MiscData!$B$24,MiscData!$C$24,MiscData!$C$25))</f>
        <v>20140101</v>
      </c>
      <c r="AK455" s="439" t="str">
        <f>VLOOKUP(AM455,MiscData!$AB$4:$ACB$113,2,FALSE)</f>
        <v>KUUM_373</v>
      </c>
      <c r="AL455" s="439" t="str">
        <f>VLOOKUP(AM455,MiscData!$AB$4:$AE$115,4,FALSE)</f>
        <v>LS</v>
      </c>
      <c r="AM455" s="34">
        <f>IF(AM454=MiscData!$AB$91,1,AM454+1)</f>
        <v>14</v>
      </c>
    </row>
    <row r="456" spans="1:39">
      <c r="A456" s="389">
        <f t="shared" si="194"/>
        <v>455</v>
      </c>
      <c r="B456" s="395" t="str">
        <f t="shared" si="175"/>
        <v>Jun 2014</v>
      </c>
      <c r="C456" s="396" t="str">
        <f t="shared" si="176"/>
        <v>LS</v>
      </c>
      <c r="D456" s="396" t="str">
        <f t="shared" si="177"/>
        <v>KUUM_374</v>
      </c>
      <c r="E456" s="394">
        <f t="shared" si="178"/>
        <v>4</v>
      </c>
      <c r="F456" s="397"/>
      <c r="G456" s="394">
        <f t="shared" si="179"/>
        <v>203</v>
      </c>
      <c r="H456" s="394"/>
      <c r="I456" s="390">
        <f t="shared" si="180"/>
        <v>75.88</v>
      </c>
      <c r="J456" s="390">
        <f t="shared" si="181"/>
        <v>1.75</v>
      </c>
      <c r="K456" s="391">
        <f t="shared" si="195"/>
        <v>303.52</v>
      </c>
      <c r="L456" s="398">
        <v>0</v>
      </c>
      <c r="M456" s="398">
        <v>0</v>
      </c>
      <c r="N456" s="164">
        <f t="shared" si="174"/>
        <v>303.52</v>
      </c>
      <c r="O456" s="399">
        <f t="shared" si="182"/>
        <v>303.52</v>
      </c>
      <c r="P456" s="392">
        <f t="shared" si="196"/>
        <v>1</v>
      </c>
      <c r="Q456" s="164">
        <f t="shared" si="183"/>
        <v>0.72</v>
      </c>
      <c r="R456" s="164">
        <f t="shared" si="184"/>
        <v>0</v>
      </c>
      <c r="S456" s="164">
        <f t="shared" si="185"/>
        <v>6.66</v>
      </c>
      <c r="T456" s="164">
        <f t="shared" si="186"/>
        <v>0</v>
      </c>
      <c r="U456" s="164">
        <f t="shared" si="187"/>
        <v>310.89999999999998</v>
      </c>
      <c r="V456" s="393">
        <f t="shared" si="188"/>
        <v>310.90000000000003</v>
      </c>
      <c r="W456" s="393">
        <f t="shared" si="189"/>
        <v>0</v>
      </c>
      <c r="Y456" s="393">
        <f t="shared" si="192"/>
        <v>7</v>
      </c>
      <c r="Z456" s="393">
        <f t="shared" si="193"/>
        <v>296.52</v>
      </c>
      <c r="AD456" s="395">
        <f>IF(AH456&gt;AH455,AD455,IF(AD455&lt;MiscData!$F$1,EOMONTH(AD455,1),EOMONTH(AD455,-11)))</f>
        <v>41820</v>
      </c>
      <c r="AE456" s="389" t="str">
        <f t="shared" si="190"/>
        <v>20140101KUUM_374</v>
      </c>
      <c r="AF456" s="437" t="str">
        <f t="shared" si="191"/>
        <v>20140101LS</v>
      </c>
      <c r="AG456" s="438"/>
      <c r="AH456" s="34">
        <f>IF(AH455=MiscData!$AB$91,1,AH455+1)</f>
        <v>15</v>
      </c>
      <c r="AI456" s="34">
        <f>IF(AD456&lt;=MiscData!$B$23,MiscData!$C$23,IF(AD456&lt;=MiscData!$B$24,MiscData!$C$24,MiscData!$C$25))</f>
        <v>20140101</v>
      </c>
      <c r="AK456" s="439" t="str">
        <f>VLOOKUP(AM456,MiscData!$AB$4:$ACB$113,2,FALSE)</f>
        <v>KUUM_374</v>
      </c>
      <c r="AL456" s="439" t="str">
        <f>VLOOKUP(AM456,MiscData!$AB$4:$AE$115,4,FALSE)</f>
        <v>LS</v>
      </c>
      <c r="AM456" s="34">
        <f>IF(AM455=MiscData!$AB$91,1,AM455+1)</f>
        <v>15</v>
      </c>
    </row>
    <row r="457" spans="1:39">
      <c r="A457" s="389">
        <f t="shared" si="194"/>
        <v>456</v>
      </c>
      <c r="B457" s="395" t="str">
        <f t="shared" si="175"/>
        <v>Jun 2014</v>
      </c>
      <c r="C457" s="396" t="str">
        <f t="shared" si="176"/>
        <v>LS</v>
      </c>
      <c r="D457" s="396" t="str">
        <f t="shared" si="177"/>
        <v>KUUM_375</v>
      </c>
      <c r="E457" s="394">
        <f t="shared" si="178"/>
        <v>3</v>
      </c>
      <c r="F457" s="397"/>
      <c r="G457" s="394">
        <f t="shared" si="179"/>
        <v>156</v>
      </c>
      <c r="H457" s="394"/>
      <c r="I457" s="390">
        <f t="shared" si="180"/>
        <v>78.97</v>
      </c>
      <c r="J457" s="390">
        <f t="shared" si="181"/>
        <v>1.75</v>
      </c>
      <c r="K457" s="391">
        <f t="shared" si="195"/>
        <v>236.91</v>
      </c>
      <c r="L457" s="398">
        <v>0</v>
      </c>
      <c r="M457" s="398">
        <v>0</v>
      </c>
      <c r="N457" s="164">
        <f t="shared" si="174"/>
        <v>236.91</v>
      </c>
      <c r="O457" s="399">
        <f t="shared" si="182"/>
        <v>236.91</v>
      </c>
      <c r="P457" s="392">
        <f t="shared" si="196"/>
        <v>1</v>
      </c>
      <c r="Q457" s="164">
        <f t="shared" si="183"/>
        <v>0.56000000000000005</v>
      </c>
      <c r="R457" s="164">
        <f t="shared" si="184"/>
        <v>0</v>
      </c>
      <c r="S457" s="164">
        <f t="shared" si="185"/>
        <v>5.2</v>
      </c>
      <c r="T457" s="164">
        <f t="shared" si="186"/>
        <v>0</v>
      </c>
      <c r="U457" s="164">
        <f t="shared" si="187"/>
        <v>242.67</v>
      </c>
      <c r="V457" s="393">
        <f t="shared" si="188"/>
        <v>242.67</v>
      </c>
      <c r="W457" s="393">
        <f t="shared" si="189"/>
        <v>0</v>
      </c>
      <c r="Y457" s="393">
        <f t="shared" si="192"/>
        <v>5.25</v>
      </c>
      <c r="Z457" s="393">
        <f t="shared" si="193"/>
        <v>231.66</v>
      </c>
      <c r="AD457" s="395">
        <f>IF(AH457&gt;AH456,AD456,IF(AD456&lt;MiscData!$F$1,EOMONTH(AD456,1),EOMONTH(AD456,-11)))</f>
        <v>41820</v>
      </c>
      <c r="AE457" s="389" t="str">
        <f t="shared" si="190"/>
        <v>20140101KUUM_375</v>
      </c>
      <c r="AF457" s="437" t="str">
        <f t="shared" si="191"/>
        <v>20140101LS</v>
      </c>
      <c r="AG457" s="438"/>
      <c r="AH457" s="34">
        <f>IF(AH456=MiscData!$AB$91,1,AH456+1)</f>
        <v>16</v>
      </c>
      <c r="AI457" s="34">
        <f>IF(AD457&lt;=MiscData!$B$23,MiscData!$C$23,IF(AD457&lt;=MiscData!$B$24,MiscData!$C$24,MiscData!$C$25))</f>
        <v>20140101</v>
      </c>
      <c r="AK457" s="439" t="str">
        <f>VLOOKUP(AM457,MiscData!$AB$4:$ACB$113,2,FALSE)</f>
        <v>KUUM_375</v>
      </c>
      <c r="AL457" s="439" t="str">
        <f>VLOOKUP(AM457,MiscData!$AB$4:$AE$115,4,FALSE)</f>
        <v>LS</v>
      </c>
      <c r="AM457" s="34">
        <f>IF(AM456=MiscData!$AB$91,1,AM456+1)</f>
        <v>16</v>
      </c>
    </row>
    <row r="458" spans="1:39">
      <c r="A458" s="389">
        <f t="shared" si="194"/>
        <v>457</v>
      </c>
      <c r="B458" s="395" t="str">
        <f t="shared" si="175"/>
        <v>Jun 2014</v>
      </c>
      <c r="C458" s="396" t="str">
        <f t="shared" si="176"/>
        <v>LS</v>
      </c>
      <c r="D458" s="396" t="str">
        <f t="shared" si="177"/>
        <v>KUUM_376</v>
      </c>
      <c r="E458" s="394">
        <f t="shared" si="178"/>
        <v>2</v>
      </c>
      <c r="F458" s="397"/>
      <c r="G458" s="394">
        <f t="shared" si="179"/>
        <v>104</v>
      </c>
      <c r="H458" s="394"/>
      <c r="I458" s="390">
        <f t="shared" si="180"/>
        <v>77.259999999999991</v>
      </c>
      <c r="J458" s="390">
        <f t="shared" si="181"/>
        <v>1.75</v>
      </c>
      <c r="K458" s="391">
        <f t="shared" si="195"/>
        <v>154.52000000000001</v>
      </c>
      <c r="L458" s="398">
        <v>0</v>
      </c>
      <c r="M458" s="398">
        <v>0</v>
      </c>
      <c r="N458" s="164">
        <f t="shared" si="174"/>
        <v>154.52000000000001</v>
      </c>
      <c r="O458" s="399">
        <f t="shared" si="182"/>
        <v>154.52000000000001</v>
      </c>
      <c r="P458" s="392">
        <f t="shared" si="196"/>
        <v>1</v>
      </c>
      <c r="Q458" s="164">
        <f t="shared" si="183"/>
        <v>0.37</v>
      </c>
      <c r="R458" s="164">
        <f t="shared" si="184"/>
        <v>0</v>
      </c>
      <c r="S458" s="164">
        <f t="shared" si="185"/>
        <v>3.39</v>
      </c>
      <c r="T458" s="164">
        <f t="shared" si="186"/>
        <v>0</v>
      </c>
      <c r="U458" s="164">
        <f t="shared" si="187"/>
        <v>158.28</v>
      </c>
      <c r="V458" s="393">
        <f t="shared" si="188"/>
        <v>158.28</v>
      </c>
      <c r="W458" s="393">
        <f t="shared" si="189"/>
        <v>0</v>
      </c>
      <c r="Y458" s="393">
        <f t="shared" si="192"/>
        <v>3.5</v>
      </c>
      <c r="Z458" s="393">
        <f t="shared" si="193"/>
        <v>151.02000000000001</v>
      </c>
      <c r="AD458" s="395">
        <f>IF(AH458&gt;AH457,AD457,IF(AD457&lt;MiscData!$F$1,EOMONTH(AD457,1),EOMONTH(AD457,-11)))</f>
        <v>41820</v>
      </c>
      <c r="AE458" s="389" t="str">
        <f t="shared" si="190"/>
        <v>20140101KUUM_376</v>
      </c>
      <c r="AF458" s="437" t="str">
        <f t="shared" si="191"/>
        <v>20140101LS</v>
      </c>
      <c r="AG458" s="438"/>
      <c r="AH458" s="34">
        <f>IF(AH457=MiscData!$AB$91,1,AH457+1)</f>
        <v>17</v>
      </c>
      <c r="AI458" s="34">
        <f>IF(AD458&lt;=MiscData!$B$23,MiscData!$C$23,IF(AD458&lt;=MiscData!$B$24,MiscData!$C$24,MiscData!$C$25))</f>
        <v>20140101</v>
      </c>
      <c r="AK458" s="439" t="str">
        <f>VLOOKUP(AM458,MiscData!$AB$4:$ACB$113,2,FALSE)</f>
        <v>KUUM_376</v>
      </c>
      <c r="AL458" s="439" t="str">
        <f>VLOOKUP(AM458,MiscData!$AB$4:$AE$115,4,FALSE)</f>
        <v>LS</v>
      </c>
      <c r="AM458" s="34">
        <f>IF(AM457=MiscData!$AB$91,1,AM457+1)</f>
        <v>17</v>
      </c>
    </row>
    <row r="459" spans="1:39">
      <c r="A459" s="389">
        <f t="shared" si="194"/>
        <v>458</v>
      </c>
      <c r="B459" s="395" t="str">
        <f t="shared" si="175"/>
        <v>Jun 2014</v>
      </c>
      <c r="C459" s="396" t="str">
        <f t="shared" si="176"/>
        <v>LS</v>
      </c>
      <c r="D459" s="396" t="str">
        <f t="shared" si="177"/>
        <v>KUUM_377</v>
      </c>
      <c r="E459" s="394">
        <f t="shared" si="178"/>
        <v>51</v>
      </c>
      <c r="F459" s="397"/>
      <c r="G459" s="394">
        <f t="shared" si="179"/>
        <v>2622</v>
      </c>
      <c r="H459" s="394"/>
      <c r="I459" s="390">
        <f t="shared" si="180"/>
        <v>64.19</v>
      </c>
      <c r="J459" s="390">
        <f t="shared" si="181"/>
        <v>1.75</v>
      </c>
      <c r="K459" s="391">
        <f t="shared" si="195"/>
        <v>3273.69</v>
      </c>
      <c r="L459" s="398">
        <v>0</v>
      </c>
      <c r="M459" s="398">
        <v>0</v>
      </c>
      <c r="N459" s="164">
        <f t="shared" si="174"/>
        <v>3273.69</v>
      </c>
      <c r="O459" s="399">
        <f t="shared" si="182"/>
        <v>3273.69</v>
      </c>
      <c r="P459" s="392">
        <f t="shared" si="196"/>
        <v>1</v>
      </c>
      <c r="Q459" s="164">
        <f t="shared" si="183"/>
        <v>9.36</v>
      </c>
      <c r="R459" s="164">
        <f t="shared" si="184"/>
        <v>0</v>
      </c>
      <c r="S459" s="164">
        <f t="shared" si="185"/>
        <v>71.91</v>
      </c>
      <c r="T459" s="164">
        <f t="shared" si="186"/>
        <v>0</v>
      </c>
      <c r="U459" s="164">
        <f t="shared" si="187"/>
        <v>3354.96</v>
      </c>
      <c r="V459" s="393">
        <f t="shared" si="188"/>
        <v>3354.96</v>
      </c>
      <c r="W459" s="393">
        <f t="shared" si="189"/>
        <v>0</v>
      </c>
      <c r="Y459" s="393">
        <f t="shared" si="192"/>
        <v>89.25</v>
      </c>
      <c r="Z459" s="393">
        <f t="shared" si="193"/>
        <v>3184.44</v>
      </c>
      <c r="AD459" s="395">
        <f>IF(AH459&gt;AH458,AD458,IF(AD458&lt;MiscData!$F$1,EOMONTH(AD458,1),EOMONTH(AD458,-11)))</f>
        <v>41820</v>
      </c>
      <c r="AE459" s="389" t="str">
        <f t="shared" si="190"/>
        <v>20140101KUUM_377</v>
      </c>
      <c r="AF459" s="437" t="str">
        <f t="shared" si="191"/>
        <v>20140101LS</v>
      </c>
      <c r="AG459" s="438"/>
      <c r="AH459" s="34">
        <f>IF(AH458=MiscData!$AB$91,1,AH458+1)</f>
        <v>18</v>
      </c>
      <c r="AI459" s="34">
        <f>IF(AD459&lt;=MiscData!$B$23,MiscData!$C$23,IF(AD459&lt;=MiscData!$B$24,MiscData!$C$24,MiscData!$C$25))</f>
        <v>20140101</v>
      </c>
      <c r="AK459" s="439" t="str">
        <f>VLOOKUP(AM459,MiscData!$AB$4:$ACB$113,2,FALSE)</f>
        <v>KUUM_377</v>
      </c>
      <c r="AL459" s="439" t="str">
        <f>VLOOKUP(AM459,MiscData!$AB$4:$AE$115,4,FALSE)</f>
        <v>LS</v>
      </c>
      <c r="AM459" s="34">
        <f>IF(AM458=MiscData!$AB$91,1,AM458+1)</f>
        <v>18</v>
      </c>
    </row>
    <row r="460" spans="1:39">
      <c r="A460" s="389">
        <f t="shared" si="194"/>
        <v>459</v>
      </c>
      <c r="B460" s="395" t="str">
        <f t="shared" si="175"/>
        <v>Jun 2014</v>
      </c>
      <c r="C460" s="396" t="str">
        <f t="shared" si="176"/>
        <v>LS</v>
      </c>
      <c r="D460" s="396" t="str">
        <f t="shared" si="177"/>
        <v>KUUM_378</v>
      </c>
      <c r="E460" s="394">
        <f t="shared" si="178"/>
        <v>2</v>
      </c>
      <c r="F460" s="397"/>
      <c r="G460" s="394">
        <f t="shared" si="179"/>
        <v>97</v>
      </c>
      <c r="H460" s="394"/>
      <c r="I460" s="390">
        <f t="shared" si="180"/>
        <v>75.899999999999991</v>
      </c>
      <c r="J460" s="390">
        <f t="shared" si="181"/>
        <v>1.75</v>
      </c>
      <c r="K460" s="391">
        <f t="shared" si="195"/>
        <v>151.80000000000001</v>
      </c>
      <c r="L460" s="398">
        <v>0</v>
      </c>
      <c r="M460" s="398">
        <v>0</v>
      </c>
      <c r="N460" s="164">
        <f t="shared" si="174"/>
        <v>151.80000000000001</v>
      </c>
      <c r="O460" s="399">
        <f t="shared" si="182"/>
        <v>151.79999999999998</v>
      </c>
      <c r="P460" s="392">
        <f t="shared" si="196"/>
        <v>1</v>
      </c>
      <c r="Q460" s="164">
        <f t="shared" si="183"/>
        <v>0.35</v>
      </c>
      <c r="R460" s="164">
        <f t="shared" si="184"/>
        <v>0</v>
      </c>
      <c r="S460" s="164">
        <f t="shared" si="185"/>
        <v>3.33</v>
      </c>
      <c r="T460" s="164">
        <f t="shared" si="186"/>
        <v>0</v>
      </c>
      <c r="U460" s="164">
        <f t="shared" si="187"/>
        <v>155.47999999999999</v>
      </c>
      <c r="V460" s="393">
        <f t="shared" si="188"/>
        <v>155.48000000000002</v>
      </c>
      <c r="W460" s="393">
        <f t="shared" si="189"/>
        <v>0</v>
      </c>
      <c r="Y460" s="393">
        <f t="shared" si="192"/>
        <v>3.5</v>
      </c>
      <c r="Z460" s="393">
        <f t="shared" si="193"/>
        <v>148.29999999999998</v>
      </c>
      <c r="AD460" s="395">
        <f>IF(AH460&gt;AH459,AD459,IF(AD459&lt;MiscData!$F$1,EOMONTH(AD459,1),EOMONTH(AD459,-11)))</f>
        <v>41820</v>
      </c>
      <c r="AE460" s="389" t="str">
        <f t="shared" si="190"/>
        <v>20140101KUUM_378</v>
      </c>
      <c r="AF460" s="437" t="str">
        <f t="shared" si="191"/>
        <v>20140101LS</v>
      </c>
      <c r="AG460" s="438"/>
      <c r="AH460" s="34">
        <f>IF(AH459=MiscData!$AB$91,1,AH459+1)</f>
        <v>19</v>
      </c>
      <c r="AI460" s="34">
        <f>IF(AD460&lt;=MiscData!$B$23,MiscData!$C$23,IF(AD460&lt;=MiscData!$B$24,MiscData!$C$24,MiscData!$C$25))</f>
        <v>20140101</v>
      </c>
      <c r="AK460" s="439" t="str">
        <f>VLOOKUP(AM460,MiscData!$AB$4:$ACB$113,2,FALSE)</f>
        <v>KUUM_378</v>
      </c>
      <c r="AL460" s="439" t="str">
        <f>VLOOKUP(AM460,MiscData!$AB$4:$AE$115,4,FALSE)</f>
        <v>LS</v>
      </c>
      <c r="AM460" s="34">
        <f>IF(AM459=MiscData!$AB$91,1,AM459+1)</f>
        <v>19</v>
      </c>
    </row>
    <row r="461" spans="1:39">
      <c r="A461" s="389">
        <f t="shared" si="194"/>
        <v>460</v>
      </c>
      <c r="B461" s="395" t="str">
        <f t="shared" si="175"/>
        <v>Jun 2014</v>
      </c>
      <c r="C461" s="396" t="str">
        <f t="shared" si="176"/>
        <v>LS</v>
      </c>
      <c r="D461" s="396" t="str">
        <f t="shared" si="177"/>
        <v>KUUM_401</v>
      </c>
      <c r="E461" s="394">
        <f t="shared" si="178"/>
        <v>52</v>
      </c>
      <c r="F461" s="397"/>
      <c r="G461" s="394">
        <f t="shared" si="179"/>
        <v>1185</v>
      </c>
      <c r="H461" s="394"/>
      <c r="I461" s="390">
        <f t="shared" si="180"/>
        <v>14.860000000000001</v>
      </c>
      <c r="J461" s="390">
        <f t="shared" si="181"/>
        <v>0.80000000000000071</v>
      </c>
      <c r="K461" s="391">
        <f t="shared" si="195"/>
        <v>772.72</v>
      </c>
      <c r="L461" s="398">
        <v>0</v>
      </c>
      <c r="M461" s="398">
        <v>0</v>
      </c>
      <c r="N461" s="164">
        <f t="shared" si="174"/>
        <v>772.72</v>
      </c>
      <c r="O461" s="399">
        <f t="shared" si="182"/>
        <v>772.72</v>
      </c>
      <c r="P461" s="392">
        <f t="shared" si="196"/>
        <v>1</v>
      </c>
      <c r="Q461" s="164">
        <f t="shared" si="183"/>
        <v>5.52</v>
      </c>
      <c r="R461" s="164">
        <f t="shared" si="184"/>
        <v>0</v>
      </c>
      <c r="S461" s="164">
        <f t="shared" si="185"/>
        <v>21.84</v>
      </c>
      <c r="T461" s="164">
        <f t="shared" si="186"/>
        <v>0</v>
      </c>
      <c r="U461" s="164">
        <f t="shared" si="187"/>
        <v>800.08</v>
      </c>
      <c r="V461" s="393">
        <f t="shared" si="188"/>
        <v>800.08</v>
      </c>
      <c r="W461" s="393">
        <f t="shared" si="189"/>
        <v>0</v>
      </c>
      <c r="Y461" s="393">
        <f t="shared" si="192"/>
        <v>41.6</v>
      </c>
      <c r="Z461" s="393">
        <f t="shared" si="193"/>
        <v>731.12</v>
      </c>
      <c r="AD461" s="395">
        <f>IF(AH461&gt;AH460,AD460,IF(AD460&lt;MiscData!$F$1,EOMONTH(AD460,1),EOMONTH(AD460,-11)))</f>
        <v>41820</v>
      </c>
      <c r="AE461" s="389" t="str">
        <f t="shared" si="190"/>
        <v>20140101KUUM_401</v>
      </c>
      <c r="AF461" s="437" t="str">
        <f t="shared" si="191"/>
        <v>20140101LS</v>
      </c>
      <c r="AG461" s="438"/>
      <c r="AH461" s="34">
        <f>IF(AH460=MiscData!$AB$91,1,AH460+1)</f>
        <v>20</v>
      </c>
      <c r="AI461" s="34">
        <f>IF(AD461&lt;=MiscData!$B$23,MiscData!$C$23,IF(AD461&lt;=MiscData!$B$24,MiscData!$C$24,MiscData!$C$25))</f>
        <v>20140101</v>
      </c>
      <c r="AK461" s="439" t="str">
        <f>VLOOKUP(AM461,MiscData!$AB$4:$ACB$113,2,FALSE)</f>
        <v>KUUM_401</v>
      </c>
      <c r="AL461" s="439" t="str">
        <f>VLOOKUP(AM461,MiscData!$AB$4:$AE$115,4,FALSE)</f>
        <v>LS</v>
      </c>
      <c r="AM461" s="34">
        <f>IF(AM460=MiscData!$AB$91,1,AM460+1)</f>
        <v>20</v>
      </c>
    </row>
    <row r="462" spans="1:39">
      <c r="A462" s="389">
        <f t="shared" si="194"/>
        <v>461</v>
      </c>
      <c r="B462" s="395" t="str">
        <f t="shared" si="175"/>
        <v>Jun 2014</v>
      </c>
      <c r="C462" s="396" t="str">
        <f t="shared" si="176"/>
        <v>RLS</v>
      </c>
      <c r="D462" s="396" t="str">
        <f t="shared" si="177"/>
        <v>KUUM_404</v>
      </c>
      <c r="E462" s="394">
        <f t="shared" si="178"/>
        <v>7133</v>
      </c>
      <c r="F462" s="397"/>
      <c r="G462" s="394">
        <f t="shared" si="179"/>
        <v>397531</v>
      </c>
      <c r="H462" s="394"/>
      <c r="I462" s="390">
        <f t="shared" si="180"/>
        <v>10.570000000000002</v>
      </c>
      <c r="J462" s="390">
        <f t="shared" si="181"/>
        <v>1.9900000000000002</v>
      </c>
      <c r="K462" s="391">
        <f t="shared" si="195"/>
        <v>75395.81</v>
      </c>
      <c r="L462" s="398">
        <v>-496.9</v>
      </c>
      <c r="M462" s="398">
        <v>0</v>
      </c>
      <c r="N462" s="164">
        <f t="shared" si="174"/>
        <v>74898.91</v>
      </c>
      <c r="O462" s="399">
        <f t="shared" si="182"/>
        <v>74898.91</v>
      </c>
      <c r="P462" s="392">
        <f t="shared" si="196"/>
        <v>1</v>
      </c>
      <c r="Q462" s="164">
        <f t="shared" si="183"/>
        <v>1966.27</v>
      </c>
      <c r="R462" s="164">
        <f t="shared" si="184"/>
        <v>0</v>
      </c>
      <c r="S462" s="164">
        <f t="shared" si="185"/>
        <v>2267.2800000000002</v>
      </c>
      <c r="T462" s="164">
        <f t="shared" si="186"/>
        <v>0</v>
      </c>
      <c r="U462" s="164">
        <f t="shared" si="187"/>
        <v>79132.460000000006</v>
      </c>
      <c r="V462" s="393">
        <f t="shared" si="188"/>
        <v>79132.460000000006</v>
      </c>
      <c r="W462" s="393">
        <f t="shared" si="189"/>
        <v>0</v>
      </c>
      <c r="Y462" s="393">
        <f t="shared" si="192"/>
        <v>14194.67</v>
      </c>
      <c r="Z462" s="393">
        <f t="shared" si="193"/>
        <v>60704.240000000005</v>
      </c>
      <c r="AD462" s="395">
        <f>IF(AH462&gt;AH461,AD461,IF(AD461&lt;MiscData!$F$1,EOMONTH(AD461,1),EOMONTH(AD461,-11)))</f>
        <v>41820</v>
      </c>
      <c r="AE462" s="389" t="str">
        <f t="shared" si="190"/>
        <v>20140101KUUM_404</v>
      </c>
      <c r="AF462" s="437" t="str">
        <f t="shared" si="191"/>
        <v>20140101RLS</v>
      </c>
      <c r="AG462" s="438"/>
      <c r="AH462" s="34">
        <f>IF(AH461=MiscData!$AB$91,1,AH461+1)</f>
        <v>21</v>
      </c>
      <c r="AI462" s="34">
        <f>IF(AD462&lt;=MiscData!$B$23,MiscData!$C$23,IF(AD462&lt;=MiscData!$B$24,MiscData!$C$24,MiscData!$C$25))</f>
        <v>20140101</v>
      </c>
      <c r="AK462" s="439" t="str">
        <f>VLOOKUP(AM462,MiscData!$AB$4:$ACB$113,2,FALSE)</f>
        <v>KUUM_404</v>
      </c>
      <c r="AL462" s="439" t="str">
        <f>VLOOKUP(AM462,MiscData!$AB$4:$AE$115,4,FALSE)</f>
        <v>RLS</v>
      </c>
      <c r="AM462" s="34">
        <f>IF(AM461=MiscData!$AB$91,1,AM461+1)</f>
        <v>21</v>
      </c>
    </row>
    <row r="463" spans="1:39">
      <c r="A463" s="389">
        <f t="shared" si="194"/>
        <v>462</v>
      </c>
      <c r="B463" s="395" t="str">
        <f t="shared" si="175"/>
        <v>Jun 2014</v>
      </c>
      <c r="C463" s="396" t="str">
        <f t="shared" si="176"/>
        <v>RLS</v>
      </c>
      <c r="D463" s="396" t="str">
        <f t="shared" si="177"/>
        <v>KUUM_405</v>
      </c>
      <c r="E463" s="394">
        <f t="shared" si="178"/>
        <v>0</v>
      </c>
      <c r="F463" s="397"/>
      <c r="G463" s="394">
        <f t="shared" si="179"/>
        <v>0</v>
      </c>
      <c r="H463" s="394"/>
      <c r="I463" s="390">
        <f t="shared" si="180"/>
        <v>0</v>
      </c>
      <c r="J463" s="390">
        <f t="shared" si="181"/>
        <v>0</v>
      </c>
      <c r="K463" s="391">
        <f t="shared" si="195"/>
        <v>0</v>
      </c>
      <c r="L463" s="398">
        <v>0</v>
      </c>
      <c r="M463" s="398">
        <v>0</v>
      </c>
      <c r="N463" s="164">
        <f t="shared" si="174"/>
        <v>0</v>
      </c>
      <c r="O463" s="399">
        <f t="shared" si="182"/>
        <v>0</v>
      </c>
      <c r="P463" s="392">
        <f t="shared" si="196"/>
        <v>1</v>
      </c>
      <c r="Q463" s="164">
        <f t="shared" si="183"/>
        <v>0</v>
      </c>
      <c r="R463" s="164">
        <f t="shared" si="184"/>
        <v>0</v>
      </c>
      <c r="S463" s="164">
        <f t="shared" si="185"/>
        <v>0</v>
      </c>
      <c r="T463" s="164">
        <f t="shared" si="186"/>
        <v>0</v>
      </c>
      <c r="U463" s="164">
        <f t="shared" si="187"/>
        <v>0</v>
      </c>
      <c r="V463" s="393">
        <f t="shared" si="188"/>
        <v>0</v>
      </c>
      <c r="W463" s="393">
        <f t="shared" si="189"/>
        <v>0</v>
      </c>
      <c r="Y463" s="393">
        <f t="shared" si="192"/>
        <v>0</v>
      </c>
      <c r="Z463" s="393">
        <f t="shared" si="193"/>
        <v>0</v>
      </c>
      <c r="AD463" s="395">
        <f>IF(AH463&gt;AH462,AD462,IF(AD462&lt;MiscData!$F$1,EOMONTH(AD462,1),EOMONTH(AD462,-11)))</f>
        <v>41820</v>
      </c>
      <c r="AE463" s="389" t="str">
        <f t="shared" si="190"/>
        <v>20140101KUUM_405</v>
      </c>
      <c r="AF463" s="437" t="str">
        <f t="shared" si="191"/>
        <v>20140101RLS</v>
      </c>
      <c r="AG463" s="438"/>
      <c r="AH463" s="34">
        <f>IF(AH462=MiscData!$AB$91,1,AH462+1)</f>
        <v>22</v>
      </c>
      <c r="AI463" s="34">
        <f>IF(AD463&lt;=MiscData!$B$23,MiscData!$C$23,IF(AD463&lt;=MiscData!$B$24,MiscData!$C$24,MiscData!$C$25))</f>
        <v>20140101</v>
      </c>
      <c r="AK463" s="439" t="str">
        <f>VLOOKUP(AM463,MiscData!$AB$4:$ACB$113,2,FALSE)</f>
        <v>KUUM_405</v>
      </c>
      <c r="AL463" s="439" t="str">
        <f>VLOOKUP(AM463,MiscData!$AB$4:$AE$115,4,FALSE)</f>
        <v>RLS</v>
      </c>
      <c r="AM463" s="34">
        <f>IF(AM462=MiscData!$AB$91,1,AM462+1)</f>
        <v>22</v>
      </c>
    </row>
    <row r="464" spans="1:39">
      <c r="A464" s="389">
        <f t="shared" si="194"/>
        <v>463</v>
      </c>
      <c r="B464" s="395" t="str">
        <f t="shared" si="175"/>
        <v>Jun 2014</v>
      </c>
      <c r="C464" s="396" t="str">
        <f t="shared" si="176"/>
        <v>LS</v>
      </c>
      <c r="D464" s="396" t="str">
        <f t="shared" si="177"/>
        <v>KUUM_407</v>
      </c>
      <c r="E464" s="394">
        <f t="shared" si="178"/>
        <v>0</v>
      </c>
      <c r="F464" s="397"/>
      <c r="G464" s="394">
        <f t="shared" si="179"/>
        <v>0</v>
      </c>
      <c r="H464" s="394"/>
      <c r="I464" s="390">
        <f t="shared" si="180"/>
        <v>0</v>
      </c>
      <c r="J464" s="390">
        <f t="shared" si="181"/>
        <v>0</v>
      </c>
      <c r="K464" s="391">
        <f t="shared" si="195"/>
        <v>0</v>
      </c>
      <c r="L464" s="398">
        <v>0</v>
      </c>
      <c r="M464" s="398">
        <v>0</v>
      </c>
      <c r="N464" s="164">
        <f t="shared" si="174"/>
        <v>0</v>
      </c>
      <c r="O464" s="399">
        <f t="shared" si="182"/>
        <v>0</v>
      </c>
      <c r="P464" s="392">
        <f t="shared" si="196"/>
        <v>1</v>
      </c>
      <c r="Q464" s="164">
        <f t="shared" si="183"/>
        <v>0</v>
      </c>
      <c r="R464" s="164">
        <f t="shared" si="184"/>
        <v>0</v>
      </c>
      <c r="S464" s="164">
        <f t="shared" si="185"/>
        <v>0</v>
      </c>
      <c r="T464" s="164">
        <f t="shared" si="186"/>
        <v>0</v>
      </c>
      <c r="U464" s="164">
        <f t="shared" si="187"/>
        <v>0</v>
      </c>
      <c r="V464" s="393">
        <f t="shared" si="188"/>
        <v>0</v>
      </c>
      <c r="W464" s="393">
        <f t="shared" si="189"/>
        <v>0</v>
      </c>
      <c r="Y464" s="393">
        <f t="shared" si="192"/>
        <v>0</v>
      </c>
      <c r="Z464" s="393">
        <f t="shared" si="193"/>
        <v>0</v>
      </c>
      <c r="AD464" s="395">
        <f>IF(AH464&gt;AH463,AD463,IF(AD463&lt;MiscData!$F$1,EOMONTH(AD463,1),EOMONTH(AD463,-11)))</f>
        <v>41820</v>
      </c>
      <c r="AE464" s="389" t="str">
        <f t="shared" si="190"/>
        <v>20140101KUUM_407</v>
      </c>
      <c r="AF464" s="437" t="str">
        <f t="shared" si="191"/>
        <v>20140101LS</v>
      </c>
      <c r="AG464" s="438"/>
      <c r="AH464" s="34">
        <f>IF(AH463=MiscData!$AB$91,1,AH463+1)</f>
        <v>23</v>
      </c>
      <c r="AI464" s="34">
        <f>IF(AD464&lt;=MiscData!$B$23,MiscData!$C$23,IF(AD464&lt;=MiscData!$B$24,MiscData!$C$24,MiscData!$C$25))</f>
        <v>20140101</v>
      </c>
      <c r="AK464" s="439" t="str">
        <f>VLOOKUP(AM464,MiscData!$AB$4:$ACB$113,2,FALSE)</f>
        <v>KUUM_407</v>
      </c>
      <c r="AL464" s="439" t="str">
        <f>VLOOKUP(AM464,MiscData!$AB$4:$AE$115,4,FALSE)</f>
        <v>LS</v>
      </c>
      <c r="AM464" s="34">
        <f>IF(AM463=MiscData!$AB$91,1,AM463+1)</f>
        <v>23</v>
      </c>
    </row>
    <row r="465" spans="1:39">
      <c r="A465" s="389">
        <f t="shared" si="194"/>
        <v>464</v>
      </c>
      <c r="B465" s="395" t="str">
        <f t="shared" si="175"/>
        <v>Jun 2014</v>
      </c>
      <c r="C465" s="396" t="str">
        <f t="shared" si="176"/>
        <v>RLS</v>
      </c>
      <c r="D465" s="396" t="str">
        <f t="shared" si="177"/>
        <v>KUUM_409</v>
      </c>
      <c r="E465" s="394">
        <f t="shared" si="178"/>
        <v>141</v>
      </c>
      <c r="F465" s="397"/>
      <c r="G465" s="394">
        <f t="shared" si="179"/>
        <v>18054</v>
      </c>
      <c r="H465" s="394"/>
      <c r="I465" s="390">
        <f t="shared" si="180"/>
        <v>11.71</v>
      </c>
      <c r="J465" s="390">
        <f t="shared" si="181"/>
        <v>4.5299999999999994</v>
      </c>
      <c r="K465" s="391">
        <f t="shared" si="195"/>
        <v>1651.11</v>
      </c>
      <c r="L465" s="398">
        <v>-1.51</v>
      </c>
      <c r="M465" s="398">
        <v>0</v>
      </c>
      <c r="N465" s="164">
        <f t="shared" si="174"/>
        <v>1649.6</v>
      </c>
      <c r="O465" s="399">
        <f t="shared" si="182"/>
        <v>1649.6</v>
      </c>
      <c r="P465" s="392">
        <f t="shared" si="196"/>
        <v>1</v>
      </c>
      <c r="Q465" s="164">
        <f t="shared" si="183"/>
        <v>85.34</v>
      </c>
      <c r="R465" s="164">
        <f t="shared" si="184"/>
        <v>0</v>
      </c>
      <c r="S465" s="164">
        <f t="shared" si="185"/>
        <v>49.57</v>
      </c>
      <c r="T465" s="164">
        <f t="shared" si="186"/>
        <v>0</v>
      </c>
      <c r="U465" s="164">
        <f t="shared" si="187"/>
        <v>1784.51</v>
      </c>
      <c r="V465" s="393">
        <f t="shared" si="188"/>
        <v>1784.5099999999998</v>
      </c>
      <c r="W465" s="393">
        <f t="shared" si="189"/>
        <v>0</v>
      </c>
      <c r="Y465" s="393">
        <f t="shared" si="192"/>
        <v>638.73</v>
      </c>
      <c r="Z465" s="393">
        <f t="shared" si="193"/>
        <v>1010.8699999999999</v>
      </c>
      <c r="AD465" s="395">
        <f>IF(AH465&gt;AH464,AD464,IF(AD464&lt;MiscData!$F$1,EOMONTH(AD464,1),EOMONTH(AD464,-11)))</f>
        <v>41820</v>
      </c>
      <c r="AE465" s="389" t="str">
        <f t="shared" si="190"/>
        <v>20140101KUUM_409</v>
      </c>
      <c r="AF465" s="437" t="str">
        <f t="shared" si="191"/>
        <v>20140101RLS</v>
      </c>
      <c r="AG465" s="438"/>
      <c r="AH465" s="34">
        <f>IF(AH464=MiscData!$AB$91,1,AH464+1)</f>
        <v>24</v>
      </c>
      <c r="AI465" s="34">
        <f>IF(AD465&lt;=MiscData!$B$23,MiscData!$C$23,IF(AD465&lt;=MiscData!$B$24,MiscData!$C$24,MiscData!$C$25))</f>
        <v>20140101</v>
      </c>
      <c r="AK465" s="439" t="str">
        <f>VLOOKUP(AM465,MiscData!$AB$4:$ACB$113,2,FALSE)</f>
        <v>KUUM_409</v>
      </c>
      <c r="AL465" s="439" t="str">
        <f>VLOOKUP(AM465,MiscData!$AB$4:$AE$115,4,FALSE)</f>
        <v>RLS</v>
      </c>
      <c r="AM465" s="34">
        <f>IF(AM464=MiscData!$AB$91,1,AM464+1)</f>
        <v>24</v>
      </c>
    </row>
    <row r="466" spans="1:39">
      <c r="A466" s="389">
        <f t="shared" si="194"/>
        <v>465</v>
      </c>
      <c r="B466" s="395" t="str">
        <f t="shared" si="175"/>
        <v>Jun 2014</v>
      </c>
      <c r="C466" s="396" t="str">
        <f t="shared" si="176"/>
        <v>RLS</v>
      </c>
      <c r="D466" s="396" t="str">
        <f t="shared" si="177"/>
        <v>KUUM_410</v>
      </c>
      <c r="E466" s="394">
        <f t="shared" si="178"/>
        <v>240</v>
      </c>
      <c r="F466" s="397"/>
      <c r="G466" s="394">
        <f t="shared" si="179"/>
        <v>4041</v>
      </c>
      <c r="H466" s="394"/>
      <c r="I466" s="390">
        <f t="shared" si="180"/>
        <v>20.259999999999998</v>
      </c>
      <c r="J466" s="390">
        <f t="shared" si="181"/>
        <v>0.57000000000000028</v>
      </c>
      <c r="K466" s="391">
        <f t="shared" si="195"/>
        <v>4862.3999999999996</v>
      </c>
      <c r="L466" s="398">
        <v>0</v>
      </c>
      <c r="M466" s="398">
        <v>0</v>
      </c>
      <c r="N466" s="164">
        <f t="shared" si="174"/>
        <v>4862.3999999999996</v>
      </c>
      <c r="O466" s="399">
        <f t="shared" si="182"/>
        <v>4862.4000000000005</v>
      </c>
      <c r="P466" s="392">
        <f t="shared" si="196"/>
        <v>1</v>
      </c>
      <c r="Q466" s="164">
        <f t="shared" si="183"/>
        <v>20.079999999999998</v>
      </c>
      <c r="R466" s="164">
        <f t="shared" si="184"/>
        <v>0</v>
      </c>
      <c r="S466" s="164">
        <f t="shared" si="185"/>
        <v>145.99</v>
      </c>
      <c r="T466" s="164">
        <f t="shared" si="186"/>
        <v>0</v>
      </c>
      <c r="U466" s="164">
        <f t="shared" si="187"/>
        <v>5028.47</v>
      </c>
      <c r="V466" s="393">
        <f t="shared" si="188"/>
        <v>5028.4699999999993</v>
      </c>
      <c r="W466" s="393">
        <f t="shared" si="189"/>
        <v>0</v>
      </c>
      <c r="Y466" s="393">
        <f t="shared" si="192"/>
        <v>136.80000000000001</v>
      </c>
      <c r="Z466" s="393">
        <f t="shared" si="193"/>
        <v>4725.6000000000004</v>
      </c>
      <c r="AD466" s="395">
        <f>IF(AH466&gt;AH465,AD465,IF(AD465&lt;MiscData!$F$1,EOMONTH(AD465,1),EOMONTH(AD465,-11)))</f>
        <v>41820</v>
      </c>
      <c r="AE466" s="389" t="str">
        <f t="shared" si="190"/>
        <v>20140101KUUM_410</v>
      </c>
      <c r="AF466" s="437" t="str">
        <f t="shared" si="191"/>
        <v>20140101RLS</v>
      </c>
      <c r="AG466" s="438"/>
      <c r="AH466" s="34">
        <f>IF(AH465=MiscData!$AB$91,1,AH465+1)</f>
        <v>25</v>
      </c>
      <c r="AI466" s="34">
        <f>IF(AD466&lt;=MiscData!$B$23,MiscData!$C$23,IF(AD466&lt;=MiscData!$B$24,MiscData!$C$24,MiscData!$C$25))</f>
        <v>20140101</v>
      </c>
      <c r="AK466" s="439" t="str">
        <f>VLOOKUP(AM466,MiscData!$AB$4:$ACB$113,2,FALSE)</f>
        <v>KUUM_410</v>
      </c>
      <c r="AL466" s="439" t="str">
        <f>VLOOKUP(AM466,MiscData!$AB$4:$AE$115,4,FALSE)</f>
        <v>RLS</v>
      </c>
      <c r="AM466" s="34">
        <f>IF(AM465=MiscData!$AB$91,1,AM465+1)</f>
        <v>25</v>
      </c>
    </row>
    <row r="467" spans="1:39">
      <c r="A467" s="389">
        <f t="shared" si="194"/>
        <v>466</v>
      </c>
      <c r="B467" s="395" t="str">
        <f t="shared" si="175"/>
        <v>Jun 2014</v>
      </c>
      <c r="C467" s="396" t="str">
        <f t="shared" si="176"/>
        <v>LS</v>
      </c>
      <c r="D467" s="396" t="str">
        <f t="shared" si="177"/>
        <v>KUUM_411</v>
      </c>
      <c r="E467" s="394">
        <f t="shared" si="178"/>
        <v>150</v>
      </c>
      <c r="F467" s="397"/>
      <c r="G467" s="394">
        <f t="shared" si="179"/>
        <v>3441</v>
      </c>
      <c r="H467" s="394"/>
      <c r="I467" s="390">
        <f t="shared" si="180"/>
        <v>21.38</v>
      </c>
      <c r="J467" s="390">
        <f t="shared" si="181"/>
        <v>0.79999999999999716</v>
      </c>
      <c r="K467" s="391">
        <f t="shared" si="195"/>
        <v>3207</v>
      </c>
      <c r="L467" s="398">
        <v>0</v>
      </c>
      <c r="M467" s="398">
        <v>0</v>
      </c>
      <c r="N467" s="164">
        <f t="shared" si="174"/>
        <v>3207</v>
      </c>
      <c r="O467" s="399">
        <f t="shared" si="182"/>
        <v>3207</v>
      </c>
      <c r="P467" s="392">
        <f t="shared" si="196"/>
        <v>1</v>
      </c>
      <c r="Q467" s="164">
        <f t="shared" si="183"/>
        <v>17.100000000000001</v>
      </c>
      <c r="R467" s="164">
        <f t="shared" si="184"/>
        <v>0</v>
      </c>
      <c r="S467" s="164">
        <f t="shared" si="185"/>
        <v>96.39</v>
      </c>
      <c r="T467" s="164">
        <f t="shared" si="186"/>
        <v>0</v>
      </c>
      <c r="U467" s="164">
        <f t="shared" si="187"/>
        <v>3320.49</v>
      </c>
      <c r="V467" s="393">
        <f t="shared" si="188"/>
        <v>3320.49</v>
      </c>
      <c r="W467" s="393">
        <f t="shared" si="189"/>
        <v>0</v>
      </c>
      <c r="Y467" s="393">
        <f t="shared" si="192"/>
        <v>120</v>
      </c>
      <c r="Z467" s="393">
        <f t="shared" si="193"/>
        <v>3087</v>
      </c>
      <c r="AD467" s="395">
        <f>IF(AH467&gt;AH466,AD466,IF(AD466&lt;MiscData!$F$1,EOMONTH(AD466,1),EOMONTH(AD466,-11)))</f>
        <v>41820</v>
      </c>
      <c r="AE467" s="389" t="str">
        <f t="shared" si="190"/>
        <v>20140101KUUM_411</v>
      </c>
      <c r="AF467" s="437" t="str">
        <f t="shared" si="191"/>
        <v>20140101LS</v>
      </c>
      <c r="AG467" s="438"/>
      <c r="AH467" s="34">
        <f>IF(AH466=MiscData!$AB$91,1,AH466+1)</f>
        <v>26</v>
      </c>
      <c r="AI467" s="34">
        <f>IF(AD467&lt;=MiscData!$B$23,MiscData!$C$23,IF(AD467&lt;=MiscData!$B$24,MiscData!$C$24,MiscData!$C$25))</f>
        <v>20140101</v>
      </c>
      <c r="AK467" s="439" t="str">
        <f>VLOOKUP(AM467,MiscData!$AB$4:$ACB$113,2,FALSE)</f>
        <v>KUUM_411</v>
      </c>
      <c r="AL467" s="439" t="str">
        <f>VLOOKUP(AM467,MiscData!$AB$4:$AE$115,4,FALSE)</f>
        <v>LS</v>
      </c>
      <c r="AM467" s="34">
        <f>IF(AM466=MiscData!$AB$91,1,AM466+1)</f>
        <v>26</v>
      </c>
    </row>
    <row r="468" spans="1:39">
      <c r="A468" s="389">
        <f t="shared" si="194"/>
        <v>467</v>
      </c>
      <c r="B468" s="395" t="str">
        <f t="shared" si="175"/>
        <v>Jun 2014</v>
      </c>
      <c r="C468" s="396" t="str">
        <f t="shared" si="176"/>
        <v>RLS</v>
      </c>
      <c r="D468" s="396" t="str">
        <f t="shared" si="177"/>
        <v>KUUM_412</v>
      </c>
      <c r="E468" s="394">
        <f t="shared" si="178"/>
        <v>28</v>
      </c>
      <c r="F468" s="397"/>
      <c r="G468" s="394">
        <f t="shared" si="179"/>
        <v>672</v>
      </c>
      <c r="H468" s="394"/>
      <c r="I468" s="390">
        <f t="shared" si="180"/>
        <v>30.84</v>
      </c>
      <c r="J468" s="390">
        <f t="shared" si="181"/>
        <v>0.79999999999999716</v>
      </c>
      <c r="K468" s="391">
        <f t="shared" si="195"/>
        <v>863.52</v>
      </c>
      <c r="L468" s="398">
        <v>0</v>
      </c>
      <c r="M468" s="398">
        <v>0</v>
      </c>
      <c r="N468" s="164">
        <f t="shared" si="174"/>
        <v>863.52</v>
      </c>
      <c r="O468" s="399">
        <f t="shared" si="182"/>
        <v>863.52</v>
      </c>
      <c r="P468" s="392">
        <f t="shared" si="196"/>
        <v>1</v>
      </c>
      <c r="Q468" s="164">
        <f t="shared" si="183"/>
        <v>3.34</v>
      </c>
      <c r="R468" s="164">
        <f t="shared" si="184"/>
        <v>0</v>
      </c>
      <c r="S468" s="164">
        <f t="shared" si="185"/>
        <v>25.92</v>
      </c>
      <c r="T468" s="164">
        <f t="shared" si="186"/>
        <v>0</v>
      </c>
      <c r="U468" s="164">
        <f t="shared" si="187"/>
        <v>892.78</v>
      </c>
      <c r="V468" s="393">
        <f t="shared" si="188"/>
        <v>892.78</v>
      </c>
      <c r="W468" s="393">
        <f t="shared" si="189"/>
        <v>0</v>
      </c>
      <c r="Y468" s="393">
        <f t="shared" si="192"/>
        <v>22.4</v>
      </c>
      <c r="Z468" s="393">
        <f t="shared" si="193"/>
        <v>841.12</v>
      </c>
      <c r="AD468" s="395">
        <f>IF(AH468&gt;AH467,AD467,IF(AD467&lt;MiscData!$F$1,EOMONTH(AD467,1),EOMONTH(AD467,-11)))</f>
        <v>41820</v>
      </c>
      <c r="AE468" s="389" t="str">
        <f t="shared" si="190"/>
        <v>20140101KUUM_412</v>
      </c>
      <c r="AF468" s="437" t="str">
        <f t="shared" si="191"/>
        <v>20140101RLS</v>
      </c>
      <c r="AG468" s="438"/>
      <c r="AH468" s="34">
        <f>IF(AH467=MiscData!$AB$91,1,AH467+1)</f>
        <v>27</v>
      </c>
      <c r="AI468" s="34">
        <f>IF(AD468&lt;=MiscData!$B$23,MiscData!$C$23,IF(AD468&lt;=MiscData!$B$24,MiscData!$C$24,MiscData!$C$25))</f>
        <v>20140101</v>
      </c>
      <c r="AK468" s="439" t="str">
        <f>VLOOKUP(AM468,MiscData!$AB$4:$ACB$113,2,FALSE)</f>
        <v>KUUM_412</v>
      </c>
      <c r="AL468" s="439" t="str">
        <f>VLOOKUP(AM468,MiscData!$AB$4:$AE$115,4,FALSE)</f>
        <v>RLS</v>
      </c>
      <c r="AM468" s="34">
        <f>IF(AM467=MiscData!$AB$91,1,AM467+1)</f>
        <v>27</v>
      </c>
    </row>
    <row r="469" spans="1:39">
      <c r="A469" s="389">
        <f t="shared" si="194"/>
        <v>468</v>
      </c>
      <c r="B469" s="395" t="str">
        <f t="shared" si="175"/>
        <v>Jun 2014</v>
      </c>
      <c r="C469" s="396" t="str">
        <f t="shared" si="176"/>
        <v>RLS</v>
      </c>
      <c r="D469" s="396" t="str">
        <f t="shared" si="177"/>
        <v>KUUM_413</v>
      </c>
      <c r="E469" s="394">
        <f t="shared" si="178"/>
        <v>96</v>
      </c>
      <c r="F469" s="397"/>
      <c r="G469" s="394">
        <f t="shared" si="179"/>
        <v>3113</v>
      </c>
      <c r="H469" s="394"/>
      <c r="I469" s="390">
        <f t="shared" si="180"/>
        <v>31.22</v>
      </c>
      <c r="J469" s="390">
        <f t="shared" si="181"/>
        <v>1.129999999999999</v>
      </c>
      <c r="K469" s="391">
        <f t="shared" si="195"/>
        <v>2997.12</v>
      </c>
      <c r="L469" s="398">
        <v>0</v>
      </c>
      <c r="M469" s="398">
        <v>0</v>
      </c>
      <c r="N469" s="164">
        <f t="shared" si="174"/>
        <v>2997.12</v>
      </c>
      <c r="O469" s="399">
        <f t="shared" si="182"/>
        <v>2997.12</v>
      </c>
      <c r="P469" s="392">
        <f t="shared" si="196"/>
        <v>1</v>
      </c>
      <c r="Q469" s="164">
        <f t="shared" si="183"/>
        <v>15.48</v>
      </c>
      <c r="R469" s="164">
        <f t="shared" si="184"/>
        <v>0</v>
      </c>
      <c r="S469" s="164">
        <f t="shared" si="185"/>
        <v>90.07</v>
      </c>
      <c r="T469" s="164">
        <f t="shared" si="186"/>
        <v>0</v>
      </c>
      <c r="U469" s="164">
        <f t="shared" si="187"/>
        <v>3102.67</v>
      </c>
      <c r="V469" s="393">
        <f t="shared" si="188"/>
        <v>3102.67</v>
      </c>
      <c r="W469" s="393">
        <f t="shared" si="189"/>
        <v>0</v>
      </c>
      <c r="Y469" s="393">
        <f t="shared" si="192"/>
        <v>108.48</v>
      </c>
      <c r="Z469" s="393">
        <f t="shared" si="193"/>
        <v>2888.64</v>
      </c>
      <c r="AD469" s="395">
        <f>IF(AH469&gt;AH468,AD468,IF(AD468&lt;MiscData!$F$1,EOMONTH(AD468,1),EOMONTH(AD468,-11)))</f>
        <v>41820</v>
      </c>
      <c r="AE469" s="389" t="str">
        <f t="shared" si="190"/>
        <v>20140101KUUM_413</v>
      </c>
      <c r="AF469" s="437" t="str">
        <f t="shared" si="191"/>
        <v>20140101RLS</v>
      </c>
      <c r="AG469" s="438"/>
      <c r="AH469" s="34">
        <f>IF(AH468=MiscData!$AB$91,1,AH468+1)</f>
        <v>28</v>
      </c>
      <c r="AI469" s="34">
        <f>IF(AD469&lt;=MiscData!$B$23,MiscData!$C$23,IF(AD469&lt;=MiscData!$B$24,MiscData!$C$24,MiscData!$C$25))</f>
        <v>20140101</v>
      </c>
      <c r="AK469" s="439" t="str">
        <f>VLOOKUP(AM469,MiscData!$AB$4:$ACB$113,2,FALSE)</f>
        <v>KUUM_413</v>
      </c>
      <c r="AL469" s="439" t="str">
        <f>VLOOKUP(AM469,MiscData!$AB$4:$AE$115,4,FALSE)</f>
        <v>RLS</v>
      </c>
      <c r="AM469" s="34">
        <f>IF(AM468=MiscData!$AB$91,1,AM468+1)</f>
        <v>28</v>
      </c>
    </row>
    <row r="470" spans="1:39">
      <c r="A470" s="389">
        <f t="shared" si="194"/>
        <v>469</v>
      </c>
      <c r="B470" s="395" t="str">
        <f t="shared" si="175"/>
        <v>Jun 2014</v>
      </c>
      <c r="C470" s="396" t="str">
        <f t="shared" si="176"/>
        <v>LS</v>
      </c>
      <c r="D470" s="396" t="str">
        <f t="shared" si="177"/>
        <v>KUUM_414</v>
      </c>
      <c r="E470" s="394">
        <f t="shared" si="178"/>
        <v>21</v>
      </c>
      <c r="F470" s="397"/>
      <c r="G470" s="394">
        <f t="shared" si="179"/>
        <v>476</v>
      </c>
      <c r="H470" s="394"/>
      <c r="I470" s="390">
        <f t="shared" si="180"/>
        <v>30.84</v>
      </c>
      <c r="J470" s="390">
        <f t="shared" si="181"/>
        <v>0.79999999999999716</v>
      </c>
      <c r="K470" s="391">
        <f t="shared" si="195"/>
        <v>647.64</v>
      </c>
      <c r="L470" s="398">
        <v>0</v>
      </c>
      <c r="M470" s="398">
        <v>0</v>
      </c>
      <c r="N470" s="164">
        <f t="shared" si="174"/>
        <v>647.64</v>
      </c>
      <c r="O470" s="399">
        <f t="shared" si="182"/>
        <v>647.64</v>
      </c>
      <c r="P470" s="392">
        <f t="shared" si="196"/>
        <v>1</v>
      </c>
      <c r="Q470" s="164">
        <f t="shared" si="183"/>
        <v>1.7</v>
      </c>
      <c r="R470" s="164">
        <f t="shared" si="184"/>
        <v>0</v>
      </c>
      <c r="S470" s="164">
        <f t="shared" si="185"/>
        <v>14.22</v>
      </c>
      <c r="T470" s="164">
        <f t="shared" si="186"/>
        <v>0</v>
      </c>
      <c r="U470" s="164">
        <f t="shared" si="187"/>
        <v>663.56</v>
      </c>
      <c r="V470" s="393">
        <f t="shared" si="188"/>
        <v>663.56000000000006</v>
      </c>
      <c r="W470" s="393">
        <f t="shared" si="189"/>
        <v>0</v>
      </c>
      <c r="Y470" s="393">
        <f t="shared" si="192"/>
        <v>16.8</v>
      </c>
      <c r="Z470" s="393">
        <f t="shared" si="193"/>
        <v>630.84</v>
      </c>
      <c r="AD470" s="395">
        <f>IF(AH470&gt;AH469,AD469,IF(AD469&lt;MiscData!$F$1,EOMONTH(AD469,1),EOMONTH(AD469,-11)))</f>
        <v>41820</v>
      </c>
      <c r="AE470" s="389" t="str">
        <f t="shared" si="190"/>
        <v>20140101KUUM_414</v>
      </c>
      <c r="AF470" s="437" t="str">
        <f t="shared" si="191"/>
        <v>20140101LS</v>
      </c>
      <c r="AG470" s="438"/>
      <c r="AH470" s="34">
        <f>IF(AH469=MiscData!$AB$91,1,AH469+1)</f>
        <v>29</v>
      </c>
      <c r="AI470" s="34">
        <f>IF(AD470&lt;=MiscData!$B$23,MiscData!$C$23,IF(AD470&lt;=MiscData!$B$24,MiscData!$C$24,MiscData!$C$25))</f>
        <v>20140101</v>
      </c>
      <c r="AK470" s="439" t="str">
        <f>VLOOKUP(AM470,MiscData!$AB$4:$ACB$113,2,FALSE)</f>
        <v>KUUM_414</v>
      </c>
      <c r="AL470" s="439" t="str">
        <f>VLOOKUP(AM470,MiscData!$AB$4:$AE$115,4,FALSE)</f>
        <v>LS</v>
      </c>
      <c r="AM470" s="34">
        <f>IF(AM469=MiscData!$AB$91,1,AM469+1)</f>
        <v>29</v>
      </c>
    </row>
    <row r="471" spans="1:39">
      <c r="A471" s="389">
        <f t="shared" si="194"/>
        <v>470</v>
      </c>
      <c r="B471" s="395" t="str">
        <f t="shared" si="175"/>
        <v>Jun 2014</v>
      </c>
      <c r="C471" s="396" t="str">
        <f t="shared" si="176"/>
        <v>LS</v>
      </c>
      <c r="D471" s="396" t="str">
        <f t="shared" si="177"/>
        <v>KUUM_415</v>
      </c>
      <c r="E471" s="394">
        <f t="shared" si="178"/>
        <v>10</v>
      </c>
      <c r="F471" s="397"/>
      <c r="G471" s="394">
        <f t="shared" si="179"/>
        <v>319</v>
      </c>
      <c r="H471" s="394"/>
      <c r="I471" s="390">
        <f t="shared" si="180"/>
        <v>31.22</v>
      </c>
      <c r="J471" s="390">
        <f t="shared" si="181"/>
        <v>1.129999999999999</v>
      </c>
      <c r="K471" s="391">
        <f t="shared" si="195"/>
        <v>312.2</v>
      </c>
      <c r="L471" s="398">
        <v>0</v>
      </c>
      <c r="M471" s="398">
        <v>0</v>
      </c>
      <c r="N471" s="164">
        <f t="shared" si="174"/>
        <v>312.2</v>
      </c>
      <c r="O471" s="399">
        <f t="shared" si="182"/>
        <v>312.2</v>
      </c>
      <c r="P471" s="392">
        <f t="shared" si="196"/>
        <v>1</v>
      </c>
      <c r="Q471" s="164">
        <f t="shared" si="183"/>
        <v>1.1399999999999999</v>
      </c>
      <c r="R471" s="164">
        <f t="shared" si="184"/>
        <v>0</v>
      </c>
      <c r="S471" s="164">
        <f t="shared" si="185"/>
        <v>6.86</v>
      </c>
      <c r="T471" s="164">
        <f t="shared" si="186"/>
        <v>0</v>
      </c>
      <c r="U471" s="164">
        <f t="shared" si="187"/>
        <v>320.2</v>
      </c>
      <c r="V471" s="393">
        <f t="shared" si="188"/>
        <v>320.2</v>
      </c>
      <c r="W471" s="393">
        <f t="shared" si="189"/>
        <v>0</v>
      </c>
      <c r="Y471" s="393">
        <f t="shared" si="192"/>
        <v>11.3</v>
      </c>
      <c r="Z471" s="393">
        <f t="shared" si="193"/>
        <v>300.89999999999998</v>
      </c>
      <c r="AD471" s="395">
        <f>IF(AH471&gt;AH470,AD470,IF(AD470&lt;MiscData!$F$1,EOMONTH(AD470,1),EOMONTH(AD470,-11)))</f>
        <v>41820</v>
      </c>
      <c r="AE471" s="389" t="str">
        <f t="shared" si="190"/>
        <v>20140101KUUM_415</v>
      </c>
      <c r="AF471" s="437" t="str">
        <f t="shared" si="191"/>
        <v>20140101LS</v>
      </c>
      <c r="AG471" s="438"/>
      <c r="AH471" s="34">
        <f>IF(AH470=MiscData!$AB$91,1,AH470+1)</f>
        <v>30</v>
      </c>
      <c r="AI471" s="34">
        <f>IF(AD471&lt;=MiscData!$B$23,MiscData!$C$23,IF(AD471&lt;=MiscData!$B$24,MiscData!$C$24,MiscData!$C$25))</f>
        <v>20140101</v>
      </c>
      <c r="AK471" s="439" t="str">
        <f>VLOOKUP(AM471,MiscData!$AB$4:$ACB$113,2,FALSE)</f>
        <v>KUUM_415</v>
      </c>
      <c r="AL471" s="439" t="str">
        <f>VLOOKUP(AM471,MiscData!$AB$4:$AE$115,4,FALSE)</f>
        <v>LS</v>
      </c>
      <c r="AM471" s="34">
        <f>IF(AM470=MiscData!$AB$91,1,AM470+1)</f>
        <v>30</v>
      </c>
    </row>
    <row r="472" spans="1:39">
      <c r="A472" s="389">
        <f t="shared" si="194"/>
        <v>471</v>
      </c>
      <c r="B472" s="395" t="str">
        <f t="shared" si="175"/>
        <v>Jun 2014</v>
      </c>
      <c r="C472" s="396" t="str">
        <f t="shared" si="176"/>
        <v>LS</v>
      </c>
      <c r="D472" s="396" t="str">
        <f t="shared" si="177"/>
        <v>KUUM_420</v>
      </c>
      <c r="E472" s="394">
        <f t="shared" si="178"/>
        <v>477</v>
      </c>
      <c r="F472" s="397"/>
      <c r="G472" s="394">
        <f t="shared" si="179"/>
        <v>20804</v>
      </c>
      <c r="H472" s="394"/>
      <c r="I472" s="390">
        <f t="shared" si="180"/>
        <v>15.360000000000001</v>
      </c>
      <c r="J472" s="390">
        <f t="shared" si="181"/>
        <v>1.1300000000000008</v>
      </c>
      <c r="K472" s="391">
        <f t="shared" si="195"/>
        <v>7326.72</v>
      </c>
      <c r="L472" s="398">
        <v>2196.48</v>
      </c>
      <c r="M472" s="398">
        <v>0</v>
      </c>
      <c r="N472" s="164">
        <f t="shared" si="174"/>
        <v>9523.2000000000007</v>
      </c>
      <c r="O472" s="399">
        <f t="shared" si="182"/>
        <v>9523.2000000000007</v>
      </c>
      <c r="P472" s="392">
        <f t="shared" si="196"/>
        <v>1</v>
      </c>
      <c r="Q472" s="164">
        <f t="shared" si="183"/>
        <v>97.87</v>
      </c>
      <c r="R472" s="164">
        <f t="shared" si="184"/>
        <v>0</v>
      </c>
      <c r="S472" s="164">
        <f t="shared" si="185"/>
        <v>272.70999999999998</v>
      </c>
      <c r="T472" s="164">
        <f t="shared" si="186"/>
        <v>0</v>
      </c>
      <c r="U472" s="164">
        <f t="shared" si="187"/>
        <v>9893.7800000000007</v>
      </c>
      <c r="V472" s="393">
        <f t="shared" si="188"/>
        <v>9893.7800000000007</v>
      </c>
      <c r="W472" s="393">
        <f t="shared" si="189"/>
        <v>0</v>
      </c>
      <c r="Y472" s="393">
        <f t="shared" si="192"/>
        <v>539.01</v>
      </c>
      <c r="Z472" s="393">
        <f t="shared" si="193"/>
        <v>8984.19</v>
      </c>
      <c r="AD472" s="395">
        <f>IF(AH472&gt;AH471,AD471,IF(AD471&lt;MiscData!$F$1,EOMONTH(AD471,1),EOMONTH(AD471,-11)))</f>
        <v>41820</v>
      </c>
      <c r="AE472" s="389" t="str">
        <f t="shared" si="190"/>
        <v>20140101KUUM_420</v>
      </c>
      <c r="AF472" s="437" t="str">
        <f t="shared" si="191"/>
        <v>20140101LS</v>
      </c>
      <c r="AG472" s="438"/>
      <c r="AH472" s="34">
        <f>IF(AH471=MiscData!$AB$91,1,AH471+1)</f>
        <v>31</v>
      </c>
      <c r="AI472" s="34">
        <f>IF(AD472&lt;=MiscData!$B$23,MiscData!$C$23,IF(AD472&lt;=MiscData!$B$24,MiscData!$C$24,MiscData!$C$25))</f>
        <v>20140101</v>
      </c>
      <c r="AK472" s="439" t="str">
        <f>VLOOKUP(AM472,MiscData!$AB$4:$ACB$113,2,FALSE)</f>
        <v>KUUM_420</v>
      </c>
      <c r="AL472" s="439" t="str">
        <f>VLOOKUP(AM472,MiscData!$AB$4:$AE$115,4,FALSE)</f>
        <v>LS</v>
      </c>
      <c r="AM472" s="34">
        <f>IF(AM471=MiscData!$AB$91,1,AM471+1)</f>
        <v>31</v>
      </c>
    </row>
    <row r="473" spans="1:39">
      <c r="A473" s="389">
        <f t="shared" si="194"/>
        <v>472</v>
      </c>
      <c r="B473" s="395" t="str">
        <f t="shared" si="175"/>
        <v>Jun 2014</v>
      </c>
      <c r="C473" s="396" t="str">
        <f t="shared" si="176"/>
        <v>RLS</v>
      </c>
      <c r="D473" s="396" t="str">
        <f t="shared" si="177"/>
        <v>KUUM_421</v>
      </c>
      <c r="E473" s="394">
        <f t="shared" si="178"/>
        <v>5</v>
      </c>
      <c r="F473" s="397"/>
      <c r="G473" s="394">
        <f t="shared" si="179"/>
        <v>144</v>
      </c>
      <c r="H473" s="394"/>
      <c r="I473" s="390">
        <f t="shared" si="180"/>
        <v>3.39</v>
      </c>
      <c r="J473" s="390">
        <f t="shared" si="181"/>
        <v>0.98999999999999977</v>
      </c>
      <c r="K473" s="391">
        <f t="shared" si="195"/>
        <v>16.95</v>
      </c>
      <c r="L473" s="398">
        <v>0</v>
      </c>
      <c r="M473" s="398">
        <v>0</v>
      </c>
      <c r="N473" s="164">
        <f t="shared" si="174"/>
        <v>16.95</v>
      </c>
      <c r="O473" s="399">
        <f t="shared" si="182"/>
        <v>16.95</v>
      </c>
      <c r="P473" s="392">
        <f t="shared" si="196"/>
        <v>1</v>
      </c>
      <c r="Q473" s="164">
        <f t="shared" si="183"/>
        <v>0.57999999999999996</v>
      </c>
      <c r="R473" s="164">
        <f t="shared" si="184"/>
        <v>0</v>
      </c>
      <c r="S473" s="164">
        <f t="shared" si="185"/>
        <v>0.45</v>
      </c>
      <c r="T473" s="164">
        <f t="shared" si="186"/>
        <v>0</v>
      </c>
      <c r="U473" s="164">
        <f t="shared" si="187"/>
        <v>17.98</v>
      </c>
      <c r="V473" s="393">
        <f t="shared" si="188"/>
        <v>17.979999999999997</v>
      </c>
      <c r="W473" s="393">
        <f t="shared" si="189"/>
        <v>0</v>
      </c>
      <c r="Y473" s="393">
        <f t="shared" si="192"/>
        <v>4.95</v>
      </c>
      <c r="Z473" s="393">
        <f t="shared" si="193"/>
        <v>12</v>
      </c>
      <c r="AD473" s="395">
        <f>IF(AH473&gt;AH472,AD472,IF(AD472&lt;MiscData!$F$1,EOMONTH(AD472,1),EOMONTH(AD472,-11)))</f>
        <v>41820</v>
      </c>
      <c r="AE473" s="389" t="str">
        <f t="shared" si="190"/>
        <v>20140101KUUM_421</v>
      </c>
      <c r="AF473" s="437" t="str">
        <f t="shared" si="191"/>
        <v>20140101RLS</v>
      </c>
      <c r="AG473" s="438"/>
      <c r="AH473" s="34">
        <f>IF(AH472=MiscData!$AB$91,1,AH472+1)</f>
        <v>32</v>
      </c>
      <c r="AI473" s="34">
        <f>IF(AD473&lt;=MiscData!$B$23,MiscData!$C$23,IF(AD473&lt;=MiscData!$B$24,MiscData!$C$24,MiscData!$C$25))</f>
        <v>20140101</v>
      </c>
      <c r="AK473" s="439" t="str">
        <f>VLOOKUP(AM473,MiscData!$AB$4:$ACB$113,2,FALSE)</f>
        <v>KUUM_421</v>
      </c>
      <c r="AL473" s="439" t="str">
        <f>VLOOKUP(AM473,MiscData!$AB$4:$AE$115,4,FALSE)</f>
        <v>RLS</v>
      </c>
      <c r="AM473" s="34">
        <f>IF(AM472=MiscData!$AB$91,1,AM472+1)</f>
        <v>32</v>
      </c>
    </row>
    <row r="474" spans="1:39">
      <c r="A474" s="389">
        <f t="shared" si="194"/>
        <v>473</v>
      </c>
      <c r="B474" s="395" t="str">
        <f t="shared" si="175"/>
        <v>Jun 2014</v>
      </c>
      <c r="C474" s="396" t="str">
        <f t="shared" si="176"/>
        <v>RLS</v>
      </c>
      <c r="D474" s="396" t="str">
        <f t="shared" si="177"/>
        <v>KUUM_422</v>
      </c>
      <c r="E474" s="394">
        <f t="shared" si="178"/>
        <v>672</v>
      </c>
      <c r="F474" s="397"/>
      <c r="G474" s="394">
        <f t="shared" si="179"/>
        <v>37585</v>
      </c>
      <c r="H474" s="394"/>
      <c r="I474" s="390">
        <f t="shared" si="180"/>
        <v>4.5400000000000009</v>
      </c>
      <c r="J474" s="390">
        <f t="shared" si="181"/>
        <v>1.9400000000000004</v>
      </c>
      <c r="K474" s="391">
        <f t="shared" si="195"/>
        <v>3050.88</v>
      </c>
      <c r="L474" s="398">
        <v>-9.6199999999999992</v>
      </c>
      <c r="M474" s="398">
        <v>0</v>
      </c>
      <c r="N474" s="164">
        <f t="shared" si="174"/>
        <v>3041.26</v>
      </c>
      <c r="O474" s="399">
        <f t="shared" si="182"/>
        <v>3041.26</v>
      </c>
      <c r="P474" s="392">
        <f t="shared" si="196"/>
        <v>1</v>
      </c>
      <c r="Q474" s="164">
        <f t="shared" si="183"/>
        <v>173.02</v>
      </c>
      <c r="R474" s="164">
        <f t="shared" si="184"/>
        <v>0</v>
      </c>
      <c r="S474" s="164">
        <f t="shared" si="185"/>
        <v>89.72</v>
      </c>
      <c r="T474" s="164">
        <f t="shared" si="186"/>
        <v>0</v>
      </c>
      <c r="U474" s="164">
        <f t="shared" si="187"/>
        <v>3304</v>
      </c>
      <c r="V474" s="393">
        <f t="shared" si="188"/>
        <v>3304</v>
      </c>
      <c r="W474" s="393">
        <f t="shared" si="189"/>
        <v>0</v>
      </c>
      <c r="Y474" s="393">
        <f t="shared" si="192"/>
        <v>1303.68</v>
      </c>
      <c r="Z474" s="393">
        <f t="shared" si="193"/>
        <v>1737.5800000000002</v>
      </c>
      <c r="AD474" s="395">
        <f>IF(AH474&gt;AH473,AD473,IF(AD473&lt;MiscData!$F$1,EOMONTH(AD473,1),EOMONTH(AD473,-11)))</f>
        <v>41820</v>
      </c>
      <c r="AE474" s="389" t="str">
        <f t="shared" si="190"/>
        <v>20140101KUUM_422</v>
      </c>
      <c r="AF474" s="437" t="str">
        <f t="shared" si="191"/>
        <v>20140101RLS</v>
      </c>
      <c r="AG474" s="438"/>
      <c r="AH474" s="34">
        <f>IF(AH473=MiscData!$AB$91,1,AH473+1)</f>
        <v>33</v>
      </c>
      <c r="AI474" s="34">
        <f>IF(AD474&lt;=MiscData!$B$23,MiscData!$C$23,IF(AD474&lt;=MiscData!$B$24,MiscData!$C$24,MiscData!$C$25))</f>
        <v>20140101</v>
      </c>
      <c r="AK474" s="439" t="str">
        <f>VLOOKUP(AM474,MiscData!$AB$4:$ACB$113,2,FALSE)</f>
        <v>KUUM_422</v>
      </c>
      <c r="AL474" s="439" t="str">
        <f>VLOOKUP(AM474,MiscData!$AB$4:$AE$115,4,FALSE)</f>
        <v>RLS</v>
      </c>
      <c r="AM474" s="34">
        <f>IF(AM473=MiscData!$AB$91,1,AM473+1)</f>
        <v>33</v>
      </c>
    </row>
    <row r="475" spans="1:39">
      <c r="A475" s="389">
        <f t="shared" si="194"/>
        <v>474</v>
      </c>
      <c r="B475" s="395" t="str">
        <f t="shared" si="175"/>
        <v>Jun 2014</v>
      </c>
      <c r="C475" s="396" t="str">
        <f t="shared" si="176"/>
        <v>RLS</v>
      </c>
      <c r="D475" s="396" t="str">
        <f t="shared" si="177"/>
        <v>KUUM_424</v>
      </c>
      <c r="E475" s="394">
        <f t="shared" si="178"/>
        <v>47</v>
      </c>
      <c r="F475" s="397"/>
      <c r="G475" s="394">
        <f t="shared" si="179"/>
        <v>4264</v>
      </c>
      <c r="H475" s="394"/>
      <c r="I475" s="390">
        <f t="shared" si="180"/>
        <v>6.78</v>
      </c>
      <c r="J475" s="390">
        <f t="shared" si="181"/>
        <v>0.69999999999999929</v>
      </c>
      <c r="K475" s="391">
        <f t="shared" si="195"/>
        <v>318.66000000000003</v>
      </c>
      <c r="L475" s="398">
        <v>-0.47</v>
      </c>
      <c r="M475" s="398">
        <v>0</v>
      </c>
      <c r="N475" s="164">
        <f t="shared" si="174"/>
        <v>318.19</v>
      </c>
      <c r="O475" s="399">
        <f t="shared" si="182"/>
        <v>318.19</v>
      </c>
      <c r="P475" s="392">
        <f t="shared" si="196"/>
        <v>1</v>
      </c>
      <c r="Q475" s="164">
        <f t="shared" si="183"/>
        <v>17.760000000000002</v>
      </c>
      <c r="R475" s="164">
        <f t="shared" si="184"/>
        <v>0</v>
      </c>
      <c r="S475" s="164">
        <f t="shared" si="185"/>
        <v>8.5299999999999994</v>
      </c>
      <c r="T475" s="164">
        <f t="shared" si="186"/>
        <v>0</v>
      </c>
      <c r="U475" s="164">
        <f t="shared" si="187"/>
        <v>344.48</v>
      </c>
      <c r="V475" s="393">
        <f t="shared" si="188"/>
        <v>344.47999999999996</v>
      </c>
      <c r="W475" s="393">
        <f t="shared" si="189"/>
        <v>0</v>
      </c>
      <c r="Y475" s="393">
        <f t="shared" si="192"/>
        <v>32.9</v>
      </c>
      <c r="Z475" s="393">
        <f t="shared" si="193"/>
        <v>285.29000000000002</v>
      </c>
      <c r="AD475" s="395">
        <f>IF(AH475&gt;AH474,AD474,IF(AD474&lt;MiscData!$F$1,EOMONTH(AD474,1),EOMONTH(AD474,-11)))</f>
        <v>41820</v>
      </c>
      <c r="AE475" s="389" t="str">
        <f t="shared" si="190"/>
        <v>20140101KUUM_424</v>
      </c>
      <c r="AF475" s="437" t="str">
        <f t="shared" si="191"/>
        <v>20140101RLS</v>
      </c>
      <c r="AG475" s="438"/>
      <c r="AH475" s="34">
        <f>IF(AH474=MiscData!$AB$91,1,AH474+1)</f>
        <v>34</v>
      </c>
      <c r="AI475" s="34">
        <f>IF(AD475&lt;=MiscData!$B$23,MiscData!$C$23,IF(AD475&lt;=MiscData!$B$24,MiscData!$C$24,MiscData!$C$25))</f>
        <v>20140101</v>
      </c>
      <c r="AK475" s="439" t="str">
        <f>VLOOKUP(AM475,MiscData!$AB$4:$ACB$113,2,FALSE)</f>
        <v>KUUM_424</v>
      </c>
      <c r="AL475" s="439" t="str">
        <f>VLOOKUP(AM475,MiscData!$AB$4:$AE$115,4,FALSE)</f>
        <v>RLS</v>
      </c>
      <c r="AM475" s="34">
        <f>IF(AM474=MiscData!$AB$91,1,AM474+1)</f>
        <v>34</v>
      </c>
    </row>
    <row r="476" spans="1:39">
      <c r="A476" s="389">
        <f t="shared" si="194"/>
        <v>475</v>
      </c>
      <c r="B476" s="395" t="str">
        <f t="shared" si="175"/>
        <v>Jun 2014</v>
      </c>
      <c r="C476" s="396" t="str">
        <f t="shared" si="176"/>
        <v>RLS</v>
      </c>
      <c r="D476" s="396" t="str">
        <f t="shared" si="177"/>
        <v>KUUM_425</v>
      </c>
      <c r="E476" s="394">
        <f t="shared" si="178"/>
        <v>2</v>
      </c>
      <c r="F476" s="397"/>
      <c r="G476" s="394">
        <f t="shared" si="179"/>
        <v>239</v>
      </c>
      <c r="H476" s="394"/>
      <c r="I476" s="390">
        <f t="shared" si="180"/>
        <v>9.06</v>
      </c>
      <c r="J476" s="390">
        <f t="shared" si="181"/>
        <v>4.3000000000000007</v>
      </c>
      <c r="K476" s="391">
        <f t="shared" si="195"/>
        <v>18.12</v>
      </c>
      <c r="L476" s="398">
        <v>0</v>
      </c>
      <c r="M476" s="398">
        <v>0</v>
      </c>
      <c r="N476" s="164">
        <f t="shared" si="174"/>
        <v>18.12</v>
      </c>
      <c r="O476" s="399">
        <f t="shared" si="182"/>
        <v>18.12</v>
      </c>
      <c r="P476" s="392">
        <f t="shared" si="196"/>
        <v>1</v>
      </c>
      <c r="Q476" s="164">
        <f t="shared" si="183"/>
        <v>1.19</v>
      </c>
      <c r="R476" s="164">
        <f t="shared" si="184"/>
        <v>0</v>
      </c>
      <c r="S476" s="164">
        <f t="shared" si="185"/>
        <v>0.57999999999999996</v>
      </c>
      <c r="T476" s="164">
        <f t="shared" si="186"/>
        <v>0</v>
      </c>
      <c r="U476" s="164">
        <f t="shared" si="187"/>
        <v>19.89</v>
      </c>
      <c r="V476" s="393">
        <f t="shared" si="188"/>
        <v>19.89</v>
      </c>
      <c r="W476" s="393">
        <f t="shared" si="189"/>
        <v>0</v>
      </c>
      <c r="Y476" s="393">
        <f t="shared" si="192"/>
        <v>8.6</v>
      </c>
      <c r="Z476" s="393">
        <f t="shared" si="193"/>
        <v>9.5200000000000014</v>
      </c>
      <c r="AD476" s="395">
        <f>IF(AH476&gt;AH475,AD475,IF(AD475&lt;MiscData!$F$1,EOMONTH(AD475,1),EOMONTH(AD475,-11)))</f>
        <v>41820</v>
      </c>
      <c r="AE476" s="389" t="str">
        <f t="shared" si="190"/>
        <v>20140101KUUM_425</v>
      </c>
      <c r="AF476" s="437" t="str">
        <f t="shared" si="191"/>
        <v>20140101RLS</v>
      </c>
      <c r="AG476" s="438"/>
      <c r="AH476" s="34">
        <f>IF(AH475=MiscData!$AB$91,1,AH475+1)</f>
        <v>35</v>
      </c>
      <c r="AI476" s="34">
        <f>IF(AD476&lt;=MiscData!$B$23,MiscData!$C$23,IF(AD476&lt;=MiscData!$B$24,MiscData!$C$24,MiscData!$C$25))</f>
        <v>20140101</v>
      </c>
      <c r="AK476" s="439" t="str">
        <f>VLOOKUP(AM476,MiscData!$AB$4:$ACB$113,2,FALSE)</f>
        <v>KUUM_425</v>
      </c>
      <c r="AL476" s="439" t="str">
        <f>VLOOKUP(AM476,MiscData!$AB$4:$AE$115,4,FALSE)</f>
        <v>RLS</v>
      </c>
      <c r="AM476" s="34">
        <f>IF(AM475=MiscData!$AB$91,1,AM475+1)</f>
        <v>35</v>
      </c>
    </row>
    <row r="477" spans="1:39">
      <c r="A477" s="389">
        <f t="shared" si="194"/>
        <v>476</v>
      </c>
      <c r="B477" s="395" t="str">
        <f t="shared" si="175"/>
        <v>Jun 2014</v>
      </c>
      <c r="C477" s="396" t="str">
        <f t="shared" si="176"/>
        <v>RLS</v>
      </c>
      <c r="D477" s="396" t="str">
        <f t="shared" si="177"/>
        <v>KUUM_426</v>
      </c>
      <c r="E477" s="394">
        <f t="shared" si="178"/>
        <v>173</v>
      </c>
      <c r="F477" s="397"/>
      <c r="G477" s="394">
        <f t="shared" si="179"/>
        <v>3824</v>
      </c>
      <c r="H477" s="394"/>
      <c r="I477" s="390">
        <f t="shared" si="180"/>
        <v>7.4399999999999995</v>
      </c>
      <c r="J477" s="390">
        <f t="shared" si="181"/>
        <v>0.79999999999999982</v>
      </c>
      <c r="K477" s="391">
        <f t="shared" si="195"/>
        <v>1287.1199999999999</v>
      </c>
      <c r="L477" s="398">
        <v>-13.64</v>
      </c>
      <c r="M477" s="398">
        <v>0</v>
      </c>
      <c r="N477" s="164">
        <f t="shared" si="174"/>
        <v>1273.4799999999998</v>
      </c>
      <c r="O477" s="399">
        <f t="shared" si="182"/>
        <v>1273.48</v>
      </c>
      <c r="P477" s="392">
        <f t="shared" si="196"/>
        <v>1</v>
      </c>
      <c r="Q477" s="164">
        <f t="shared" si="183"/>
        <v>18.809999999999999</v>
      </c>
      <c r="R477" s="164">
        <f t="shared" si="184"/>
        <v>0</v>
      </c>
      <c r="S477" s="164">
        <f t="shared" si="185"/>
        <v>39.299999999999997</v>
      </c>
      <c r="T477" s="164">
        <f t="shared" si="186"/>
        <v>0</v>
      </c>
      <c r="U477" s="164">
        <f t="shared" si="187"/>
        <v>1331.59</v>
      </c>
      <c r="V477" s="393">
        <f t="shared" si="188"/>
        <v>1331.5899999999997</v>
      </c>
      <c r="W477" s="393">
        <f t="shared" si="189"/>
        <v>0</v>
      </c>
      <c r="Y477" s="393">
        <f t="shared" si="192"/>
        <v>138.4</v>
      </c>
      <c r="Z477" s="393">
        <f t="shared" si="193"/>
        <v>1135.08</v>
      </c>
      <c r="AD477" s="395">
        <f>IF(AH477&gt;AH476,AD476,IF(AD476&lt;MiscData!$F$1,EOMONTH(AD476,1),EOMONTH(AD476,-11)))</f>
        <v>41820</v>
      </c>
      <c r="AE477" s="389" t="str">
        <f t="shared" si="190"/>
        <v>20140101KUUM_426</v>
      </c>
      <c r="AF477" s="437" t="str">
        <f t="shared" si="191"/>
        <v>20140101RLS</v>
      </c>
      <c r="AG477" s="438"/>
      <c r="AH477" s="34">
        <f>IF(AH476=MiscData!$AB$91,1,AH476+1)</f>
        <v>36</v>
      </c>
      <c r="AI477" s="34">
        <f>IF(AD477&lt;=MiscData!$B$23,MiscData!$C$23,IF(AD477&lt;=MiscData!$B$24,MiscData!$C$24,MiscData!$C$25))</f>
        <v>20140101</v>
      </c>
      <c r="AK477" s="439" t="str">
        <f>VLOOKUP(AM477,MiscData!$AB$4:$ACB$113,2,FALSE)</f>
        <v>KUUM_426</v>
      </c>
      <c r="AL477" s="439" t="str">
        <f>VLOOKUP(AM477,MiscData!$AB$4:$AE$115,4,FALSE)</f>
        <v>RLS</v>
      </c>
      <c r="AM477" s="34">
        <f>IF(AM476=MiscData!$AB$91,1,AM476+1)</f>
        <v>36</v>
      </c>
    </row>
    <row r="478" spans="1:39">
      <c r="A478" s="389">
        <f t="shared" si="194"/>
        <v>477</v>
      </c>
      <c r="B478" s="395" t="str">
        <f t="shared" si="175"/>
        <v>Jun 2014</v>
      </c>
      <c r="C478" s="396" t="str">
        <f t="shared" si="176"/>
        <v>LS</v>
      </c>
      <c r="D478" s="396" t="str">
        <f t="shared" si="177"/>
        <v>KUUM_428</v>
      </c>
      <c r="E478" s="394">
        <f t="shared" si="178"/>
        <v>36660</v>
      </c>
      <c r="F478" s="397"/>
      <c r="G478" s="394">
        <f t="shared" si="179"/>
        <v>1151916</v>
      </c>
      <c r="H478" s="394"/>
      <c r="I478" s="390">
        <f t="shared" si="180"/>
        <v>7.84</v>
      </c>
      <c r="J478" s="390">
        <f t="shared" si="181"/>
        <v>1.1299999999999999</v>
      </c>
      <c r="K478" s="391">
        <f t="shared" si="195"/>
        <v>287414.40000000002</v>
      </c>
      <c r="L478" s="398">
        <v>-2168.69</v>
      </c>
      <c r="M478" s="398">
        <v>0</v>
      </c>
      <c r="N478" s="164">
        <f t="shared" si="174"/>
        <v>285245.71000000002</v>
      </c>
      <c r="O478" s="399">
        <f t="shared" si="182"/>
        <v>285245.70999999996</v>
      </c>
      <c r="P478" s="392">
        <f t="shared" si="196"/>
        <v>1</v>
      </c>
      <c r="Q478" s="164">
        <f t="shared" si="183"/>
        <v>5617.02</v>
      </c>
      <c r="R478" s="164">
        <f t="shared" si="184"/>
        <v>0</v>
      </c>
      <c r="S478" s="164">
        <f t="shared" si="185"/>
        <v>8713.24</v>
      </c>
      <c r="T478" s="164">
        <f t="shared" si="186"/>
        <v>0</v>
      </c>
      <c r="U478" s="164">
        <f t="shared" si="187"/>
        <v>299575.96999999997</v>
      </c>
      <c r="V478" s="393">
        <f t="shared" si="188"/>
        <v>299575.97000000003</v>
      </c>
      <c r="W478" s="393">
        <f t="shared" si="189"/>
        <v>0</v>
      </c>
      <c r="Y478" s="393">
        <f t="shared" si="192"/>
        <v>41425.800000000003</v>
      </c>
      <c r="Z478" s="393">
        <f t="shared" si="193"/>
        <v>243819.90999999997</v>
      </c>
      <c r="AD478" s="395">
        <f>IF(AH478&gt;AH477,AD477,IF(AD477&lt;MiscData!$F$1,EOMONTH(AD477,1),EOMONTH(AD477,-11)))</f>
        <v>41820</v>
      </c>
      <c r="AE478" s="389" t="str">
        <f t="shared" si="190"/>
        <v>20140101KUUM_428</v>
      </c>
      <c r="AF478" s="437" t="str">
        <f t="shared" si="191"/>
        <v>20140101LS</v>
      </c>
      <c r="AG478" s="438"/>
      <c r="AH478" s="34">
        <f>IF(AH477=MiscData!$AB$91,1,AH477+1)</f>
        <v>37</v>
      </c>
      <c r="AI478" s="34">
        <f>IF(AD478&lt;=MiscData!$B$23,MiscData!$C$23,IF(AD478&lt;=MiscData!$B$24,MiscData!$C$24,MiscData!$C$25))</f>
        <v>20140101</v>
      </c>
      <c r="AK478" s="439" t="str">
        <f>VLOOKUP(AM478,MiscData!$AB$4:$ACB$113,2,FALSE)</f>
        <v>KUUM_428</v>
      </c>
      <c r="AL478" s="439" t="str">
        <f>VLOOKUP(AM478,MiscData!$AB$4:$AE$115,4,FALSE)</f>
        <v>LS</v>
      </c>
      <c r="AM478" s="34">
        <f>IF(AM477=MiscData!$AB$91,1,AM477+1)</f>
        <v>37</v>
      </c>
    </row>
    <row r="479" spans="1:39">
      <c r="A479" s="389">
        <f t="shared" si="194"/>
        <v>478</v>
      </c>
      <c r="B479" s="395" t="str">
        <f t="shared" si="175"/>
        <v>Jun 2014</v>
      </c>
      <c r="C479" s="396" t="str">
        <f t="shared" si="176"/>
        <v>LS</v>
      </c>
      <c r="D479" s="396" t="str">
        <f t="shared" si="177"/>
        <v>KUUM_429</v>
      </c>
      <c r="E479" s="394">
        <f t="shared" si="178"/>
        <v>0</v>
      </c>
      <c r="F479" s="397"/>
      <c r="G479" s="394">
        <f t="shared" si="179"/>
        <v>0</v>
      </c>
      <c r="H479" s="394"/>
      <c r="I479" s="390">
        <f t="shared" si="180"/>
        <v>0</v>
      </c>
      <c r="J479" s="390">
        <f t="shared" si="181"/>
        <v>0</v>
      </c>
      <c r="K479" s="391">
        <f t="shared" si="195"/>
        <v>0</v>
      </c>
      <c r="L479" s="398">
        <v>0</v>
      </c>
      <c r="M479" s="398">
        <v>0</v>
      </c>
      <c r="N479" s="164">
        <f t="shared" si="174"/>
        <v>0</v>
      </c>
      <c r="O479" s="399">
        <f t="shared" si="182"/>
        <v>0</v>
      </c>
      <c r="P479" s="392">
        <f t="shared" si="196"/>
        <v>1</v>
      </c>
      <c r="Q479" s="164">
        <f t="shared" si="183"/>
        <v>0</v>
      </c>
      <c r="R479" s="164">
        <f t="shared" si="184"/>
        <v>0</v>
      </c>
      <c r="S479" s="164">
        <f t="shared" si="185"/>
        <v>0</v>
      </c>
      <c r="T479" s="164">
        <f t="shared" si="186"/>
        <v>0</v>
      </c>
      <c r="U479" s="164">
        <f t="shared" si="187"/>
        <v>0</v>
      </c>
      <c r="V479" s="393">
        <f t="shared" si="188"/>
        <v>0</v>
      </c>
      <c r="W479" s="393">
        <f t="shared" si="189"/>
        <v>0</v>
      </c>
      <c r="Y479" s="393">
        <f t="shared" si="192"/>
        <v>0</v>
      </c>
      <c r="Z479" s="393">
        <f t="shared" si="193"/>
        <v>0</v>
      </c>
      <c r="AD479" s="395">
        <f>IF(AH479&gt;AH478,AD478,IF(AD478&lt;MiscData!$F$1,EOMONTH(AD478,1),EOMONTH(AD478,-11)))</f>
        <v>41820</v>
      </c>
      <c r="AE479" s="389" t="str">
        <f t="shared" si="190"/>
        <v>20140101KUUM_429</v>
      </c>
      <c r="AF479" s="437" t="str">
        <f t="shared" si="191"/>
        <v>20140101LS</v>
      </c>
      <c r="AG479" s="438"/>
      <c r="AH479" s="34">
        <f>IF(AH478=MiscData!$AB$91,1,AH478+1)</f>
        <v>38</v>
      </c>
      <c r="AI479" s="34">
        <f>IF(AD479&lt;=MiscData!$B$23,MiscData!$C$23,IF(AD479&lt;=MiscData!$B$24,MiscData!$C$24,MiscData!$C$25))</f>
        <v>20140101</v>
      </c>
      <c r="AK479" s="439" t="str">
        <f>VLOOKUP(AM479,MiscData!$AB$4:$ACB$113,2,FALSE)</f>
        <v>KUUM_429</v>
      </c>
      <c r="AL479" s="439" t="str">
        <f>VLOOKUP(AM479,MiscData!$AB$4:$AE$115,4,FALSE)</f>
        <v>LS</v>
      </c>
      <c r="AM479" s="34">
        <f>IF(AM478=MiscData!$AB$91,1,AM478+1)</f>
        <v>38</v>
      </c>
    </row>
    <row r="480" spans="1:39">
      <c r="A480" s="389">
        <f t="shared" si="194"/>
        <v>479</v>
      </c>
      <c r="B480" s="395" t="str">
        <f t="shared" si="175"/>
        <v>Jun 2014</v>
      </c>
      <c r="C480" s="396" t="str">
        <f t="shared" si="176"/>
        <v>LS</v>
      </c>
      <c r="D480" s="396" t="str">
        <f t="shared" si="177"/>
        <v>KUUM_430</v>
      </c>
      <c r="E480" s="394">
        <f t="shared" si="178"/>
        <v>1173</v>
      </c>
      <c r="F480" s="397"/>
      <c r="G480" s="394">
        <f t="shared" si="179"/>
        <v>37577</v>
      </c>
      <c r="H480" s="394"/>
      <c r="I480" s="390">
        <f t="shared" si="180"/>
        <v>22</v>
      </c>
      <c r="J480" s="390">
        <f t="shared" si="181"/>
        <v>1.129999999999999</v>
      </c>
      <c r="K480" s="391">
        <f t="shared" si="195"/>
        <v>25806</v>
      </c>
      <c r="L480" s="398">
        <v>0</v>
      </c>
      <c r="M480" s="398">
        <v>0</v>
      </c>
      <c r="N480" s="164">
        <f t="shared" si="174"/>
        <v>25806</v>
      </c>
      <c r="O480" s="399">
        <f t="shared" si="182"/>
        <v>25806</v>
      </c>
      <c r="P480" s="392">
        <f t="shared" si="196"/>
        <v>1</v>
      </c>
      <c r="Q480" s="164">
        <f t="shared" si="183"/>
        <v>177.34</v>
      </c>
      <c r="R480" s="164">
        <f t="shared" si="184"/>
        <v>0</v>
      </c>
      <c r="S480" s="164">
        <f t="shared" si="185"/>
        <v>741.26</v>
      </c>
      <c r="T480" s="164">
        <f t="shared" si="186"/>
        <v>0</v>
      </c>
      <c r="U480" s="164">
        <f t="shared" si="187"/>
        <v>26724.6</v>
      </c>
      <c r="V480" s="393">
        <f t="shared" si="188"/>
        <v>26724.6</v>
      </c>
      <c r="W480" s="393">
        <f t="shared" si="189"/>
        <v>0</v>
      </c>
      <c r="Y480" s="393">
        <f t="shared" si="192"/>
        <v>1325.49</v>
      </c>
      <c r="Z480" s="393">
        <f t="shared" si="193"/>
        <v>24480.51</v>
      </c>
      <c r="AD480" s="395">
        <f>IF(AH480&gt;AH479,AD479,IF(AD479&lt;MiscData!$F$1,EOMONTH(AD479,1),EOMONTH(AD479,-11)))</f>
        <v>41820</v>
      </c>
      <c r="AE480" s="389" t="str">
        <f t="shared" si="190"/>
        <v>20140101KUUM_430</v>
      </c>
      <c r="AF480" s="437" t="str">
        <f t="shared" si="191"/>
        <v>20140101LS</v>
      </c>
      <c r="AG480" s="438"/>
      <c r="AH480" s="34">
        <f>IF(AH479=MiscData!$AB$91,1,AH479+1)</f>
        <v>39</v>
      </c>
      <c r="AI480" s="34">
        <f>IF(AD480&lt;=MiscData!$B$23,MiscData!$C$23,IF(AD480&lt;=MiscData!$B$24,MiscData!$C$24,MiscData!$C$25))</f>
        <v>20140101</v>
      </c>
      <c r="AK480" s="439" t="str">
        <f>VLOOKUP(AM480,MiscData!$AB$4:$ACB$113,2,FALSE)</f>
        <v>KUUM_430</v>
      </c>
      <c r="AL480" s="439" t="str">
        <f>VLOOKUP(AM480,MiscData!$AB$4:$AE$115,4,FALSE)</f>
        <v>LS</v>
      </c>
      <c r="AM480" s="34">
        <f>IF(AM479=MiscData!$AB$91,1,AM479+1)</f>
        <v>39</v>
      </c>
    </row>
    <row r="481" spans="1:39">
      <c r="A481" s="389">
        <f t="shared" si="194"/>
        <v>480</v>
      </c>
      <c r="B481" s="395" t="str">
        <f t="shared" si="175"/>
        <v>Jun 2014</v>
      </c>
      <c r="C481" s="396" t="str">
        <f t="shared" si="176"/>
        <v>RLS</v>
      </c>
      <c r="D481" s="396" t="str">
        <f t="shared" si="177"/>
        <v>KUUM_434</v>
      </c>
      <c r="E481" s="394">
        <f t="shared" si="178"/>
        <v>3</v>
      </c>
      <c r="F481" s="397"/>
      <c r="G481" s="394">
        <f t="shared" si="179"/>
        <v>258</v>
      </c>
      <c r="H481" s="394"/>
      <c r="I481" s="390">
        <f t="shared" si="180"/>
        <v>7.74</v>
      </c>
      <c r="J481" s="390">
        <f t="shared" si="181"/>
        <v>0.69999999999999929</v>
      </c>
      <c r="K481" s="391">
        <f t="shared" si="195"/>
        <v>23.22</v>
      </c>
      <c r="L481" s="398">
        <v>-0.8</v>
      </c>
      <c r="M481" s="398">
        <v>0</v>
      </c>
      <c r="N481" s="164">
        <f t="shared" si="174"/>
        <v>22.419999999999998</v>
      </c>
      <c r="O481" s="399">
        <f t="shared" si="182"/>
        <v>22.42</v>
      </c>
      <c r="P481" s="392">
        <f t="shared" si="196"/>
        <v>1</v>
      </c>
      <c r="Q481" s="164">
        <f t="shared" si="183"/>
        <v>0.92</v>
      </c>
      <c r="R481" s="164">
        <f t="shared" si="184"/>
        <v>0</v>
      </c>
      <c r="S481" s="164">
        <f t="shared" si="185"/>
        <v>0.51</v>
      </c>
      <c r="T481" s="164">
        <f t="shared" si="186"/>
        <v>0</v>
      </c>
      <c r="U481" s="164">
        <f t="shared" si="187"/>
        <v>23.85</v>
      </c>
      <c r="V481" s="393">
        <f t="shared" si="188"/>
        <v>23.85</v>
      </c>
      <c r="W481" s="393">
        <f t="shared" si="189"/>
        <v>0</v>
      </c>
      <c r="Y481" s="393">
        <f t="shared" si="192"/>
        <v>2.1</v>
      </c>
      <c r="Z481" s="393">
        <f t="shared" si="193"/>
        <v>20.32</v>
      </c>
      <c r="AD481" s="395">
        <f>IF(AH481&gt;AH480,AD480,IF(AD480&lt;MiscData!$F$1,EOMONTH(AD480,1),EOMONTH(AD480,-11)))</f>
        <v>41820</v>
      </c>
      <c r="AE481" s="389" t="str">
        <f t="shared" si="190"/>
        <v>20140101KUUM_434</v>
      </c>
      <c r="AF481" s="437" t="str">
        <f t="shared" si="191"/>
        <v>20140101RLS</v>
      </c>
      <c r="AG481" s="438"/>
      <c r="AH481" s="34">
        <f>IF(AH480=MiscData!$AB$91,1,AH480+1)</f>
        <v>40</v>
      </c>
      <c r="AI481" s="34">
        <f>IF(AD481&lt;=MiscData!$B$23,MiscData!$C$23,IF(AD481&lt;=MiscData!$B$24,MiscData!$C$24,MiscData!$C$25))</f>
        <v>20140101</v>
      </c>
      <c r="AK481" s="439" t="str">
        <f>VLOOKUP(AM481,MiscData!$AB$4:$ACB$113,2,FALSE)</f>
        <v>KUUM_434</v>
      </c>
      <c r="AL481" s="439" t="str">
        <f>VLOOKUP(AM481,MiscData!$AB$4:$AE$115,4,FALSE)</f>
        <v>RLS</v>
      </c>
      <c r="AM481" s="34">
        <f>IF(AM480=MiscData!$AB$91,1,AM480+1)</f>
        <v>40</v>
      </c>
    </row>
    <row r="482" spans="1:39">
      <c r="A482" s="389">
        <f t="shared" si="194"/>
        <v>481</v>
      </c>
      <c r="B482" s="395" t="str">
        <f t="shared" si="175"/>
        <v>Jun 2014</v>
      </c>
      <c r="C482" s="396" t="str">
        <f t="shared" si="176"/>
        <v>RLS</v>
      </c>
      <c r="D482" s="396" t="str">
        <f t="shared" si="177"/>
        <v>KUUM_440</v>
      </c>
      <c r="E482" s="394">
        <f t="shared" si="178"/>
        <v>2</v>
      </c>
      <c r="F482" s="397"/>
      <c r="G482" s="394">
        <f t="shared" si="179"/>
        <v>33</v>
      </c>
      <c r="H482" s="394"/>
      <c r="I482" s="390">
        <f t="shared" si="180"/>
        <v>13.610000000000001</v>
      </c>
      <c r="J482" s="390">
        <f t="shared" si="181"/>
        <v>0.57000000000000028</v>
      </c>
      <c r="K482" s="391">
        <f t="shared" si="195"/>
        <v>27.22</v>
      </c>
      <c r="L482" s="398">
        <v>0</v>
      </c>
      <c r="M482" s="398">
        <v>0</v>
      </c>
      <c r="N482" s="164">
        <f t="shared" si="174"/>
        <v>27.22</v>
      </c>
      <c r="O482" s="399">
        <f t="shared" si="182"/>
        <v>27.22</v>
      </c>
      <c r="P482" s="392">
        <f t="shared" si="196"/>
        <v>1</v>
      </c>
      <c r="Q482" s="164">
        <f t="shared" si="183"/>
        <v>0.16</v>
      </c>
      <c r="R482" s="164">
        <f t="shared" si="184"/>
        <v>0</v>
      </c>
      <c r="S482" s="164">
        <f t="shared" si="185"/>
        <v>0.82</v>
      </c>
      <c r="T482" s="164">
        <f t="shared" si="186"/>
        <v>0</v>
      </c>
      <c r="U482" s="164">
        <f t="shared" si="187"/>
        <v>28.2</v>
      </c>
      <c r="V482" s="393">
        <f t="shared" si="188"/>
        <v>28.2</v>
      </c>
      <c r="W482" s="393">
        <f t="shared" si="189"/>
        <v>0</v>
      </c>
      <c r="Y482" s="393">
        <f t="shared" si="192"/>
        <v>1.1399999999999999</v>
      </c>
      <c r="Z482" s="393">
        <f t="shared" si="193"/>
        <v>26.08</v>
      </c>
      <c r="AD482" s="395">
        <f>IF(AH482&gt;AH481,AD481,IF(AD481&lt;MiscData!$F$1,EOMONTH(AD481,1),EOMONTH(AD481,-11)))</f>
        <v>41820</v>
      </c>
      <c r="AE482" s="389" t="str">
        <f t="shared" si="190"/>
        <v>20140101KUUM_440</v>
      </c>
      <c r="AF482" s="437" t="str">
        <f t="shared" si="191"/>
        <v>20140101RLS</v>
      </c>
      <c r="AG482" s="438"/>
      <c r="AH482" s="34">
        <f>IF(AH481=MiscData!$AB$91,1,AH481+1)</f>
        <v>41</v>
      </c>
      <c r="AI482" s="34">
        <f>IF(AD482&lt;=MiscData!$B$23,MiscData!$C$23,IF(AD482&lt;=MiscData!$B$24,MiscData!$C$24,MiscData!$C$25))</f>
        <v>20140101</v>
      </c>
      <c r="AK482" s="439" t="str">
        <f>VLOOKUP(AM482,MiscData!$AB$4:$ACB$113,2,FALSE)</f>
        <v>KUUM_440</v>
      </c>
      <c r="AL482" s="439" t="str">
        <f>VLOOKUP(AM482,MiscData!$AB$4:$AE$115,4,FALSE)</f>
        <v>RLS</v>
      </c>
      <c r="AM482" s="34">
        <f>IF(AM481=MiscData!$AB$91,1,AM481+1)</f>
        <v>41</v>
      </c>
    </row>
    <row r="483" spans="1:39">
      <c r="A483" s="389">
        <f t="shared" si="194"/>
        <v>482</v>
      </c>
      <c r="B483" s="395" t="str">
        <f t="shared" si="175"/>
        <v>Jun 2014</v>
      </c>
      <c r="C483" s="396" t="str">
        <f t="shared" si="176"/>
        <v>RLS</v>
      </c>
      <c r="D483" s="396" t="str">
        <f t="shared" si="177"/>
        <v>KUUM_446</v>
      </c>
      <c r="E483" s="394">
        <f t="shared" si="178"/>
        <v>1083</v>
      </c>
      <c r="F483" s="397"/>
      <c r="G483" s="394">
        <f t="shared" si="179"/>
        <v>61894</v>
      </c>
      <c r="H483" s="394"/>
      <c r="I483" s="390">
        <f t="shared" si="180"/>
        <v>9.5600000000000023</v>
      </c>
      <c r="J483" s="390">
        <f t="shared" si="181"/>
        <v>1.9900000000000002</v>
      </c>
      <c r="K483" s="391">
        <f t="shared" si="195"/>
        <v>10353.48</v>
      </c>
      <c r="L483" s="398">
        <v>-0.33</v>
      </c>
      <c r="M483" s="398">
        <v>0</v>
      </c>
      <c r="N483" s="164">
        <f t="shared" si="174"/>
        <v>10353.15</v>
      </c>
      <c r="O483" s="399">
        <f t="shared" si="182"/>
        <v>10353.15</v>
      </c>
      <c r="P483" s="392">
        <f t="shared" si="196"/>
        <v>1</v>
      </c>
      <c r="Q483" s="164">
        <f t="shared" si="183"/>
        <v>291.85000000000002</v>
      </c>
      <c r="R483" s="164">
        <f t="shared" si="184"/>
        <v>0</v>
      </c>
      <c r="S483" s="164">
        <f t="shared" si="185"/>
        <v>302.73</v>
      </c>
      <c r="T483" s="164">
        <f t="shared" si="186"/>
        <v>0</v>
      </c>
      <c r="U483" s="164">
        <f t="shared" si="187"/>
        <v>10947.73</v>
      </c>
      <c r="V483" s="393">
        <f t="shared" si="188"/>
        <v>10947.73</v>
      </c>
      <c r="W483" s="393">
        <f t="shared" si="189"/>
        <v>0</v>
      </c>
      <c r="Y483" s="393">
        <f t="shared" si="192"/>
        <v>2155.17</v>
      </c>
      <c r="Z483" s="393">
        <f t="shared" si="193"/>
        <v>8197.98</v>
      </c>
      <c r="AD483" s="395">
        <f>IF(AH483&gt;AH482,AD482,IF(AD482&lt;MiscData!$F$1,EOMONTH(AD482,1),EOMONTH(AD482,-11)))</f>
        <v>41820</v>
      </c>
      <c r="AE483" s="389" t="str">
        <f t="shared" si="190"/>
        <v>20140101KUUM_446</v>
      </c>
      <c r="AF483" s="437" t="str">
        <f t="shared" si="191"/>
        <v>20140101RLS</v>
      </c>
      <c r="AG483" s="438"/>
      <c r="AH483" s="34">
        <f>IF(AH482=MiscData!$AB$91,1,AH482+1)</f>
        <v>42</v>
      </c>
      <c r="AI483" s="34">
        <f>IF(AD483&lt;=MiscData!$B$23,MiscData!$C$23,IF(AD483&lt;=MiscData!$B$24,MiscData!$C$24,MiscData!$C$25))</f>
        <v>20140101</v>
      </c>
      <c r="AK483" s="439" t="str">
        <f>VLOOKUP(AM483,MiscData!$AB$4:$ACB$113,2,FALSE)</f>
        <v>KUUM_446</v>
      </c>
      <c r="AL483" s="439" t="str">
        <f>VLOOKUP(AM483,MiscData!$AB$4:$AE$115,4,FALSE)</f>
        <v>RLS</v>
      </c>
      <c r="AM483" s="34">
        <f>IF(AM482=MiscData!$AB$91,1,AM482+1)</f>
        <v>42</v>
      </c>
    </row>
    <row r="484" spans="1:39">
      <c r="A484" s="389">
        <f t="shared" si="194"/>
        <v>483</v>
      </c>
      <c r="B484" s="395" t="str">
        <f t="shared" si="175"/>
        <v>Jun 2014</v>
      </c>
      <c r="C484" s="396" t="str">
        <f t="shared" si="176"/>
        <v>RLS</v>
      </c>
      <c r="D484" s="396" t="str">
        <f t="shared" si="177"/>
        <v>KUUM_447</v>
      </c>
      <c r="E484" s="394">
        <f t="shared" si="178"/>
        <v>711</v>
      </c>
      <c r="F484" s="397"/>
      <c r="G484" s="394">
        <f t="shared" si="179"/>
        <v>56270</v>
      </c>
      <c r="H484" s="394"/>
      <c r="I484" s="390">
        <f t="shared" si="180"/>
        <v>11.32</v>
      </c>
      <c r="J484" s="390">
        <f t="shared" si="181"/>
        <v>2.8400000000000016</v>
      </c>
      <c r="K484" s="391">
        <f t="shared" si="195"/>
        <v>8048.52</v>
      </c>
      <c r="L484" s="398">
        <v>0</v>
      </c>
      <c r="M484" s="398">
        <v>0</v>
      </c>
      <c r="N484" s="164">
        <f t="shared" si="174"/>
        <v>8048.52</v>
      </c>
      <c r="O484" s="399">
        <f t="shared" si="182"/>
        <v>8048.5199999999995</v>
      </c>
      <c r="P484" s="392">
        <f t="shared" si="196"/>
        <v>1</v>
      </c>
      <c r="Q484" s="164">
        <f t="shared" si="183"/>
        <v>204.35</v>
      </c>
      <c r="R484" s="164">
        <f t="shared" si="184"/>
        <v>0</v>
      </c>
      <c r="S484" s="164">
        <f t="shared" si="185"/>
        <v>183.54</v>
      </c>
      <c r="T484" s="164">
        <f t="shared" si="186"/>
        <v>0</v>
      </c>
      <c r="U484" s="164">
        <f t="shared" si="187"/>
        <v>8436.41</v>
      </c>
      <c r="V484" s="393">
        <f t="shared" si="188"/>
        <v>8436.4100000000017</v>
      </c>
      <c r="W484" s="393">
        <f t="shared" si="189"/>
        <v>0</v>
      </c>
      <c r="Y484" s="393">
        <f t="shared" si="192"/>
        <v>2019.24</v>
      </c>
      <c r="Z484" s="393">
        <f t="shared" si="193"/>
        <v>6029.28</v>
      </c>
      <c r="AD484" s="395">
        <f>IF(AH484&gt;AH483,AD483,IF(AD483&lt;MiscData!$F$1,EOMONTH(AD483,1),EOMONTH(AD483,-11)))</f>
        <v>41820</v>
      </c>
      <c r="AE484" s="389" t="str">
        <f t="shared" si="190"/>
        <v>20140101KUUM_447</v>
      </c>
      <c r="AF484" s="437" t="str">
        <f t="shared" si="191"/>
        <v>20140101RLS</v>
      </c>
      <c r="AG484" s="438"/>
      <c r="AH484" s="34">
        <f>IF(AH483=MiscData!$AB$91,1,AH483+1)</f>
        <v>43</v>
      </c>
      <c r="AI484" s="34">
        <f>IF(AD484&lt;=MiscData!$B$23,MiscData!$C$23,IF(AD484&lt;=MiscData!$B$24,MiscData!$C$24,MiscData!$C$25))</f>
        <v>20140101</v>
      </c>
      <c r="AK484" s="439" t="str">
        <f>VLOOKUP(AM484,MiscData!$AB$4:$ACB$113,2,FALSE)</f>
        <v>KUUM_447</v>
      </c>
      <c r="AL484" s="439" t="str">
        <f>VLOOKUP(AM484,MiscData!$AB$4:$AE$115,4,FALSE)</f>
        <v>RLS</v>
      </c>
      <c r="AM484" s="34">
        <f>IF(AM483=MiscData!$AB$91,1,AM483+1)</f>
        <v>43</v>
      </c>
    </row>
    <row r="485" spans="1:39">
      <c r="A485" s="389">
        <f t="shared" si="194"/>
        <v>484</v>
      </c>
      <c r="B485" s="395" t="str">
        <f t="shared" si="175"/>
        <v>Jun 2014</v>
      </c>
      <c r="C485" s="396" t="str">
        <f t="shared" si="176"/>
        <v>RLS</v>
      </c>
      <c r="D485" s="396" t="str">
        <f t="shared" si="177"/>
        <v>KUUM_448</v>
      </c>
      <c r="E485" s="394">
        <f t="shared" si="178"/>
        <v>1480</v>
      </c>
      <c r="F485" s="397"/>
      <c r="G485" s="394">
        <f t="shared" si="179"/>
        <v>182292</v>
      </c>
      <c r="H485" s="394"/>
      <c r="I485" s="390">
        <f t="shared" si="180"/>
        <v>12.809999999999999</v>
      </c>
      <c r="J485" s="390">
        <f t="shared" si="181"/>
        <v>4.37</v>
      </c>
      <c r="K485" s="391">
        <f t="shared" si="195"/>
        <v>18958.8</v>
      </c>
      <c r="L485" s="398">
        <v>-8</v>
      </c>
      <c r="M485" s="398">
        <v>0</v>
      </c>
      <c r="N485" s="164">
        <f t="shared" si="174"/>
        <v>18950.8</v>
      </c>
      <c r="O485" s="399">
        <f t="shared" si="182"/>
        <v>18950.8</v>
      </c>
      <c r="P485" s="392">
        <f t="shared" si="196"/>
        <v>1</v>
      </c>
      <c r="Q485" s="164">
        <f t="shared" si="183"/>
        <v>804</v>
      </c>
      <c r="R485" s="164">
        <f t="shared" si="184"/>
        <v>0</v>
      </c>
      <c r="S485" s="164">
        <f t="shared" si="185"/>
        <v>527.70000000000005</v>
      </c>
      <c r="T485" s="164">
        <f t="shared" si="186"/>
        <v>0</v>
      </c>
      <c r="U485" s="164">
        <f t="shared" si="187"/>
        <v>20282.5</v>
      </c>
      <c r="V485" s="393">
        <f t="shared" si="188"/>
        <v>20282.5</v>
      </c>
      <c r="W485" s="393">
        <f t="shared" si="189"/>
        <v>0</v>
      </c>
      <c r="Y485" s="393">
        <f t="shared" si="192"/>
        <v>6467.6</v>
      </c>
      <c r="Z485" s="393">
        <f t="shared" si="193"/>
        <v>12483.199999999999</v>
      </c>
      <c r="AD485" s="395">
        <f>IF(AH485&gt;AH484,AD484,IF(AD484&lt;MiscData!$F$1,EOMONTH(AD484,1),EOMONTH(AD484,-11)))</f>
        <v>41820</v>
      </c>
      <c r="AE485" s="389" t="str">
        <f t="shared" si="190"/>
        <v>20140101KUUM_448</v>
      </c>
      <c r="AF485" s="437" t="str">
        <f t="shared" si="191"/>
        <v>20140101RLS</v>
      </c>
      <c r="AG485" s="438"/>
      <c r="AH485" s="34">
        <f>IF(AH484=MiscData!$AB$91,1,AH484+1)</f>
        <v>44</v>
      </c>
      <c r="AI485" s="34">
        <f>IF(AD485&lt;=MiscData!$B$23,MiscData!$C$23,IF(AD485&lt;=MiscData!$B$24,MiscData!$C$24,MiscData!$C$25))</f>
        <v>20140101</v>
      </c>
      <c r="AK485" s="439" t="str">
        <f>VLOOKUP(AM485,MiscData!$AB$4:$ACB$113,2,FALSE)</f>
        <v>KUUM_448</v>
      </c>
      <c r="AL485" s="439" t="str">
        <f>VLOOKUP(AM485,MiscData!$AB$4:$AE$115,4,FALSE)</f>
        <v>RLS</v>
      </c>
      <c r="AM485" s="34">
        <f>IF(AM484=MiscData!$AB$91,1,AM484+1)</f>
        <v>44</v>
      </c>
    </row>
    <row r="486" spans="1:39">
      <c r="A486" s="389">
        <f t="shared" si="194"/>
        <v>485</v>
      </c>
      <c r="B486" s="395" t="str">
        <f t="shared" si="175"/>
        <v>Jun 2014</v>
      </c>
      <c r="C486" s="396" t="str">
        <f t="shared" si="176"/>
        <v>LS</v>
      </c>
      <c r="D486" s="396" t="str">
        <f t="shared" si="177"/>
        <v>KUUM_450</v>
      </c>
      <c r="E486" s="394">
        <f t="shared" si="178"/>
        <v>668</v>
      </c>
      <c r="F486" s="397"/>
      <c r="G486" s="394">
        <f t="shared" si="179"/>
        <v>27252</v>
      </c>
      <c r="H486" s="394"/>
      <c r="I486" s="390">
        <f t="shared" si="180"/>
        <v>14.25</v>
      </c>
      <c r="J486" s="390">
        <f t="shared" si="181"/>
        <v>1.9699999999999989</v>
      </c>
      <c r="K486" s="391">
        <f t="shared" si="195"/>
        <v>9519</v>
      </c>
      <c r="L486" s="398">
        <v>1.03</v>
      </c>
      <c r="M486" s="398">
        <v>0</v>
      </c>
      <c r="N486" s="164">
        <f t="shared" si="174"/>
        <v>9520.0300000000007</v>
      </c>
      <c r="O486" s="399">
        <f t="shared" si="182"/>
        <v>9520.0300000000007</v>
      </c>
      <c r="P486" s="392">
        <f t="shared" si="196"/>
        <v>1</v>
      </c>
      <c r="Q486" s="164">
        <f t="shared" si="183"/>
        <v>133.78</v>
      </c>
      <c r="R486" s="164">
        <f t="shared" si="184"/>
        <v>0</v>
      </c>
      <c r="S486" s="164">
        <f t="shared" si="185"/>
        <v>285.27</v>
      </c>
      <c r="T486" s="164">
        <f t="shared" si="186"/>
        <v>0</v>
      </c>
      <c r="U486" s="164">
        <f t="shared" si="187"/>
        <v>9939.08</v>
      </c>
      <c r="V486" s="393">
        <f t="shared" si="188"/>
        <v>9939.0800000000017</v>
      </c>
      <c r="W486" s="393">
        <f t="shared" si="189"/>
        <v>0</v>
      </c>
      <c r="Y486" s="393">
        <f t="shared" si="192"/>
        <v>1315.96</v>
      </c>
      <c r="Z486" s="393">
        <f t="shared" si="193"/>
        <v>8204.07</v>
      </c>
      <c r="AD486" s="395">
        <f>IF(AH486&gt;AH485,AD485,IF(AD485&lt;MiscData!$F$1,EOMONTH(AD485,1),EOMONTH(AD485,-11)))</f>
        <v>41820</v>
      </c>
      <c r="AE486" s="389" t="str">
        <f t="shared" si="190"/>
        <v>20140101KUUM_450</v>
      </c>
      <c r="AF486" s="437" t="str">
        <f t="shared" si="191"/>
        <v>20140101LS</v>
      </c>
      <c r="AG486" s="438"/>
      <c r="AH486" s="34">
        <f>IF(AH485=MiscData!$AB$91,1,AH485+1)</f>
        <v>45</v>
      </c>
      <c r="AI486" s="34">
        <f>IF(AD486&lt;=MiscData!$B$23,MiscData!$C$23,IF(AD486&lt;=MiscData!$B$24,MiscData!$C$24,MiscData!$C$25))</f>
        <v>20140101</v>
      </c>
      <c r="AK486" s="439" t="str">
        <f>VLOOKUP(AM486,MiscData!$AB$4:$ACB$113,2,FALSE)</f>
        <v>KUUM_450</v>
      </c>
      <c r="AL486" s="439" t="str">
        <f>VLOOKUP(AM486,MiscData!$AB$4:$AE$115,4,FALSE)</f>
        <v>LS</v>
      </c>
      <c r="AM486" s="34">
        <f>IF(AM485=MiscData!$AB$91,1,AM485+1)</f>
        <v>45</v>
      </c>
    </row>
    <row r="487" spans="1:39">
      <c r="A487" s="389">
        <f t="shared" si="194"/>
        <v>486</v>
      </c>
      <c r="B487" s="395" t="str">
        <f t="shared" si="175"/>
        <v>Jun 2014</v>
      </c>
      <c r="C487" s="396" t="str">
        <f t="shared" si="176"/>
        <v>LS</v>
      </c>
      <c r="D487" s="396" t="str">
        <f t="shared" si="177"/>
        <v>KUUM_451</v>
      </c>
      <c r="E487" s="394">
        <f t="shared" si="178"/>
        <v>5202</v>
      </c>
      <c r="F487" s="397"/>
      <c r="G487" s="394">
        <f t="shared" si="179"/>
        <v>492479</v>
      </c>
      <c r="H487" s="394"/>
      <c r="I487" s="390">
        <f t="shared" si="180"/>
        <v>20.200000000000003</v>
      </c>
      <c r="J487" s="390">
        <f t="shared" si="181"/>
        <v>4.2900000000000027</v>
      </c>
      <c r="K487" s="391">
        <f t="shared" si="195"/>
        <v>105080.4</v>
      </c>
      <c r="L487" s="398">
        <v>-430.79</v>
      </c>
      <c r="M487" s="398">
        <v>0</v>
      </c>
      <c r="N487" s="164">
        <f t="shared" si="174"/>
        <v>104649.61</v>
      </c>
      <c r="O487" s="399">
        <f t="shared" si="182"/>
        <v>104649.61</v>
      </c>
      <c r="P487" s="392">
        <f t="shared" si="196"/>
        <v>1</v>
      </c>
      <c r="Q487" s="164">
        <f t="shared" si="183"/>
        <v>2418.4499999999998</v>
      </c>
      <c r="R487" s="164">
        <f t="shared" si="184"/>
        <v>0</v>
      </c>
      <c r="S487" s="164">
        <f t="shared" si="185"/>
        <v>3170.91</v>
      </c>
      <c r="T487" s="164">
        <f t="shared" si="186"/>
        <v>0</v>
      </c>
      <c r="U487" s="164">
        <f t="shared" si="187"/>
        <v>110238.97</v>
      </c>
      <c r="V487" s="393">
        <f t="shared" si="188"/>
        <v>110238.97</v>
      </c>
      <c r="W487" s="393">
        <f t="shared" si="189"/>
        <v>0</v>
      </c>
      <c r="Y487" s="393">
        <f t="shared" si="192"/>
        <v>22316.58</v>
      </c>
      <c r="Z487" s="393">
        <f t="shared" si="193"/>
        <v>82333.03</v>
      </c>
      <c r="AD487" s="395">
        <f>IF(AH487&gt;AH486,AD486,IF(AD486&lt;MiscData!$F$1,EOMONTH(AD486,1),EOMONTH(AD486,-11)))</f>
        <v>41820</v>
      </c>
      <c r="AE487" s="389" t="str">
        <f t="shared" si="190"/>
        <v>20140101KUUM_451</v>
      </c>
      <c r="AF487" s="437" t="str">
        <f t="shared" si="191"/>
        <v>20140101LS</v>
      </c>
      <c r="AG487" s="438"/>
      <c r="AH487" s="34">
        <f>IF(AH486=MiscData!$AB$91,1,AH486+1)</f>
        <v>46</v>
      </c>
      <c r="AI487" s="34">
        <f>IF(AD487&lt;=MiscData!$B$23,MiscData!$C$23,IF(AD487&lt;=MiscData!$B$24,MiscData!$C$24,MiscData!$C$25))</f>
        <v>20140101</v>
      </c>
      <c r="AK487" s="439" t="str">
        <f>VLOOKUP(AM487,MiscData!$AB$4:$ACB$113,2,FALSE)</f>
        <v>KUUM_451</v>
      </c>
      <c r="AL487" s="439" t="str">
        <f>VLOOKUP(AM487,MiscData!$AB$4:$AE$115,4,FALSE)</f>
        <v>LS</v>
      </c>
      <c r="AM487" s="34">
        <f>IF(AM486=MiscData!$AB$91,1,AM486+1)</f>
        <v>46</v>
      </c>
    </row>
    <row r="488" spans="1:39">
      <c r="A488" s="389">
        <f t="shared" si="194"/>
        <v>487</v>
      </c>
      <c r="B488" s="395" t="str">
        <f t="shared" si="175"/>
        <v>Jun 2014</v>
      </c>
      <c r="C488" s="396" t="str">
        <f t="shared" si="176"/>
        <v>LS</v>
      </c>
      <c r="D488" s="396" t="str">
        <f t="shared" si="177"/>
        <v>KUUM_452</v>
      </c>
      <c r="E488" s="394">
        <f t="shared" si="178"/>
        <v>1041</v>
      </c>
      <c r="F488" s="397"/>
      <c r="G488" s="394">
        <f t="shared" si="179"/>
        <v>304174</v>
      </c>
      <c r="H488" s="394"/>
      <c r="I488" s="390">
        <f t="shared" si="180"/>
        <v>42.350000000000009</v>
      </c>
      <c r="J488" s="390">
        <f t="shared" si="181"/>
        <v>10.410000000000004</v>
      </c>
      <c r="K488" s="391">
        <f t="shared" si="195"/>
        <v>44086.35</v>
      </c>
      <c r="L488" s="398">
        <v>-73.94</v>
      </c>
      <c r="M488" s="398">
        <v>0</v>
      </c>
      <c r="N488" s="164">
        <f t="shared" si="174"/>
        <v>44012.409999999996</v>
      </c>
      <c r="O488" s="399">
        <f t="shared" si="182"/>
        <v>44012.409999999996</v>
      </c>
      <c r="P488" s="392">
        <f t="shared" si="196"/>
        <v>1</v>
      </c>
      <c r="Q488" s="164">
        <f t="shared" si="183"/>
        <v>1501.37</v>
      </c>
      <c r="R488" s="164">
        <f t="shared" si="184"/>
        <v>0</v>
      </c>
      <c r="S488" s="164">
        <f t="shared" si="185"/>
        <v>1352.21</v>
      </c>
      <c r="T488" s="164">
        <f t="shared" si="186"/>
        <v>0</v>
      </c>
      <c r="U488" s="164">
        <f t="shared" si="187"/>
        <v>46865.99</v>
      </c>
      <c r="V488" s="393">
        <f t="shared" si="188"/>
        <v>46865.99</v>
      </c>
      <c r="W488" s="393">
        <f t="shared" si="189"/>
        <v>0</v>
      </c>
      <c r="Y488" s="393">
        <f t="shared" si="192"/>
        <v>10836.81</v>
      </c>
      <c r="Z488" s="393">
        <f t="shared" si="193"/>
        <v>33175.599999999999</v>
      </c>
      <c r="AD488" s="395">
        <f>IF(AH488&gt;AH487,AD487,IF(AD487&lt;MiscData!$F$1,EOMONTH(AD487,1),EOMONTH(AD487,-11)))</f>
        <v>41820</v>
      </c>
      <c r="AE488" s="389" t="str">
        <f t="shared" si="190"/>
        <v>20140101KUUM_452</v>
      </c>
      <c r="AF488" s="437" t="str">
        <f t="shared" si="191"/>
        <v>20140101LS</v>
      </c>
      <c r="AG488" s="438"/>
      <c r="AH488" s="34">
        <f>IF(AH487=MiscData!$AB$91,1,AH487+1)</f>
        <v>47</v>
      </c>
      <c r="AI488" s="34">
        <f>IF(AD488&lt;=MiscData!$B$23,MiscData!$C$23,IF(AD488&lt;=MiscData!$B$24,MiscData!$C$24,MiscData!$C$25))</f>
        <v>20140101</v>
      </c>
      <c r="AK488" s="439" t="str">
        <f>VLOOKUP(AM488,MiscData!$AB$4:$ACB$113,2,FALSE)</f>
        <v>KUUM_452</v>
      </c>
      <c r="AL488" s="439" t="str">
        <f>VLOOKUP(AM488,MiscData!$AB$4:$AE$115,4,FALSE)</f>
        <v>LS</v>
      </c>
      <c r="AM488" s="34">
        <f>IF(AM487=MiscData!$AB$91,1,AM487+1)</f>
        <v>47</v>
      </c>
    </row>
    <row r="489" spans="1:39">
      <c r="A489" s="389">
        <f t="shared" si="194"/>
        <v>488</v>
      </c>
      <c r="B489" s="395" t="str">
        <f t="shared" si="175"/>
        <v>Jun 2014</v>
      </c>
      <c r="C489" s="396" t="str">
        <f t="shared" si="176"/>
        <v>RLS</v>
      </c>
      <c r="D489" s="396" t="str">
        <f t="shared" si="177"/>
        <v>KUUM_454</v>
      </c>
      <c r="E489" s="394">
        <f t="shared" si="178"/>
        <v>150</v>
      </c>
      <c r="F489" s="397"/>
      <c r="G489" s="394">
        <f t="shared" si="179"/>
        <v>6119</v>
      </c>
      <c r="H489" s="394"/>
      <c r="I489" s="390">
        <f t="shared" si="180"/>
        <v>18.649999999999999</v>
      </c>
      <c r="J489" s="390">
        <f t="shared" si="181"/>
        <v>1.9699999999999989</v>
      </c>
      <c r="K489" s="391">
        <f t="shared" si="195"/>
        <v>2797.5</v>
      </c>
      <c r="L489" s="398">
        <v>0</v>
      </c>
      <c r="M489" s="398">
        <v>0</v>
      </c>
      <c r="N489" s="164">
        <f t="shared" si="174"/>
        <v>2797.5</v>
      </c>
      <c r="O489" s="399">
        <f t="shared" si="182"/>
        <v>2797.5</v>
      </c>
      <c r="P489" s="392">
        <f t="shared" si="196"/>
        <v>1</v>
      </c>
      <c r="Q489" s="164">
        <f t="shared" si="183"/>
        <v>29.78</v>
      </c>
      <c r="R489" s="164">
        <f t="shared" si="184"/>
        <v>0</v>
      </c>
      <c r="S489" s="164">
        <f t="shared" si="185"/>
        <v>82.88</v>
      </c>
      <c r="T489" s="164">
        <f t="shared" si="186"/>
        <v>0</v>
      </c>
      <c r="U489" s="164">
        <f t="shared" si="187"/>
        <v>2910.16</v>
      </c>
      <c r="V489" s="393">
        <f t="shared" si="188"/>
        <v>2910.1600000000003</v>
      </c>
      <c r="W489" s="393">
        <f t="shared" si="189"/>
        <v>0</v>
      </c>
      <c r="Y489" s="393">
        <f t="shared" si="192"/>
        <v>295.5</v>
      </c>
      <c r="Z489" s="393">
        <f t="shared" si="193"/>
        <v>2502</v>
      </c>
      <c r="AD489" s="395">
        <f>IF(AH489&gt;AH488,AD488,IF(AD488&lt;MiscData!$F$1,EOMONTH(AD488,1),EOMONTH(AD488,-11)))</f>
        <v>41820</v>
      </c>
      <c r="AE489" s="389" t="str">
        <f t="shared" si="190"/>
        <v>20140101KUUM_454</v>
      </c>
      <c r="AF489" s="437" t="str">
        <f t="shared" si="191"/>
        <v>20140101RLS</v>
      </c>
      <c r="AG489" s="438"/>
      <c r="AH489" s="34">
        <f>IF(AH488=MiscData!$AB$91,1,AH488+1)</f>
        <v>48</v>
      </c>
      <c r="AI489" s="34">
        <f>IF(AD489&lt;=MiscData!$B$23,MiscData!$C$23,IF(AD489&lt;=MiscData!$B$24,MiscData!$C$24,MiscData!$C$25))</f>
        <v>20140101</v>
      </c>
      <c r="AK489" s="439" t="str">
        <f>VLOOKUP(AM489,MiscData!$AB$4:$ACB$113,2,FALSE)</f>
        <v>KUUM_454</v>
      </c>
      <c r="AL489" s="439" t="str">
        <f>VLOOKUP(AM489,MiscData!$AB$4:$AE$115,4,FALSE)</f>
        <v>RLS</v>
      </c>
      <c r="AM489" s="34">
        <f>IF(AM488=MiscData!$AB$91,1,AM488+1)</f>
        <v>48</v>
      </c>
    </row>
    <row r="490" spans="1:39">
      <c r="A490" s="389">
        <f t="shared" si="194"/>
        <v>489</v>
      </c>
      <c r="B490" s="395" t="str">
        <f t="shared" si="175"/>
        <v>Jun 2014</v>
      </c>
      <c r="C490" s="396" t="str">
        <f t="shared" si="176"/>
        <v>RLS</v>
      </c>
      <c r="D490" s="396" t="str">
        <f t="shared" si="177"/>
        <v>KUUM_455</v>
      </c>
      <c r="E490" s="394">
        <f t="shared" si="178"/>
        <v>1026</v>
      </c>
      <c r="F490" s="397"/>
      <c r="G490" s="394">
        <f t="shared" si="179"/>
        <v>97919</v>
      </c>
      <c r="H490" s="394"/>
      <c r="I490" s="390">
        <f t="shared" si="180"/>
        <v>24.59</v>
      </c>
      <c r="J490" s="390">
        <f t="shared" si="181"/>
        <v>4.2899999999999991</v>
      </c>
      <c r="K490" s="391">
        <f t="shared" si="195"/>
        <v>25229.34</v>
      </c>
      <c r="L490" s="398">
        <v>-49.18</v>
      </c>
      <c r="M490" s="398">
        <v>0</v>
      </c>
      <c r="N490" s="164">
        <f t="shared" si="174"/>
        <v>25180.16</v>
      </c>
      <c r="O490" s="399">
        <f t="shared" si="182"/>
        <v>25180.16</v>
      </c>
      <c r="P490" s="392">
        <f t="shared" si="196"/>
        <v>1</v>
      </c>
      <c r="Q490" s="164">
        <f t="shared" si="183"/>
        <v>481.99</v>
      </c>
      <c r="R490" s="164">
        <f t="shared" si="184"/>
        <v>0</v>
      </c>
      <c r="S490" s="164">
        <f t="shared" si="185"/>
        <v>761.54</v>
      </c>
      <c r="T490" s="164">
        <f t="shared" si="186"/>
        <v>0</v>
      </c>
      <c r="U490" s="164">
        <f t="shared" si="187"/>
        <v>26423.69</v>
      </c>
      <c r="V490" s="393">
        <f t="shared" si="188"/>
        <v>26423.690000000002</v>
      </c>
      <c r="W490" s="393">
        <f t="shared" si="189"/>
        <v>0</v>
      </c>
      <c r="Y490" s="393">
        <f t="shared" si="192"/>
        <v>4401.54</v>
      </c>
      <c r="Z490" s="393">
        <f t="shared" si="193"/>
        <v>20778.62</v>
      </c>
      <c r="AD490" s="395">
        <f>IF(AH490&gt;AH489,AD489,IF(AD489&lt;MiscData!$F$1,EOMONTH(AD489,1),EOMONTH(AD489,-11)))</f>
        <v>41820</v>
      </c>
      <c r="AE490" s="389" t="str">
        <f t="shared" si="190"/>
        <v>20140101KUUM_455</v>
      </c>
      <c r="AF490" s="437" t="str">
        <f t="shared" si="191"/>
        <v>20140101RLS</v>
      </c>
      <c r="AG490" s="438"/>
      <c r="AH490" s="34">
        <f>IF(AH489=MiscData!$AB$91,1,AH489+1)</f>
        <v>49</v>
      </c>
      <c r="AI490" s="34">
        <f>IF(AD490&lt;=MiscData!$B$23,MiscData!$C$23,IF(AD490&lt;=MiscData!$B$24,MiscData!$C$24,MiscData!$C$25))</f>
        <v>20140101</v>
      </c>
      <c r="AK490" s="439" t="str">
        <f>VLOOKUP(AM490,MiscData!$AB$4:$ACB$113,2,FALSE)</f>
        <v>KUUM_455</v>
      </c>
      <c r="AL490" s="439" t="str">
        <f>VLOOKUP(AM490,MiscData!$AB$4:$AE$115,4,FALSE)</f>
        <v>RLS</v>
      </c>
      <c r="AM490" s="34">
        <f>IF(AM489=MiscData!$AB$91,1,AM489+1)</f>
        <v>49</v>
      </c>
    </row>
    <row r="491" spans="1:39">
      <c r="A491" s="389">
        <f t="shared" si="194"/>
        <v>490</v>
      </c>
      <c r="B491" s="395" t="str">
        <f t="shared" si="175"/>
        <v>Jun 2014</v>
      </c>
      <c r="C491" s="396" t="str">
        <f t="shared" si="176"/>
        <v>RLS</v>
      </c>
      <c r="D491" s="396" t="str">
        <f t="shared" si="177"/>
        <v>KUUM_456</v>
      </c>
      <c r="E491" s="394">
        <f t="shared" si="178"/>
        <v>141</v>
      </c>
      <c r="F491" s="397"/>
      <c r="G491" s="394">
        <f t="shared" si="179"/>
        <v>9161</v>
      </c>
      <c r="H491" s="394"/>
      <c r="I491" s="390">
        <f t="shared" si="180"/>
        <v>11.870000000000001</v>
      </c>
      <c r="J491" s="390">
        <f t="shared" si="181"/>
        <v>1.9900000000000002</v>
      </c>
      <c r="K491" s="391">
        <f t="shared" si="195"/>
        <v>1673.67</v>
      </c>
      <c r="L491" s="398">
        <v>169.74</v>
      </c>
      <c r="M491" s="398">
        <v>0</v>
      </c>
      <c r="N491" s="164">
        <f t="shared" si="174"/>
        <v>1843.41</v>
      </c>
      <c r="O491" s="399">
        <f t="shared" si="182"/>
        <v>1843.4099999999999</v>
      </c>
      <c r="P491" s="392">
        <f t="shared" si="196"/>
        <v>1</v>
      </c>
      <c r="Q491" s="164">
        <f t="shared" si="183"/>
        <v>44.04</v>
      </c>
      <c r="R491" s="164">
        <f t="shared" si="184"/>
        <v>0</v>
      </c>
      <c r="S491" s="164">
        <f t="shared" si="185"/>
        <v>54.59</v>
      </c>
      <c r="T491" s="164">
        <f t="shared" si="186"/>
        <v>0</v>
      </c>
      <c r="U491" s="164">
        <f t="shared" si="187"/>
        <v>1942.04</v>
      </c>
      <c r="V491" s="393">
        <f t="shared" si="188"/>
        <v>1942.04</v>
      </c>
      <c r="W491" s="393">
        <f t="shared" si="189"/>
        <v>0</v>
      </c>
      <c r="Y491" s="393">
        <f t="shared" si="192"/>
        <v>280.58999999999997</v>
      </c>
      <c r="Z491" s="393">
        <f t="shared" si="193"/>
        <v>1562.82</v>
      </c>
      <c r="AD491" s="395">
        <f>IF(AH491&gt;AH490,AD490,IF(AD490&lt;MiscData!$F$1,EOMONTH(AD490,1),EOMONTH(AD490,-11)))</f>
        <v>41820</v>
      </c>
      <c r="AE491" s="389" t="str">
        <f t="shared" si="190"/>
        <v>20140101KUUM_456</v>
      </c>
      <c r="AF491" s="437" t="str">
        <f t="shared" si="191"/>
        <v>20140101RLS</v>
      </c>
      <c r="AG491" s="438"/>
      <c r="AH491" s="34">
        <f>IF(AH490=MiscData!$AB$91,1,AH490+1)</f>
        <v>50</v>
      </c>
      <c r="AI491" s="34">
        <f>IF(AD491&lt;=MiscData!$B$23,MiscData!$C$23,IF(AD491&lt;=MiscData!$B$24,MiscData!$C$24,MiscData!$C$25))</f>
        <v>20140101</v>
      </c>
      <c r="AK491" s="439" t="str">
        <f>VLOOKUP(AM491,MiscData!$AB$4:$ACB$113,2,FALSE)</f>
        <v>KUUM_456</v>
      </c>
      <c r="AL491" s="439" t="str">
        <f>VLOOKUP(AM491,MiscData!$AB$4:$AE$115,4,FALSE)</f>
        <v>RLS</v>
      </c>
      <c r="AM491" s="34">
        <f>IF(AM490=MiscData!$AB$91,1,AM490+1)</f>
        <v>50</v>
      </c>
    </row>
    <row r="492" spans="1:39">
      <c r="A492" s="389">
        <f t="shared" si="194"/>
        <v>491</v>
      </c>
      <c r="B492" s="395" t="str">
        <f t="shared" si="175"/>
        <v>Jun 2014</v>
      </c>
      <c r="C492" s="396" t="str">
        <f t="shared" si="176"/>
        <v>RLS</v>
      </c>
      <c r="D492" s="396" t="str">
        <f t="shared" si="177"/>
        <v>KUUM_457</v>
      </c>
      <c r="E492" s="394">
        <f t="shared" si="178"/>
        <v>453</v>
      </c>
      <c r="F492" s="397"/>
      <c r="G492" s="394">
        <f t="shared" si="179"/>
        <v>35797</v>
      </c>
      <c r="H492" s="394"/>
      <c r="I492" s="390">
        <f t="shared" si="180"/>
        <v>13.360000000000001</v>
      </c>
      <c r="J492" s="390">
        <f t="shared" si="181"/>
        <v>2.84</v>
      </c>
      <c r="K492" s="391">
        <f t="shared" si="195"/>
        <v>6052.08</v>
      </c>
      <c r="L492" s="398">
        <v>0</v>
      </c>
      <c r="M492" s="398">
        <v>0</v>
      </c>
      <c r="N492" s="164">
        <f t="shared" si="174"/>
        <v>6052.08</v>
      </c>
      <c r="O492" s="399">
        <f t="shared" si="182"/>
        <v>6052.08</v>
      </c>
      <c r="P492" s="392">
        <f t="shared" si="196"/>
        <v>1</v>
      </c>
      <c r="Q492" s="164">
        <f t="shared" si="183"/>
        <v>127.9</v>
      </c>
      <c r="R492" s="164">
        <f t="shared" si="184"/>
        <v>0</v>
      </c>
      <c r="S492" s="164">
        <f t="shared" si="185"/>
        <v>135.44999999999999</v>
      </c>
      <c r="T492" s="164">
        <f t="shared" si="186"/>
        <v>0</v>
      </c>
      <c r="U492" s="164">
        <f t="shared" si="187"/>
        <v>6315.43</v>
      </c>
      <c r="V492" s="393">
        <f t="shared" si="188"/>
        <v>6315.4299999999994</v>
      </c>
      <c r="W492" s="393">
        <f t="shared" si="189"/>
        <v>0</v>
      </c>
      <c r="Y492" s="393">
        <f t="shared" si="192"/>
        <v>1286.52</v>
      </c>
      <c r="Z492" s="393">
        <f t="shared" si="193"/>
        <v>4765.5599999999995</v>
      </c>
      <c r="AD492" s="395">
        <f>IF(AH492&gt;AH491,AD491,IF(AD491&lt;MiscData!$F$1,EOMONTH(AD491,1),EOMONTH(AD491,-11)))</f>
        <v>41820</v>
      </c>
      <c r="AE492" s="389" t="str">
        <f t="shared" si="190"/>
        <v>20140101KUUM_457</v>
      </c>
      <c r="AF492" s="437" t="str">
        <f t="shared" si="191"/>
        <v>20140101RLS</v>
      </c>
      <c r="AG492" s="438"/>
      <c r="AH492" s="34">
        <f>IF(AH491=MiscData!$AB$91,1,AH491+1)</f>
        <v>51</v>
      </c>
      <c r="AI492" s="34">
        <f>IF(AD492&lt;=MiscData!$B$23,MiscData!$C$23,IF(AD492&lt;=MiscData!$B$24,MiscData!$C$24,MiscData!$C$25))</f>
        <v>20140101</v>
      </c>
      <c r="AK492" s="439" t="str">
        <f>VLOOKUP(AM492,MiscData!$AB$4:$ACB$113,2,FALSE)</f>
        <v>KUUM_457</v>
      </c>
      <c r="AL492" s="439" t="str">
        <f>VLOOKUP(AM492,MiscData!$AB$4:$AE$115,4,FALSE)</f>
        <v>RLS</v>
      </c>
      <c r="AM492" s="34">
        <f>IF(AM491=MiscData!$AB$91,1,AM491+1)</f>
        <v>51</v>
      </c>
    </row>
    <row r="493" spans="1:39">
      <c r="A493" s="389">
        <f t="shared" si="194"/>
        <v>492</v>
      </c>
      <c r="B493" s="395" t="str">
        <f t="shared" si="175"/>
        <v>Jun 2014</v>
      </c>
      <c r="C493" s="396" t="str">
        <f t="shared" si="176"/>
        <v>RLS</v>
      </c>
      <c r="D493" s="396" t="str">
        <f t="shared" si="177"/>
        <v>KUUM_458</v>
      </c>
      <c r="E493" s="394">
        <f t="shared" si="178"/>
        <v>1460</v>
      </c>
      <c r="F493" s="397"/>
      <c r="G493" s="394">
        <f t="shared" si="179"/>
        <v>178050</v>
      </c>
      <c r="H493" s="394"/>
      <c r="I493" s="390">
        <f t="shared" si="180"/>
        <v>15.079999999999998</v>
      </c>
      <c r="J493" s="390">
        <f t="shared" si="181"/>
        <v>4.3699999999999992</v>
      </c>
      <c r="K493" s="391">
        <f t="shared" si="195"/>
        <v>22016.799999999999</v>
      </c>
      <c r="L493" s="398">
        <v>-52.78</v>
      </c>
      <c r="M493" s="398">
        <v>0</v>
      </c>
      <c r="N493" s="164">
        <f t="shared" si="174"/>
        <v>21964.02</v>
      </c>
      <c r="O493" s="399">
        <f t="shared" si="182"/>
        <v>21964.02</v>
      </c>
      <c r="P493" s="392">
        <f t="shared" si="196"/>
        <v>1</v>
      </c>
      <c r="Q493" s="164">
        <f t="shared" si="183"/>
        <v>713.65</v>
      </c>
      <c r="R493" s="164">
        <f t="shared" si="184"/>
        <v>0</v>
      </c>
      <c r="S493" s="164">
        <f t="shared" si="185"/>
        <v>553.97</v>
      </c>
      <c r="T493" s="164">
        <f t="shared" si="186"/>
        <v>0</v>
      </c>
      <c r="U493" s="164">
        <f t="shared" si="187"/>
        <v>23231.64</v>
      </c>
      <c r="V493" s="393">
        <f t="shared" si="188"/>
        <v>23231.640000000003</v>
      </c>
      <c r="W493" s="393">
        <f t="shared" si="189"/>
        <v>0</v>
      </c>
      <c r="Y493" s="393">
        <f t="shared" si="192"/>
        <v>6380.2</v>
      </c>
      <c r="Z493" s="393">
        <f t="shared" si="193"/>
        <v>15583.82</v>
      </c>
      <c r="AD493" s="395">
        <f>IF(AH493&gt;AH492,AD492,IF(AD492&lt;MiscData!$F$1,EOMONTH(AD492,1),EOMONTH(AD492,-11)))</f>
        <v>41820</v>
      </c>
      <c r="AE493" s="389" t="str">
        <f t="shared" si="190"/>
        <v>20140101KUUM_458</v>
      </c>
      <c r="AF493" s="437" t="str">
        <f t="shared" si="191"/>
        <v>20140101RLS</v>
      </c>
      <c r="AG493" s="438"/>
      <c r="AH493" s="34">
        <f>IF(AH492=MiscData!$AB$91,1,AH492+1)</f>
        <v>52</v>
      </c>
      <c r="AI493" s="34">
        <f>IF(AD493&lt;=MiscData!$B$23,MiscData!$C$23,IF(AD493&lt;=MiscData!$B$24,MiscData!$C$24,MiscData!$C$25))</f>
        <v>20140101</v>
      </c>
      <c r="AK493" s="439" t="str">
        <f>VLOOKUP(AM493,MiscData!$AB$4:$ACB$113,2,FALSE)</f>
        <v>KUUM_458</v>
      </c>
      <c r="AL493" s="439" t="str">
        <f>VLOOKUP(AM493,MiscData!$AB$4:$AE$115,4,FALSE)</f>
        <v>RLS</v>
      </c>
      <c r="AM493" s="34">
        <f>IF(AM492=MiscData!$AB$91,1,AM492+1)</f>
        <v>52</v>
      </c>
    </row>
    <row r="494" spans="1:39">
      <c r="A494" s="389">
        <f t="shared" si="194"/>
        <v>493</v>
      </c>
      <c r="B494" s="395" t="str">
        <f t="shared" si="175"/>
        <v>Jun 2014</v>
      </c>
      <c r="C494" s="396" t="str">
        <f t="shared" si="176"/>
        <v>RLS</v>
      </c>
      <c r="D494" s="396" t="str">
        <f t="shared" si="177"/>
        <v>KUUM_459</v>
      </c>
      <c r="E494" s="394">
        <f t="shared" si="178"/>
        <v>226</v>
      </c>
      <c r="F494" s="397"/>
      <c r="G494" s="394">
        <f t="shared" si="179"/>
        <v>66115</v>
      </c>
      <c r="H494" s="394"/>
      <c r="I494" s="390">
        <f t="shared" si="180"/>
        <v>46.740000000000009</v>
      </c>
      <c r="J494" s="390">
        <f t="shared" si="181"/>
        <v>10.410000000000004</v>
      </c>
      <c r="K494" s="391">
        <f t="shared" si="195"/>
        <v>10563.24</v>
      </c>
      <c r="L494" s="398">
        <v>-31.16</v>
      </c>
      <c r="M494" s="398">
        <v>0</v>
      </c>
      <c r="N494" s="164">
        <f t="shared" si="174"/>
        <v>10532.08</v>
      </c>
      <c r="O494" s="399">
        <f t="shared" si="182"/>
        <v>10532.08</v>
      </c>
      <c r="P494" s="392">
        <f t="shared" si="196"/>
        <v>1</v>
      </c>
      <c r="Q494" s="164">
        <f t="shared" si="183"/>
        <v>326.17</v>
      </c>
      <c r="R494" s="164">
        <f t="shared" si="184"/>
        <v>0</v>
      </c>
      <c r="S494" s="164">
        <f t="shared" si="185"/>
        <v>322.33999999999997</v>
      </c>
      <c r="T494" s="164">
        <f t="shared" si="186"/>
        <v>0</v>
      </c>
      <c r="U494" s="164">
        <f t="shared" si="187"/>
        <v>11180.59</v>
      </c>
      <c r="V494" s="393">
        <f t="shared" si="188"/>
        <v>11180.59</v>
      </c>
      <c r="W494" s="393">
        <f t="shared" si="189"/>
        <v>0</v>
      </c>
      <c r="Y494" s="393">
        <f t="shared" si="192"/>
        <v>2352.66</v>
      </c>
      <c r="Z494" s="393">
        <f t="shared" si="193"/>
        <v>8179.42</v>
      </c>
      <c r="AD494" s="395">
        <f>IF(AH494&gt;AH493,AD493,IF(AD493&lt;MiscData!$F$1,EOMONTH(AD493,1),EOMONTH(AD493,-11)))</f>
        <v>41820</v>
      </c>
      <c r="AE494" s="389" t="str">
        <f t="shared" si="190"/>
        <v>20140101KUUM_459</v>
      </c>
      <c r="AF494" s="437" t="str">
        <f t="shared" si="191"/>
        <v>20140101RLS</v>
      </c>
      <c r="AG494" s="438"/>
      <c r="AH494" s="34">
        <f>IF(AH493=MiscData!$AB$91,1,AH493+1)</f>
        <v>53</v>
      </c>
      <c r="AI494" s="34">
        <f>IF(AD494&lt;=MiscData!$B$23,MiscData!$C$23,IF(AD494&lt;=MiscData!$B$24,MiscData!$C$24,MiscData!$C$25))</f>
        <v>20140101</v>
      </c>
      <c r="AK494" s="439" t="str">
        <f>VLOOKUP(AM494,MiscData!$AB$4:$ACB$113,2,FALSE)</f>
        <v>KUUM_459</v>
      </c>
      <c r="AL494" s="439" t="str">
        <f>VLOOKUP(AM494,MiscData!$AB$4:$AE$115,4,FALSE)</f>
        <v>RLS</v>
      </c>
      <c r="AM494" s="34">
        <f>IF(AM493=MiscData!$AB$91,1,AM493+1)</f>
        <v>53</v>
      </c>
    </row>
    <row r="495" spans="1:39">
      <c r="A495" s="389">
        <f t="shared" si="194"/>
        <v>494</v>
      </c>
      <c r="B495" s="395" t="str">
        <f t="shared" si="175"/>
        <v>Jun 2014</v>
      </c>
      <c r="C495" s="396" t="str">
        <f t="shared" si="176"/>
        <v>RLS</v>
      </c>
      <c r="D495" s="396" t="str">
        <f t="shared" si="177"/>
        <v>KUUM_460</v>
      </c>
      <c r="E495" s="394">
        <f t="shared" si="178"/>
        <v>26</v>
      </c>
      <c r="F495" s="397"/>
      <c r="G495" s="394">
        <f t="shared" si="179"/>
        <v>1118</v>
      </c>
      <c r="H495" s="394"/>
      <c r="I495" s="390">
        <f t="shared" si="180"/>
        <v>27.15</v>
      </c>
      <c r="J495" s="390">
        <f t="shared" si="181"/>
        <v>1.9699999999999989</v>
      </c>
      <c r="K495" s="391">
        <f t="shared" si="195"/>
        <v>705.9</v>
      </c>
      <c r="L495" s="398">
        <v>0</v>
      </c>
      <c r="M495" s="398">
        <v>0</v>
      </c>
      <c r="N495" s="164">
        <f t="shared" si="174"/>
        <v>705.9</v>
      </c>
      <c r="O495" s="399">
        <f t="shared" si="182"/>
        <v>705.9</v>
      </c>
      <c r="P495" s="392">
        <f t="shared" si="196"/>
        <v>1</v>
      </c>
      <c r="Q495" s="164">
        <f t="shared" si="183"/>
        <v>4.8499999999999996</v>
      </c>
      <c r="R495" s="164">
        <f t="shared" si="184"/>
        <v>0</v>
      </c>
      <c r="S495" s="164">
        <f t="shared" si="185"/>
        <v>18.850000000000001</v>
      </c>
      <c r="T495" s="164">
        <f t="shared" si="186"/>
        <v>0</v>
      </c>
      <c r="U495" s="164">
        <f t="shared" si="187"/>
        <v>729.6</v>
      </c>
      <c r="V495" s="393">
        <f t="shared" si="188"/>
        <v>729.6</v>
      </c>
      <c r="W495" s="393">
        <f t="shared" si="189"/>
        <v>0</v>
      </c>
      <c r="Y495" s="393">
        <f t="shared" si="192"/>
        <v>51.22</v>
      </c>
      <c r="Z495" s="393">
        <f t="shared" si="193"/>
        <v>654.67999999999995</v>
      </c>
      <c r="AD495" s="395">
        <f>IF(AH495&gt;AH494,AD494,IF(AD494&lt;MiscData!$F$1,EOMONTH(AD494,1),EOMONTH(AD494,-11)))</f>
        <v>41820</v>
      </c>
      <c r="AE495" s="389" t="str">
        <f t="shared" si="190"/>
        <v>20140101KUUM_460</v>
      </c>
      <c r="AF495" s="437" t="str">
        <f t="shared" si="191"/>
        <v>20140101RLS</v>
      </c>
      <c r="AG495" s="438"/>
      <c r="AH495" s="34">
        <f>IF(AH494=MiscData!$AB$91,1,AH494+1)</f>
        <v>54</v>
      </c>
      <c r="AI495" s="34">
        <f>IF(AD495&lt;=MiscData!$B$23,MiscData!$C$23,IF(AD495&lt;=MiscData!$B$24,MiscData!$C$24,MiscData!$C$25))</f>
        <v>20140101</v>
      </c>
      <c r="AK495" s="439" t="str">
        <f>VLOOKUP(AM495,MiscData!$AB$4:$ACB$113,2,FALSE)</f>
        <v>KUUM_460</v>
      </c>
      <c r="AL495" s="439" t="str">
        <f>VLOOKUP(AM495,MiscData!$AB$4:$AE$115,4,FALSE)</f>
        <v>RLS</v>
      </c>
      <c r="AM495" s="34">
        <f>IF(AM494=MiscData!$AB$91,1,AM494+1)</f>
        <v>54</v>
      </c>
    </row>
    <row r="496" spans="1:39">
      <c r="A496" s="389">
        <f t="shared" si="194"/>
        <v>495</v>
      </c>
      <c r="B496" s="395" t="str">
        <f t="shared" si="175"/>
        <v>Jun 2014</v>
      </c>
      <c r="C496" s="396" t="str">
        <f t="shared" si="176"/>
        <v>RLS</v>
      </c>
      <c r="D496" s="396" t="str">
        <f t="shared" si="177"/>
        <v>KUUM_461</v>
      </c>
      <c r="E496" s="394">
        <f t="shared" si="178"/>
        <v>6930</v>
      </c>
      <c r="F496" s="397"/>
      <c r="G496" s="394">
        <f t="shared" si="179"/>
        <v>113244</v>
      </c>
      <c r="H496" s="394"/>
      <c r="I496" s="390">
        <f t="shared" si="180"/>
        <v>7.54</v>
      </c>
      <c r="J496" s="390">
        <f t="shared" si="181"/>
        <v>0.57000000000000028</v>
      </c>
      <c r="K496" s="391">
        <f t="shared" si="195"/>
        <v>52252.2</v>
      </c>
      <c r="L496" s="398">
        <v>0</v>
      </c>
      <c r="M496" s="398">
        <v>0</v>
      </c>
      <c r="N496" s="164">
        <f t="shared" si="174"/>
        <v>52252.2</v>
      </c>
      <c r="O496" s="399">
        <f t="shared" si="182"/>
        <v>52252.2</v>
      </c>
      <c r="P496" s="392">
        <f t="shared" si="196"/>
        <v>1</v>
      </c>
      <c r="Q496" s="164">
        <f t="shared" si="183"/>
        <v>518.41</v>
      </c>
      <c r="R496" s="164">
        <f t="shared" si="184"/>
        <v>0</v>
      </c>
      <c r="S496" s="164">
        <f t="shared" si="185"/>
        <v>1460.24</v>
      </c>
      <c r="T496" s="164">
        <f t="shared" si="186"/>
        <v>0</v>
      </c>
      <c r="U496" s="164">
        <f t="shared" si="187"/>
        <v>54230.85</v>
      </c>
      <c r="V496" s="393">
        <f t="shared" si="188"/>
        <v>54230.85</v>
      </c>
      <c r="W496" s="393">
        <f t="shared" si="189"/>
        <v>0</v>
      </c>
      <c r="Y496" s="393">
        <f t="shared" si="192"/>
        <v>3950.1</v>
      </c>
      <c r="Z496" s="393">
        <f t="shared" si="193"/>
        <v>48302.1</v>
      </c>
      <c r="AD496" s="395">
        <f>IF(AH496&gt;AH495,AD495,IF(AD495&lt;MiscData!$F$1,EOMONTH(AD495,1),EOMONTH(AD495,-11)))</f>
        <v>41820</v>
      </c>
      <c r="AE496" s="389" t="str">
        <f t="shared" si="190"/>
        <v>20140101KUUM_461</v>
      </c>
      <c r="AF496" s="437" t="str">
        <f t="shared" si="191"/>
        <v>20140101RLS</v>
      </c>
      <c r="AG496" s="438"/>
      <c r="AH496" s="34">
        <f>IF(AH495=MiscData!$AB$91,1,AH495+1)</f>
        <v>55</v>
      </c>
      <c r="AI496" s="34">
        <f>IF(AD496&lt;=MiscData!$B$23,MiscData!$C$23,IF(AD496&lt;=MiscData!$B$24,MiscData!$C$24,MiscData!$C$25))</f>
        <v>20140101</v>
      </c>
      <c r="AK496" s="439" t="str">
        <f>VLOOKUP(AM496,MiscData!$AB$4:$ACB$113,2,FALSE)</f>
        <v>KUUM_461</v>
      </c>
      <c r="AL496" s="439" t="str">
        <f>VLOOKUP(AM496,MiscData!$AB$4:$AE$115,4,FALSE)</f>
        <v>RLS</v>
      </c>
      <c r="AM496" s="34">
        <f>IF(AM495=MiscData!$AB$91,1,AM495+1)</f>
        <v>55</v>
      </c>
    </row>
    <row r="497" spans="1:39">
      <c r="A497" s="389">
        <f t="shared" si="194"/>
        <v>496</v>
      </c>
      <c r="B497" s="395" t="str">
        <f t="shared" si="175"/>
        <v>Jun 2014</v>
      </c>
      <c r="C497" s="396" t="str">
        <f t="shared" si="176"/>
        <v>LS</v>
      </c>
      <c r="D497" s="396" t="str">
        <f t="shared" si="177"/>
        <v>KUUM_462</v>
      </c>
      <c r="E497" s="394">
        <f t="shared" si="178"/>
        <v>8748</v>
      </c>
      <c r="F497" s="397"/>
      <c r="G497" s="394">
        <f t="shared" si="179"/>
        <v>199542</v>
      </c>
      <c r="H497" s="394"/>
      <c r="I497" s="390">
        <f t="shared" si="180"/>
        <v>8.66</v>
      </c>
      <c r="J497" s="390">
        <f t="shared" si="181"/>
        <v>0.79999999999999893</v>
      </c>
      <c r="K497" s="391">
        <f t="shared" si="195"/>
        <v>75757.679999999993</v>
      </c>
      <c r="L497" s="398">
        <v>7.46</v>
      </c>
      <c r="M497" s="398">
        <v>0</v>
      </c>
      <c r="N497" s="164">
        <f t="shared" si="174"/>
        <v>75765.14</v>
      </c>
      <c r="O497" s="399">
        <f t="shared" si="182"/>
        <v>75765.14</v>
      </c>
      <c r="P497" s="392">
        <f t="shared" si="196"/>
        <v>1</v>
      </c>
      <c r="Q497" s="164">
        <f t="shared" si="183"/>
        <v>867.57</v>
      </c>
      <c r="R497" s="164">
        <f t="shared" si="184"/>
        <v>0</v>
      </c>
      <c r="S497" s="164">
        <f t="shared" si="185"/>
        <v>2016.82</v>
      </c>
      <c r="T497" s="164">
        <f t="shared" si="186"/>
        <v>0</v>
      </c>
      <c r="U497" s="164">
        <f t="shared" si="187"/>
        <v>78649.53</v>
      </c>
      <c r="V497" s="393">
        <f t="shared" si="188"/>
        <v>78649.530000000013</v>
      </c>
      <c r="W497" s="393">
        <f t="shared" si="189"/>
        <v>0</v>
      </c>
      <c r="Y497" s="393">
        <f t="shared" si="192"/>
        <v>6998.4</v>
      </c>
      <c r="Z497" s="393">
        <f t="shared" si="193"/>
        <v>68766.740000000005</v>
      </c>
      <c r="AD497" s="395">
        <f>IF(AH497&gt;AH496,AD496,IF(AD496&lt;MiscData!$F$1,EOMONTH(AD496,1),EOMONTH(AD496,-11)))</f>
        <v>41820</v>
      </c>
      <c r="AE497" s="389" t="str">
        <f t="shared" si="190"/>
        <v>20140101KUUM_462</v>
      </c>
      <c r="AF497" s="437" t="str">
        <f t="shared" si="191"/>
        <v>20140101LS</v>
      </c>
      <c r="AG497" s="438"/>
      <c r="AH497" s="34">
        <f>IF(AH496=MiscData!$AB$91,1,AH496+1)</f>
        <v>56</v>
      </c>
      <c r="AI497" s="34">
        <f>IF(AD497&lt;=MiscData!$B$23,MiscData!$C$23,IF(AD497&lt;=MiscData!$B$24,MiscData!$C$24,MiscData!$C$25))</f>
        <v>20140101</v>
      </c>
      <c r="AK497" s="439" t="str">
        <f>VLOOKUP(AM497,MiscData!$AB$4:$ACB$113,2,FALSE)</f>
        <v>KUUM_462</v>
      </c>
      <c r="AL497" s="439" t="str">
        <f>VLOOKUP(AM497,MiscData!$AB$4:$AE$115,4,FALSE)</f>
        <v>LS</v>
      </c>
      <c r="AM497" s="34">
        <f>IF(AM496=MiscData!$AB$91,1,AM496+1)</f>
        <v>56</v>
      </c>
    </row>
    <row r="498" spans="1:39">
      <c r="A498" s="389">
        <f t="shared" si="194"/>
        <v>497</v>
      </c>
      <c r="B498" s="395" t="str">
        <f t="shared" si="175"/>
        <v>Jun 2014</v>
      </c>
      <c r="C498" s="396" t="str">
        <f t="shared" si="176"/>
        <v>LS</v>
      </c>
      <c r="D498" s="396" t="str">
        <f t="shared" si="177"/>
        <v>KUUM_463</v>
      </c>
      <c r="E498" s="394">
        <f t="shared" si="178"/>
        <v>20390</v>
      </c>
      <c r="F498" s="397"/>
      <c r="G498" s="394">
        <f t="shared" si="179"/>
        <v>675986</v>
      </c>
      <c r="H498" s="394"/>
      <c r="I498" s="390">
        <f t="shared" si="180"/>
        <v>9.14</v>
      </c>
      <c r="J498" s="390">
        <f t="shared" si="181"/>
        <v>1.1299999999999999</v>
      </c>
      <c r="K498" s="391">
        <f t="shared" si="195"/>
        <v>186364.6</v>
      </c>
      <c r="L498" s="398">
        <v>6408.3</v>
      </c>
      <c r="M498" s="398">
        <v>0</v>
      </c>
      <c r="N498" s="164">
        <f t="shared" si="174"/>
        <v>192772.9</v>
      </c>
      <c r="O498" s="399">
        <f t="shared" si="182"/>
        <v>192772.90000000002</v>
      </c>
      <c r="P498" s="392">
        <f t="shared" si="196"/>
        <v>1</v>
      </c>
      <c r="Q498" s="164">
        <f t="shared" si="183"/>
        <v>3095.88</v>
      </c>
      <c r="R498" s="164">
        <f t="shared" si="184"/>
        <v>0</v>
      </c>
      <c r="S498" s="164">
        <f t="shared" si="185"/>
        <v>5424.42</v>
      </c>
      <c r="T498" s="164">
        <f t="shared" si="186"/>
        <v>0</v>
      </c>
      <c r="U498" s="164">
        <f t="shared" si="187"/>
        <v>201293.2</v>
      </c>
      <c r="V498" s="393">
        <f t="shared" si="188"/>
        <v>201293.2</v>
      </c>
      <c r="W498" s="393">
        <f t="shared" si="189"/>
        <v>0</v>
      </c>
      <c r="Y498" s="393">
        <f t="shared" si="192"/>
        <v>23040.7</v>
      </c>
      <c r="Z498" s="393">
        <f t="shared" si="193"/>
        <v>169732.2</v>
      </c>
      <c r="AD498" s="395">
        <f>IF(AH498&gt;AH497,AD497,IF(AD497&lt;MiscData!$F$1,EOMONTH(AD497,1),EOMONTH(AD497,-11)))</f>
        <v>41820</v>
      </c>
      <c r="AE498" s="389" t="str">
        <f t="shared" si="190"/>
        <v>20140101KUUM_463</v>
      </c>
      <c r="AF498" s="437" t="str">
        <f t="shared" si="191"/>
        <v>20140101LS</v>
      </c>
      <c r="AG498" s="438"/>
      <c r="AH498" s="34">
        <f>IF(AH497=MiscData!$AB$91,1,AH497+1)</f>
        <v>57</v>
      </c>
      <c r="AI498" s="34">
        <f>IF(AD498&lt;=MiscData!$B$23,MiscData!$C$23,IF(AD498&lt;=MiscData!$B$24,MiscData!$C$24,MiscData!$C$25))</f>
        <v>20140101</v>
      </c>
      <c r="AK498" s="439" t="str">
        <f>VLOOKUP(AM498,MiscData!$AB$4:$ACB$113,2,FALSE)</f>
        <v>KUUM_463</v>
      </c>
      <c r="AL498" s="439" t="str">
        <f>VLOOKUP(AM498,MiscData!$AB$4:$AE$115,4,FALSE)</f>
        <v>LS</v>
      </c>
      <c r="AM498" s="34">
        <f>IF(AM497=MiscData!$AB$91,1,AM497+1)</f>
        <v>57</v>
      </c>
    </row>
    <row r="499" spans="1:39">
      <c r="A499" s="389">
        <f t="shared" si="194"/>
        <v>498</v>
      </c>
      <c r="B499" s="395" t="str">
        <f t="shared" si="175"/>
        <v>Jun 2014</v>
      </c>
      <c r="C499" s="396" t="str">
        <f t="shared" si="176"/>
        <v>LS</v>
      </c>
      <c r="D499" s="396" t="str">
        <f t="shared" si="177"/>
        <v>KUUM_464</v>
      </c>
      <c r="E499" s="394">
        <f t="shared" si="178"/>
        <v>7581</v>
      </c>
      <c r="F499" s="397"/>
      <c r="G499" s="394">
        <f t="shared" si="179"/>
        <v>502539</v>
      </c>
      <c r="H499" s="394"/>
      <c r="I499" s="390">
        <f t="shared" si="180"/>
        <v>14.25</v>
      </c>
      <c r="J499" s="390">
        <f t="shared" si="181"/>
        <v>2.33</v>
      </c>
      <c r="K499" s="391">
        <f t="shared" si="195"/>
        <v>108029.25</v>
      </c>
      <c r="L499" s="398">
        <v>-90.25</v>
      </c>
      <c r="M499" s="398">
        <v>0</v>
      </c>
      <c r="N499" s="164">
        <f t="shared" si="174"/>
        <v>107939</v>
      </c>
      <c r="O499" s="399">
        <f t="shared" si="182"/>
        <v>107939</v>
      </c>
      <c r="P499" s="392">
        <f t="shared" si="196"/>
        <v>1</v>
      </c>
      <c r="Q499" s="164">
        <f t="shared" si="183"/>
        <v>2343.5</v>
      </c>
      <c r="R499" s="164">
        <f t="shared" si="184"/>
        <v>0</v>
      </c>
      <c r="S499" s="164">
        <f t="shared" si="185"/>
        <v>3109.04</v>
      </c>
      <c r="T499" s="164">
        <f t="shared" si="186"/>
        <v>0</v>
      </c>
      <c r="U499" s="164">
        <f t="shared" si="187"/>
        <v>113391.54</v>
      </c>
      <c r="V499" s="393">
        <f t="shared" si="188"/>
        <v>113391.54</v>
      </c>
      <c r="W499" s="393">
        <f t="shared" si="189"/>
        <v>0</v>
      </c>
      <c r="Y499" s="393">
        <f t="shared" si="192"/>
        <v>17663.73</v>
      </c>
      <c r="Z499" s="393">
        <f t="shared" si="193"/>
        <v>90275.27</v>
      </c>
      <c r="AD499" s="395">
        <f>IF(AH499&gt;AH498,AD498,IF(AD498&lt;MiscData!$F$1,EOMONTH(AD498,1),EOMONTH(AD498,-11)))</f>
        <v>41820</v>
      </c>
      <c r="AE499" s="389" t="str">
        <f t="shared" si="190"/>
        <v>20140101KUUM_464</v>
      </c>
      <c r="AF499" s="437" t="str">
        <f t="shared" si="191"/>
        <v>20140101LS</v>
      </c>
      <c r="AG499" s="438"/>
      <c r="AH499" s="34">
        <f>IF(AH498=MiscData!$AB$91,1,AH498+1)</f>
        <v>58</v>
      </c>
      <c r="AI499" s="34">
        <f>IF(AD499&lt;=MiscData!$B$23,MiscData!$C$23,IF(AD499&lt;=MiscData!$B$24,MiscData!$C$24,MiscData!$C$25))</f>
        <v>20140101</v>
      </c>
      <c r="AK499" s="439" t="str">
        <f>VLOOKUP(AM499,MiscData!$AB$4:$ACB$113,2,FALSE)</f>
        <v>KUUM_464</v>
      </c>
      <c r="AL499" s="439" t="str">
        <f>VLOOKUP(AM499,MiscData!$AB$4:$AE$115,4,FALSE)</f>
        <v>LS</v>
      </c>
      <c r="AM499" s="34">
        <f>IF(AM498=MiscData!$AB$91,1,AM498+1)</f>
        <v>58</v>
      </c>
    </row>
    <row r="500" spans="1:39">
      <c r="A500" s="389">
        <f t="shared" si="194"/>
        <v>499</v>
      </c>
      <c r="B500" s="395" t="str">
        <f t="shared" si="175"/>
        <v>Jun 2014</v>
      </c>
      <c r="C500" s="396" t="str">
        <f t="shared" si="176"/>
        <v>LS</v>
      </c>
      <c r="D500" s="396" t="str">
        <f t="shared" si="177"/>
        <v>KUUM_465</v>
      </c>
      <c r="E500" s="394">
        <f t="shared" si="178"/>
        <v>2810</v>
      </c>
      <c r="F500" s="397"/>
      <c r="G500" s="394">
        <f t="shared" si="179"/>
        <v>361038</v>
      </c>
      <c r="H500" s="394"/>
      <c r="I500" s="390">
        <f t="shared" si="180"/>
        <v>22.84</v>
      </c>
      <c r="J500" s="390">
        <f t="shared" si="181"/>
        <v>4.5299999999999976</v>
      </c>
      <c r="K500" s="391">
        <f t="shared" si="195"/>
        <v>64180.4</v>
      </c>
      <c r="L500" s="398">
        <v>-181.96</v>
      </c>
      <c r="M500" s="398">
        <v>0</v>
      </c>
      <c r="N500" s="164">
        <f t="shared" si="174"/>
        <v>63998.44</v>
      </c>
      <c r="O500" s="399">
        <f t="shared" si="182"/>
        <v>63998.44</v>
      </c>
      <c r="P500" s="392">
        <f t="shared" si="196"/>
        <v>1</v>
      </c>
      <c r="Q500" s="164">
        <f t="shared" si="183"/>
        <v>1732.52</v>
      </c>
      <c r="R500" s="164">
        <f t="shared" si="184"/>
        <v>0</v>
      </c>
      <c r="S500" s="164">
        <f t="shared" si="185"/>
        <v>1900.65</v>
      </c>
      <c r="T500" s="164">
        <f t="shared" si="186"/>
        <v>0</v>
      </c>
      <c r="U500" s="164">
        <f t="shared" si="187"/>
        <v>67631.61</v>
      </c>
      <c r="V500" s="393">
        <f t="shared" si="188"/>
        <v>67631.61</v>
      </c>
      <c r="W500" s="393">
        <f t="shared" si="189"/>
        <v>0</v>
      </c>
      <c r="Y500" s="393">
        <f t="shared" si="192"/>
        <v>12729.3</v>
      </c>
      <c r="Z500" s="393">
        <f t="shared" si="193"/>
        <v>51269.14</v>
      </c>
      <c r="AD500" s="395">
        <f>IF(AH500&gt;AH499,AD499,IF(AD499&lt;MiscData!$F$1,EOMONTH(AD499,1),EOMONTH(AD499,-11)))</f>
        <v>41820</v>
      </c>
      <c r="AE500" s="389" t="str">
        <f t="shared" si="190"/>
        <v>20140101KUUM_465</v>
      </c>
      <c r="AF500" s="437" t="str">
        <f t="shared" si="191"/>
        <v>20140101LS</v>
      </c>
      <c r="AG500" s="438"/>
      <c r="AH500" s="34">
        <f>IF(AH499=MiscData!$AB$91,1,AH499+1)</f>
        <v>59</v>
      </c>
      <c r="AI500" s="34">
        <f>IF(AD500&lt;=MiscData!$B$23,MiscData!$C$23,IF(AD500&lt;=MiscData!$B$24,MiscData!$C$24,MiscData!$C$25))</f>
        <v>20140101</v>
      </c>
      <c r="AK500" s="439" t="str">
        <f>VLOOKUP(AM500,MiscData!$AB$4:$ACB$113,2,FALSE)</f>
        <v>KUUM_465</v>
      </c>
      <c r="AL500" s="439" t="str">
        <f>VLOOKUP(AM500,MiscData!$AB$4:$AE$115,4,FALSE)</f>
        <v>LS</v>
      </c>
      <c r="AM500" s="34">
        <f>IF(AM499=MiscData!$AB$91,1,AM499+1)</f>
        <v>59</v>
      </c>
    </row>
    <row r="501" spans="1:39">
      <c r="A501" s="389">
        <f t="shared" si="194"/>
        <v>500</v>
      </c>
      <c r="B501" s="395" t="str">
        <f t="shared" si="175"/>
        <v>Jun 2014</v>
      </c>
      <c r="C501" s="396" t="str">
        <f t="shared" si="176"/>
        <v>RLS</v>
      </c>
      <c r="D501" s="396" t="str">
        <f t="shared" si="177"/>
        <v>KUUM_466</v>
      </c>
      <c r="E501" s="394">
        <f t="shared" si="178"/>
        <v>864</v>
      </c>
      <c r="F501" s="397"/>
      <c r="G501" s="394">
        <f t="shared" si="179"/>
        <v>14462</v>
      </c>
      <c r="H501" s="394"/>
      <c r="I501" s="390">
        <f t="shared" si="180"/>
        <v>9.620000000000001</v>
      </c>
      <c r="J501" s="390">
        <f t="shared" si="181"/>
        <v>0.57000000000000028</v>
      </c>
      <c r="K501" s="391">
        <f t="shared" si="195"/>
        <v>8311.68</v>
      </c>
      <c r="L501" s="398">
        <v>-59</v>
      </c>
      <c r="M501" s="398">
        <v>0</v>
      </c>
      <c r="N501" s="164">
        <f t="shared" si="174"/>
        <v>8252.68</v>
      </c>
      <c r="O501" s="399">
        <f t="shared" si="182"/>
        <v>8252.68</v>
      </c>
      <c r="P501" s="392">
        <f t="shared" si="196"/>
        <v>1</v>
      </c>
      <c r="Q501" s="164">
        <f t="shared" si="183"/>
        <v>67.180000000000007</v>
      </c>
      <c r="R501" s="164">
        <f t="shared" si="184"/>
        <v>0</v>
      </c>
      <c r="S501" s="164">
        <f t="shared" si="185"/>
        <v>233.12</v>
      </c>
      <c r="T501" s="164">
        <f t="shared" si="186"/>
        <v>0</v>
      </c>
      <c r="U501" s="164">
        <f t="shared" si="187"/>
        <v>8552.98</v>
      </c>
      <c r="V501" s="393">
        <f t="shared" si="188"/>
        <v>8552.9800000000014</v>
      </c>
      <c r="W501" s="393">
        <f t="shared" si="189"/>
        <v>0</v>
      </c>
      <c r="Y501" s="393">
        <f t="shared" si="192"/>
        <v>492.48</v>
      </c>
      <c r="Z501" s="393">
        <f t="shared" si="193"/>
        <v>7760.2000000000007</v>
      </c>
      <c r="AD501" s="395">
        <f>IF(AH501&gt;AH500,AD500,IF(AD500&lt;MiscData!$F$1,EOMONTH(AD500,1),EOMONTH(AD500,-11)))</f>
        <v>41820</v>
      </c>
      <c r="AE501" s="389" t="str">
        <f t="shared" si="190"/>
        <v>20140101KUUM_466</v>
      </c>
      <c r="AF501" s="437" t="str">
        <f t="shared" si="191"/>
        <v>20140101RLS</v>
      </c>
      <c r="AG501" s="438"/>
      <c r="AH501" s="34">
        <f>IF(AH500=MiscData!$AB$91,1,AH500+1)</f>
        <v>60</v>
      </c>
      <c r="AI501" s="34">
        <f>IF(AD501&lt;=MiscData!$B$23,MiscData!$C$23,IF(AD501&lt;=MiscData!$B$24,MiscData!$C$24,MiscData!$C$25))</f>
        <v>20140101</v>
      </c>
      <c r="AK501" s="439" t="str">
        <f>VLOOKUP(AM501,MiscData!$AB$4:$ACB$113,2,FALSE)</f>
        <v>KUUM_466</v>
      </c>
      <c r="AL501" s="439" t="str">
        <f>VLOOKUP(AM501,MiscData!$AB$4:$AE$115,4,FALSE)</f>
        <v>RLS</v>
      </c>
      <c r="AM501" s="34">
        <f>IF(AM500=MiscData!$AB$91,1,AM500+1)</f>
        <v>60</v>
      </c>
    </row>
    <row r="502" spans="1:39">
      <c r="A502" s="389">
        <f t="shared" si="194"/>
        <v>501</v>
      </c>
      <c r="B502" s="395" t="str">
        <f t="shared" si="175"/>
        <v>Jun 2014</v>
      </c>
      <c r="C502" s="396" t="str">
        <f t="shared" si="176"/>
        <v>LS</v>
      </c>
      <c r="D502" s="396" t="str">
        <f t="shared" si="177"/>
        <v>KUUM_467</v>
      </c>
      <c r="E502" s="394">
        <f t="shared" si="178"/>
        <v>1364</v>
      </c>
      <c r="F502" s="397"/>
      <c r="G502" s="394">
        <f t="shared" si="179"/>
        <v>31452</v>
      </c>
      <c r="H502" s="394"/>
      <c r="I502" s="390">
        <f t="shared" si="180"/>
        <v>10.770000000000001</v>
      </c>
      <c r="J502" s="390">
        <f t="shared" si="181"/>
        <v>0.80000000000000071</v>
      </c>
      <c r="K502" s="391">
        <f t="shared" si="195"/>
        <v>14690.28</v>
      </c>
      <c r="L502" s="398">
        <v>-10.77</v>
      </c>
      <c r="M502" s="398">
        <v>0</v>
      </c>
      <c r="N502" s="164">
        <f t="shared" si="174"/>
        <v>14679.51</v>
      </c>
      <c r="O502" s="399">
        <f t="shared" si="182"/>
        <v>14679.51</v>
      </c>
      <c r="P502" s="392">
        <f t="shared" si="196"/>
        <v>1</v>
      </c>
      <c r="Q502" s="164">
        <f t="shared" si="183"/>
        <v>145.41</v>
      </c>
      <c r="R502" s="164">
        <f t="shared" si="184"/>
        <v>0</v>
      </c>
      <c r="S502" s="164">
        <f t="shared" si="185"/>
        <v>414.68</v>
      </c>
      <c r="T502" s="164">
        <f t="shared" si="186"/>
        <v>0</v>
      </c>
      <c r="U502" s="164">
        <f t="shared" si="187"/>
        <v>15239.6</v>
      </c>
      <c r="V502" s="393">
        <f t="shared" si="188"/>
        <v>15239.6</v>
      </c>
      <c r="W502" s="393">
        <f t="shared" si="189"/>
        <v>0</v>
      </c>
      <c r="Y502" s="393">
        <f t="shared" si="192"/>
        <v>1091.2</v>
      </c>
      <c r="Z502" s="393">
        <f t="shared" si="193"/>
        <v>13588.31</v>
      </c>
      <c r="AD502" s="395">
        <f>IF(AH502&gt;AH501,AD501,IF(AD501&lt;MiscData!$F$1,EOMONTH(AD501,1),EOMONTH(AD501,-11)))</f>
        <v>41820</v>
      </c>
      <c r="AE502" s="389" t="str">
        <f t="shared" si="190"/>
        <v>20140101KUUM_467</v>
      </c>
      <c r="AF502" s="437" t="str">
        <f t="shared" si="191"/>
        <v>20140101LS</v>
      </c>
      <c r="AG502" s="438"/>
      <c r="AH502" s="34">
        <f>IF(AH501=MiscData!$AB$91,1,AH501+1)</f>
        <v>61</v>
      </c>
      <c r="AI502" s="34">
        <f>IF(AD502&lt;=MiscData!$B$23,MiscData!$C$23,IF(AD502&lt;=MiscData!$B$24,MiscData!$C$24,MiscData!$C$25))</f>
        <v>20140101</v>
      </c>
      <c r="AK502" s="439" t="str">
        <f>VLOOKUP(AM502,MiscData!$AB$4:$ACB$113,2,FALSE)</f>
        <v>KUUM_467</v>
      </c>
      <c r="AL502" s="439" t="str">
        <f>VLOOKUP(AM502,MiscData!$AB$4:$AE$115,4,FALSE)</f>
        <v>LS</v>
      </c>
      <c r="AM502" s="34">
        <f>IF(AM501=MiscData!$AB$91,1,AM501+1)</f>
        <v>61</v>
      </c>
    </row>
    <row r="503" spans="1:39">
      <c r="A503" s="389">
        <f t="shared" si="194"/>
        <v>502</v>
      </c>
      <c r="B503" s="395" t="str">
        <f t="shared" si="175"/>
        <v>Jun 2014</v>
      </c>
      <c r="C503" s="396" t="str">
        <f t="shared" si="176"/>
        <v>LS</v>
      </c>
      <c r="D503" s="396" t="str">
        <f t="shared" si="177"/>
        <v>KUUM_468</v>
      </c>
      <c r="E503" s="394">
        <f t="shared" si="178"/>
        <v>4032</v>
      </c>
      <c r="F503" s="397"/>
      <c r="G503" s="394">
        <f t="shared" si="179"/>
        <v>128481</v>
      </c>
      <c r="H503" s="394"/>
      <c r="I503" s="390">
        <f t="shared" si="180"/>
        <v>11.16</v>
      </c>
      <c r="J503" s="390">
        <f t="shared" si="181"/>
        <v>1.129999999999999</v>
      </c>
      <c r="K503" s="391">
        <f t="shared" si="195"/>
        <v>44997.120000000003</v>
      </c>
      <c r="L503" s="398">
        <v>-37.19</v>
      </c>
      <c r="M503" s="398">
        <v>0</v>
      </c>
      <c r="N503" s="164">
        <f t="shared" si="174"/>
        <v>44959.93</v>
      </c>
      <c r="O503" s="399">
        <f t="shared" si="182"/>
        <v>44959.93</v>
      </c>
      <c r="P503" s="392">
        <f t="shared" si="196"/>
        <v>1</v>
      </c>
      <c r="Q503" s="164">
        <f t="shared" si="183"/>
        <v>627.15</v>
      </c>
      <c r="R503" s="164">
        <f t="shared" si="184"/>
        <v>0</v>
      </c>
      <c r="S503" s="164">
        <f t="shared" si="185"/>
        <v>1341.29</v>
      </c>
      <c r="T503" s="164">
        <f t="shared" si="186"/>
        <v>0</v>
      </c>
      <c r="U503" s="164">
        <f t="shared" si="187"/>
        <v>46928.37</v>
      </c>
      <c r="V503" s="393">
        <f t="shared" si="188"/>
        <v>46928.37</v>
      </c>
      <c r="W503" s="393">
        <f t="shared" si="189"/>
        <v>0</v>
      </c>
      <c r="Y503" s="393">
        <f t="shared" si="192"/>
        <v>4556.16</v>
      </c>
      <c r="Z503" s="393">
        <f t="shared" si="193"/>
        <v>40403.770000000004</v>
      </c>
      <c r="AD503" s="395">
        <f>IF(AH503&gt;AH502,AD502,IF(AD502&lt;MiscData!$F$1,EOMONTH(AD502,1),EOMONTH(AD502,-11)))</f>
        <v>41820</v>
      </c>
      <c r="AE503" s="389" t="str">
        <f t="shared" si="190"/>
        <v>20140101KUUM_468</v>
      </c>
      <c r="AF503" s="437" t="str">
        <f t="shared" si="191"/>
        <v>20140101LS</v>
      </c>
      <c r="AG503" s="438"/>
      <c r="AH503" s="34">
        <f>IF(AH502=MiscData!$AB$91,1,AH502+1)</f>
        <v>62</v>
      </c>
      <c r="AI503" s="34">
        <f>IF(AD503&lt;=MiscData!$B$23,MiscData!$C$23,IF(AD503&lt;=MiscData!$B$24,MiscData!$C$24,MiscData!$C$25))</f>
        <v>20140101</v>
      </c>
      <c r="AK503" s="439" t="str">
        <f>VLOOKUP(AM503,MiscData!$AB$4:$ACB$113,2,FALSE)</f>
        <v>KUUM_468</v>
      </c>
      <c r="AL503" s="439" t="str">
        <f>VLOOKUP(AM503,MiscData!$AB$4:$AE$115,4,FALSE)</f>
        <v>LS</v>
      </c>
      <c r="AM503" s="34">
        <f>IF(AM502=MiscData!$AB$91,1,AM502+1)</f>
        <v>62</v>
      </c>
    </row>
    <row r="504" spans="1:39">
      <c r="A504" s="389">
        <f t="shared" si="194"/>
        <v>503</v>
      </c>
      <c r="B504" s="395" t="str">
        <f t="shared" si="175"/>
        <v>Jun 2014</v>
      </c>
      <c r="C504" s="396" t="str">
        <f t="shared" si="176"/>
        <v>RLS</v>
      </c>
      <c r="D504" s="396" t="str">
        <f t="shared" si="177"/>
        <v>KUUM_469</v>
      </c>
      <c r="E504" s="394">
        <f t="shared" si="178"/>
        <v>295</v>
      </c>
      <c r="F504" s="397"/>
      <c r="G504" s="394">
        <f t="shared" si="179"/>
        <v>28022</v>
      </c>
      <c r="H504" s="394"/>
      <c r="I504" s="390">
        <f t="shared" si="180"/>
        <v>33.100000000000009</v>
      </c>
      <c r="J504" s="390">
        <f t="shared" si="181"/>
        <v>4.2900000000000063</v>
      </c>
      <c r="K504" s="391">
        <f t="shared" si="195"/>
        <v>9764.5</v>
      </c>
      <c r="L504" s="398">
        <v>-27.58</v>
      </c>
      <c r="M504" s="398">
        <v>0</v>
      </c>
      <c r="N504" s="164">
        <f t="shared" ref="N504:N567" si="197">SUM(K504:M504)</f>
        <v>9736.92</v>
      </c>
      <c r="O504" s="399">
        <f t="shared" si="182"/>
        <v>9736.92</v>
      </c>
      <c r="P504" s="392">
        <f t="shared" si="196"/>
        <v>1</v>
      </c>
      <c r="Q504" s="164">
        <f t="shared" si="183"/>
        <v>137.38999999999999</v>
      </c>
      <c r="R504" s="164">
        <f t="shared" si="184"/>
        <v>0</v>
      </c>
      <c r="S504" s="164">
        <f t="shared" si="185"/>
        <v>291.7</v>
      </c>
      <c r="T504" s="164">
        <f t="shared" si="186"/>
        <v>0</v>
      </c>
      <c r="U504" s="164">
        <f t="shared" si="187"/>
        <v>10166.01</v>
      </c>
      <c r="V504" s="393">
        <f t="shared" si="188"/>
        <v>10166.01</v>
      </c>
      <c r="W504" s="393">
        <f t="shared" si="189"/>
        <v>0</v>
      </c>
      <c r="Y504" s="393">
        <f t="shared" si="192"/>
        <v>1265.55</v>
      </c>
      <c r="Z504" s="393">
        <f t="shared" si="193"/>
        <v>8471.3700000000008</v>
      </c>
      <c r="AD504" s="395">
        <f>IF(AH504&gt;AH503,AD503,IF(AD503&lt;MiscData!$F$1,EOMONTH(AD503,1),EOMONTH(AD503,-11)))</f>
        <v>41820</v>
      </c>
      <c r="AE504" s="389" t="str">
        <f t="shared" si="190"/>
        <v>20140101KUUM_469</v>
      </c>
      <c r="AF504" s="437" t="str">
        <f t="shared" si="191"/>
        <v>20140101RLS</v>
      </c>
      <c r="AG504" s="438"/>
      <c r="AH504" s="34">
        <f>IF(AH503=MiscData!$AB$91,1,AH503+1)</f>
        <v>63</v>
      </c>
      <c r="AI504" s="34">
        <f>IF(AD504&lt;=MiscData!$B$23,MiscData!$C$23,IF(AD504&lt;=MiscData!$B$24,MiscData!$C$24,MiscData!$C$25))</f>
        <v>20140101</v>
      </c>
      <c r="AK504" s="439" t="str">
        <f>VLOOKUP(AM504,MiscData!$AB$4:$ACB$113,2,FALSE)</f>
        <v>KUUM_469</v>
      </c>
      <c r="AL504" s="439" t="str">
        <f>VLOOKUP(AM504,MiscData!$AB$4:$AE$115,4,FALSE)</f>
        <v>RLS</v>
      </c>
      <c r="AM504" s="34">
        <f>IF(AM503=MiscData!$AB$91,1,AM503+1)</f>
        <v>63</v>
      </c>
    </row>
    <row r="505" spans="1:39">
      <c r="A505" s="389">
        <f t="shared" si="194"/>
        <v>504</v>
      </c>
      <c r="B505" s="395" t="str">
        <f t="shared" si="175"/>
        <v>Jun 2014</v>
      </c>
      <c r="C505" s="396" t="str">
        <f t="shared" si="176"/>
        <v>RLS</v>
      </c>
      <c r="D505" s="396" t="str">
        <f t="shared" si="177"/>
        <v>KUUM_470</v>
      </c>
      <c r="E505" s="394">
        <f t="shared" si="178"/>
        <v>61</v>
      </c>
      <c r="F505" s="397"/>
      <c r="G505" s="394">
        <f t="shared" si="179"/>
        <v>17537</v>
      </c>
      <c r="H505" s="394"/>
      <c r="I505" s="390">
        <f t="shared" si="180"/>
        <v>55.250000000000007</v>
      </c>
      <c r="J505" s="390">
        <f t="shared" si="181"/>
        <v>10.410000000000004</v>
      </c>
      <c r="K505" s="391">
        <f t="shared" si="195"/>
        <v>3370.25</v>
      </c>
      <c r="L505" s="398">
        <v>0</v>
      </c>
      <c r="M505" s="398">
        <v>0</v>
      </c>
      <c r="N505" s="164">
        <f t="shared" si="197"/>
        <v>3370.25</v>
      </c>
      <c r="O505" s="399">
        <f t="shared" si="182"/>
        <v>3370.25</v>
      </c>
      <c r="P505" s="392">
        <f t="shared" si="196"/>
        <v>1</v>
      </c>
      <c r="Q505" s="164">
        <f t="shared" si="183"/>
        <v>87.17</v>
      </c>
      <c r="R505" s="164">
        <f t="shared" si="184"/>
        <v>0</v>
      </c>
      <c r="S505" s="164">
        <f t="shared" si="185"/>
        <v>103.39</v>
      </c>
      <c r="T505" s="164">
        <f t="shared" si="186"/>
        <v>0</v>
      </c>
      <c r="U505" s="164">
        <f t="shared" si="187"/>
        <v>3560.81</v>
      </c>
      <c r="V505" s="393">
        <f t="shared" si="188"/>
        <v>3560.81</v>
      </c>
      <c r="W505" s="393">
        <f t="shared" si="189"/>
        <v>0</v>
      </c>
      <c r="Y505" s="393">
        <f t="shared" si="192"/>
        <v>635.01</v>
      </c>
      <c r="Z505" s="393">
        <f t="shared" si="193"/>
        <v>2735.24</v>
      </c>
      <c r="AD505" s="395">
        <f>IF(AH505&gt;AH504,AD504,IF(AD504&lt;MiscData!$F$1,EOMONTH(AD504,1),EOMONTH(AD504,-11)))</f>
        <v>41820</v>
      </c>
      <c r="AE505" s="389" t="str">
        <f t="shared" si="190"/>
        <v>20140101KUUM_470</v>
      </c>
      <c r="AF505" s="437" t="str">
        <f t="shared" si="191"/>
        <v>20140101RLS</v>
      </c>
      <c r="AG505" s="438"/>
      <c r="AH505" s="34">
        <f>IF(AH504=MiscData!$AB$91,1,AH504+1)</f>
        <v>64</v>
      </c>
      <c r="AI505" s="34">
        <f>IF(AD505&lt;=MiscData!$B$23,MiscData!$C$23,IF(AD505&lt;=MiscData!$B$24,MiscData!$C$24,MiscData!$C$25))</f>
        <v>20140101</v>
      </c>
      <c r="AK505" s="439" t="str">
        <f>VLOOKUP(AM505,MiscData!$AB$4:$ACB$113,2,FALSE)</f>
        <v>KUUM_470</v>
      </c>
      <c r="AL505" s="439" t="str">
        <f>VLOOKUP(AM505,MiscData!$AB$4:$AE$115,4,FALSE)</f>
        <v>RLS</v>
      </c>
      <c r="AM505" s="34">
        <f>IF(AM504=MiscData!$AB$91,1,AM504+1)</f>
        <v>64</v>
      </c>
    </row>
    <row r="506" spans="1:39">
      <c r="A506" s="389">
        <f t="shared" si="194"/>
        <v>505</v>
      </c>
      <c r="B506" s="395" t="str">
        <f t="shared" ref="B506:B569" si="198">TEXT(AD506,"mmm yyyy")</f>
        <v>Jun 2014</v>
      </c>
      <c r="C506" s="396" t="str">
        <f t="shared" ref="C506:C569" si="199">AL506</f>
        <v>RLS</v>
      </c>
      <c r="D506" s="396" t="str">
        <f t="shared" ref="D506:D569" si="200">AK506</f>
        <v>KUUM_471</v>
      </c>
      <c r="E506" s="394">
        <f t="shared" ref="E506:E569" si="201">SUMIFS(_1055_Light_Count,_1055_RevMonth,$B506,_1055_RateCategory,$D506)</f>
        <v>3666</v>
      </c>
      <c r="F506" s="397"/>
      <c r="G506" s="394">
        <f t="shared" ref="G506:G569" si="202">SUMIFS(_SBR_KWH,_SBR_Revenue_Month,$B506,_SBR_Rate_Category,$D506)</f>
        <v>59109</v>
      </c>
      <c r="H506" s="394"/>
      <c r="I506" s="390">
        <f t="shared" ref="I506:I569" si="203">SUMIF(_Lights_Tariff_Category,$AE506,_Lights_Rates)</f>
        <v>10.49</v>
      </c>
      <c r="J506" s="390">
        <f t="shared" ref="J506:J569" si="204">SUMIF(_Lights_Tariff_Category,$AE506,_Rates_Lights_BaseFAC)</f>
        <v>0.56999999999999851</v>
      </c>
      <c r="K506" s="391">
        <f t="shared" si="195"/>
        <v>38456.339999999997</v>
      </c>
      <c r="L506" s="398">
        <v>0</v>
      </c>
      <c r="M506" s="398">
        <v>0</v>
      </c>
      <c r="N506" s="164">
        <f t="shared" si="197"/>
        <v>38456.339999999997</v>
      </c>
      <c r="O506" s="399">
        <f t="shared" ref="O506:O569" si="205">U506-SUM(Q506:T506)</f>
        <v>38456.339999999997</v>
      </c>
      <c r="P506" s="392">
        <f t="shared" si="196"/>
        <v>1</v>
      </c>
      <c r="Q506" s="164">
        <f t="shared" ref="Q506:Q569" si="206">SUMIFS(_SBR_FAC,_SBR_Revenue_Month,$B506,_SBR_Rate_Category,$D506)</f>
        <v>211.13</v>
      </c>
      <c r="R506" s="164">
        <f t="shared" ref="R506:R569" si="207">SUMIFS(_SBR_DSM,_SBR_Revenue_Month,$B506,_SBR_Rate_Category,$D506)</f>
        <v>0</v>
      </c>
      <c r="S506" s="164">
        <f t="shared" ref="S506:S569" si="208">SUMIFS(_SBR_ECR,_SBR_Revenue_Month,$B506,_SBR_Rate_Category,$D506)</f>
        <v>847.24</v>
      </c>
      <c r="T506" s="164">
        <f t="shared" ref="T506:T569" si="209">SUMIFS(_SBR_MSR,_SBR_Revenue_Month,$B506,_SBR_Rate_Category,$D506)</f>
        <v>0</v>
      </c>
      <c r="U506" s="164">
        <f t="shared" ref="U506:U569" si="210">SUMIFS(_SBR_Revenue_Actual,_SBR_Revenue_Month,$B506,_SBR_Rate_Category,$D506)</f>
        <v>39514.71</v>
      </c>
      <c r="V506" s="393">
        <f t="shared" ref="V506:V569" si="211">SUM(N506,Q506:T506)</f>
        <v>39514.709999999992</v>
      </c>
      <c r="W506" s="393">
        <f t="shared" ref="W506:W569" si="212">U506-V506</f>
        <v>0</v>
      </c>
      <c r="Y506" s="393">
        <f t="shared" si="192"/>
        <v>2089.62</v>
      </c>
      <c r="Z506" s="393">
        <f t="shared" si="193"/>
        <v>36366.719999999994</v>
      </c>
      <c r="AD506" s="395">
        <f>IF(AH506&gt;AH505,AD505,IF(AD505&lt;MiscData!$F$1,EOMONTH(AD505,1),EOMONTH(AD505,-11)))</f>
        <v>41820</v>
      </c>
      <c r="AE506" s="389" t="str">
        <f t="shared" ref="AE506:AE569" si="213">CONCATENATE(AI506&amp;AK506)</f>
        <v>20140101KUUM_471</v>
      </c>
      <c r="AF506" s="437" t="str">
        <f t="shared" ref="AF506:AF569" si="214">CONCATENATE(AI506&amp;AL506)</f>
        <v>20140101RLS</v>
      </c>
      <c r="AG506" s="438"/>
      <c r="AH506" s="34">
        <f>IF(AH505=MiscData!$AB$91,1,AH505+1)</f>
        <v>65</v>
      </c>
      <c r="AI506" s="34">
        <f>IF(AD506&lt;=MiscData!$B$23,MiscData!$C$23,IF(AD506&lt;=MiscData!$B$24,MiscData!$C$24,MiscData!$C$25))</f>
        <v>20140101</v>
      </c>
      <c r="AK506" s="439" t="str">
        <f>VLOOKUP(AM506,MiscData!$AB$4:$ACB$113,2,FALSE)</f>
        <v>KUUM_471</v>
      </c>
      <c r="AL506" s="439" t="str">
        <f>VLOOKUP(AM506,MiscData!$AB$4:$AE$115,4,FALSE)</f>
        <v>RLS</v>
      </c>
      <c r="AM506" s="34">
        <f>IF(AM505=MiscData!$AB$91,1,AM505+1)</f>
        <v>65</v>
      </c>
    </row>
    <row r="507" spans="1:39">
      <c r="A507" s="389">
        <f t="shared" si="194"/>
        <v>506</v>
      </c>
      <c r="B507" s="395" t="str">
        <f t="shared" si="198"/>
        <v>Jun 2014</v>
      </c>
      <c r="C507" s="396" t="str">
        <f t="shared" si="199"/>
        <v>LS</v>
      </c>
      <c r="D507" s="396" t="str">
        <f t="shared" si="200"/>
        <v>KUUM_472</v>
      </c>
      <c r="E507" s="394">
        <f t="shared" si="201"/>
        <v>8766</v>
      </c>
      <c r="F507" s="397"/>
      <c r="G507" s="394">
        <f t="shared" si="202"/>
        <v>195755</v>
      </c>
      <c r="H507" s="394"/>
      <c r="I507" s="390">
        <f t="shared" si="203"/>
        <v>11.600000000000001</v>
      </c>
      <c r="J507" s="390">
        <f t="shared" si="204"/>
        <v>0.80000000000000071</v>
      </c>
      <c r="K507" s="391">
        <f t="shared" si="195"/>
        <v>101685.6</v>
      </c>
      <c r="L507" s="398">
        <v>126</v>
      </c>
      <c r="M507" s="398">
        <v>0</v>
      </c>
      <c r="N507" s="164">
        <f t="shared" si="197"/>
        <v>101811.6</v>
      </c>
      <c r="O507" s="399">
        <f t="shared" si="205"/>
        <v>101811.6</v>
      </c>
      <c r="P507" s="392">
        <f t="shared" si="196"/>
        <v>1</v>
      </c>
      <c r="Q507" s="164">
        <f t="shared" si="206"/>
        <v>701.34</v>
      </c>
      <c r="R507" s="164">
        <f t="shared" si="207"/>
        <v>0</v>
      </c>
      <c r="S507" s="164">
        <f t="shared" si="208"/>
        <v>2252.5300000000002</v>
      </c>
      <c r="T507" s="164">
        <f t="shared" si="209"/>
        <v>0</v>
      </c>
      <c r="U507" s="164">
        <f t="shared" si="210"/>
        <v>104765.47</v>
      </c>
      <c r="V507" s="393">
        <f t="shared" si="211"/>
        <v>104765.47</v>
      </c>
      <c r="W507" s="393">
        <f t="shared" si="212"/>
        <v>0</v>
      </c>
      <c r="Y507" s="393">
        <f t="shared" ref="Y507:Y570" si="215">ROUND(E507*J507,2)</f>
        <v>7012.8</v>
      </c>
      <c r="Z507" s="393">
        <f t="shared" ref="Z507:Z570" si="216">O507-Y507</f>
        <v>94798.8</v>
      </c>
      <c r="AD507" s="395">
        <f>IF(AH507&gt;AH506,AD506,IF(AD506&lt;MiscData!$F$1,EOMONTH(AD506,1),EOMONTH(AD506,-11)))</f>
        <v>41820</v>
      </c>
      <c r="AE507" s="389" t="str">
        <f t="shared" si="213"/>
        <v>20140101KUUM_472</v>
      </c>
      <c r="AF507" s="437" t="str">
        <f t="shared" si="214"/>
        <v>20140101LS</v>
      </c>
      <c r="AG507" s="438"/>
      <c r="AH507" s="34">
        <f>IF(AH506=MiscData!$AB$91,1,AH506+1)</f>
        <v>66</v>
      </c>
      <c r="AI507" s="34">
        <f>IF(AD507&lt;=MiscData!$B$23,MiscData!$C$23,IF(AD507&lt;=MiscData!$B$24,MiscData!$C$24,MiscData!$C$25))</f>
        <v>20140101</v>
      </c>
      <c r="AK507" s="439" t="str">
        <f>VLOOKUP(AM507,MiscData!$AB$4:$ACB$113,2,FALSE)</f>
        <v>KUUM_472</v>
      </c>
      <c r="AL507" s="439" t="str">
        <f>VLOOKUP(AM507,MiscData!$AB$4:$AE$115,4,FALSE)</f>
        <v>LS</v>
      </c>
      <c r="AM507" s="34">
        <f>IF(AM506=MiscData!$AB$91,1,AM506+1)</f>
        <v>66</v>
      </c>
    </row>
    <row r="508" spans="1:39">
      <c r="A508" s="389">
        <f t="shared" ref="A508:A571" si="217">A507+1</f>
        <v>507</v>
      </c>
      <c r="B508" s="395" t="str">
        <f t="shared" si="198"/>
        <v>Jun 2014</v>
      </c>
      <c r="C508" s="396" t="str">
        <f t="shared" si="199"/>
        <v>LS</v>
      </c>
      <c r="D508" s="396" t="str">
        <f t="shared" si="200"/>
        <v>KUUM_473</v>
      </c>
      <c r="E508" s="394">
        <f t="shared" si="201"/>
        <v>3372</v>
      </c>
      <c r="F508" s="397"/>
      <c r="G508" s="394">
        <f t="shared" si="202"/>
        <v>106302</v>
      </c>
      <c r="H508" s="394"/>
      <c r="I508" s="390">
        <f t="shared" si="203"/>
        <v>12.3</v>
      </c>
      <c r="J508" s="390">
        <f t="shared" si="204"/>
        <v>1.129999999999999</v>
      </c>
      <c r="K508" s="391">
        <f t="shared" si="195"/>
        <v>41475.599999999999</v>
      </c>
      <c r="L508" s="398">
        <v>1.28</v>
      </c>
      <c r="M508" s="398">
        <v>0</v>
      </c>
      <c r="N508" s="164">
        <f t="shared" si="197"/>
        <v>41476.879999999997</v>
      </c>
      <c r="O508" s="399">
        <f t="shared" si="205"/>
        <v>41476.879999999997</v>
      </c>
      <c r="P508" s="392">
        <f t="shared" si="196"/>
        <v>1</v>
      </c>
      <c r="Q508" s="164">
        <f t="shared" si="206"/>
        <v>437.26</v>
      </c>
      <c r="R508" s="164">
        <f t="shared" si="207"/>
        <v>0</v>
      </c>
      <c r="S508" s="164">
        <f t="shared" si="208"/>
        <v>1048.74</v>
      </c>
      <c r="T508" s="164">
        <f t="shared" si="209"/>
        <v>0</v>
      </c>
      <c r="U508" s="164">
        <f t="shared" si="210"/>
        <v>42962.879999999997</v>
      </c>
      <c r="V508" s="393">
        <f t="shared" si="211"/>
        <v>42962.879999999997</v>
      </c>
      <c r="W508" s="393">
        <f t="shared" si="212"/>
        <v>0</v>
      </c>
      <c r="Y508" s="393">
        <f t="shared" si="215"/>
        <v>3810.36</v>
      </c>
      <c r="Z508" s="393">
        <f t="shared" si="216"/>
        <v>37666.519999999997</v>
      </c>
      <c r="AD508" s="395">
        <f>IF(AH508&gt;AH507,AD507,IF(AD507&lt;MiscData!$F$1,EOMONTH(AD507,1),EOMONTH(AD507,-11)))</f>
        <v>41820</v>
      </c>
      <c r="AE508" s="389" t="str">
        <f t="shared" si="213"/>
        <v>20140101KUUM_473</v>
      </c>
      <c r="AF508" s="437" t="str">
        <f t="shared" si="214"/>
        <v>20140101LS</v>
      </c>
      <c r="AG508" s="438"/>
      <c r="AH508" s="34">
        <f>IF(AH507=MiscData!$AB$91,1,AH507+1)</f>
        <v>67</v>
      </c>
      <c r="AI508" s="34">
        <f>IF(AD508&lt;=MiscData!$B$23,MiscData!$C$23,IF(AD508&lt;=MiscData!$B$24,MiscData!$C$24,MiscData!$C$25))</f>
        <v>20140101</v>
      </c>
      <c r="AK508" s="439" t="str">
        <f>VLOOKUP(AM508,MiscData!$AB$4:$ACB$113,2,FALSE)</f>
        <v>KUUM_473</v>
      </c>
      <c r="AL508" s="439" t="str">
        <f>VLOOKUP(AM508,MiscData!$AB$4:$AE$115,4,FALSE)</f>
        <v>LS</v>
      </c>
      <c r="AM508" s="34">
        <f>IF(AM507=MiscData!$AB$91,1,AM507+1)</f>
        <v>67</v>
      </c>
    </row>
    <row r="509" spans="1:39">
      <c r="A509" s="389">
        <f t="shared" si="217"/>
        <v>508</v>
      </c>
      <c r="B509" s="395" t="str">
        <f t="shared" si="198"/>
        <v>Jun 2014</v>
      </c>
      <c r="C509" s="396" t="str">
        <f t="shared" si="199"/>
        <v>LS</v>
      </c>
      <c r="D509" s="396" t="str">
        <f t="shared" si="200"/>
        <v>KUUM_474</v>
      </c>
      <c r="E509" s="394">
        <f t="shared" si="201"/>
        <v>5195</v>
      </c>
      <c r="F509" s="397"/>
      <c r="G509" s="394">
        <f t="shared" si="202"/>
        <v>340071</v>
      </c>
      <c r="H509" s="394"/>
      <c r="I509" s="390">
        <f t="shared" si="203"/>
        <v>17.41</v>
      </c>
      <c r="J509" s="390">
        <f t="shared" si="204"/>
        <v>2.33</v>
      </c>
      <c r="K509" s="391">
        <f t="shared" si="195"/>
        <v>90444.95</v>
      </c>
      <c r="L509" s="398">
        <v>-17.54</v>
      </c>
      <c r="M509" s="398">
        <v>0</v>
      </c>
      <c r="N509" s="164">
        <f t="shared" si="197"/>
        <v>90427.41</v>
      </c>
      <c r="O509" s="399">
        <f t="shared" si="205"/>
        <v>90427.41</v>
      </c>
      <c r="P509" s="392">
        <f t="shared" si="196"/>
        <v>1</v>
      </c>
      <c r="Q509" s="164">
        <f t="shared" si="206"/>
        <v>1403.04</v>
      </c>
      <c r="R509" s="164">
        <f t="shared" si="207"/>
        <v>0</v>
      </c>
      <c r="S509" s="164">
        <f t="shared" si="208"/>
        <v>2301.6799999999998</v>
      </c>
      <c r="T509" s="164">
        <f t="shared" si="209"/>
        <v>0</v>
      </c>
      <c r="U509" s="164">
        <f t="shared" si="210"/>
        <v>94132.13</v>
      </c>
      <c r="V509" s="393">
        <f t="shared" si="211"/>
        <v>94132.12999999999</v>
      </c>
      <c r="W509" s="393">
        <f t="shared" si="212"/>
        <v>0</v>
      </c>
      <c r="Y509" s="393">
        <f t="shared" si="215"/>
        <v>12104.35</v>
      </c>
      <c r="Z509" s="393">
        <f t="shared" si="216"/>
        <v>78323.06</v>
      </c>
      <c r="AD509" s="395">
        <f>IF(AH509&gt;AH508,AD508,IF(AD508&lt;MiscData!$F$1,EOMONTH(AD508,1),EOMONTH(AD508,-11)))</f>
        <v>41820</v>
      </c>
      <c r="AE509" s="389" t="str">
        <f t="shared" si="213"/>
        <v>20140101KUUM_474</v>
      </c>
      <c r="AF509" s="437" t="str">
        <f t="shared" si="214"/>
        <v>20140101LS</v>
      </c>
      <c r="AG509" s="438"/>
      <c r="AH509" s="34">
        <f>IF(AH508=MiscData!$AB$91,1,AH508+1)</f>
        <v>68</v>
      </c>
      <c r="AI509" s="34">
        <f>IF(AD509&lt;=MiscData!$B$23,MiscData!$C$23,IF(AD509&lt;=MiscData!$B$24,MiscData!$C$24,MiscData!$C$25))</f>
        <v>20140101</v>
      </c>
      <c r="AK509" s="439" t="str">
        <f>VLOOKUP(AM509,MiscData!$AB$4:$ACB$113,2,FALSE)</f>
        <v>KUUM_474</v>
      </c>
      <c r="AL509" s="439" t="str">
        <f>VLOOKUP(AM509,MiscData!$AB$4:$AE$115,4,FALSE)</f>
        <v>LS</v>
      </c>
      <c r="AM509" s="34">
        <f>IF(AM508=MiscData!$AB$91,1,AM508+1)</f>
        <v>68</v>
      </c>
    </row>
    <row r="510" spans="1:39">
      <c r="A510" s="389">
        <f t="shared" si="217"/>
        <v>509</v>
      </c>
      <c r="B510" s="395" t="str">
        <f t="shared" si="198"/>
        <v>Jun 2014</v>
      </c>
      <c r="C510" s="396" t="str">
        <f t="shared" si="199"/>
        <v>LS</v>
      </c>
      <c r="D510" s="396" t="str">
        <f t="shared" si="200"/>
        <v>KUUM_475</v>
      </c>
      <c r="E510" s="394">
        <f t="shared" si="201"/>
        <v>508</v>
      </c>
      <c r="F510" s="397"/>
      <c r="G510" s="394">
        <f t="shared" si="202"/>
        <v>65574</v>
      </c>
      <c r="H510" s="394"/>
      <c r="I510" s="390">
        <f t="shared" si="203"/>
        <v>24.46</v>
      </c>
      <c r="J510" s="390">
        <f t="shared" si="204"/>
        <v>4.5300000000000011</v>
      </c>
      <c r="K510" s="391">
        <f t="shared" si="195"/>
        <v>12425.68</v>
      </c>
      <c r="L510" s="398">
        <v>-10.119999999999999</v>
      </c>
      <c r="M510" s="398">
        <v>0</v>
      </c>
      <c r="N510" s="164">
        <f t="shared" si="197"/>
        <v>12415.56</v>
      </c>
      <c r="O510" s="399">
        <f t="shared" si="205"/>
        <v>12415.56</v>
      </c>
      <c r="P510" s="392">
        <f t="shared" si="196"/>
        <v>1</v>
      </c>
      <c r="Q510" s="164">
        <f t="shared" si="206"/>
        <v>269.58</v>
      </c>
      <c r="R510" s="164">
        <f t="shared" si="207"/>
        <v>0</v>
      </c>
      <c r="S510" s="164">
        <f t="shared" si="208"/>
        <v>316.36</v>
      </c>
      <c r="T510" s="164">
        <f t="shared" si="209"/>
        <v>0</v>
      </c>
      <c r="U510" s="164">
        <f t="shared" si="210"/>
        <v>13001.5</v>
      </c>
      <c r="V510" s="393">
        <f t="shared" si="211"/>
        <v>13001.5</v>
      </c>
      <c r="W510" s="393">
        <f t="shared" si="212"/>
        <v>0</v>
      </c>
      <c r="Y510" s="393">
        <f t="shared" si="215"/>
        <v>2301.2399999999998</v>
      </c>
      <c r="Z510" s="393">
        <f t="shared" si="216"/>
        <v>10114.32</v>
      </c>
      <c r="AD510" s="395">
        <f>IF(AH510&gt;AH509,AD509,IF(AD509&lt;MiscData!$F$1,EOMONTH(AD509,1),EOMONTH(AD509,-11)))</f>
        <v>41820</v>
      </c>
      <c r="AE510" s="389" t="str">
        <f t="shared" si="213"/>
        <v>20140101KUUM_475</v>
      </c>
      <c r="AF510" s="437" t="str">
        <f t="shared" si="214"/>
        <v>20140101LS</v>
      </c>
      <c r="AG510" s="438"/>
      <c r="AH510" s="34">
        <f>IF(AH509=MiscData!$AB$91,1,AH509+1)</f>
        <v>69</v>
      </c>
      <c r="AI510" s="34">
        <f>IF(AD510&lt;=MiscData!$B$23,MiscData!$C$23,IF(AD510&lt;=MiscData!$B$24,MiscData!$C$24,MiscData!$C$25))</f>
        <v>20140101</v>
      </c>
      <c r="AK510" s="439" t="str">
        <f>VLOOKUP(AM510,MiscData!$AB$4:$ACB$113,2,FALSE)</f>
        <v>KUUM_475</v>
      </c>
      <c r="AL510" s="439" t="str">
        <f>VLOOKUP(AM510,MiscData!$AB$4:$AE$115,4,FALSE)</f>
        <v>LS</v>
      </c>
      <c r="AM510" s="34">
        <f>IF(AM509=MiscData!$AB$91,1,AM509+1)</f>
        <v>69</v>
      </c>
    </row>
    <row r="511" spans="1:39">
      <c r="A511" s="389">
        <f t="shared" si="217"/>
        <v>510</v>
      </c>
      <c r="B511" s="395" t="str">
        <f t="shared" si="198"/>
        <v>Jun 2014</v>
      </c>
      <c r="C511" s="396" t="str">
        <f t="shared" si="199"/>
        <v>LS</v>
      </c>
      <c r="D511" s="396" t="str">
        <f t="shared" si="200"/>
        <v>KUUM_476</v>
      </c>
      <c r="E511" s="394">
        <f t="shared" si="201"/>
        <v>4563</v>
      </c>
      <c r="F511" s="397"/>
      <c r="G511" s="394">
        <f t="shared" si="202"/>
        <v>101832</v>
      </c>
      <c r="H511" s="394"/>
      <c r="I511" s="390">
        <f t="shared" si="203"/>
        <v>16.79</v>
      </c>
      <c r="J511" s="390">
        <f t="shared" si="204"/>
        <v>0.79999999999999893</v>
      </c>
      <c r="K511" s="391">
        <f t="shared" si="195"/>
        <v>76612.77</v>
      </c>
      <c r="L511" s="398">
        <v>0</v>
      </c>
      <c r="M511" s="398">
        <v>0</v>
      </c>
      <c r="N511" s="164">
        <f t="shared" si="197"/>
        <v>76612.77</v>
      </c>
      <c r="O511" s="399">
        <f t="shared" si="205"/>
        <v>76612.77</v>
      </c>
      <c r="P511" s="392">
        <f t="shared" si="196"/>
        <v>1</v>
      </c>
      <c r="Q511" s="164">
        <f t="shared" si="206"/>
        <v>364.18</v>
      </c>
      <c r="R511" s="164">
        <f t="shared" si="207"/>
        <v>0</v>
      </c>
      <c r="S511" s="164">
        <f t="shared" si="208"/>
        <v>1688.51</v>
      </c>
      <c r="T511" s="164">
        <f t="shared" si="209"/>
        <v>0</v>
      </c>
      <c r="U511" s="164">
        <f t="shared" si="210"/>
        <v>78665.460000000006</v>
      </c>
      <c r="V511" s="393">
        <f t="shared" si="211"/>
        <v>78665.459999999992</v>
      </c>
      <c r="W511" s="393">
        <f t="shared" si="212"/>
        <v>0</v>
      </c>
      <c r="Y511" s="393">
        <f t="shared" si="215"/>
        <v>3650.4</v>
      </c>
      <c r="Z511" s="393">
        <f t="shared" si="216"/>
        <v>72962.37000000001</v>
      </c>
      <c r="AD511" s="395">
        <f>IF(AH511&gt;AH510,AD510,IF(AD510&lt;MiscData!$F$1,EOMONTH(AD510,1),EOMONTH(AD510,-11)))</f>
        <v>41820</v>
      </c>
      <c r="AE511" s="389" t="str">
        <f t="shared" si="213"/>
        <v>20140101KUUM_476</v>
      </c>
      <c r="AF511" s="437" t="str">
        <f t="shared" si="214"/>
        <v>20140101LS</v>
      </c>
      <c r="AG511" s="438"/>
      <c r="AH511" s="34">
        <f>IF(AH510=MiscData!$AB$91,1,AH510+1)</f>
        <v>70</v>
      </c>
      <c r="AI511" s="34">
        <f>IF(AD511&lt;=MiscData!$B$23,MiscData!$C$23,IF(AD511&lt;=MiscData!$B$24,MiscData!$C$24,MiscData!$C$25))</f>
        <v>20140101</v>
      </c>
      <c r="AK511" s="439" t="str">
        <f>VLOOKUP(AM511,MiscData!$AB$4:$ACB$113,2,FALSE)</f>
        <v>KUUM_476</v>
      </c>
      <c r="AL511" s="439" t="str">
        <f>VLOOKUP(AM511,MiscData!$AB$4:$AE$115,4,FALSE)</f>
        <v>LS</v>
      </c>
      <c r="AM511" s="34">
        <f>IF(AM510=MiscData!$AB$91,1,AM510+1)</f>
        <v>70</v>
      </c>
    </row>
    <row r="512" spans="1:39">
      <c r="A512" s="389">
        <f t="shared" si="217"/>
        <v>511</v>
      </c>
      <c r="B512" s="395" t="str">
        <f t="shared" si="198"/>
        <v>Jun 2014</v>
      </c>
      <c r="C512" s="396" t="str">
        <f t="shared" si="199"/>
        <v>LS</v>
      </c>
      <c r="D512" s="396" t="str">
        <f t="shared" si="200"/>
        <v>KUUM_477</v>
      </c>
      <c r="E512" s="394">
        <f t="shared" si="201"/>
        <v>1052</v>
      </c>
      <c r="F512" s="397"/>
      <c r="G512" s="394">
        <f t="shared" si="202"/>
        <v>33657</v>
      </c>
      <c r="H512" s="394"/>
      <c r="I512" s="390">
        <f t="shared" si="203"/>
        <v>20.97</v>
      </c>
      <c r="J512" s="390">
        <f t="shared" si="204"/>
        <v>1.129999999999999</v>
      </c>
      <c r="K512" s="391">
        <f t="shared" si="195"/>
        <v>22060.44</v>
      </c>
      <c r="L512" s="398">
        <v>0</v>
      </c>
      <c r="M512" s="398">
        <v>0</v>
      </c>
      <c r="N512" s="164">
        <f t="shared" si="197"/>
        <v>22060.44</v>
      </c>
      <c r="O512" s="399">
        <f t="shared" si="205"/>
        <v>22060.440000000002</v>
      </c>
      <c r="P512" s="392">
        <f t="shared" si="196"/>
        <v>1</v>
      </c>
      <c r="Q512" s="164">
        <f t="shared" si="206"/>
        <v>143.13</v>
      </c>
      <c r="R512" s="164">
        <f t="shared" si="207"/>
        <v>0</v>
      </c>
      <c r="S512" s="164">
        <f t="shared" si="208"/>
        <v>572.49</v>
      </c>
      <c r="T512" s="164">
        <f t="shared" si="209"/>
        <v>0</v>
      </c>
      <c r="U512" s="164">
        <f t="shared" si="210"/>
        <v>22776.06</v>
      </c>
      <c r="V512" s="393">
        <f t="shared" si="211"/>
        <v>22776.06</v>
      </c>
      <c r="W512" s="393">
        <f t="shared" si="212"/>
        <v>0</v>
      </c>
      <c r="Y512" s="393">
        <f t="shared" si="215"/>
        <v>1188.76</v>
      </c>
      <c r="Z512" s="393">
        <f t="shared" si="216"/>
        <v>20871.680000000004</v>
      </c>
      <c r="AD512" s="395">
        <f>IF(AH512&gt;AH511,AD511,IF(AD511&lt;MiscData!$F$1,EOMONTH(AD511,1),EOMONTH(AD511,-11)))</f>
        <v>41820</v>
      </c>
      <c r="AE512" s="389" t="str">
        <f t="shared" si="213"/>
        <v>20140101KUUM_477</v>
      </c>
      <c r="AF512" s="437" t="str">
        <f t="shared" si="214"/>
        <v>20140101LS</v>
      </c>
      <c r="AG512" s="438"/>
      <c r="AH512" s="34">
        <f>IF(AH511=MiscData!$AB$91,1,AH511+1)</f>
        <v>71</v>
      </c>
      <c r="AI512" s="34">
        <f>IF(AD512&lt;=MiscData!$B$23,MiscData!$C$23,IF(AD512&lt;=MiscData!$B$24,MiscData!$C$24,MiscData!$C$25))</f>
        <v>20140101</v>
      </c>
      <c r="AK512" s="439" t="str">
        <f>VLOOKUP(AM512,MiscData!$AB$4:$ACB$113,2,FALSE)</f>
        <v>KUUM_477</v>
      </c>
      <c r="AL512" s="439" t="str">
        <f>VLOOKUP(AM512,MiscData!$AB$4:$AE$115,4,FALSE)</f>
        <v>LS</v>
      </c>
      <c r="AM512" s="34">
        <f>IF(AM511=MiscData!$AB$91,1,AM511+1)</f>
        <v>71</v>
      </c>
    </row>
    <row r="513" spans="1:39">
      <c r="A513" s="389">
        <f t="shared" si="217"/>
        <v>512</v>
      </c>
      <c r="B513" s="395" t="str">
        <f t="shared" si="198"/>
        <v>Jun 2014</v>
      </c>
      <c r="C513" s="396" t="str">
        <f t="shared" si="199"/>
        <v>LS</v>
      </c>
      <c r="D513" s="396" t="str">
        <f t="shared" si="200"/>
        <v>KUUM_478</v>
      </c>
      <c r="E513" s="394">
        <f t="shared" si="201"/>
        <v>1407</v>
      </c>
      <c r="F513" s="397"/>
      <c r="G513" s="394">
        <f t="shared" si="202"/>
        <v>92710</v>
      </c>
      <c r="H513" s="394"/>
      <c r="I513" s="390">
        <f t="shared" si="203"/>
        <v>26.86</v>
      </c>
      <c r="J513" s="390">
        <f t="shared" si="204"/>
        <v>2.3299999999999983</v>
      </c>
      <c r="K513" s="391">
        <f t="shared" si="195"/>
        <v>37792.019999999997</v>
      </c>
      <c r="L513" s="398">
        <v>0</v>
      </c>
      <c r="M513" s="398">
        <v>0</v>
      </c>
      <c r="N513" s="164">
        <f t="shared" si="197"/>
        <v>37792.019999999997</v>
      </c>
      <c r="O513" s="399">
        <f t="shared" si="205"/>
        <v>37792.020000000004</v>
      </c>
      <c r="P513" s="392">
        <f t="shared" si="196"/>
        <v>1</v>
      </c>
      <c r="Q513" s="164">
        <f t="shared" si="206"/>
        <v>405.99</v>
      </c>
      <c r="R513" s="164">
        <f t="shared" si="207"/>
        <v>0</v>
      </c>
      <c r="S513" s="164">
        <f t="shared" si="208"/>
        <v>1012.47</v>
      </c>
      <c r="T513" s="164">
        <f t="shared" si="209"/>
        <v>0</v>
      </c>
      <c r="U513" s="164">
        <f t="shared" si="210"/>
        <v>39210.480000000003</v>
      </c>
      <c r="V513" s="393">
        <f t="shared" si="211"/>
        <v>39210.479999999996</v>
      </c>
      <c r="W513" s="393">
        <f t="shared" si="212"/>
        <v>0</v>
      </c>
      <c r="Y513" s="393">
        <f t="shared" si="215"/>
        <v>3278.31</v>
      </c>
      <c r="Z513" s="393">
        <f t="shared" si="216"/>
        <v>34513.710000000006</v>
      </c>
      <c r="AD513" s="395">
        <f>IF(AH513&gt;AH512,AD512,IF(AD512&lt;MiscData!$F$1,EOMONTH(AD512,1),EOMONTH(AD512,-11)))</f>
        <v>41820</v>
      </c>
      <c r="AE513" s="389" t="str">
        <f t="shared" si="213"/>
        <v>20140101KUUM_478</v>
      </c>
      <c r="AF513" s="437" t="str">
        <f t="shared" si="214"/>
        <v>20140101LS</v>
      </c>
      <c r="AG513" s="438"/>
      <c r="AH513" s="34">
        <f>IF(AH512=MiscData!$AB$91,1,AH512+1)</f>
        <v>72</v>
      </c>
      <c r="AI513" s="34">
        <f>IF(AD513&lt;=MiscData!$B$23,MiscData!$C$23,IF(AD513&lt;=MiscData!$B$24,MiscData!$C$24,MiscData!$C$25))</f>
        <v>20140101</v>
      </c>
      <c r="AK513" s="439" t="str">
        <f>VLOOKUP(AM513,MiscData!$AB$4:$ACB$113,2,FALSE)</f>
        <v>KUUM_478</v>
      </c>
      <c r="AL513" s="439" t="str">
        <f>VLOOKUP(AM513,MiscData!$AB$4:$AE$115,4,FALSE)</f>
        <v>LS</v>
      </c>
      <c r="AM513" s="34">
        <f>IF(AM512=MiscData!$AB$91,1,AM512+1)</f>
        <v>72</v>
      </c>
    </row>
    <row r="514" spans="1:39">
      <c r="A514" s="389">
        <f t="shared" si="217"/>
        <v>513</v>
      </c>
      <c r="B514" s="395" t="str">
        <f t="shared" si="198"/>
        <v>Jun 2014</v>
      </c>
      <c r="C514" s="396" t="str">
        <f t="shared" si="199"/>
        <v>LS</v>
      </c>
      <c r="D514" s="396" t="str">
        <f t="shared" si="200"/>
        <v>KUUM_479</v>
      </c>
      <c r="E514" s="394">
        <f t="shared" si="201"/>
        <v>941</v>
      </c>
      <c r="F514" s="397"/>
      <c r="G514" s="394">
        <f t="shared" si="202"/>
        <v>120887</v>
      </c>
      <c r="H514" s="394"/>
      <c r="I514" s="390">
        <f t="shared" si="203"/>
        <v>33.119999999999997</v>
      </c>
      <c r="J514" s="390">
        <f t="shared" si="204"/>
        <v>4.529999999999994</v>
      </c>
      <c r="K514" s="391">
        <f t="shared" si="195"/>
        <v>31165.919999999998</v>
      </c>
      <c r="L514" s="398">
        <v>15.46</v>
      </c>
      <c r="M514" s="398">
        <v>0</v>
      </c>
      <c r="N514" s="164">
        <f t="shared" si="197"/>
        <v>31181.379999999997</v>
      </c>
      <c r="O514" s="399">
        <f t="shared" si="205"/>
        <v>31181.38</v>
      </c>
      <c r="P514" s="392">
        <f t="shared" si="196"/>
        <v>1</v>
      </c>
      <c r="Q514" s="164">
        <f t="shared" si="206"/>
        <v>579.66</v>
      </c>
      <c r="R514" s="164">
        <f t="shared" si="207"/>
        <v>0</v>
      </c>
      <c r="S514" s="164">
        <f t="shared" si="208"/>
        <v>918.43</v>
      </c>
      <c r="T514" s="164">
        <f t="shared" si="209"/>
        <v>0</v>
      </c>
      <c r="U514" s="164">
        <f t="shared" si="210"/>
        <v>32679.47</v>
      </c>
      <c r="V514" s="393">
        <f t="shared" si="211"/>
        <v>32679.469999999998</v>
      </c>
      <c r="W514" s="393">
        <f t="shared" si="212"/>
        <v>0</v>
      </c>
      <c r="Y514" s="393">
        <f t="shared" si="215"/>
        <v>4262.7299999999996</v>
      </c>
      <c r="Z514" s="393">
        <f t="shared" si="216"/>
        <v>26918.65</v>
      </c>
      <c r="AD514" s="395">
        <f>IF(AH514&gt;AH513,AD513,IF(AD513&lt;MiscData!$F$1,EOMONTH(AD513,1),EOMONTH(AD513,-11)))</f>
        <v>41820</v>
      </c>
      <c r="AE514" s="389" t="str">
        <f t="shared" si="213"/>
        <v>20140101KUUM_479</v>
      </c>
      <c r="AF514" s="437" t="str">
        <f t="shared" si="214"/>
        <v>20140101LS</v>
      </c>
      <c r="AG514" s="438"/>
      <c r="AH514" s="34">
        <f>IF(AH513=MiscData!$AB$91,1,AH513+1)</f>
        <v>73</v>
      </c>
      <c r="AI514" s="34">
        <f>IF(AD514&lt;=MiscData!$B$23,MiscData!$C$23,IF(AD514&lt;=MiscData!$B$24,MiscData!$C$24,MiscData!$C$25))</f>
        <v>20140101</v>
      </c>
      <c r="AK514" s="439" t="str">
        <f>VLOOKUP(AM514,MiscData!$AB$4:$ACB$113,2,FALSE)</f>
        <v>KUUM_479</v>
      </c>
      <c r="AL514" s="439" t="str">
        <f>VLOOKUP(AM514,MiscData!$AB$4:$AE$115,4,FALSE)</f>
        <v>LS</v>
      </c>
      <c r="AM514" s="34">
        <f>IF(AM513=MiscData!$AB$91,1,AM513+1)</f>
        <v>73</v>
      </c>
    </row>
    <row r="515" spans="1:39">
      <c r="A515" s="389">
        <f t="shared" si="217"/>
        <v>514</v>
      </c>
      <c r="B515" s="395" t="str">
        <f t="shared" si="198"/>
        <v>Jun 2014</v>
      </c>
      <c r="C515" s="396" t="str">
        <f t="shared" si="199"/>
        <v>LS</v>
      </c>
      <c r="D515" s="396" t="str">
        <f t="shared" si="200"/>
        <v>KUUM_486</v>
      </c>
      <c r="E515" s="394">
        <f t="shared" si="201"/>
        <v>0</v>
      </c>
      <c r="F515" s="397"/>
      <c r="G515" s="394">
        <f t="shared" si="202"/>
        <v>0</v>
      </c>
      <c r="H515" s="394"/>
      <c r="I515" s="390">
        <f t="shared" si="203"/>
        <v>0</v>
      </c>
      <c r="J515" s="390">
        <f t="shared" si="204"/>
        <v>0</v>
      </c>
      <c r="K515" s="391">
        <f t="shared" ref="K515:K578" si="218">ROUND(($E515+$F515)*$I515,2)</f>
        <v>0</v>
      </c>
      <c r="L515" s="398">
        <v>0</v>
      </c>
      <c r="M515" s="398">
        <v>0</v>
      </c>
      <c r="N515" s="164">
        <f t="shared" si="197"/>
        <v>0</v>
      </c>
      <c r="O515" s="399">
        <f t="shared" si="205"/>
        <v>0</v>
      </c>
      <c r="P515" s="392">
        <f t="shared" ref="P515:P578" si="219">IF(AND(N515=0,O515=0),1,IF(N515=0,0,ROUND(O515/N515,6)))</f>
        <v>1</v>
      </c>
      <c r="Q515" s="164">
        <f t="shared" si="206"/>
        <v>0</v>
      </c>
      <c r="R515" s="164">
        <f t="shared" si="207"/>
        <v>0</v>
      </c>
      <c r="S515" s="164">
        <f t="shared" si="208"/>
        <v>0</v>
      </c>
      <c r="T515" s="164">
        <f t="shared" si="209"/>
        <v>0</v>
      </c>
      <c r="U515" s="164">
        <f t="shared" si="210"/>
        <v>0</v>
      </c>
      <c r="V515" s="393">
        <f t="shared" si="211"/>
        <v>0</v>
      </c>
      <c r="W515" s="393">
        <f t="shared" si="212"/>
        <v>0</v>
      </c>
      <c r="Y515" s="393">
        <f t="shared" si="215"/>
        <v>0</v>
      </c>
      <c r="Z515" s="393">
        <f t="shared" si="216"/>
        <v>0</v>
      </c>
      <c r="AD515" s="395">
        <f>IF(AH515&gt;AH514,AD514,IF(AD514&lt;MiscData!$F$1,EOMONTH(AD514,1),EOMONTH(AD514,-11)))</f>
        <v>41820</v>
      </c>
      <c r="AE515" s="389" t="str">
        <f t="shared" si="213"/>
        <v>20140101KUUM_486</v>
      </c>
      <c r="AF515" s="437" t="str">
        <f t="shared" si="214"/>
        <v>20140101LS</v>
      </c>
      <c r="AG515" s="438"/>
      <c r="AH515" s="34">
        <f>IF(AH514=MiscData!$AB$91,1,AH514+1)</f>
        <v>74</v>
      </c>
      <c r="AI515" s="34">
        <f>IF(AD515&lt;=MiscData!$B$23,MiscData!$C$23,IF(AD515&lt;=MiscData!$B$24,MiscData!$C$24,MiscData!$C$25))</f>
        <v>20140101</v>
      </c>
      <c r="AK515" s="439" t="str">
        <f>VLOOKUP(AM515,MiscData!$AB$4:$ACB$113,2,FALSE)</f>
        <v>KUUM_486</v>
      </c>
      <c r="AL515" s="439" t="str">
        <f>VLOOKUP(AM515,MiscData!$AB$4:$AE$115,4,FALSE)</f>
        <v>LS</v>
      </c>
      <c r="AM515" s="34">
        <f>IF(AM514=MiscData!$AB$91,1,AM514+1)</f>
        <v>74</v>
      </c>
    </row>
    <row r="516" spans="1:39">
      <c r="A516" s="389">
        <f t="shared" si="217"/>
        <v>515</v>
      </c>
      <c r="B516" s="395" t="str">
        <f t="shared" si="198"/>
        <v>Jun 2014</v>
      </c>
      <c r="C516" s="396" t="str">
        <f t="shared" si="199"/>
        <v>LS</v>
      </c>
      <c r="D516" s="396" t="str">
        <f t="shared" si="200"/>
        <v>KUUM_487</v>
      </c>
      <c r="E516" s="394">
        <f t="shared" si="201"/>
        <v>11165</v>
      </c>
      <c r="F516" s="397"/>
      <c r="G516" s="394">
        <f t="shared" si="202"/>
        <v>350850</v>
      </c>
      <c r="H516" s="394"/>
      <c r="I516" s="390">
        <f t="shared" si="203"/>
        <v>9</v>
      </c>
      <c r="J516" s="390">
        <f t="shared" si="204"/>
        <v>1.1299999999999999</v>
      </c>
      <c r="K516" s="391">
        <f t="shared" si="218"/>
        <v>100485</v>
      </c>
      <c r="L516" s="398">
        <v>-671.28</v>
      </c>
      <c r="M516" s="398">
        <v>0</v>
      </c>
      <c r="N516" s="164">
        <f t="shared" si="197"/>
        <v>99813.72</v>
      </c>
      <c r="O516" s="399">
        <f t="shared" si="205"/>
        <v>99813.72</v>
      </c>
      <c r="P516" s="392">
        <f t="shared" si="219"/>
        <v>1</v>
      </c>
      <c r="Q516" s="164">
        <f t="shared" si="206"/>
        <v>1709.32</v>
      </c>
      <c r="R516" s="164">
        <f t="shared" si="207"/>
        <v>0</v>
      </c>
      <c r="S516" s="164">
        <f t="shared" si="208"/>
        <v>2996.25</v>
      </c>
      <c r="T516" s="164">
        <f t="shared" si="209"/>
        <v>0</v>
      </c>
      <c r="U516" s="164">
        <f t="shared" si="210"/>
        <v>104519.29</v>
      </c>
      <c r="V516" s="393">
        <f t="shared" si="211"/>
        <v>104519.29000000001</v>
      </c>
      <c r="W516" s="393">
        <f t="shared" si="212"/>
        <v>0</v>
      </c>
      <c r="Y516" s="393">
        <f t="shared" si="215"/>
        <v>12616.45</v>
      </c>
      <c r="Z516" s="393">
        <f t="shared" si="216"/>
        <v>87197.27</v>
      </c>
      <c r="AD516" s="395">
        <f>IF(AH516&gt;AH515,AD515,IF(AD515&lt;MiscData!$F$1,EOMONTH(AD515,1),EOMONTH(AD515,-11)))</f>
        <v>41820</v>
      </c>
      <c r="AE516" s="389" t="str">
        <f t="shared" si="213"/>
        <v>20140101KUUM_487</v>
      </c>
      <c r="AF516" s="437" t="str">
        <f t="shared" si="214"/>
        <v>20140101LS</v>
      </c>
      <c r="AG516" s="438"/>
      <c r="AH516" s="34">
        <f>IF(AH515=MiscData!$AB$91,1,AH515+1)</f>
        <v>75</v>
      </c>
      <c r="AI516" s="34">
        <f>IF(AD516&lt;=MiscData!$B$23,MiscData!$C$23,IF(AD516&lt;=MiscData!$B$24,MiscData!$C$24,MiscData!$C$25))</f>
        <v>20140101</v>
      </c>
      <c r="AK516" s="439" t="str">
        <f>VLOOKUP(AM516,MiscData!$AB$4:$ACB$113,2,FALSE)</f>
        <v>KUUM_487</v>
      </c>
      <c r="AL516" s="439" t="str">
        <f>VLOOKUP(AM516,MiscData!$AB$4:$AE$115,4,FALSE)</f>
        <v>LS</v>
      </c>
      <c r="AM516" s="34">
        <f>IF(AM515=MiscData!$AB$91,1,AM515+1)</f>
        <v>75</v>
      </c>
    </row>
    <row r="517" spans="1:39">
      <c r="A517" s="389">
        <f t="shared" si="217"/>
        <v>516</v>
      </c>
      <c r="B517" s="395" t="str">
        <f t="shared" si="198"/>
        <v>Jun 2014</v>
      </c>
      <c r="C517" s="396" t="str">
        <f t="shared" si="199"/>
        <v>LS</v>
      </c>
      <c r="D517" s="396" t="str">
        <f t="shared" si="200"/>
        <v>KUUM_488</v>
      </c>
      <c r="E517" s="394">
        <f t="shared" si="201"/>
        <v>6630</v>
      </c>
      <c r="F517" s="397"/>
      <c r="G517" s="394">
        <f t="shared" si="202"/>
        <v>433016</v>
      </c>
      <c r="H517" s="394"/>
      <c r="I517" s="390">
        <f t="shared" si="203"/>
        <v>13.639999999999999</v>
      </c>
      <c r="J517" s="390">
        <f t="shared" si="204"/>
        <v>2.33</v>
      </c>
      <c r="K517" s="391">
        <f t="shared" si="218"/>
        <v>90433.2</v>
      </c>
      <c r="L517" s="398">
        <v>-377.83</v>
      </c>
      <c r="M517" s="398">
        <v>0</v>
      </c>
      <c r="N517" s="164">
        <f t="shared" si="197"/>
        <v>90055.37</v>
      </c>
      <c r="O517" s="399">
        <f t="shared" si="205"/>
        <v>90055.37</v>
      </c>
      <c r="P517" s="392">
        <f t="shared" si="219"/>
        <v>1</v>
      </c>
      <c r="Q517" s="164">
        <f t="shared" si="206"/>
        <v>2127.34</v>
      </c>
      <c r="R517" s="164">
        <f t="shared" si="207"/>
        <v>0</v>
      </c>
      <c r="S517" s="164">
        <f t="shared" si="208"/>
        <v>2736.51</v>
      </c>
      <c r="T517" s="164">
        <f t="shared" si="209"/>
        <v>0</v>
      </c>
      <c r="U517" s="164">
        <f t="shared" si="210"/>
        <v>94919.22</v>
      </c>
      <c r="V517" s="393">
        <f t="shared" si="211"/>
        <v>94919.219999999987</v>
      </c>
      <c r="W517" s="393">
        <f t="shared" si="212"/>
        <v>0</v>
      </c>
      <c r="Y517" s="393">
        <f t="shared" si="215"/>
        <v>15447.9</v>
      </c>
      <c r="Z517" s="393">
        <f t="shared" si="216"/>
        <v>74607.47</v>
      </c>
      <c r="AD517" s="395">
        <f>IF(AH517&gt;AH516,AD516,IF(AD516&lt;MiscData!$F$1,EOMONTH(AD516,1),EOMONTH(AD516,-11)))</f>
        <v>41820</v>
      </c>
      <c r="AE517" s="389" t="str">
        <f t="shared" si="213"/>
        <v>20140101KUUM_488</v>
      </c>
      <c r="AF517" s="437" t="str">
        <f t="shared" si="214"/>
        <v>20140101LS</v>
      </c>
      <c r="AG517" s="438"/>
      <c r="AH517" s="34">
        <f>IF(AH516=MiscData!$AB$91,1,AH516+1)</f>
        <v>76</v>
      </c>
      <c r="AI517" s="34">
        <f>IF(AD517&lt;=MiscData!$B$23,MiscData!$C$23,IF(AD517&lt;=MiscData!$B$24,MiscData!$C$24,MiscData!$C$25))</f>
        <v>20140101</v>
      </c>
      <c r="AK517" s="439" t="str">
        <f>VLOOKUP(AM517,MiscData!$AB$4:$ACB$113,2,FALSE)</f>
        <v>KUUM_488</v>
      </c>
      <c r="AL517" s="439" t="str">
        <f>VLOOKUP(AM517,MiscData!$AB$4:$AE$115,4,FALSE)</f>
        <v>LS</v>
      </c>
      <c r="AM517" s="34">
        <f>IF(AM516=MiscData!$AB$91,1,AM516+1)</f>
        <v>76</v>
      </c>
    </row>
    <row r="518" spans="1:39">
      <c r="A518" s="389">
        <f t="shared" si="217"/>
        <v>517</v>
      </c>
      <c r="B518" s="395" t="str">
        <f t="shared" si="198"/>
        <v>Jun 2014</v>
      </c>
      <c r="C518" s="396" t="str">
        <f t="shared" si="199"/>
        <v>LS</v>
      </c>
      <c r="D518" s="396" t="str">
        <f t="shared" si="200"/>
        <v>KUUM_489</v>
      </c>
      <c r="E518" s="394">
        <f t="shared" si="201"/>
        <v>8378</v>
      </c>
      <c r="F518" s="397"/>
      <c r="G518" s="394">
        <f t="shared" si="202"/>
        <v>1073293</v>
      </c>
      <c r="H518" s="394"/>
      <c r="I518" s="390">
        <f t="shared" si="203"/>
        <v>19.46</v>
      </c>
      <c r="J518" s="390">
        <f t="shared" si="204"/>
        <v>4.5300000000000011</v>
      </c>
      <c r="K518" s="391">
        <f t="shared" si="218"/>
        <v>163035.88</v>
      </c>
      <c r="L518" s="398">
        <v>-175.22</v>
      </c>
      <c r="M518" s="398">
        <v>0</v>
      </c>
      <c r="N518" s="164">
        <f t="shared" si="197"/>
        <v>162860.66</v>
      </c>
      <c r="O518" s="399">
        <f t="shared" si="205"/>
        <v>162860.65999999997</v>
      </c>
      <c r="P518" s="392">
        <f t="shared" si="219"/>
        <v>1</v>
      </c>
      <c r="Q518" s="164">
        <f t="shared" si="206"/>
        <v>5234.46</v>
      </c>
      <c r="R518" s="164">
        <f t="shared" si="207"/>
        <v>0</v>
      </c>
      <c r="S518" s="164">
        <f t="shared" si="208"/>
        <v>4942.6499999999996</v>
      </c>
      <c r="T518" s="164">
        <f t="shared" si="209"/>
        <v>0</v>
      </c>
      <c r="U518" s="164">
        <f t="shared" si="210"/>
        <v>173037.77</v>
      </c>
      <c r="V518" s="393">
        <f t="shared" si="211"/>
        <v>173037.77</v>
      </c>
      <c r="W518" s="393">
        <f t="shared" si="212"/>
        <v>0</v>
      </c>
      <c r="Y518" s="393">
        <f t="shared" si="215"/>
        <v>37952.339999999997</v>
      </c>
      <c r="Z518" s="393">
        <f t="shared" si="216"/>
        <v>124908.31999999998</v>
      </c>
      <c r="AD518" s="395">
        <f>IF(AH518&gt;AH517,AD517,IF(AD517&lt;MiscData!$F$1,EOMONTH(AD517,1),EOMONTH(AD517,-11)))</f>
        <v>41820</v>
      </c>
      <c r="AE518" s="389" t="str">
        <f t="shared" si="213"/>
        <v>20140101KUUM_489</v>
      </c>
      <c r="AF518" s="437" t="str">
        <f t="shared" si="214"/>
        <v>20140101LS</v>
      </c>
      <c r="AG518" s="438"/>
      <c r="AH518" s="34">
        <f>IF(AH517=MiscData!$AB$91,1,AH517+1)</f>
        <v>77</v>
      </c>
      <c r="AI518" s="34">
        <f>IF(AD518&lt;=MiscData!$B$23,MiscData!$C$23,IF(AD518&lt;=MiscData!$B$24,MiscData!$C$24,MiscData!$C$25))</f>
        <v>20140101</v>
      </c>
      <c r="AK518" s="439" t="str">
        <f>VLOOKUP(AM518,MiscData!$AB$4:$ACB$113,2,FALSE)</f>
        <v>KUUM_489</v>
      </c>
      <c r="AL518" s="439" t="str">
        <f>VLOOKUP(AM518,MiscData!$AB$4:$AE$115,4,FALSE)</f>
        <v>LS</v>
      </c>
      <c r="AM518" s="34">
        <f>IF(AM517=MiscData!$AB$91,1,AM517+1)</f>
        <v>77</v>
      </c>
    </row>
    <row r="519" spans="1:39">
      <c r="A519" s="389">
        <f t="shared" si="217"/>
        <v>518</v>
      </c>
      <c r="B519" s="395" t="str">
        <f t="shared" si="198"/>
        <v>Jun 2014</v>
      </c>
      <c r="C519" s="396" t="str">
        <f t="shared" si="199"/>
        <v>LS</v>
      </c>
      <c r="D519" s="396" t="str">
        <f t="shared" si="200"/>
        <v>KUUM_490</v>
      </c>
      <c r="E519" s="394">
        <f t="shared" si="201"/>
        <v>58</v>
      </c>
      <c r="F519" s="397"/>
      <c r="G519" s="394">
        <f t="shared" si="202"/>
        <v>2307</v>
      </c>
      <c r="H519" s="394"/>
      <c r="I519" s="390">
        <f t="shared" si="203"/>
        <v>15.47</v>
      </c>
      <c r="J519" s="390">
        <f t="shared" si="204"/>
        <v>1.9700000000000006</v>
      </c>
      <c r="K519" s="391">
        <f t="shared" si="218"/>
        <v>897.26</v>
      </c>
      <c r="L519" s="398">
        <v>0</v>
      </c>
      <c r="M519" s="398">
        <v>0</v>
      </c>
      <c r="N519" s="164">
        <f t="shared" si="197"/>
        <v>897.26</v>
      </c>
      <c r="O519" s="399">
        <f t="shared" si="205"/>
        <v>897.26</v>
      </c>
      <c r="P519" s="392">
        <f t="shared" si="219"/>
        <v>1</v>
      </c>
      <c r="Q519" s="164">
        <f t="shared" si="206"/>
        <v>11.41</v>
      </c>
      <c r="R519" s="164">
        <f t="shared" si="207"/>
        <v>0</v>
      </c>
      <c r="S519" s="164">
        <f t="shared" si="208"/>
        <v>27.05</v>
      </c>
      <c r="T519" s="164">
        <f t="shared" si="209"/>
        <v>0</v>
      </c>
      <c r="U519" s="164">
        <f t="shared" si="210"/>
        <v>935.72</v>
      </c>
      <c r="V519" s="393">
        <f t="shared" si="211"/>
        <v>935.71999999999991</v>
      </c>
      <c r="W519" s="393">
        <f t="shared" si="212"/>
        <v>0</v>
      </c>
      <c r="Y519" s="393">
        <f t="shared" si="215"/>
        <v>114.26</v>
      </c>
      <c r="Z519" s="393">
        <f t="shared" si="216"/>
        <v>783</v>
      </c>
      <c r="AD519" s="395">
        <f>IF(AH519&gt;AH518,AD518,IF(AD518&lt;MiscData!$F$1,EOMONTH(AD518,1),EOMONTH(AD518,-11)))</f>
        <v>41820</v>
      </c>
      <c r="AE519" s="389" t="str">
        <f t="shared" si="213"/>
        <v>20140101KUUM_490</v>
      </c>
      <c r="AF519" s="437" t="str">
        <f t="shared" si="214"/>
        <v>20140101LS</v>
      </c>
      <c r="AG519" s="438"/>
      <c r="AH519" s="34">
        <f>IF(AH518=MiscData!$AB$91,1,AH518+1)</f>
        <v>78</v>
      </c>
      <c r="AI519" s="34">
        <f>IF(AD519&lt;=MiscData!$B$23,MiscData!$C$23,IF(AD519&lt;=MiscData!$B$24,MiscData!$C$24,MiscData!$C$25))</f>
        <v>20140101</v>
      </c>
      <c r="AK519" s="439" t="str">
        <f>VLOOKUP(AM519,MiscData!$AB$4:$ACB$113,2,FALSE)</f>
        <v>KUUM_490</v>
      </c>
      <c r="AL519" s="439" t="str">
        <f>VLOOKUP(AM519,MiscData!$AB$4:$AE$115,4,FALSE)</f>
        <v>LS</v>
      </c>
      <c r="AM519" s="34">
        <f>IF(AM518=MiscData!$AB$91,1,AM518+1)</f>
        <v>78</v>
      </c>
    </row>
    <row r="520" spans="1:39">
      <c r="A520" s="389">
        <f t="shared" si="217"/>
        <v>519</v>
      </c>
      <c r="B520" s="395" t="str">
        <f t="shared" si="198"/>
        <v>Jun 2014</v>
      </c>
      <c r="C520" s="396" t="str">
        <f t="shared" si="199"/>
        <v>LS</v>
      </c>
      <c r="D520" s="396" t="str">
        <f t="shared" si="200"/>
        <v>KUUM_491</v>
      </c>
      <c r="E520" s="394">
        <f t="shared" si="201"/>
        <v>312</v>
      </c>
      <c r="F520" s="397"/>
      <c r="G520" s="394">
        <f t="shared" si="202"/>
        <v>32617</v>
      </c>
      <c r="H520" s="394"/>
      <c r="I520" s="390">
        <f t="shared" si="203"/>
        <v>21.930000000000003</v>
      </c>
      <c r="J520" s="390">
        <f t="shared" si="204"/>
        <v>4.2900000000000027</v>
      </c>
      <c r="K520" s="391">
        <f t="shared" si="218"/>
        <v>6842.16</v>
      </c>
      <c r="L520" s="398">
        <v>515.36</v>
      </c>
      <c r="M520" s="398">
        <v>0</v>
      </c>
      <c r="N520" s="164">
        <f t="shared" si="197"/>
        <v>7357.5199999999995</v>
      </c>
      <c r="O520" s="399">
        <f t="shared" si="205"/>
        <v>7357.5199999999995</v>
      </c>
      <c r="P520" s="392">
        <f t="shared" si="219"/>
        <v>1</v>
      </c>
      <c r="Q520" s="164">
        <f t="shared" si="206"/>
        <v>160.04</v>
      </c>
      <c r="R520" s="164">
        <f t="shared" si="207"/>
        <v>0</v>
      </c>
      <c r="S520" s="164">
        <f t="shared" si="208"/>
        <v>222.14</v>
      </c>
      <c r="T520" s="164">
        <f t="shared" si="209"/>
        <v>0</v>
      </c>
      <c r="U520" s="164">
        <f t="shared" si="210"/>
        <v>7739.7</v>
      </c>
      <c r="V520" s="393">
        <f t="shared" si="211"/>
        <v>7739.7</v>
      </c>
      <c r="W520" s="393">
        <f t="shared" si="212"/>
        <v>0</v>
      </c>
      <c r="Y520" s="393">
        <f t="shared" si="215"/>
        <v>1338.48</v>
      </c>
      <c r="Z520" s="393">
        <f t="shared" si="216"/>
        <v>6019.0399999999991</v>
      </c>
      <c r="AD520" s="395">
        <f>IF(AH520&gt;AH519,AD519,IF(AD519&lt;MiscData!$F$1,EOMONTH(AD519,1),EOMONTH(AD519,-11)))</f>
        <v>41820</v>
      </c>
      <c r="AE520" s="389" t="str">
        <f t="shared" si="213"/>
        <v>20140101KUUM_491</v>
      </c>
      <c r="AF520" s="437" t="str">
        <f t="shared" si="214"/>
        <v>20140101LS</v>
      </c>
      <c r="AG520" s="438"/>
      <c r="AH520" s="34">
        <f>IF(AH519=MiscData!$AB$91,1,AH519+1)</f>
        <v>79</v>
      </c>
      <c r="AI520" s="34">
        <f>IF(AD520&lt;=MiscData!$B$23,MiscData!$C$23,IF(AD520&lt;=MiscData!$B$24,MiscData!$C$24,MiscData!$C$25))</f>
        <v>20140101</v>
      </c>
      <c r="AK520" s="439" t="str">
        <f>VLOOKUP(AM520,MiscData!$AB$4:$ACB$113,2,FALSE)</f>
        <v>KUUM_491</v>
      </c>
      <c r="AL520" s="439" t="str">
        <f>VLOOKUP(AM520,MiscData!$AB$4:$AE$115,4,FALSE)</f>
        <v>LS</v>
      </c>
      <c r="AM520" s="34">
        <f>IF(AM519=MiscData!$AB$91,1,AM519+1)</f>
        <v>79</v>
      </c>
    </row>
    <row r="521" spans="1:39">
      <c r="A521" s="389">
        <f t="shared" si="217"/>
        <v>520</v>
      </c>
      <c r="B521" s="395" t="str">
        <f t="shared" si="198"/>
        <v>Jun 2014</v>
      </c>
      <c r="C521" s="396" t="str">
        <f t="shared" si="199"/>
        <v>LS</v>
      </c>
      <c r="D521" s="396" t="str">
        <f t="shared" si="200"/>
        <v>KUUM_492</v>
      </c>
      <c r="E521" s="394">
        <f t="shared" si="201"/>
        <v>2</v>
      </c>
      <c r="F521" s="397"/>
      <c r="G521" s="394">
        <f t="shared" si="202"/>
        <v>46</v>
      </c>
      <c r="H521" s="394"/>
      <c r="I521" s="390">
        <f t="shared" si="203"/>
        <v>15.370000000000001</v>
      </c>
      <c r="J521" s="390">
        <f t="shared" si="204"/>
        <v>0.80000000000000071</v>
      </c>
      <c r="K521" s="391">
        <f t="shared" si="218"/>
        <v>30.74</v>
      </c>
      <c r="L521" s="398">
        <v>0</v>
      </c>
      <c r="M521" s="398">
        <v>0</v>
      </c>
      <c r="N521" s="164">
        <f t="shared" si="197"/>
        <v>30.74</v>
      </c>
      <c r="O521" s="399">
        <f t="shared" si="205"/>
        <v>30.74</v>
      </c>
      <c r="P521" s="392">
        <f t="shared" si="219"/>
        <v>1</v>
      </c>
      <c r="Q521" s="164">
        <f t="shared" si="206"/>
        <v>0.23</v>
      </c>
      <c r="R521" s="164">
        <f t="shared" si="207"/>
        <v>0</v>
      </c>
      <c r="S521" s="164">
        <f t="shared" si="208"/>
        <v>0.93</v>
      </c>
      <c r="T521" s="164">
        <f t="shared" si="209"/>
        <v>0</v>
      </c>
      <c r="U521" s="164">
        <f t="shared" si="210"/>
        <v>31.9</v>
      </c>
      <c r="V521" s="393">
        <f t="shared" si="211"/>
        <v>31.9</v>
      </c>
      <c r="W521" s="393">
        <f t="shared" si="212"/>
        <v>0</v>
      </c>
      <c r="Y521" s="393">
        <f t="shared" si="215"/>
        <v>1.6</v>
      </c>
      <c r="Z521" s="393">
        <f t="shared" si="216"/>
        <v>29.139999999999997</v>
      </c>
      <c r="AD521" s="395">
        <f>IF(AH521&gt;AH520,AD520,IF(AD520&lt;MiscData!$F$1,EOMONTH(AD520,1),EOMONTH(AD520,-11)))</f>
        <v>41820</v>
      </c>
      <c r="AE521" s="389" t="str">
        <f t="shared" si="213"/>
        <v>20140101KUUM_492</v>
      </c>
      <c r="AF521" s="437" t="str">
        <f t="shared" si="214"/>
        <v>20140101LS</v>
      </c>
      <c r="AG521" s="438"/>
      <c r="AH521" s="34">
        <f>IF(AH520=MiscData!$AB$91,1,AH520+1)</f>
        <v>80</v>
      </c>
      <c r="AI521" s="34">
        <f>IF(AD521&lt;=MiscData!$B$23,MiscData!$C$23,IF(AD521&lt;=MiscData!$B$24,MiscData!$C$24,MiscData!$C$25))</f>
        <v>20140101</v>
      </c>
      <c r="AK521" s="439" t="str">
        <f>VLOOKUP(AM521,MiscData!$AB$4:$ACB$113,2,FALSE)</f>
        <v>KUUM_492</v>
      </c>
      <c r="AL521" s="439" t="str">
        <f>VLOOKUP(AM521,MiscData!$AB$4:$AE$115,4,FALSE)</f>
        <v>LS</v>
      </c>
      <c r="AM521" s="34">
        <f>IF(AM520=MiscData!$AB$91,1,AM520+1)</f>
        <v>80</v>
      </c>
    </row>
    <row r="522" spans="1:39">
      <c r="A522" s="389">
        <f t="shared" si="217"/>
        <v>521</v>
      </c>
      <c r="B522" s="395" t="str">
        <f t="shared" si="198"/>
        <v>Jun 2014</v>
      </c>
      <c r="C522" s="396" t="str">
        <f t="shared" si="199"/>
        <v>LS</v>
      </c>
      <c r="D522" s="396" t="str">
        <f t="shared" si="200"/>
        <v>KUUM_493</v>
      </c>
      <c r="E522" s="394">
        <f t="shared" si="201"/>
        <v>43</v>
      </c>
      <c r="F522" s="397"/>
      <c r="G522" s="394">
        <f t="shared" si="202"/>
        <v>12619</v>
      </c>
      <c r="H522" s="394"/>
      <c r="I522" s="390">
        <f t="shared" si="203"/>
        <v>45.7</v>
      </c>
      <c r="J522" s="390">
        <f t="shared" si="204"/>
        <v>10.409999999999997</v>
      </c>
      <c r="K522" s="391">
        <f t="shared" si="218"/>
        <v>1965.1</v>
      </c>
      <c r="L522" s="398">
        <v>0</v>
      </c>
      <c r="M522" s="398">
        <v>0</v>
      </c>
      <c r="N522" s="164">
        <f t="shared" si="197"/>
        <v>1965.1</v>
      </c>
      <c r="O522" s="399">
        <f t="shared" si="205"/>
        <v>1965.1</v>
      </c>
      <c r="P522" s="392">
        <f t="shared" si="219"/>
        <v>1</v>
      </c>
      <c r="Q522" s="164">
        <f t="shared" si="206"/>
        <v>62.71</v>
      </c>
      <c r="R522" s="164">
        <f t="shared" si="207"/>
        <v>0</v>
      </c>
      <c r="S522" s="164">
        <f t="shared" si="208"/>
        <v>60.64</v>
      </c>
      <c r="T522" s="164">
        <f t="shared" si="209"/>
        <v>0</v>
      </c>
      <c r="U522" s="164">
        <f t="shared" si="210"/>
        <v>2088.4499999999998</v>
      </c>
      <c r="V522" s="393">
        <f t="shared" si="211"/>
        <v>2088.4499999999998</v>
      </c>
      <c r="W522" s="393">
        <f t="shared" si="212"/>
        <v>0</v>
      </c>
      <c r="Y522" s="393">
        <f t="shared" si="215"/>
        <v>447.63</v>
      </c>
      <c r="Z522" s="393">
        <f t="shared" si="216"/>
        <v>1517.4699999999998</v>
      </c>
      <c r="AD522" s="395">
        <f>IF(AH522&gt;AH521,AD521,IF(AD521&lt;MiscData!$F$1,EOMONTH(AD521,1),EOMONTH(AD521,-11)))</f>
        <v>41820</v>
      </c>
      <c r="AE522" s="389" t="str">
        <f t="shared" si="213"/>
        <v>20140101KUUM_493</v>
      </c>
      <c r="AF522" s="437" t="str">
        <f t="shared" si="214"/>
        <v>20140101LS</v>
      </c>
      <c r="AG522" s="438"/>
      <c r="AH522" s="34">
        <f>IF(AH521=MiscData!$AB$91,1,AH521+1)</f>
        <v>81</v>
      </c>
      <c r="AI522" s="34">
        <f>IF(AD522&lt;=MiscData!$B$23,MiscData!$C$23,IF(AD522&lt;=MiscData!$B$24,MiscData!$C$24,MiscData!$C$25))</f>
        <v>20140101</v>
      </c>
      <c r="AK522" s="439" t="str">
        <f>VLOOKUP(AM522,MiscData!$AB$4:$ACB$113,2,FALSE)</f>
        <v>KUUM_493</v>
      </c>
      <c r="AL522" s="439" t="str">
        <f>VLOOKUP(AM522,MiscData!$AB$4:$AE$115,4,FALSE)</f>
        <v>LS</v>
      </c>
      <c r="AM522" s="34">
        <f>IF(AM521=MiscData!$AB$91,1,AM521+1)</f>
        <v>81</v>
      </c>
    </row>
    <row r="523" spans="1:39">
      <c r="A523" s="389">
        <f t="shared" si="217"/>
        <v>522</v>
      </c>
      <c r="B523" s="395" t="str">
        <f t="shared" si="198"/>
        <v>Jun 2014</v>
      </c>
      <c r="C523" s="396" t="str">
        <f t="shared" si="199"/>
        <v>LS</v>
      </c>
      <c r="D523" s="396" t="str">
        <f t="shared" si="200"/>
        <v>KUUM_494</v>
      </c>
      <c r="E523" s="394">
        <f t="shared" si="201"/>
        <v>168</v>
      </c>
      <c r="F523" s="397"/>
      <c r="G523" s="394">
        <f t="shared" si="202"/>
        <v>6887</v>
      </c>
      <c r="H523" s="394"/>
      <c r="I523" s="390">
        <f t="shared" si="203"/>
        <v>28.37</v>
      </c>
      <c r="J523" s="390">
        <f t="shared" si="204"/>
        <v>1.9699999999999989</v>
      </c>
      <c r="K523" s="391">
        <f t="shared" si="218"/>
        <v>4766.16</v>
      </c>
      <c r="L523" s="398">
        <v>0</v>
      </c>
      <c r="M523" s="398">
        <v>0</v>
      </c>
      <c r="N523" s="164">
        <f t="shared" si="197"/>
        <v>4766.16</v>
      </c>
      <c r="O523" s="399">
        <f t="shared" si="205"/>
        <v>4766.16</v>
      </c>
      <c r="P523" s="392">
        <f t="shared" si="219"/>
        <v>1</v>
      </c>
      <c r="Q523" s="164">
        <f t="shared" si="206"/>
        <v>32.39</v>
      </c>
      <c r="R523" s="164">
        <f t="shared" si="207"/>
        <v>0</v>
      </c>
      <c r="S523" s="164">
        <f t="shared" si="208"/>
        <v>136.38</v>
      </c>
      <c r="T523" s="164">
        <f t="shared" si="209"/>
        <v>0</v>
      </c>
      <c r="U523" s="164">
        <f t="shared" si="210"/>
        <v>4934.93</v>
      </c>
      <c r="V523" s="393">
        <f t="shared" si="211"/>
        <v>4934.93</v>
      </c>
      <c r="W523" s="393">
        <f t="shared" si="212"/>
        <v>0</v>
      </c>
      <c r="Y523" s="393">
        <f t="shared" si="215"/>
        <v>330.96</v>
      </c>
      <c r="Z523" s="393">
        <f t="shared" si="216"/>
        <v>4435.2</v>
      </c>
      <c r="AD523" s="395">
        <f>IF(AH523&gt;AH522,AD522,IF(AD522&lt;MiscData!$F$1,EOMONTH(AD522,1),EOMONTH(AD522,-11)))</f>
        <v>41820</v>
      </c>
      <c r="AE523" s="389" t="str">
        <f t="shared" si="213"/>
        <v>20140101KUUM_494</v>
      </c>
      <c r="AF523" s="437" t="str">
        <f t="shared" si="214"/>
        <v>20140101LS</v>
      </c>
      <c r="AG523" s="438"/>
      <c r="AH523" s="34">
        <f>IF(AH522=MiscData!$AB$91,1,AH522+1)</f>
        <v>82</v>
      </c>
      <c r="AI523" s="34">
        <f>IF(AD523&lt;=MiscData!$B$23,MiscData!$C$23,IF(AD523&lt;=MiscData!$B$24,MiscData!$C$24,MiscData!$C$25))</f>
        <v>20140101</v>
      </c>
      <c r="AK523" s="439" t="str">
        <f>VLOOKUP(AM523,MiscData!$AB$4:$ACB$113,2,FALSE)</f>
        <v>KUUM_494</v>
      </c>
      <c r="AL523" s="439" t="str">
        <f>VLOOKUP(AM523,MiscData!$AB$4:$AE$115,4,FALSE)</f>
        <v>LS</v>
      </c>
      <c r="AM523" s="34">
        <f>IF(AM522=MiscData!$AB$91,1,AM522+1)</f>
        <v>82</v>
      </c>
    </row>
    <row r="524" spans="1:39">
      <c r="A524" s="389">
        <f t="shared" si="217"/>
        <v>523</v>
      </c>
      <c r="B524" s="395" t="str">
        <f t="shared" si="198"/>
        <v>Jun 2014</v>
      </c>
      <c r="C524" s="396" t="str">
        <f t="shared" si="199"/>
        <v>LS</v>
      </c>
      <c r="D524" s="396" t="str">
        <f t="shared" si="200"/>
        <v>KUUM_495</v>
      </c>
      <c r="E524" s="394">
        <f t="shared" si="201"/>
        <v>632</v>
      </c>
      <c r="F524" s="397"/>
      <c r="G524" s="394">
        <f t="shared" si="202"/>
        <v>61681</v>
      </c>
      <c r="H524" s="394"/>
      <c r="I524" s="390">
        <f t="shared" si="203"/>
        <v>34.830000000000005</v>
      </c>
      <c r="J524" s="390">
        <f t="shared" si="204"/>
        <v>4.2899999999999991</v>
      </c>
      <c r="K524" s="391">
        <f t="shared" si="218"/>
        <v>22012.560000000001</v>
      </c>
      <c r="L524" s="398">
        <v>409.84</v>
      </c>
      <c r="M524" s="398">
        <v>0</v>
      </c>
      <c r="N524" s="164">
        <f t="shared" si="197"/>
        <v>22422.400000000001</v>
      </c>
      <c r="O524" s="399">
        <f t="shared" si="205"/>
        <v>22422.399999999998</v>
      </c>
      <c r="P524" s="392">
        <f t="shared" si="219"/>
        <v>1</v>
      </c>
      <c r="Q524" s="164">
        <f t="shared" si="206"/>
        <v>304.88</v>
      </c>
      <c r="R524" s="164">
        <f t="shared" si="207"/>
        <v>0</v>
      </c>
      <c r="S524" s="164">
        <f t="shared" si="208"/>
        <v>676.16</v>
      </c>
      <c r="T524" s="164">
        <f t="shared" si="209"/>
        <v>0</v>
      </c>
      <c r="U524" s="164">
        <f t="shared" si="210"/>
        <v>23403.439999999999</v>
      </c>
      <c r="V524" s="393">
        <f t="shared" si="211"/>
        <v>23403.440000000002</v>
      </c>
      <c r="W524" s="393">
        <f t="shared" si="212"/>
        <v>0</v>
      </c>
      <c r="Y524" s="393">
        <f t="shared" si="215"/>
        <v>2711.28</v>
      </c>
      <c r="Z524" s="393">
        <f t="shared" si="216"/>
        <v>19711.12</v>
      </c>
      <c r="AD524" s="395">
        <f>IF(AH524&gt;AH523,AD523,IF(AD523&lt;MiscData!$F$1,EOMONTH(AD523,1),EOMONTH(AD523,-11)))</f>
        <v>41820</v>
      </c>
      <c r="AE524" s="389" t="str">
        <f t="shared" si="213"/>
        <v>20140101KUUM_495</v>
      </c>
      <c r="AF524" s="437" t="str">
        <f t="shared" si="214"/>
        <v>20140101LS</v>
      </c>
      <c r="AG524" s="438"/>
      <c r="AH524" s="34">
        <f>IF(AH523=MiscData!$AB$91,1,AH523+1)</f>
        <v>83</v>
      </c>
      <c r="AI524" s="34">
        <f>IF(AD524&lt;=MiscData!$B$23,MiscData!$C$23,IF(AD524&lt;=MiscData!$B$24,MiscData!$C$24,MiscData!$C$25))</f>
        <v>20140101</v>
      </c>
      <c r="AK524" s="439" t="str">
        <f>VLOOKUP(AM524,MiscData!$AB$4:$ACB$113,2,FALSE)</f>
        <v>KUUM_495</v>
      </c>
      <c r="AL524" s="439" t="str">
        <f>VLOOKUP(AM524,MiscData!$AB$4:$AE$115,4,FALSE)</f>
        <v>LS</v>
      </c>
      <c r="AM524" s="34">
        <f>IF(AM523=MiscData!$AB$91,1,AM523+1)</f>
        <v>83</v>
      </c>
    </row>
    <row r="525" spans="1:39">
      <c r="A525" s="389">
        <f t="shared" si="217"/>
        <v>524</v>
      </c>
      <c r="B525" s="395" t="str">
        <f t="shared" si="198"/>
        <v>Jun 2014</v>
      </c>
      <c r="C525" s="396" t="str">
        <f t="shared" si="199"/>
        <v>LS</v>
      </c>
      <c r="D525" s="396" t="str">
        <f t="shared" si="200"/>
        <v>KUUM_496</v>
      </c>
      <c r="E525" s="394">
        <f t="shared" si="201"/>
        <v>154</v>
      </c>
      <c r="F525" s="397"/>
      <c r="G525" s="394">
        <f t="shared" si="202"/>
        <v>45473</v>
      </c>
      <c r="H525" s="394"/>
      <c r="I525" s="390">
        <f t="shared" si="203"/>
        <v>58.59</v>
      </c>
      <c r="J525" s="390">
        <f t="shared" si="204"/>
        <v>10.409999999999997</v>
      </c>
      <c r="K525" s="391">
        <f t="shared" si="218"/>
        <v>9022.86</v>
      </c>
      <c r="L525" s="398">
        <v>0</v>
      </c>
      <c r="M525" s="398">
        <v>0</v>
      </c>
      <c r="N525" s="164">
        <f t="shared" si="197"/>
        <v>9022.86</v>
      </c>
      <c r="O525" s="399">
        <f t="shared" si="205"/>
        <v>9022.86</v>
      </c>
      <c r="P525" s="392">
        <f t="shared" si="219"/>
        <v>1</v>
      </c>
      <c r="Q525" s="164">
        <f t="shared" si="206"/>
        <v>222.07</v>
      </c>
      <c r="R525" s="164">
        <f t="shared" si="207"/>
        <v>0</v>
      </c>
      <c r="S525" s="164">
        <f t="shared" si="208"/>
        <v>272.11</v>
      </c>
      <c r="T525" s="164">
        <f t="shared" si="209"/>
        <v>0</v>
      </c>
      <c r="U525" s="164">
        <f t="shared" si="210"/>
        <v>9517.0400000000009</v>
      </c>
      <c r="V525" s="393">
        <f t="shared" si="211"/>
        <v>9517.0400000000009</v>
      </c>
      <c r="W525" s="393">
        <f t="shared" si="212"/>
        <v>0</v>
      </c>
      <c r="Y525" s="393">
        <f t="shared" si="215"/>
        <v>1603.14</v>
      </c>
      <c r="Z525" s="393">
        <f t="shared" si="216"/>
        <v>7419.72</v>
      </c>
      <c r="AD525" s="395">
        <f>IF(AH525&gt;AH524,AD524,IF(AD524&lt;MiscData!$F$1,EOMONTH(AD524,1),EOMONTH(AD524,-11)))</f>
        <v>41820</v>
      </c>
      <c r="AE525" s="389" t="str">
        <f t="shared" si="213"/>
        <v>20140101KUUM_496</v>
      </c>
      <c r="AF525" s="437" t="str">
        <f t="shared" si="214"/>
        <v>20140101LS</v>
      </c>
      <c r="AG525" s="438"/>
      <c r="AH525" s="34">
        <f>IF(AH524=MiscData!$AB$91,1,AH524+1)</f>
        <v>84</v>
      </c>
      <c r="AI525" s="34">
        <f>IF(AD525&lt;=MiscData!$B$23,MiscData!$C$23,IF(AD525&lt;=MiscData!$B$24,MiscData!$C$24,MiscData!$C$25))</f>
        <v>20140101</v>
      </c>
      <c r="AK525" s="439" t="str">
        <f>VLOOKUP(AM525,MiscData!$AB$4:$ACB$113,2,FALSE)</f>
        <v>KUUM_496</v>
      </c>
      <c r="AL525" s="439" t="str">
        <f>VLOOKUP(AM525,MiscData!$AB$4:$AE$115,4,FALSE)</f>
        <v>LS</v>
      </c>
      <c r="AM525" s="34">
        <f>IF(AM524=MiscData!$AB$91,1,AM524+1)</f>
        <v>84</v>
      </c>
    </row>
    <row r="526" spans="1:39">
      <c r="A526" s="389">
        <f t="shared" si="217"/>
        <v>525</v>
      </c>
      <c r="B526" s="395" t="str">
        <f t="shared" si="198"/>
        <v>Jun 2014</v>
      </c>
      <c r="C526" s="396" t="str">
        <f t="shared" si="199"/>
        <v>LS</v>
      </c>
      <c r="D526" s="396" t="str">
        <f t="shared" si="200"/>
        <v>KUUM_497</v>
      </c>
      <c r="E526" s="394">
        <f t="shared" si="201"/>
        <v>10</v>
      </c>
      <c r="F526" s="397">
        <v>0</v>
      </c>
      <c r="G526" s="394">
        <f t="shared" si="202"/>
        <v>323</v>
      </c>
      <c r="H526" s="394">
        <v>0</v>
      </c>
      <c r="I526" s="390">
        <f t="shared" si="203"/>
        <v>15.35</v>
      </c>
      <c r="J526" s="390">
        <f t="shared" si="204"/>
        <v>1.1300000000000008</v>
      </c>
      <c r="K526" s="391">
        <f t="shared" si="218"/>
        <v>153.5</v>
      </c>
      <c r="L526" s="398">
        <v>0</v>
      </c>
      <c r="M526" s="398">
        <v>0</v>
      </c>
      <c r="N526" s="164">
        <f t="shared" si="197"/>
        <v>153.5</v>
      </c>
      <c r="O526" s="399">
        <f t="shared" si="205"/>
        <v>153.5</v>
      </c>
      <c r="P526" s="392">
        <f t="shared" si="219"/>
        <v>1</v>
      </c>
      <c r="Q526" s="164">
        <f t="shared" si="206"/>
        <v>1.6</v>
      </c>
      <c r="R526" s="164">
        <f t="shared" si="207"/>
        <v>0</v>
      </c>
      <c r="S526" s="164">
        <f t="shared" si="208"/>
        <v>4.6399999999999997</v>
      </c>
      <c r="T526" s="164">
        <f t="shared" si="209"/>
        <v>0</v>
      </c>
      <c r="U526" s="164">
        <f t="shared" si="210"/>
        <v>159.74</v>
      </c>
      <c r="V526" s="393">
        <f t="shared" si="211"/>
        <v>159.73999999999998</v>
      </c>
      <c r="W526" s="393">
        <f t="shared" si="212"/>
        <v>0</v>
      </c>
      <c r="Y526" s="393">
        <f t="shared" si="215"/>
        <v>11.3</v>
      </c>
      <c r="Z526" s="393">
        <f t="shared" si="216"/>
        <v>142.19999999999999</v>
      </c>
      <c r="AD526" s="395">
        <f>IF(AH526&gt;AH525,AD525,IF(AD525&lt;MiscData!$F$1,EOMONTH(AD525,1),EOMONTH(AD525,-11)))</f>
        <v>41820</v>
      </c>
      <c r="AE526" s="389" t="str">
        <f t="shared" si="213"/>
        <v>20140101KUUM_497</v>
      </c>
      <c r="AF526" s="437" t="str">
        <f t="shared" si="214"/>
        <v>20140101LS</v>
      </c>
      <c r="AG526" s="438"/>
      <c r="AH526" s="34">
        <f>IF(AH525=MiscData!$AB$91,1,AH525+1)</f>
        <v>85</v>
      </c>
      <c r="AI526" s="34">
        <f>IF(AD526&lt;=MiscData!$B$23,MiscData!$C$23,IF(AD526&lt;=MiscData!$B$24,MiscData!$C$24,MiscData!$C$25))</f>
        <v>20140101</v>
      </c>
      <c r="AK526" s="439" t="str">
        <f>VLOOKUP(AM526,MiscData!$AB$4:$ACB$113,2,FALSE)</f>
        <v>KUUM_497</v>
      </c>
      <c r="AL526" s="439" t="str">
        <f>VLOOKUP(AM526,MiscData!$AB$4:$AE$115,4,FALSE)</f>
        <v>LS</v>
      </c>
      <c r="AM526" s="34">
        <f>IF(AM525=MiscData!$AB$91,1,AM525+1)</f>
        <v>85</v>
      </c>
    </row>
    <row r="527" spans="1:39">
      <c r="A527" s="389">
        <f t="shared" si="217"/>
        <v>526</v>
      </c>
      <c r="B527" s="395" t="str">
        <f t="shared" si="198"/>
        <v>Jun 2014</v>
      </c>
      <c r="C527" s="396" t="str">
        <f t="shared" si="199"/>
        <v>LS</v>
      </c>
      <c r="D527" s="396" t="str">
        <f t="shared" si="200"/>
        <v>KUUM_498</v>
      </c>
      <c r="E527" s="394">
        <f t="shared" si="201"/>
        <v>26</v>
      </c>
      <c r="F527" s="397">
        <v>0</v>
      </c>
      <c r="G527" s="394">
        <f t="shared" si="202"/>
        <v>3994</v>
      </c>
      <c r="H527" s="394">
        <v>0</v>
      </c>
      <c r="I527" s="390">
        <f t="shared" si="203"/>
        <v>17.72</v>
      </c>
      <c r="J527" s="390">
        <f t="shared" si="204"/>
        <v>2.33</v>
      </c>
      <c r="K527" s="391">
        <f t="shared" si="218"/>
        <v>460.72</v>
      </c>
      <c r="L527" s="398">
        <v>506.79</v>
      </c>
      <c r="M527" s="398">
        <v>0</v>
      </c>
      <c r="N527" s="164">
        <f t="shared" si="197"/>
        <v>967.51</v>
      </c>
      <c r="O527" s="399">
        <f t="shared" si="205"/>
        <v>967.51</v>
      </c>
      <c r="P527" s="392">
        <f t="shared" si="219"/>
        <v>1</v>
      </c>
      <c r="Q527" s="164">
        <f t="shared" si="206"/>
        <v>19.86</v>
      </c>
      <c r="R527" s="164">
        <f t="shared" si="207"/>
        <v>0</v>
      </c>
      <c r="S527" s="164">
        <f t="shared" si="208"/>
        <v>29.53</v>
      </c>
      <c r="T527" s="164">
        <f t="shared" si="209"/>
        <v>0</v>
      </c>
      <c r="U527" s="164">
        <f t="shared" si="210"/>
        <v>1016.9</v>
      </c>
      <c r="V527" s="393">
        <f t="shared" si="211"/>
        <v>1016.9</v>
      </c>
      <c r="W527" s="393">
        <f t="shared" si="212"/>
        <v>0</v>
      </c>
      <c r="Y527" s="393">
        <f t="shared" si="215"/>
        <v>60.58</v>
      </c>
      <c r="Z527" s="393">
        <f t="shared" si="216"/>
        <v>906.93</v>
      </c>
      <c r="AD527" s="395">
        <f>IF(AH527&gt;AH526,AD526,IF(AD526&lt;MiscData!$F$1,EOMONTH(AD526,1),EOMONTH(AD526,-11)))</f>
        <v>41820</v>
      </c>
      <c r="AE527" s="389" t="str">
        <f t="shared" si="213"/>
        <v>20140101KUUM_498</v>
      </c>
      <c r="AF527" s="437" t="str">
        <f t="shared" si="214"/>
        <v>20140101LS</v>
      </c>
      <c r="AG527" s="438"/>
      <c r="AH527" s="34">
        <f>IF(AH526=MiscData!$AB$91,1,AH526+1)</f>
        <v>86</v>
      </c>
      <c r="AI527" s="34">
        <f>IF(AD527&lt;=MiscData!$B$23,MiscData!$C$23,IF(AD527&lt;=MiscData!$B$24,MiscData!$C$24,MiscData!$C$25))</f>
        <v>20140101</v>
      </c>
      <c r="AK527" s="439" t="str">
        <f>VLOOKUP(AM527,MiscData!$AB$4:$ACB$113,2,FALSE)</f>
        <v>KUUM_498</v>
      </c>
      <c r="AL527" s="439" t="str">
        <f>VLOOKUP(AM527,MiscData!$AB$4:$AE$115,4,FALSE)</f>
        <v>LS</v>
      </c>
      <c r="AM527" s="34">
        <f>IF(AM526=MiscData!$AB$91,1,AM526+1)</f>
        <v>86</v>
      </c>
    </row>
    <row r="528" spans="1:39">
      <c r="A528" s="389">
        <f t="shared" si="217"/>
        <v>527</v>
      </c>
      <c r="B528" s="395" t="str">
        <f t="shared" si="198"/>
        <v>Jun 2014</v>
      </c>
      <c r="C528" s="396" t="str">
        <f t="shared" si="199"/>
        <v>LS</v>
      </c>
      <c r="D528" s="396" t="str">
        <f t="shared" si="200"/>
        <v>KUUM_499</v>
      </c>
      <c r="E528" s="394">
        <f t="shared" si="201"/>
        <v>24</v>
      </c>
      <c r="F528" s="397">
        <v>0</v>
      </c>
      <c r="G528" s="394">
        <f t="shared" si="202"/>
        <v>3193</v>
      </c>
      <c r="H528" s="394">
        <v>0</v>
      </c>
      <c r="I528" s="390">
        <f t="shared" si="203"/>
        <v>21.490000000000002</v>
      </c>
      <c r="J528" s="390">
        <f t="shared" si="204"/>
        <v>4.5300000000000011</v>
      </c>
      <c r="K528" s="391">
        <f t="shared" si="218"/>
        <v>515.76</v>
      </c>
      <c r="L528" s="398">
        <v>0</v>
      </c>
      <c r="M528" s="398">
        <v>0</v>
      </c>
      <c r="N528" s="164">
        <f t="shared" si="197"/>
        <v>515.76</v>
      </c>
      <c r="O528" s="399">
        <f t="shared" si="205"/>
        <v>515.76</v>
      </c>
      <c r="P528" s="392">
        <f t="shared" si="219"/>
        <v>1</v>
      </c>
      <c r="Q528" s="164">
        <f t="shared" si="206"/>
        <v>15.68</v>
      </c>
      <c r="R528" s="164">
        <f t="shared" si="207"/>
        <v>0</v>
      </c>
      <c r="S528" s="164">
        <f t="shared" si="208"/>
        <v>15.71</v>
      </c>
      <c r="T528" s="164">
        <f t="shared" si="209"/>
        <v>0</v>
      </c>
      <c r="U528" s="164">
        <f t="shared" si="210"/>
        <v>547.15</v>
      </c>
      <c r="V528" s="393">
        <f t="shared" si="211"/>
        <v>547.15</v>
      </c>
      <c r="W528" s="393">
        <f t="shared" si="212"/>
        <v>0</v>
      </c>
      <c r="Y528" s="393">
        <f t="shared" si="215"/>
        <v>108.72</v>
      </c>
      <c r="Z528" s="393">
        <f t="shared" si="216"/>
        <v>407.03999999999996</v>
      </c>
      <c r="AD528" s="395">
        <f>IF(AH528&gt;AH527,AD527,IF(AD527&lt;MiscData!$F$1,EOMONTH(AD527,1),EOMONTH(AD527,-11)))</f>
        <v>41820</v>
      </c>
      <c r="AE528" s="389" t="str">
        <f t="shared" si="213"/>
        <v>20140101KUUM_499</v>
      </c>
      <c r="AF528" s="437" t="str">
        <f t="shared" si="214"/>
        <v>20140101LS</v>
      </c>
      <c r="AG528" s="438"/>
      <c r="AH528" s="34">
        <f>IF(AH527=MiscData!$AB$91,1,AH527+1)</f>
        <v>87</v>
      </c>
      <c r="AI528" s="34">
        <f>IF(AD528&lt;=MiscData!$B$23,MiscData!$C$23,IF(AD528&lt;=MiscData!$B$24,MiscData!$C$24,MiscData!$C$25))</f>
        <v>20140101</v>
      </c>
      <c r="AK528" s="439" t="str">
        <f>VLOOKUP(AM528,MiscData!$AB$4:$ACB$113,2,FALSE)</f>
        <v>KUUM_499</v>
      </c>
      <c r="AL528" s="439" t="str">
        <f>VLOOKUP(AM528,MiscData!$AB$4:$AE$115,4,FALSE)</f>
        <v>LS</v>
      </c>
      <c r="AM528" s="34">
        <f>IF(AM527=MiscData!$AB$91,1,AM527+1)</f>
        <v>87</v>
      </c>
    </row>
    <row r="529" spans="1:39">
      <c r="A529" s="389">
        <f t="shared" si="217"/>
        <v>528</v>
      </c>
      <c r="B529" s="395" t="str">
        <f t="shared" si="198"/>
        <v>Jun 2014</v>
      </c>
      <c r="C529" s="396" t="str">
        <f t="shared" si="199"/>
        <v>ODL</v>
      </c>
      <c r="D529" s="396" t="str">
        <f t="shared" si="200"/>
        <v>ODL</v>
      </c>
      <c r="E529" s="394">
        <f t="shared" si="201"/>
        <v>0</v>
      </c>
      <c r="F529" s="397">
        <v>0</v>
      </c>
      <c r="G529" s="394">
        <f t="shared" si="202"/>
        <v>0</v>
      </c>
      <c r="H529" s="394">
        <v>0</v>
      </c>
      <c r="I529" s="390">
        <f t="shared" si="203"/>
        <v>0</v>
      </c>
      <c r="J529" s="390">
        <f t="shared" si="204"/>
        <v>0</v>
      </c>
      <c r="K529" s="391">
        <f t="shared" si="218"/>
        <v>0</v>
      </c>
      <c r="L529" s="398">
        <v>0</v>
      </c>
      <c r="M529" s="398">
        <v>0</v>
      </c>
      <c r="N529" s="164">
        <f t="shared" si="197"/>
        <v>0</v>
      </c>
      <c r="O529" s="399">
        <f t="shared" si="205"/>
        <v>0</v>
      </c>
      <c r="P529" s="392">
        <f t="shared" si="219"/>
        <v>1</v>
      </c>
      <c r="Q529" s="164">
        <f t="shared" si="206"/>
        <v>0</v>
      </c>
      <c r="R529" s="164">
        <f t="shared" si="207"/>
        <v>0</v>
      </c>
      <c r="S529" s="164">
        <f t="shared" si="208"/>
        <v>0</v>
      </c>
      <c r="T529" s="164">
        <f t="shared" si="209"/>
        <v>0</v>
      </c>
      <c r="U529" s="164">
        <f t="shared" si="210"/>
        <v>0</v>
      </c>
      <c r="V529" s="393">
        <f t="shared" si="211"/>
        <v>0</v>
      </c>
      <c r="W529" s="393">
        <f t="shared" si="212"/>
        <v>0</v>
      </c>
      <c r="Y529" s="393">
        <f t="shared" si="215"/>
        <v>0</v>
      </c>
      <c r="Z529" s="393">
        <f t="shared" si="216"/>
        <v>0</v>
      </c>
      <c r="AD529" s="395">
        <f>IF(AH529&gt;AH528,AD528,IF(AD528&lt;MiscData!$F$1,EOMONTH(AD528,1),EOMONTH(AD528,-11)))</f>
        <v>41820</v>
      </c>
      <c r="AE529" s="389" t="str">
        <f t="shared" si="213"/>
        <v>20140101ODL</v>
      </c>
      <c r="AF529" s="437" t="str">
        <f t="shared" si="214"/>
        <v>20140101ODL</v>
      </c>
      <c r="AG529" s="438"/>
      <c r="AH529" s="34">
        <f>IF(AH528=MiscData!$AB$91,1,AH528+1)</f>
        <v>88</v>
      </c>
      <c r="AI529" s="34">
        <f>IF(AD529&lt;=MiscData!$B$23,MiscData!$C$23,IF(AD529&lt;=MiscData!$B$24,MiscData!$C$24,MiscData!$C$25))</f>
        <v>20140101</v>
      </c>
      <c r="AK529" s="439" t="str">
        <f>VLOOKUP(AM529,MiscData!$AB$4:$ACB$113,2,FALSE)</f>
        <v>ODL</v>
      </c>
      <c r="AL529" s="439" t="str">
        <f>VLOOKUP(AM529,MiscData!$AB$4:$AE$115,4,FALSE)</f>
        <v>ODL</v>
      </c>
      <c r="AM529" s="34">
        <f>IF(AM528=MiscData!$AB$91,1,AM528+1)</f>
        <v>88</v>
      </c>
    </row>
    <row r="530" spans="1:39">
      <c r="A530" s="389">
        <f t="shared" si="217"/>
        <v>529</v>
      </c>
      <c r="B530" s="395" t="str">
        <f t="shared" si="198"/>
        <v>Jul 2014</v>
      </c>
      <c r="C530" s="396" t="str">
        <f t="shared" si="199"/>
        <v>LS</v>
      </c>
      <c r="D530" s="396" t="str">
        <f t="shared" si="200"/>
        <v>KUUM_300</v>
      </c>
      <c r="E530" s="394">
        <f t="shared" si="201"/>
        <v>0</v>
      </c>
      <c r="F530" s="397">
        <v>0</v>
      </c>
      <c r="G530" s="394">
        <f t="shared" si="202"/>
        <v>0</v>
      </c>
      <c r="H530" s="394">
        <v>0</v>
      </c>
      <c r="I530" s="390">
        <f t="shared" si="203"/>
        <v>22.49</v>
      </c>
      <c r="J530" s="390">
        <f t="shared" si="204"/>
        <v>0.58000000000000185</v>
      </c>
      <c r="K530" s="391">
        <f t="shared" si="218"/>
        <v>0</v>
      </c>
      <c r="L530" s="398">
        <v>0</v>
      </c>
      <c r="M530" s="398">
        <v>0</v>
      </c>
      <c r="N530" s="164">
        <f t="shared" si="197"/>
        <v>0</v>
      </c>
      <c r="O530" s="399">
        <f t="shared" si="205"/>
        <v>0</v>
      </c>
      <c r="P530" s="392">
        <f t="shared" si="219"/>
        <v>1</v>
      </c>
      <c r="Q530" s="164">
        <f t="shared" si="206"/>
        <v>0</v>
      </c>
      <c r="R530" s="164">
        <f t="shared" si="207"/>
        <v>0</v>
      </c>
      <c r="S530" s="164">
        <f t="shared" si="208"/>
        <v>0</v>
      </c>
      <c r="T530" s="164">
        <f t="shared" si="209"/>
        <v>0</v>
      </c>
      <c r="U530" s="164">
        <f t="shared" si="210"/>
        <v>0</v>
      </c>
      <c r="V530" s="393">
        <f t="shared" si="211"/>
        <v>0</v>
      </c>
      <c r="W530" s="393">
        <f t="shared" si="212"/>
        <v>0</v>
      </c>
      <c r="Y530" s="393">
        <f t="shared" si="215"/>
        <v>0</v>
      </c>
      <c r="Z530" s="393">
        <f t="shared" si="216"/>
        <v>0</v>
      </c>
      <c r="AD530" s="395">
        <f>IF(AH530&gt;AH529,AD529,IF(AD529&lt;MiscData!$F$1,EOMONTH(AD529,1),EOMONTH(AD529,-11)))</f>
        <v>41851</v>
      </c>
      <c r="AE530" s="389" t="str">
        <f t="shared" si="213"/>
        <v>20140101KUUM_300</v>
      </c>
      <c r="AF530" s="437" t="str">
        <f t="shared" si="214"/>
        <v>20140101LS</v>
      </c>
      <c r="AG530" s="438"/>
      <c r="AH530" s="34">
        <f>IF(AH529=MiscData!$AB$91,1,AH529+1)</f>
        <v>1</v>
      </c>
      <c r="AI530" s="34">
        <f>IF(AD530&lt;=MiscData!$B$23,MiscData!$C$23,IF(AD530&lt;=MiscData!$B$24,MiscData!$C$24,MiscData!$C$25))</f>
        <v>20140101</v>
      </c>
      <c r="AK530" s="439" t="str">
        <f>VLOOKUP(AM530,MiscData!$AB$4:$ACB$113,2,FALSE)</f>
        <v>KUUM_300</v>
      </c>
      <c r="AL530" s="439" t="str">
        <f>VLOOKUP(AM530,MiscData!$AB$4:$AE$115,4,FALSE)</f>
        <v>LS</v>
      </c>
      <c r="AM530" s="34">
        <f>IF(AM529=MiscData!$AB$91,1,AM529+1)</f>
        <v>1</v>
      </c>
    </row>
    <row r="531" spans="1:39">
      <c r="A531" s="389">
        <f t="shared" si="217"/>
        <v>530</v>
      </c>
      <c r="B531" s="395" t="str">
        <f t="shared" si="198"/>
        <v>Jul 2014</v>
      </c>
      <c r="C531" s="396" t="str">
        <f t="shared" si="199"/>
        <v>LS</v>
      </c>
      <c r="D531" s="396" t="str">
        <f t="shared" si="200"/>
        <v>KUUM_301</v>
      </c>
      <c r="E531" s="394">
        <f t="shared" si="201"/>
        <v>0</v>
      </c>
      <c r="F531" s="397">
        <v>0</v>
      </c>
      <c r="G531" s="394">
        <f t="shared" si="202"/>
        <v>0</v>
      </c>
      <c r="H531" s="394">
        <v>0</v>
      </c>
      <c r="I531" s="390">
        <f t="shared" si="203"/>
        <v>23.5</v>
      </c>
      <c r="J531" s="390">
        <f t="shared" si="204"/>
        <v>1.129999999999999</v>
      </c>
      <c r="K531" s="391">
        <f t="shared" si="218"/>
        <v>0</v>
      </c>
      <c r="L531" s="398">
        <v>0</v>
      </c>
      <c r="M531" s="398">
        <v>0</v>
      </c>
      <c r="N531" s="164">
        <f t="shared" si="197"/>
        <v>0</v>
      </c>
      <c r="O531" s="399">
        <f t="shared" si="205"/>
        <v>0</v>
      </c>
      <c r="P531" s="392">
        <f t="shared" si="219"/>
        <v>1</v>
      </c>
      <c r="Q531" s="164">
        <f t="shared" si="206"/>
        <v>0</v>
      </c>
      <c r="R531" s="164">
        <f t="shared" si="207"/>
        <v>0</v>
      </c>
      <c r="S531" s="164">
        <f t="shared" si="208"/>
        <v>0</v>
      </c>
      <c r="T531" s="164">
        <f t="shared" si="209"/>
        <v>0</v>
      </c>
      <c r="U531" s="164">
        <f t="shared" si="210"/>
        <v>0</v>
      </c>
      <c r="V531" s="393">
        <f t="shared" si="211"/>
        <v>0</v>
      </c>
      <c r="W531" s="393">
        <f t="shared" si="212"/>
        <v>0</v>
      </c>
      <c r="Y531" s="393">
        <f t="shared" si="215"/>
        <v>0</v>
      </c>
      <c r="Z531" s="393">
        <f t="shared" si="216"/>
        <v>0</v>
      </c>
      <c r="AD531" s="395">
        <f>IF(AH531&gt;AH530,AD530,IF(AD530&lt;MiscData!$F$1,EOMONTH(AD530,1),EOMONTH(AD530,-11)))</f>
        <v>41851</v>
      </c>
      <c r="AE531" s="389" t="str">
        <f t="shared" si="213"/>
        <v>20140101KUUM_301</v>
      </c>
      <c r="AF531" s="437" t="str">
        <f t="shared" si="214"/>
        <v>20140101LS</v>
      </c>
      <c r="AG531" s="438"/>
      <c r="AH531" s="34">
        <f>IF(AH530=MiscData!$AB$91,1,AH530+1)</f>
        <v>2</v>
      </c>
      <c r="AI531" s="34">
        <f>IF(AD531&lt;=MiscData!$B$23,MiscData!$C$23,IF(AD531&lt;=MiscData!$B$24,MiscData!$C$24,MiscData!$C$25))</f>
        <v>20140101</v>
      </c>
      <c r="AK531" s="439" t="str">
        <f>VLOOKUP(AM531,MiscData!$AB$4:$ACB$113,2,FALSE)</f>
        <v>KUUM_301</v>
      </c>
      <c r="AL531" s="439" t="str">
        <f>VLOOKUP(AM531,MiscData!$AB$4:$AE$115,4,FALSE)</f>
        <v>LS</v>
      </c>
      <c r="AM531" s="34">
        <f>IF(AM530=MiscData!$AB$91,1,AM530+1)</f>
        <v>2</v>
      </c>
    </row>
    <row r="532" spans="1:39">
      <c r="A532" s="389">
        <f t="shared" si="217"/>
        <v>531</v>
      </c>
      <c r="B532" s="395" t="str">
        <f t="shared" si="198"/>
        <v>Jul 2014</v>
      </c>
      <c r="C532" s="396" t="str">
        <f t="shared" si="199"/>
        <v>LS</v>
      </c>
      <c r="D532" s="396" t="str">
        <f t="shared" si="200"/>
        <v>KUUM_360</v>
      </c>
      <c r="E532" s="394">
        <f t="shared" si="201"/>
        <v>178</v>
      </c>
      <c r="F532" s="397">
        <v>0</v>
      </c>
      <c r="G532" s="394">
        <f t="shared" si="202"/>
        <v>8936</v>
      </c>
      <c r="H532" s="394">
        <v>0</v>
      </c>
      <c r="I532" s="390">
        <f t="shared" si="203"/>
        <v>55.33</v>
      </c>
      <c r="J532" s="390">
        <f t="shared" si="204"/>
        <v>1.75</v>
      </c>
      <c r="K532" s="391">
        <f t="shared" si="218"/>
        <v>9848.74</v>
      </c>
      <c r="L532" s="398">
        <v>0</v>
      </c>
      <c r="M532" s="398">
        <v>0</v>
      </c>
      <c r="N532" s="164">
        <f t="shared" si="197"/>
        <v>9848.74</v>
      </c>
      <c r="O532" s="399">
        <f t="shared" si="205"/>
        <v>9848.74</v>
      </c>
      <c r="P532" s="392">
        <f t="shared" si="219"/>
        <v>1</v>
      </c>
      <c r="Q532" s="164">
        <f t="shared" si="206"/>
        <v>43.96</v>
      </c>
      <c r="R532" s="164">
        <f t="shared" si="207"/>
        <v>0</v>
      </c>
      <c r="S532" s="164">
        <f t="shared" si="208"/>
        <v>296.55</v>
      </c>
      <c r="T532" s="164">
        <f t="shared" si="209"/>
        <v>0</v>
      </c>
      <c r="U532" s="164">
        <f t="shared" si="210"/>
        <v>10189.25</v>
      </c>
      <c r="V532" s="393">
        <f t="shared" si="211"/>
        <v>10189.249999999998</v>
      </c>
      <c r="W532" s="393">
        <f t="shared" si="212"/>
        <v>0</v>
      </c>
      <c r="Y532" s="393">
        <f t="shared" si="215"/>
        <v>311.5</v>
      </c>
      <c r="Z532" s="393">
        <f t="shared" si="216"/>
        <v>9537.24</v>
      </c>
      <c r="AD532" s="395">
        <f>IF(AH532&gt;AH531,AD531,IF(AD531&lt;MiscData!$F$1,EOMONTH(AD531,1),EOMONTH(AD531,-11)))</f>
        <v>41851</v>
      </c>
      <c r="AE532" s="389" t="str">
        <f t="shared" si="213"/>
        <v>20140101KUUM_360</v>
      </c>
      <c r="AF532" s="437" t="str">
        <f t="shared" si="214"/>
        <v>20140101LS</v>
      </c>
      <c r="AG532" s="438"/>
      <c r="AH532" s="34">
        <f>IF(AH531=MiscData!$AB$91,1,AH531+1)</f>
        <v>3</v>
      </c>
      <c r="AI532" s="34">
        <f>IF(AD532&lt;=MiscData!$B$23,MiscData!$C$23,IF(AD532&lt;=MiscData!$B$24,MiscData!$C$24,MiscData!$C$25))</f>
        <v>20140101</v>
      </c>
      <c r="AK532" s="439" t="str">
        <f>VLOOKUP(AM532,MiscData!$AB$4:$ACB$113,2,FALSE)</f>
        <v>KUUM_360</v>
      </c>
      <c r="AL532" s="439" t="str">
        <f>VLOOKUP(AM532,MiscData!$AB$4:$AE$115,4,FALSE)</f>
        <v>LS</v>
      </c>
      <c r="AM532" s="34">
        <f>IF(AM531=MiscData!$AB$91,1,AM531+1)</f>
        <v>3</v>
      </c>
    </row>
    <row r="533" spans="1:39">
      <c r="A533" s="389">
        <f t="shared" si="217"/>
        <v>532</v>
      </c>
      <c r="B533" s="395" t="str">
        <f t="shared" si="198"/>
        <v>Jul 2014</v>
      </c>
      <c r="C533" s="396" t="str">
        <f t="shared" si="199"/>
        <v>LS</v>
      </c>
      <c r="D533" s="396" t="str">
        <f t="shared" si="200"/>
        <v>KUUM_361</v>
      </c>
      <c r="E533" s="394">
        <f t="shared" si="201"/>
        <v>25</v>
      </c>
      <c r="F533" s="397">
        <v>0</v>
      </c>
      <c r="G533" s="394">
        <f t="shared" si="202"/>
        <v>1211</v>
      </c>
      <c r="H533" s="394">
        <v>0</v>
      </c>
      <c r="I533" s="390">
        <f t="shared" si="203"/>
        <v>83.16</v>
      </c>
      <c r="J533" s="390">
        <f t="shared" si="204"/>
        <v>1.75</v>
      </c>
      <c r="K533" s="391">
        <f t="shared" si="218"/>
        <v>2079</v>
      </c>
      <c r="L533" s="398">
        <v>0</v>
      </c>
      <c r="M533" s="398">
        <v>0</v>
      </c>
      <c r="N533" s="164">
        <f t="shared" si="197"/>
        <v>2079</v>
      </c>
      <c r="O533" s="399">
        <f t="shared" si="205"/>
        <v>2079</v>
      </c>
      <c r="P533" s="392">
        <f t="shared" si="219"/>
        <v>1</v>
      </c>
      <c r="Q533" s="164">
        <f t="shared" si="206"/>
        <v>6.01</v>
      </c>
      <c r="R533" s="164">
        <f t="shared" si="207"/>
        <v>0</v>
      </c>
      <c r="S533" s="164">
        <f t="shared" si="208"/>
        <v>62.36</v>
      </c>
      <c r="T533" s="164">
        <f t="shared" si="209"/>
        <v>0</v>
      </c>
      <c r="U533" s="164">
        <f t="shared" si="210"/>
        <v>2147.37</v>
      </c>
      <c r="V533" s="393">
        <f t="shared" si="211"/>
        <v>2147.3700000000003</v>
      </c>
      <c r="W533" s="393">
        <f t="shared" si="212"/>
        <v>0</v>
      </c>
      <c r="Y533" s="393">
        <f t="shared" si="215"/>
        <v>43.75</v>
      </c>
      <c r="Z533" s="393">
        <f t="shared" si="216"/>
        <v>2035.25</v>
      </c>
      <c r="AD533" s="395">
        <f>IF(AH533&gt;AH532,AD532,IF(AD532&lt;MiscData!$F$1,EOMONTH(AD532,1),EOMONTH(AD532,-11)))</f>
        <v>41851</v>
      </c>
      <c r="AE533" s="389" t="str">
        <f t="shared" si="213"/>
        <v>20140101KUUM_361</v>
      </c>
      <c r="AF533" s="437" t="str">
        <f t="shared" si="214"/>
        <v>20140101LS</v>
      </c>
      <c r="AG533" s="438"/>
      <c r="AH533" s="34">
        <f>IF(AH532=MiscData!$AB$91,1,AH532+1)</f>
        <v>4</v>
      </c>
      <c r="AI533" s="34">
        <f>IF(AD533&lt;=MiscData!$B$23,MiscData!$C$23,IF(AD533&lt;=MiscData!$B$24,MiscData!$C$24,MiscData!$C$25))</f>
        <v>20140101</v>
      </c>
      <c r="AK533" s="439" t="str">
        <f>VLOOKUP(AM533,MiscData!$AB$4:$ACB$113,2,FALSE)</f>
        <v>KUUM_361</v>
      </c>
      <c r="AL533" s="439" t="str">
        <f>VLOOKUP(AM533,MiscData!$AB$4:$AE$115,4,FALSE)</f>
        <v>LS</v>
      </c>
      <c r="AM533" s="34">
        <f>IF(AM532=MiscData!$AB$91,1,AM532+1)</f>
        <v>4</v>
      </c>
    </row>
    <row r="534" spans="1:39">
      <c r="A534" s="389">
        <f t="shared" si="217"/>
        <v>533</v>
      </c>
      <c r="B534" s="395" t="str">
        <f t="shared" si="198"/>
        <v>Jul 2014</v>
      </c>
      <c r="C534" s="396" t="str">
        <f t="shared" si="199"/>
        <v>LS</v>
      </c>
      <c r="D534" s="396" t="str">
        <f t="shared" si="200"/>
        <v>KUUM_362</v>
      </c>
      <c r="E534" s="394">
        <f t="shared" si="201"/>
        <v>43</v>
      </c>
      <c r="F534" s="397">
        <v>0</v>
      </c>
      <c r="G534" s="394">
        <f t="shared" si="202"/>
        <v>1727</v>
      </c>
      <c r="H534" s="394">
        <v>0</v>
      </c>
      <c r="I534" s="390">
        <f t="shared" si="203"/>
        <v>59.78</v>
      </c>
      <c r="J534" s="390">
        <f t="shared" si="204"/>
        <v>1.75</v>
      </c>
      <c r="K534" s="391">
        <f t="shared" si="218"/>
        <v>2570.54</v>
      </c>
      <c r="L534" s="398">
        <v>0</v>
      </c>
      <c r="M534" s="398">
        <v>0</v>
      </c>
      <c r="N534" s="164">
        <f t="shared" si="197"/>
        <v>2570.54</v>
      </c>
      <c r="O534" s="399">
        <f t="shared" si="205"/>
        <v>2570.54</v>
      </c>
      <c r="P534" s="392">
        <f t="shared" si="219"/>
        <v>1</v>
      </c>
      <c r="Q534" s="164">
        <f t="shared" si="206"/>
        <v>8.58</v>
      </c>
      <c r="R534" s="164">
        <f t="shared" si="207"/>
        <v>0</v>
      </c>
      <c r="S534" s="164">
        <f t="shared" si="208"/>
        <v>77.12</v>
      </c>
      <c r="T534" s="164">
        <f t="shared" si="209"/>
        <v>0</v>
      </c>
      <c r="U534" s="164">
        <f t="shared" si="210"/>
        <v>2656.24</v>
      </c>
      <c r="V534" s="393">
        <f t="shared" si="211"/>
        <v>2656.24</v>
      </c>
      <c r="W534" s="393">
        <f t="shared" si="212"/>
        <v>0</v>
      </c>
      <c r="Y534" s="393">
        <f t="shared" si="215"/>
        <v>75.25</v>
      </c>
      <c r="Z534" s="393">
        <f t="shared" si="216"/>
        <v>2495.29</v>
      </c>
      <c r="AD534" s="395">
        <f>IF(AH534&gt;AH533,AD533,IF(AD533&lt;MiscData!$F$1,EOMONTH(AD533,1),EOMONTH(AD533,-11)))</f>
        <v>41851</v>
      </c>
      <c r="AE534" s="389" t="str">
        <f t="shared" si="213"/>
        <v>20140101KUUM_362</v>
      </c>
      <c r="AF534" s="437" t="str">
        <f t="shared" si="214"/>
        <v>20140101LS</v>
      </c>
      <c r="AG534" s="438"/>
      <c r="AH534" s="34">
        <f>IF(AH533=MiscData!$AB$91,1,AH533+1)</f>
        <v>5</v>
      </c>
      <c r="AI534" s="34">
        <f>IF(AD534&lt;=MiscData!$B$23,MiscData!$C$23,IF(AD534&lt;=MiscData!$B$24,MiscData!$C$24,MiscData!$C$25))</f>
        <v>20140101</v>
      </c>
      <c r="AK534" s="439" t="str">
        <f>VLOOKUP(AM534,MiscData!$AB$4:$ACB$113,2,FALSE)</f>
        <v>KUUM_362</v>
      </c>
      <c r="AL534" s="439" t="str">
        <f>VLOOKUP(AM534,MiscData!$AB$4:$AE$115,4,FALSE)</f>
        <v>LS</v>
      </c>
      <c r="AM534" s="34">
        <f>IF(AM533=MiscData!$AB$91,1,AM533+1)</f>
        <v>5</v>
      </c>
    </row>
    <row r="535" spans="1:39">
      <c r="A535" s="389">
        <f t="shared" si="217"/>
        <v>534</v>
      </c>
      <c r="B535" s="395" t="str">
        <f t="shared" si="198"/>
        <v>Jul 2014</v>
      </c>
      <c r="C535" s="396" t="str">
        <f t="shared" si="199"/>
        <v>LS</v>
      </c>
      <c r="D535" s="396" t="str">
        <f t="shared" si="200"/>
        <v>KUUM_363</v>
      </c>
      <c r="E535" s="394">
        <f t="shared" si="201"/>
        <v>5</v>
      </c>
      <c r="F535" s="397">
        <v>0</v>
      </c>
      <c r="G535" s="394">
        <f t="shared" si="202"/>
        <v>226</v>
      </c>
      <c r="H535" s="394">
        <v>0</v>
      </c>
      <c r="I535" s="390">
        <f t="shared" si="203"/>
        <v>61.75</v>
      </c>
      <c r="J535" s="390">
        <f t="shared" si="204"/>
        <v>1.75</v>
      </c>
      <c r="K535" s="391">
        <f t="shared" si="218"/>
        <v>308.75</v>
      </c>
      <c r="L535" s="398">
        <v>0</v>
      </c>
      <c r="M535" s="398">
        <v>0</v>
      </c>
      <c r="N535" s="164">
        <f t="shared" si="197"/>
        <v>308.75</v>
      </c>
      <c r="O535" s="399">
        <f t="shared" si="205"/>
        <v>308.75</v>
      </c>
      <c r="P535" s="392">
        <f t="shared" si="219"/>
        <v>1</v>
      </c>
      <c r="Q535" s="164">
        <f t="shared" si="206"/>
        <v>1.1200000000000001</v>
      </c>
      <c r="R535" s="164">
        <f t="shared" si="207"/>
        <v>0</v>
      </c>
      <c r="S535" s="164">
        <f t="shared" si="208"/>
        <v>9.26</v>
      </c>
      <c r="T535" s="164">
        <f t="shared" si="209"/>
        <v>0</v>
      </c>
      <c r="U535" s="164">
        <f t="shared" si="210"/>
        <v>319.13</v>
      </c>
      <c r="V535" s="393">
        <f t="shared" si="211"/>
        <v>319.13</v>
      </c>
      <c r="W535" s="393">
        <f t="shared" si="212"/>
        <v>0</v>
      </c>
      <c r="Y535" s="393">
        <f t="shared" si="215"/>
        <v>8.75</v>
      </c>
      <c r="Z535" s="393">
        <f t="shared" si="216"/>
        <v>300</v>
      </c>
      <c r="AD535" s="395">
        <f>IF(AH535&gt;AH534,AD534,IF(AD534&lt;MiscData!$F$1,EOMONTH(AD534,1),EOMONTH(AD534,-11)))</f>
        <v>41851</v>
      </c>
      <c r="AE535" s="389" t="str">
        <f t="shared" si="213"/>
        <v>20140101KUUM_363</v>
      </c>
      <c r="AF535" s="437" t="str">
        <f t="shared" si="214"/>
        <v>20140101LS</v>
      </c>
      <c r="AG535" s="438"/>
      <c r="AH535" s="34">
        <f>IF(AH534=MiscData!$AB$91,1,AH534+1)</f>
        <v>6</v>
      </c>
      <c r="AI535" s="34">
        <f>IF(AD535&lt;=MiscData!$B$23,MiscData!$C$23,IF(AD535&lt;=MiscData!$B$24,MiscData!$C$24,MiscData!$C$25))</f>
        <v>20140101</v>
      </c>
      <c r="AK535" s="439" t="str">
        <f>VLOOKUP(AM535,MiscData!$AB$4:$ACB$113,2,FALSE)</f>
        <v>KUUM_363</v>
      </c>
      <c r="AL535" s="439" t="str">
        <f>VLOOKUP(AM535,MiscData!$AB$4:$AE$115,4,FALSE)</f>
        <v>LS</v>
      </c>
      <c r="AM535" s="34">
        <f>IF(AM534=MiscData!$AB$91,1,AM534+1)</f>
        <v>6</v>
      </c>
    </row>
    <row r="536" spans="1:39">
      <c r="A536" s="389">
        <f t="shared" si="217"/>
        <v>535</v>
      </c>
      <c r="B536" s="395" t="str">
        <f t="shared" si="198"/>
        <v>Jul 2014</v>
      </c>
      <c r="C536" s="396" t="str">
        <f t="shared" si="199"/>
        <v>LS</v>
      </c>
      <c r="D536" s="396" t="str">
        <f t="shared" si="200"/>
        <v>KUUM_364</v>
      </c>
      <c r="E536" s="394">
        <f t="shared" si="201"/>
        <v>1</v>
      </c>
      <c r="F536" s="397">
        <v>0</v>
      </c>
      <c r="G536" s="394">
        <f t="shared" si="202"/>
        <v>45</v>
      </c>
      <c r="H536" s="394">
        <v>0</v>
      </c>
      <c r="I536" s="390">
        <f t="shared" si="203"/>
        <v>63.11</v>
      </c>
      <c r="J536" s="390">
        <f t="shared" si="204"/>
        <v>1.75</v>
      </c>
      <c r="K536" s="391">
        <f t="shared" si="218"/>
        <v>63.11</v>
      </c>
      <c r="L536" s="398">
        <v>0</v>
      </c>
      <c r="M536" s="398">
        <v>0</v>
      </c>
      <c r="N536" s="164">
        <f t="shared" si="197"/>
        <v>63.11</v>
      </c>
      <c r="O536" s="399">
        <f t="shared" si="205"/>
        <v>63.11</v>
      </c>
      <c r="P536" s="392">
        <f t="shared" si="219"/>
        <v>1</v>
      </c>
      <c r="Q536" s="164">
        <f t="shared" si="206"/>
        <v>0.22</v>
      </c>
      <c r="R536" s="164">
        <f t="shared" si="207"/>
        <v>0</v>
      </c>
      <c r="S536" s="164">
        <f t="shared" si="208"/>
        <v>1.89</v>
      </c>
      <c r="T536" s="164">
        <f t="shared" si="209"/>
        <v>0</v>
      </c>
      <c r="U536" s="164">
        <f t="shared" si="210"/>
        <v>65.22</v>
      </c>
      <c r="V536" s="393">
        <f t="shared" si="211"/>
        <v>65.22</v>
      </c>
      <c r="W536" s="393">
        <f t="shared" si="212"/>
        <v>0</v>
      </c>
      <c r="Y536" s="393">
        <f t="shared" si="215"/>
        <v>1.75</v>
      </c>
      <c r="Z536" s="393">
        <f t="shared" si="216"/>
        <v>61.36</v>
      </c>
      <c r="AD536" s="395">
        <f>IF(AH536&gt;AH535,AD535,IF(AD535&lt;MiscData!$F$1,EOMONTH(AD535,1),EOMONTH(AD535,-11)))</f>
        <v>41851</v>
      </c>
      <c r="AE536" s="389" t="str">
        <f t="shared" si="213"/>
        <v>20140101KUUM_364</v>
      </c>
      <c r="AF536" s="437" t="str">
        <f t="shared" si="214"/>
        <v>20140101LS</v>
      </c>
      <c r="AG536" s="438"/>
      <c r="AH536" s="34">
        <f>IF(AH535=MiscData!$AB$91,1,AH535+1)</f>
        <v>7</v>
      </c>
      <c r="AI536" s="34">
        <f>IF(AD536&lt;=MiscData!$B$23,MiscData!$C$23,IF(AD536&lt;=MiscData!$B$24,MiscData!$C$24,MiscData!$C$25))</f>
        <v>20140101</v>
      </c>
      <c r="AK536" s="439" t="str">
        <f>VLOOKUP(AM536,MiscData!$AB$4:$ACB$113,2,FALSE)</f>
        <v>KUUM_364</v>
      </c>
      <c r="AL536" s="439" t="str">
        <f>VLOOKUP(AM536,MiscData!$AB$4:$AE$115,4,FALSE)</f>
        <v>LS</v>
      </c>
      <c r="AM536" s="34">
        <f>IF(AM535=MiscData!$AB$91,1,AM535+1)</f>
        <v>7</v>
      </c>
    </row>
    <row r="537" spans="1:39">
      <c r="A537" s="389">
        <f t="shared" si="217"/>
        <v>536</v>
      </c>
      <c r="B537" s="395" t="str">
        <f t="shared" si="198"/>
        <v>Jul 2014</v>
      </c>
      <c r="C537" s="396" t="str">
        <f t="shared" si="199"/>
        <v>LS</v>
      </c>
      <c r="D537" s="396" t="str">
        <f t="shared" si="200"/>
        <v>KUUM_365</v>
      </c>
      <c r="E537" s="394">
        <f t="shared" si="201"/>
        <v>5</v>
      </c>
      <c r="F537" s="397">
        <v>0</v>
      </c>
      <c r="G537" s="394">
        <f t="shared" si="202"/>
        <v>232</v>
      </c>
      <c r="H537" s="394">
        <v>0</v>
      </c>
      <c r="I537" s="390">
        <f t="shared" si="203"/>
        <v>80.94</v>
      </c>
      <c r="J537" s="390">
        <f t="shared" si="204"/>
        <v>1.75</v>
      </c>
      <c r="K537" s="391">
        <f t="shared" si="218"/>
        <v>404.7</v>
      </c>
      <c r="L537" s="398">
        <v>0</v>
      </c>
      <c r="M537" s="398">
        <v>0</v>
      </c>
      <c r="N537" s="164">
        <f t="shared" si="197"/>
        <v>404.7</v>
      </c>
      <c r="O537" s="399">
        <f t="shared" si="205"/>
        <v>404.7</v>
      </c>
      <c r="P537" s="392">
        <f t="shared" si="219"/>
        <v>1</v>
      </c>
      <c r="Q537" s="164">
        <f t="shared" si="206"/>
        <v>1.1499999999999999</v>
      </c>
      <c r="R537" s="164">
        <f t="shared" si="207"/>
        <v>0</v>
      </c>
      <c r="S537" s="164">
        <f t="shared" si="208"/>
        <v>12.14</v>
      </c>
      <c r="T537" s="164">
        <f t="shared" si="209"/>
        <v>0</v>
      </c>
      <c r="U537" s="164">
        <f t="shared" si="210"/>
        <v>417.99</v>
      </c>
      <c r="V537" s="393">
        <f t="shared" si="211"/>
        <v>417.98999999999995</v>
      </c>
      <c r="W537" s="393">
        <f t="shared" si="212"/>
        <v>0</v>
      </c>
      <c r="Y537" s="393">
        <f t="shared" si="215"/>
        <v>8.75</v>
      </c>
      <c r="Z537" s="393">
        <f t="shared" si="216"/>
        <v>395.95</v>
      </c>
      <c r="AD537" s="395">
        <f>IF(AH537&gt;AH536,AD536,IF(AD536&lt;MiscData!$F$1,EOMONTH(AD536,1),EOMONTH(AD536,-11)))</f>
        <v>41851</v>
      </c>
      <c r="AE537" s="389" t="str">
        <f t="shared" si="213"/>
        <v>20140101KUUM_365</v>
      </c>
      <c r="AF537" s="437" t="str">
        <f t="shared" si="214"/>
        <v>20140101LS</v>
      </c>
      <c r="AG537" s="438"/>
      <c r="AH537" s="34">
        <f>IF(AH536=MiscData!$AB$91,1,AH536+1)</f>
        <v>8</v>
      </c>
      <c r="AI537" s="34">
        <f>IF(AD537&lt;=MiscData!$B$23,MiscData!$C$23,IF(AD537&lt;=MiscData!$B$24,MiscData!$C$24,MiscData!$C$25))</f>
        <v>20140101</v>
      </c>
      <c r="AK537" s="439" t="str">
        <f>VLOOKUP(AM537,MiscData!$AB$4:$ACB$113,2,FALSE)</f>
        <v>KUUM_365</v>
      </c>
      <c r="AL537" s="439" t="str">
        <f>VLOOKUP(AM537,MiscData!$AB$4:$AE$115,4,FALSE)</f>
        <v>LS</v>
      </c>
      <c r="AM537" s="34">
        <f>IF(AM536=MiscData!$AB$91,1,AM536+1)</f>
        <v>8</v>
      </c>
    </row>
    <row r="538" spans="1:39">
      <c r="A538" s="389">
        <f t="shared" si="217"/>
        <v>537</v>
      </c>
      <c r="B538" s="395" t="str">
        <f t="shared" si="198"/>
        <v>Jul 2014</v>
      </c>
      <c r="C538" s="396" t="str">
        <f t="shared" si="199"/>
        <v>LS</v>
      </c>
      <c r="D538" s="396" t="str">
        <f t="shared" si="200"/>
        <v>KUUM_366</v>
      </c>
      <c r="E538" s="394">
        <f t="shared" si="201"/>
        <v>9</v>
      </c>
      <c r="F538" s="397">
        <v>0</v>
      </c>
      <c r="G538" s="394">
        <f t="shared" si="202"/>
        <v>413</v>
      </c>
      <c r="H538" s="394">
        <v>0</v>
      </c>
      <c r="I538" s="390">
        <f t="shared" si="203"/>
        <v>78.97</v>
      </c>
      <c r="J538" s="390">
        <f t="shared" si="204"/>
        <v>1.75</v>
      </c>
      <c r="K538" s="391">
        <f t="shared" si="218"/>
        <v>710.73</v>
      </c>
      <c r="L538" s="398">
        <v>0</v>
      </c>
      <c r="M538" s="398">
        <v>0</v>
      </c>
      <c r="N538" s="164">
        <f t="shared" si="197"/>
        <v>710.73</v>
      </c>
      <c r="O538" s="399">
        <f t="shared" si="205"/>
        <v>710.73</v>
      </c>
      <c r="P538" s="392">
        <f t="shared" si="219"/>
        <v>1</v>
      </c>
      <c r="Q538" s="164">
        <f t="shared" si="206"/>
        <v>2.0499999999999998</v>
      </c>
      <c r="R538" s="164">
        <f t="shared" si="207"/>
        <v>0</v>
      </c>
      <c r="S538" s="164">
        <f t="shared" si="208"/>
        <v>21.31</v>
      </c>
      <c r="T538" s="164">
        <f t="shared" si="209"/>
        <v>0</v>
      </c>
      <c r="U538" s="164">
        <f t="shared" si="210"/>
        <v>734.09</v>
      </c>
      <c r="V538" s="393">
        <f t="shared" si="211"/>
        <v>734.08999999999992</v>
      </c>
      <c r="W538" s="393">
        <f t="shared" si="212"/>
        <v>0</v>
      </c>
      <c r="Y538" s="393">
        <f t="shared" si="215"/>
        <v>15.75</v>
      </c>
      <c r="Z538" s="393">
        <f t="shared" si="216"/>
        <v>694.98</v>
      </c>
      <c r="AD538" s="395">
        <f>IF(AH538&gt;AH537,AD537,IF(AD537&lt;MiscData!$F$1,EOMONTH(AD537,1),EOMONTH(AD537,-11)))</f>
        <v>41851</v>
      </c>
      <c r="AE538" s="389" t="str">
        <f t="shared" si="213"/>
        <v>20140101KUUM_366</v>
      </c>
      <c r="AF538" s="437" t="str">
        <f t="shared" si="214"/>
        <v>20140101LS</v>
      </c>
      <c r="AG538" s="438"/>
      <c r="AH538" s="34">
        <f>IF(AH537=MiscData!$AB$91,1,AH537+1)</f>
        <v>9</v>
      </c>
      <c r="AI538" s="34">
        <f>IF(AD538&lt;=MiscData!$B$23,MiscData!$C$23,IF(AD538&lt;=MiscData!$B$24,MiscData!$C$24,MiscData!$C$25))</f>
        <v>20140101</v>
      </c>
      <c r="AK538" s="439" t="str">
        <f>VLOOKUP(AM538,MiscData!$AB$4:$ACB$113,2,FALSE)</f>
        <v>KUUM_366</v>
      </c>
      <c r="AL538" s="439" t="str">
        <f>VLOOKUP(AM538,MiscData!$AB$4:$AE$115,4,FALSE)</f>
        <v>LS</v>
      </c>
      <c r="AM538" s="34">
        <f>IF(AM537=MiscData!$AB$91,1,AM537+1)</f>
        <v>9</v>
      </c>
    </row>
    <row r="539" spans="1:39">
      <c r="A539" s="389">
        <f t="shared" si="217"/>
        <v>538</v>
      </c>
      <c r="B539" s="395" t="str">
        <f t="shared" si="198"/>
        <v>Jul 2014</v>
      </c>
      <c r="C539" s="396" t="str">
        <f t="shared" si="199"/>
        <v>LS</v>
      </c>
      <c r="D539" s="396" t="str">
        <f t="shared" si="200"/>
        <v>KUUM_367</v>
      </c>
      <c r="E539" s="394">
        <f t="shared" si="201"/>
        <v>25</v>
      </c>
      <c r="F539" s="397">
        <v>0</v>
      </c>
      <c r="G539" s="394">
        <f t="shared" si="202"/>
        <v>1253</v>
      </c>
      <c r="H539" s="394">
        <v>0</v>
      </c>
      <c r="I539" s="390">
        <f t="shared" si="203"/>
        <v>61.230000000000004</v>
      </c>
      <c r="J539" s="390">
        <f t="shared" si="204"/>
        <v>1.75</v>
      </c>
      <c r="K539" s="391">
        <f t="shared" si="218"/>
        <v>1530.75</v>
      </c>
      <c r="L539" s="398">
        <v>0</v>
      </c>
      <c r="M539" s="398">
        <v>0</v>
      </c>
      <c r="N539" s="164">
        <f t="shared" si="197"/>
        <v>1530.75</v>
      </c>
      <c r="O539" s="399">
        <f t="shared" si="205"/>
        <v>1530.75</v>
      </c>
      <c r="P539" s="392">
        <f t="shared" si="219"/>
        <v>1</v>
      </c>
      <c r="Q539" s="164">
        <f t="shared" si="206"/>
        <v>6.22</v>
      </c>
      <c r="R539" s="164">
        <f t="shared" si="207"/>
        <v>0</v>
      </c>
      <c r="S539" s="164">
        <f t="shared" si="208"/>
        <v>45.96</v>
      </c>
      <c r="T539" s="164">
        <f t="shared" si="209"/>
        <v>0</v>
      </c>
      <c r="U539" s="164">
        <f t="shared" si="210"/>
        <v>1582.93</v>
      </c>
      <c r="V539" s="393">
        <f t="shared" si="211"/>
        <v>1582.93</v>
      </c>
      <c r="W539" s="393">
        <f t="shared" si="212"/>
        <v>0</v>
      </c>
      <c r="Y539" s="393">
        <f t="shared" si="215"/>
        <v>43.75</v>
      </c>
      <c r="Z539" s="393">
        <f t="shared" si="216"/>
        <v>1487</v>
      </c>
      <c r="AD539" s="395">
        <f>IF(AH539&gt;AH538,AD538,IF(AD538&lt;MiscData!$F$1,EOMONTH(AD538,1),EOMONTH(AD538,-11)))</f>
        <v>41851</v>
      </c>
      <c r="AE539" s="389" t="str">
        <f t="shared" si="213"/>
        <v>20140101KUUM_367</v>
      </c>
      <c r="AF539" s="437" t="str">
        <f t="shared" si="214"/>
        <v>20140101LS</v>
      </c>
      <c r="AG539" s="438"/>
      <c r="AH539" s="34">
        <f>IF(AH538=MiscData!$AB$91,1,AH538+1)</f>
        <v>10</v>
      </c>
      <c r="AI539" s="34">
        <f>IF(AD539&lt;=MiscData!$B$23,MiscData!$C$23,IF(AD539&lt;=MiscData!$B$24,MiscData!$C$24,MiscData!$C$25))</f>
        <v>20140101</v>
      </c>
      <c r="AK539" s="439" t="str">
        <f>VLOOKUP(AM539,MiscData!$AB$4:$ACB$113,2,FALSE)</f>
        <v>KUUM_367</v>
      </c>
      <c r="AL539" s="439" t="str">
        <f>VLOOKUP(AM539,MiscData!$AB$4:$AE$115,4,FALSE)</f>
        <v>LS</v>
      </c>
      <c r="AM539" s="34">
        <f>IF(AM538=MiscData!$AB$91,1,AM538+1)</f>
        <v>10</v>
      </c>
    </row>
    <row r="540" spans="1:39">
      <c r="A540" s="389">
        <f t="shared" si="217"/>
        <v>539</v>
      </c>
      <c r="B540" s="395" t="str">
        <f t="shared" si="198"/>
        <v>Jul 2014</v>
      </c>
      <c r="C540" s="396" t="str">
        <f t="shared" si="199"/>
        <v>LS</v>
      </c>
      <c r="D540" s="396" t="str">
        <f t="shared" si="200"/>
        <v>KUUM_368</v>
      </c>
      <c r="E540" s="394">
        <f t="shared" si="201"/>
        <v>1</v>
      </c>
      <c r="F540" s="397">
        <v>0</v>
      </c>
      <c r="G540" s="394">
        <f t="shared" si="202"/>
        <v>45</v>
      </c>
      <c r="H540" s="394">
        <v>0</v>
      </c>
      <c r="I540" s="390">
        <f t="shared" si="203"/>
        <v>56.69</v>
      </c>
      <c r="J540" s="390">
        <f t="shared" si="204"/>
        <v>1.75</v>
      </c>
      <c r="K540" s="391">
        <f t="shared" si="218"/>
        <v>56.69</v>
      </c>
      <c r="L540" s="398">
        <v>0</v>
      </c>
      <c r="M540" s="398">
        <v>0</v>
      </c>
      <c r="N540" s="164">
        <f t="shared" si="197"/>
        <v>56.69</v>
      </c>
      <c r="O540" s="399">
        <f t="shared" si="205"/>
        <v>56.69</v>
      </c>
      <c r="P540" s="392">
        <f t="shared" si="219"/>
        <v>1</v>
      </c>
      <c r="Q540" s="164">
        <f t="shared" si="206"/>
        <v>0.22</v>
      </c>
      <c r="R540" s="164">
        <f t="shared" si="207"/>
        <v>0</v>
      </c>
      <c r="S540" s="164">
        <f t="shared" si="208"/>
        <v>1.7</v>
      </c>
      <c r="T540" s="164">
        <f t="shared" si="209"/>
        <v>0</v>
      </c>
      <c r="U540" s="164">
        <f t="shared" si="210"/>
        <v>58.61</v>
      </c>
      <c r="V540" s="393">
        <f t="shared" si="211"/>
        <v>58.61</v>
      </c>
      <c r="W540" s="393">
        <f t="shared" si="212"/>
        <v>0</v>
      </c>
      <c r="Y540" s="393">
        <f t="shared" si="215"/>
        <v>1.75</v>
      </c>
      <c r="Z540" s="393">
        <f t="shared" si="216"/>
        <v>54.94</v>
      </c>
      <c r="AD540" s="395">
        <f>IF(AH540&gt;AH539,AD539,IF(AD539&lt;MiscData!$F$1,EOMONTH(AD539,1),EOMONTH(AD539,-11)))</f>
        <v>41851</v>
      </c>
      <c r="AE540" s="389" t="str">
        <f t="shared" si="213"/>
        <v>20140101KUUM_368</v>
      </c>
      <c r="AF540" s="437" t="str">
        <f t="shared" si="214"/>
        <v>20140101LS</v>
      </c>
      <c r="AG540" s="438"/>
      <c r="AH540" s="34">
        <f>IF(AH539=MiscData!$AB$91,1,AH539+1)</f>
        <v>11</v>
      </c>
      <c r="AI540" s="34">
        <f>IF(AD540&lt;=MiscData!$B$23,MiscData!$C$23,IF(AD540&lt;=MiscData!$B$24,MiscData!$C$24,MiscData!$C$25))</f>
        <v>20140101</v>
      </c>
      <c r="AK540" s="439" t="str">
        <f>VLOOKUP(AM540,MiscData!$AB$4:$ACB$113,2,FALSE)</f>
        <v>KUUM_368</v>
      </c>
      <c r="AL540" s="439" t="str">
        <f>VLOOKUP(AM540,MiscData!$AB$4:$AE$115,4,FALSE)</f>
        <v>LS</v>
      </c>
      <c r="AM540" s="34">
        <f>IF(AM539=MiscData!$AB$91,1,AM539+1)</f>
        <v>11</v>
      </c>
    </row>
    <row r="541" spans="1:39">
      <c r="A541" s="389">
        <f t="shared" si="217"/>
        <v>540</v>
      </c>
      <c r="B541" s="395" t="str">
        <f t="shared" si="198"/>
        <v>Jul 2014</v>
      </c>
      <c r="C541" s="396" t="str">
        <f t="shared" si="199"/>
        <v>LS</v>
      </c>
      <c r="D541" s="396" t="str">
        <f t="shared" si="200"/>
        <v>KUUM_370</v>
      </c>
      <c r="E541" s="394">
        <f t="shared" si="201"/>
        <v>15</v>
      </c>
      <c r="F541" s="397">
        <v>0</v>
      </c>
      <c r="G541" s="394">
        <f t="shared" si="202"/>
        <v>699</v>
      </c>
      <c r="H541" s="394">
        <v>0</v>
      </c>
      <c r="I541" s="390">
        <f t="shared" si="203"/>
        <v>74.52</v>
      </c>
      <c r="J541" s="390">
        <f t="shared" si="204"/>
        <v>1.75</v>
      </c>
      <c r="K541" s="391">
        <f t="shared" si="218"/>
        <v>1117.8</v>
      </c>
      <c r="L541" s="398">
        <v>0</v>
      </c>
      <c r="M541" s="398">
        <v>0</v>
      </c>
      <c r="N541" s="164">
        <f t="shared" si="197"/>
        <v>1117.8</v>
      </c>
      <c r="O541" s="399">
        <f t="shared" si="205"/>
        <v>1117.8</v>
      </c>
      <c r="P541" s="392">
        <f t="shared" si="219"/>
        <v>1</v>
      </c>
      <c r="Q541" s="164">
        <f t="shared" si="206"/>
        <v>3.25</v>
      </c>
      <c r="R541" s="164">
        <f t="shared" si="207"/>
        <v>0</v>
      </c>
      <c r="S541" s="164">
        <f t="shared" si="208"/>
        <v>34.03</v>
      </c>
      <c r="T541" s="164">
        <f t="shared" si="209"/>
        <v>0</v>
      </c>
      <c r="U541" s="164">
        <f t="shared" si="210"/>
        <v>1155.08</v>
      </c>
      <c r="V541" s="393">
        <f t="shared" si="211"/>
        <v>1155.08</v>
      </c>
      <c r="W541" s="393">
        <f t="shared" si="212"/>
        <v>0</v>
      </c>
      <c r="Y541" s="393">
        <f t="shared" si="215"/>
        <v>26.25</v>
      </c>
      <c r="Z541" s="393">
        <f t="shared" si="216"/>
        <v>1091.55</v>
      </c>
      <c r="AD541" s="395">
        <f>IF(AH541&gt;AH540,AD540,IF(AD540&lt;MiscData!$F$1,EOMONTH(AD540,1),EOMONTH(AD540,-11)))</f>
        <v>41851</v>
      </c>
      <c r="AE541" s="389" t="str">
        <f t="shared" si="213"/>
        <v>20140101KUUM_370</v>
      </c>
      <c r="AF541" s="437" t="str">
        <f t="shared" si="214"/>
        <v>20140101LS</v>
      </c>
      <c r="AG541" s="438"/>
      <c r="AH541" s="34">
        <f>IF(AH540=MiscData!$AB$91,1,AH540+1)</f>
        <v>12</v>
      </c>
      <c r="AI541" s="34">
        <f>IF(AD541&lt;=MiscData!$B$23,MiscData!$C$23,IF(AD541&lt;=MiscData!$B$24,MiscData!$C$24,MiscData!$C$25))</f>
        <v>20140101</v>
      </c>
      <c r="AK541" s="439" t="str">
        <f>VLOOKUP(AM541,MiscData!$AB$4:$ACB$113,2,FALSE)</f>
        <v>KUUM_370</v>
      </c>
      <c r="AL541" s="439" t="str">
        <f>VLOOKUP(AM541,MiscData!$AB$4:$AE$115,4,FALSE)</f>
        <v>LS</v>
      </c>
      <c r="AM541" s="34">
        <f>IF(AM540=MiscData!$AB$91,1,AM540+1)</f>
        <v>12</v>
      </c>
    </row>
    <row r="542" spans="1:39">
      <c r="A542" s="389">
        <f t="shared" si="217"/>
        <v>541</v>
      </c>
      <c r="B542" s="395" t="str">
        <f t="shared" si="198"/>
        <v>Jul 2014</v>
      </c>
      <c r="C542" s="396" t="str">
        <f t="shared" si="199"/>
        <v>LS</v>
      </c>
      <c r="D542" s="396" t="str">
        <f t="shared" si="200"/>
        <v>KUUM_372</v>
      </c>
      <c r="E542" s="394">
        <f t="shared" si="201"/>
        <v>1</v>
      </c>
      <c r="F542" s="397">
        <v>0</v>
      </c>
      <c r="G542" s="394">
        <f t="shared" si="202"/>
        <v>45</v>
      </c>
      <c r="H542" s="394">
        <v>0</v>
      </c>
      <c r="I542" s="390">
        <f t="shared" si="203"/>
        <v>82.3</v>
      </c>
      <c r="J542" s="390">
        <f t="shared" si="204"/>
        <v>1.75</v>
      </c>
      <c r="K542" s="391">
        <f t="shared" si="218"/>
        <v>82.3</v>
      </c>
      <c r="L542" s="398">
        <v>0</v>
      </c>
      <c r="M542" s="398">
        <v>0</v>
      </c>
      <c r="N542" s="164">
        <f t="shared" si="197"/>
        <v>82.3</v>
      </c>
      <c r="O542" s="399">
        <f t="shared" si="205"/>
        <v>82.3</v>
      </c>
      <c r="P542" s="392">
        <f t="shared" si="219"/>
        <v>1</v>
      </c>
      <c r="Q542" s="164">
        <f t="shared" si="206"/>
        <v>0.22</v>
      </c>
      <c r="R542" s="164">
        <f t="shared" si="207"/>
        <v>0</v>
      </c>
      <c r="S542" s="164">
        <f t="shared" si="208"/>
        <v>2.4700000000000002</v>
      </c>
      <c r="T542" s="164">
        <f t="shared" si="209"/>
        <v>0</v>
      </c>
      <c r="U542" s="164">
        <f t="shared" si="210"/>
        <v>84.99</v>
      </c>
      <c r="V542" s="393">
        <f t="shared" si="211"/>
        <v>84.99</v>
      </c>
      <c r="W542" s="393">
        <f t="shared" si="212"/>
        <v>0</v>
      </c>
      <c r="Y542" s="393">
        <f t="shared" si="215"/>
        <v>1.75</v>
      </c>
      <c r="Z542" s="393">
        <f t="shared" si="216"/>
        <v>80.55</v>
      </c>
      <c r="AD542" s="395">
        <f>IF(AH542&gt;AH541,AD541,IF(AD541&lt;MiscData!$F$1,EOMONTH(AD541,1),EOMONTH(AD541,-11)))</f>
        <v>41851</v>
      </c>
      <c r="AE542" s="389" t="str">
        <f t="shared" si="213"/>
        <v>20140101KUUM_372</v>
      </c>
      <c r="AF542" s="437" t="str">
        <f t="shared" si="214"/>
        <v>20140101LS</v>
      </c>
      <c r="AG542" s="438"/>
      <c r="AH542" s="34">
        <f>IF(AH541=MiscData!$AB$91,1,AH541+1)</f>
        <v>13</v>
      </c>
      <c r="AI542" s="34">
        <f>IF(AD542&lt;=MiscData!$B$23,MiscData!$C$23,IF(AD542&lt;=MiscData!$B$24,MiscData!$C$24,MiscData!$C$25))</f>
        <v>20140101</v>
      </c>
      <c r="AK542" s="439" t="str">
        <f>VLOOKUP(AM542,MiscData!$AB$4:$ACB$113,2,FALSE)</f>
        <v>KUUM_372</v>
      </c>
      <c r="AL542" s="439" t="str">
        <f>VLOOKUP(AM542,MiscData!$AB$4:$AE$115,4,FALSE)</f>
        <v>LS</v>
      </c>
      <c r="AM542" s="34">
        <f>IF(AM541=MiscData!$AB$91,1,AM541+1)</f>
        <v>13</v>
      </c>
    </row>
    <row r="543" spans="1:39">
      <c r="A543" s="389">
        <f t="shared" si="217"/>
        <v>542</v>
      </c>
      <c r="B543" s="395" t="str">
        <f t="shared" si="198"/>
        <v>Jul 2014</v>
      </c>
      <c r="C543" s="396" t="str">
        <f t="shared" si="199"/>
        <v>LS</v>
      </c>
      <c r="D543" s="396" t="str">
        <f t="shared" si="200"/>
        <v>KUUM_373</v>
      </c>
      <c r="E543" s="394">
        <f t="shared" si="201"/>
        <v>20</v>
      </c>
      <c r="F543" s="397">
        <v>0</v>
      </c>
      <c r="G543" s="394">
        <f t="shared" si="202"/>
        <v>1021</v>
      </c>
      <c r="H543" s="394">
        <v>0</v>
      </c>
      <c r="I543" s="390">
        <f t="shared" si="203"/>
        <v>74.52</v>
      </c>
      <c r="J543" s="390">
        <f t="shared" si="204"/>
        <v>1.75</v>
      </c>
      <c r="K543" s="391">
        <f t="shared" si="218"/>
        <v>1490.4</v>
      </c>
      <c r="L543" s="398">
        <v>0</v>
      </c>
      <c r="M543" s="398">
        <v>0</v>
      </c>
      <c r="N543" s="164">
        <f t="shared" si="197"/>
        <v>1490.4</v>
      </c>
      <c r="O543" s="399">
        <f t="shared" si="205"/>
        <v>1490.4</v>
      </c>
      <c r="P543" s="392">
        <f t="shared" si="219"/>
        <v>1</v>
      </c>
      <c r="Q543" s="164">
        <f t="shared" si="206"/>
        <v>5.07</v>
      </c>
      <c r="R543" s="164">
        <f t="shared" si="207"/>
        <v>0</v>
      </c>
      <c r="S543" s="164">
        <f t="shared" si="208"/>
        <v>44.71</v>
      </c>
      <c r="T543" s="164">
        <f t="shared" si="209"/>
        <v>0</v>
      </c>
      <c r="U543" s="164">
        <f t="shared" si="210"/>
        <v>1540.18</v>
      </c>
      <c r="V543" s="393">
        <f t="shared" si="211"/>
        <v>1540.18</v>
      </c>
      <c r="W543" s="393">
        <f t="shared" si="212"/>
        <v>0</v>
      </c>
      <c r="Y543" s="393">
        <f t="shared" si="215"/>
        <v>35</v>
      </c>
      <c r="Z543" s="393">
        <f t="shared" si="216"/>
        <v>1455.4</v>
      </c>
      <c r="AD543" s="395">
        <f>IF(AH543&gt;AH542,AD542,IF(AD542&lt;MiscData!$F$1,EOMONTH(AD542,1),EOMONTH(AD542,-11)))</f>
        <v>41851</v>
      </c>
      <c r="AE543" s="389" t="str">
        <f t="shared" si="213"/>
        <v>20140101KUUM_373</v>
      </c>
      <c r="AF543" s="437" t="str">
        <f t="shared" si="214"/>
        <v>20140101LS</v>
      </c>
      <c r="AG543" s="438"/>
      <c r="AH543" s="34">
        <f>IF(AH542=MiscData!$AB$91,1,AH542+1)</f>
        <v>14</v>
      </c>
      <c r="AI543" s="34">
        <f>IF(AD543&lt;=MiscData!$B$23,MiscData!$C$23,IF(AD543&lt;=MiscData!$B$24,MiscData!$C$24,MiscData!$C$25))</f>
        <v>20140101</v>
      </c>
      <c r="AK543" s="439" t="str">
        <f>VLOOKUP(AM543,MiscData!$AB$4:$ACB$113,2,FALSE)</f>
        <v>KUUM_373</v>
      </c>
      <c r="AL543" s="439" t="str">
        <f>VLOOKUP(AM543,MiscData!$AB$4:$AE$115,4,FALSE)</f>
        <v>LS</v>
      </c>
      <c r="AM543" s="34">
        <f>IF(AM542=MiscData!$AB$91,1,AM542+1)</f>
        <v>14</v>
      </c>
    </row>
    <row r="544" spans="1:39">
      <c r="A544" s="389">
        <f t="shared" si="217"/>
        <v>543</v>
      </c>
      <c r="B544" s="395" t="str">
        <f t="shared" si="198"/>
        <v>Jul 2014</v>
      </c>
      <c r="C544" s="396" t="str">
        <f t="shared" si="199"/>
        <v>LS</v>
      </c>
      <c r="D544" s="396" t="str">
        <f t="shared" si="200"/>
        <v>KUUM_374</v>
      </c>
      <c r="E544" s="394">
        <f t="shared" si="201"/>
        <v>4</v>
      </c>
      <c r="F544" s="397">
        <v>0</v>
      </c>
      <c r="G544" s="394">
        <f t="shared" si="202"/>
        <v>193</v>
      </c>
      <c r="H544" s="394">
        <v>2034</v>
      </c>
      <c r="I544" s="390">
        <f t="shared" si="203"/>
        <v>75.88</v>
      </c>
      <c r="J544" s="390">
        <f t="shared" si="204"/>
        <v>1.75</v>
      </c>
      <c r="K544" s="391">
        <f t="shared" si="218"/>
        <v>303.52</v>
      </c>
      <c r="L544" s="398">
        <v>0</v>
      </c>
      <c r="M544" s="398">
        <v>0</v>
      </c>
      <c r="N544" s="164">
        <f t="shared" si="197"/>
        <v>303.52</v>
      </c>
      <c r="O544" s="399">
        <f t="shared" si="205"/>
        <v>303.52</v>
      </c>
      <c r="P544" s="392">
        <f t="shared" si="219"/>
        <v>1</v>
      </c>
      <c r="Q544" s="164">
        <f t="shared" si="206"/>
        <v>0.96</v>
      </c>
      <c r="R544" s="164">
        <f t="shared" si="207"/>
        <v>0</v>
      </c>
      <c r="S544" s="164">
        <f t="shared" si="208"/>
        <v>9.1</v>
      </c>
      <c r="T544" s="164">
        <f t="shared" si="209"/>
        <v>0</v>
      </c>
      <c r="U544" s="164">
        <f t="shared" si="210"/>
        <v>313.58</v>
      </c>
      <c r="V544" s="393">
        <f t="shared" si="211"/>
        <v>313.58</v>
      </c>
      <c r="W544" s="393">
        <f t="shared" si="212"/>
        <v>0</v>
      </c>
      <c r="Y544" s="393">
        <f t="shared" si="215"/>
        <v>7</v>
      </c>
      <c r="Z544" s="393">
        <f t="shared" si="216"/>
        <v>296.52</v>
      </c>
      <c r="AD544" s="395">
        <f>IF(AH544&gt;AH543,AD543,IF(AD543&lt;MiscData!$F$1,EOMONTH(AD543,1),EOMONTH(AD543,-11)))</f>
        <v>41851</v>
      </c>
      <c r="AE544" s="389" t="str">
        <f t="shared" si="213"/>
        <v>20140101KUUM_374</v>
      </c>
      <c r="AF544" s="437" t="str">
        <f t="shared" si="214"/>
        <v>20140101LS</v>
      </c>
      <c r="AG544" s="438"/>
      <c r="AH544" s="34">
        <f>IF(AH543=MiscData!$AB$91,1,AH543+1)</f>
        <v>15</v>
      </c>
      <c r="AI544" s="34">
        <f>IF(AD544&lt;=MiscData!$B$23,MiscData!$C$23,IF(AD544&lt;=MiscData!$B$24,MiscData!$C$24,MiscData!$C$25))</f>
        <v>20140101</v>
      </c>
      <c r="AK544" s="439" t="str">
        <f>VLOOKUP(AM544,MiscData!$AB$4:$ACB$113,2,FALSE)</f>
        <v>KUUM_374</v>
      </c>
      <c r="AL544" s="439" t="str">
        <f>VLOOKUP(AM544,MiscData!$AB$4:$AE$115,4,FALSE)</f>
        <v>LS</v>
      </c>
      <c r="AM544" s="34">
        <f>IF(AM543=MiscData!$AB$91,1,AM543+1)</f>
        <v>15</v>
      </c>
    </row>
    <row r="545" spans="1:39">
      <c r="A545" s="389">
        <f t="shared" si="217"/>
        <v>544</v>
      </c>
      <c r="B545" s="395" t="str">
        <f t="shared" si="198"/>
        <v>Jul 2014</v>
      </c>
      <c r="C545" s="396" t="str">
        <f t="shared" si="199"/>
        <v>LS</v>
      </c>
      <c r="D545" s="396" t="str">
        <f t="shared" si="200"/>
        <v>KUUM_375</v>
      </c>
      <c r="E545" s="394">
        <f t="shared" si="201"/>
        <v>3</v>
      </c>
      <c r="F545" s="397">
        <v>0</v>
      </c>
      <c r="G545" s="394">
        <f t="shared" si="202"/>
        <v>153</v>
      </c>
      <c r="H545" s="394">
        <v>0</v>
      </c>
      <c r="I545" s="390">
        <f t="shared" si="203"/>
        <v>78.97</v>
      </c>
      <c r="J545" s="390">
        <f t="shared" si="204"/>
        <v>1.75</v>
      </c>
      <c r="K545" s="391">
        <f t="shared" si="218"/>
        <v>236.91</v>
      </c>
      <c r="L545" s="398">
        <v>0</v>
      </c>
      <c r="M545" s="398">
        <v>0</v>
      </c>
      <c r="N545" s="164">
        <f t="shared" si="197"/>
        <v>236.91</v>
      </c>
      <c r="O545" s="399">
        <f t="shared" si="205"/>
        <v>236.91</v>
      </c>
      <c r="P545" s="392">
        <f t="shared" si="219"/>
        <v>1</v>
      </c>
      <c r="Q545" s="164">
        <f t="shared" si="206"/>
        <v>0.76</v>
      </c>
      <c r="R545" s="164">
        <f t="shared" si="207"/>
        <v>0</v>
      </c>
      <c r="S545" s="164">
        <f t="shared" si="208"/>
        <v>7.11</v>
      </c>
      <c r="T545" s="164">
        <f t="shared" si="209"/>
        <v>0</v>
      </c>
      <c r="U545" s="164">
        <f t="shared" si="210"/>
        <v>244.78</v>
      </c>
      <c r="V545" s="393">
        <f t="shared" si="211"/>
        <v>244.78</v>
      </c>
      <c r="W545" s="393">
        <f t="shared" si="212"/>
        <v>0</v>
      </c>
      <c r="Y545" s="393">
        <f t="shared" si="215"/>
        <v>5.25</v>
      </c>
      <c r="Z545" s="393">
        <f t="shared" si="216"/>
        <v>231.66</v>
      </c>
      <c r="AD545" s="395">
        <f>IF(AH545&gt;AH544,AD544,IF(AD544&lt;MiscData!$F$1,EOMONTH(AD544,1),EOMONTH(AD544,-11)))</f>
        <v>41851</v>
      </c>
      <c r="AE545" s="389" t="str">
        <f t="shared" si="213"/>
        <v>20140101KUUM_375</v>
      </c>
      <c r="AF545" s="437" t="str">
        <f t="shared" si="214"/>
        <v>20140101LS</v>
      </c>
      <c r="AG545" s="438"/>
      <c r="AH545" s="34">
        <f>IF(AH544=MiscData!$AB$91,1,AH544+1)</f>
        <v>16</v>
      </c>
      <c r="AI545" s="34">
        <f>IF(AD545&lt;=MiscData!$B$23,MiscData!$C$23,IF(AD545&lt;=MiscData!$B$24,MiscData!$C$24,MiscData!$C$25))</f>
        <v>20140101</v>
      </c>
      <c r="AK545" s="439" t="str">
        <f>VLOOKUP(AM545,MiscData!$AB$4:$ACB$113,2,FALSE)</f>
        <v>KUUM_375</v>
      </c>
      <c r="AL545" s="439" t="str">
        <f>VLOOKUP(AM545,MiscData!$AB$4:$AE$115,4,FALSE)</f>
        <v>LS</v>
      </c>
      <c r="AM545" s="34">
        <f>IF(AM544=MiscData!$AB$91,1,AM544+1)</f>
        <v>16</v>
      </c>
    </row>
    <row r="546" spans="1:39">
      <c r="A546" s="389">
        <f t="shared" si="217"/>
        <v>545</v>
      </c>
      <c r="B546" s="395" t="str">
        <f t="shared" si="198"/>
        <v>Jul 2014</v>
      </c>
      <c r="C546" s="396" t="str">
        <f t="shared" si="199"/>
        <v>LS</v>
      </c>
      <c r="D546" s="396" t="str">
        <f t="shared" si="200"/>
        <v>KUUM_376</v>
      </c>
      <c r="E546" s="394">
        <f t="shared" si="201"/>
        <v>2</v>
      </c>
      <c r="F546" s="397">
        <v>0</v>
      </c>
      <c r="G546" s="394">
        <f t="shared" si="202"/>
        <v>102</v>
      </c>
      <c r="H546" s="394">
        <v>0</v>
      </c>
      <c r="I546" s="390">
        <f t="shared" si="203"/>
        <v>77.259999999999991</v>
      </c>
      <c r="J546" s="390">
        <f t="shared" si="204"/>
        <v>1.75</v>
      </c>
      <c r="K546" s="391">
        <f t="shared" si="218"/>
        <v>154.52000000000001</v>
      </c>
      <c r="L546" s="398">
        <v>0</v>
      </c>
      <c r="M546" s="398">
        <v>0</v>
      </c>
      <c r="N546" s="164">
        <f t="shared" si="197"/>
        <v>154.52000000000001</v>
      </c>
      <c r="O546" s="399">
        <f t="shared" si="205"/>
        <v>154.51999999999998</v>
      </c>
      <c r="P546" s="392">
        <f t="shared" si="219"/>
        <v>1</v>
      </c>
      <c r="Q546" s="164">
        <f t="shared" si="206"/>
        <v>0.51</v>
      </c>
      <c r="R546" s="164">
        <f t="shared" si="207"/>
        <v>0</v>
      </c>
      <c r="S546" s="164">
        <f t="shared" si="208"/>
        <v>4.6399999999999997</v>
      </c>
      <c r="T546" s="164">
        <f t="shared" si="209"/>
        <v>0</v>
      </c>
      <c r="U546" s="164">
        <f t="shared" si="210"/>
        <v>159.66999999999999</v>
      </c>
      <c r="V546" s="393">
        <f t="shared" si="211"/>
        <v>159.66999999999999</v>
      </c>
      <c r="W546" s="393">
        <f t="shared" si="212"/>
        <v>0</v>
      </c>
      <c r="Y546" s="393">
        <f t="shared" si="215"/>
        <v>3.5</v>
      </c>
      <c r="Z546" s="393">
        <f t="shared" si="216"/>
        <v>151.01999999999998</v>
      </c>
      <c r="AD546" s="395">
        <f>IF(AH546&gt;AH545,AD545,IF(AD545&lt;MiscData!$F$1,EOMONTH(AD545,1),EOMONTH(AD545,-11)))</f>
        <v>41851</v>
      </c>
      <c r="AE546" s="389" t="str">
        <f t="shared" si="213"/>
        <v>20140101KUUM_376</v>
      </c>
      <c r="AF546" s="437" t="str">
        <f t="shared" si="214"/>
        <v>20140101LS</v>
      </c>
      <c r="AG546" s="438"/>
      <c r="AH546" s="34">
        <f>IF(AH545=MiscData!$AB$91,1,AH545+1)</f>
        <v>17</v>
      </c>
      <c r="AI546" s="34">
        <f>IF(AD546&lt;=MiscData!$B$23,MiscData!$C$23,IF(AD546&lt;=MiscData!$B$24,MiscData!$C$24,MiscData!$C$25))</f>
        <v>20140101</v>
      </c>
      <c r="AK546" s="439" t="str">
        <f>VLOOKUP(AM546,MiscData!$AB$4:$ACB$113,2,FALSE)</f>
        <v>KUUM_376</v>
      </c>
      <c r="AL546" s="439" t="str">
        <f>VLOOKUP(AM546,MiscData!$AB$4:$AE$115,4,FALSE)</f>
        <v>LS</v>
      </c>
      <c r="AM546" s="34">
        <f>IF(AM545=MiscData!$AB$91,1,AM545+1)</f>
        <v>17</v>
      </c>
    </row>
    <row r="547" spans="1:39">
      <c r="A547" s="389">
        <f t="shared" si="217"/>
        <v>546</v>
      </c>
      <c r="B547" s="395" t="str">
        <f t="shared" si="198"/>
        <v>Jul 2014</v>
      </c>
      <c r="C547" s="396" t="str">
        <f t="shared" si="199"/>
        <v>LS</v>
      </c>
      <c r="D547" s="396" t="str">
        <f t="shared" si="200"/>
        <v>KUUM_377</v>
      </c>
      <c r="E547" s="394">
        <f t="shared" si="201"/>
        <v>51</v>
      </c>
      <c r="F547" s="397">
        <v>0</v>
      </c>
      <c r="G547" s="394">
        <f t="shared" si="202"/>
        <v>2546</v>
      </c>
      <c r="H547" s="394">
        <v>0</v>
      </c>
      <c r="I547" s="390">
        <f t="shared" si="203"/>
        <v>64.19</v>
      </c>
      <c r="J547" s="390">
        <f t="shared" si="204"/>
        <v>1.75</v>
      </c>
      <c r="K547" s="391">
        <f t="shared" si="218"/>
        <v>3273.69</v>
      </c>
      <c r="L547" s="398">
        <v>0</v>
      </c>
      <c r="M547" s="398">
        <v>0</v>
      </c>
      <c r="N547" s="164">
        <f t="shared" si="197"/>
        <v>3273.69</v>
      </c>
      <c r="O547" s="399">
        <f t="shared" si="205"/>
        <v>3273.69</v>
      </c>
      <c r="P547" s="392">
        <f t="shared" si="219"/>
        <v>1</v>
      </c>
      <c r="Q547" s="164">
        <f t="shared" si="206"/>
        <v>12.64</v>
      </c>
      <c r="R547" s="164">
        <f t="shared" si="207"/>
        <v>0</v>
      </c>
      <c r="S547" s="164">
        <f t="shared" si="208"/>
        <v>98.26</v>
      </c>
      <c r="T547" s="164">
        <f t="shared" si="209"/>
        <v>0</v>
      </c>
      <c r="U547" s="164">
        <f t="shared" si="210"/>
        <v>3384.59</v>
      </c>
      <c r="V547" s="393">
        <f t="shared" si="211"/>
        <v>3384.59</v>
      </c>
      <c r="W547" s="393">
        <f t="shared" si="212"/>
        <v>0</v>
      </c>
      <c r="Y547" s="393">
        <f t="shared" si="215"/>
        <v>89.25</v>
      </c>
      <c r="Z547" s="393">
        <f t="shared" si="216"/>
        <v>3184.44</v>
      </c>
      <c r="AD547" s="395">
        <f>IF(AH547&gt;AH546,AD546,IF(AD546&lt;MiscData!$F$1,EOMONTH(AD546,1),EOMONTH(AD546,-11)))</f>
        <v>41851</v>
      </c>
      <c r="AE547" s="389" t="str">
        <f t="shared" si="213"/>
        <v>20140101KUUM_377</v>
      </c>
      <c r="AF547" s="437" t="str">
        <f t="shared" si="214"/>
        <v>20140101LS</v>
      </c>
      <c r="AG547" s="438"/>
      <c r="AH547" s="34">
        <f>IF(AH546=MiscData!$AB$91,1,AH546+1)</f>
        <v>18</v>
      </c>
      <c r="AI547" s="34">
        <f>IF(AD547&lt;=MiscData!$B$23,MiscData!$C$23,IF(AD547&lt;=MiscData!$B$24,MiscData!$C$24,MiscData!$C$25))</f>
        <v>20140101</v>
      </c>
      <c r="AK547" s="439" t="str">
        <f>VLOOKUP(AM547,MiscData!$AB$4:$ACB$113,2,FALSE)</f>
        <v>KUUM_377</v>
      </c>
      <c r="AL547" s="439" t="str">
        <f>VLOOKUP(AM547,MiscData!$AB$4:$AE$115,4,FALSE)</f>
        <v>LS</v>
      </c>
      <c r="AM547" s="34">
        <f>IF(AM546=MiscData!$AB$91,1,AM546+1)</f>
        <v>18</v>
      </c>
    </row>
    <row r="548" spans="1:39">
      <c r="A548" s="389">
        <f t="shared" si="217"/>
        <v>547</v>
      </c>
      <c r="B548" s="395" t="str">
        <f t="shared" si="198"/>
        <v>Jul 2014</v>
      </c>
      <c r="C548" s="396" t="str">
        <f t="shared" si="199"/>
        <v>LS</v>
      </c>
      <c r="D548" s="396" t="str">
        <f t="shared" si="200"/>
        <v>KUUM_378</v>
      </c>
      <c r="E548" s="394">
        <f t="shared" si="201"/>
        <v>2</v>
      </c>
      <c r="F548" s="397">
        <v>0</v>
      </c>
      <c r="G548" s="394">
        <f t="shared" si="202"/>
        <v>101</v>
      </c>
      <c r="H548" s="394">
        <v>0</v>
      </c>
      <c r="I548" s="390">
        <f t="shared" si="203"/>
        <v>75.899999999999991</v>
      </c>
      <c r="J548" s="390">
        <f t="shared" si="204"/>
        <v>1.75</v>
      </c>
      <c r="K548" s="391">
        <f t="shared" si="218"/>
        <v>151.80000000000001</v>
      </c>
      <c r="L548" s="398">
        <v>0</v>
      </c>
      <c r="M548" s="398">
        <v>0</v>
      </c>
      <c r="N548" s="164">
        <f t="shared" si="197"/>
        <v>151.80000000000001</v>
      </c>
      <c r="O548" s="399">
        <f t="shared" si="205"/>
        <v>151.79999999999998</v>
      </c>
      <c r="P548" s="392">
        <f t="shared" si="219"/>
        <v>1</v>
      </c>
      <c r="Q548" s="164">
        <f t="shared" si="206"/>
        <v>0.5</v>
      </c>
      <c r="R548" s="164">
        <f t="shared" si="207"/>
        <v>0</v>
      </c>
      <c r="S548" s="164">
        <f t="shared" si="208"/>
        <v>4.55</v>
      </c>
      <c r="T548" s="164">
        <f t="shared" si="209"/>
        <v>0</v>
      </c>
      <c r="U548" s="164">
        <f t="shared" si="210"/>
        <v>156.85</v>
      </c>
      <c r="V548" s="393">
        <f t="shared" si="211"/>
        <v>156.85000000000002</v>
      </c>
      <c r="W548" s="393">
        <f t="shared" si="212"/>
        <v>0</v>
      </c>
      <c r="Y548" s="393">
        <f t="shared" si="215"/>
        <v>3.5</v>
      </c>
      <c r="Z548" s="393">
        <f t="shared" si="216"/>
        <v>148.29999999999998</v>
      </c>
      <c r="AD548" s="395">
        <f>IF(AH548&gt;AH547,AD547,IF(AD547&lt;MiscData!$F$1,EOMONTH(AD547,1),EOMONTH(AD547,-11)))</f>
        <v>41851</v>
      </c>
      <c r="AE548" s="389" t="str">
        <f t="shared" si="213"/>
        <v>20140101KUUM_378</v>
      </c>
      <c r="AF548" s="437" t="str">
        <f t="shared" si="214"/>
        <v>20140101LS</v>
      </c>
      <c r="AG548" s="438"/>
      <c r="AH548" s="34">
        <f>IF(AH547=MiscData!$AB$91,1,AH547+1)</f>
        <v>19</v>
      </c>
      <c r="AI548" s="34">
        <f>IF(AD548&lt;=MiscData!$B$23,MiscData!$C$23,IF(AD548&lt;=MiscData!$B$24,MiscData!$C$24,MiscData!$C$25))</f>
        <v>20140101</v>
      </c>
      <c r="AK548" s="439" t="str">
        <f>VLOOKUP(AM548,MiscData!$AB$4:$ACB$113,2,FALSE)</f>
        <v>KUUM_378</v>
      </c>
      <c r="AL548" s="439" t="str">
        <f>VLOOKUP(AM548,MiscData!$AB$4:$AE$115,4,FALSE)</f>
        <v>LS</v>
      </c>
      <c r="AM548" s="34">
        <f>IF(AM547=MiscData!$AB$91,1,AM547+1)</f>
        <v>19</v>
      </c>
    </row>
    <row r="549" spans="1:39">
      <c r="A549" s="389">
        <f t="shared" si="217"/>
        <v>548</v>
      </c>
      <c r="B549" s="395" t="str">
        <f t="shared" si="198"/>
        <v>Jul 2014</v>
      </c>
      <c r="C549" s="396" t="str">
        <f t="shared" si="199"/>
        <v>LS</v>
      </c>
      <c r="D549" s="396" t="str">
        <f t="shared" si="200"/>
        <v>KUUM_401</v>
      </c>
      <c r="E549" s="394">
        <f t="shared" si="201"/>
        <v>52</v>
      </c>
      <c r="F549" s="397">
        <v>0</v>
      </c>
      <c r="G549" s="394">
        <f t="shared" si="202"/>
        <v>1130</v>
      </c>
      <c r="H549" s="394">
        <v>0</v>
      </c>
      <c r="I549" s="390">
        <f t="shared" si="203"/>
        <v>14.860000000000001</v>
      </c>
      <c r="J549" s="390">
        <f t="shared" si="204"/>
        <v>0.80000000000000071</v>
      </c>
      <c r="K549" s="391">
        <f t="shared" si="218"/>
        <v>772.72</v>
      </c>
      <c r="L549" s="398">
        <v>0</v>
      </c>
      <c r="M549" s="398">
        <v>0</v>
      </c>
      <c r="N549" s="164">
        <f t="shared" si="197"/>
        <v>772.72</v>
      </c>
      <c r="O549" s="399">
        <f t="shared" si="205"/>
        <v>772.72</v>
      </c>
      <c r="P549" s="392">
        <f t="shared" si="219"/>
        <v>1</v>
      </c>
      <c r="Q549" s="164">
        <f t="shared" si="206"/>
        <v>3.5</v>
      </c>
      <c r="R549" s="164">
        <f t="shared" si="207"/>
        <v>0</v>
      </c>
      <c r="S549" s="164">
        <f t="shared" si="208"/>
        <v>25.22</v>
      </c>
      <c r="T549" s="164">
        <f t="shared" si="209"/>
        <v>0</v>
      </c>
      <c r="U549" s="164">
        <f t="shared" si="210"/>
        <v>801.44</v>
      </c>
      <c r="V549" s="393">
        <f t="shared" si="211"/>
        <v>801.44</v>
      </c>
      <c r="W549" s="393">
        <f t="shared" si="212"/>
        <v>0</v>
      </c>
      <c r="Y549" s="393">
        <f t="shared" si="215"/>
        <v>41.6</v>
      </c>
      <c r="Z549" s="393">
        <f t="shared" si="216"/>
        <v>731.12</v>
      </c>
      <c r="AD549" s="395">
        <f>IF(AH549&gt;AH548,AD548,IF(AD548&lt;MiscData!$F$1,EOMONTH(AD548,1),EOMONTH(AD548,-11)))</f>
        <v>41851</v>
      </c>
      <c r="AE549" s="389" t="str">
        <f t="shared" si="213"/>
        <v>20140101KUUM_401</v>
      </c>
      <c r="AF549" s="437" t="str">
        <f t="shared" si="214"/>
        <v>20140101LS</v>
      </c>
      <c r="AG549" s="438"/>
      <c r="AH549" s="34">
        <f>IF(AH548=MiscData!$AB$91,1,AH548+1)</f>
        <v>20</v>
      </c>
      <c r="AI549" s="34">
        <f>IF(AD549&lt;=MiscData!$B$23,MiscData!$C$23,IF(AD549&lt;=MiscData!$B$24,MiscData!$C$24,MiscData!$C$25))</f>
        <v>20140101</v>
      </c>
      <c r="AK549" s="439" t="str">
        <f>VLOOKUP(AM549,MiscData!$AB$4:$ACB$113,2,FALSE)</f>
        <v>KUUM_401</v>
      </c>
      <c r="AL549" s="439" t="str">
        <f>VLOOKUP(AM549,MiscData!$AB$4:$AE$115,4,FALSE)</f>
        <v>LS</v>
      </c>
      <c r="AM549" s="34">
        <f>IF(AM548=MiscData!$AB$91,1,AM548+1)</f>
        <v>20</v>
      </c>
    </row>
    <row r="550" spans="1:39">
      <c r="A550" s="389">
        <f t="shared" si="217"/>
        <v>549</v>
      </c>
      <c r="B550" s="395" t="str">
        <f t="shared" si="198"/>
        <v>Jul 2014</v>
      </c>
      <c r="C550" s="396" t="str">
        <f t="shared" si="199"/>
        <v>RLS</v>
      </c>
      <c r="D550" s="396" t="str">
        <f t="shared" si="200"/>
        <v>KUUM_404</v>
      </c>
      <c r="E550" s="394">
        <f t="shared" si="201"/>
        <v>7087</v>
      </c>
      <c r="F550" s="397">
        <v>29</v>
      </c>
      <c r="G550" s="394">
        <f t="shared" si="202"/>
        <v>386380</v>
      </c>
      <c r="H550" s="394">
        <v>0</v>
      </c>
      <c r="I550" s="390">
        <f t="shared" si="203"/>
        <v>10.570000000000002</v>
      </c>
      <c r="J550" s="390">
        <f t="shared" si="204"/>
        <v>1.9900000000000002</v>
      </c>
      <c r="K550" s="391">
        <f t="shared" si="218"/>
        <v>75216.12</v>
      </c>
      <c r="L550" s="398">
        <v>-868.47</v>
      </c>
      <c r="M550" s="398">
        <v>0</v>
      </c>
      <c r="N550" s="164">
        <f t="shared" si="197"/>
        <v>74347.649999999994</v>
      </c>
      <c r="O550" s="399">
        <f t="shared" si="205"/>
        <v>74347.649999999994</v>
      </c>
      <c r="P550" s="392">
        <f t="shared" si="219"/>
        <v>1</v>
      </c>
      <c r="Q550" s="164">
        <f t="shared" si="206"/>
        <v>1021.22</v>
      </c>
      <c r="R550" s="164">
        <f t="shared" si="207"/>
        <v>0</v>
      </c>
      <c r="S550" s="164">
        <f t="shared" si="208"/>
        <v>2521.35</v>
      </c>
      <c r="T550" s="164">
        <f t="shared" si="209"/>
        <v>0</v>
      </c>
      <c r="U550" s="164">
        <f t="shared" si="210"/>
        <v>77890.22</v>
      </c>
      <c r="V550" s="393">
        <f t="shared" si="211"/>
        <v>77890.22</v>
      </c>
      <c r="W550" s="393">
        <f t="shared" si="212"/>
        <v>0</v>
      </c>
      <c r="Y550" s="393">
        <f t="shared" si="215"/>
        <v>14103.13</v>
      </c>
      <c r="Z550" s="393">
        <f t="shared" si="216"/>
        <v>60244.52</v>
      </c>
      <c r="AD550" s="395">
        <f>IF(AH550&gt;AH549,AD549,IF(AD549&lt;MiscData!$F$1,EOMONTH(AD549,1),EOMONTH(AD549,-11)))</f>
        <v>41851</v>
      </c>
      <c r="AE550" s="389" t="str">
        <f t="shared" si="213"/>
        <v>20140101KUUM_404</v>
      </c>
      <c r="AF550" s="437" t="str">
        <f t="shared" si="214"/>
        <v>20140101RLS</v>
      </c>
      <c r="AG550" s="438"/>
      <c r="AH550" s="34">
        <f>IF(AH549=MiscData!$AB$91,1,AH549+1)</f>
        <v>21</v>
      </c>
      <c r="AI550" s="34">
        <f>IF(AD550&lt;=MiscData!$B$23,MiscData!$C$23,IF(AD550&lt;=MiscData!$B$24,MiscData!$C$24,MiscData!$C$25))</f>
        <v>20140101</v>
      </c>
      <c r="AK550" s="439" t="str">
        <f>VLOOKUP(AM550,MiscData!$AB$4:$ACB$113,2,FALSE)</f>
        <v>KUUM_404</v>
      </c>
      <c r="AL550" s="439" t="str">
        <f>VLOOKUP(AM550,MiscData!$AB$4:$AE$115,4,FALSE)</f>
        <v>RLS</v>
      </c>
      <c r="AM550" s="34">
        <f>IF(AM549=MiscData!$AB$91,1,AM549+1)</f>
        <v>21</v>
      </c>
    </row>
    <row r="551" spans="1:39">
      <c r="A551" s="389">
        <f t="shared" si="217"/>
        <v>550</v>
      </c>
      <c r="B551" s="395" t="str">
        <f t="shared" si="198"/>
        <v>Jul 2014</v>
      </c>
      <c r="C551" s="396" t="str">
        <f t="shared" si="199"/>
        <v>RLS</v>
      </c>
      <c r="D551" s="396" t="str">
        <f t="shared" si="200"/>
        <v>KUUM_405</v>
      </c>
      <c r="E551" s="394">
        <f t="shared" si="201"/>
        <v>0</v>
      </c>
      <c r="F551" s="397">
        <v>0</v>
      </c>
      <c r="G551" s="394">
        <f t="shared" si="202"/>
        <v>0</v>
      </c>
      <c r="H551" s="394">
        <v>0</v>
      </c>
      <c r="I551" s="390">
        <f t="shared" si="203"/>
        <v>0</v>
      </c>
      <c r="J551" s="390">
        <f t="shared" si="204"/>
        <v>0</v>
      </c>
      <c r="K551" s="391">
        <f t="shared" si="218"/>
        <v>0</v>
      </c>
      <c r="L551" s="398">
        <v>0</v>
      </c>
      <c r="M551" s="398">
        <v>0</v>
      </c>
      <c r="N551" s="164">
        <f t="shared" si="197"/>
        <v>0</v>
      </c>
      <c r="O551" s="399">
        <f t="shared" si="205"/>
        <v>0</v>
      </c>
      <c r="P551" s="392">
        <f t="shared" si="219"/>
        <v>1</v>
      </c>
      <c r="Q551" s="164">
        <f t="shared" si="206"/>
        <v>0</v>
      </c>
      <c r="R551" s="164">
        <f t="shared" si="207"/>
        <v>0</v>
      </c>
      <c r="S551" s="164">
        <f t="shared" si="208"/>
        <v>0</v>
      </c>
      <c r="T551" s="164">
        <f t="shared" si="209"/>
        <v>0</v>
      </c>
      <c r="U551" s="164">
        <f t="shared" si="210"/>
        <v>0</v>
      </c>
      <c r="V551" s="393">
        <f t="shared" si="211"/>
        <v>0</v>
      </c>
      <c r="W551" s="393">
        <f t="shared" si="212"/>
        <v>0</v>
      </c>
      <c r="Y551" s="393">
        <f t="shared" si="215"/>
        <v>0</v>
      </c>
      <c r="Z551" s="393">
        <f t="shared" si="216"/>
        <v>0</v>
      </c>
      <c r="AD551" s="395">
        <f>IF(AH551&gt;AH550,AD550,IF(AD550&lt;MiscData!$F$1,EOMONTH(AD550,1),EOMONTH(AD550,-11)))</f>
        <v>41851</v>
      </c>
      <c r="AE551" s="389" t="str">
        <f t="shared" si="213"/>
        <v>20140101KUUM_405</v>
      </c>
      <c r="AF551" s="437" t="str">
        <f t="shared" si="214"/>
        <v>20140101RLS</v>
      </c>
      <c r="AG551" s="438"/>
      <c r="AH551" s="34">
        <f>IF(AH550=MiscData!$AB$91,1,AH550+1)</f>
        <v>22</v>
      </c>
      <c r="AI551" s="34">
        <f>IF(AD551&lt;=MiscData!$B$23,MiscData!$C$23,IF(AD551&lt;=MiscData!$B$24,MiscData!$C$24,MiscData!$C$25))</f>
        <v>20140101</v>
      </c>
      <c r="AK551" s="439" t="str">
        <f>VLOOKUP(AM551,MiscData!$AB$4:$ACB$113,2,FALSE)</f>
        <v>KUUM_405</v>
      </c>
      <c r="AL551" s="439" t="str">
        <f>VLOOKUP(AM551,MiscData!$AB$4:$AE$115,4,FALSE)</f>
        <v>RLS</v>
      </c>
      <c r="AM551" s="34">
        <f>IF(AM550=MiscData!$AB$91,1,AM550+1)</f>
        <v>22</v>
      </c>
    </row>
    <row r="552" spans="1:39">
      <c r="A552" s="389">
        <f t="shared" si="217"/>
        <v>551</v>
      </c>
      <c r="B552" s="395" t="str">
        <f t="shared" si="198"/>
        <v>Jul 2014</v>
      </c>
      <c r="C552" s="396" t="str">
        <f t="shared" si="199"/>
        <v>LS</v>
      </c>
      <c r="D552" s="396" t="str">
        <f t="shared" si="200"/>
        <v>KUUM_407</v>
      </c>
      <c r="E552" s="394">
        <f t="shared" si="201"/>
        <v>0</v>
      </c>
      <c r="F552" s="397">
        <v>0</v>
      </c>
      <c r="G552" s="394">
        <f t="shared" si="202"/>
        <v>0</v>
      </c>
      <c r="H552" s="394">
        <v>0</v>
      </c>
      <c r="I552" s="390">
        <f t="shared" si="203"/>
        <v>0</v>
      </c>
      <c r="J552" s="390">
        <f t="shared" si="204"/>
        <v>0</v>
      </c>
      <c r="K552" s="391">
        <f t="shared" si="218"/>
        <v>0</v>
      </c>
      <c r="L552" s="398">
        <v>0</v>
      </c>
      <c r="M552" s="398">
        <v>0</v>
      </c>
      <c r="N552" s="164">
        <f t="shared" si="197"/>
        <v>0</v>
      </c>
      <c r="O552" s="399">
        <f t="shared" si="205"/>
        <v>0</v>
      </c>
      <c r="P552" s="392">
        <f t="shared" si="219"/>
        <v>1</v>
      </c>
      <c r="Q552" s="164">
        <f t="shared" si="206"/>
        <v>0</v>
      </c>
      <c r="R552" s="164">
        <f t="shared" si="207"/>
        <v>0</v>
      </c>
      <c r="S552" s="164">
        <f t="shared" si="208"/>
        <v>0</v>
      </c>
      <c r="T552" s="164">
        <f t="shared" si="209"/>
        <v>0</v>
      </c>
      <c r="U552" s="164">
        <f t="shared" si="210"/>
        <v>0</v>
      </c>
      <c r="V552" s="393">
        <f t="shared" si="211"/>
        <v>0</v>
      </c>
      <c r="W552" s="393">
        <f t="shared" si="212"/>
        <v>0</v>
      </c>
      <c r="Y552" s="393">
        <f t="shared" si="215"/>
        <v>0</v>
      </c>
      <c r="Z552" s="393">
        <f t="shared" si="216"/>
        <v>0</v>
      </c>
      <c r="AD552" s="395">
        <f>IF(AH552&gt;AH551,AD551,IF(AD551&lt;MiscData!$F$1,EOMONTH(AD551,1),EOMONTH(AD551,-11)))</f>
        <v>41851</v>
      </c>
      <c r="AE552" s="389" t="str">
        <f t="shared" si="213"/>
        <v>20140101KUUM_407</v>
      </c>
      <c r="AF552" s="437" t="str">
        <f t="shared" si="214"/>
        <v>20140101LS</v>
      </c>
      <c r="AG552" s="438"/>
      <c r="AH552" s="34">
        <f>IF(AH551=MiscData!$AB$91,1,AH551+1)</f>
        <v>23</v>
      </c>
      <c r="AI552" s="34">
        <f>IF(AD552&lt;=MiscData!$B$23,MiscData!$C$23,IF(AD552&lt;=MiscData!$B$24,MiscData!$C$24,MiscData!$C$25))</f>
        <v>20140101</v>
      </c>
      <c r="AK552" s="439" t="str">
        <f>VLOOKUP(AM552,MiscData!$AB$4:$ACB$113,2,FALSE)</f>
        <v>KUUM_407</v>
      </c>
      <c r="AL552" s="439" t="str">
        <f>VLOOKUP(AM552,MiscData!$AB$4:$AE$115,4,FALSE)</f>
        <v>LS</v>
      </c>
      <c r="AM552" s="34">
        <f>IF(AM551=MiscData!$AB$91,1,AM551+1)</f>
        <v>23</v>
      </c>
    </row>
    <row r="553" spans="1:39">
      <c r="A553" s="389">
        <f t="shared" si="217"/>
        <v>552</v>
      </c>
      <c r="B553" s="395" t="str">
        <f t="shared" si="198"/>
        <v>Jul 2014</v>
      </c>
      <c r="C553" s="396" t="str">
        <f t="shared" si="199"/>
        <v>RLS</v>
      </c>
      <c r="D553" s="396" t="str">
        <f t="shared" si="200"/>
        <v>KUUM_409</v>
      </c>
      <c r="E553" s="394">
        <f t="shared" si="201"/>
        <v>137</v>
      </c>
      <c r="F553" s="397">
        <v>0</v>
      </c>
      <c r="G553" s="394">
        <f t="shared" si="202"/>
        <v>16975</v>
      </c>
      <c r="H553" s="394">
        <v>0</v>
      </c>
      <c r="I553" s="390">
        <f t="shared" si="203"/>
        <v>11.71</v>
      </c>
      <c r="J553" s="390">
        <f t="shared" si="204"/>
        <v>4.5299999999999994</v>
      </c>
      <c r="K553" s="391">
        <f t="shared" si="218"/>
        <v>1604.27</v>
      </c>
      <c r="L553" s="398">
        <v>0</v>
      </c>
      <c r="M553" s="398">
        <v>0</v>
      </c>
      <c r="N553" s="164">
        <f t="shared" si="197"/>
        <v>1604.27</v>
      </c>
      <c r="O553" s="399">
        <f t="shared" si="205"/>
        <v>1604.27</v>
      </c>
      <c r="P553" s="392">
        <f t="shared" si="219"/>
        <v>1</v>
      </c>
      <c r="Q553" s="164">
        <f t="shared" si="206"/>
        <v>49.28</v>
      </c>
      <c r="R553" s="164">
        <f t="shared" si="207"/>
        <v>0</v>
      </c>
      <c r="S553" s="164">
        <f t="shared" si="208"/>
        <v>54.19</v>
      </c>
      <c r="T553" s="164">
        <f t="shared" si="209"/>
        <v>0</v>
      </c>
      <c r="U553" s="164">
        <f t="shared" si="210"/>
        <v>1707.74</v>
      </c>
      <c r="V553" s="393">
        <f t="shared" si="211"/>
        <v>1707.74</v>
      </c>
      <c r="W553" s="393">
        <f t="shared" si="212"/>
        <v>0</v>
      </c>
      <c r="Y553" s="393">
        <f t="shared" si="215"/>
        <v>620.61</v>
      </c>
      <c r="Z553" s="393">
        <f t="shared" si="216"/>
        <v>983.66</v>
      </c>
      <c r="AD553" s="395">
        <f>IF(AH553&gt;AH552,AD552,IF(AD552&lt;MiscData!$F$1,EOMONTH(AD552,1),EOMONTH(AD552,-11)))</f>
        <v>41851</v>
      </c>
      <c r="AE553" s="389" t="str">
        <f t="shared" si="213"/>
        <v>20140101KUUM_409</v>
      </c>
      <c r="AF553" s="437" t="str">
        <f t="shared" si="214"/>
        <v>20140101RLS</v>
      </c>
      <c r="AG553" s="438"/>
      <c r="AH553" s="34">
        <f>IF(AH552=MiscData!$AB$91,1,AH552+1)</f>
        <v>24</v>
      </c>
      <c r="AI553" s="34">
        <f>IF(AD553&lt;=MiscData!$B$23,MiscData!$C$23,IF(AD553&lt;=MiscData!$B$24,MiscData!$C$24,MiscData!$C$25))</f>
        <v>20140101</v>
      </c>
      <c r="AK553" s="439" t="str">
        <f>VLOOKUP(AM553,MiscData!$AB$4:$ACB$113,2,FALSE)</f>
        <v>KUUM_409</v>
      </c>
      <c r="AL553" s="439" t="str">
        <f>VLOOKUP(AM553,MiscData!$AB$4:$AE$115,4,FALSE)</f>
        <v>RLS</v>
      </c>
      <c r="AM553" s="34">
        <f>IF(AM552=MiscData!$AB$91,1,AM552+1)</f>
        <v>24</v>
      </c>
    </row>
    <row r="554" spans="1:39">
      <c r="A554" s="389">
        <f t="shared" si="217"/>
        <v>553</v>
      </c>
      <c r="B554" s="395" t="str">
        <f t="shared" si="198"/>
        <v>Jul 2014</v>
      </c>
      <c r="C554" s="396" t="str">
        <f t="shared" si="199"/>
        <v>RLS</v>
      </c>
      <c r="D554" s="396" t="str">
        <f t="shared" si="200"/>
        <v>KUUM_410</v>
      </c>
      <c r="E554" s="394">
        <f t="shared" si="201"/>
        <v>240</v>
      </c>
      <c r="F554" s="397">
        <v>0</v>
      </c>
      <c r="G554" s="394">
        <f t="shared" si="202"/>
        <v>3695</v>
      </c>
      <c r="H554" s="394">
        <v>0</v>
      </c>
      <c r="I554" s="390">
        <f t="shared" si="203"/>
        <v>20.259999999999998</v>
      </c>
      <c r="J554" s="390">
        <f t="shared" si="204"/>
        <v>0.57000000000000028</v>
      </c>
      <c r="K554" s="391">
        <f t="shared" si="218"/>
        <v>4862.3999999999996</v>
      </c>
      <c r="L554" s="398">
        <v>0</v>
      </c>
      <c r="M554" s="398">
        <v>0</v>
      </c>
      <c r="N554" s="164">
        <f t="shared" si="197"/>
        <v>4862.3999999999996</v>
      </c>
      <c r="O554" s="399">
        <f t="shared" si="205"/>
        <v>4862.4000000000005</v>
      </c>
      <c r="P554" s="392">
        <f t="shared" si="219"/>
        <v>1</v>
      </c>
      <c r="Q554" s="164">
        <f t="shared" si="206"/>
        <v>9.4600000000000009</v>
      </c>
      <c r="R554" s="164">
        <f t="shared" si="207"/>
        <v>0</v>
      </c>
      <c r="S554" s="164">
        <f t="shared" si="208"/>
        <v>162.22999999999999</v>
      </c>
      <c r="T554" s="164">
        <f t="shared" si="209"/>
        <v>0</v>
      </c>
      <c r="U554" s="164">
        <f t="shared" si="210"/>
        <v>5034.09</v>
      </c>
      <c r="V554" s="393">
        <f t="shared" si="211"/>
        <v>5034.0899999999992</v>
      </c>
      <c r="W554" s="393">
        <f t="shared" si="212"/>
        <v>0</v>
      </c>
      <c r="Y554" s="393">
        <f t="shared" si="215"/>
        <v>136.80000000000001</v>
      </c>
      <c r="Z554" s="393">
        <f t="shared" si="216"/>
        <v>4725.6000000000004</v>
      </c>
      <c r="AD554" s="395">
        <f>IF(AH554&gt;AH553,AD553,IF(AD553&lt;MiscData!$F$1,EOMONTH(AD553,1),EOMONTH(AD553,-11)))</f>
        <v>41851</v>
      </c>
      <c r="AE554" s="389" t="str">
        <f t="shared" si="213"/>
        <v>20140101KUUM_410</v>
      </c>
      <c r="AF554" s="437" t="str">
        <f t="shared" si="214"/>
        <v>20140101RLS</v>
      </c>
      <c r="AG554" s="438"/>
      <c r="AH554" s="34">
        <f>IF(AH553=MiscData!$AB$91,1,AH553+1)</f>
        <v>25</v>
      </c>
      <c r="AI554" s="34">
        <f>IF(AD554&lt;=MiscData!$B$23,MiscData!$C$23,IF(AD554&lt;=MiscData!$B$24,MiscData!$C$24,MiscData!$C$25))</f>
        <v>20140101</v>
      </c>
      <c r="AK554" s="439" t="str">
        <f>VLOOKUP(AM554,MiscData!$AB$4:$ACB$113,2,FALSE)</f>
        <v>KUUM_410</v>
      </c>
      <c r="AL554" s="439" t="str">
        <f>VLOOKUP(AM554,MiscData!$AB$4:$AE$115,4,FALSE)</f>
        <v>RLS</v>
      </c>
      <c r="AM554" s="34">
        <f>IF(AM553=MiscData!$AB$91,1,AM553+1)</f>
        <v>25</v>
      </c>
    </row>
    <row r="555" spans="1:39">
      <c r="A555" s="389">
        <f t="shared" si="217"/>
        <v>554</v>
      </c>
      <c r="B555" s="395" t="str">
        <f t="shared" si="198"/>
        <v>Jul 2014</v>
      </c>
      <c r="C555" s="396" t="str">
        <f t="shared" si="199"/>
        <v>LS</v>
      </c>
      <c r="D555" s="396" t="str">
        <f t="shared" si="200"/>
        <v>KUUM_411</v>
      </c>
      <c r="E555" s="394">
        <f t="shared" si="201"/>
        <v>150</v>
      </c>
      <c r="F555" s="397">
        <v>0</v>
      </c>
      <c r="G555" s="394">
        <f t="shared" si="202"/>
        <v>3286</v>
      </c>
      <c r="H555" s="394">
        <v>0</v>
      </c>
      <c r="I555" s="390">
        <f t="shared" si="203"/>
        <v>21.38</v>
      </c>
      <c r="J555" s="390">
        <f t="shared" si="204"/>
        <v>0.79999999999999716</v>
      </c>
      <c r="K555" s="391">
        <f t="shared" si="218"/>
        <v>3207</v>
      </c>
      <c r="L555" s="398">
        <v>0</v>
      </c>
      <c r="M555" s="398">
        <v>0</v>
      </c>
      <c r="N555" s="164">
        <f t="shared" si="197"/>
        <v>3207</v>
      </c>
      <c r="O555" s="399">
        <f t="shared" si="205"/>
        <v>3207</v>
      </c>
      <c r="P555" s="392">
        <f t="shared" si="219"/>
        <v>1</v>
      </c>
      <c r="Q555" s="164">
        <f t="shared" si="206"/>
        <v>8.4</v>
      </c>
      <c r="R555" s="164">
        <f t="shared" si="207"/>
        <v>0</v>
      </c>
      <c r="S555" s="164">
        <f t="shared" si="208"/>
        <v>107.06</v>
      </c>
      <c r="T555" s="164">
        <f t="shared" si="209"/>
        <v>0</v>
      </c>
      <c r="U555" s="164">
        <f t="shared" si="210"/>
        <v>3322.46</v>
      </c>
      <c r="V555" s="393">
        <f t="shared" si="211"/>
        <v>3322.46</v>
      </c>
      <c r="W555" s="393">
        <f t="shared" si="212"/>
        <v>0</v>
      </c>
      <c r="Y555" s="393">
        <f t="shared" si="215"/>
        <v>120</v>
      </c>
      <c r="Z555" s="393">
        <f t="shared" si="216"/>
        <v>3087</v>
      </c>
      <c r="AD555" s="395">
        <f>IF(AH555&gt;AH554,AD554,IF(AD554&lt;MiscData!$F$1,EOMONTH(AD554,1),EOMONTH(AD554,-11)))</f>
        <v>41851</v>
      </c>
      <c r="AE555" s="389" t="str">
        <f t="shared" si="213"/>
        <v>20140101KUUM_411</v>
      </c>
      <c r="AF555" s="437" t="str">
        <f t="shared" si="214"/>
        <v>20140101LS</v>
      </c>
      <c r="AG555" s="438"/>
      <c r="AH555" s="34">
        <f>IF(AH554=MiscData!$AB$91,1,AH554+1)</f>
        <v>26</v>
      </c>
      <c r="AI555" s="34">
        <f>IF(AD555&lt;=MiscData!$B$23,MiscData!$C$23,IF(AD555&lt;=MiscData!$B$24,MiscData!$C$24,MiscData!$C$25))</f>
        <v>20140101</v>
      </c>
      <c r="AK555" s="439" t="str">
        <f>VLOOKUP(AM555,MiscData!$AB$4:$ACB$113,2,FALSE)</f>
        <v>KUUM_411</v>
      </c>
      <c r="AL555" s="439" t="str">
        <f>VLOOKUP(AM555,MiscData!$AB$4:$AE$115,4,FALSE)</f>
        <v>LS</v>
      </c>
      <c r="AM555" s="34">
        <f>IF(AM554=MiscData!$AB$91,1,AM554+1)</f>
        <v>26</v>
      </c>
    </row>
    <row r="556" spans="1:39">
      <c r="A556" s="389">
        <f t="shared" si="217"/>
        <v>555</v>
      </c>
      <c r="B556" s="395" t="str">
        <f t="shared" si="198"/>
        <v>Jul 2014</v>
      </c>
      <c r="C556" s="396" t="str">
        <f t="shared" si="199"/>
        <v>RLS</v>
      </c>
      <c r="D556" s="396" t="str">
        <f t="shared" si="200"/>
        <v>KUUM_412</v>
      </c>
      <c r="E556" s="394">
        <f t="shared" si="201"/>
        <v>28</v>
      </c>
      <c r="F556" s="397">
        <v>0</v>
      </c>
      <c r="G556" s="394">
        <f t="shared" si="202"/>
        <v>578</v>
      </c>
      <c r="H556" s="394">
        <v>0</v>
      </c>
      <c r="I556" s="390">
        <f t="shared" si="203"/>
        <v>30.84</v>
      </c>
      <c r="J556" s="390">
        <f t="shared" si="204"/>
        <v>0.79999999999999716</v>
      </c>
      <c r="K556" s="391">
        <f t="shared" si="218"/>
        <v>863.52</v>
      </c>
      <c r="L556" s="398">
        <v>0</v>
      </c>
      <c r="M556" s="398">
        <v>0</v>
      </c>
      <c r="N556" s="164">
        <f t="shared" si="197"/>
        <v>863.52</v>
      </c>
      <c r="O556" s="399">
        <f t="shared" si="205"/>
        <v>863.52</v>
      </c>
      <c r="P556" s="392">
        <f t="shared" si="219"/>
        <v>1</v>
      </c>
      <c r="Q556" s="164">
        <f t="shared" si="206"/>
        <v>1.48</v>
      </c>
      <c r="R556" s="164">
        <f t="shared" si="207"/>
        <v>0</v>
      </c>
      <c r="S556" s="164">
        <f t="shared" si="208"/>
        <v>28.8</v>
      </c>
      <c r="T556" s="164">
        <f t="shared" si="209"/>
        <v>0</v>
      </c>
      <c r="U556" s="164">
        <f t="shared" si="210"/>
        <v>893.8</v>
      </c>
      <c r="V556" s="393">
        <f t="shared" si="211"/>
        <v>893.8</v>
      </c>
      <c r="W556" s="393">
        <f t="shared" si="212"/>
        <v>0</v>
      </c>
      <c r="Y556" s="393">
        <f t="shared" si="215"/>
        <v>22.4</v>
      </c>
      <c r="Z556" s="393">
        <f t="shared" si="216"/>
        <v>841.12</v>
      </c>
      <c r="AD556" s="395">
        <f>IF(AH556&gt;AH555,AD555,IF(AD555&lt;MiscData!$F$1,EOMONTH(AD555,1),EOMONTH(AD555,-11)))</f>
        <v>41851</v>
      </c>
      <c r="AE556" s="389" t="str">
        <f t="shared" si="213"/>
        <v>20140101KUUM_412</v>
      </c>
      <c r="AF556" s="437" t="str">
        <f t="shared" si="214"/>
        <v>20140101RLS</v>
      </c>
      <c r="AG556" s="438"/>
      <c r="AH556" s="34">
        <f>IF(AH555=MiscData!$AB$91,1,AH555+1)</f>
        <v>27</v>
      </c>
      <c r="AI556" s="34">
        <f>IF(AD556&lt;=MiscData!$B$23,MiscData!$C$23,IF(AD556&lt;=MiscData!$B$24,MiscData!$C$24,MiscData!$C$25))</f>
        <v>20140101</v>
      </c>
      <c r="AK556" s="439" t="str">
        <f>VLOOKUP(AM556,MiscData!$AB$4:$ACB$113,2,FALSE)</f>
        <v>KUUM_412</v>
      </c>
      <c r="AL556" s="439" t="str">
        <f>VLOOKUP(AM556,MiscData!$AB$4:$AE$115,4,FALSE)</f>
        <v>RLS</v>
      </c>
      <c r="AM556" s="34">
        <f>IF(AM555=MiscData!$AB$91,1,AM555+1)</f>
        <v>27</v>
      </c>
    </row>
    <row r="557" spans="1:39">
      <c r="A557" s="389">
        <f t="shared" si="217"/>
        <v>556</v>
      </c>
      <c r="B557" s="395" t="str">
        <f t="shared" si="198"/>
        <v>Jul 2014</v>
      </c>
      <c r="C557" s="396" t="str">
        <f t="shared" si="199"/>
        <v>RLS</v>
      </c>
      <c r="D557" s="396" t="str">
        <f t="shared" si="200"/>
        <v>KUUM_413</v>
      </c>
      <c r="E557" s="394">
        <f t="shared" si="201"/>
        <v>96</v>
      </c>
      <c r="F557" s="397">
        <v>0</v>
      </c>
      <c r="G557" s="394">
        <f t="shared" si="202"/>
        <v>2948</v>
      </c>
      <c r="H557" s="394">
        <v>0</v>
      </c>
      <c r="I557" s="390">
        <f t="shared" si="203"/>
        <v>31.22</v>
      </c>
      <c r="J557" s="390">
        <f t="shared" si="204"/>
        <v>1.129999999999999</v>
      </c>
      <c r="K557" s="391">
        <f t="shared" si="218"/>
        <v>2997.12</v>
      </c>
      <c r="L557" s="398">
        <v>0</v>
      </c>
      <c r="M557" s="398">
        <v>0</v>
      </c>
      <c r="N557" s="164">
        <f t="shared" si="197"/>
        <v>2997.12</v>
      </c>
      <c r="O557" s="399">
        <f t="shared" si="205"/>
        <v>2997.12</v>
      </c>
      <c r="P557" s="392">
        <f t="shared" si="219"/>
        <v>1</v>
      </c>
      <c r="Q557" s="164">
        <f t="shared" si="206"/>
        <v>7.55</v>
      </c>
      <c r="R557" s="164">
        <f t="shared" si="207"/>
        <v>0</v>
      </c>
      <c r="S557" s="164">
        <f t="shared" si="208"/>
        <v>100.06</v>
      </c>
      <c r="T557" s="164">
        <f t="shared" si="209"/>
        <v>0</v>
      </c>
      <c r="U557" s="164">
        <f t="shared" si="210"/>
        <v>3104.73</v>
      </c>
      <c r="V557" s="393">
        <f t="shared" si="211"/>
        <v>3104.73</v>
      </c>
      <c r="W557" s="393">
        <f t="shared" si="212"/>
        <v>0</v>
      </c>
      <c r="Y557" s="393">
        <f t="shared" si="215"/>
        <v>108.48</v>
      </c>
      <c r="Z557" s="393">
        <f t="shared" si="216"/>
        <v>2888.64</v>
      </c>
      <c r="AD557" s="395">
        <f>IF(AH557&gt;AH556,AD556,IF(AD556&lt;MiscData!$F$1,EOMONTH(AD556,1),EOMONTH(AD556,-11)))</f>
        <v>41851</v>
      </c>
      <c r="AE557" s="389" t="str">
        <f t="shared" si="213"/>
        <v>20140101KUUM_413</v>
      </c>
      <c r="AF557" s="437" t="str">
        <f t="shared" si="214"/>
        <v>20140101RLS</v>
      </c>
      <c r="AG557" s="438"/>
      <c r="AH557" s="34">
        <f>IF(AH556=MiscData!$AB$91,1,AH556+1)</f>
        <v>28</v>
      </c>
      <c r="AI557" s="34">
        <f>IF(AD557&lt;=MiscData!$B$23,MiscData!$C$23,IF(AD557&lt;=MiscData!$B$24,MiscData!$C$24,MiscData!$C$25))</f>
        <v>20140101</v>
      </c>
      <c r="AK557" s="439" t="str">
        <f>VLOOKUP(AM557,MiscData!$AB$4:$ACB$113,2,FALSE)</f>
        <v>KUUM_413</v>
      </c>
      <c r="AL557" s="439" t="str">
        <f>VLOOKUP(AM557,MiscData!$AB$4:$AE$115,4,FALSE)</f>
        <v>RLS</v>
      </c>
      <c r="AM557" s="34">
        <f>IF(AM556=MiscData!$AB$91,1,AM556+1)</f>
        <v>28</v>
      </c>
    </row>
    <row r="558" spans="1:39">
      <c r="A558" s="389">
        <f t="shared" si="217"/>
        <v>557</v>
      </c>
      <c r="B558" s="395" t="str">
        <f t="shared" si="198"/>
        <v>Jul 2014</v>
      </c>
      <c r="C558" s="396" t="str">
        <f t="shared" si="199"/>
        <v>LS</v>
      </c>
      <c r="D558" s="396" t="str">
        <f t="shared" si="200"/>
        <v>KUUM_414</v>
      </c>
      <c r="E558" s="394">
        <f t="shared" si="201"/>
        <v>21</v>
      </c>
      <c r="F558" s="397">
        <v>0</v>
      </c>
      <c r="G558" s="394">
        <f t="shared" si="202"/>
        <v>435</v>
      </c>
      <c r="H558" s="394">
        <v>0</v>
      </c>
      <c r="I558" s="390">
        <f t="shared" si="203"/>
        <v>30.84</v>
      </c>
      <c r="J558" s="390">
        <f t="shared" si="204"/>
        <v>0.79999999999999716</v>
      </c>
      <c r="K558" s="391">
        <f t="shared" si="218"/>
        <v>647.64</v>
      </c>
      <c r="L558" s="398">
        <v>0</v>
      </c>
      <c r="M558" s="398">
        <v>0</v>
      </c>
      <c r="N558" s="164">
        <f t="shared" si="197"/>
        <v>647.64</v>
      </c>
      <c r="O558" s="399">
        <f t="shared" si="205"/>
        <v>647.64</v>
      </c>
      <c r="P558" s="392">
        <f t="shared" si="219"/>
        <v>1</v>
      </c>
      <c r="Q558" s="164">
        <f t="shared" si="206"/>
        <v>2.16</v>
      </c>
      <c r="R558" s="164">
        <f t="shared" si="207"/>
        <v>0</v>
      </c>
      <c r="S558" s="164">
        <f t="shared" si="208"/>
        <v>19.43</v>
      </c>
      <c r="T558" s="164">
        <f t="shared" si="209"/>
        <v>0</v>
      </c>
      <c r="U558" s="164">
        <f t="shared" si="210"/>
        <v>669.23</v>
      </c>
      <c r="V558" s="393">
        <f t="shared" si="211"/>
        <v>669.2299999999999</v>
      </c>
      <c r="W558" s="393">
        <f t="shared" si="212"/>
        <v>0</v>
      </c>
      <c r="Y558" s="393">
        <f t="shared" si="215"/>
        <v>16.8</v>
      </c>
      <c r="Z558" s="393">
        <f t="shared" si="216"/>
        <v>630.84</v>
      </c>
      <c r="AD558" s="395">
        <f>IF(AH558&gt;AH557,AD557,IF(AD557&lt;MiscData!$F$1,EOMONTH(AD557,1),EOMONTH(AD557,-11)))</f>
        <v>41851</v>
      </c>
      <c r="AE558" s="389" t="str">
        <f t="shared" si="213"/>
        <v>20140101KUUM_414</v>
      </c>
      <c r="AF558" s="437" t="str">
        <f t="shared" si="214"/>
        <v>20140101LS</v>
      </c>
      <c r="AG558" s="438"/>
      <c r="AH558" s="34">
        <f>IF(AH557=MiscData!$AB$91,1,AH557+1)</f>
        <v>29</v>
      </c>
      <c r="AI558" s="34">
        <f>IF(AD558&lt;=MiscData!$B$23,MiscData!$C$23,IF(AD558&lt;=MiscData!$B$24,MiscData!$C$24,MiscData!$C$25))</f>
        <v>20140101</v>
      </c>
      <c r="AK558" s="439" t="str">
        <f>VLOOKUP(AM558,MiscData!$AB$4:$ACB$113,2,FALSE)</f>
        <v>KUUM_414</v>
      </c>
      <c r="AL558" s="439" t="str">
        <f>VLOOKUP(AM558,MiscData!$AB$4:$AE$115,4,FALSE)</f>
        <v>LS</v>
      </c>
      <c r="AM558" s="34">
        <f>IF(AM557=MiscData!$AB$91,1,AM557+1)</f>
        <v>29</v>
      </c>
    </row>
    <row r="559" spans="1:39">
      <c r="A559" s="389">
        <f t="shared" si="217"/>
        <v>558</v>
      </c>
      <c r="B559" s="395" t="str">
        <f t="shared" si="198"/>
        <v>Jul 2014</v>
      </c>
      <c r="C559" s="396" t="str">
        <f t="shared" si="199"/>
        <v>LS</v>
      </c>
      <c r="D559" s="396" t="str">
        <f t="shared" si="200"/>
        <v>KUUM_415</v>
      </c>
      <c r="E559" s="394">
        <f t="shared" si="201"/>
        <v>10</v>
      </c>
      <c r="F559" s="397">
        <v>0</v>
      </c>
      <c r="G559" s="394">
        <f t="shared" si="202"/>
        <v>292</v>
      </c>
      <c r="H559" s="394">
        <v>0</v>
      </c>
      <c r="I559" s="390">
        <f t="shared" si="203"/>
        <v>31.22</v>
      </c>
      <c r="J559" s="390">
        <f t="shared" si="204"/>
        <v>1.129999999999999</v>
      </c>
      <c r="K559" s="391">
        <f t="shared" si="218"/>
        <v>312.2</v>
      </c>
      <c r="L559" s="398">
        <v>0</v>
      </c>
      <c r="M559" s="398">
        <v>0</v>
      </c>
      <c r="N559" s="164">
        <f t="shared" si="197"/>
        <v>312.2</v>
      </c>
      <c r="O559" s="399">
        <f t="shared" si="205"/>
        <v>312.2</v>
      </c>
      <c r="P559" s="392">
        <f t="shared" si="219"/>
        <v>1</v>
      </c>
      <c r="Q559" s="164">
        <f t="shared" si="206"/>
        <v>1.45</v>
      </c>
      <c r="R559" s="164">
        <f t="shared" si="207"/>
        <v>0</v>
      </c>
      <c r="S559" s="164">
        <f t="shared" si="208"/>
        <v>9.3800000000000008</v>
      </c>
      <c r="T559" s="164">
        <f t="shared" si="209"/>
        <v>0</v>
      </c>
      <c r="U559" s="164">
        <f t="shared" si="210"/>
        <v>323.02999999999997</v>
      </c>
      <c r="V559" s="393">
        <f t="shared" si="211"/>
        <v>323.02999999999997</v>
      </c>
      <c r="W559" s="393">
        <f t="shared" si="212"/>
        <v>0</v>
      </c>
      <c r="Y559" s="393">
        <f t="shared" si="215"/>
        <v>11.3</v>
      </c>
      <c r="Z559" s="393">
        <f t="shared" si="216"/>
        <v>300.89999999999998</v>
      </c>
      <c r="AD559" s="395">
        <f>IF(AH559&gt;AH558,AD558,IF(AD558&lt;MiscData!$F$1,EOMONTH(AD558,1),EOMONTH(AD558,-11)))</f>
        <v>41851</v>
      </c>
      <c r="AE559" s="389" t="str">
        <f t="shared" si="213"/>
        <v>20140101KUUM_415</v>
      </c>
      <c r="AF559" s="437" t="str">
        <f t="shared" si="214"/>
        <v>20140101LS</v>
      </c>
      <c r="AG559" s="438"/>
      <c r="AH559" s="34">
        <f>IF(AH558=MiscData!$AB$91,1,AH558+1)</f>
        <v>30</v>
      </c>
      <c r="AI559" s="34">
        <f>IF(AD559&lt;=MiscData!$B$23,MiscData!$C$23,IF(AD559&lt;=MiscData!$B$24,MiscData!$C$24,MiscData!$C$25))</f>
        <v>20140101</v>
      </c>
      <c r="AK559" s="439" t="str">
        <f>VLOOKUP(AM559,MiscData!$AB$4:$ACB$113,2,FALSE)</f>
        <v>KUUM_415</v>
      </c>
      <c r="AL559" s="439" t="str">
        <f>VLOOKUP(AM559,MiscData!$AB$4:$AE$115,4,FALSE)</f>
        <v>LS</v>
      </c>
      <c r="AM559" s="34">
        <f>IF(AM558=MiscData!$AB$91,1,AM558+1)</f>
        <v>30</v>
      </c>
    </row>
    <row r="560" spans="1:39">
      <c r="A560" s="389">
        <f t="shared" si="217"/>
        <v>559</v>
      </c>
      <c r="B560" s="395" t="str">
        <f t="shared" si="198"/>
        <v>Jul 2014</v>
      </c>
      <c r="C560" s="396" t="str">
        <f t="shared" si="199"/>
        <v>LS</v>
      </c>
      <c r="D560" s="396" t="str">
        <f t="shared" si="200"/>
        <v>KUUM_420</v>
      </c>
      <c r="E560" s="394">
        <f t="shared" si="201"/>
        <v>477</v>
      </c>
      <c r="F560" s="397">
        <v>0</v>
      </c>
      <c r="G560" s="394">
        <f t="shared" si="202"/>
        <v>15008</v>
      </c>
      <c r="H560" s="394">
        <v>1593</v>
      </c>
      <c r="I560" s="390">
        <f t="shared" si="203"/>
        <v>15.360000000000001</v>
      </c>
      <c r="J560" s="390">
        <f t="shared" si="204"/>
        <v>1.1300000000000008</v>
      </c>
      <c r="K560" s="391">
        <f t="shared" si="218"/>
        <v>7326.72</v>
      </c>
      <c r="L560" s="398">
        <v>0</v>
      </c>
      <c r="M560" s="398">
        <v>0</v>
      </c>
      <c r="N560" s="164">
        <f t="shared" si="197"/>
        <v>7326.72</v>
      </c>
      <c r="O560" s="399">
        <f t="shared" si="205"/>
        <v>7326.7199999999993</v>
      </c>
      <c r="P560" s="392">
        <f t="shared" si="219"/>
        <v>1</v>
      </c>
      <c r="Q560" s="164">
        <f t="shared" si="206"/>
        <v>47.53</v>
      </c>
      <c r="R560" s="164">
        <f t="shared" si="207"/>
        <v>0</v>
      </c>
      <c r="S560" s="164">
        <f t="shared" si="208"/>
        <v>239.07</v>
      </c>
      <c r="T560" s="164">
        <f t="shared" si="209"/>
        <v>0</v>
      </c>
      <c r="U560" s="164">
        <f t="shared" si="210"/>
        <v>7613.32</v>
      </c>
      <c r="V560" s="393">
        <f t="shared" si="211"/>
        <v>7613.32</v>
      </c>
      <c r="W560" s="393">
        <f t="shared" si="212"/>
        <v>0</v>
      </c>
      <c r="Y560" s="393">
        <f t="shared" si="215"/>
        <v>539.01</v>
      </c>
      <c r="Z560" s="393">
        <f t="shared" si="216"/>
        <v>6787.7099999999991</v>
      </c>
      <c r="AD560" s="395">
        <f>IF(AH560&gt;AH559,AD559,IF(AD559&lt;MiscData!$F$1,EOMONTH(AD559,1),EOMONTH(AD559,-11)))</f>
        <v>41851</v>
      </c>
      <c r="AE560" s="389" t="str">
        <f t="shared" si="213"/>
        <v>20140101KUUM_420</v>
      </c>
      <c r="AF560" s="437" t="str">
        <f t="shared" si="214"/>
        <v>20140101LS</v>
      </c>
      <c r="AG560" s="438"/>
      <c r="AH560" s="34">
        <f>IF(AH559=MiscData!$AB$91,1,AH559+1)</f>
        <v>31</v>
      </c>
      <c r="AI560" s="34">
        <f>IF(AD560&lt;=MiscData!$B$23,MiscData!$C$23,IF(AD560&lt;=MiscData!$B$24,MiscData!$C$24,MiscData!$C$25))</f>
        <v>20140101</v>
      </c>
      <c r="AK560" s="439" t="str">
        <f>VLOOKUP(AM560,MiscData!$AB$4:$ACB$113,2,FALSE)</f>
        <v>KUUM_420</v>
      </c>
      <c r="AL560" s="439" t="str">
        <f>VLOOKUP(AM560,MiscData!$AB$4:$AE$115,4,FALSE)</f>
        <v>LS</v>
      </c>
      <c r="AM560" s="34">
        <f>IF(AM559=MiscData!$AB$91,1,AM559+1)</f>
        <v>31</v>
      </c>
    </row>
    <row r="561" spans="1:39">
      <c r="A561" s="389">
        <f t="shared" si="217"/>
        <v>560</v>
      </c>
      <c r="B561" s="395" t="str">
        <f t="shared" si="198"/>
        <v>Jul 2014</v>
      </c>
      <c r="C561" s="396" t="str">
        <f t="shared" si="199"/>
        <v>RLS</v>
      </c>
      <c r="D561" s="396" t="str">
        <f t="shared" si="200"/>
        <v>KUUM_421</v>
      </c>
      <c r="E561" s="394">
        <f t="shared" si="201"/>
        <v>5</v>
      </c>
      <c r="F561" s="397">
        <v>0</v>
      </c>
      <c r="G561" s="394">
        <f t="shared" si="202"/>
        <v>139</v>
      </c>
      <c r="H561" s="394">
        <v>0</v>
      </c>
      <c r="I561" s="390">
        <f t="shared" si="203"/>
        <v>3.39</v>
      </c>
      <c r="J561" s="390">
        <f t="shared" si="204"/>
        <v>0.98999999999999977</v>
      </c>
      <c r="K561" s="391">
        <f t="shared" si="218"/>
        <v>16.95</v>
      </c>
      <c r="L561" s="398">
        <v>0</v>
      </c>
      <c r="M561" s="398">
        <v>0</v>
      </c>
      <c r="N561" s="164">
        <f t="shared" si="197"/>
        <v>16.95</v>
      </c>
      <c r="O561" s="399">
        <f t="shared" si="205"/>
        <v>16.95</v>
      </c>
      <c r="P561" s="392">
        <f t="shared" si="219"/>
        <v>1</v>
      </c>
      <c r="Q561" s="164">
        <f t="shared" si="206"/>
        <v>0.56000000000000005</v>
      </c>
      <c r="R561" s="164">
        <f t="shared" si="207"/>
        <v>0</v>
      </c>
      <c r="S561" s="164">
        <f t="shared" si="208"/>
        <v>0.55000000000000004</v>
      </c>
      <c r="T561" s="164">
        <f t="shared" si="209"/>
        <v>0</v>
      </c>
      <c r="U561" s="164">
        <f t="shared" si="210"/>
        <v>18.059999999999999</v>
      </c>
      <c r="V561" s="393">
        <f t="shared" si="211"/>
        <v>18.059999999999999</v>
      </c>
      <c r="W561" s="393">
        <f t="shared" si="212"/>
        <v>0</v>
      </c>
      <c r="Y561" s="393">
        <f t="shared" si="215"/>
        <v>4.95</v>
      </c>
      <c r="Z561" s="393">
        <f t="shared" si="216"/>
        <v>12</v>
      </c>
      <c r="AD561" s="395">
        <f>IF(AH561&gt;AH560,AD560,IF(AD560&lt;MiscData!$F$1,EOMONTH(AD560,1),EOMONTH(AD560,-11)))</f>
        <v>41851</v>
      </c>
      <c r="AE561" s="389" t="str">
        <f t="shared" si="213"/>
        <v>20140101KUUM_421</v>
      </c>
      <c r="AF561" s="437" t="str">
        <f t="shared" si="214"/>
        <v>20140101RLS</v>
      </c>
      <c r="AG561" s="438"/>
      <c r="AH561" s="34">
        <f>IF(AH560=MiscData!$AB$91,1,AH560+1)</f>
        <v>32</v>
      </c>
      <c r="AI561" s="34">
        <f>IF(AD561&lt;=MiscData!$B$23,MiscData!$C$23,IF(AD561&lt;=MiscData!$B$24,MiscData!$C$24,MiscData!$C$25))</f>
        <v>20140101</v>
      </c>
      <c r="AK561" s="439" t="str">
        <f>VLOOKUP(AM561,MiscData!$AB$4:$ACB$113,2,FALSE)</f>
        <v>KUUM_421</v>
      </c>
      <c r="AL561" s="439" t="str">
        <f>VLOOKUP(AM561,MiscData!$AB$4:$AE$115,4,FALSE)</f>
        <v>RLS</v>
      </c>
      <c r="AM561" s="34">
        <f>IF(AM560=MiscData!$AB$91,1,AM560+1)</f>
        <v>32</v>
      </c>
    </row>
    <row r="562" spans="1:39">
      <c r="A562" s="389">
        <f t="shared" si="217"/>
        <v>561</v>
      </c>
      <c r="B562" s="395" t="str">
        <f t="shared" si="198"/>
        <v>Jul 2014</v>
      </c>
      <c r="C562" s="396" t="str">
        <f t="shared" si="199"/>
        <v>RLS</v>
      </c>
      <c r="D562" s="396" t="str">
        <f t="shared" si="200"/>
        <v>KUUM_422</v>
      </c>
      <c r="E562" s="394">
        <f t="shared" si="201"/>
        <v>667</v>
      </c>
      <c r="F562" s="397">
        <v>0</v>
      </c>
      <c r="G562" s="394">
        <f t="shared" si="202"/>
        <v>35602</v>
      </c>
      <c r="H562" s="394">
        <v>0</v>
      </c>
      <c r="I562" s="390">
        <f t="shared" si="203"/>
        <v>4.5400000000000009</v>
      </c>
      <c r="J562" s="390">
        <f t="shared" si="204"/>
        <v>1.9400000000000004</v>
      </c>
      <c r="K562" s="391">
        <f t="shared" si="218"/>
        <v>3028.18</v>
      </c>
      <c r="L562" s="398">
        <v>0.01</v>
      </c>
      <c r="M562" s="398">
        <v>0</v>
      </c>
      <c r="N562" s="164">
        <f t="shared" si="197"/>
        <v>3028.19</v>
      </c>
      <c r="O562" s="399">
        <f t="shared" si="205"/>
        <v>3028.19</v>
      </c>
      <c r="P562" s="392">
        <f t="shared" si="219"/>
        <v>1</v>
      </c>
      <c r="Q562" s="164">
        <f t="shared" si="206"/>
        <v>112.08</v>
      </c>
      <c r="R562" s="164">
        <f t="shared" si="207"/>
        <v>0</v>
      </c>
      <c r="S562" s="164">
        <f t="shared" si="208"/>
        <v>101.87</v>
      </c>
      <c r="T562" s="164">
        <f t="shared" si="209"/>
        <v>0</v>
      </c>
      <c r="U562" s="164">
        <f t="shared" si="210"/>
        <v>3242.14</v>
      </c>
      <c r="V562" s="393">
        <f t="shared" si="211"/>
        <v>3242.14</v>
      </c>
      <c r="W562" s="393">
        <f t="shared" si="212"/>
        <v>0</v>
      </c>
      <c r="Y562" s="393">
        <f t="shared" si="215"/>
        <v>1293.98</v>
      </c>
      <c r="Z562" s="393">
        <f t="shared" si="216"/>
        <v>1734.21</v>
      </c>
      <c r="AD562" s="395">
        <f>IF(AH562&gt;AH561,AD561,IF(AD561&lt;MiscData!$F$1,EOMONTH(AD561,1),EOMONTH(AD561,-11)))</f>
        <v>41851</v>
      </c>
      <c r="AE562" s="389" t="str">
        <f t="shared" si="213"/>
        <v>20140101KUUM_422</v>
      </c>
      <c r="AF562" s="437" t="str">
        <f t="shared" si="214"/>
        <v>20140101RLS</v>
      </c>
      <c r="AG562" s="438"/>
      <c r="AH562" s="34">
        <f>IF(AH561=MiscData!$AB$91,1,AH561+1)</f>
        <v>33</v>
      </c>
      <c r="AI562" s="34">
        <f>IF(AD562&lt;=MiscData!$B$23,MiscData!$C$23,IF(AD562&lt;=MiscData!$B$24,MiscData!$C$24,MiscData!$C$25))</f>
        <v>20140101</v>
      </c>
      <c r="AK562" s="439" t="str">
        <f>VLOOKUP(AM562,MiscData!$AB$4:$ACB$113,2,FALSE)</f>
        <v>KUUM_422</v>
      </c>
      <c r="AL562" s="439" t="str">
        <f>VLOOKUP(AM562,MiscData!$AB$4:$AE$115,4,FALSE)</f>
        <v>RLS</v>
      </c>
      <c r="AM562" s="34">
        <f>IF(AM561=MiscData!$AB$91,1,AM561+1)</f>
        <v>33</v>
      </c>
    </row>
    <row r="563" spans="1:39">
      <c r="A563" s="389">
        <f t="shared" si="217"/>
        <v>562</v>
      </c>
      <c r="B563" s="395" t="str">
        <f t="shared" si="198"/>
        <v>Jul 2014</v>
      </c>
      <c r="C563" s="396" t="str">
        <f t="shared" si="199"/>
        <v>RLS</v>
      </c>
      <c r="D563" s="396" t="str">
        <f t="shared" si="200"/>
        <v>KUUM_424</v>
      </c>
      <c r="E563" s="394">
        <f t="shared" si="201"/>
        <v>49</v>
      </c>
      <c r="F563" s="397">
        <v>0</v>
      </c>
      <c r="G563" s="394">
        <f t="shared" si="202"/>
        <v>4235</v>
      </c>
      <c r="H563" s="394">
        <v>0</v>
      </c>
      <c r="I563" s="390">
        <f t="shared" si="203"/>
        <v>6.78</v>
      </c>
      <c r="J563" s="390">
        <f t="shared" si="204"/>
        <v>0.69999999999999929</v>
      </c>
      <c r="K563" s="391">
        <f t="shared" si="218"/>
        <v>332.22</v>
      </c>
      <c r="L563" s="398">
        <v>0</v>
      </c>
      <c r="M563" s="398">
        <v>0</v>
      </c>
      <c r="N563" s="164">
        <f t="shared" si="197"/>
        <v>332.22</v>
      </c>
      <c r="O563" s="399">
        <f t="shared" si="205"/>
        <v>332.21999999999997</v>
      </c>
      <c r="P563" s="392">
        <f t="shared" si="219"/>
        <v>1</v>
      </c>
      <c r="Q563" s="164">
        <f t="shared" si="206"/>
        <v>16.07</v>
      </c>
      <c r="R563" s="164">
        <f t="shared" si="207"/>
        <v>0</v>
      </c>
      <c r="S563" s="164">
        <f t="shared" si="208"/>
        <v>10.97</v>
      </c>
      <c r="T563" s="164">
        <f t="shared" si="209"/>
        <v>0</v>
      </c>
      <c r="U563" s="164">
        <f t="shared" si="210"/>
        <v>359.26</v>
      </c>
      <c r="V563" s="393">
        <f t="shared" si="211"/>
        <v>359.26000000000005</v>
      </c>
      <c r="W563" s="393">
        <f t="shared" si="212"/>
        <v>0</v>
      </c>
      <c r="Y563" s="393">
        <f t="shared" si="215"/>
        <v>34.299999999999997</v>
      </c>
      <c r="Z563" s="393">
        <f t="shared" si="216"/>
        <v>297.91999999999996</v>
      </c>
      <c r="AD563" s="395">
        <f>IF(AH563&gt;AH562,AD562,IF(AD562&lt;MiscData!$F$1,EOMONTH(AD562,1),EOMONTH(AD562,-11)))</f>
        <v>41851</v>
      </c>
      <c r="AE563" s="389" t="str">
        <f t="shared" si="213"/>
        <v>20140101KUUM_424</v>
      </c>
      <c r="AF563" s="437" t="str">
        <f t="shared" si="214"/>
        <v>20140101RLS</v>
      </c>
      <c r="AG563" s="438"/>
      <c r="AH563" s="34">
        <f>IF(AH562=MiscData!$AB$91,1,AH562+1)</f>
        <v>34</v>
      </c>
      <c r="AI563" s="34">
        <f>IF(AD563&lt;=MiscData!$B$23,MiscData!$C$23,IF(AD563&lt;=MiscData!$B$24,MiscData!$C$24,MiscData!$C$25))</f>
        <v>20140101</v>
      </c>
      <c r="AK563" s="439" t="str">
        <f>VLOOKUP(AM563,MiscData!$AB$4:$ACB$113,2,FALSE)</f>
        <v>KUUM_424</v>
      </c>
      <c r="AL563" s="439" t="str">
        <f>VLOOKUP(AM563,MiscData!$AB$4:$AE$115,4,FALSE)</f>
        <v>RLS</v>
      </c>
      <c r="AM563" s="34">
        <f>IF(AM562=MiscData!$AB$91,1,AM562+1)</f>
        <v>34</v>
      </c>
    </row>
    <row r="564" spans="1:39">
      <c r="A564" s="389">
        <f t="shared" si="217"/>
        <v>563</v>
      </c>
      <c r="B564" s="395" t="str">
        <f t="shared" si="198"/>
        <v>Jul 2014</v>
      </c>
      <c r="C564" s="396" t="str">
        <f t="shared" si="199"/>
        <v>RLS</v>
      </c>
      <c r="D564" s="396" t="str">
        <f t="shared" si="200"/>
        <v>KUUM_425</v>
      </c>
      <c r="E564" s="394">
        <f t="shared" si="201"/>
        <v>2</v>
      </c>
      <c r="F564" s="397">
        <v>0</v>
      </c>
      <c r="G564" s="394">
        <f t="shared" si="202"/>
        <v>239</v>
      </c>
      <c r="H564" s="394">
        <v>0</v>
      </c>
      <c r="I564" s="390">
        <f t="shared" si="203"/>
        <v>9.06</v>
      </c>
      <c r="J564" s="390">
        <f t="shared" si="204"/>
        <v>4.3000000000000007</v>
      </c>
      <c r="K564" s="391">
        <f t="shared" si="218"/>
        <v>18.12</v>
      </c>
      <c r="L564" s="398">
        <v>0</v>
      </c>
      <c r="M564" s="398">
        <v>0</v>
      </c>
      <c r="N564" s="164">
        <f t="shared" si="197"/>
        <v>18.12</v>
      </c>
      <c r="O564" s="399">
        <f t="shared" si="205"/>
        <v>18.12</v>
      </c>
      <c r="P564" s="392">
        <f t="shared" si="219"/>
        <v>1</v>
      </c>
      <c r="Q564" s="164">
        <f t="shared" si="206"/>
        <v>0.61</v>
      </c>
      <c r="R564" s="164">
        <f t="shared" si="207"/>
        <v>0</v>
      </c>
      <c r="S564" s="164">
        <f t="shared" si="208"/>
        <v>0.62</v>
      </c>
      <c r="T564" s="164">
        <f t="shared" si="209"/>
        <v>0</v>
      </c>
      <c r="U564" s="164">
        <f t="shared" si="210"/>
        <v>19.350000000000001</v>
      </c>
      <c r="V564" s="393">
        <f t="shared" si="211"/>
        <v>19.350000000000001</v>
      </c>
      <c r="W564" s="393">
        <f t="shared" si="212"/>
        <v>0</v>
      </c>
      <c r="Y564" s="393">
        <f t="shared" si="215"/>
        <v>8.6</v>
      </c>
      <c r="Z564" s="393">
        <f t="shared" si="216"/>
        <v>9.5200000000000014</v>
      </c>
      <c r="AD564" s="395">
        <f>IF(AH564&gt;AH563,AD563,IF(AD563&lt;MiscData!$F$1,EOMONTH(AD563,1),EOMONTH(AD563,-11)))</f>
        <v>41851</v>
      </c>
      <c r="AE564" s="389" t="str">
        <f t="shared" si="213"/>
        <v>20140101KUUM_425</v>
      </c>
      <c r="AF564" s="437" t="str">
        <f t="shared" si="214"/>
        <v>20140101RLS</v>
      </c>
      <c r="AG564" s="438"/>
      <c r="AH564" s="34">
        <f>IF(AH563=MiscData!$AB$91,1,AH563+1)</f>
        <v>35</v>
      </c>
      <c r="AI564" s="34">
        <f>IF(AD564&lt;=MiscData!$B$23,MiscData!$C$23,IF(AD564&lt;=MiscData!$B$24,MiscData!$C$24,MiscData!$C$25))</f>
        <v>20140101</v>
      </c>
      <c r="AK564" s="439" t="str">
        <f>VLOOKUP(AM564,MiscData!$AB$4:$ACB$113,2,FALSE)</f>
        <v>KUUM_425</v>
      </c>
      <c r="AL564" s="439" t="str">
        <f>VLOOKUP(AM564,MiscData!$AB$4:$AE$115,4,FALSE)</f>
        <v>RLS</v>
      </c>
      <c r="AM564" s="34">
        <f>IF(AM563=MiscData!$AB$91,1,AM563+1)</f>
        <v>35</v>
      </c>
    </row>
    <row r="565" spans="1:39">
      <c r="A565" s="389">
        <f t="shared" si="217"/>
        <v>564</v>
      </c>
      <c r="B565" s="395" t="str">
        <f t="shared" si="198"/>
        <v>Jul 2014</v>
      </c>
      <c r="C565" s="396" t="str">
        <f t="shared" si="199"/>
        <v>RLS</v>
      </c>
      <c r="D565" s="396" t="str">
        <f t="shared" si="200"/>
        <v>KUUM_426</v>
      </c>
      <c r="E565" s="394">
        <f t="shared" si="201"/>
        <v>176</v>
      </c>
      <c r="F565" s="397">
        <v>0</v>
      </c>
      <c r="G565" s="394">
        <f t="shared" si="202"/>
        <v>3783</v>
      </c>
      <c r="H565" s="394">
        <v>0</v>
      </c>
      <c r="I565" s="390">
        <f t="shared" si="203"/>
        <v>7.4399999999999995</v>
      </c>
      <c r="J565" s="390">
        <f t="shared" si="204"/>
        <v>0.79999999999999982</v>
      </c>
      <c r="K565" s="391">
        <f t="shared" si="218"/>
        <v>1309.44</v>
      </c>
      <c r="L565" s="398">
        <v>-35.96</v>
      </c>
      <c r="M565" s="398">
        <v>0</v>
      </c>
      <c r="N565" s="164">
        <f t="shared" si="197"/>
        <v>1273.48</v>
      </c>
      <c r="O565" s="399">
        <f t="shared" si="205"/>
        <v>1273.48</v>
      </c>
      <c r="P565" s="392">
        <f t="shared" si="219"/>
        <v>1</v>
      </c>
      <c r="Q565" s="164">
        <f t="shared" si="206"/>
        <v>9.76</v>
      </c>
      <c r="R565" s="164">
        <f t="shared" si="207"/>
        <v>0</v>
      </c>
      <c r="S565" s="164">
        <f t="shared" si="208"/>
        <v>42.79</v>
      </c>
      <c r="T565" s="164">
        <f t="shared" si="209"/>
        <v>0</v>
      </c>
      <c r="U565" s="164">
        <f t="shared" si="210"/>
        <v>1326.03</v>
      </c>
      <c r="V565" s="393">
        <f t="shared" si="211"/>
        <v>1326.03</v>
      </c>
      <c r="W565" s="393">
        <f t="shared" si="212"/>
        <v>0</v>
      </c>
      <c r="Y565" s="393">
        <f t="shared" si="215"/>
        <v>140.80000000000001</v>
      </c>
      <c r="Z565" s="393">
        <f t="shared" si="216"/>
        <v>1132.68</v>
      </c>
      <c r="AD565" s="395">
        <f>IF(AH565&gt;AH564,AD564,IF(AD564&lt;MiscData!$F$1,EOMONTH(AD564,1),EOMONTH(AD564,-11)))</f>
        <v>41851</v>
      </c>
      <c r="AE565" s="389" t="str">
        <f t="shared" si="213"/>
        <v>20140101KUUM_426</v>
      </c>
      <c r="AF565" s="437" t="str">
        <f t="shared" si="214"/>
        <v>20140101RLS</v>
      </c>
      <c r="AG565" s="438"/>
      <c r="AH565" s="34">
        <f>IF(AH564=MiscData!$AB$91,1,AH564+1)</f>
        <v>36</v>
      </c>
      <c r="AI565" s="34">
        <f>IF(AD565&lt;=MiscData!$B$23,MiscData!$C$23,IF(AD565&lt;=MiscData!$B$24,MiscData!$C$24,MiscData!$C$25))</f>
        <v>20140101</v>
      </c>
      <c r="AK565" s="439" t="str">
        <f>VLOOKUP(AM565,MiscData!$AB$4:$ACB$113,2,FALSE)</f>
        <v>KUUM_426</v>
      </c>
      <c r="AL565" s="439" t="str">
        <f>VLOOKUP(AM565,MiscData!$AB$4:$AE$115,4,FALSE)</f>
        <v>RLS</v>
      </c>
      <c r="AM565" s="34">
        <f>IF(AM564=MiscData!$AB$91,1,AM564+1)</f>
        <v>36</v>
      </c>
    </row>
    <row r="566" spans="1:39">
      <c r="A566" s="389">
        <f t="shared" si="217"/>
        <v>565</v>
      </c>
      <c r="B566" s="395" t="str">
        <f t="shared" si="198"/>
        <v>Jul 2014</v>
      </c>
      <c r="C566" s="396" t="str">
        <f t="shared" si="199"/>
        <v>LS</v>
      </c>
      <c r="D566" s="396" t="str">
        <f t="shared" si="200"/>
        <v>KUUM_428</v>
      </c>
      <c r="E566" s="394">
        <f t="shared" si="201"/>
        <v>36675</v>
      </c>
      <c r="F566" s="397">
        <v>36</v>
      </c>
      <c r="G566" s="394">
        <f t="shared" si="202"/>
        <v>1132128</v>
      </c>
      <c r="H566" s="394">
        <v>0</v>
      </c>
      <c r="I566" s="390">
        <f t="shared" si="203"/>
        <v>7.84</v>
      </c>
      <c r="J566" s="390">
        <f t="shared" si="204"/>
        <v>1.1299999999999999</v>
      </c>
      <c r="K566" s="391">
        <f t="shared" si="218"/>
        <v>287814.24</v>
      </c>
      <c r="L566" s="398">
        <v>-2127.08</v>
      </c>
      <c r="M566" s="398">
        <v>0</v>
      </c>
      <c r="N566" s="164">
        <f t="shared" si="197"/>
        <v>285687.15999999997</v>
      </c>
      <c r="O566" s="399">
        <f t="shared" si="205"/>
        <v>285687.15999999997</v>
      </c>
      <c r="P566" s="392">
        <f t="shared" si="219"/>
        <v>1</v>
      </c>
      <c r="Q566" s="164">
        <f t="shared" si="206"/>
        <v>2886.05</v>
      </c>
      <c r="R566" s="164">
        <f t="shared" si="207"/>
        <v>0</v>
      </c>
      <c r="S566" s="164">
        <f t="shared" si="208"/>
        <v>9499.2000000000007</v>
      </c>
      <c r="T566" s="164">
        <f t="shared" si="209"/>
        <v>0</v>
      </c>
      <c r="U566" s="164">
        <f t="shared" si="210"/>
        <v>298072.40999999997</v>
      </c>
      <c r="V566" s="393">
        <f t="shared" si="211"/>
        <v>298072.40999999997</v>
      </c>
      <c r="W566" s="393">
        <f t="shared" si="212"/>
        <v>0</v>
      </c>
      <c r="Y566" s="393">
        <f t="shared" si="215"/>
        <v>41442.75</v>
      </c>
      <c r="Z566" s="393">
        <f t="shared" si="216"/>
        <v>244244.40999999997</v>
      </c>
      <c r="AD566" s="395">
        <f>IF(AH566&gt;AH565,AD565,IF(AD565&lt;MiscData!$F$1,EOMONTH(AD565,1),EOMONTH(AD565,-11)))</f>
        <v>41851</v>
      </c>
      <c r="AE566" s="389" t="str">
        <f t="shared" si="213"/>
        <v>20140101KUUM_428</v>
      </c>
      <c r="AF566" s="437" t="str">
        <f t="shared" si="214"/>
        <v>20140101LS</v>
      </c>
      <c r="AG566" s="438"/>
      <c r="AH566" s="34">
        <f>IF(AH565=MiscData!$AB$91,1,AH565+1)</f>
        <v>37</v>
      </c>
      <c r="AI566" s="34">
        <f>IF(AD566&lt;=MiscData!$B$23,MiscData!$C$23,IF(AD566&lt;=MiscData!$B$24,MiscData!$C$24,MiscData!$C$25))</f>
        <v>20140101</v>
      </c>
      <c r="AK566" s="439" t="str">
        <f>VLOOKUP(AM566,MiscData!$AB$4:$ACB$113,2,FALSE)</f>
        <v>KUUM_428</v>
      </c>
      <c r="AL566" s="439" t="str">
        <f>VLOOKUP(AM566,MiscData!$AB$4:$AE$115,4,FALSE)</f>
        <v>LS</v>
      </c>
      <c r="AM566" s="34">
        <f>IF(AM565=MiscData!$AB$91,1,AM565+1)</f>
        <v>37</v>
      </c>
    </row>
    <row r="567" spans="1:39">
      <c r="A567" s="389">
        <f t="shared" si="217"/>
        <v>566</v>
      </c>
      <c r="B567" s="395" t="str">
        <f t="shared" si="198"/>
        <v>Jul 2014</v>
      </c>
      <c r="C567" s="396" t="str">
        <f t="shared" si="199"/>
        <v>LS</v>
      </c>
      <c r="D567" s="396" t="str">
        <f t="shared" si="200"/>
        <v>KUUM_429</v>
      </c>
      <c r="E567" s="394">
        <f t="shared" si="201"/>
        <v>0</v>
      </c>
      <c r="F567" s="397">
        <v>0</v>
      </c>
      <c r="G567" s="394">
        <f t="shared" si="202"/>
        <v>0</v>
      </c>
      <c r="H567" s="394">
        <v>0</v>
      </c>
      <c r="I567" s="390">
        <f t="shared" si="203"/>
        <v>0</v>
      </c>
      <c r="J567" s="390">
        <f t="shared" si="204"/>
        <v>0</v>
      </c>
      <c r="K567" s="391">
        <f t="shared" si="218"/>
        <v>0</v>
      </c>
      <c r="L567" s="398">
        <v>0</v>
      </c>
      <c r="M567" s="398">
        <v>0</v>
      </c>
      <c r="N567" s="164">
        <f t="shared" si="197"/>
        <v>0</v>
      </c>
      <c r="O567" s="399">
        <f t="shared" si="205"/>
        <v>0</v>
      </c>
      <c r="P567" s="392">
        <f t="shared" si="219"/>
        <v>1</v>
      </c>
      <c r="Q567" s="164">
        <f t="shared" si="206"/>
        <v>0</v>
      </c>
      <c r="R567" s="164">
        <f t="shared" si="207"/>
        <v>0</v>
      </c>
      <c r="S567" s="164">
        <f t="shared" si="208"/>
        <v>0</v>
      </c>
      <c r="T567" s="164">
        <f t="shared" si="209"/>
        <v>0</v>
      </c>
      <c r="U567" s="164">
        <f t="shared" si="210"/>
        <v>0</v>
      </c>
      <c r="V567" s="393">
        <f t="shared" si="211"/>
        <v>0</v>
      </c>
      <c r="W567" s="393">
        <f t="shared" si="212"/>
        <v>0</v>
      </c>
      <c r="Y567" s="393">
        <f t="shared" si="215"/>
        <v>0</v>
      </c>
      <c r="Z567" s="393">
        <f t="shared" si="216"/>
        <v>0</v>
      </c>
      <c r="AD567" s="395">
        <f>IF(AH567&gt;AH566,AD566,IF(AD566&lt;MiscData!$F$1,EOMONTH(AD566,1),EOMONTH(AD566,-11)))</f>
        <v>41851</v>
      </c>
      <c r="AE567" s="389" t="str">
        <f t="shared" si="213"/>
        <v>20140101KUUM_429</v>
      </c>
      <c r="AF567" s="437" t="str">
        <f t="shared" si="214"/>
        <v>20140101LS</v>
      </c>
      <c r="AG567" s="438"/>
      <c r="AH567" s="34">
        <f>IF(AH566=MiscData!$AB$91,1,AH566+1)</f>
        <v>38</v>
      </c>
      <c r="AI567" s="34">
        <f>IF(AD567&lt;=MiscData!$B$23,MiscData!$C$23,IF(AD567&lt;=MiscData!$B$24,MiscData!$C$24,MiscData!$C$25))</f>
        <v>20140101</v>
      </c>
      <c r="AK567" s="439" t="str">
        <f>VLOOKUP(AM567,MiscData!$AB$4:$ACB$113,2,FALSE)</f>
        <v>KUUM_429</v>
      </c>
      <c r="AL567" s="439" t="str">
        <f>VLOOKUP(AM567,MiscData!$AB$4:$AE$115,4,FALSE)</f>
        <v>LS</v>
      </c>
      <c r="AM567" s="34">
        <f>IF(AM566=MiscData!$AB$91,1,AM566+1)</f>
        <v>38</v>
      </c>
    </row>
    <row r="568" spans="1:39">
      <c r="A568" s="389">
        <f t="shared" si="217"/>
        <v>567</v>
      </c>
      <c r="B568" s="395" t="str">
        <f t="shared" si="198"/>
        <v>Jul 2014</v>
      </c>
      <c r="C568" s="396" t="str">
        <f t="shared" si="199"/>
        <v>LS</v>
      </c>
      <c r="D568" s="396" t="str">
        <f t="shared" si="200"/>
        <v>KUUM_430</v>
      </c>
      <c r="E568" s="394">
        <f t="shared" si="201"/>
        <v>1181</v>
      </c>
      <c r="F568" s="397">
        <v>0</v>
      </c>
      <c r="G568" s="394">
        <f t="shared" si="202"/>
        <v>36690</v>
      </c>
      <c r="H568" s="394">
        <v>0</v>
      </c>
      <c r="I568" s="390">
        <f t="shared" si="203"/>
        <v>22</v>
      </c>
      <c r="J568" s="390">
        <f t="shared" si="204"/>
        <v>1.129999999999999</v>
      </c>
      <c r="K568" s="391">
        <f t="shared" si="218"/>
        <v>25982</v>
      </c>
      <c r="L568" s="398">
        <v>0</v>
      </c>
      <c r="M568" s="398">
        <v>0</v>
      </c>
      <c r="N568" s="164">
        <f t="shared" ref="N568:N631" si="220">SUM(K568:M568)</f>
        <v>25982</v>
      </c>
      <c r="O568" s="399">
        <f t="shared" si="205"/>
        <v>25982</v>
      </c>
      <c r="P568" s="392">
        <f t="shared" si="219"/>
        <v>1</v>
      </c>
      <c r="Q568" s="164">
        <f t="shared" si="206"/>
        <v>109.5</v>
      </c>
      <c r="R568" s="164">
        <f t="shared" si="207"/>
        <v>0</v>
      </c>
      <c r="S568" s="164">
        <f t="shared" si="208"/>
        <v>853.36</v>
      </c>
      <c r="T568" s="164">
        <f t="shared" si="209"/>
        <v>0</v>
      </c>
      <c r="U568" s="164">
        <f t="shared" si="210"/>
        <v>26944.86</v>
      </c>
      <c r="V568" s="393">
        <f t="shared" si="211"/>
        <v>26944.86</v>
      </c>
      <c r="W568" s="393">
        <f t="shared" si="212"/>
        <v>0</v>
      </c>
      <c r="Y568" s="393">
        <f t="shared" si="215"/>
        <v>1334.53</v>
      </c>
      <c r="Z568" s="393">
        <f t="shared" si="216"/>
        <v>24647.47</v>
      </c>
      <c r="AD568" s="395">
        <f>IF(AH568&gt;AH567,AD567,IF(AD567&lt;MiscData!$F$1,EOMONTH(AD567,1),EOMONTH(AD567,-11)))</f>
        <v>41851</v>
      </c>
      <c r="AE568" s="389" t="str">
        <f t="shared" si="213"/>
        <v>20140101KUUM_430</v>
      </c>
      <c r="AF568" s="437" t="str">
        <f t="shared" si="214"/>
        <v>20140101LS</v>
      </c>
      <c r="AG568" s="438"/>
      <c r="AH568" s="34">
        <f>IF(AH567=MiscData!$AB$91,1,AH567+1)</f>
        <v>39</v>
      </c>
      <c r="AI568" s="34">
        <f>IF(AD568&lt;=MiscData!$B$23,MiscData!$C$23,IF(AD568&lt;=MiscData!$B$24,MiscData!$C$24,MiscData!$C$25))</f>
        <v>20140101</v>
      </c>
      <c r="AK568" s="439" t="str">
        <f>VLOOKUP(AM568,MiscData!$AB$4:$ACB$113,2,FALSE)</f>
        <v>KUUM_430</v>
      </c>
      <c r="AL568" s="439" t="str">
        <f>VLOOKUP(AM568,MiscData!$AB$4:$AE$115,4,FALSE)</f>
        <v>LS</v>
      </c>
      <c r="AM568" s="34">
        <f>IF(AM567=MiscData!$AB$91,1,AM567+1)</f>
        <v>39</v>
      </c>
    </row>
    <row r="569" spans="1:39">
      <c r="A569" s="389">
        <f t="shared" si="217"/>
        <v>568</v>
      </c>
      <c r="B569" s="395" t="str">
        <f t="shared" si="198"/>
        <v>Jul 2014</v>
      </c>
      <c r="C569" s="396" t="str">
        <f t="shared" si="199"/>
        <v>RLS</v>
      </c>
      <c r="D569" s="396" t="str">
        <f t="shared" si="200"/>
        <v>KUUM_434</v>
      </c>
      <c r="E569" s="394">
        <f t="shared" si="201"/>
        <v>0</v>
      </c>
      <c r="F569" s="397">
        <v>0</v>
      </c>
      <c r="G569" s="394">
        <f t="shared" si="202"/>
        <v>0</v>
      </c>
      <c r="H569" s="394">
        <v>0</v>
      </c>
      <c r="I569" s="390">
        <f t="shared" si="203"/>
        <v>7.74</v>
      </c>
      <c r="J569" s="390">
        <f t="shared" si="204"/>
        <v>0.69999999999999929</v>
      </c>
      <c r="K569" s="391">
        <f t="shared" si="218"/>
        <v>0</v>
      </c>
      <c r="L569" s="398">
        <v>0</v>
      </c>
      <c r="M569" s="398">
        <v>0</v>
      </c>
      <c r="N569" s="164">
        <f t="shared" si="220"/>
        <v>0</v>
      </c>
      <c r="O569" s="399">
        <f t="shared" si="205"/>
        <v>0</v>
      </c>
      <c r="P569" s="392">
        <f t="shared" si="219"/>
        <v>1</v>
      </c>
      <c r="Q569" s="164">
        <f t="shared" si="206"/>
        <v>0</v>
      </c>
      <c r="R569" s="164">
        <f t="shared" si="207"/>
        <v>0</v>
      </c>
      <c r="S569" s="164">
        <f t="shared" si="208"/>
        <v>0</v>
      </c>
      <c r="T569" s="164">
        <f t="shared" si="209"/>
        <v>0</v>
      </c>
      <c r="U569" s="164">
        <f t="shared" si="210"/>
        <v>0</v>
      </c>
      <c r="V569" s="393">
        <f t="shared" si="211"/>
        <v>0</v>
      </c>
      <c r="W569" s="393">
        <f t="shared" si="212"/>
        <v>0</v>
      </c>
      <c r="Y569" s="393">
        <f t="shared" si="215"/>
        <v>0</v>
      </c>
      <c r="Z569" s="393">
        <f t="shared" si="216"/>
        <v>0</v>
      </c>
      <c r="AD569" s="395">
        <f>IF(AH569&gt;AH568,AD568,IF(AD568&lt;MiscData!$F$1,EOMONTH(AD568,1),EOMONTH(AD568,-11)))</f>
        <v>41851</v>
      </c>
      <c r="AE569" s="389" t="str">
        <f t="shared" si="213"/>
        <v>20140101KUUM_434</v>
      </c>
      <c r="AF569" s="437" t="str">
        <f t="shared" si="214"/>
        <v>20140101RLS</v>
      </c>
      <c r="AG569" s="438"/>
      <c r="AH569" s="34">
        <f>IF(AH568=MiscData!$AB$91,1,AH568+1)</f>
        <v>40</v>
      </c>
      <c r="AI569" s="34">
        <f>IF(AD569&lt;=MiscData!$B$23,MiscData!$C$23,IF(AD569&lt;=MiscData!$B$24,MiscData!$C$24,MiscData!$C$25))</f>
        <v>20140101</v>
      </c>
      <c r="AK569" s="439" t="str">
        <f>VLOOKUP(AM569,MiscData!$AB$4:$ACB$113,2,FALSE)</f>
        <v>KUUM_434</v>
      </c>
      <c r="AL569" s="439" t="str">
        <f>VLOOKUP(AM569,MiscData!$AB$4:$AE$115,4,FALSE)</f>
        <v>RLS</v>
      </c>
      <c r="AM569" s="34">
        <f>IF(AM568=MiscData!$AB$91,1,AM568+1)</f>
        <v>40</v>
      </c>
    </row>
    <row r="570" spans="1:39">
      <c r="A570" s="389">
        <f t="shared" si="217"/>
        <v>569</v>
      </c>
      <c r="B570" s="395" t="str">
        <f t="shared" ref="B570:B633" si="221">TEXT(AD570,"mmm yyyy")</f>
        <v>Jul 2014</v>
      </c>
      <c r="C570" s="396" t="str">
        <f t="shared" ref="C570:C633" si="222">AL570</f>
        <v>RLS</v>
      </c>
      <c r="D570" s="396" t="str">
        <f t="shared" ref="D570:D633" si="223">AK570</f>
        <v>KUUM_440</v>
      </c>
      <c r="E570" s="394">
        <f t="shared" ref="E570:E633" si="224">SUMIFS(_1055_Light_Count,_1055_RevMonth,$B570,_1055_RateCategory,$D570)</f>
        <v>2</v>
      </c>
      <c r="F570" s="397">
        <v>0</v>
      </c>
      <c r="G570" s="394">
        <f t="shared" ref="G570:G633" si="225">SUMIFS(_SBR_KWH,_SBR_Revenue_Month,$B570,_SBR_Rate_Category,$D570)</f>
        <v>33</v>
      </c>
      <c r="H570" s="394">
        <v>0</v>
      </c>
      <c r="I570" s="390">
        <f t="shared" ref="I570:I633" si="226">SUMIF(_Lights_Tariff_Category,$AE570,_Lights_Rates)</f>
        <v>13.610000000000001</v>
      </c>
      <c r="J570" s="390">
        <f t="shared" ref="J570:J633" si="227">SUMIF(_Lights_Tariff_Category,$AE570,_Rates_Lights_BaseFAC)</f>
        <v>0.57000000000000028</v>
      </c>
      <c r="K570" s="391">
        <f t="shared" si="218"/>
        <v>27.22</v>
      </c>
      <c r="L570" s="398">
        <v>0</v>
      </c>
      <c r="M570" s="398">
        <v>0</v>
      </c>
      <c r="N570" s="164">
        <f t="shared" si="220"/>
        <v>27.22</v>
      </c>
      <c r="O570" s="399">
        <f t="shared" ref="O570:O633" si="228">U570-SUM(Q570:T570)</f>
        <v>27.22</v>
      </c>
      <c r="P570" s="392">
        <f t="shared" si="219"/>
        <v>1</v>
      </c>
      <c r="Q570" s="164">
        <f t="shared" ref="Q570:Q633" si="229">SUMIFS(_SBR_FAC,_SBR_Revenue_Month,$B570,_SBR_Rate_Category,$D570)</f>
        <v>0.08</v>
      </c>
      <c r="R570" s="164">
        <f t="shared" ref="R570:R633" si="230">SUMIFS(_SBR_DSM,_SBR_Revenue_Month,$B570,_SBR_Rate_Category,$D570)</f>
        <v>0</v>
      </c>
      <c r="S570" s="164">
        <f t="shared" ref="S570:S633" si="231">SUMIFS(_SBR_ECR,_SBR_Revenue_Month,$B570,_SBR_Rate_Category,$D570)</f>
        <v>0.9</v>
      </c>
      <c r="T570" s="164">
        <f t="shared" ref="T570:T633" si="232">SUMIFS(_SBR_MSR,_SBR_Revenue_Month,$B570,_SBR_Rate_Category,$D570)</f>
        <v>0</v>
      </c>
      <c r="U570" s="164">
        <f t="shared" ref="U570:U633" si="233">SUMIFS(_SBR_Revenue_Actual,_SBR_Revenue_Month,$B570,_SBR_Rate_Category,$D570)</f>
        <v>28.2</v>
      </c>
      <c r="V570" s="393">
        <f t="shared" ref="V570:V633" si="234">SUM(N570,Q570:T570)</f>
        <v>28.199999999999996</v>
      </c>
      <c r="W570" s="393">
        <f t="shared" ref="W570:W633" si="235">U570-V570</f>
        <v>0</v>
      </c>
      <c r="Y570" s="393">
        <f t="shared" si="215"/>
        <v>1.1399999999999999</v>
      </c>
      <c r="Z570" s="393">
        <f t="shared" si="216"/>
        <v>26.08</v>
      </c>
      <c r="AD570" s="395">
        <f>IF(AH570&gt;AH569,AD569,IF(AD569&lt;MiscData!$F$1,EOMONTH(AD569,1),EOMONTH(AD569,-11)))</f>
        <v>41851</v>
      </c>
      <c r="AE570" s="389" t="str">
        <f t="shared" ref="AE570:AE633" si="236">CONCATENATE(AI570&amp;AK570)</f>
        <v>20140101KUUM_440</v>
      </c>
      <c r="AF570" s="437" t="str">
        <f t="shared" ref="AF570:AF633" si="237">CONCATENATE(AI570&amp;AL570)</f>
        <v>20140101RLS</v>
      </c>
      <c r="AG570" s="438"/>
      <c r="AH570" s="34">
        <f>IF(AH569=MiscData!$AB$91,1,AH569+1)</f>
        <v>41</v>
      </c>
      <c r="AI570" s="34">
        <f>IF(AD570&lt;=MiscData!$B$23,MiscData!$C$23,IF(AD570&lt;=MiscData!$B$24,MiscData!$C$24,MiscData!$C$25))</f>
        <v>20140101</v>
      </c>
      <c r="AK570" s="439" t="str">
        <f>VLOOKUP(AM570,MiscData!$AB$4:$ACB$113,2,FALSE)</f>
        <v>KUUM_440</v>
      </c>
      <c r="AL570" s="439" t="str">
        <f>VLOOKUP(AM570,MiscData!$AB$4:$AE$115,4,FALSE)</f>
        <v>RLS</v>
      </c>
      <c r="AM570" s="34">
        <f>IF(AM569=MiscData!$AB$91,1,AM569+1)</f>
        <v>41</v>
      </c>
    </row>
    <row r="571" spans="1:39">
      <c r="A571" s="389">
        <f t="shared" si="217"/>
        <v>570</v>
      </c>
      <c r="B571" s="395" t="str">
        <f t="shared" si="221"/>
        <v>Jul 2014</v>
      </c>
      <c r="C571" s="396" t="str">
        <f t="shared" si="222"/>
        <v>RLS</v>
      </c>
      <c r="D571" s="396" t="str">
        <f t="shared" si="223"/>
        <v>KUUM_446</v>
      </c>
      <c r="E571" s="394">
        <f t="shared" si="224"/>
        <v>1079</v>
      </c>
      <c r="F571" s="397">
        <v>0</v>
      </c>
      <c r="G571" s="394">
        <f t="shared" si="225"/>
        <v>58497</v>
      </c>
      <c r="H571" s="394">
        <v>0</v>
      </c>
      <c r="I571" s="390">
        <f t="shared" si="226"/>
        <v>9.5600000000000023</v>
      </c>
      <c r="J571" s="390">
        <f t="shared" si="227"/>
        <v>1.9900000000000002</v>
      </c>
      <c r="K571" s="391">
        <f t="shared" si="218"/>
        <v>10315.24</v>
      </c>
      <c r="L571" s="398">
        <v>-7.25</v>
      </c>
      <c r="M571" s="398">
        <v>0</v>
      </c>
      <c r="N571" s="164">
        <f t="shared" si="220"/>
        <v>10307.99</v>
      </c>
      <c r="O571" s="399">
        <f t="shared" si="228"/>
        <v>10307.99</v>
      </c>
      <c r="P571" s="392">
        <f t="shared" si="219"/>
        <v>1</v>
      </c>
      <c r="Q571" s="164">
        <f t="shared" si="229"/>
        <v>175.1</v>
      </c>
      <c r="R571" s="164">
        <f t="shared" si="230"/>
        <v>0</v>
      </c>
      <c r="S571" s="164">
        <f t="shared" si="231"/>
        <v>342.71</v>
      </c>
      <c r="T571" s="164">
        <f t="shared" si="232"/>
        <v>0</v>
      </c>
      <c r="U571" s="164">
        <f t="shared" si="233"/>
        <v>10825.8</v>
      </c>
      <c r="V571" s="393">
        <f t="shared" si="234"/>
        <v>10825.8</v>
      </c>
      <c r="W571" s="393">
        <f t="shared" si="235"/>
        <v>0</v>
      </c>
      <c r="Y571" s="393">
        <f t="shared" ref="Y571:Y634" si="238">ROUND(E571*J571,2)</f>
        <v>2147.21</v>
      </c>
      <c r="Z571" s="393">
        <f t="shared" ref="Z571:Z634" si="239">O571-Y571</f>
        <v>8160.78</v>
      </c>
      <c r="AD571" s="395">
        <f>IF(AH571&gt;AH570,AD570,IF(AD570&lt;MiscData!$F$1,EOMONTH(AD570,1),EOMONTH(AD570,-11)))</f>
        <v>41851</v>
      </c>
      <c r="AE571" s="389" t="str">
        <f t="shared" si="236"/>
        <v>20140101KUUM_446</v>
      </c>
      <c r="AF571" s="437" t="str">
        <f t="shared" si="237"/>
        <v>20140101RLS</v>
      </c>
      <c r="AG571" s="438"/>
      <c r="AH571" s="34">
        <f>IF(AH570=MiscData!$AB$91,1,AH570+1)</f>
        <v>42</v>
      </c>
      <c r="AI571" s="34">
        <f>IF(AD571&lt;=MiscData!$B$23,MiscData!$C$23,IF(AD571&lt;=MiscData!$B$24,MiscData!$C$24,MiscData!$C$25))</f>
        <v>20140101</v>
      </c>
      <c r="AK571" s="439" t="str">
        <f>VLOOKUP(AM571,MiscData!$AB$4:$ACB$113,2,FALSE)</f>
        <v>KUUM_446</v>
      </c>
      <c r="AL571" s="439" t="str">
        <f>VLOOKUP(AM571,MiscData!$AB$4:$AE$115,4,FALSE)</f>
        <v>RLS</v>
      </c>
      <c r="AM571" s="34">
        <f>IF(AM570=MiscData!$AB$91,1,AM570+1)</f>
        <v>42</v>
      </c>
    </row>
    <row r="572" spans="1:39">
      <c r="A572" s="389">
        <f t="shared" ref="A572:A635" si="240">A571+1</f>
        <v>571</v>
      </c>
      <c r="B572" s="395" t="str">
        <f t="shared" si="221"/>
        <v>Jul 2014</v>
      </c>
      <c r="C572" s="396" t="str">
        <f t="shared" si="222"/>
        <v>RLS</v>
      </c>
      <c r="D572" s="396" t="str">
        <f t="shared" si="223"/>
        <v>KUUM_447</v>
      </c>
      <c r="E572" s="394">
        <f t="shared" si="224"/>
        <v>711</v>
      </c>
      <c r="F572" s="397">
        <v>0</v>
      </c>
      <c r="G572" s="394">
        <f t="shared" si="225"/>
        <v>57967</v>
      </c>
      <c r="H572" s="394">
        <v>0</v>
      </c>
      <c r="I572" s="390">
        <f t="shared" si="226"/>
        <v>11.32</v>
      </c>
      <c r="J572" s="390">
        <f t="shared" si="227"/>
        <v>2.8400000000000016</v>
      </c>
      <c r="K572" s="391">
        <f t="shared" si="218"/>
        <v>8048.52</v>
      </c>
      <c r="L572" s="398">
        <v>0</v>
      </c>
      <c r="M572" s="398">
        <v>0</v>
      </c>
      <c r="N572" s="164">
        <f t="shared" si="220"/>
        <v>8048.52</v>
      </c>
      <c r="O572" s="399">
        <f t="shared" si="228"/>
        <v>8048.5199999999995</v>
      </c>
      <c r="P572" s="392">
        <f t="shared" si="219"/>
        <v>1</v>
      </c>
      <c r="Q572" s="164">
        <f t="shared" si="229"/>
        <v>282.51</v>
      </c>
      <c r="R572" s="164">
        <f t="shared" si="230"/>
        <v>0</v>
      </c>
      <c r="S572" s="164">
        <f t="shared" si="231"/>
        <v>250.28</v>
      </c>
      <c r="T572" s="164">
        <f t="shared" si="232"/>
        <v>0</v>
      </c>
      <c r="U572" s="164">
        <f t="shared" si="233"/>
        <v>8581.31</v>
      </c>
      <c r="V572" s="393">
        <f t="shared" si="234"/>
        <v>8581.3100000000013</v>
      </c>
      <c r="W572" s="393">
        <f t="shared" si="235"/>
        <v>0</v>
      </c>
      <c r="Y572" s="393">
        <f t="shared" si="238"/>
        <v>2019.24</v>
      </c>
      <c r="Z572" s="393">
        <f t="shared" si="239"/>
        <v>6029.28</v>
      </c>
      <c r="AD572" s="395">
        <f>IF(AH572&gt;AH571,AD571,IF(AD571&lt;MiscData!$F$1,EOMONTH(AD571,1),EOMONTH(AD571,-11)))</f>
        <v>41851</v>
      </c>
      <c r="AE572" s="389" t="str">
        <f t="shared" si="236"/>
        <v>20140101KUUM_447</v>
      </c>
      <c r="AF572" s="437" t="str">
        <f t="shared" si="237"/>
        <v>20140101RLS</v>
      </c>
      <c r="AG572" s="438"/>
      <c r="AH572" s="34">
        <f>IF(AH571=MiscData!$AB$91,1,AH571+1)</f>
        <v>43</v>
      </c>
      <c r="AI572" s="34">
        <f>IF(AD572&lt;=MiscData!$B$23,MiscData!$C$23,IF(AD572&lt;=MiscData!$B$24,MiscData!$C$24,MiscData!$C$25))</f>
        <v>20140101</v>
      </c>
      <c r="AK572" s="439" t="str">
        <f>VLOOKUP(AM572,MiscData!$AB$4:$ACB$113,2,FALSE)</f>
        <v>KUUM_447</v>
      </c>
      <c r="AL572" s="439" t="str">
        <f>VLOOKUP(AM572,MiscData!$AB$4:$AE$115,4,FALSE)</f>
        <v>RLS</v>
      </c>
      <c r="AM572" s="34">
        <f>IF(AM571=MiscData!$AB$91,1,AM571+1)</f>
        <v>43</v>
      </c>
    </row>
    <row r="573" spans="1:39">
      <c r="A573" s="389">
        <f t="shared" si="240"/>
        <v>572</v>
      </c>
      <c r="B573" s="395" t="str">
        <f t="shared" si="221"/>
        <v>Jul 2014</v>
      </c>
      <c r="C573" s="396" t="str">
        <f t="shared" si="222"/>
        <v>RLS</v>
      </c>
      <c r="D573" s="396" t="str">
        <f t="shared" si="223"/>
        <v>KUUM_448</v>
      </c>
      <c r="E573" s="394">
        <f t="shared" si="224"/>
        <v>1484</v>
      </c>
      <c r="F573" s="397">
        <v>0</v>
      </c>
      <c r="G573" s="394">
        <f t="shared" si="225"/>
        <v>178431</v>
      </c>
      <c r="H573" s="394">
        <v>0</v>
      </c>
      <c r="I573" s="390">
        <f t="shared" si="226"/>
        <v>12.809999999999999</v>
      </c>
      <c r="J573" s="390">
        <f t="shared" si="227"/>
        <v>4.37</v>
      </c>
      <c r="K573" s="391">
        <f t="shared" si="218"/>
        <v>19010.04</v>
      </c>
      <c r="L573" s="398">
        <v>-25.72</v>
      </c>
      <c r="M573" s="398">
        <v>0</v>
      </c>
      <c r="N573" s="164">
        <f t="shared" si="220"/>
        <v>18984.32</v>
      </c>
      <c r="O573" s="399">
        <f t="shared" si="228"/>
        <v>18984.32</v>
      </c>
      <c r="P573" s="392">
        <f t="shared" si="219"/>
        <v>1</v>
      </c>
      <c r="Q573" s="164">
        <f t="shared" si="229"/>
        <v>629.33000000000004</v>
      </c>
      <c r="R573" s="164">
        <f t="shared" si="230"/>
        <v>0</v>
      </c>
      <c r="S573" s="164">
        <f t="shared" si="231"/>
        <v>626.25</v>
      </c>
      <c r="T573" s="164">
        <f t="shared" si="232"/>
        <v>0</v>
      </c>
      <c r="U573" s="164">
        <f t="shared" si="233"/>
        <v>20239.900000000001</v>
      </c>
      <c r="V573" s="393">
        <f t="shared" si="234"/>
        <v>20239.900000000001</v>
      </c>
      <c r="W573" s="393">
        <f t="shared" si="235"/>
        <v>0</v>
      </c>
      <c r="Y573" s="393">
        <f t="shared" si="238"/>
        <v>6485.08</v>
      </c>
      <c r="Z573" s="393">
        <f t="shared" si="239"/>
        <v>12499.24</v>
      </c>
      <c r="AD573" s="395">
        <f>IF(AH573&gt;AH572,AD572,IF(AD572&lt;MiscData!$F$1,EOMONTH(AD572,1),EOMONTH(AD572,-11)))</f>
        <v>41851</v>
      </c>
      <c r="AE573" s="389" t="str">
        <f t="shared" si="236"/>
        <v>20140101KUUM_448</v>
      </c>
      <c r="AF573" s="437" t="str">
        <f t="shared" si="237"/>
        <v>20140101RLS</v>
      </c>
      <c r="AG573" s="438"/>
      <c r="AH573" s="34">
        <f>IF(AH572=MiscData!$AB$91,1,AH572+1)</f>
        <v>44</v>
      </c>
      <c r="AI573" s="34">
        <f>IF(AD573&lt;=MiscData!$B$23,MiscData!$C$23,IF(AD573&lt;=MiscData!$B$24,MiscData!$C$24,MiscData!$C$25))</f>
        <v>20140101</v>
      </c>
      <c r="AK573" s="439" t="str">
        <f>VLOOKUP(AM573,MiscData!$AB$4:$ACB$113,2,FALSE)</f>
        <v>KUUM_448</v>
      </c>
      <c r="AL573" s="439" t="str">
        <f>VLOOKUP(AM573,MiscData!$AB$4:$AE$115,4,FALSE)</f>
        <v>RLS</v>
      </c>
      <c r="AM573" s="34">
        <f>IF(AM572=MiscData!$AB$91,1,AM572+1)</f>
        <v>44</v>
      </c>
    </row>
    <row r="574" spans="1:39">
      <c r="A574" s="389">
        <f t="shared" si="240"/>
        <v>573</v>
      </c>
      <c r="B574" s="395" t="str">
        <f t="shared" si="221"/>
        <v>Jul 2014</v>
      </c>
      <c r="C574" s="396" t="str">
        <f t="shared" si="222"/>
        <v>LS</v>
      </c>
      <c r="D574" s="396" t="str">
        <f t="shared" si="223"/>
        <v>KUUM_450</v>
      </c>
      <c r="E574" s="394">
        <f t="shared" si="224"/>
        <v>673</v>
      </c>
      <c r="F574" s="397">
        <v>0</v>
      </c>
      <c r="G574" s="394">
        <f t="shared" si="225"/>
        <v>26775</v>
      </c>
      <c r="H574" s="394">
        <v>0</v>
      </c>
      <c r="I574" s="390">
        <f t="shared" si="226"/>
        <v>14.25</v>
      </c>
      <c r="J574" s="390">
        <f t="shared" si="227"/>
        <v>1.9699999999999989</v>
      </c>
      <c r="K574" s="391">
        <f t="shared" si="218"/>
        <v>9590.25</v>
      </c>
      <c r="L574" s="398">
        <v>0.02</v>
      </c>
      <c r="M574" s="398">
        <v>0</v>
      </c>
      <c r="N574" s="164">
        <f t="shared" si="220"/>
        <v>9590.27</v>
      </c>
      <c r="O574" s="399">
        <f t="shared" si="228"/>
        <v>9590.27</v>
      </c>
      <c r="P574" s="392">
        <f t="shared" si="219"/>
        <v>1</v>
      </c>
      <c r="Q574" s="164">
        <f t="shared" si="229"/>
        <v>70.709999999999994</v>
      </c>
      <c r="R574" s="164">
        <f t="shared" si="230"/>
        <v>0</v>
      </c>
      <c r="S574" s="164">
        <f t="shared" si="231"/>
        <v>321.27</v>
      </c>
      <c r="T574" s="164">
        <f t="shared" si="232"/>
        <v>0</v>
      </c>
      <c r="U574" s="164">
        <f t="shared" si="233"/>
        <v>9982.25</v>
      </c>
      <c r="V574" s="393">
        <f t="shared" si="234"/>
        <v>9982.25</v>
      </c>
      <c r="W574" s="393">
        <f t="shared" si="235"/>
        <v>0</v>
      </c>
      <c r="Y574" s="393">
        <f t="shared" si="238"/>
        <v>1325.81</v>
      </c>
      <c r="Z574" s="393">
        <f t="shared" si="239"/>
        <v>8264.4600000000009</v>
      </c>
      <c r="AD574" s="395">
        <f>IF(AH574&gt;AH573,AD573,IF(AD573&lt;MiscData!$F$1,EOMONTH(AD573,1),EOMONTH(AD573,-11)))</f>
        <v>41851</v>
      </c>
      <c r="AE574" s="389" t="str">
        <f t="shared" si="236"/>
        <v>20140101KUUM_450</v>
      </c>
      <c r="AF574" s="437" t="str">
        <f t="shared" si="237"/>
        <v>20140101LS</v>
      </c>
      <c r="AG574" s="438"/>
      <c r="AH574" s="34">
        <f>IF(AH573=MiscData!$AB$91,1,AH573+1)</f>
        <v>45</v>
      </c>
      <c r="AI574" s="34">
        <f>IF(AD574&lt;=MiscData!$B$23,MiscData!$C$23,IF(AD574&lt;=MiscData!$B$24,MiscData!$C$24,MiscData!$C$25))</f>
        <v>20140101</v>
      </c>
      <c r="AK574" s="439" t="str">
        <f>VLOOKUP(AM574,MiscData!$AB$4:$ACB$113,2,FALSE)</f>
        <v>KUUM_450</v>
      </c>
      <c r="AL574" s="439" t="str">
        <f>VLOOKUP(AM574,MiscData!$AB$4:$AE$115,4,FALSE)</f>
        <v>LS</v>
      </c>
      <c r="AM574" s="34">
        <f>IF(AM573=MiscData!$AB$91,1,AM573+1)</f>
        <v>45</v>
      </c>
    </row>
    <row r="575" spans="1:39">
      <c r="A575" s="389">
        <f t="shared" si="240"/>
        <v>574</v>
      </c>
      <c r="B575" s="395" t="str">
        <f t="shared" si="221"/>
        <v>Jul 2014</v>
      </c>
      <c r="C575" s="396" t="str">
        <f t="shared" si="222"/>
        <v>LS</v>
      </c>
      <c r="D575" s="396" t="str">
        <f t="shared" si="223"/>
        <v>KUUM_451</v>
      </c>
      <c r="E575" s="394">
        <f t="shared" si="224"/>
        <v>5257</v>
      </c>
      <c r="F575" s="397">
        <v>0</v>
      </c>
      <c r="G575" s="394">
        <f t="shared" si="225"/>
        <v>488822</v>
      </c>
      <c r="H575" s="394">
        <v>0</v>
      </c>
      <c r="I575" s="390">
        <f t="shared" si="226"/>
        <v>20.200000000000003</v>
      </c>
      <c r="J575" s="390">
        <f t="shared" si="227"/>
        <v>4.2900000000000027</v>
      </c>
      <c r="K575" s="391">
        <f t="shared" si="218"/>
        <v>106191.4</v>
      </c>
      <c r="L575" s="398">
        <v>-109.85</v>
      </c>
      <c r="M575" s="398">
        <v>0</v>
      </c>
      <c r="N575" s="164">
        <f t="shared" si="220"/>
        <v>106081.54999999999</v>
      </c>
      <c r="O575" s="399">
        <f t="shared" si="228"/>
        <v>106081.54999999999</v>
      </c>
      <c r="P575" s="392">
        <f t="shared" si="219"/>
        <v>1</v>
      </c>
      <c r="Q575" s="164">
        <f t="shared" si="229"/>
        <v>1298.6500000000001</v>
      </c>
      <c r="R575" s="164">
        <f t="shared" si="230"/>
        <v>0</v>
      </c>
      <c r="S575" s="164">
        <f t="shared" si="231"/>
        <v>3558.92</v>
      </c>
      <c r="T575" s="164">
        <f t="shared" si="232"/>
        <v>0</v>
      </c>
      <c r="U575" s="164">
        <f t="shared" si="233"/>
        <v>110939.12</v>
      </c>
      <c r="V575" s="393">
        <f t="shared" si="234"/>
        <v>110939.11999999998</v>
      </c>
      <c r="W575" s="393">
        <f t="shared" si="235"/>
        <v>0</v>
      </c>
      <c r="Y575" s="393">
        <f t="shared" si="238"/>
        <v>22552.53</v>
      </c>
      <c r="Z575" s="393">
        <f t="shared" si="239"/>
        <v>83529.01999999999</v>
      </c>
      <c r="AD575" s="395">
        <f>IF(AH575&gt;AH574,AD574,IF(AD574&lt;MiscData!$F$1,EOMONTH(AD574,1),EOMONTH(AD574,-11)))</f>
        <v>41851</v>
      </c>
      <c r="AE575" s="389" t="str">
        <f t="shared" si="236"/>
        <v>20140101KUUM_451</v>
      </c>
      <c r="AF575" s="437" t="str">
        <f t="shared" si="237"/>
        <v>20140101LS</v>
      </c>
      <c r="AG575" s="438"/>
      <c r="AH575" s="34">
        <f>IF(AH574=MiscData!$AB$91,1,AH574+1)</f>
        <v>46</v>
      </c>
      <c r="AI575" s="34">
        <f>IF(AD575&lt;=MiscData!$B$23,MiscData!$C$23,IF(AD575&lt;=MiscData!$B$24,MiscData!$C$24,MiscData!$C$25))</f>
        <v>20140101</v>
      </c>
      <c r="AK575" s="439" t="str">
        <f>VLOOKUP(AM575,MiscData!$AB$4:$ACB$113,2,FALSE)</f>
        <v>KUUM_451</v>
      </c>
      <c r="AL575" s="439" t="str">
        <f>VLOOKUP(AM575,MiscData!$AB$4:$AE$115,4,FALSE)</f>
        <v>LS</v>
      </c>
      <c r="AM575" s="34">
        <f>IF(AM574=MiscData!$AB$91,1,AM574+1)</f>
        <v>46</v>
      </c>
    </row>
    <row r="576" spans="1:39">
      <c r="A576" s="389">
        <f t="shared" si="240"/>
        <v>575</v>
      </c>
      <c r="B576" s="395" t="str">
        <f t="shared" si="221"/>
        <v>Jul 2014</v>
      </c>
      <c r="C576" s="396" t="str">
        <f t="shared" si="222"/>
        <v>LS</v>
      </c>
      <c r="D576" s="396" t="str">
        <f t="shared" si="223"/>
        <v>KUUM_452</v>
      </c>
      <c r="E576" s="394">
        <f t="shared" si="224"/>
        <v>1049</v>
      </c>
      <c r="F576" s="397">
        <v>0</v>
      </c>
      <c r="G576" s="394">
        <f t="shared" si="225"/>
        <v>297944</v>
      </c>
      <c r="H576" s="394">
        <v>0</v>
      </c>
      <c r="I576" s="390">
        <f t="shared" si="226"/>
        <v>42.350000000000009</v>
      </c>
      <c r="J576" s="390">
        <f t="shared" si="227"/>
        <v>10.410000000000004</v>
      </c>
      <c r="K576" s="391">
        <f t="shared" si="218"/>
        <v>44425.15</v>
      </c>
      <c r="L576" s="398">
        <v>-239.97</v>
      </c>
      <c r="M576" s="398">
        <v>0</v>
      </c>
      <c r="N576" s="164">
        <f t="shared" si="220"/>
        <v>44185.18</v>
      </c>
      <c r="O576" s="399">
        <f t="shared" si="228"/>
        <v>44185.18</v>
      </c>
      <c r="P576" s="392">
        <f t="shared" si="219"/>
        <v>1</v>
      </c>
      <c r="Q576" s="164">
        <f t="shared" si="229"/>
        <v>782.28</v>
      </c>
      <c r="R576" s="164">
        <f t="shared" si="230"/>
        <v>0</v>
      </c>
      <c r="S576" s="164">
        <f t="shared" si="231"/>
        <v>1493.01</v>
      </c>
      <c r="T576" s="164">
        <f t="shared" si="232"/>
        <v>0</v>
      </c>
      <c r="U576" s="164">
        <f t="shared" si="233"/>
        <v>46460.47</v>
      </c>
      <c r="V576" s="393">
        <f t="shared" si="234"/>
        <v>46460.47</v>
      </c>
      <c r="W576" s="393">
        <f t="shared" si="235"/>
        <v>0</v>
      </c>
      <c r="Y576" s="393">
        <f t="shared" si="238"/>
        <v>10920.09</v>
      </c>
      <c r="Z576" s="393">
        <f t="shared" si="239"/>
        <v>33265.089999999997</v>
      </c>
      <c r="AD576" s="395">
        <f>IF(AH576&gt;AH575,AD575,IF(AD575&lt;MiscData!$F$1,EOMONTH(AD575,1),EOMONTH(AD575,-11)))</f>
        <v>41851</v>
      </c>
      <c r="AE576" s="389" t="str">
        <f t="shared" si="236"/>
        <v>20140101KUUM_452</v>
      </c>
      <c r="AF576" s="437" t="str">
        <f t="shared" si="237"/>
        <v>20140101LS</v>
      </c>
      <c r="AG576" s="438"/>
      <c r="AH576" s="34">
        <f>IF(AH575=MiscData!$AB$91,1,AH575+1)</f>
        <v>47</v>
      </c>
      <c r="AI576" s="34">
        <f>IF(AD576&lt;=MiscData!$B$23,MiscData!$C$23,IF(AD576&lt;=MiscData!$B$24,MiscData!$C$24,MiscData!$C$25))</f>
        <v>20140101</v>
      </c>
      <c r="AK576" s="439" t="str">
        <f>VLOOKUP(AM576,MiscData!$AB$4:$ACB$113,2,FALSE)</f>
        <v>KUUM_452</v>
      </c>
      <c r="AL576" s="439" t="str">
        <f>VLOOKUP(AM576,MiscData!$AB$4:$AE$115,4,FALSE)</f>
        <v>LS</v>
      </c>
      <c r="AM576" s="34">
        <f>IF(AM575=MiscData!$AB$91,1,AM575+1)</f>
        <v>47</v>
      </c>
    </row>
    <row r="577" spans="1:39">
      <c r="A577" s="389">
        <f t="shared" si="240"/>
        <v>576</v>
      </c>
      <c r="B577" s="395" t="str">
        <f t="shared" si="221"/>
        <v>Jul 2014</v>
      </c>
      <c r="C577" s="396" t="str">
        <f t="shared" si="222"/>
        <v>RLS</v>
      </c>
      <c r="D577" s="396" t="str">
        <f t="shared" si="223"/>
        <v>KUUM_454</v>
      </c>
      <c r="E577" s="394">
        <f t="shared" si="224"/>
        <v>152</v>
      </c>
      <c r="F577" s="397">
        <v>0</v>
      </c>
      <c r="G577" s="394">
        <f t="shared" si="225"/>
        <v>6013</v>
      </c>
      <c r="H577" s="394">
        <v>0</v>
      </c>
      <c r="I577" s="390">
        <f t="shared" si="226"/>
        <v>18.649999999999999</v>
      </c>
      <c r="J577" s="390">
        <f t="shared" si="227"/>
        <v>1.9699999999999989</v>
      </c>
      <c r="K577" s="391">
        <f t="shared" si="218"/>
        <v>2834.8</v>
      </c>
      <c r="L577" s="398">
        <v>-10.57</v>
      </c>
      <c r="M577" s="398">
        <v>0</v>
      </c>
      <c r="N577" s="164">
        <f t="shared" si="220"/>
        <v>2824.23</v>
      </c>
      <c r="O577" s="399">
        <f t="shared" si="228"/>
        <v>2824.23</v>
      </c>
      <c r="P577" s="392">
        <f t="shared" si="219"/>
        <v>1</v>
      </c>
      <c r="Q577" s="164">
        <f t="shared" si="229"/>
        <v>16.12</v>
      </c>
      <c r="R577" s="164">
        <f t="shared" si="230"/>
        <v>0</v>
      </c>
      <c r="S577" s="164">
        <f t="shared" si="231"/>
        <v>93.65</v>
      </c>
      <c r="T577" s="164">
        <f t="shared" si="232"/>
        <v>0</v>
      </c>
      <c r="U577" s="164">
        <f t="shared" si="233"/>
        <v>2934</v>
      </c>
      <c r="V577" s="393">
        <f t="shared" si="234"/>
        <v>2934</v>
      </c>
      <c r="W577" s="393">
        <f t="shared" si="235"/>
        <v>0</v>
      </c>
      <c r="Y577" s="393">
        <f t="shared" si="238"/>
        <v>299.44</v>
      </c>
      <c r="Z577" s="393">
        <f t="shared" si="239"/>
        <v>2524.79</v>
      </c>
      <c r="AD577" s="395">
        <f>IF(AH577&gt;AH576,AD576,IF(AD576&lt;MiscData!$F$1,EOMONTH(AD576,1),EOMONTH(AD576,-11)))</f>
        <v>41851</v>
      </c>
      <c r="AE577" s="389" t="str">
        <f t="shared" si="236"/>
        <v>20140101KUUM_454</v>
      </c>
      <c r="AF577" s="437" t="str">
        <f t="shared" si="237"/>
        <v>20140101RLS</v>
      </c>
      <c r="AG577" s="438"/>
      <c r="AH577" s="34">
        <f>IF(AH576=MiscData!$AB$91,1,AH576+1)</f>
        <v>48</v>
      </c>
      <c r="AI577" s="34">
        <f>IF(AD577&lt;=MiscData!$B$23,MiscData!$C$23,IF(AD577&lt;=MiscData!$B$24,MiscData!$C$24,MiscData!$C$25))</f>
        <v>20140101</v>
      </c>
      <c r="AK577" s="439" t="str">
        <f>VLOOKUP(AM577,MiscData!$AB$4:$ACB$113,2,FALSE)</f>
        <v>KUUM_454</v>
      </c>
      <c r="AL577" s="439" t="str">
        <f>VLOOKUP(AM577,MiscData!$AB$4:$AE$115,4,FALSE)</f>
        <v>RLS</v>
      </c>
      <c r="AM577" s="34">
        <f>IF(AM576=MiscData!$AB$91,1,AM576+1)</f>
        <v>48</v>
      </c>
    </row>
    <row r="578" spans="1:39">
      <c r="A578" s="389">
        <f t="shared" si="240"/>
        <v>577</v>
      </c>
      <c r="B578" s="395" t="str">
        <f t="shared" si="221"/>
        <v>Jul 2014</v>
      </c>
      <c r="C578" s="396" t="str">
        <f t="shared" si="222"/>
        <v>RLS</v>
      </c>
      <c r="D578" s="396" t="str">
        <f t="shared" si="223"/>
        <v>KUUM_455</v>
      </c>
      <c r="E578" s="394">
        <f t="shared" si="224"/>
        <v>1032</v>
      </c>
      <c r="F578" s="397">
        <v>0</v>
      </c>
      <c r="G578" s="394">
        <f t="shared" si="225"/>
        <v>95717</v>
      </c>
      <c r="H578" s="394">
        <v>0</v>
      </c>
      <c r="I578" s="390">
        <f t="shared" si="226"/>
        <v>24.59</v>
      </c>
      <c r="J578" s="390">
        <f t="shared" si="227"/>
        <v>4.2899999999999991</v>
      </c>
      <c r="K578" s="391">
        <f t="shared" si="218"/>
        <v>25376.880000000001</v>
      </c>
      <c r="L578" s="398">
        <v>-14.42</v>
      </c>
      <c r="M578" s="398">
        <v>0</v>
      </c>
      <c r="N578" s="164">
        <f t="shared" si="220"/>
        <v>25362.460000000003</v>
      </c>
      <c r="O578" s="399">
        <f t="shared" si="228"/>
        <v>25362.46</v>
      </c>
      <c r="P578" s="392">
        <f t="shared" si="219"/>
        <v>1</v>
      </c>
      <c r="Q578" s="164">
        <f t="shared" si="229"/>
        <v>252.68</v>
      </c>
      <c r="R578" s="164">
        <f t="shared" si="230"/>
        <v>0</v>
      </c>
      <c r="S578" s="164">
        <f t="shared" si="231"/>
        <v>850.81</v>
      </c>
      <c r="T578" s="164">
        <f t="shared" si="232"/>
        <v>0</v>
      </c>
      <c r="U578" s="164">
        <f t="shared" si="233"/>
        <v>26465.95</v>
      </c>
      <c r="V578" s="393">
        <f t="shared" si="234"/>
        <v>26465.950000000004</v>
      </c>
      <c r="W578" s="393">
        <f t="shared" si="235"/>
        <v>0</v>
      </c>
      <c r="Y578" s="393">
        <f t="shared" si="238"/>
        <v>4427.28</v>
      </c>
      <c r="Z578" s="393">
        <f t="shared" si="239"/>
        <v>20935.18</v>
      </c>
      <c r="AD578" s="395">
        <f>IF(AH578&gt;AH577,AD577,IF(AD577&lt;MiscData!$F$1,EOMONTH(AD577,1),EOMONTH(AD577,-11)))</f>
        <v>41851</v>
      </c>
      <c r="AE578" s="389" t="str">
        <f t="shared" si="236"/>
        <v>20140101KUUM_455</v>
      </c>
      <c r="AF578" s="437" t="str">
        <f t="shared" si="237"/>
        <v>20140101RLS</v>
      </c>
      <c r="AG578" s="438"/>
      <c r="AH578" s="34">
        <f>IF(AH577=MiscData!$AB$91,1,AH577+1)</f>
        <v>49</v>
      </c>
      <c r="AI578" s="34">
        <f>IF(AD578&lt;=MiscData!$B$23,MiscData!$C$23,IF(AD578&lt;=MiscData!$B$24,MiscData!$C$24,MiscData!$C$25))</f>
        <v>20140101</v>
      </c>
      <c r="AK578" s="439" t="str">
        <f>VLOOKUP(AM578,MiscData!$AB$4:$ACB$113,2,FALSE)</f>
        <v>KUUM_455</v>
      </c>
      <c r="AL578" s="439" t="str">
        <f>VLOOKUP(AM578,MiscData!$AB$4:$AE$115,4,FALSE)</f>
        <v>RLS</v>
      </c>
      <c r="AM578" s="34">
        <f>IF(AM577=MiscData!$AB$91,1,AM577+1)</f>
        <v>49</v>
      </c>
    </row>
    <row r="579" spans="1:39">
      <c r="A579" s="389">
        <f t="shared" si="240"/>
        <v>578</v>
      </c>
      <c r="B579" s="395" t="str">
        <f t="shared" si="221"/>
        <v>Jul 2014</v>
      </c>
      <c r="C579" s="396" t="str">
        <f t="shared" si="222"/>
        <v>RLS</v>
      </c>
      <c r="D579" s="396" t="str">
        <f t="shared" si="223"/>
        <v>KUUM_456</v>
      </c>
      <c r="E579" s="394">
        <f t="shared" si="224"/>
        <v>141</v>
      </c>
      <c r="F579" s="397">
        <v>0</v>
      </c>
      <c r="G579" s="394">
        <f t="shared" si="225"/>
        <v>7634</v>
      </c>
      <c r="H579" s="394">
        <v>0</v>
      </c>
      <c r="I579" s="390">
        <f t="shared" si="226"/>
        <v>11.870000000000001</v>
      </c>
      <c r="J579" s="390">
        <f t="shared" si="227"/>
        <v>1.9900000000000002</v>
      </c>
      <c r="K579" s="391">
        <f t="shared" ref="K579:K642" si="241">ROUND(($E579+$F579)*$I579,2)</f>
        <v>1673.67</v>
      </c>
      <c r="L579" s="398">
        <v>0</v>
      </c>
      <c r="M579" s="398">
        <v>0</v>
      </c>
      <c r="N579" s="164">
        <f t="shared" si="220"/>
        <v>1673.67</v>
      </c>
      <c r="O579" s="399">
        <f t="shared" si="228"/>
        <v>1673.67</v>
      </c>
      <c r="P579" s="392">
        <f t="shared" ref="P579:P642" si="242">IF(AND(N579=0,O579=0),1,IF(N579=0,0,ROUND(O579/N579,6)))</f>
        <v>1</v>
      </c>
      <c r="Q579" s="164">
        <f t="shared" si="229"/>
        <v>22.03</v>
      </c>
      <c r="R579" s="164">
        <f t="shared" si="230"/>
        <v>0</v>
      </c>
      <c r="S579" s="164">
        <f t="shared" si="231"/>
        <v>55.69</v>
      </c>
      <c r="T579" s="164">
        <f t="shared" si="232"/>
        <v>0</v>
      </c>
      <c r="U579" s="164">
        <f t="shared" si="233"/>
        <v>1751.39</v>
      </c>
      <c r="V579" s="393">
        <f t="shared" si="234"/>
        <v>1751.39</v>
      </c>
      <c r="W579" s="393">
        <f t="shared" si="235"/>
        <v>0</v>
      </c>
      <c r="Y579" s="393">
        <f t="shared" si="238"/>
        <v>280.58999999999997</v>
      </c>
      <c r="Z579" s="393">
        <f t="shared" si="239"/>
        <v>1393.0800000000002</v>
      </c>
      <c r="AD579" s="395">
        <f>IF(AH579&gt;AH578,AD578,IF(AD578&lt;MiscData!$F$1,EOMONTH(AD578,1),EOMONTH(AD578,-11)))</f>
        <v>41851</v>
      </c>
      <c r="AE579" s="389" t="str">
        <f t="shared" si="236"/>
        <v>20140101KUUM_456</v>
      </c>
      <c r="AF579" s="437" t="str">
        <f t="shared" si="237"/>
        <v>20140101RLS</v>
      </c>
      <c r="AG579" s="438"/>
      <c r="AH579" s="34">
        <f>IF(AH578=MiscData!$AB$91,1,AH578+1)</f>
        <v>50</v>
      </c>
      <c r="AI579" s="34">
        <f>IF(AD579&lt;=MiscData!$B$23,MiscData!$C$23,IF(AD579&lt;=MiscData!$B$24,MiscData!$C$24,MiscData!$C$25))</f>
        <v>20140101</v>
      </c>
      <c r="AK579" s="439" t="str">
        <f>VLOOKUP(AM579,MiscData!$AB$4:$ACB$113,2,FALSE)</f>
        <v>KUUM_456</v>
      </c>
      <c r="AL579" s="439" t="str">
        <f>VLOOKUP(AM579,MiscData!$AB$4:$AE$115,4,FALSE)</f>
        <v>RLS</v>
      </c>
      <c r="AM579" s="34">
        <f>IF(AM578=MiscData!$AB$91,1,AM578+1)</f>
        <v>50</v>
      </c>
    </row>
    <row r="580" spans="1:39">
      <c r="A580" s="389">
        <f t="shared" si="240"/>
        <v>579</v>
      </c>
      <c r="B580" s="395" t="str">
        <f t="shared" si="221"/>
        <v>Jul 2014</v>
      </c>
      <c r="C580" s="396" t="str">
        <f t="shared" si="222"/>
        <v>RLS</v>
      </c>
      <c r="D580" s="396" t="str">
        <f t="shared" si="223"/>
        <v>KUUM_457</v>
      </c>
      <c r="E580" s="394">
        <f t="shared" si="224"/>
        <v>453</v>
      </c>
      <c r="F580" s="397">
        <v>0</v>
      </c>
      <c r="G580" s="394">
        <f t="shared" si="225"/>
        <v>36923</v>
      </c>
      <c r="H580" s="394">
        <v>0</v>
      </c>
      <c r="I580" s="390">
        <f t="shared" si="226"/>
        <v>13.360000000000001</v>
      </c>
      <c r="J580" s="390">
        <f t="shared" si="227"/>
        <v>2.84</v>
      </c>
      <c r="K580" s="391">
        <f t="shared" si="241"/>
        <v>6052.08</v>
      </c>
      <c r="L580" s="398">
        <v>0</v>
      </c>
      <c r="M580" s="398">
        <v>0</v>
      </c>
      <c r="N580" s="164">
        <f t="shared" si="220"/>
        <v>6052.08</v>
      </c>
      <c r="O580" s="399">
        <f t="shared" si="228"/>
        <v>6052.08</v>
      </c>
      <c r="P580" s="392">
        <f t="shared" si="242"/>
        <v>1</v>
      </c>
      <c r="Q580" s="164">
        <f t="shared" si="229"/>
        <v>183.34</v>
      </c>
      <c r="R580" s="164">
        <f t="shared" si="230"/>
        <v>0</v>
      </c>
      <c r="S580" s="164">
        <f t="shared" si="231"/>
        <v>186.49</v>
      </c>
      <c r="T580" s="164">
        <f t="shared" si="232"/>
        <v>0</v>
      </c>
      <c r="U580" s="164">
        <f t="shared" si="233"/>
        <v>6421.91</v>
      </c>
      <c r="V580" s="393">
        <f t="shared" si="234"/>
        <v>6421.91</v>
      </c>
      <c r="W580" s="393">
        <f t="shared" si="235"/>
        <v>0</v>
      </c>
      <c r="Y580" s="393">
        <f t="shared" si="238"/>
        <v>1286.52</v>
      </c>
      <c r="Z580" s="393">
        <f t="shared" si="239"/>
        <v>4765.5599999999995</v>
      </c>
      <c r="AD580" s="395">
        <f>IF(AH580&gt;AH579,AD579,IF(AD579&lt;MiscData!$F$1,EOMONTH(AD579,1),EOMONTH(AD579,-11)))</f>
        <v>41851</v>
      </c>
      <c r="AE580" s="389" t="str">
        <f t="shared" si="236"/>
        <v>20140101KUUM_457</v>
      </c>
      <c r="AF580" s="437" t="str">
        <f t="shared" si="237"/>
        <v>20140101RLS</v>
      </c>
      <c r="AG580" s="438"/>
      <c r="AH580" s="34">
        <f>IF(AH579=MiscData!$AB$91,1,AH579+1)</f>
        <v>51</v>
      </c>
      <c r="AI580" s="34">
        <f>IF(AD580&lt;=MiscData!$B$23,MiscData!$C$23,IF(AD580&lt;=MiscData!$B$24,MiscData!$C$24,MiscData!$C$25))</f>
        <v>20140101</v>
      </c>
      <c r="AK580" s="439" t="str">
        <f>VLOOKUP(AM580,MiscData!$AB$4:$ACB$113,2,FALSE)</f>
        <v>KUUM_457</v>
      </c>
      <c r="AL580" s="439" t="str">
        <f>VLOOKUP(AM580,MiscData!$AB$4:$AE$115,4,FALSE)</f>
        <v>RLS</v>
      </c>
      <c r="AM580" s="34">
        <f>IF(AM579=MiscData!$AB$91,1,AM579+1)</f>
        <v>51</v>
      </c>
    </row>
    <row r="581" spans="1:39">
      <c r="A581" s="389">
        <f t="shared" si="240"/>
        <v>580</v>
      </c>
      <c r="B581" s="395" t="str">
        <f t="shared" si="221"/>
        <v>Jul 2014</v>
      </c>
      <c r="C581" s="396" t="str">
        <f t="shared" si="222"/>
        <v>RLS</v>
      </c>
      <c r="D581" s="396" t="str">
        <f t="shared" si="223"/>
        <v>KUUM_458</v>
      </c>
      <c r="E581" s="394">
        <f t="shared" si="224"/>
        <v>1460</v>
      </c>
      <c r="F581" s="397">
        <v>0</v>
      </c>
      <c r="G581" s="394">
        <f t="shared" si="225"/>
        <v>179254</v>
      </c>
      <c r="H581" s="394">
        <v>0</v>
      </c>
      <c r="I581" s="390">
        <f t="shared" si="226"/>
        <v>15.079999999999998</v>
      </c>
      <c r="J581" s="390">
        <f t="shared" si="227"/>
        <v>4.3699999999999992</v>
      </c>
      <c r="K581" s="391">
        <f t="shared" si="241"/>
        <v>22016.799999999999</v>
      </c>
      <c r="L581" s="398">
        <v>4.12</v>
      </c>
      <c r="M581" s="398">
        <v>0</v>
      </c>
      <c r="N581" s="164">
        <f t="shared" si="220"/>
        <v>22020.92</v>
      </c>
      <c r="O581" s="399">
        <f t="shared" si="228"/>
        <v>22020.92</v>
      </c>
      <c r="P581" s="392">
        <f t="shared" si="242"/>
        <v>1</v>
      </c>
      <c r="Q581" s="164">
        <f t="shared" si="229"/>
        <v>757.8</v>
      </c>
      <c r="R581" s="164">
        <f t="shared" si="230"/>
        <v>0</v>
      </c>
      <c r="S581" s="164">
        <f t="shared" si="231"/>
        <v>704.72</v>
      </c>
      <c r="T581" s="164">
        <f t="shared" si="232"/>
        <v>0</v>
      </c>
      <c r="U581" s="164">
        <f t="shared" si="233"/>
        <v>23483.439999999999</v>
      </c>
      <c r="V581" s="393">
        <f t="shared" si="234"/>
        <v>23483.439999999999</v>
      </c>
      <c r="W581" s="393">
        <f t="shared" si="235"/>
        <v>0</v>
      </c>
      <c r="Y581" s="393">
        <f t="shared" si="238"/>
        <v>6380.2</v>
      </c>
      <c r="Z581" s="393">
        <f t="shared" si="239"/>
        <v>15640.719999999998</v>
      </c>
      <c r="AD581" s="395">
        <f>IF(AH581&gt;AH580,AD580,IF(AD580&lt;MiscData!$F$1,EOMONTH(AD580,1),EOMONTH(AD580,-11)))</f>
        <v>41851</v>
      </c>
      <c r="AE581" s="389" t="str">
        <f t="shared" si="236"/>
        <v>20140101KUUM_458</v>
      </c>
      <c r="AF581" s="437" t="str">
        <f t="shared" si="237"/>
        <v>20140101RLS</v>
      </c>
      <c r="AG581" s="438"/>
      <c r="AH581" s="34">
        <f>IF(AH580=MiscData!$AB$91,1,AH580+1)</f>
        <v>52</v>
      </c>
      <c r="AI581" s="34">
        <f>IF(AD581&lt;=MiscData!$B$23,MiscData!$C$23,IF(AD581&lt;=MiscData!$B$24,MiscData!$C$24,MiscData!$C$25))</f>
        <v>20140101</v>
      </c>
      <c r="AK581" s="439" t="str">
        <f>VLOOKUP(AM581,MiscData!$AB$4:$ACB$113,2,FALSE)</f>
        <v>KUUM_458</v>
      </c>
      <c r="AL581" s="439" t="str">
        <f>VLOOKUP(AM581,MiscData!$AB$4:$AE$115,4,FALSE)</f>
        <v>RLS</v>
      </c>
      <c r="AM581" s="34">
        <f>IF(AM580=MiscData!$AB$91,1,AM580+1)</f>
        <v>52</v>
      </c>
    </row>
    <row r="582" spans="1:39">
      <c r="A582" s="389">
        <f t="shared" si="240"/>
        <v>581</v>
      </c>
      <c r="B582" s="395" t="str">
        <f t="shared" si="221"/>
        <v>Jul 2014</v>
      </c>
      <c r="C582" s="396" t="str">
        <f t="shared" si="222"/>
        <v>RLS</v>
      </c>
      <c r="D582" s="396" t="str">
        <f t="shared" si="223"/>
        <v>KUUM_459</v>
      </c>
      <c r="E582" s="394">
        <f t="shared" si="224"/>
        <v>222</v>
      </c>
      <c r="F582" s="397">
        <v>0</v>
      </c>
      <c r="G582" s="394">
        <f t="shared" si="225"/>
        <v>63734</v>
      </c>
      <c r="H582" s="394">
        <v>0</v>
      </c>
      <c r="I582" s="390">
        <f t="shared" si="226"/>
        <v>46.740000000000009</v>
      </c>
      <c r="J582" s="390">
        <f t="shared" si="227"/>
        <v>10.410000000000004</v>
      </c>
      <c r="K582" s="391">
        <f t="shared" si="241"/>
        <v>10376.280000000001</v>
      </c>
      <c r="L582" s="398">
        <v>0</v>
      </c>
      <c r="M582" s="398">
        <v>0</v>
      </c>
      <c r="N582" s="164">
        <f t="shared" si="220"/>
        <v>10376.280000000001</v>
      </c>
      <c r="O582" s="399">
        <f t="shared" si="228"/>
        <v>10376.280000000001</v>
      </c>
      <c r="P582" s="392">
        <f t="shared" si="242"/>
        <v>1</v>
      </c>
      <c r="Q582" s="164">
        <f t="shared" si="229"/>
        <v>165.82</v>
      </c>
      <c r="R582" s="164">
        <f t="shared" si="230"/>
        <v>0</v>
      </c>
      <c r="S582" s="164">
        <f t="shared" si="231"/>
        <v>350.24</v>
      </c>
      <c r="T582" s="164">
        <f t="shared" si="232"/>
        <v>0</v>
      </c>
      <c r="U582" s="164">
        <f t="shared" si="233"/>
        <v>10892.34</v>
      </c>
      <c r="V582" s="393">
        <f t="shared" si="234"/>
        <v>10892.34</v>
      </c>
      <c r="W582" s="393">
        <f t="shared" si="235"/>
        <v>0</v>
      </c>
      <c r="Y582" s="393">
        <f t="shared" si="238"/>
        <v>2311.02</v>
      </c>
      <c r="Z582" s="393">
        <f t="shared" si="239"/>
        <v>8065.26</v>
      </c>
      <c r="AD582" s="395">
        <f>IF(AH582&gt;AH581,AD581,IF(AD581&lt;MiscData!$F$1,EOMONTH(AD581,1),EOMONTH(AD581,-11)))</f>
        <v>41851</v>
      </c>
      <c r="AE582" s="389" t="str">
        <f t="shared" si="236"/>
        <v>20140101KUUM_459</v>
      </c>
      <c r="AF582" s="437" t="str">
        <f t="shared" si="237"/>
        <v>20140101RLS</v>
      </c>
      <c r="AG582" s="438"/>
      <c r="AH582" s="34">
        <f>IF(AH581=MiscData!$AB$91,1,AH581+1)</f>
        <v>53</v>
      </c>
      <c r="AI582" s="34">
        <f>IF(AD582&lt;=MiscData!$B$23,MiscData!$C$23,IF(AD582&lt;=MiscData!$B$24,MiscData!$C$24,MiscData!$C$25))</f>
        <v>20140101</v>
      </c>
      <c r="AK582" s="439" t="str">
        <f>VLOOKUP(AM582,MiscData!$AB$4:$ACB$113,2,FALSE)</f>
        <v>KUUM_459</v>
      </c>
      <c r="AL582" s="439" t="str">
        <f>VLOOKUP(AM582,MiscData!$AB$4:$AE$115,4,FALSE)</f>
        <v>RLS</v>
      </c>
      <c r="AM582" s="34">
        <f>IF(AM581=MiscData!$AB$91,1,AM581+1)</f>
        <v>53</v>
      </c>
    </row>
    <row r="583" spans="1:39">
      <c r="A583" s="389">
        <f t="shared" si="240"/>
        <v>582</v>
      </c>
      <c r="B583" s="395" t="str">
        <f t="shared" si="221"/>
        <v>Jul 2014</v>
      </c>
      <c r="C583" s="396" t="str">
        <f t="shared" si="222"/>
        <v>RLS</v>
      </c>
      <c r="D583" s="396" t="str">
        <f t="shared" si="223"/>
        <v>KUUM_460</v>
      </c>
      <c r="E583" s="394">
        <f t="shared" si="224"/>
        <v>26</v>
      </c>
      <c r="F583" s="397">
        <v>0</v>
      </c>
      <c r="G583" s="394">
        <f t="shared" si="225"/>
        <v>1043</v>
      </c>
      <c r="H583" s="394">
        <v>0</v>
      </c>
      <c r="I583" s="390">
        <f t="shared" si="226"/>
        <v>27.15</v>
      </c>
      <c r="J583" s="390">
        <f t="shared" si="227"/>
        <v>1.9699999999999989</v>
      </c>
      <c r="K583" s="391">
        <f t="shared" si="241"/>
        <v>705.9</v>
      </c>
      <c r="L583" s="398">
        <v>0</v>
      </c>
      <c r="M583" s="398">
        <v>0</v>
      </c>
      <c r="N583" s="164">
        <f t="shared" si="220"/>
        <v>705.9</v>
      </c>
      <c r="O583" s="399">
        <f t="shared" si="228"/>
        <v>705.9</v>
      </c>
      <c r="P583" s="392">
        <f t="shared" si="242"/>
        <v>1</v>
      </c>
      <c r="Q583" s="164">
        <f t="shared" si="229"/>
        <v>3.75</v>
      </c>
      <c r="R583" s="164">
        <f t="shared" si="230"/>
        <v>0</v>
      </c>
      <c r="S583" s="164">
        <f t="shared" si="231"/>
        <v>22.62</v>
      </c>
      <c r="T583" s="164">
        <f t="shared" si="232"/>
        <v>0</v>
      </c>
      <c r="U583" s="164">
        <f t="shared" si="233"/>
        <v>732.27</v>
      </c>
      <c r="V583" s="393">
        <f t="shared" si="234"/>
        <v>732.27</v>
      </c>
      <c r="W583" s="393">
        <f t="shared" si="235"/>
        <v>0</v>
      </c>
      <c r="Y583" s="393">
        <f t="shared" si="238"/>
        <v>51.22</v>
      </c>
      <c r="Z583" s="393">
        <f t="shared" si="239"/>
        <v>654.67999999999995</v>
      </c>
      <c r="AD583" s="395">
        <f>IF(AH583&gt;AH582,AD582,IF(AD582&lt;MiscData!$F$1,EOMONTH(AD582,1),EOMONTH(AD582,-11)))</f>
        <v>41851</v>
      </c>
      <c r="AE583" s="389" t="str">
        <f t="shared" si="236"/>
        <v>20140101KUUM_460</v>
      </c>
      <c r="AF583" s="437" t="str">
        <f t="shared" si="237"/>
        <v>20140101RLS</v>
      </c>
      <c r="AG583" s="438"/>
      <c r="AH583" s="34">
        <f>IF(AH582=MiscData!$AB$91,1,AH582+1)</f>
        <v>54</v>
      </c>
      <c r="AI583" s="34">
        <f>IF(AD583&lt;=MiscData!$B$23,MiscData!$C$23,IF(AD583&lt;=MiscData!$B$24,MiscData!$C$24,MiscData!$C$25))</f>
        <v>20140101</v>
      </c>
      <c r="AK583" s="439" t="str">
        <f>VLOOKUP(AM583,MiscData!$AB$4:$ACB$113,2,FALSE)</f>
        <v>KUUM_460</v>
      </c>
      <c r="AL583" s="439" t="str">
        <f>VLOOKUP(AM583,MiscData!$AB$4:$AE$115,4,FALSE)</f>
        <v>RLS</v>
      </c>
      <c r="AM583" s="34">
        <f>IF(AM582=MiscData!$AB$91,1,AM582+1)</f>
        <v>54</v>
      </c>
    </row>
    <row r="584" spans="1:39">
      <c r="A584" s="389">
        <f t="shared" si="240"/>
        <v>583</v>
      </c>
      <c r="B584" s="395" t="str">
        <f t="shared" si="221"/>
        <v>Jul 2014</v>
      </c>
      <c r="C584" s="396" t="str">
        <f t="shared" si="222"/>
        <v>RLS</v>
      </c>
      <c r="D584" s="396" t="str">
        <f t="shared" si="223"/>
        <v>KUUM_461</v>
      </c>
      <c r="E584" s="394">
        <f t="shared" si="224"/>
        <v>6996</v>
      </c>
      <c r="F584" s="397">
        <v>0</v>
      </c>
      <c r="G584" s="394">
        <f t="shared" si="225"/>
        <v>110015</v>
      </c>
      <c r="H584" s="394">
        <v>0</v>
      </c>
      <c r="I584" s="390">
        <f t="shared" si="226"/>
        <v>7.54</v>
      </c>
      <c r="J584" s="390">
        <f t="shared" si="227"/>
        <v>0.57000000000000028</v>
      </c>
      <c r="K584" s="391">
        <f t="shared" si="241"/>
        <v>52749.84</v>
      </c>
      <c r="L584" s="398">
        <v>0</v>
      </c>
      <c r="M584" s="398">
        <v>0</v>
      </c>
      <c r="N584" s="164">
        <f t="shared" si="220"/>
        <v>52749.84</v>
      </c>
      <c r="O584" s="399">
        <f t="shared" si="228"/>
        <v>52749.840000000004</v>
      </c>
      <c r="P584" s="392">
        <f t="shared" si="242"/>
        <v>1</v>
      </c>
      <c r="Q584" s="164">
        <f t="shared" si="229"/>
        <v>357.07</v>
      </c>
      <c r="R584" s="164">
        <f t="shared" si="230"/>
        <v>0</v>
      </c>
      <c r="S584" s="164">
        <f t="shared" si="231"/>
        <v>1718.31</v>
      </c>
      <c r="T584" s="164">
        <f t="shared" si="232"/>
        <v>0</v>
      </c>
      <c r="U584" s="164">
        <f t="shared" si="233"/>
        <v>54825.22</v>
      </c>
      <c r="V584" s="393">
        <f t="shared" si="234"/>
        <v>54825.219999999994</v>
      </c>
      <c r="W584" s="393">
        <f t="shared" si="235"/>
        <v>0</v>
      </c>
      <c r="Y584" s="393">
        <f t="shared" si="238"/>
        <v>3987.72</v>
      </c>
      <c r="Z584" s="393">
        <f t="shared" si="239"/>
        <v>48762.12</v>
      </c>
      <c r="AD584" s="395">
        <f>IF(AH584&gt;AH583,AD583,IF(AD583&lt;MiscData!$F$1,EOMONTH(AD583,1),EOMONTH(AD583,-11)))</f>
        <v>41851</v>
      </c>
      <c r="AE584" s="389" t="str">
        <f t="shared" si="236"/>
        <v>20140101KUUM_461</v>
      </c>
      <c r="AF584" s="437" t="str">
        <f t="shared" si="237"/>
        <v>20140101RLS</v>
      </c>
      <c r="AG584" s="438"/>
      <c r="AH584" s="34">
        <f>IF(AH583=MiscData!$AB$91,1,AH583+1)</f>
        <v>55</v>
      </c>
      <c r="AI584" s="34">
        <f>IF(AD584&lt;=MiscData!$B$23,MiscData!$C$23,IF(AD584&lt;=MiscData!$B$24,MiscData!$C$24,MiscData!$C$25))</f>
        <v>20140101</v>
      </c>
      <c r="AK584" s="439" t="str">
        <f>VLOOKUP(AM584,MiscData!$AB$4:$ACB$113,2,FALSE)</f>
        <v>KUUM_461</v>
      </c>
      <c r="AL584" s="439" t="str">
        <f>VLOOKUP(AM584,MiscData!$AB$4:$AE$115,4,FALSE)</f>
        <v>RLS</v>
      </c>
      <c r="AM584" s="34">
        <f>IF(AM583=MiscData!$AB$91,1,AM583+1)</f>
        <v>55</v>
      </c>
    </row>
    <row r="585" spans="1:39">
      <c r="A585" s="389">
        <f t="shared" si="240"/>
        <v>584</v>
      </c>
      <c r="B585" s="395" t="str">
        <f t="shared" si="221"/>
        <v>Jul 2014</v>
      </c>
      <c r="C585" s="396" t="str">
        <f t="shared" si="222"/>
        <v>LS</v>
      </c>
      <c r="D585" s="396" t="str">
        <f t="shared" si="223"/>
        <v>KUUM_462</v>
      </c>
      <c r="E585" s="394">
        <f t="shared" si="224"/>
        <v>8969</v>
      </c>
      <c r="F585" s="397">
        <v>0</v>
      </c>
      <c r="G585" s="394">
        <f t="shared" si="225"/>
        <v>197574</v>
      </c>
      <c r="H585" s="394">
        <v>0</v>
      </c>
      <c r="I585" s="390">
        <f t="shared" si="226"/>
        <v>8.66</v>
      </c>
      <c r="J585" s="390">
        <f t="shared" si="227"/>
        <v>0.79999999999999893</v>
      </c>
      <c r="K585" s="391">
        <f t="shared" si="241"/>
        <v>77671.539999999994</v>
      </c>
      <c r="L585" s="398">
        <v>0</v>
      </c>
      <c r="M585" s="398">
        <v>0</v>
      </c>
      <c r="N585" s="164">
        <f t="shared" si="220"/>
        <v>77671.539999999994</v>
      </c>
      <c r="O585" s="399">
        <f t="shared" si="228"/>
        <v>77671.540000000008</v>
      </c>
      <c r="P585" s="392">
        <f t="shared" si="242"/>
        <v>1</v>
      </c>
      <c r="Q585" s="164">
        <f t="shared" si="229"/>
        <v>718.24</v>
      </c>
      <c r="R585" s="164">
        <f t="shared" si="230"/>
        <v>0</v>
      </c>
      <c r="S585" s="164">
        <f t="shared" si="231"/>
        <v>2491.7399999999998</v>
      </c>
      <c r="T585" s="164">
        <f t="shared" si="232"/>
        <v>0</v>
      </c>
      <c r="U585" s="164">
        <f t="shared" si="233"/>
        <v>80881.52</v>
      </c>
      <c r="V585" s="393">
        <f t="shared" si="234"/>
        <v>80881.52</v>
      </c>
      <c r="W585" s="393">
        <f t="shared" si="235"/>
        <v>0</v>
      </c>
      <c r="Y585" s="393">
        <f t="shared" si="238"/>
        <v>7175.2</v>
      </c>
      <c r="Z585" s="393">
        <f t="shared" si="239"/>
        <v>70496.340000000011</v>
      </c>
      <c r="AD585" s="395">
        <f>IF(AH585&gt;AH584,AD584,IF(AD584&lt;MiscData!$F$1,EOMONTH(AD584,1),EOMONTH(AD584,-11)))</f>
        <v>41851</v>
      </c>
      <c r="AE585" s="389" t="str">
        <f t="shared" si="236"/>
        <v>20140101KUUM_462</v>
      </c>
      <c r="AF585" s="437" t="str">
        <f t="shared" si="237"/>
        <v>20140101LS</v>
      </c>
      <c r="AG585" s="438"/>
      <c r="AH585" s="34">
        <f>IF(AH584=MiscData!$AB$91,1,AH584+1)</f>
        <v>56</v>
      </c>
      <c r="AI585" s="34">
        <f>IF(AD585&lt;=MiscData!$B$23,MiscData!$C$23,IF(AD585&lt;=MiscData!$B$24,MiscData!$C$24,MiscData!$C$25))</f>
        <v>20140101</v>
      </c>
      <c r="AK585" s="439" t="str">
        <f>VLOOKUP(AM585,MiscData!$AB$4:$ACB$113,2,FALSE)</f>
        <v>KUUM_462</v>
      </c>
      <c r="AL585" s="439" t="str">
        <f>VLOOKUP(AM585,MiscData!$AB$4:$AE$115,4,FALSE)</f>
        <v>LS</v>
      </c>
      <c r="AM585" s="34">
        <f>IF(AM584=MiscData!$AB$91,1,AM584+1)</f>
        <v>56</v>
      </c>
    </row>
    <row r="586" spans="1:39">
      <c r="A586" s="389">
        <f t="shared" si="240"/>
        <v>585</v>
      </c>
      <c r="B586" s="395" t="str">
        <f t="shared" si="221"/>
        <v>Jul 2014</v>
      </c>
      <c r="C586" s="396" t="str">
        <f t="shared" si="222"/>
        <v>LS</v>
      </c>
      <c r="D586" s="396" t="str">
        <f t="shared" si="223"/>
        <v>KUUM_463</v>
      </c>
      <c r="E586" s="394">
        <f t="shared" si="224"/>
        <v>21037</v>
      </c>
      <c r="F586" s="397">
        <v>0</v>
      </c>
      <c r="G586" s="394">
        <f t="shared" si="225"/>
        <v>653234</v>
      </c>
      <c r="H586" s="394">
        <v>0</v>
      </c>
      <c r="I586" s="390">
        <f t="shared" si="226"/>
        <v>9.14</v>
      </c>
      <c r="J586" s="390">
        <f t="shared" si="227"/>
        <v>1.1299999999999999</v>
      </c>
      <c r="K586" s="391">
        <f t="shared" si="241"/>
        <v>192278.18</v>
      </c>
      <c r="L586" s="398">
        <v>-70.98</v>
      </c>
      <c r="M586" s="398">
        <v>0</v>
      </c>
      <c r="N586" s="164">
        <f t="shared" si="220"/>
        <v>192207.19999999998</v>
      </c>
      <c r="O586" s="399">
        <f t="shared" si="228"/>
        <v>192207.2</v>
      </c>
      <c r="P586" s="392">
        <f t="shared" si="242"/>
        <v>1</v>
      </c>
      <c r="Q586" s="164">
        <f t="shared" si="229"/>
        <v>2010.6</v>
      </c>
      <c r="R586" s="164">
        <f t="shared" si="230"/>
        <v>0</v>
      </c>
      <c r="S586" s="164">
        <f t="shared" si="231"/>
        <v>6330.83</v>
      </c>
      <c r="T586" s="164">
        <f t="shared" si="232"/>
        <v>0</v>
      </c>
      <c r="U586" s="164">
        <f t="shared" si="233"/>
        <v>200548.63</v>
      </c>
      <c r="V586" s="393">
        <f t="shared" si="234"/>
        <v>200548.62999999998</v>
      </c>
      <c r="W586" s="393">
        <f t="shared" si="235"/>
        <v>0</v>
      </c>
      <c r="Y586" s="393">
        <f t="shared" si="238"/>
        <v>23771.81</v>
      </c>
      <c r="Z586" s="393">
        <f t="shared" si="239"/>
        <v>168435.39</v>
      </c>
      <c r="AD586" s="395">
        <f>IF(AH586&gt;AH585,AD585,IF(AD585&lt;MiscData!$F$1,EOMONTH(AD585,1),EOMONTH(AD585,-11)))</f>
        <v>41851</v>
      </c>
      <c r="AE586" s="389" t="str">
        <f t="shared" si="236"/>
        <v>20140101KUUM_463</v>
      </c>
      <c r="AF586" s="437" t="str">
        <f t="shared" si="237"/>
        <v>20140101LS</v>
      </c>
      <c r="AG586" s="438"/>
      <c r="AH586" s="34">
        <f>IF(AH585=MiscData!$AB$91,1,AH585+1)</f>
        <v>57</v>
      </c>
      <c r="AI586" s="34">
        <f>IF(AD586&lt;=MiscData!$B$23,MiscData!$C$23,IF(AD586&lt;=MiscData!$B$24,MiscData!$C$24,MiscData!$C$25))</f>
        <v>20140101</v>
      </c>
      <c r="AK586" s="439" t="str">
        <f>VLOOKUP(AM586,MiscData!$AB$4:$ACB$113,2,FALSE)</f>
        <v>KUUM_463</v>
      </c>
      <c r="AL586" s="439" t="str">
        <f>VLOOKUP(AM586,MiscData!$AB$4:$AE$115,4,FALSE)</f>
        <v>LS</v>
      </c>
      <c r="AM586" s="34">
        <f>IF(AM585=MiscData!$AB$91,1,AM585+1)</f>
        <v>57</v>
      </c>
    </row>
    <row r="587" spans="1:39">
      <c r="A587" s="389">
        <f t="shared" si="240"/>
        <v>586</v>
      </c>
      <c r="B587" s="395" t="str">
        <f t="shared" si="221"/>
        <v>Jul 2014</v>
      </c>
      <c r="C587" s="396" t="str">
        <f t="shared" si="222"/>
        <v>LS</v>
      </c>
      <c r="D587" s="396" t="str">
        <f t="shared" si="223"/>
        <v>KUUM_464</v>
      </c>
      <c r="E587" s="394">
        <f t="shared" si="224"/>
        <v>7766</v>
      </c>
      <c r="F587" s="397">
        <v>0</v>
      </c>
      <c r="G587" s="394">
        <f t="shared" si="225"/>
        <v>499239</v>
      </c>
      <c r="H587" s="394">
        <v>0</v>
      </c>
      <c r="I587" s="390">
        <f t="shared" si="226"/>
        <v>14.25</v>
      </c>
      <c r="J587" s="390">
        <f t="shared" si="227"/>
        <v>2.33</v>
      </c>
      <c r="K587" s="391">
        <f t="shared" si="241"/>
        <v>110665.5</v>
      </c>
      <c r="L587" s="398">
        <v>-76.94</v>
      </c>
      <c r="M587" s="398">
        <v>0</v>
      </c>
      <c r="N587" s="164">
        <f t="shared" si="220"/>
        <v>110588.56</v>
      </c>
      <c r="O587" s="399">
        <f t="shared" si="228"/>
        <v>110588.56</v>
      </c>
      <c r="P587" s="392">
        <f t="shared" si="242"/>
        <v>1</v>
      </c>
      <c r="Q587" s="164">
        <f t="shared" si="229"/>
        <v>1542.75</v>
      </c>
      <c r="R587" s="164">
        <f t="shared" si="230"/>
        <v>0</v>
      </c>
      <c r="S587" s="164">
        <f t="shared" si="231"/>
        <v>3650.24</v>
      </c>
      <c r="T587" s="164">
        <f t="shared" si="232"/>
        <v>0</v>
      </c>
      <c r="U587" s="164">
        <f t="shared" si="233"/>
        <v>115781.55</v>
      </c>
      <c r="V587" s="393">
        <f t="shared" si="234"/>
        <v>115781.55</v>
      </c>
      <c r="W587" s="393">
        <f t="shared" si="235"/>
        <v>0</v>
      </c>
      <c r="Y587" s="393">
        <f t="shared" si="238"/>
        <v>18094.78</v>
      </c>
      <c r="Z587" s="393">
        <f t="shared" si="239"/>
        <v>92493.78</v>
      </c>
      <c r="AD587" s="395">
        <f>IF(AH587&gt;AH586,AD586,IF(AD586&lt;MiscData!$F$1,EOMONTH(AD586,1),EOMONTH(AD586,-11)))</f>
        <v>41851</v>
      </c>
      <c r="AE587" s="389" t="str">
        <f t="shared" si="236"/>
        <v>20140101KUUM_464</v>
      </c>
      <c r="AF587" s="437" t="str">
        <f t="shared" si="237"/>
        <v>20140101LS</v>
      </c>
      <c r="AG587" s="438"/>
      <c r="AH587" s="34">
        <f>IF(AH586=MiscData!$AB$91,1,AH586+1)</f>
        <v>58</v>
      </c>
      <c r="AI587" s="34">
        <f>IF(AD587&lt;=MiscData!$B$23,MiscData!$C$23,IF(AD587&lt;=MiscData!$B$24,MiscData!$C$24,MiscData!$C$25))</f>
        <v>20140101</v>
      </c>
      <c r="AK587" s="439" t="str">
        <f>VLOOKUP(AM587,MiscData!$AB$4:$ACB$113,2,FALSE)</f>
        <v>KUUM_464</v>
      </c>
      <c r="AL587" s="439" t="str">
        <f>VLOOKUP(AM587,MiscData!$AB$4:$AE$115,4,FALSE)</f>
        <v>LS</v>
      </c>
      <c r="AM587" s="34">
        <f>IF(AM586=MiscData!$AB$91,1,AM586+1)</f>
        <v>58</v>
      </c>
    </row>
    <row r="588" spans="1:39">
      <c r="A588" s="389">
        <f t="shared" si="240"/>
        <v>587</v>
      </c>
      <c r="B588" s="395" t="str">
        <f t="shared" si="221"/>
        <v>Jul 2014</v>
      </c>
      <c r="C588" s="396" t="str">
        <f t="shared" si="222"/>
        <v>LS</v>
      </c>
      <c r="D588" s="396" t="str">
        <f t="shared" si="223"/>
        <v>KUUM_465</v>
      </c>
      <c r="E588" s="394">
        <f t="shared" si="224"/>
        <v>2800</v>
      </c>
      <c r="F588" s="397">
        <v>0</v>
      </c>
      <c r="G588" s="394">
        <f t="shared" si="225"/>
        <v>350205</v>
      </c>
      <c r="H588" s="394">
        <v>0</v>
      </c>
      <c r="I588" s="390">
        <f t="shared" si="226"/>
        <v>22.84</v>
      </c>
      <c r="J588" s="390">
        <f t="shared" si="227"/>
        <v>4.5299999999999976</v>
      </c>
      <c r="K588" s="391">
        <f t="shared" si="241"/>
        <v>63952</v>
      </c>
      <c r="L588" s="398">
        <v>-11.38</v>
      </c>
      <c r="M588" s="398">
        <v>0</v>
      </c>
      <c r="N588" s="164">
        <f t="shared" si="220"/>
        <v>63940.62</v>
      </c>
      <c r="O588" s="399">
        <f t="shared" si="228"/>
        <v>63940.62</v>
      </c>
      <c r="P588" s="392">
        <f t="shared" si="242"/>
        <v>1</v>
      </c>
      <c r="Q588" s="164">
        <f t="shared" si="229"/>
        <v>998.08</v>
      </c>
      <c r="R588" s="164">
        <f t="shared" si="230"/>
        <v>0</v>
      </c>
      <c r="S588" s="164">
        <f t="shared" si="231"/>
        <v>2134.3200000000002</v>
      </c>
      <c r="T588" s="164">
        <f t="shared" si="232"/>
        <v>0</v>
      </c>
      <c r="U588" s="164">
        <f t="shared" si="233"/>
        <v>67073.02</v>
      </c>
      <c r="V588" s="393">
        <f t="shared" si="234"/>
        <v>67073.02</v>
      </c>
      <c r="W588" s="393">
        <f t="shared" si="235"/>
        <v>0</v>
      </c>
      <c r="Y588" s="393">
        <f t="shared" si="238"/>
        <v>12684</v>
      </c>
      <c r="Z588" s="393">
        <f t="shared" si="239"/>
        <v>51256.62</v>
      </c>
      <c r="AD588" s="395">
        <f>IF(AH588&gt;AH587,AD587,IF(AD587&lt;MiscData!$F$1,EOMONTH(AD587,1),EOMONTH(AD587,-11)))</f>
        <v>41851</v>
      </c>
      <c r="AE588" s="389" t="str">
        <f t="shared" si="236"/>
        <v>20140101KUUM_465</v>
      </c>
      <c r="AF588" s="437" t="str">
        <f t="shared" si="237"/>
        <v>20140101LS</v>
      </c>
      <c r="AG588" s="438"/>
      <c r="AH588" s="34">
        <f>IF(AH587=MiscData!$AB$91,1,AH587+1)</f>
        <v>59</v>
      </c>
      <c r="AI588" s="34">
        <f>IF(AD588&lt;=MiscData!$B$23,MiscData!$C$23,IF(AD588&lt;=MiscData!$B$24,MiscData!$C$24,MiscData!$C$25))</f>
        <v>20140101</v>
      </c>
      <c r="AK588" s="439" t="str">
        <f>VLOOKUP(AM588,MiscData!$AB$4:$ACB$113,2,FALSE)</f>
        <v>KUUM_465</v>
      </c>
      <c r="AL588" s="439" t="str">
        <f>VLOOKUP(AM588,MiscData!$AB$4:$AE$115,4,FALSE)</f>
        <v>LS</v>
      </c>
      <c r="AM588" s="34">
        <f>IF(AM587=MiscData!$AB$91,1,AM587+1)</f>
        <v>59</v>
      </c>
    </row>
    <row r="589" spans="1:39">
      <c r="A589" s="389">
        <f t="shared" si="240"/>
        <v>588</v>
      </c>
      <c r="B589" s="395" t="str">
        <f t="shared" si="221"/>
        <v>Jul 2014</v>
      </c>
      <c r="C589" s="396" t="str">
        <f t="shared" si="222"/>
        <v>RLS</v>
      </c>
      <c r="D589" s="396" t="str">
        <f t="shared" si="223"/>
        <v>KUUM_466</v>
      </c>
      <c r="E589" s="394">
        <f t="shared" si="224"/>
        <v>997</v>
      </c>
      <c r="F589" s="397">
        <v>0</v>
      </c>
      <c r="G589" s="394">
        <f t="shared" si="225"/>
        <v>15452</v>
      </c>
      <c r="H589" s="394">
        <v>0</v>
      </c>
      <c r="I589" s="390">
        <f t="shared" si="226"/>
        <v>9.620000000000001</v>
      </c>
      <c r="J589" s="390">
        <f t="shared" si="227"/>
        <v>0.57000000000000028</v>
      </c>
      <c r="K589" s="391">
        <f t="shared" si="241"/>
        <v>9591.14</v>
      </c>
      <c r="L589" s="398">
        <v>0</v>
      </c>
      <c r="M589" s="398">
        <v>0</v>
      </c>
      <c r="N589" s="164">
        <f t="shared" si="220"/>
        <v>9591.14</v>
      </c>
      <c r="O589" s="399">
        <f t="shared" si="228"/>
        <v>9591.14</v>
      </c>
      <c r="P589" s="392">
        <f t="shared" si="242"/>
        <v>1</v>
      </c>
      <c r="Q589" s="164">
        <f t="shared" si="229"/>
        <v>47.06</v>
      </c>
      <c r="R589" s="164">
        <f t="shared" si="230"/>
        <v>0</v>
      </c>
      <c r="S589" s="164">
        <f t="shared" si="231"/>
        <v>314.27</v>
      </c>
      <c r="T589" s="164">
        <f t="shared" si="232"/>
        <v>0</v>
      </c>
      <c r="U589" s="164">
        <f t="shared" si="233"/>
        <v>9952.4699999999993</v>
      </c>
      <c r="V589" s="393">
        <f t="shared" si="234"/>
        <v>9952.4699999999993</v>
      </c>
      <c r="W589" s="393">
        <f t="shared" si="235"/>
        <v>0</v>
      </c>
      <c r="Y589" s="393">
        <f t="shared" si="238"/>
        <v>568.29</v>
      </c>
      <c r="Z589" s="393">
        <f t="shared" si="239"/>
        <v>9022.8499999999985</v>
      </c>
      <c r="AD589" s="395">
        <f>IF(AH589&gt;AH588,AD588,IF(AD588&lt;MiscData!$F$1,EOMONTH(AD588,1),EOMONTH(AD588,-11)))</f>
        <v>41851</v>
      </c>
      <c r="AE589" s="389" t="str">
        <f t="shared" si="236"/>
        <v>20140101KUUM_466</v>
      </c>
      <c r="AF589" s="437" t="str">
        <f t="shared" si="237"/>
        <v>20140101RLS</v>
      </c>
      <c r="AG589" s="438"/>
      <c r="AH589" s="34">
        <f>IF(AH588=MiscData!$AB$91,1,AH588+1)</f>
        <v>60</v>
      </c>
      <c r="AI589" s="34">
        <f>IF(AD589&lt;=MiscData!$B$23,MiscData!$C$23,IF(AD589&lt;=MiscData!$B$24,MiscData!$C$24,MiscData!$C$25))</f>
        <v>20140101</v>
      </c>
      <c r="AK589" s="439" t="str">
        <f>VLOOKUP(AM589,MiscData!$AB$4:$ACB$113,2,FALSE)</f>
        <v>KUUM_466</v>
      </c>
      <c r="AL589" s="439" t="str">
        <f>VLOOKUP(AM589,MiscData!$AB$4:$AE$115,4,FALSE)</f>
        <v>RLS</v>
      </c>
      <c r="AM589" s="34">
        <f>IF(AM588=MiscData!$AB$91,1,AM588+1)</f>
        <v>60</v>
      </c>
    </row>
    <row r="590" spans="1:39">
      <c r="A590" s="389">
        <f t="shared" si="240"/>
        <v>589</v>
      </c>
      <c r="B590" s="395" t="str">
        <f t="shared" si="221"/>
        <v>Jul 2014</v>
      </c>
      <c r="C590" s="396" t="str">
        <f t="shared" si="222"/>
        <v>LS</v>
      </c>
      <c r="D590" s="396" t="str">
        <f t="shared" si="223"/>
        <v>KUUM_467</v>
      </c>
      <c r="E590" s="394">
        <f t="shared" si="224"/>
        <v>1478</v>
      </c>
      <c r="F590" s="397">
        <v>0</v>
      </c>
      <c r="G590" s="394">
        <f t="shared" si="225"/>
        <v>32365</v>
      </c>
      <c r="H590" s="394">
        <v>0</v>
      </c>
      <c r="I590" s="390">
        <f t="shared" si="226"/>
        <v>10.770000000000001</v>
      </c>
      <c r="J590" s="390">
        <f t="shared" si="227"/>
        <v>0.80000000000000071</v>
      </c>
      <c r="K590" s="391">
        <f t="shared" si="241"/>
        <v>15918.06</v>
      </c>
      <c r="L590" s="398">
        <v>0</v>
      </c>
      <c r="M590" s="398">
        <v>0</v>
      </c>
      <c r="N590" s="164">
        <f t="shared" si="220"/>
        <v>15918.06</v>
      </c>
      <c r="O590" s="399">
        <f t="shared" si="228"/>
        <v>15918.06</v>
      </c>
      <c r="P590" s="392">
        <f t="shared" si="242"/>
        <v>1</v>
      </c>
      <c r="Q590" s="164">
        <f t="shared" si="229"/>
        <v>99.71</v>
      </c>
      <c r="R590" s="164">
        <f t="shared" si="230"/>
        <v>0</v>
      </c>
      <c r="S590" s="164">
        <f t="shared" si="231"/>
        <v>521.16</v>
      </c>
      <c r="T590" s="164">
        <f t="shared" si="232"/>
        <v>0</v>
      </c>
      <c r="U590" s="164">
        <f t="shared" si="233"/>
        <v>16538.93</v>
      </c>
      <c r="V590" s="393">
        <f t="shared" si="234"/>
        <v>16538.93</v>
      </c>
      <c r="W590" s="393">
        <f t="shared" si="235"/>
        <v>0</v>
      </c>
      <c r="Y590" s="393">
        <f t="shared" si="238"/>
        <v>1182.4000000000001</v>
      </c>
      <c r="Z590" s="393">
        <f t="shared" si="239"/>
        <v>14735.66</v>
      </c>
      <c r="AD590" s="395">
        <f>IF(AH590&gt;AH589,AD589,IF(AD589&lt;MiscData!$F$1,EOMONTH(AD589,1),EOMONTH(AD589,-11)))</f>
        <v>41851</v>
      </c>
      <c r="AE590" s="389" t="str">
        <f t="shared" si="236"/>
        <v>20140101KUUM_467</v>
      </c>
      <c r="AF590" s="437" t="str">
        <f t="shared" si="237"/>
        <v>20140101LS</v>
      </c>
      <c r="AG590" s="438"/>
      <c r="AH590" s="34">
        <f>IF(AH589=MiscData!$AB$91,1,AH589+1)</f>
        <v>61</v>
      </c>
      <c r="AI590" s="34">
        <f>IF(AD590&lt;=MiscData!$B$23,MiscData!$C$23,IF(AD590&lt;=MiscData!$B$24,MiscData!$C$24,MiscData!$C$25))</f>
        <v>20140101</v>
      </c>
      <c r="AK590" s="439" t="str">
        <f>VLOOKUP(AM590,MiscData!$AB$4:$ACB$113,2,FALSE)</f>
        <v>KUUM_467</v>
      </c>
      <c r="AL590" s="439" t="str">
        <f>VLOOKUP(AM590,MiscData!$AB$4:$AE$115,4,FALSE)</f>
        <v>LS</v>
      </c>
      <c r="AM590" s="34">
        <f>IF(AM589=MiscData!$AB$91,1,AM589+1)</f>
        <v>61</v>
      </c>
    </row>
    <row r="591" spans="1:39">
      <c r="A591" s="389">
        <f t="shared" si="240"/>
        <v>590</v>
      </c>
      <c r="B591" s="395" t="str">
        <f t="shared" si="221"/>
        <v>Jul 2014</v>
      </c>
      <c r="C591" s="396" t="str">
        <f t="shared" si="222"/>
        <v>LS</v>
      </c>
      <c r="D591" s="396" t="str">
        <f t="shared" si="223"/>
        <v>KUUM_468</v>
      </c>
      <c r="E591" s="394">
        <f t="shared" si="224"/>
        <v>4074</v>
      </c>
      <c r="F591" s="397">
        <v>0</v>
      </c>
      <c r="G591" s="394">
        <f t="shared" si="225"/>
        <v>127928</v>
      </c>
      <c r="H591" s="394">
        <v>0</v>
      </c>
      <c r="I591" s="390">
        <f t="shared" si="226"/>
        <v>11.16</v>
      </c>
      <c r="J591" s="390">
        <f t="shared" si="227"/>
        <v>1.129999999999999</v>
      </c>
      <c r="K591" s="391">
        <f t="shared" si="241"/>
        <v>45465.84</v>
      </c>
      <c r="L591" s="398">
        <v>274.85000000000002</v>
      </c>
      <c r="M591" s="398">
        <v>0</v>
      </c>
      <c r="N591" s="164">
        <f t="shared" si="220"/>
        <v>45740.689999999995</v>
      </c>
      <c r="O591" s="399">
        <f t="shared" si="228"/>
        <v>45740.689999999995</v>
      </c>
      <c r="P591" s="392">
        <f t="shared" si="242"/>
        <v>1</v>
      </c>
      <c r="Q591" s="164">
        <f t="shared" si="229"/>
        <v>345.26</v>
      </c>
      <c r="R591" s="164">
        <f t="shared" si="230"/>
        <v>0</v>
      </c>
      <c r="S591" s="164">
        <f t="shared" si="231"/>
        <v>1524.75</v>
      </c>
      <c r="T591" s="164">
        <f t="shared" si="232"/>
        <v>0</v>
      </c>
      <c r="U591" s="164">
        <f t="shared" si="233"/>
        <v>47610.7</v>
      </c>
      <c r="V591" s="393">
        <f t="shared" si="234"/>
        <v>47610.7</v>
      </c>
      <c r="W591" s="393">
        <f t="shared" si="235"/>
        <v>0</v>
      </c>
      <c r="Y591" s="393">
        <f t="shared" si="238"/>
        <v>4603.62</v>
      </c>
      <c r="Z591" s="393">
        <f t="shared" si="239"/>
        <v>41137.069999999992</v>
      </c>
      <c r="AD591" s="395">
        <f>IF(AH591&gt;AH590,AD590,IF(AD590&lt;MiscData!$F$1,EOMONTH(AD590,1),EOMONTH(AD590,-11)))</f>
        <v>41851</v>
      </c>
      <c r="AE591" s="389" t="str">
        <f t="shared" si="236"/>
        <v>20140101KUUM_468</v>
      </c>
      <c r="AF591" s="437" t="str">
        <f t="shared" si="237"/>
        <v>20140101LS</v>
      </c>
      <c r="AG591" s="438"/>
      <c r="AH591" s="34">
        <f>IF(AH590=MiscData!$AB$91,1,AH590+1)</f>
        <v>62</v>
      </c>
      <c r="AI591" s="34">
        <f>IF(AD591&lt;=MiscData!$B$23,MiscData!$C$23,IF(AD591&lt;=MiscData!$B$24,MiscData!$C$24,MiscData!$C$25))</f>
        <v>20140101</v>
      </c>
      <c r="AK591" s="439" t="str">
        <f>VLOOKUP(AM591,MiscData!$AB$4:$ACB$113,2,FALSE)</f>
        <v>KUUM_468</v>
      </c>
      <c r="AL591" s="439" t="str">
        <f>VLOOKUP(AM591,MiscData!$AB$4:$AE$115,4,FALSE)</f>
        <v>LS</v>
      </c>
      <c r="AM591" s="34">
        <f>IF(AM590=MiscData!$AB$91,1,AM590+1)</f>
        <v>62</v>
      </c>
    </row>
    <row r="592" spans="1:39">
      <c r="A592" s="389">
        <f t="shared" si="240"/>
        <v>591</v>
      </c>
      <c r="B592" s="395" t="str">
        <f t="shared" si="221"/>
        <v>Jul 2014</v>
      </c>
      <c r="C592" s="396" t="str">
        <f t="shared" si="222"/>
        <v>RLS</v>
      </c>
      <c r="D592" s="396" t="str">
        <f t="shared" si="223"/>
        <v>KUUM_469</v>
      </c>
      <c r="E592" s="394">
        <f t="shared" si="224"/>
        <v>294</v>
      </c>
      <c r="F592" s="397">
        <v>0</v>
      </c>
      <c r="G592" s="394">
        <f t="shared" si="225"/>
        <v>27128</v>
      </c>
      <c r="H592" s="394">
        <v>0</v>
      </c>
      <c r="I592" s="390">
        <f t="shared" si="226"/>
        <v>33.100000000000009</v>
      </c>
      <c r="J592" s="390">
        <f t="shared" si="227"/>
        <v>4.2900000000000063</v>
      </c>
      <c r="K592" s="391">
        <f t="shared" si="241"/>
        <v>9731.4</v>
      </c>
      <c r="L592" s="398">
        <v>-46.34</v>
      </c>
      <c r="M592" s="398">
        <v>0</v>
      </c>
      <c r="N592" s="164">
        <f t="shared" si="220"/>
        <v>9685.06</v>
      </c>
      <c r="O592" s="399">
        <f t="shared" si="228"/>
        <v>9685.06</v>
      </c>
      <c r="P592" s="392">
        <f t="shared" si="242"/>
        <v>1</v>
      </c>
      <c r="Q592" s="164">
        <f t="shared" si="229"/>
        <v>72.38</v>
      </c>
      <c r="R592" s="164">
        <f t="shared" si="230"/>
        <v>0</v>
      </c>
      <c r="S592" s="164">
        <f t="shared" si="231"/>
        <v>323.41000000000003</v>
      </c>
      <c r="T592" s="164">
        <f t="shared" si="232"/>
        <v>0</v>
      </c>
      <c r="U592" s="164">
        <f t="shared" si="233"/>
        <v>10080.85</v>
      </c>
      <c r="V592" s="393">
        <f t="shared" si="234"/>
        <v>10080.849999999999</v>
      </c>
      <c r="W592" s="393">
        <f t="shared" si="235"/>
        <v>0</v>
      </c>
      <c r="Y592" s="393">
        <f t="shared" si="238"/>
        <v>1261.26</v>
      </c>
      <c r="Z592" s="393">
        <f t="shared" si="239"/>
        <v>8423.7999999999993</v>
      </c>
      <c r="AD592" s="395">
        <f>IF(AH592&gt;AH591,AD591,IF(AD591&lt;MiscData!$F$1,EOMONTH(AD591,1),EOMONTH(AD591,-11)))</f>
        <v>41851</v>
      </c>
      <c r="AE592" s="389" t="str">
        <f t="shared" si="236"/>
        <v>20140101KUUM_469</v>
      </c>
      <c r="AF592" s="437" t="str">
        <f t="shared" si="237"/>
        <v>20140101RLS</v>
      </c>
      <c r="AG592" s="438"/>
      <c r="AH592" s="34">
        <f>IF(AH591=MiscData!$AB$91,1,AH591+1)</f>
        <v>63</v>
      </c>
      <c r="AI592" s="34">
        <f>IF(AD592&lt;=MiscData!$B$23,MiscData!$C$23,IF(AD592&lt;=MiscData!$B$24,MiscData!$C$24,MiscData!$C$25))</f>
        <v>20140101</v>
      </c>
      <c r="AK592" s="439" t="str">
        <f>VLOOKUP(AM592,MiscData!$AB$4:$ACB$113,2,FALSE)</f>
        <v>KUUM_469</v>
      </c>
      <c r="AL592" s="439" t="str">
        <f>VLOOKUP(AM592,MiscData!$AB$4:$AE$115,4,FALSE)</f>
        <v>RLS</v>
      </c>
      <c r="AM592" s="34">
        <f>IF(AM591=MiscData!$AB$91,1,AM591+1)</f>
        <v>63</v>
      </c>
    </row>
    <row r="593" spans="1:39">
      <c r="A593" s="389">
        <f t="shared" si="240"/>
        <v>592</v>
      </c>
      <c r="B593" s="395" t="str">
        <f t="shared" si="221"/>
        <v>Jul 2014</v>
      </c>
      <c r="C593" s="396" t="str">
        <f t="shared" si="222"/>
        <v>RLS</v>
      </c>
      <c r="D593" s="396" t="str">
        <f t="shared" si="223"/>
        <v>KUUM_470</v>
      </c>
      <c r="E593" s="394">
        <f t="shared" si="224"/>
        <v>61</v>
      </c>
      <c r="F593" s="397">
        <v>0</v>
      </c>
      <c r="G593" s="394">
        <f t="shared" si="225"/>
        <v>17949</v>
      </c>
      <c r="H593" s="394">
        <v>0</v>
      </c>
      <c r="I593" s="390">
        <f t="shared" si="226"/>
        <v>55.250000000000007</v>
      </c>
      <c r="J593" s="390">
        <f t="shared" si="227"/>
        <v>10.410000000000004</v>
      </c>
      <c r="K593" s="391">
        <f t="shared" si="241"/>
        <v>3370.25</v>
      </c>
      <c r="L593" s="398">
        <v>0</v>
      </c>
      <c r="M593" s="398">
        <v>0</v>
      </c>
      <c r="N593" s="164">
        <f t="shared" si="220"/>
        <v>3370.25</v>
      </c>
      <c r="O593" s="399">
        <f t="shared" si="228"/>
        <v>3370.25</v>
      </c>
      <c r="P593" s="392">
        <f t="shared" si="242"/>
        <v>1</v>
      </c>
      <c r="Q593" s="164">
        <f t="shared" si="229"/>
        <v>45.98</v>
      </c>
      <c r="R593" s="164">
        <f t="shared" si="230"/>
        <v>0</v>
      </c>
      <c r="S593" s="164">
        <f t="shared" si="231"/>
        <v>113.76</v>
      </c>
      <c r="T593" s="164">
        <f t="shared" si="232"/>
        <v>0</v>
      </c>
      <c r="U593" s="164">
        <f t="shared" si="233"/>
        <v>3529.99</v>
      </c>
      <c r="V593" s="393">
        <f t="shared" si="234"/>
        <v>3529.9900000000002</v>
      </c>
      <c r="W593" s="393">
        <f t="shared" si="235"/>
        <v>0</v>
      </c>
      <c r="Y593" s="393">
        <f t="shared" si="238"/>
        <v>635.01</v>
      </c>
      <c r="Z593" s="393">
        <f t="shared" si="239"/>
        <v>2735.24</v>
      </c>
      <c r="AD593" s="395">
        <f>IF(AH593&gt;AH592,AD592,IF(AD592&lt;MiscData!$F$1,EOMONTH(AD592,1),EOMONTH(AD592,-11)))</f>
        <v>41851</v>
      </c>
      <c r="AE593" s="389" t="str">
        <f t="shared" si="236"/>
        <v>20140101KUUM_470</v>
      </c>
      <c r="AF593" s="437" t="str">
        <f t="shared" si="237"/>
        <v>20140101RLS</v>
      </c>
      <c r="AG593" s="438"/>
      <c r="AH593" s="34">
        <f>IF(AH592=MiscData!$AB$91,1,AH592+1)</f>
        <v>64</v>
      </c>
      <c r="AI593" s="34">
        <f>IF(AD593&lt;=MiscData!$B$23,MiscData!$C$23,IF(AD593&lt;=MiscData!$B$24,MiscData!$C$24,MiscData!$C$25))</f>
        <v>20140101</v>
      </c>
      <c r="AK593" s="439" t="str">
        <f>VLOOKUP(AM593,MiscData!$AB$4:$ACB$113,2,FALSE)</f>
        <v>KUUM_470</v>
      </c>
      <c r="AL593" s="439" t="str">
        <f>VLOOKUP(AM593,MiscData!$AB$4:$AE$115,4,FALSE)</f>
        <v>RLS</v>
      </c>
      <c r="AM593" s="34">
        <f>IF(AM592=MiscData!$AB$91,1,AM592+1)</f>
        <v>64</v>
      </c>
    </row>
    <row r="594" spans="1:39">
      <c r="A594" s="389">
        <f t="shared" si="240"/>
        <v>593</v>
      </c>
      <c r="B594" s="395" t="str">
        <f t="shared" si="221"/>
        <v>Jul 2014</v>
      </c>
      <c r="C594" s="396" t="str">
        <f t="shared" si="222"/>
        <v>RLS</v>
      </c>
      <c r="D594" s="396" t="str">
        <f t="shared" si="223"/>
        <v>KUUM_471</v>
      </c>
      <c r="E594" s="394">
        <f t="shared" si="224"/>
        <v>3666</v>
      </c>
      <c r="F594" s="397">
        <v>0</v>
      </c>
      <c r="G594" s="394">
        <f t="shared" si="225"/>
        <v>61139</v>
      </c>
      <c r="H594" s="394">
        <v>0</v>
      </c>
      <c r="I594" s="390">
        <f t="shared" si="226"/>
        <v>10.49</v>
      </c>
      <c r="J594" s="390">
        <f t="shared" si="227"/>
        <v>0.56999999999999851</v>
      </c>
      <c r="K594" s="391">
        <f t="shared" si="241"/>
        <v>38456.339999999997</v>
      </c>
      <c r="L594" s="398">
        <v>0</v>
      </c>
      <c r="M594" s="398">
        <v>0</v>
      </c>
      <c r="N594" s="164">
        <f t="shared" si="220"/>
        <v>38456.339999999997</v>
      </c>
      <c r="O594" s="399">
        <f t="shared" si="228"/>
        <v>38456.340000000004</v>
      </c>
      <c r="P594" s="392">
        <f t="shared" si="242"/>
        <v>1</v>
      </c>
      <c r="Q594" s="164">
        <f t="shared" si="229"/>
        <v>303.68</v>
      </c>
      <c r="R594" s="164">
        <f t="shared" si="230"/>
        <v>0</v>
      </c>
      <c r="S594" s="164">
        <f t="shared" si="231"/>
        <v>1159.0899999999999</v>
      </c>
      <c r="T594" s="164">
        <f t="shared" si="232"/>
        <v>0</v>
      </c>
      <c r="U594" s="164">
        <f t="shared" si="233"/>
        <v>39919.11</v>
      </c>
      <c r="V594" s="393">
        <f t="shared" si="234"/>
        <v>39919.109999999993</v>
      </c>
      <c r="W594" s="393">
        <f t="shared" si="235"/>
        <v>0</v>
      </c>
      <c r="Y594" s="393">
        <f t="shared" si="238"/>
        <v>2089.62</v>
      </c>
      <c r="Z594" s="393">
        <f t="shared" si="239"/>
        <v>36366.720000000001</v>
      </c>
      <c r="AD594" s="395">
        <f>IF(AH594&gt;AH593,AD593,IF(AD593&lt;MiscData!$F$1,EOMONTH(AD593,1),EOMONTH(AD593,-11)))</f>
        <v>41851</v>
      </c>
      <c r="AE594" s="389" t="str">
        <f t="shared" si="236"/>
        <v>20140101KUUM_471</v>
      </c>
      <c r="AF594" s="437" t="str">
        <f t="shared" si="237"/>
        <v>20140101RLS</v>
      </c>
      <c r="AG594" s="438"/>
      <c r="AH594" s="34">
        <f>IF(AH593=MiscData!$AB$91,1,AH593+1)</f>
        <v>65</v>
      </c>
      <c r="AI594" s="34">
        <f>IF(AD594&lt;=MiscData!$B$23,MiscData!$C$23,IF(AD594&lt;=MiscData!$B$24,MiscData!$C$24,MiscData!$C$25))</f>
        <v>20140101</v>
      </c>
      <c r="AK594" s="439" t="str">
        <f>VLOOKUP(AM594,MiscData!$AB$4:$ACB$113,2,FALSE)</f>
        <v>KUUM_471</v>
      </c>
      <c r="AL594" s="439" t="str">
        <f>VLOOKUP(AM594,MiscData!$AB$4:$AE$115,4,FALSE)</f>
        <v>RLS</v>
      </c>
      <c r="AM594" s="34">
        <f>IF(AM593=MiscData!$AB$91,1,AM593+1)</f>
        <v>65</v>
      </c>
    </row>
    <row r="595" spans="1:39">
      <c r="A595" s="389">
        <f t="shared" si="240"/>
        <v>594</v>
      </c>
      <c r="B595" s="395" t="str">
        <f t="shared" si="221"/>
        <v>Jul 2014</v>
      </c>
      <c r="C595" s="396" t="str">
        <f t="shared" si="222"/>
        <v>LS</v>
      </c>
      <c r="D595" s="396" t="str">
        <f t="shared" si="223"/>
        <v>KUUM_472</v>
      </c>
      <c r="E595" s="394">
        <f t="shared" si="224"/>
        <v>8803</v>
      </c>
      <c r="F595" s="397">
        <v>0</v>
      </c>
      <c r="G595" s="394">
        <f t="shared" si="225"/>
        <v>203179</v>
      </c>
      <c r="H595" s="394">
        <v>0</v>
      </c>
      <c r="I595" s="390">
        <f t="shared" si="226"/>
        <v>11.600000000000001</v>
      </c>
      <c r="J595" s="390">
        <f t="shared" si="227"/>
        <v>0.80000000000000071</v>
      </c>
      <c r="K595" s="391">
        <f t="shared" si="241"/>
        <v>102114.8</v>
      </c>
      <c r="L595" s="398">
        <v>25.74</v>
      </c>
      <c r="M595" s="398">
        <v>0</v>
      </c>
      <c r="N595" s="164">
        <f t="shared" si="220"/>
        <v>102140.54000000001</v>
      </c>
      <c r="O595" s="399">
        <f t="shared" si="228"/>
        <v>102140.54000000001</v>
      </c>
      <c r="P595" s="392">
        <f t="shared" si="242"/>
        <v>1</v>
      </c>
      <c r="Q595" s="164">
        <f t="shared" si="229"/>
        <v>1005</v>
      </c>
      <c r="R595" s="164">
        <f t="shared" si="230"/>
        <v>0</v>
      </c>
      <c r="S595" s="164">
        <f t="shared" si="231"/>
        <v>3087.54</v>
      </c>
      <c r="T595" s="164">
        <f t="shared" si="232"/>
        <v>0</v>
      </c>
      <c r="U595" s="164">
        <f t="shared" si="233"/>
        <v>106233.08</v>
      </c>
      <c r="V595" s="393">
        <f t="shared" si="234"/>
        <v>106233.08</v>
      </c>
      <c r="W595" s="393">
        <f t="shared" si="235"/>
        <v>0</v>
      </c>
      <c r="Y595" s="393">
        <f t="shared" si="238"/>
        <v>7042.4</v>
      </c>
      <c r="Z595" s="393">
        <f t="shared" si="239"/>
        <v>95098.140000000014</v>
      </c>
      <c r="AD595" s="395">
        <f>IF(AH595&gt;AH594,AD594,IF(AD594&lt;MiscData!$F$1,EOMONTH(AD594,1),EOMONTH(AD594,-11)))</f>
        <v>41851</v>
      </c>
      <c r="AE595" s="389" t="str">
        <f t="shared" si="236"/>
        <v>20140101KUUM_472</v>
      </c>
      <c r="AF595" s="437" t="str">
        <f t="shared" si="237"/>
        <v>20140101LS</v>
      </c>
      <c r="AG595" s="438"/>
      <c r="AH595" s="34">
        <f>IF(AH594=MiscData!$AB$91,1,AH594+1)</f>
        <v>66</v>
      </c>
      <c r="AI595" s="34">
        <f>IF(AD595&lt;=MiscData!$B$23,MiscData!$C$23,IF(AD595&lt;=MiscData!$B$24,MiscData!$C$24,MiscData!$C$25))</f>
        <v>20140101</v>
      </c>
      <c r="AK595" s="439" t="str">
        <f>VLOOKUP(AM595,MiscData!$AB$4:$ACB$113,2,FALSE)</f>
        <v>KUUM_472</v>
      </c>
      <c r="AL595" s="439" t="str">
        <f>VLOOKUP(AM595,MiscData!$AB$4:$AE$115,4,FALSE)</f>
        <v>LS</v>
      </c>
      <c r="AM595" s="34">
        <f>IF(AM594=MiscData!$AB$91,1,AM594+1)</f>
        <v>66</v>
      </c>
    </row>
    <row r="596" spans="1:39">
      <c r="A596" s="389">
        <f t="shared" si="240"/>
        <v>595</v>
      </c>
      <c r="B596" s="395" t="str">
        <f t="shared" si="221"/>
        <v>Jul 2014</v>
      </c>
      <c r="C596" s="396" t="str">
        <f t="shared" si="222"/>
        <v>LS</v>
      </c>
      <c r="D596" s="396" t="str">
        <f t="shared" si="223"/>
        <v>KUUM_473</v>
      </c>
      <c r="E596" s="394">
        <f t="shared" si="224"/>
        <v>3398</v>
      </c>
      <c r="F596" s="397">
        <v>0</v>
      </c>
      <c r="G596" s="394">
        <f t="shared" si="225"/>
        <v>108566</v>
      </c>
      <c r="H596" s="394">
        <v>0</v>
      </c>
      <c r="I596" s="390">
        <f t="shared" si="226"/>
        <v>12.3</v>
      </c>
      <c r="J596" s="390">
        <f t="shared" si="227"/>
        <v>1.129999999999999</v>
      </c>
      <c r="K596" s="391">
        <f t="shared" si="241"/>
        <v>41795.4</v>
      </c>
      <c r="L596" s="398">
        <v>0</v>
      </c>
      <c r="M596" s="398">
        <v>0</v>
      </c>
      <c r="N596" s="164">
        <f t="shared" si="220"/>
        <v>41795.4</v>
      </c>
      <c r="O596" s="399">
        <f t="shared" si="228"/>
        <v>41795.4</v>
      </c>
      <c r="P596" s="392">
        <f t="shared" si="242"/>
        <v>1</v>
      </c>
      <c r="Q596" s="164">
        <f t="shared" si="229"/>
        <v>439.06</v>
      </c>
      <c r="R596" s="164">
        <f t="shared" si="230"/>
        <v>0</v>
      </c>
      <c r="S596" s="164">
        <f t="shared" si="231"/>
        <v>1319.02</v>
      </c>
      <c r="T596" s="164">
        <f t="shared" si="232"/>
        <v>0</v>
      </c>
      <c r="U596" s="164">
        <f t="shared" si="233"/>
        <v>43553.48</v>
      </c>
      <c r="V596" s="393">
        <f t="shared" si="234"/>
        <v>43553.479999999996</v>
      </c>
      <c r="W596" s="393">
        <f t="shared" si="235"/>
        <v>0</v>
      </c>
      <c r="Y596" s="393">
        <f t="shared" si="238"/>
        <v>3839.74</v>
      </c>
      <c r="Z596" s="393">
        <f t="shared" si="239"/>
        <v>37955.660000000003</v>
      </c>
      <c r="AD596" s="395">
        <f>IF(AH596&gt;AH595,AD595,IF(AD595&lt;MiscData!$F$1,EOMONTH(AD595,1),EOMONTH(AD595,-11)))</f>
        <v>41851</v>
      </c>
      <c r="AE596" s="389" t="str">
        <f t="shared" si="236"/>
        <v>20140101KUUM_473</v>
      </c>
      <c r="AF596" s="437" t="str">
        <f t="shared" si="237"/>
        <v>20140101LS</v>
      </c>
      <c r="AG596" s="438"/>
      <c r="AH596" s="34">
        <f>IF(AH595=MiscData!$AB$91,1,AH595+1)</f>
        <v>67</v>
      </c>
      <c r="AI596" s="34">
        <f>IF(AD596&lt;=MiscData!$B$23,MiscData!$C$23,IF(AD596&lt;=MiscData!$B$24,MiscData!$C$24,MiscData!$C$25))</f>
        <v>20140101</v>
      </c>
      <c r="AK596" s="439" t="str">
        <f>VLOOKUP(AM596,MiscData!$AB$4:$ACB$113,2,FALSE)</f>
        <v>KUUM_473</v>
      </c>
      <c r="AL596" s="439" t="str">
        <f>VLOOKUP(AM596,MiscData!$AB$4:$AE$115,4,FALSE)</f>
        <v>LS</v>
      </c>
      <c r="AM596" s="34">
        <f>IF(AM595=MiscData!$AB$91,1,AM595+1)</f>
        <v>67</v>
      </c>
    </row>
    <row r="597" spans="1:39">
      <c r="A597" s="389">
        <f t="shared" si="240"/>
        <v>596</v>
      </c>
      <c r="B597" s="395" t="str">
        <f t="shared" si="221"/>
        <v>Jul 2014</v>
      </c>
      <c r="C597" s="396" t="str">
        <f t="shared" si="222"/>
        <v>LS</v>
      </c>
      <c r="D597" s="396" t="str">
        <f t="shared" si="223"/>
        <v>KUUM_474</v>
      </c>
      <c r="E597" s="394">
        <f t="shared" si="224"/>
        <v>5221</v>
      </c>
      <c r="F597" s="397">
        <v>0</v>
      </c>
      <c r="G597" s="394">
        <f t="shared" si="225"/>
        <v>344450</v>
      </c>
      <c r="H597" s="394">
        <v>0</v>
      </c>
      <c r="I597" s="390">
        <f t="shared" si="226"/>
        <v>17.41</v>
      </c>
      <c r="J597" s="390">
        <f t="shared" si="227"/>
        <v>2.33</v>
      </c>
      <c r="K597" s="391">
        <f t="shared" si="241"/>
        <v>90897.61</v>
      </c>
      <c r="L597" s="398">
        <v>-3.81</v>
      </c>
      <c r="M597" s="398">
        <v>0</v>
      </c>
      <c r="N597" s="164">
        <f t="shared" si="220"/>
        <v>90893.8</v>
      </c>
      <c r="O597" s="399">
        <f t="shared" si="228"/>
        <v>90893.8</v>
      </c>
      <c r="P597" s="392">
        <f t="shared" si="242"/>
        <v>1</v>
      </c>
      <c r="Q597" s="164">
        <f t="shared" si="229"/>
        <v>1389.31</v>
      </c>
      <c r="R597" s="164">
        <f t="shared" si="230"/>
        <v>0</v>
      </c>
      <c r="S597" s="164">
        <f t="shared" si="231"/>
        <v>2883.45</v>
      </c>
      <c r="T597" s="164">
        <f t="shared" si="232"/>
        <v>0</v>
      </c>
      <c r="U597" s="164">
        <f t="shared" si="233"/>
        <v>95166.56</v>
      </c>
      <c r="V597" s="393">
        <f t="shared" si="234"/>
        <v>95166.56</v>
      </c>
      <c r="W597" s="393">
        <f t="shared" si="235"/>
        <v>0</v>
      </c>
      <c r="Y597" s="393">
        <f t="shared" si="238"/>
        <v>12164.93</v>
      </c>
      <c r="Z597" s="393">
        <f t="shared" si="239"/>
        <v>78728.87</v>
      </c>
      <c r="AD597" s="395">
        <f>IF(AH597&gt;AH596,AD596,IF(AD596&lt;MiscData!$F$1,EOMONTH(AD596,1),EOMONTH(AD596,-11)))</f>
        <v>41851</v>
      </c>
      <c r="AE597" s="389" t="str">
        <f t="shared" si="236"/>
        <v>20140101KUUM_474</v>
      </c>
      <c r="AF597" s="437" t="str">
        <f t="shared" si="237"/>
        <v>20140101LS</v>
      </c>
      <c r="AG597" s="438"/>
      <c r="AH597" s="34">
        <f>IF(AH596=MiscData!$AB$91,1,AH596+1)</f>
        <v>68</v>
      </c>
      <c r="AI597" s="34">
        <f>IF(AD597&lt;=MiscData!$B$23,MiscData!$C$23,IF(AD597&lt;=MiscData!$B$24,MiscData!$C$24,MiscData!$C$25))</f>
        <v>20140101</v>
      </c>
      <c r="AK597" s="439" t="str">
        <f>VLOOKUP(AM597,MiscData!$AB$4:$ACB$113,2,FALSE)</f>
        <v>KUUM_474</v>
      </c>
      <c r="AL597" s="439" t="str">
        <f>VLOOKUP(AM597,MiscData!$AB$4:$AE$115,4,FALSE)</f>
        <v>LS</v>
      </c>
      <c r="AM597" s="34">
        <f>IF(AM596=MiscData!$AB$91,1,AM596+1)</f>
        <v>68</v>
      </c>
    </row>
    <row r="598" spans="1:39">
      <c r="A598" s="389">
        <f t="shared" si="240"/>
        <v>597</v>
      </c>
      <c r="B598" s="395" t="str">
        <f t="shared" si="221"/>
        <v>Jul 2014</v>
      </c>
      <c r="C598" s="396" t="str">
        <f t="shared" si="222"/>
        <v>LS</v>
      </c>
      <c r="D598" s="396" t="str">
        <f t="shared" si="223"/>
        <v>KUUM_475</v>
      </c>
      <c r="E598" s="394">
        <f t="shared" si="224"/>
        <v>509</v>
      </c>
      <c r="F598" s="397">
        <v>0</v>
      </c>
      <c r="G598" s="394">
        <f t="shared" si="225"/>
        <v>64424</v>
      </c>
      <c r="H598" s="394">
        <v>0</v>
      </c>
      <c r="I598" s="390">
        <f t="shared" si="226"/>
        <v>24.46</v>
      </c>
      <c r="J598" s="390">
        <f t="shared" si="227"/>
        <v>4.5300000000000011</v>
      </c>
      <c r="K598" s="391">
        <f t="shared" si="241"/>
        <v>12450.14</v>
      </c>
      <c r="L598" s="398">
        <v>39.799999999999997</v>
      </c>
      <c r="M598" s="398">
        <v>0</v>
      </c>
      <c r="N598" s="164">
        <f t="shared" si="220"/>
        <v>12489.939999999999</v>
      </c>
      <c r="O598" s="399">
        <f t="shared" si="228"/>
        <v>12489.939999999999</v>
      </c>
      <c r="P598" s="392">
        <f t="shared" si="242"/>
        <v>1</v>
      </c>
      <c r="Q598" s="164">
        <f t="shared" si="229"/>
        <v>262.04000000000002</v>
      </c>
      <c r="R598" s="164">
        <f t="shared" si="230"/>
        <v>0</v>
      </c>
      <c r="S598" s="164">
        <f t="shared" si="231"/>
        <v>397.75</v>
      </c>
      <c r="T598" s="164">
        <f t="shared" si="232"/>
        <v>0</v>
      </c>
      <c r="U598" s="164">
        <f t="shared" si="233"/>
        <v>13149.73</v>
      </c>
      <c r="V598" s="393">
        <f t="shared" si="234"/>
        <v>13149.73</v>
      </c>
      <c r="W598" s="393">
        <f t="shared" si="235"/>
        <v>0</v>
      </c>
      <c r="Y598" s="393">
        <f t="shared" si="238"/>
        <v>2305.77</v>
      </c>
      <c r="Z598" s="393">
        <f t="shared" si="239"/>
        <v>10184.169999999998</v>
      </c>
      <c r="AD598" s="395">
        <f>IF(AH598&gt;AH597,AD597,IF(AD597&lt;MiscData!$F$1,EOMONTH(AD597,1),EOMONTH(AD597,-11)))</f>
        <v>41851</v>
      </c>
      <c r="AE598" s="389" t="str">
        <f t="shared" si="236"/>
        <v>20140101KUUM_475</v>
      </c>
      <c r="AF598" s="437" t="str">
        <f t="shared" si="237"/>
        <v>20140101LS</v>
      </c>
      <c r="AG598" s="438"/>
      <c r="AH598" s="34">
        <f>IF(AH597=MiscData!$AB$91,1,AH597+1)</f>
        <v>69</v>
      </c>
      <c r="AI598" s="34">
        <f>IF(AD598&lt;=MiscData!$B$23,MiscData!$C$23,IF(AD598&lt;=MiscData!$B$24,MiscData!$C$24,MiscData!$C$25))</f>
        <v>20140101</v>
      </c>
      <c r="AK598" s="439" t="str">
        <f>VLOOKUP(AM598,MiscData!$AB$4:$ACB$113,2,FALSE)</f>
        <v>KUUM_475</v>
      </c>
      <c r="AL598" s="439" t="str">
        <f>VLOOKUP(AM598,MiscData!$AB$4:$AE$115,4,FALSE)</f>
        <v>LS</v>
      </c>
      <c r="AM598" s="34">
        <f>IF(AM597=MiscData!$AB$91,1,AM597+1)</f>
        <v>69</v>
      </c>
    </row>
    <row r="599" spans="1:39">
      <c r="A599" s="389">
        <f t="shared" si="240"/>
        <v>598</v>
      </c>
      <c r="B599" s="395" t="str">
        <f t="shared" si="221"/>
        <v>Jul 2014</v>
      </c>
      <c r="C599" s="396" t="str">
        <f t="shared" si="222"/>
        <v>LS</v>
      </c>
      <c r="D599" s="396" t="str">
        <f t="shared" si="223"/>
        <v>KUUM_476</v>
      </c>
      <c r="E599" s="394">
        <f t="shared" si="224"/>
        <v>4563</v>
      </c>
      <c r="F599" s="397">
        <v>0</v>
      </c>
      <c r="G599" s="394">
        <f t="shared" si="225"/>
        <v>105339</v>
      </c>
      <c r="H599" s="394">
        <v>0</v>
      </c>
      <c r="I599" s="390">
        <f t="shared" si="226"/>
        <v>16.79</v>
      </c>
      <c r="J599" s="390">
        <f t="shared" si="227"/>
        <v>0.79999999999999893</v>
      </c>
      <c r="K599" s="391">
        <f t="shared" si="241"/>
        <v>76612.77</v>
      </c>
      <c r="L599" s="398">
        <v>37.78</v>
      </c>
      <c r="M599" s="398">
        <v>0</v>
      </c>
      <c r="N599" s="164">
        <f t="shared" si="220"/>
        <v>76650.55</v>
      </c>
      <c r="O599" s="399">
        <f t="shared" si="228"/>
        <v>76650.549999999988</v>
      </c>
      <c r="P599" s="392">
        <f t="shared" si="242"/>
        <v>1</v>
      </c>
      <c r="Q599" s="164">
        <f t="shared" si="229"/>
        <v>522.52</v>
      </c>
      <c r="R599" s="164">
        <f t="shared" si="230"/>
        <v>0</v>
      </c>
      <c r="S599" s="164">
        <f t="shared" si="231"/>
        <v>2308.61</v>
      </c>
      <c r="T599" s="164">
        <f t="shared" si="232"/>
        <v>0</v>
      </c>
      <c r="U599" s="164">
        <f t="shared" si="233"/>
        <v>79481.679999999993</v>
      </c>
      <c r="V599" s="393">
        <f t="shared" si="234"/>
        <v>79481.680000000008</v>
      </c>
      <c r="W599" s="393">
        <f t="shared" si="235"/>
        <v>0</v>
      </c>
      <c r="Y599" s="393">
        <f t="shared" si="238"/>
        <v>3650.4</v>
      </c>
      <c r="Z599" s="393">
        <f t="shared" si="239"/>
        <v>73000.149999999994</v>
      </c>
      <c r="AD599" s="395">
        <f>IF(AH599&gt;AH598,AD598,IF(AD598&lt;MiscData!$F$1,EOMONTH(AD598,1),EOMONTH(AD598,-11)))</f>
        <v>41851</v>
      </c>
      <c r="AE599" s="389" t="str">
        <f t="shared" si="236"/>
        <v>20140101KUUM_476</v>
      </c>
      <c r="AF599" s="437" t="str">
        <f t="shared" si="237"/>
        <v>20140101LS</v>
      </c>
      <c r="AG599" s="438"/>
      <c r="AH599" s="34">
        <f>IF(AH598=MiscData!$AB$91,1,AH598+1)</f>
        <v>70</v>
      </c>
      <c r="AI599" s="34">
        <f>IF(AD599&lt;=MiscData!$B$23,MiscData!$C$23,IF(AD599&lt;=MiscData!$B$24,MiscData!$C$24,MiscData!$C$25))</f>
        <v>20140101</v>
      </c>
      <c r="AK599" s="439" t="str">
        <f>VLOOKUP(AM599,MiscData!$AB$4:$ACB$113,2,FALSE)</f>
        <v>KUUM_476</v>
      </c>
      <c r="AL599" s="439" t="str">
        <f>VLOOKUP(AM599,MiscData!$AB$4:$AE$115,4,FALSE)</f>
        <v>LS</v>
      </c>
      <c r="AM599" s="34">
        <f>IF(AM598=MiscData!$AB$91,1,AM598+1)</f>
        <v>70</v>
      </c>
    </row>
    <row r="600" spans="1:39">
      <c r="A600" s="389">
        <f t="shared" si="240"/>
        <v>599</v>
      </c>
      <c r="B600" s="395" t="str">
        <f t="shared" si="221"/>
        <v>Jul 2014</v>
      </c>
      <c r="C600" s="396" t="str">
        <f t="shared" si="222"/>
        <v>LS</v>
      </c>
      <c r="D600" s="396" t="str">
        <f t="shared" si="223"/>
        <v>KUUM_477</v>
      </c>
      <c r="E600" s="394">
        <f t="shared" si="224"/>
        <v>1052</v>
      </c>
      <c r="F600" s="397">
        <v>0</v>
      </c>
      <c r="G600" s="394">
        <f t="shared" si="225"/>
        <v>33103</v>
      </c>
      <c r="H600" s="394">
        <v>0</v>
      </c>
      <c r="I600" s="390">
        <f t="shared" si="226"/>
        <v>20.97</v>
      </c>
      <c r="J600" s="390">
        <f t="shared" si="227"/>
        <v>1.129999999999999</v>
      </c>
      <c r="K600" s="391">
        <f t="shared" si="241"/>
        <v>22060.44</v>
      </c>
      <c r="L600" s="398">
        <v>34.08</v>
      </c>
      <c r="M600" s="398">
        <v>0</v>
      </c>
      <c r="N600" s="164">
        <f t="shared" si="220"/>
        <v>22094.52</v>
      </c>
      <c r="O600" s="399">
        <f t="shared" si="228"/>
        <v>22094.52</v>
      </c>
      <c r="P600" s="392">
        <f t="shared" si="242"/>
        <v>1</v>
      </c>
      <c r="Q600" s="164">
        <f t="shared" si="229"/>
        <v>127.04</v>
      </c>
      <c r="R600" s="164">
        <f t="shared" si="230"/>
        <v>0</v>
      </c>
      <c r="S600" s="164">
        <f t="shared" si="231"/>
        <v>700.89</v>
      </c>
      <c r="T600" s="164">
        <f t="shared" si="232"/>
        <v>0</v>
      </c>
      <c r="U600" s="164">
        <f t="shared" si="233"/>
        <v>22922.45</v>
      </c>
      <c r="V600" s="393">
        <f t="shared" si="234"/>
        <v>22922.45</v>
      </c>
      <c r="W600" s="393">
        <f t="shared" si="235"/>
        <v>0</v>
      </c>
      <c r="Y600" s="393">
        <f t="shared" si="238"/>
        <v>1188.76</v>
      </c>
      <c r="Z600" s="393">
        <f t="shared" si="239"/>
        <v>20905.760000000002</v>
      </c>
      <c r="AD600" s="395">
        <f>IF(AH600&gt;AH599,AD599,IF(AD599&lt;MiscData!$F$1,EOMONTH(AD599,1),EOMONTH(AD599,-11)))</f>
        <v>41851</v>
      </c>
      <c r="AE600" s="389" t="str">
        <f t="shared" si="236"/>
        <v>20140101KUUM_477</v>
      </c>
      <c r="AF600" s="437" t="str">
        <f t="shared" si="237"/>
        <v>20140101LS</v>
      </c>
      <c r="AG600" s="438"/>
      <c r="AH600" s="34">
        <f>IF(AH599=MiscData!$AB$91,1,AH599+1)</f>
        <v>71</v>
      </c>
      <c r="AI600" s="34">
        <f>IF(AD600&lt;=MiscData!$B$23,MiscData!$C$23,IF(AD600&lt;=MiscData!$B$24,MiscData!$C$24,MiscData!$C$25))</f>
        <v>20140101</v>
      </c>
      <c r="AK600" s="439" t="str">
        <f>VLOOKUP(AM600,MiscData!$AB$4:$ACB$113,2,FALSE)</f>
        <v>KUUM_477</v>
      </c>
      <c r="AL600" s="439" t="str">
        <f>VLOOKUP(AM600,MiscData!$AB$4:$AE$115,4,FALSE)</f>
        <v>LS</v>
      </c>
      <c r="AM600" s="34">
        <f>IF(AM599=MiscData!$AB$91,1,AM599+1)</f>
        <v>71</v>
      </c>
    </row>
    <row r="601" spans="1:39">
      <c r="A601" s="389">
        <f t="shared" si="240"/>
        <v>600</v>
      </c>
      <c r="B601" s="395" t="str">
        <f t="shared" si="221"/>
        <v>Jul 2014</v>
      </c>
      <c r="C601" s="396" t="str">
        <f t="shared" si="222"/>
        <v>LS</v>
      </c>
      <c r="D601" s="396" t="str">
        <f t="shared" si="223"/>
        <v>KUUM_478</v>
      </c>
      <c r="E601" s="394">
        <f t="shared" si="224"/>
        <v>1409</v>
      </c>
      <c r="F601" s="397">
        <v>0</v>
      </c>
      <c r="G601" s="394">
        <f t="shared" si="225"/>
        <v>91701</v>
      </c>
      <c r="H601" s="394">
        <v>0</v>
      </c>
      <c r="I601" s="390">
        <f t="shared" si="226"/>
        <v>26.86</v>
      </c>
      <c r="J601" s="390">
        <f t="shared" si="227"/>
        <v>2.3299999999999983</v>
      </c>
      <c r="K601" s="391">
        <f t="shared" si="241"/>
        <v>37845.74</v>
      </c>
      <c r="L601" s="398">
        <v>0.02</v>
      </c>
      <c r="M601" s="398">
        <v>0</v>
      </c>
      <c r="N601" s="164">
        <f t="shared" si="220"/>
        <v>37845.759999999995</v>
      </c>
      <c r="O601" s="399">
        <f t="shared" si="228"/>
        <v>37845.760000000002</v>
      </c>
      <c r="P601" s="392">
        <f t="shared" si="242"/>
        <v>1</v>
      </c>
      <c r="Q601" s="164">
        <f t="shared" si="229"/>
        <v>331.3</v>
      </c>
      <c r="R601" s="164">
        <f t="shared" si="230"/>
        <v>0</v>
      </c>
      <c r="S601" s="164">
        <f t="shared" si="231"/>
        <v>1216.08</v>
      </c>
      <c r="T601" s="164">
        <f t="shared" si="232"/>
        <v>0</v>
      </c>
      <c r="U601" s="164">
        <f t="shared" si="233"/>
        <v>39393.14</v>
      </c>
      <c r="V601" s="393">
        <f t="shared" si="234"/>
        <v>39393.14</v>
      </c>
      <c r="W601" s="393">
        <f t="shared" si="235"/>
        <v>0</v>
      </c>
      <c r="Y601" s="393">
        <f t="shared" si="238"/>
        <v>3282.97</v>
      </c>
      <c r="Z601" s="393">
        <f t="shared" si="239"/>
        <v>34562.79</v>
      </c>
      <c r="AD601" s="395">
        <f>IF(AH601&gt;AH600,AD600,IF(AD600&lt;MiscData!$F$1,EOMONTH(AD600,1),EOMONTH(AD600,-11)))</f>
        <v>41851</v>
      </c>
      <c r="AE601" s="389" t="str">
        <f t="shared" si="236"/>
        <v>20140101KUUM_478</v>
      </c>
      <c r="AF601" s="437" t="str">
        <f t="shared" si="237"/>
        <v>20140101LS</v>
      </c>
      <c r="AG601" s="438"/>
      <c r="AH601" s="34">
        <f>IF(AH600=MiscData!$AB$91,1,AH600+1)</f>
        <v>72</v>
      </c>
      <c r="AI601" s="34">
        <f>IF(AD601&lt;=MiscData!$B$23,MiscData!$C$23,IF(AD601&lt;=MiscData!$B$24,MiscData!$C$24,MiscData!$C$25))</f>
        <v>20140101</v>
      </c>
      <c r="AK601" s="439" t="str">
        <f>VLOOKUP(AM601,MiscData!$AB$4:$ACB$113,2,FALSE)</f>
        <v>KUUM_478</v>
      </c>
      <c r="AL601" s="439" t="str">
        <f>VLOOKUP(AM601,MiscData!$AB$4:$AE$115,4,FALSE)</f>
        <v>LS</v>
      </c>
      <c r="AM601" s="34">
        <f>IF(AM600=MiscData!$AB$91,1,AM600+1)</f>
        <v>72</v>
      </c>
    </row>
    <row r="602" spans="1:39">
      <c r="A602" s="389">
        <f t="shared" si="240"/>
        <v>601</v>
      </c>
      <c r="B602" s="395" t="str">
        <f t="shared" si="221"/>
        <v>Jul 2014</v>
      </c>
      <c r="C602" s="396" t="str">
        <f t="shared" si="222"/>
        <v>LS</v>
      </c>
      <c r="D602" s="396" t="str">
        <f t="shared" si="223"/>
        <v>KUUM_479</v>
      </c>
      <c r="E602" s="394">
        <f t="shared" si="224"/>
        <v>948</v>
      </c>
      <c r="F602" s="397">
        <v>0</v>
      </c>
      <c r="G602" s="394">
        <f t="shared" si="225"/>
        <v>118105</v>
      </c>
      <c r="H602" s="394">
        <v>0</v>
      </c>
      <c r="I602" s="390">
        <f t="shared" si="226"/>
        <v>33.119999999999997</v>
      </c>
      <c r="J602" s="390">
        <f t="shared" si="227"/>
        <v>4.529999999999994</v>
      </c>
      <c r="K602" s="391">
        <f t="shared" si="241"/>
        <v>31397.759999999998</v>
      </c>
      <c r="L602" s="398">
        <v>-121.44</v>
      </c>
      <c r="M602" s="398">
        <v>0</v>
      </c>
      <c r="N602" s="164">
        <f t="shared" si="220"/>
        <v>31276.32</v>
      </c>
      <c r="O602" s="399">
        <f t="shared" si="228"/>
        <v>31276.32</v>
      </c>
      <c r="P602" s="392">
        <f t="shared" si="242"/>
        <v>1</v>
      </c>
      <c r="Q602" s="164">
        <f t="shared" si="229"/>
        <v>338.44</v>
      </c>
      <c r="R602" s="164">
        <f t="shared" si="230"/>
        <v>0</v>
      </c>
      <c r="S602" s="164">
        <f t="shared" si="231"/>
        <v>1039.3800000000001</v>
      </c>
      <c r="T602" s="164">
        <f t="shared" si="232"/>
        <v>0</v>
      </c>
      <c r="U602" s="164">
        <f t="shared" si="233"/>
        <v>32654.14</v>
      </c>
      <c r="V602" s="393">
        <f t="shared" si="234"/>
        <v>32654.14</v>
      </c>
      <c r="W602" s="393">
        <f t="shared" si="235"/>
        <v>0</v>
      </c>
      <c r="Y602" s="393">
        <f t="shared" si="238"/>
        <v>4294.4399999999996</v>
      </c>
      <c r="Z602" s="393">
        <f t="shared" si="239"/>
        <v>26981.88</v>
      </c>
      <c r="AD602" s="395">
        <f>IF(AH602&gt;AH601,AD601,IF(AD601&lt;MiscData!$F$1,EOMONTH(AD601,1),EOMONTH(AD601,-11)))</f>
        <v>41851</v>
      </c>
      <c r="AE602" s="389" t="str">
        <f t="shared" si="236"/>
        <v>20140101KUUM_479</v>
      </c>
      <c r="AF602" s="437" t="str">
        <f t="shared" si="237"/>
        <v>20140101LS</v>
      </c>
      <c r="AG602" s="438"/>
      <c r="AH602" s="34">
        <f>IF(AH601=MiscData!$AB$91,1,AH601+1)</f>
        <v>73</v>
      </c>
      <c r="AI602" s="34">
        <f>IF(AD602&lt;=MiscData!$B$23,MiscData!$C$23,IF(AD602&lt;=MiscData!$B$24,MiscData!$C$24,MiscData!$C$25))</f>
        <v>20140101</v>
      </c>
      <c r="AK602" s="439" t="str">
        <f>VLOOKUP(AM602,MiscData!$AB$4:$ACB$113,2,FALSE)</f>
        <v>KUUM_479</v>
      </c>
      <c r="AL602" s="439" t="str">
        <f>VLOOKUP(AM602,MiscData!$AB$4:$AE$115,4,FALSE)</f>
        <v>LS</v>
      </c>
      <c r="AM602" s="34">
        <f>IF(AM601=MiscData!$AB$91,1,AM601+1)</f>
        <v>73</v>
      </c>
    </row>
    <row r="603" spans="1:39">
      <c r="A603" s="389">
        <f t="shared" si="240"/>
        <v>602</v>
      </c>
      <c r="B603" s="395" t="str">
        <f t="shared" si="221"/>
        <v>Jul 2014</v>
      </c>
      <c r="C603" s="396" t="str">
        <f t="shared" si="222"/>
        <v>LS</v>
      </c>
      <c r="D603" s="396" t="str">
        <f t="shared" si="223"/>
        <v>KUUM_486</v>
      </c>
      <c r="E603" s="394">
        <f t="shared" si="224"/>
        <v>0</v>
      </c>
      <c r="F603" s="397">
        <v>0</v>
      </c>
      <c r="G603" s="394">
        <f t="shared" si="225"/>
        <v>0</v>
      </c>
      <c r="H603" s="394">
        <v>0</v>
      </c>
      <c r="I603" s="390">
        <f t="shared" si="226"/>
        <v>0</v>
      </c>
      <c r="J603" s="390">
        <f t="shared" si="227"/>
        <v>0</v>
      </c>
      <c r="K603" s="391">
        <f t="shared" si="241"/>
        <v>0</v>
      </c>
      <c r="L603" s="398">
        <v>0</v>
      </c>
      <c r="M603" s="398">
        <v>0</v>
      </c>
      <c r="N603" s="164">
        <f t="shared" si="220"/>
        <v>0</v>
      </c>
      <c r="O603" s="399">
        <f t="shared" si="228"/>
        <v>0</v>
      </c>
      <c r="P603" s="392">
        <f t="shared" si="242"/>
        <v>1</v>
      </c>
      <c r="Q603" s="164">
        <f t="shared" si="229"/>
        <v>0</v>
      </c>
      <c r="R603" s="164">
        <f t="shared" si="230"/>
        <v>0</v>
      </c>
      <c r="S603" s="164">
        <f t="shared" si="231"/>
        <v>0</v>
      </c>
      <c r="T603" s="164">
        <f t="shared" si="232"/>
        <v>0</v>
      </c>
      <c r="U603" s="164">
        <f t="shared" si="233"/>
        <v>0</v>
      </c>
      <c r="V603" s="393">
        <f t="shared" si="234"/>
        <v>0</v>
      </c>
      <c r="W603" s="393">
        <f t="shared" si="235"/>
        <v>0</v>
      </c>
      <c r="Y603" s="393">
        <f t="shared" si="238"/>
        <v>0</v>
      </c>
      <c r="Z603" s="393">
        <f t="shared" si="239"/>
        <v>0</v>
      </c>
      <c r="AD603" s="395">
        <f>IF(AH603&gt;AH602,AD602,IF(AD602&lt;MiscData!$F$1,EOMONTH(AD602,1),EOMONTH(AD602,-11)))</f>
        <v>41851</v>
      </c>
      <c r="AE603" s="389" t="str">
        <f t="shared" si="236"/>
        <v>20140101KUUM_486</v>
      </c>
      <c r="AF603" s="437" t="str">
        <f t="shared" si="237"/>
        <v>20140101LS</v>
      </c>
      <c r="AG603" s="438"/>
      <c r="AH603" s="34">
        <f>IF(AH602=MiscData!$AB$91,1,AH602+1)</f>
        <v>74</v>
      </c>
      <c r="AI603" s="34">
        <f>IF(AD603&lt;=MiscData!$B$23,MiscData!$C$23,IF(AD603&lt;=MiscData!$B$24,MiscData!$C$24,MiscData!$C$25))</f>
        <v>20140101</v>
      </c>
      <c r="AK603" s="439" t="str">
        <f>VLOOKUP(AM603,MiscData!$AB$4:$ACB$113,2,FALSE)</f>
        <v>KUUM_486</v>
      </c>
      <c r="AL603" s="439" t="str">
        <f>VLOOKUP(AM603,MiscData!$AB$4:$AE$115,4,FALSE)</f>
        <v>LS</v>
      </c>
      <c r="AM603" s="34">
        <f>IF(AM602=MiscData!$AB$91,1,AM602+1)</f>
        <v>74</v>
      </c>
    </row>
    <row r="604" spans="1:39">
      <c r="A604" s="389">
        <f t="shared" si="240"/>
        <v>603</v>
      </c>
      <c r="B604" s="395" t="str">
        <f t="shared" si="221"/>
        <v>Jul 2014</v>
      </c>
      <c r="C604" s="396" t="str">
        <f t="shared" si="222"/>
        <v>LS</v>
      </c>
      <c r="D604" s="396" t="str">
        <f t="shared" si="223"/>
        <v>KUUM_487</v>
      </c>
      <c r="E604" s="394">
        <f t="shared" si="224"/>
        <v>11165</v>
      </c>
      <c r="F604" s="397">
        <v>0</v>
      </c>
      <c r="G604" s="394">
        <f t="shared" si="225"/>
        <v>345044</v>
      </c>
      <c r="H604" s="394">
        <v>0</v>
      </c>
      <c r="I604" s="390">
        <f t="shared" si="226"/>
        <v>9</v>
      </c>
      <c r="J604" s="390">
        <f t="shared" si="227"/>
        <v>1.1299999999999999</v>
      </c>
      <c r="K604" s="391">
        <f t="shared" si="241"/>
        <v>100485</v>
      </c>
      <c r="L604" s="398">
        <v>-664.71</v>
      </c>
      <c r="M604" s="398">
        <v>0</v>
      </c>
      <c r="N604" s="164">
        <f t="shared" si="220"/>
        <v>99820.29</v>
      </c>
      <c r="O604" s="399">
        <f t="shared" si="228"/>
        <v>99820.29</v>
      </c>
      <c r="P604" s="392">
        <f t="shared" si="242"/>
        <v>1</v>
      </c>
      <c r="Q604" s="164">
        <f t="shared" si="229"/>
        <v>882.86</v>
      </c>
      <c r="R604" s="164">
        <f t="shared" si="230"/>
        <v>0</v>
      </c>
      <c r="S604" s="164">
        <f t="shared" si="231"/>
        <v>3329.53</v>
      </c>
      <c r="T604" s="164">
        <f t="shared" si="232"/>
        <v>0</v>
      </c>
      <c r="U604" s="164">
        <f t="shared" si="233"/>
        <v>104032.68</v>
      </c>
      <c r="V604" s="393">
        <f t="shared" si="234"/>
        <v>104032.68</v>
      </c>
      <c r="W604" s="393">
        <f t="shared" si="235"/>
        <v>0</v>
      </c>
      <c r="Y604" s="393">
        <f t="shared" si="238"/>
        <v>12616.45</v>
      </c>
      <c r="Z604" s="393">
        <f t="shared" si="239"/>
        <v>87203.839999999997</v>
      </c>
      <c r="AD604" s="395">
        <f>IF(AH604&gt;AH603,AD603,IF(AD603&lt;MiscData!$F$1,EOMONTH(AD603,1),EOMONTH(AD603,-11)))</f>
        <v>41851</v>
      </c>
      <c r="AE604" s="389" t="str">
        <f t="shared" si="236"/>
        <v>20140101KUUM_487</v>
      </c>
      <c r="AF604" s="437" t="str">
        <f t="shared" si="237"/>
        <v>20140101LS</v>
      </c>
      <c r="AG604" s="438"/>
      <c r="AH604" s="34">
        <f>IF(AH603=MiscData!$AB$91,1,AH603+1)</f>
        <v>75</v>
      </c>
      <c r="AI604" s="34">
        <f>IF(AD604&lt;=MiscData!$B$23,MiscData!$C$23,IF(AD604&lt;=MiscData!$B$24,MiscData!$C$24,MiscData!$C$25))</f>
        <v>20140101</v>
      </c>
      <c r="AK604" s="439" t="str">
        <f>VLOOKUP(AM604,MiscData!$AB$4:$ACB$113,2,FALSE)</f>
        <v>KUUM_487</v>
      </c>
      <c r="AL604" s="439" t="str">
        <f>VLOOKUP(AM604,MiscData!$AB$4:$AE$115,4,FALSE)</f>
        <v>LS</v>
      </c>
      <c r="AM604" s="34">
        <f>IF(AM603=MiscData!$AB$91,1,AM603+1)</f>
        <v>75</v>
      </c>
    </row>
    <row r="605" spans="1:39">
      <c r="A605" s="389">
        <f t="shared" si="240"/>
        <v>604</v>
      </c>
      <c r="B605" s="395" t="str">
        <f t="shared" si="221"/>
        <v>Jul 2014</v>
      </c>
      <c r="C605" s="396" t="str">
        <f t="shared" si="222"/>
        <v>LS</v>
      </c>
      <c r="D605" s="396" t="str">
        <f t="shared" si="223"/>
        <v>KUUM_488</v>
      </c>
      <c r="E605" s="394">
        <f t="shared" si="224"/>
        <v>6669</v>
      </c>
      <c r="F605" s="397">
        <v>0</v>
      </c>
      <c r="G605" s="394">
        <f t="shared" si="225"/>
        <v>425848</v>
      </c>
      <c r="H605" s="394">
        <v>0</v>
      </c>
      <c r="I605" s="390">
        <f t="shared" si="226"/>
        <v>13.639999999999999</v>
      </c>
      <c r="J605" s="390">
        <f t="shared" si="227"/>
        <v>2.33</v>
      </c>
      <c r="K605" s="391">
        <f t="shared" si="241"/>
        <v>90965.16</v>
      </c>
      <c r="L605" s="398">
        <v>-567.99</v>
      </c>
      <c r="M605" s="398">
        <v>0</v>
      </c>
      <c r="N605" s="164">
        <f t="shared" si="220"/>
        <v>90397.17</v>
      </c>
      <c r="O605" s="399">
        <f t="shared" si="228"/>
        <v>90397.17</v>
      </c>
      <c r="P605" s="392">
        <f t="shared" si="242"/>
        <v>1</v>
      </c>
      <c r="Q605" s="164">
        <f t="shared" si="229"/>
        <v>1119.54</v>
      </c>
      <c r="R605" s="164">
        <f t="shared" si="230"/>
        <v>0</v>
      </c>
      <c r="S605" s="164">
        <f t="shared" si="231"/>
        <v>3038.21</v>
      </c>
      <c r="T605" s="164">
        <f t="shared" si="232"/>
        <v>0</v>
      </c>
      <c r="U605" s="164">
        <f t="shared" si="233"/>
        <v>94554.92</v>
      </c>
      <c r="V605" s="393">
        <f t="shared" si="234"/>
        <v>94554.92</v>
      </c>
      <c r="W605" s="393">
        <f t="shared" si="235"/>
        <v>0</v>
      </c>
      <c r="Y605" s="393">
        <f t="shared" si="238"/>
        <v>15538.77</v>
      </c>
      <c r="Z605" s="393">
        <f t="shared" si="239"/>
        <v>74858.399999999994</v>
      </c>
      <c r="AD605" s="395">
        <f>IF(AH605&gt;AH604,AD604,IF(AD604&lt;MiscData!$F$1,EOMONTH(AD604,1),EOMONTH(AD604,-11)))</f>
        <v>41851</v>
      </c>
      <c r="AE605" s="389" t="str">
        <f t="shared" si="236"/>
        <v>20140101KUUM_488</v>
      </c>
      <c r="AF605" s="437" t="str">
        <f t="shared" si="237"/>
        <v>20140101LS</v>
      </c>
      <c r="AG605" s="438"/>
      <c r="AH605" s="34">
        <f>IF(AH604=MiscData!$AB$91,1,AH604+1)</f>
        <v>76</v>
      </c>
      <c r="AI605" s="34">
        <f>IF(AD605&lt;=MiscData!$B$23,MiscData!$C$23,IF(AD605&lt;=MiscData!$B$24,MiscData!$C$24,MiscData!$C$25))</f>
        <v>20140101</v>
      </c>
      <c r="AK605" s="439" t="str">
        <f>VLOOKUP(AM605,MiscData!$AB$4:$ACB$113,2,FALSE)</f>
        <v>KUUM_488</v>
      </c>
      <c r="AL605" s="439" t="str">
        <f>VLOOKUP(AM605,MiscData!$AB$4:$AE$115,4,FALSE)</f>
        <v>LS</v>
      </c>
      <c r="AM605" s="34">
        <f>IF(AM604=MiscData!$AB$91,1,AM604+1)</f>
        <v>76</v>
      </c>
    </row>
    <row r="606" spans="1:39">
      <c r="A606" s="389">
        <f t="shared" si="240"/>
        <v>605</v>
      </c>
      <c r="B606" s="395" t="str">
        <f t="shared" si="221"/>
        <v>Jul 2014</v>
      </c>
      <c r="C606" s="396" t="str">
        <f t="shared" si="222"/>
        <v>LS</v>
      </c>
      <c r="D606" s="396" t="str">
        <f t="shared" si="223"/>
        <v>KUUM_489</v>
      </c>
      <c r="E606" s="394">
        <f t="shared" si="224"/>
        <v>8390</v>
      </c>
      <c r="F606" s="397">
        <v>0</v>
      </c>
      <c r="G606" s="394">
        <f t="shared" si="225"/>
        <v>1046275</v>
      </c>
      <c r="H606" s="394">
        <v>0</v>
      </c>
      <c r="I606" s="390">
        <f t="shared" si="226"/>
        <v>19.46</v>
      </c>
      <c r="J606" s="390">
        <f t="shared" si="227"/>
        <v>4.5300000000000011</v>
      </c>
      <c r="K606" s="391">
        <f t="shared" si="241"/>
        <v>163269.4</v>
      </c>
      <c r="L606" s="398">
        <v>-339.16</v>
      </c>
      <c r="M606" s="398">
        <v>0</v>
      </c>
      <c r="N606" s="164">
        <f t="shared" si="220"/>
        <v>162930.23999999999</v>
      </c>
      <c r="O606" s="399">
        <f t="shared" si="228"/>
        <v>162930.23999999999</v>
      </c>
      <c r="P606" s="392">
        <f t="shared" si="242"/>
        <v>1</v>
      </c>
      <c r="Q606" s="164">
        <f t="shared" si="229"/>
        <v>2822.67</v>
      </c>
      <c r="R606" s="164">
        <f t="shared" si="230"/>
        <v>0</v>
      </c>
      <c r="S606" s="164">
        <f t="shared" si="231"/>
        <v>5492.37</v>
      </c>
      <c r="T606" s="164">
        <f t="shared" si="232"/>
        <v>0</v>
      </c>
      <c r="U606" s="164">
        <f t="shared" si="233"/>
        <v>171245.28</v>
      </c>
      <c r="V606" s="393">
        <f t="shared" si="234"/>
        <v>171245.28</v>
      </c>
      <c r="W606" s="393">
        <f t="shared" si="235"/>
        <v>0</v>
      </c>
      <c r="Y606" s="393">
        <f t="shared" si="238"/>
        <v>38006.699999999997</v>
      </c>
      <c r="Z606" s="393">
        <f t="shared" si="239"/>
        <v>124923.54</v>
      </c>
      <c r="AD606" s="395">
        <f>IF(AH606&gt;AH605,AD605,IF(AD605&lt;MiscData!$F$1,EOMONTH(AD605,1),EOMONTH(AD605,-11)))</f>
        <v>41851</v>
      </c>
      <c r="AE606" s="389" t="str">
        <f t="shared" si="236"/>
        <v>20140101KUUM_489</v>
      </c>
      <c r="AF606" s="437" t="str">
        <f t="shared" si="237"/>
        <v>20140101LS</v>
      </c>
      <c r="AG606" s="438"/>
      <c r="AH606" s="34">
        <f>IF(AH605=MiscData!$AB$91,1,AH605+1)</f>
        <v>77</v>
      </c>
      <c r="AI606" s="34">
        <f>IF(AD606&lt;=MiscData!$B$23,MiscData!$C$23,IF(AD606&lt;=MiscData!$B$24,MiscData!$C$24,MiscData!$C$25))</f>
        <v>20140101</v>
      </c>
      <c r="AK606" s="439" t="str">
        <f>VLOOKUP(AM606,MiscData!$AB$4:$ACB$113,2,FALSE)</f>
        <v>KUUM_489</v>
      </c>
      <c r="AL606" s="439" t="str">
        <f>VLOOKUP(AM606,MiscData!$AB$4:$AE$115,4,FALSE)</f>
        <v>LS</v>
      </c>
      <c r="AM606" s="34">
        <f>IF(AM605=MiscData!$AB$91,1,AM605+1)</f>
        <v>77</v>
      </c>
    </row>
    <row r="607" spans="1:39">
      <c r="A607" s="389">
        <f t="shared" si="240"/>
        <v>606</v>
      </c>
      <c r="B607" s="395" t="str">
        <f t="shared" si="221"/>
        <v>Jul 2014</v>
      </c>
      <c r="C607" s="396" t="str">
        <f t="shared" si="222"/>
        <v>LS</v>
      </c>
      <c r="D607" s="396" t="str">
        <f t="shared" si="223"/>
        <v>KUUM_490</v>
      </c>
      <c r="E607" s="394">
        <f t="shared" si="224"/>
        <v>60</v>
      </c>
      <c r="F607" s="397">
        <v>0</v>
      </c>
      <c r="G607" s="394">
        <f t="shared" si="225"/>
        <v>2298</v>
      </c>
      <c r="H607" s="394">
        <v>0</v>
      </c>
      <c r="I607" s="390">
        <f t="shared" si="226"/>
        <v>15.47</v>
      </c>
      <c r="J607" s="390">
        <f t="shared" si="227"/>
        <v>1.9700000000000006</v>
      </c>
      <c r="K607" s="391">
        <f t="shared" si="241"/>
        <v>928.2</v>
      </c>
      <c r="L607" s="398">
        <v>-17.53</v>
      </c>
      <c r="M607" s="398">
        <v>0</v>
      </c>
      <c r="N607" s="164">
        <f t="shared" si="220"/>
        <v>910.67000000000007</v>
      </c>
      <c r="O607" s="399">
        <f t="shared" si="228"/>
        <v>910.67</v>
      </c>
      <c r="P607" s="392">
        <f t="shared" si="242"/>
        <v>1</v>
      </c>
      <c r="Q607" s="164">
        <f t="shared" si="229"/>
        <v>5.98</v>
      </c>
      <c r="R607" s="164">
        <f t="shared" si="230"/>
        <v>0</v>
      </c>
      <c r="S607" s="164">
        <f t="shared" si="231"/>
        <v>30.48</v>
      </c>
      <c r="T607" s="164">
        <f t="shared" si="232"/>
        <v>0</v>
      </c>
      <c r="U607" s="164">
        <f t="shared" si="233"/>
        <v>947.13</v>
      </c>
      <c r="V607" s="393">
        <f t="shared" si="234"/>
        <v>947.13000000000011</v>
      </c>
      <c r="W607" s="393">
        <f t="shared" si="235"/>
        <v>0</v>
      </c>
      <c r="Y607" s="393">
        <f t="shared" si="238"/>
        <v>118.2</v>
      </c>
      <c r="Z607" s="393">
        <f t="shared" si="239"/>
        <v>792.46999999999991</v>
      </c>
      <c r="AD607" s="395">
        <f>IF(AH607&gt;AH606,AD606,IF(AD606&lt;MiscData!$F$1,EOMONTH(AD606,1),EOMONTH(AD606,-11)))</f>
        <v>41851</v>
      </c>
      <c r="AE607" s="389" t="str">
        <f t="shared" si="236"/>
        <v>20140101KUUM_490</v>
      </c>
      <c r="AF607" s="437" t="str">
        <f t="shared" si="237"/>
        <v>20140101LS</v>
      </c>
      <c r="AG607" s="438"/>
      <c r="AH607" s="34">
        <f>IF(AH606=MiscData!$AB$91,1,AH606+1)</f>
        <v>78</v>
      </c>
      <c r="AI607" s="34">
        <f>IF(AD607&lt;=MiscData!$B$23,MiscData!$C$23,IF(AD607&lt;=MiscData!$B$24,MiscData!$C$24,MiscData!$C$25))</f>
        <v>20140101</v>
      </c>
      <c r="AK607" s="439" t="str">
        <f>VLOOKUP(AM607,MiscData!$AB$4:$ACB$113,2,FALSE)</f>
        <v>KUUM_490</v>
      </c>
      <c r="AL607" s="439" t="str">
        <f>VLOOKUP(AM607,MiscData!$AB$4:$AE$115,4,FALSE)</f>
        <v>LS</v>
      </c>
      <c r="AM607" s="34">
        <f>IF(AM606=MiscData!$AB$91,1,AM606+1)</f>
        <v>78</v>
      </c>
    </row>
    <row r="608" spans="1:39">
      <c r="A608" s="389">
        <f t="shared" si="240"/>
        <v>607</v>
      </c>
      <c r="B608" s="395" t="str">
        <f t="shared" si="221"/>
        <v>Jul 2014</v>
      </c>
      <c r="C608" s="396" t="str">
        <f t="shared" si="222"/>
        <v>LS</v>
      </c>
      <c r="D608" s="396" t="str">
        <f t="shared" si="223"/>
        <v>KUUM_491</v>
      </c>
      <c r="E608" s="394">
        <f t="shared" si="224"/>
        <v>304</v>
      </c>
      <c r="F608" s="397">
        <v>0</v>
      </c>
      <c r="G608" s="394">
        <f t="shared" si="225"/>
        <v>26015</v>
      </c>
      <c r="H608" s="394">
        <v>0</v>
      </c>
      <c r="I608" s="390">
        <f t="shared" si="226"/>
        <v>21.930000000000003</v>
      </c>
      <c r="J608" s="390">
        <f t="shared" si="227"/>
        <v>4.2900000000000027</v>
      </c>
      <c r="K608" s="391">
        <f t="shared" si="241"/>
        <v>6666.72</v>
      </c>
      <c r="L608" s="398">
        <v>-392.55</v>
      </c>
      <c r="M608" s="398">
        <v>0</v>
      </c>
      <c r="N608" s="164">
        <f t="shared" si="220"/>
        <v>6274.17</v>
      </c>
      <c r="O608" s="399">
        <f t="shared" si="228"/>
        <v>6274.1699999999992</v>
      </c>
      <c r="P608" s="392">
        <f t="shared" si="242"/>
        <v>1</v>
      </c>
      <c r="Q608" s="164">
        <f t="shared" si="229"/>
        <v>60.53</v>
      </c>
      <c r="R608" s="164">
        <f t="shared" si="230"/>
        <v>0</v>
      </c>
      <c r="S608" s="164">
        <f t="shared" si="231"/>
        <v>212.53</v>
      </c>
      <c r="T608" s="164">
        <f t="shared" si="232"/>
        <v>0</v>
      </c>
      <c r="U608" s="164">
        <f t="shared" si="233"/>
        <v>6547.23</v>
      </c>
      <c r="V608" s="393">
        <f t="shared" si="234"/>
        <v>6547.23</v>
      </c>
      <c r="W608" s="393">
        <f t="shared" si="235"/>
        <v>0</v>
      </c>
      <c r="Y608" s="393">
        <f t="shared" si="238"/>
        <v>1304.1600000000001</v>
      </c>
      <c r="Z608" s="393">
        <f t="shared" si="239"/>
        <v>4970.0099999999993</v>
      </c>
      <c r="AD608" s="395">
        <f>IF(AH608&gt;AH607,AD607,IF(AD607&lt;MiscData!$F$1,EOMONTH(AD607,1),EOMONTH(AD607,-11)))</f>
        <v>41851</v>
      </c>
      <c r="AE608" s="389" t="str">
        <f t="shared" si="236"/>
        <v>20140101KUUM_491</v>
      </c>
      <c r="AF608" s="437" t="str">
        <f t="shared" si="237"/>
        <v>20140101LS</v>
      </c>
      <c r="AG608" s="438"/>
      <c r="AH608" s="34">
        <f>IF(AH607=MiscData!$AB$91,1,AH607+1)</f>
        <v>79</v>
      </c>
      <c r="AI608" s="34">
        <f>IF(AD608&lt;=MiscData!$B$23,MiscData!$C$23,IF(AD608&lt;=MiscData!$B$24,MiscData!$C$24,MiscData!$C$25))</f>
        <v>20140101</v>
      </c>
      <c r="AK608" s="439" t="str">
        <f>VLOOKUP(AM608,MiscData!$AB$4:$ACB$113,2,FALSE)</f>
        <v>KUUM_491</v>
      </c>
      <c r="AL608" s="439" t="str">
        <f>VLOOKUP(AM608,MiscData!$AB$4:$AE$115,4,FALSE)</f>
        <v>LS</v>
      </c>
      <c r="AM608" s="34">
        <f>IF(AM607=MiscData!$AB$91,1,AM607+1)</f>
        <v>79</v>
      </c>
    </row>
    <row r="609" spans="1:39">
      <c r="A609" s="389">
        <f t="shared" si="240"/>
        <v>608</v>
      </c>
      <c r="B609" s="395" t="str">
        <f t="shared" si="221"/>
        <v>Jul 2014</v>
      </c>
      <c r="C609" s="396" t="str">
        <f t="shared" si="222"/>
        <v>LS</v>
      </c>
      <c r="D609" s="396" t="str">
        <f t="shared" si="223"/>
        <v>KUUM_492</v>
      </c>
      <c r="E609" s="394">
        <f t="shared" si="224"/>
        <v>2</v>
      </c>
      <c r="F609" s="397">
        <v>0</v>
      </c>
      <c r="G609" s="394">
        <f t="shared" si="225"/>
        <v>44</v>
      </c>
      <c r="H609" s="394">
        <v>0</v>
      </c>
      <c r="I609" s="390">
        <f t="shared" si="226"/>
        <v>15.370000000000001</v>
      </c>
      <c r="J609" s="390">
        <f t="shared" si="227"/>
        <v>0.80000000000000071</v>
      </c>
      <c r="K609" s="391">
        <f t="shared" si="241"/>
        <v>30.74</v>
      </c>
      <c r="L609" s="398">
        <v>0</v>
      </c>
      <c r="M609" s="398">
        <v>0</v>
      </c>
      <c r="N609" s="164">
        <f t="shared" si="220"/>
        <v>30.74</v>
      </c>
      <c r="O609" s="399">
        <f t="shared" si="228"/>
        <v>30.74</v>
      </c>
      <c r="P609" s="392">
        <f t="shared" si="242"/>
        <v>1</v>
      </c>
      <c r="Q609" s="164">
        <f t="shared" si="229"/>
        <v>0.11</v>
      </c>
      <c r="R609" s="164">
        <f t="shared" si="230"/>
        <v>0</v>
      </c>
      <c r="S609" s="164">
        <f t="shared" si="231"/>
        <v>1.03</v>
      </c>
      <c r="T609" s="164">
        <f t="shared" si="232"/>
        <v>0</v>
      </c>
      <c r="U609" s="164">
        <f t="shared" si="233"/>
        <v>31.88</v>
      </c>
      <c r="V609" s="393">
        <f t="shared" si="234"/>
        <v>31.88</v>
      </c>
      <c r="W609" s="393">
        <f t="shared" si="235"/>
        <v>0</v>
      </c>
      <c r="Y609" s="393">
        <f t="shared" si="238"/>
        <v>1.6</v>
      </c>
      <c r="Z609" s="393">
        <f t="shared" si="239"/>
        <v>29.139999999999997</v>
      </c>
      <c r="AD609" s="395">
        <f>IF(AH609&gt;AH608,AD608,IF(AD608&lt;MiscData!$F$1,EOMONTH(AD608,1),EOMONTH(AD608,-11)))</f>
        <v>41851</v>
      </c>
      <c r="AE609" s="389" t="str">
        <f t="shared" si="236"/>
        <v>20140101KUUM_492</v>
      </c>
      <c r="AF609" s="437" t="str">
        <f t="shared" si="237"/>
        <v>20140101LS</v>
      </c>
      <c r="AG609" s="438"/>
      <c r="AH609" s="34">
        <f>IF(AH608=MiscData!$AB$91,1,AH608+1)</f>
        <v>80</v>
      </c>
      <c r="AI609" s="34">
        <f>IF(AD609&lt;=MiscData!$B$23,MiscData!$C$23,IF(AD609&lt;=MiscData!$B$24,MiscData!$C$24,MiscData!$C$25))</f>
        <v>20140101</v>
      </c>
      <c r="AK609" s="439" t="str">
        <f>VLOOKUP(AM609,MiscData!$AB$4:$ACB$113,2,FALSE)</f>
        <v>KUUM_492</v>
      </c>
      <c r="AL609" s="439" t="str">
        <f>VLOOKUP(AM609,MiscData!$AB$4:$AE$115,4,FALSE)</f>
        <v>LS</v>
      </c>
      <c r="AM609" s="34">
        <f>IF(AM608=MiscData!$AB$91,1,AM608+1)</f>
        <v>80</v>
      </c>
    </row>
    <row r="610" spans="1:39">
      <c r="A610" s="389">
        <f t="shared" si="240"/>
        <v>609</v>
      </c>
      <c r="B610" s="395" t="str">
        <f t="shared" si="221"/>
        <v>Jul 2014</v>
      </c>
      <c r="C610" s="396" t="str">
        <f t="shared" si="222"/>
        <v>LS</v>
      </c>
      <c r="D610" s="396" t="str">
        <f t="shared" si="223"/>
        <v>KUUM_493</v>
      </c>
      <c r="E610" s="394">
        <f t="shared" si="224"/>
        <v>43</v>
      </c>
      <c r="F610" s="397">
        <v>0</v>
      </c>
      <c r="G610" s="394">
        <f t="shared" si="225"/>
        <v>12411</v>
      </c>
      <c r="H610" s="394">
        <v>-125</v>
      </c>
      <c r="I610" s="390">
        <f t="shared" si="226"/>
        <v>45.7</v>
      </c>
      <c r="J610" s="390">
        <f t="shared" si="227"/>
        <v>10.409999999999997</v>
      </c>
      <c r="K610" s="391">
        <f t="shared" si="241"/>
        <v>1965.1</v>
      </c>
      <c r="L610" s="398">
        <v>0</v>
      </c>
      <c r="M610" s="398">
        <v>0</v>
      </c>
      <c r="N610" s="164">
        <f t="shared" si="220"/>
        <v>1965.1</v>
      </c>
      <c r="O610" s="399">
        <f t="shared" si="228"/>
        <v>1965.1</v>
      </c>
      <c r="P610" s="392">
        <f t="shared" si="242"/>
        <v>1</v>
      </c>
      <c r="Q610" s="164">
        <f t="shared" si="229"/>
        <v>31.76</v>
      </c>
      <c r="R610" s="164">
        <f t="shared" si="230"/>
        <v>0</v>
      </c>
      <c r="S610" s="164">
        <f t="shared" si="231"/>
        <v>66.510000000000005</v>
      </c>
      <c r="T610" s="164">
        <f t="shared" si="232"/>
        <v>0</v>
      </c>
      <c r="U610" s="164">
        <f t="shared" si="233"/>
        <v>2063.37</v>
      </c>
      <c r="V610" s="393">
        <f t="shared" si="234"/>
        <v>2063.37</v>
      </c>
      <c r="W610" s="393">
        <f t="shared" si="235"/>
        <v>0</v>
      </c>
      <c r="Y610" s="393">
        <f t="shared" si="238"/>
        <v>447.63</v>
      </c>
      <c r="Z610" s="393">
        <f t="shared" si="239"/>
        <v>1517.4699999999998</v>
      </c>
      <c r="AD610" s="395">
        <f>IF(AH610&gt;AH609,AD609,IF(AD609&lt;MiscData!$F$1,EOMONTH(AD609,1),EOMONTH(AD609,-11)))</f>
        <v>41851</v>
      </c>
      <c r="AE610" s="389" t="str">
        <f t="shared" si="236"/>
        <v>20140101KUUM_493</v>
      </c>
      <c r="AF610" s="437" t="str">
        <f t="shared" si="237"/>
        <v>20140101LS</v>
      </c>
      <c r="AG610" s="438"/>
      <c r="AH610" s="34">
        <f>IF(AH609=MiscData!$AB$91,1,AH609+1)</f>
        <v>81</v>
      </c>
      <c r="AI610" s="34">
        <f>IF(AD610&lt;=MiscData!$B$23,MiscData!$C$23,IF(AD610&lt;=MiscData!$B$24,MiscData!$C$24,MiscData!$C$25))</f>
        <v>20140101</v>
      </c>
      <c r="AK610" s="439" t="str">
        <f>VLOOKUP(AM610,MiscData!$AB$4:$ACB$113,2,FALSE)</f>
        <v>KUUM_493</v>
      </c>
      <c r="AL610" s="439" t="str">
        <f>VLOOKUP(AM610,MiscData!$AB$4:$AE$115,4,FALSE)</f>
        <v>LS</v>
      </c>
      <c r="AM610" s="34">
        <f>IF(AM609=MiscData!$AB$91,1,AM609+1)</f>
        <v>81</v>
      </c>
    </row>
    <row r="611" spans="1:39">
      <c r="A611" s="389">
        <f t="shared" si="240"/>
        <v>610</v>
      </c>
      <c r="B611" s="395" t="str">
        <f t="shared" si="221"/>
        <v>Jul 2014</v>
      </c>
      <c r="C611" s="396" t="str">
        <f t="shared" si="222"/>
        <v>LS</v>
      </c>
      <c r="D611" s="396" t="str">
        <f t="shared" si="223"/>
        <v>KUUM_494</v>
      </c>
      <c r="E611" s="394">
        <f t="shared" si="224"/>
        <v>182</v>
      </c>
      <c r="F611" s="397">
        <v>0</v>
      </c>
      <c r="G611" s="394">
        <f t="shared" si="225"/>
        <v>6776</v>
      </c>
      <c r="H611" s="394">
        <v>0</v>
      </c>
      <c r="I611" s="390">
        <f t="shared" si="226"/>
        <v>28.37</v>
      </c>
      <c r="J611" s="390">
        <f t="shared" si="227"/>
        <v>1.9699999999999989</v>
      </c>
      <c r="K611" s="391">
        <f t="shared" si="241"/>
        <v>5163.34</v>
      </c>
      <c r="L611" s="398">
        <v>-225.07</v>
      </c>
      <c r="M611" s="398">
        <v>0</v>
      </c>
      <c r="N611" s="164">
        <f t="shared" si="220"/>
        <v>4938.2700000000004</v>
      </c>
      <c r="O611" s="399">
        <f t="shared" si="228"/>
        <v>4938.2700000000004</v>
      </c>
      <c r="P611" s="392">
        <f t="shared" si="242"/>
        <v>1</v>
      </c>
      <c r="Q611" s="164">
        <f t="shared" si="229"/>
        <v>20.32</v>
      </c>
      <c r="R611" s="164">
        <f t="shared" si="230"/>
        <v>0</v>
      </c>
      <c r="S611" s="164">
        <f t="shared" si="231"/>
        <v>162.09</v>
      </c>
      <c r="T611" s="164">
        <f t="shared" si="232"/>
        <v>0</v>
      </c>
      <c r="U611" s="164">
        <f t="shared" si="233"/>
        <v>5120.68</v>
      </c>
      <c r="V611" s="393">
        <f t="shared" si="234"/>
        <v>5120.68</v>
      </c>
      <c r="W611" s="393">
        <f t="shared" si="235"/>
        <v>0</v>
      </c>
      <c r="Y611" s="393">
        <f t="shared" si="238"/>
        <v>358.54</v>
      </c>
      <c r="Z611" s="393">
        <f t="shared" si="239"/>
        <v>4579.7300000000005</v>
      </c>
      <c r="AD611" s="395">
        <f>IF(AH611&gt;AH610,AD610,IF(AD610&lt;MiscData!$F$1,EOMONTH(AD610,1),EOMONTH(AD610,-11)))</f>
        <v>41851</v>
      </c>
      <c r="AE611" s="389" t="str">
        <f t="shared" si="236"/>
        <v>20140101KUUM_494</v>
      </c>
      <c r="AF611" s="437" t="str">
        <f t="shared" si="237"/>
        <v>20140101LS</v>
      </c>
      <c r="AG611" s="438"/>
      <c r="AH611" s="34">
        <f>IF(AH610=MiscData!$AB$91,1,AH610+1)</f>
        <v>82</v>
      </c>
      <c r="AI611" s="34">
        <f>IF(AD611&lt;=MiscData!$B$23,MiscData!$C$23,IF(AD611&lt;=MiscData!$B$24,MiscData!$C$24,MiscData!$C$25))</f>
        <v>20140101</v>
      </c>
      <c r="AK611" s="439" t="str">
        <f>VLOOKUP(AM611,MiscData!$AB$4:$ACB$113,2,FALSE)</f>
        <v>KUUM_494</v>
      </c>
      <c r="AL611" s="439" t="str">
        <f>VLOOKUP(AM611,MiscData!$AB$4:$AE$115,4,FALSE)</f>
        <v>LS</v>
      </c>
      <c r="AM611" s="34">
        <f>IF(AM610=MiscData!$AB$91,1,AM610+1)</f>
        <v>82</v>
      </c>
    </row>
    <row r="612" spans="1:39">
      <c r="A612" s="389">
        <f t="shared" si="240"/>
        <v>611</v>
      </c>
      <c r="B612" s="395" t="str">
        <f t="shared" si="221"/>
        <v>Jul 2014</v>
      </c>
      <c r="C612" s="396" t="str">
        <f t="shared" si="222"/>
        <v>LS</v>
      </c>
      <c r="D612" s="396" t="str">
        <f t="shared" si="223"/>
        <v>KUUM_495</v>
      </c>
      <c r="E612" s="394">
        <f t="shared" si="224"/>
        <v>649</v>
      </c>
      <c r="F612" s="397">
        <v>0</v>
      </c>
      <c r="G612" s="394">
        <f t="shared" si="225"/>
        <v>59891</v>
      </c>
      <c r="H612" s="394">
        <v>0</v>
      </c>
      <c r="I612" s="390">
        <f t="shared" si="226"/>
        <v>34.830000000000005</v>
      </c>
      <c r="J612" s="390">
        <f t="shared" si="227"/>
        <v>4.2899999999999991</v>
      </c>
      <c r="K612" s="391">
        <f t="shared" si="241"/>
        <v>22604.67</v>
      </c>
      <c r="L612" s="398">
        <v>-163.69999999999999</v>
      </c>
      <c r="M612" s="398">
        <v>0</v>
      </c>
      <c r="N612" s="164">
        <f t="shared" si="220"/>
        <v>22440.969999999998</v>
      </c>
      <c r="O612" s="399">
        <f t="shared" si="228"/>
        <v>22440.97</v>
      </c>
      <c r="P612" s="392">
        <f t="shared" si="242"/>
        <v>1</v>
      </c>
      <c r="Q612" s="164">
        <f t="shared" si="229"/>
        <v>156.36000000000001</v>
      </c>
      <c r="R612" s="164">
        <f t="shared" si="230"/>
        <v>0</v>
      </c>
      <c r="S612" s="164">
        <f t="shared" si="231"/>
        <v>750.73</v>
      </c>
      <c r="T612" s="164">
        <f t="shared" si="232"/>
        <v>0</v>
      </c>
      <c r="U612" s="164">
        <f t="shared" si="233"/>
        <v>23348.06</v>
      </c>
      <c r="V612" s="393">
        <f t="shared" si="234"/>
        <v>23348.059999999998</v>
      </c>
      <c r="W612" s="393">
        <f t="shared" si="235"/>
        <v>0</v>
      </c>
      <c r="Y612" s="393">
        <f t="shared" si="238"/>
        <v>2784.21</v>
      </c>
      <c r="Z612" s="393">
        <f t="shared" si="239"/>
        <v>19656.760000000002</v>
      </c>
      <c r="AD612" s="395">
        <f>IF(AH612&gt;AH611,AD611,IF(AD611&lt;MiscData!$F$1,EOMONTH(AD611,1),EOMONTH(AD611,-11)))</f>
        <v>41851</v>
      </c>
      <c r="AE612" s="389" t="str">
        <f t="shared" si="236"/>
        <v>20140101KUUM_495</v>
      </c>
      <c r="AF612" s="437" t="str">
        <f t="shared" si="237"/>
        <v>20140101LS</v>
      </c>
      <c r="AG612" s="438"/>
      <c r="AH612" s="34">
        <f>IF(AH611=MiscData!$AB$91,1,AH611+1)</f>
        <v>83</v>
      </c>
      <c r="AI612" s="34">
        <f>IF(AD612&lt;=MiscData!$B$23,MiscData!$C$23,IF(AD612&lt;=MiscData!$B$24,MiscData!$C$24,MiscData!$C$25))</f>
        <v>20140101</v>
      </c>
      <c r="AK612" s="439" t="str">
        <f>VLOOKUP(AM612,MiscData!$AB$4:$ACB$113,2,FALSE)</f>
        <v>KUUM_495</v>
      </c>
      <c r="AL612" s="439" t="str">
        <f>VLOOKUP(AM612,MiscData!$AB$4:$AE$115,4,FALSE)</f>
        <v>LS</v>
      </c>
      <c r="AM612" s="34">
        <f>IF(AM611=MiscData!$AB$91,1,AM611+1)</f>
        <v>83</v>
      </c>
    </row>
    <row r="613" spans="1:39">
      <c r="A613" s="389">
        <f t="shared" si="240"/>
        <v>612</v>
      </c>
      <c r="B613" s="395" t="str">
        <f t="shared" si="221"/>
        <v>Jul 2014</v>
      </c>
      <c r="C613" s="396" t="str">
        <f t="shared" si="222"/>
        <v>LS</v>
      </c>
      <c r="D613" s="396" t="str">
        <f t="shared" si="223"/>
        <v>KUUM_496</v>
      </c>
      <c r="E613" s="394">
        <f t="shared" si="224"/>
        <v>154</v>
      </c>
      <c r="F613" s="397">
        <v>0</v>
      </c>
      <c r="G613" s="394">
        <f t="shared" si="225"/>
        <v>43809</v>
      </c>
      <c r="H613" s="394">
        <v>0</v>
      </c>
      <c r="I613" s="390">
        <f t="shared" si="226"/>
        <v>58.59</v>
      </c>
      <c r="J613" s="390">
        <f t="shared" si="227"/>
        <v>10.409999999999997</v>
      </c>
      <c r="K613" s="391">
        <f t="shared" si="241"/>
        <v>9022.86</v>
      </c>
      <c r="L613" s="398">
        <v>-82.02</v>
      </c>
      <c r="M613" s="398">
        <v>0</v>
      </c>
      <c r="N613" s="164">
        <f t="shared" si="220"/>
        <v>8940.84</v>
      </c>
      <c r="O613" s="399">
        <f t="shared" si="228"/>
        <v>8940.84</v>
      </c>
      <c r="P613" s="392">
        <f t="shared" si="242"/>
        <v>1</v>
      </c>
      <c r="Q613" s="164">
        <f t="shared" si="229"/>
        <v>117.99</v>
      </c>
      <c r="R613" s="164">
        <f t="shared" si="230"/>
        <v>0</v>
      </c>
      <c r="S613" s="164">
        <f t="shared" si="231"/>
        <v>299.81</v>
      </c>
      <c r="T613" s="164">
        <f t="shared" si="232"/>
        <v>0</v>
      </c>
      <c r="U613" s="164">
        <f t="shared" si="233"/>
        <v>9358.64</v>
      </c>
      <c r="V613" s="393">
        <f t="shared" si="234"/>
        <v>9358.64</v>
      </c>
      <c r="W613" s="393">
        <f t="shared" si="235"/>
        <v>0</v>
      </c>
      <c r="Y613" s="393">
        <f t="shared" si="238"/>
        <v>1603.14</v>
      </c>
      <c r="Z613" s="393">
        <f t="shared" si="239"/>
        <v>7337.7</v>
      </c>
      <c r="AD613" s="395">
        <f>IF(AH613&gt;AH612,AD612,IF(AD612&lt;MiscData!$F$1,EOMONTH(AD612,1),EOMONTH(AD612,-11)))</f>
        <v>41851</v>
      </c>
      <c r="AE613" s="389" t="str">
        <f t="shared" si="236"/>
        <v>20140101KUUM_496</v>
      </c>
      <c r="AF613" s="437" t="str">
        <f t="shared" si="237"/>
        <v>20140101LS</v>
      </c>
      <c r="AG613" s="438"/>
      <c r="AH613" s="34">
        <f>IF(AH612=MiscData!$AB$91,1,AH612+1)</f>
        <v>84</v>
      </c>
      <c r="AI613" s="34">
        <f>IF(AD613&lt;=MiscData!$B$23,MiscData!$C$23,IF(AD613&lt;=MiscData!$B$24,MiscData!$C$24,MiscData!$C$25))</f>
        <v>20140101</v>
      </c>
      <c r="AK613" s="439" t="str">
        <f>VLOOKUP(AM613,MiscData!$AB$4:$ACB$113,2,FALSE)</f>
        <v>KUUM_496</v>
      </c>
      <c r="AL613" s="439" t="str">
        <f>VLOOKUP(AM613,MiscData!$AB$4:$AE$115,4,FALSE)</f>
        <v>LS</v>
      </c>
      <c r="AM613" s="34">
        <f>IF(AM612=MiscData!$AB$91,1,AM612+1)</f>
        <v>84</v>
      </c>
    </row>
    <row r="614" spans="1:39">
      <c r="A614" s="389">
        <f t="shared" si="240"/>
        <v>613</v>
      </c>
      <c r="B614" s="395" t="str">
        <f t="shared" si="221"/>
        <v>Jul 2014</v>
      </c>
      <c r="C614" s="396" t="str">
        <f t="shared" si="222"/>
        <v>LS</v>
      </c>
      <c r="D614" s="396" t="str">
        <f t="shared" si="223"/>
        <v>KUUM_497</v>
      </c>
      <c r="E614" s="394">
        <f t="shared" si="224"/>
        <v>10</v>
      </c>
      <c r="F614" s="397">
        <v>0</v>
      </c>
      <c r="G614" s="394">
        <f t="shared" si="225"/>
        <v>309</v>
      </c>
      <c r="H614" s="394">
        <v>0</v>
      </c>
      <c r="I614" s="390">
        <f t="shared" si="226"/>
        <v>15.35</v>
      </c>
      <c r="J614" s="390">
        <f t="shared" si="227"/>
        <v>1.1300000000000008</v>
      </c>
      <c r="K614" s="391">
        <f t="shared" si="241"/>
        <v>153.5</v>
      </c>
      <c r="L614" s="398">
        <v>0</v>
      </c>
      <c r="M614" s="398">
        <v>0</v>
      </c>
      <c r="N614" s="164">
        <f t="shared" si="220"/>
        <v>153.5</v>
      </c>
      <c r="O614" s="399">
        <f t="shared" si="228"/>
        <v>153.5</v>
      </c>
      <c r="P614" s="392">
        <f t="shared" si="242"/>
        <v>1</v>
      </c>
      <c r="Q614" s="164">
        <f t="shared" si="229"/>
        <v>0.79</v>
      </c>
      <c r="R614" s="164">
        <f t="shared" si="230"/>
        <v>0</v>
      </c>
      <c r="S614" s="164">
        <f t="shared" si="231"/>
        <v>5.14</v>
      </c>
      <c r="T614" s="164">
        <f t="shared" si="232"/>
        <v>0</v>
      </c>
      <c r="U614" s="164">
        <f t="shared" si="233"/>
        <v>159.43</v>
      </c>
      <c r="V614" s="393">
        <f t="shared" si="234"/>
        <v>159.42999999999998</v>
      </c>
      <c r="W614" s="393">
        <f t="shared" si="235"/>
        <v>0</v>
      </c>
      <c r="Y614" s="393">
        <f t="shared" si="238"/>
        <v>11.3</v>
      </c>
      <c r="Z614" s="393">
        <f t="shared" si="239"/>
        <v>142.19999999999999</v>
      </c>
      <c r="AD614" s="395">
        <f>IF(AH614&gt;AH613,AD613,IF(AD613&lt;MiscData!$F$1,EOMONTH(AD613,1),EOMONTH(AD613,-11)))</f>
        <v>41851</v>
      </c>
      <c r="AE614" s="389" t="str">
        <f t="shared" si="236"/>
        <v>20140101KUUM_497</v>
      </c>
      <c r="AF614" s="437" t="str">
        <f t="shared" si="237"/>
        <v>20140101LS</v>
      </c>
      <c r="AG614" s="438"/>
      <c r="AH614" s="34">
        <f>IF(AH613=MiscData!$AB$91,1,AH613+1)</f>
        <v>85</v>
      </c>
      <c r="AI614" s="34">
        <f>IF(AD614&lt;=MiscData!$B$23,MiscData!$C$23,IF(AD614&lt;=MiscData!$B$24,MiscData!$C$24,MiscData!$C$25))</f>
        <v>20140101</v>
      </c>
      <c r="AK614" s="439" t="str">
        <f>VLOOKUP(AM614,MiscData!$AB$4:$ACB$113,2,FALSE)</f>
        <v>KUUM_497</v>
      </c>
      <c r="AL614" s="439" t="str">
        <f>VLOOKUP(AM614,MiscData!$AB$4:$AE$115,4,FALSE)</f>
        <v>LS</v>
      </c>
      <c r="AM614" s="34">
        <f>IF(AM613=MiscData!$AB$91,1,AM613+1)</f>
        <v>85</v>
      </c>
    </row>
    <row r="615" spans="1:39">
      <c r="A615" s="389">
        <f t="shared" si="240"/>
        <v>614</v>
      </c>
      <c r="B615" s="395" t="str">
        <f t="shared" si="221"/>
        <v>Jul 2014</v>
      </c>
      <c r="C615" s="396" t="str">
        <f t="shared" si="222"/>
        <v>LS</v>
      </c>
      <c r="D615" s="396" t="str">
        <f t="shared" si="223"/>
        <v>KUUM_498</v>
      </c>
      <c r="E615" s="394">
        <f t="shared" si="224"/>
        <v>26</v>
      </c>
      <c r="F615" s="397">
        <v>0</v>
      </c>
      <c r="G615" s="394">
        <f t="shared" si="225"/>
        <v>1626</v>
      </c>
      <c r="H615" s="394">
        <v>0</v>
      </c>
      <c r="I615" s="390">
        <f t="shared" si="226"/>
        <v>17.72</v>
      </c>
      <c r="J615" s="390">
        <f t="shared" si="227"/>
        <v>2.33</v>
      </c>
      <c r="K615" s="391">
        <f t="shared" si="241"/>
        <v>460.72</v>
      </c>
      <c r="L615" s="398">
        <v>0</v>
      </c>
      <c r="M615" s="398">
        <v>0</v>
      </c>
      <c r="N615" s="164">
        <f t="shared" si="220"/>
        <v>460.72</v>
      </c>
      <c r="O615" s="399">
        <f t="shared" si="228"/>
        <v>460.72</v>
      </c>
      <c r="P615" s="392">
        <f t="shared" si="242"/>
        <v>1</v>
      </c>
      <c r="Q615" s="164">
        <f t="shared" si="229"/>
        <v>4.16</v>
      </c>
      <c r="R615" s="164">
        <f t="shared" si="230"/>
        <v>0</v>
      </c>
      <c r="S615" s="164">
        <f t="shared" si="231"/>
        <v>15.48</v>
      </c>
      <c r="T615" s="164">
        <f t="shared" si="232"/>
        <v>0</v>
      </c>
      <c r="U615" s="164">
        <f t="shared" si="233"/>
        <v>480.36</v>
      </c>
      <c r="V615" s="393">
        <f t="shared" si="234"/>
        <v>480.36000000000007</v>
      </c>
      <c r="W615" s="393">
        <f t="shared" si="235"/>
        <v>0</v>
      </c>
      <c r="Y615" s="393">
        <f t="shared" si="238"/>
        <v>60.58</v>
      </c>
      <c r="Z615" s="393">
        <f t="shared" si="239"/>
        <v>400.14000000000004</v>
      </c>
      <c r="AD615" s="395">
        <f>IF(AH615&gt;AH614,AD614,IF(AD614&lt;MiscData!$F$1,EOMONTH(AD614,1),EOMONTH(AD614,-11)))</f>
        <v>41851</v>
      </c>
      <c r="AE615" s="389" t="str">
        <f t="shared" si="236"/>
        <v>20140101KUUM_498</v>
      </c>
      <c r="AF615" s="437" t="str">
        <f t="shared" si="237"/>
        <v>20140101LS</v>
      </c>
      <c r="AG615" s="438"/>
      <c r="AH615" s="34">
        <f>IF(AH614=MiscData!$AB$91,1,AH614+1)</f>
        <v>86</v>
      </c>
      <c r="AI615" s="34">
        <f>IF(AD615&lt;=MiscData!$B$23,MiscData!$C$23,IF(AD615&lt;=MiscData!$B$24,MiscData!$C$24,MiscData!$C$25))</f>
        <v>20140101</v>
      </c>
      <c r="AK615" s="439" t="str">
        <f>VLOOKUP(AM615,MiscData!$AB$4:$ACB$113,2,FALSE)</f>
        <v>KUUM_498</v>
      </c>
      <c r="AL615" s="439" t="str">
        <f>VLOOKUP(AM615,MiscData!$AB$4:$AE$115,4,FALSE)</f>
        <v>LS</v>
      </c>
      <c r="AM615" s="34">
        <f>IF(AM614=MiscData!$AB$91,1,AM614+1)</f>
        <v>86</v>
      </c>
    </row>
    <row r="616" spans="1:39">
      <c r="A616" s="389">
        <f t="shared" si="240"/>
        <v>615</v>
      </c>
      <c r="B616" s="395" t="str">
        <f t="shared" si="221"/>
        <v>Jul 2014</v>
      </c>
      <c r="C616" s="396" t="str">
        <f t="shared" si="222"/>
        <v>LS</v>
      </c>
      <c r="D616" s="396" t="str">
        <f t="shared" si="223"/>
        <v>KUUM_499</v>
      </c>
      <c r="E616" s="394">
        <f t="shared" si="224"/>
        <v>30</v>
      </c>
      <c r="F616" s="397">
        <v>0</v>
      </c>
      <c r="G616" s="394">
        <f t="shared" si="225"/>
        <v>3205</v>
      </c>
      <c r="H616" s="394">
        <v>0</v>
      </c>
      <c r="I616" s="390">
        <f t="shared" si="226"/>
        <v>21.490000000000002</v>
      </c>
      <c r="J616" s="390">
        <f t="shared" si="227"/>
        <v>4.5300000000000011</v>
      </c>
      <c r="K616" s="391">
        <f t="shared" si="241"/>
        <v>644.70000000000005</v>
      </c>
      <c r="L616" s="398">
        <v>-78.8</v>
      </c>
      <c r="M616" s="398">
        <v>0</v>
      </c>
      <c r="N616" s="164">
        <f t="shared" si="220"/>
        <v>565.90000000000009</v>
      </c>
      <c r="O616" s="399">
        <f t="shared" si="228"/>
        <v>565.9</v>
      </c>
      <c r="P616" s="392">
        <f t="shared" si="242"/>
        <v>1</v>
      </c>
      <c r="Q616" s="164">
        <f t="shared" si="229"/>
        <v>8.52</v>
      </c>
      <c r="R616" s="164">
        <f t="shared" si="230"/>
        <v>0</v>
      </c>
      <c r="S616" s="164">
        <f t="shared" si="231"/>
        <v>19.059999999999999</v>
      </c>
      <c r="T616" s="164">
        <f t="shared" si="232"/>
        <v>0</v>
      </c>
      <c r="U616" s="164">
        <f t="shared" si="233"/>
        <v>593.48</v>
      </c>
      <c r="V616" s="393">
        <f t="shared" si="234"/>
        <v>593.48</v>
      </c>
      <c r="W616" s="393">
        <f t="shared" si="235"/>
        <v>0</v>
      </c>
      <c r="Y616" s="393">
        <f t="shared" si="238"/>
        <v>135.9</v>
      </c>
      <c r="Z616" s="393">
        <f t="shared" si="239"/>
        <v>430</v>
      </c>
      <c r="AD616" s="395">
        <f>IF(AH616&gt;AH615,AD615,IF(AD615&lt;MiscData!$F$1,EOMONTH(AD615,1),EOMONTH(AD615,-11)))</f>
        <v>41851</v>
      </c>
      <c r="AE616" s="389" t="str">
        <f t="shared" si="236"/>
        <v>20140101KUUM_499</v>
      </c>
      <c r="AF616" s="437" t="str">
        <f t="shared" si="237"/>
        <v>20140101LS</v>
      </c>
      <c r="AG616" s="438"/>
      <c r="AH616" s="34">
        <f>IF(AH615=MiscData!$AB$91,1,AH615+1)</f>
        <v>87</v>
      </c>
      <c r="AI616" s="34">
        <f>IF(AD616&lt;=MiscData!$B$23,MiscData!$C$23,IF(AD616&lt;=MiscData!$B$24,MiscData!$C$24,MiscData!$C$25))</f>
        <v>20140101</v>
      </c>
      <c r="AK616" s="439" t="str">
        <f>VLOOKUP(AM616,MiscData!$AB$4:$ACB$113,2,FALSE)</f>
        <v>KUUM_499</v>
      </c>
      <c r="AL616" s="439" t="str">
        <f>VLOOKUP(AM616,MiscData!$AB$4:$AE$115,4,FALSE)</f>
        <v>LS</v>
      </c>
      <c r="AM616" s="34">
        <f>IF(AM615=MiscData!$AB$91,1,AM615+1)</f>
        <v>87</v>
      </c>
    </row>
    <row r="617" spans="1:39">
      <c r="A617" s="389">
        <f t="shared" si="240"/>
        <v>616</v>
      </c>
      <c r="B617" s="395" t="str">
        <f t="shared" si="221"/>
        <v>Jul 2014</v>
      </c>
      <c r="C617" s="396" t="str">
        <f t="shared" si="222"/>
        <v>ODL</v>
      </c>
      <c r="D617" s="396" t="str">
        <f t="shared" si="223"/>
        <v>ODL</v>
      </c>
      <c r="E617" s="394">
        <f t="shared" si="224"/>
        <v>0</v>
      </c>
      <c r="F617" s="397">
        <v>0</v>
      </c>
      <c r="G617" s="394">
        <f t="shared" si="225"/>
        <v>0</v>
      </c>
      <c r="H617" s="394">
        <v>0</v>
      </c>
      <c r="I617" s="390">
        <f t="shared" si="226"/>
        <v>0</v>
      </c>
      <c r="J617" s="390">
        <f t="shared" si="227"/>
        <v>0</v>
      </c>
      <c r="K617" s="391">
        <f t="shared" si="241"/>
        <v>0</v>
      </c>
      <c r="L617" s="398">
        <v>0</v>
      </c>
      <c r="M617" s="398">
        <v>0</v>
      </c>
      <c r="N617" s="164">
        <f t="shared" si="220"/>
        <v>0</v>
      </c>
      <c r="O617" s="399">
        <f t="shared" si="228"/>
        <v>0</v>
      </c>
      <c r="P617" s="392">
        <f t="shared" si="242"/>
        <v>1</v>
      </c>
      <c r="Q617" s="164">
        <f t="shared" si="229"/>
        <v>0</v>
      </c>
      <c r="R617" s="164">
        <f t="shared" si="230"/>
        <v>0</v>
      </c>
      <c r="S617" s="164">
        <f t="shared" si="231"/>
        <v>0</v>
      </c>
      <c r="T617" s="164">
        <f t="shared" si="232"/>
        <v>0</v>
      </c>
      <c r="U617" s="164">
        <f t="shared" si="233"/>
        <v>0</v>
      </c>
      <c r="V617" s="393">
        <f t="shared" si="234"/>
        <v>0</v>
      </c>
      <c r="W617" s="393">
        <f t="shared" si="235"/>
        <v>0</v>
      </c>
      <c r="Y617" s="393">
        <f t="shared" si="238"/>
        <v>0</v>
      </c>
      <c r="Z617" s="393">
        <f t="shared" si="239"/>
        <v>0</v>
      </c>
      <c r="AD617" s="395">
        <f>IF(AH617&gt;AH616,AD616,IF(AD616&lt;MiscData!$F$1,EOMONTH(AD616,1),EOMONTH(AD616,-11)))</f>
        <v>41851</v>
      </c>
      <c r="AE617" s="389" t="str">
        <f t="shared" si="236"/>
        <v>20140101ODL</v>
      </c>
      <c r="AF617" s="437" t="str">
        <f t="shared" si="237"/>
        <v>20140101ODL</v>
      </c>
      <c r="AG617" s="438"/>
      <c r="AH617" s="34">
        <f>IF(AH616=MiscData!$AB$91,1,AH616+1)</f>
        <v>88</v>
      </c>
      <c r="AI617" s="34">
        <f>IF(AD617&lt;=MiscData!$B$23,MiscData!$C$23,IF(AD617&lt;=MiscData!$B$24,MiscData!$C$24,MiscData!$C$25))</f>
        <v>20140101</v>
      </c>
      <c r="AK617" s="439" t="str">
        <f>VLOOKUP(AM617,MiscData!$AB$4:$ACB$113,2,FALSE)</f>
        <v>ODL</v>
      </c>
      <c r="AL617" s="439" t="str">
        <f>VLOOKUP(AM617,MiscData!$AB$4:$AE$115,4,FALSE)</f>
        <v>ODL</v>
      </c>
      <c r="AM617" s="34">
        <f>IF(AM616=MiscData!$AB$91,1,AM616+1)</f>
        <v>88</v>
      </c>
    </row>
    <row r="618" spans="1:39">
      <c r="A618" s="389">
        <f t="shared" si="240"/>
        <v>617</v>
      </c>
      <c r="B618" s="395" t="str">
        <f t="shared" si="221"/>
        <v>Aug 2014</v>
      </c>
      <c r="C618" s="396" t="str">
        <f t="shared" si="222"/>
        <v>LS</v>
      </c>
      <c r="D618" s="396" t="str">
        <f t="shared" si="223"/>
        <v>KUUM_300</v>
      </c>
      <c r="E618" s="394">
        <f t="shared" si="224"/>
        <v>0</v>
      </c>
      <c r="F618" s="397">
        <v>0</v>
      </c>
      <c r="G618" s="394">
        <f t="shared" si="225"/>
        <v>0</v>
      </c>
      <c r="H618" s="394">
        <v>0</v>
      </c>
      <c r="I618" s="390">
        <f t="shared" si="226"/>
        <v>22.49</v>
      </c>
      <c r="J618" s="390">
        <f t="shared" si="227"/>
        <v>0.58000000000000185</v>
      </c>
      <c r="K618" s="391">
        <f t="shared" si="241"/>
        <v>0</v>
      </c>
      <c r="L618" s="398">
        <v>0</v>
      </c>
      <c r="M618" s="398">
        <v>0</v>
      </c>
      <c r="N618" s="164">
        <f t="shared" si="220"/>
        <v>0</v>
      </c>
      <c r="O618" s="399">
        <f t="shared" si="228"/>
        <v>0</v>
      </c>
      <c r="P618" s="392">
        <f t="shared" si="242"/>
        <v>1</v>
      </c>
      <c r="Q618" s="164">
        <f t="shared" si="229"/>
        <v>0</v>
      </c>
      <c r="R618" s="164">
        <f t="shared" si="230"/>
        <v>0</v>
      </c>
      <c r="S618" s="164">
        <f t="shared" si="231"/>
        <v>0</v>
      </c>
      <c r="T618" s="164">
        <f t="shared" si="232"/>
        <v>0</v>
      </c>
      <c r="U618" s="164">
        <f t="shared" si="233"/>
        <v>0</v>
      </c>
      <c r="V618" s="393">
        <f t="shared" si="234"/>
        <v>0</v>
      </c>
      <c r="W618" s="393">
        <f t="shared" si="235"/>
        <v>0</v>
      </c>
      <c r="Y618" s="393">
        <f t="shared" si="238"/>
        <v>0</v>
      </c>
      <c r="Z618" s="393">
        <f t="shared" si="239"/>
        <v>0</v>
      </c>
      <c r="AD618" s="395">
        <f>IF(AH618&gt;AH617,AD617,IF(AD617&lt;MiscData!$F$1,EOMONTH(AD617,1),EOMONTH(AD617,-11)))</f>
        <v>41882</v>
      </c>
      <c r="AE618" s="389" t="str">
        <f t="shared" si="236"/>
        <v>20140101KUUM_300</v>
      </c>
      <c r="AF618" s="437" t="str">
        <f t="shared" si="237"/>
        <v>20140101LS</v>
      </c>
      <c r="AG618" s="438"/>
      <c r="AH618" s="34">
        <f>IF(AH617=MiscData!$AB$91,1,AH617+1)</f>
        <v>1</v>
      </c>
      <c r="AI618" s="34">
        <f>IF(AD618&lt;=MiscData!$B$23,MiscData!$C$23,IF(AD618&lt;=MiscData!$B$24,MiscData!$C$24,MiscData!$C$25))</f>
        <v>20140101</v>
      </c>
      <c r="AK618" s="439" t="str">
        <f>VLOOKUP(AM618,MiscData!$AB$4:$ACB$113,2,FALSE)</f>
        <v>KUUM_300</v>
      </c>
      <c r="AL618" s="439" t="str">
        <f>VLOOKUP(AM618,MiscData!$AB$4:$AE$115,4,FALSE)</f>
        <v>LS</v>
      </c>
      <c r="AM618" s="34">
        <f>IF(AM617=MiscData!$AB$91,1,AM617+1)</f>
        <v>1</v>
      </c>
    </row>
    <row r="619" spans="1:39">
      <c r="A619" s="389">
        <f t="shared" si="240"/>
        <v>618</v>
      </c>
      <c r="B619" s="395" t="str">
        <f t="shared" si="221"/>
        <v>Aug 2014</v>
      </c>
      <c r="C619" s="396" t="str">
        <f t="shared" si="222"/>
        <v>LS</v>
      </c>
      <c r="D619" s="396" t="str">
        <f t="shared" si="223"/>
        <v>KUUM_301</v>
      </c>
      <c r="E619" s="394">
        <f t="shared" si="224"/>
        <v>0</v>
      </c>
      <c r="F619" s="397">
        <v>0</v>
      </c>
      <c r="G619" s="394">
        <f t="shared" si="225"/>
        <v>0</v>
      </c>
      <c r="H619" s="394">
        <v>0</v>
      </c>
      <c r="I619" s="390">
        <f t="shared" si="226"/>
        <v>23.5</v>
      </c>
      <c r="J619" s="390">
        <f t="shared" si="227"/>
        <v>1.129999999999999</v>
      </c>
      <c r="K619" s="391">
        <f t="shared" si="241"/>
        <v>0</v>
      </c>
      <c r="L619" s="398">
        <v>0</v>
      </c>
      <c r="M619" s="398">
        <v>0</v>
      </c>
      <c r="N619" s="164">
        <f t="shared" si="220"/>
        <v>0</v>
      </c>
      <c r="O619" s="399">
        <f t="shared" si="228"/>
        <v>0</v>
      </c>
      <c r="P619" s="392">
        <f t="shared" si="242"/>
        <v>1</v>
      </c>
      <c r="Q619" s="164">
        <f t="shared" si="229"/>
        <v>0</v>
      </c>
      <c r="R619" s="164">
        <f t="shared" si="230"/>
        <v>0</v>
      </c>
      <c r="S619" s="164">
        <f t="shared" si="231"/>
        <v>0</v>
      </c>
      <c r="T619" s="164">
        <f t="shared" si="232"/>
        <v>0</v>
      </c>
      <c r="U619" s="164">
        <f t="shared" si="233"/>
        <v>0</v>
      </c>
      <c r="V619" s="393">
        <f t="shared" si="234"/>
        <v>0</v>
      </c>
      <c r="W619" s="393">
        <f t="shared" si="235"/>
        <v>0</v>
      </c>
      <c r="Y619" s="393">
        <f t="shared" si="238"/>
        <v>0</v>
      </c>
      <c r="Z619" s="393">
        <f t="shared" si="239"/>
        <v>0</v>
      </c>
      <c r="AD619" s="395">
        <f>IF(AH619&gt;AH618,AD618,IF(AD618&lt;MiscData!$F$1,EOMONTH(AD618,1),EOMONTH(AD618,-11)))</f>
        <v>41882</v>
      </c>
      <c r="AE619" s="389" t="str">
        <f t="shared" si="236"/>
        <v>20140101KUUM_301</v>
      </c>
      <c r="AF619" s="437" t="str">
        <f t="shared" si="237"/>
        <v>20140101LS</v>
      </c>
      <c r="AG619" s="438"/>
      <c r="AH619" s="34">
        <f>IF(AH618=MiscData!$AB$91,1,AH618+1)</f>
        <v>2</v>
      </c>
      <c r="AI619" s="34">
        <f>IF(AD619&lt;=MiscData!$B$23,MiscData!$C$23,IF(AD619&lt;=MiscData!$B$24,MiscData!$C$24,MiscData!$C$25))</f>
        <v>20140101</v>
      </c>
      <c r="AK619" s="439" t="str">
        <f>VLOOKUP(AM619,MiscData!$AB$4:$ACB$113,2,FALSE)</f>
        <v>KUUM_301</v>
      </c>
      <c r="AL619" s="439" t="str">
        <f>VLOOKUP(AM619,MiscData!$AB$4:$AE$115,4,FALSE)</f>
        <v>LS</v>
      </c>
      <c r="AM619" s="34">
        <f>IF(AM618=MiscData!$AB$91,1,AM618+1)</f>
        <v>2</v>
      </c>
    </row>
    <row r="620" spans="1:39">
      <c r="A620" s="389">
        <f t="shared" si="240"/>
        <v>619</v>
      </c>
      <c r="B620" s="395" t="str">
        <f t="shared" si="221"/>
        <v>Aug 2014</v>
      </c>
      <c r="C620" s="396" t="str">
        <f t="shared" si="222"/>
        <v>LS</v>
      </c>
      <c r="D620" s="396" t="str">
        <f t="shared" si="223"/>
        <v>KUUM_360</v>
      </c>
      <c r="E620" s="394">
        <f t="shared" si="224"/>
        <v>178</v>
      </c>
      <c r="F620" s="397">
        <v>0</v>
      </c>
      <c r="G620" s="394">
        <f t="shared" si="225"/>
        <v>8494</v>
      </c>
      <c r="H620" s="394">
        <v>0</v>
      </c>
      <c r="I620" s="390">
        <f t="shared" si="226"/>
        <v>55.33</v>
      </c>
      <c r="J620" s="390">
        <f t="shared" si="227"/>
        <v>1.75</v>
      </c>
      <c r="K620" s="391">
        <f t="shared" si="241"/>
        <v>9848.74</v>
      </c>
      <c r="L620" s="398">
        <v>0</v>
      </c>
      <c r="M620" s="398">
        <v>0</v>
      </c>
      <c r="N620" s="164">
        <f t="shared" si="220"/>
        <v>9848.74</v>
      </c>
      <c r="O620" s="399">
        <f t="shared" si="228"/>
        <v>9848.74</v>
      </c>
      <c r="P620" s="392">
        <f t="shared" si="242"/>
        <v>1</v>
      </c>
      <c r="Q620" s="164">
        <f t="shared" si="229"/>
        <v>21.1</v>
      </c>
      <c r="R620" s="164">
        <f t="shared" si="230"/>
        <v>0</v>
      </c>
      <c r="S620" s="164">
        <f t="shared" si="231"/>
        <v>328.4</v>
      </c>
      <c r="T620" s="164">
        <f t="shared" si="232"/>
        <v>0</v>
      </c>
      <c r="U620" s="164">
        <f t="shared" si="233"/>
        <v>10198.24</v>
      </c>
      <c r="V620" s="393">
        <f t="shared" si="234"/>
        <v>10198.24</v>
      </c>
      <c r="W620" s="393">
        <f t="shared" si="235"/>
        <v>0</v>
      </c>
      <c r="Y620" s="393">
        <f t="shared" si="238"/>
        <v>311.5</v>
      </c>
      <c r="Z620" s="393">
        <f t="shared" si="239"/>
        <v>9537.24</v>
      </c>
      <c r="AD620" s="395">
        <f>IF(AH620&gt;AH619,AD619,IF(AD619&lt;MiscData!$F$1,EOMONTH(AD619,1),EOMONTH(AD619,-11)))</f>
        <v>41882</v>
      </c>
      <c r="AE620" s="389" t="str">
        <f t="shared" si="236"/>
        <v>20140101KUUM_360</v>
      </c>
      <c r="AF620" s="437" t="str">
        <f t="shared" si="237"/>
        <v>20140101LS</v>
      </c>
      <c r="AG620" s="438"/>
      <c r="AH620" s="34">
        <f>IF(AH619=MiscData!$AB$91,1,AH619+1)</f>
        <v>3</v>
      </c>
      <c r="AI620" s="34">
        <f>IF(AD620&lt;=MiscData!$B$23,MiscData!$C$23,IF(AD620&lt;=MiscData!$B$24,MiscData!$C$24,MiscData!$C$25))</f>
        <v>20140101</v>
      </c>
      <c r="AK620" s="439" t="str">
        <f>VLOOKUP(AM620,MiscData!$AB$4:$ACB$113,2,FALSE)</f>
        <v>KUUM_360</v>
      </c>
      <c r="AL620" s="439" t="str">
        <f>VLOOKUP(AM620,MiscData!$AB$4:$AE$115,4,FALSE)</f>
        <v>LS</v>
      </c>
      <c r="AM620" s="34">
        <f>IF(AM619=MiscData!$AB$91,1,AM619+1)</f>
        <v>3</v>
      </c>
    </row>
    <row r="621" spans="1:39">
      <c r="A621" s="389">
        <f t="shared" si="240"/>
        <v>620</v>
      </c>
      <c r="B621" s="395" t="str">
        <f t="shared" si="221"/>
        <v>Aug 2014</v>
      </c>
      <c r="C621" s="396" t="str">
        <f t="shared" si="222"/>
        <v>LS</v>
      </c>
      <c r="D621" s="396" t="str">
        <f t="shared" si="223"/>
        <v>KUUM_361</v>
      </c>
      <c r="E621" s="394">
        <f t="shared" si="224"/>
        <v>25</v>
      </c>
      <c r="F621" s="397">
        <v>0</v>
      </c>
      <c r="G621" s="394">
        <f t="shared" si="225"/>
        <v>1220</v>
      </c>
      <c r="H621" s="394">
        <v>0</v>
      </c>
      <c r="I621" s="390">
        <f t="shared" si="226"/>
        <v>83.16</v>
      </c>
      <c r="J621" s="390">
        <f t="shared" si="227"/>
        <v>1.75</v>
      </c>
      <c r="K621" s="391">
        <f t="shared" si="241"/>
        <v>2079</v>
      </c>
      <c r="L621" s="398">
        <v>0</v>
      </c>
      <c r="M621" s="398">
        <v>0</v>
      </c>
      <c r="N621" s="164">
        <f t="shared" si="220"/>
        <v>2079</v>
      </c>
      <c r="O621" s="399">
        <f t="shared" si="228"/>
        <v>2079</v>
      </c>
      <c r="P621" s="392">
        <f t="shared" si="242"/>
        <v>1</v>
      </c>
      <c r="Q621" s="164">
        <f t="shared" si="229"/>
        <v>3.11</v>
      </c>
      <c r="R621" s="164">
        <f t="shared" si="230"/>
        <v>0</v>
      </c>
      <c r="S621" s="164">
        <f t="shared" si="231"/>
        <v>69.34</v>
      </c>
      <c r="T621" s="164">
        <f t="shared" si="232"/>
        <v>0</v>
      </c>
      <c r="U621" s="164">
        <f t="shared" si="233"/>
        <v>2151.4499999999998</v>
      </c>
      <c r="V621" s="393">
        <f t="shared" si="234"/>
        <v>2151.4500000000003</v>
      </c>
      <c r="W621" s="393">
        <f t="shared" si="235"/>
        <v>0</v>
      </c>
      <c r="Y621" s="393">
        <f t="shared" si="238"/>
        <v>43.75</v>
      </c>
      <c r="Z621" s="393">
        <f t="shared" si="239"/>
        <v>2035.25</v>
      </c>
      <c r="AD621" s="395">
        <f>IF(AH621&gt;AH620,AD620,IF(AD620&lt;MiscData!$F$1,EOMONTH(AD620,1),EOMONTH(AD620,-11)))</f>
        <v>41882</v>
      </c>
      <c r="AE621" s="389" t="str">
        <f t="shared" si="236"/>
        <v>20140101KUUM_361</v>
      </c>
      <c r="AF621" s="437" t="str">
        <f t="shared" si="237"/>
        <v>20140101LS</v>
      </c>
      <c r="AG621" s="438"/>
      <c r="AH621" s="34">
        <f>IF(AH620=MiscData!$AB$91,1,AH620+1)</f>
        <v>4</v>
      </c>
      <c r="AI621" s="34">
        <f>IF(AD621&lt;=MiscData!$B$23,MiscData!$C$23,IF(AD621&lt;=MiscData!$B$24,MiscData!$C$24,MiscData!$C$25))</f>
        <v>20140101</v>
      </c>
      <c r="AK621" s="439" t="str">
        <f>VLOOKUP(AM621,MiscData!$AB$4:$ACB$113,2,FALSE)</f>
        <v>KUUM_361</v>
      </c>
      <c r="AL621" s="439" t="str">
        <f>VLOOKUP(AM621,MiscData!$AB$4:$AE$115,4,FALSE)</f>
        <v>LS</v>
      </c>
      <c r="AM621" s="34">
        <f>IF(AM620=MiscData!$AB$91,1,AM620+1)</f>
        <v>4</v>
      </c>
    </row>
    <row r="622" spans="1:39">
      <c r="A622" s="389">
        <f t="shared" si="240"/>
        <v>621</v>
      </c>
      <c r="B622" s="395" t="str">
        <f t="shared" si="221"/>
        <v>Aug 2014</v>
      </c>
      <c r="C622" s="396" t="str">
        <f t="shared" si="222"/>
        <v>LS</v>
      </c>
      <c r="D622" s="396" t="str">
        <f t="shared" si="223"/>
        <v>KUUM_362</v>
      </c>
      <c r="E622" s="394">
        <f t="shared" si="224"/>
        <v>43</v>
      </c>
      <c r="F622" s="397">
        <v>0</v>
      </c>
      <c r="G622" s="394">
        <f t="shared" si="225"/>
        <v>1689</v>
      </c>
      <c r="H622" s="394">
        <v>0</v>
      </c>
      <c r="I622" s="390">
        <f t="shared" si="226"/>
        <v>59.78</v>
      </c>
      <c r="J622" s="390">
        <f t="shared" si="227"/>
        <v>1.75</v>
      </c>
      <c r="K622" s="391">
        <f t="shared" si="241"/>
        <v>2570.54</v>
      </c>
      <c r="L622" s="398">
        <v>0</v>
      </c>
      <c r="M622" s="398">
        <v>0</v>
      </c>
      <c r="N622" s="164">
        <f t="shared" si="220"/>
        <v>2570.54</v>
      </c>
      <c r="O622" s="399">
        <f t="shared" si="228"/>
        <v>2570.54</v>
      </c>
      <c r="P622" s="392">
        <f t="shared" si="242"/>
        <v>1</v>
      </c>
      <c r="Q622" s="164">
        <f t="shared" si="229"/>
        <v>4.33</v>
      </c>
      <c r="R622" s="164">
        <f t="shared" si="230"/>
        <v>0</v>
      </c>
      <c r="S622" s="164">
        <f t="shared" si="231"/>
        <v>85.75</v>
      </c>
      <c r="T622" s="164">
        <f t="shared" si="232"/>
        <v>0</v>
      </c>
      <c r="U622" s="164">
        <f t="shared" si="233"/>
        <v>2660.62</v>
      </c>
      <c r="V622" s="393">
        <f t="shared" si="234"/>
        <v>2660.62</v>
      </c>
      <c r="W622" s="393">
        <f t="shared" si="235"/>
        <v>0</v>
      </c>
      <c r="Y622" s="393">
        <f t="shared" si="238"/>
        <v>75.25</v>
      </c>
      <c r="Z622" s="393">
        <f t="shared" si="239"/>
        <v>2495.29</v>
      </c>
      <c r="AD622" s="395">
        <f>IF(AH622&gt;AH621,AD621,IF(AD621&lt;MiscData!$F$1,EOMONTH(AD621,1),EOMONTH(AD621,-11)))</f>
        <v>41882</v>
      </c>
      <c r="AE622" s="389" t="str">
        <f t="shared" si="236"/>
        <v>20140101KUUM_362</v>
      </c>
      <c r="AF622" s="437" t="str">
        <f t="shared" si="237"/>
        <v>20140101LS</v>
      </c>
      <c r="AG622" s="438"/>
      <c r="AH622" s="34">
        <f>IF(AH621=MiscData!$AB$91,1,AH621+1)</f>
        <v>5</v>
      </c>
      <c r="AI622" s="34">
        <f>IF(AD622&lt;=MiscData!$B$23,MiscData!$C$23,IF(AD622&lt;=MiscData!$B$24,MiscData!$C$24,MiscData!$C$25))</f>
        <v>20140101</v>
      </c>
      <c r="AK622" s="439" t="str">
        <f>VLOOKUP(AM622,MiscData!$AB$4:$ACB$113,2,FALSE)</f>
        <v>KUUM_362</v>
      </c>
      <c r="AL622" s="439" t="str">
        <f>VLOOKUP(AM622,MiscData!$AB$4:$AE$115,4,FALSE)</f>
        <v>LS</v>
      </c>
      <c r="AM622" s="34">
        <f>IF(AM621=MiscData!$AB$91,1,AM621+1)</f>
        <v>5</v>
      </c>
    </row>
    <row r="623" spans="1:39">
      <c r="A623" s="389">
        <f t="shared" si="240"/>
        <v>622</v>
      </c>
      <c r="B623" s="395" t="str">
        <f t="shared" si="221"/>
        <v>Aug 2014</v>
      </c>
      <c r="C623" s="396" t="str">
        <f t="shared" si="222"/>
        <v>LS</v>
      </c>
      <c r="D623" s="396" t="str">
        <f t="shared" si="223"/>
        <v>KUUM_363</v>
      </c>
      <c r="E623" s="394">
        <f t="shared" si="224"/>
        <v>5</v>
      </c>
      <c r="F623" s="397">
        <v>0</v>
      </c>
      <c r="G623" s="394">
        <f t="shared" si="225"/>
        <v>254</v>
      </c>
      <c r="H623" s="394">
        <v>0</v>
      </c>
      <c r="I623" s="390">
        <f t="shared" si="226"/>
        <v>61.75</v>
      </c>
      <c r="J623" s="390">
        <f t="shared" si="227"/>
        <v>1.75</v>
      </c>
      <c r="K623" s="391">
        <f t="shared" si="241"/>
        <v>308.75</v>
      </c>
      <c r="L623" s="398">
        <v>0</v>
      </c>
      <c r="M623" s="398">
        <v>0</v>
      </c>
      <c r="N623" s="164">
        <f t="shared" si="220"/>
        <v>308.75</v>
      </c>
      <c r="O623" s="399">
        <f t="shared" si="228"/>
        <v>308.75</v>
      </c>
      <c r="P623" s="392">
        <f t="shared" si="242"/>
        <v>1</v>
      </c>
      <c r="Q623" s="164">
        <f t="shared" si="229"/>
        <v>0.65</v>
      </c>
      <c r="R623" s="164">
        <f t="shared" si="230"/>
        <v>0</v>
      </c>
      <c r="S623" s="164">
        <f t="shared" si="231"/>
        <v>10.3</v>
      </c>
      <c r="T623" s="164">
        <f t="shared" si="232"/>
        <v>0</v>
      </c>
      <c r="U623" s="164">
        <f t="shared" si="233"/>
        <v>319.7</v>
      </c>
      <c r="V623" s="393">
        <f t="shared" si="234"/>
        <v>319.7</v>
      </c>
      <c r="W623" s="393">
        <f t="shared" si="235"/>
        <v>0</v>
      </c>
      <c r="Y623" s="393">
        <f t="shared" si="238"/>
        <v>8.75</v>
      </c>
      <c r="Z623" s="393">
        <f t="shared" si="239"/>
        <v>300</v>
      </c>
      <c r="AD623" s="395">
        <f>IF(AH623&gt;AH622,AD622,IF(AD622&lt;MiscData!$F$1,EOMONTH(AD622,1),EOMONTH(AD622,-11)))</f>
        <v>41882</v>
      </c>
      <c r="AE623" s="389" t="str">
        <f t="shared" si="236"/>
        <v>20140101KUUM_363</v>
      </c>
      <c r="AF623" s="437" t="str">
        <f t="shared" si="237"/>
        <v>20140101LS</v>
      </c>
      <c r="AG623" s="438"/>
      <c r="AH623" s="34">
        <f>IF(AH622=MiscData!$AB$91,1,AH622+1)</f>
        <v>6</v>
      </c>
      <c r="AI623" s="34">
        <f>IF(AD623&lt;=MiscData!$B$23,MiscData!$C$23,IF(AD623&lt;=MiscData!$B$24,MiscData!$C$24,MiscData!$C$25))</f>
        <v>20140101</v>
      </c>
      <c r="AK623" s="439" t="str">
        <f>VLOOKUP(AM623,MiscData!$AB$4:$ACB$113,2,FALSE)</f>
        <v>KUUM_363</v>
      </c>
      <c r="AL623" s="439" t="str">
        <f>VLOOKUP(AM623,MiscData!$AB$4:$AE$115,4,FALSE)</f>
        <v>LS</v>
      </c>
      <c r="AM623" s="34">
        <f>IF(AM622=MiscData!$AB$91,1,AM622+1)</f>
        <v>6</v>
      </c>
    </row>
    <row r="624" spans="1:39">
      <c r="A624" s="389">
        <f t="shared" si="240"/>
        <v>623</v>
      </c>
      <c r="B624" s="395" t="str">
        <f t="shared" si="221"/>
        <v>Aug 2014</v>
      </c>
      <c r="C624" s="396" t="str">
        <f t="shared" si="222"/>
        <v>LS</v>
      </c>
      <c r="D624" s="396" t="str">
        <f t="shared" si="223"/>
        <v>KUUM_364</v>
      </c>
      <c r="E624" s="394">
        <f t="shared" si="224"/>
        <v>1</v>
      </c>
      <c r="F624" s="397">
        <v>0</v>
      </c>
      <c r="G624" s="394">
        <f t="shared" si="225"/>
        <v>51</v>
      </c>
      <c r="H624" s="394">
        <v>0</v>
      </c>
      <c r="I624" s="390">
        <f t="shared" si="226"/>
        <v>63.11</v>
      </c>
      <c r="J624" s="390">
        <f t="shared" si="227"/>
        <v>1.75</v>
      </c>
      <c r="K624" s="391">
        <f t="shared" si="241"/>
        <v>63.11</v>
      </c>
      <c r="L624" s="398">
        <v>0</v>
      </c>
      <c r="M624" s="398">
        <v>0</v>
      </c>
      <c r="N624" s="164">
        <f t="shared" si="220"/>
        <v>63.11</v>
      </c>
      <c r="O624" s="399">
        <f t="shared" si="228"/>
        <v>63.109999999999992</v>
      </c>
      <c r="P624" s="392">
        <f t="shared" si="242"/>
        <v>1</v>
      </c>
      <c r="Q624" s="164">
        <f t="shared" si="229"/>
        <v>0.13</v>
      </c>
      <c r="R624" s="164">
        <f t="shared" si="230"/>
        <v>0</v>
      </c>
      <c r="S624" s="164">
        <f t="shared" si="231"/>
        <v>2.11</v>
      </c>
      <c r="T624" s="164">
        <f t="shared" si="232"/>
        <v>0</v>
      </c>
      <c r="U624" s="164">
        <f t="shared" si="233"/>
        <v>65.349999999999994</v>
      </c>
      <c r="V624" s="393">
        <f t="shared" si="234"/>
        <v>65.350000000000009</v>
      </c>
      <c r="W624" s="393">
        <f t="shared" si="235"/>
        <v>0</v>
      </c>
      <c r="Y624" s="393">
        <f t="shared" si="238"/>
        <v>1.75</v>
      </c>
      <c r="Z624" s="393">
        <f t="shared" si="239"/>
        <v>61.359999999999992</v>
      </c>
      <c r="AD624" s="395">
        <f>IF(AH624&gt;AH623,AD623,IF(AD623&lt;MiscData!$F$1,EOMONTH(AD623,1),EOMONTH(AD623,-11)))</f>
        <v>41882</v>
      </c>
      <c r="AE624" s="389" t="str">
        <f t="shared" si="236"/>
        <v>20140101KUUM_364</v>
      </c>
      <c r="AF624" s="437" t="str">
        <f t="shared" si="237"/>
        <v>20140101LS</v>
      </c>
      <c r="AG624" s="438"/>
      <c r="AH624" s="34">
        <f>IF(AH623=MiscData!$AB$91,1,AH623+1)</f>
        <v>7</v>
      </c>
      <c r="AI624" s="34">
        <f>IF(AD624&lt;=MiscData!$B$23,MiscData!$C$23,IF(AD624&lt;=MiscData!$B$24,MiscData!$C$24,MiscData!$C$25))</f>
        <v>20140101</v>
      </c>
      <c r="AK624" s="439" t="str">
        <f>VLOOKUP(AM624,MiscData!$AB$4:$ACB$113,2,FALSE)</f>
        <v>KUUM_364</v>
      </c>
      <c r="AL624" s="439" t="str">
        <f>VLOOKUP(AM624,MiscData!$AB$4:$AE$115,4,FALSE)</f>
        <v>LS</v>
      </c>
      <c r="AM624" s="34">
        <f>IF(AM623=MiscData!$AB$91,1,AM623+1)</f>
        <v>7</v>
      </c>
    </row>
    <row r="625" spans="1:39">
      <c r="A625" s="389">
        <f t="shared" si="240"/>
        <v>624</v>
      </c>
      <c r="B625" s="395" t="str">
        <f t="shared" si="221"/>
        <v>Aug 2014</v>
      </c>
      <c r="C625" s="396" t="str">
        <f t="shared" si="222"/>
        <v>LS</v>
      </c>
      <c r="D625" s="396" t="str">
        <f t="shared" si="223"/>
        <v>KUUM_365</v>
      </c>
      <c r="E625" s="394">
        <f t="shared" si="224"/>
        <v>5</v>
      </c>
      <c r="F625" s="397">
        <v>0</v>
      </c>
      <c r="G625" s="394">
        <f t="shared" si="225"/>
        <v>250</v>
      </c>
      <c r="H625" s="394">
        <v>0</v>
      </c>
      <c r="I625" s="390">
        <f t="shared" si="226"/>
        <v>80.94</v>
      </c>
      <c r="J625" s="390">
        <f t="shared" si="227"/>
        <v>1.75</v>
      </c>
      <c r="K625" s="391">
        <f t="shared" si="241"/>
        <v>404.7</v>
      </c>
      <c r="L625" s="398">
        <v>0</v>
      </c>
      <c r="M625" s="398">
        <v>0</v>
      </c>
      <c r="N625" s="164">
        <f t="shared" si="220"/>
        <v>404.7</v>
      </c>
      <c r="O625" s="399">
        <f t="shared" si="228"/>
        <v>404.7</v>
      </c>
      <c r="P625" s="392">
        <f t="shared" si="242"/>
        <v>1</v>
      </c>
      <c r="Q625" s="164">
        <f t="shared" si="229"/>
        <v>0.64</v>
      </c>
      <c r="R625" s="164">
        <f t="shared" si="230"/>
        <v>0</v>
      </c>
      <c r="S625" s="164">
        <f t="shared" si="231"/>
        <v>13.5</v>
      </c>
      <c r="T625" s="164">
        <f t="shared" si="232"/>
        <v>0</v>
      </c>
      <c r="U625" s="164">
        <f t="shared" si="233"/>
        <v>418.84</v>
      </c>
      <c r="V625" s="393">
        <f t="shared" si="234"/>
        <v>418.84</v>
      </c>
      <c r="W625" s="393">
        <f t="shared" si="235"/>
        <v>0</v>
      </c>
      <c r="Y625" s="393">
        <f t="shared" si="238"/>
        <v>8.75</v>
      </c>
      <c r="Z625" s="393">
        <f t="shared" si="239"/>
        <v>395.95</v>
      </c>
      <c r="AD625" s="395">
        <f>IF(AH625&gt;AH624,AD624,IF(AD624&lt;MiscData!$F$1,EOMONTH(AD624,1),EOMONTH(AD624,-11)))</f>
        <v>41882</v>
      </c>
      <c r="AE625" s="389" t="str">
        <f t="shared" si="236"/>
        <v>20140101KUUM_365</v>
      </c>
      <c r="AF625" s="437" t="str">
        <f t="shared" si="237"/>
        <v>20140101LS</v>
      </c>
      <c r="AG625" s="438"/>
      <c r="AH625" s="34">
        <f>IF(AH624=MiscData!$AB$91,1,AH624+1)</f>
        <v>8</v>
      </c>
      <c r="AI625" s="34">
        <f>IF(AD625&lt;=MiscData!$B$23,MiscData!$C$23,IF(AD625&lt;=MiscData!$B$24,MiscData!$C$24,MiscData!$C$25))</f>
        <v>20140101</v>
      </c>
      <c r="AK625" s="439" t="str">
        <f>VLOOKUP(AM625,MiscData!$AB$4:$ACB$113,2,FALSE)</f>
        <v>KUUM_365</v>
      </c>
      <c r="AL625" s="439" t="str">
        <f>VLOOKUP(AM625,MiscData!$AB$4:$AE$115,4,FALSE)</f>
        <v>LS</v>
      </c>
      <c r="AM625" s="34">
        <f>IF(AM624=MiscData!$AB$91,1,AM624+1)</f>
        <v>8</v>
      </c>
    </row>
    <row r="626" spans="1:39">
      <c r="A626" s="389">
        <f t="shared" si="240"/>
        <v>625</v>
      </c>
      <c r="B626" s="395" t="str">
        <f t="shared" si="221"/>
        <v>Aug 2014</v>
      </c>
      <c r="C626" s="396" t="str">
        <f t="shared" si="222"/>
        <v>LS</v>
      </c>
      <c r="D626" s="396" t="str">
        <f t="shared" si="223"/>
        <v>KUUM_366</v>
      </c>
      <c r="E626" s="394">
        <f t="shared" si="224"/>
        <v>9</v>
      </c>
      <c r="F626" s="397">
        <v>0</v>
      </c>
      <c r="G626" s="394">
        <f t="shared" si="225"/>
        <v>454</v>
      </c>
      <c r="H626" s="394">
        <v>0</v>
      </c>
      <c r="I626" s="390">
        <f t="shared" si="226"/>
        <v>78.97</v>
      </c>
      <c r="J626" s="390">
        <f t="shared" si="227"/>
        <v>1.75</v>
      </c>
      <c r="K626" s="391">
        <f t="shared" si="241"/>
        <v>710.73</v>
      </c>
      <c r="L626" s="398">
        <v>0</v>
      </c>
      <c r="M626" s="398">
        <v>0</v>
      </c>
      <c r="N626" s="164">
        <f t="shared" si="220"/>
        <v>710.73</v>
      </c>
      <c r="O626" s="399">
        <f t="shared" si="228"/>
        <v>710.73</v>
      </c>
      <c r="P626" s="392">
        <f t="shared" si="242"/>
        <v>1</v>
      </c>
      <c r="Q626" s="164">
        <f t="shared" si="229"/>
        <v>1.1599999999999999</v>
      </c>
      <c r="R626" s="164">
        <f t="shared" si="230"/>
        <v>0</v>
      </c>
      <c r="S626" s="164">
        <f t="shared" si="231"/>
        <v>23.7</v>
      </c>
      <c r="T626" s="164">
        <f t="shared" si="232"/>
        <v>0</v>
      </c>
      <c r="U626" s="164">
        <f t="shared" si="233"/>
        <v>735.59</v>
      </c>
      <c r="V626" s="393">
        <f t="shared" si="234"/>
        <v>735.59</v>
      </c>
      <c r="W626" s="393">
        <f t="shared" si="235"/>
        <v>0</v>
      </c>
      <c r="Y626" s="393">
        <f t="shared" si="238"/>
        <v>15.75</v>
      </c>
      <c r="Z626" s="393">
        <f t="shared" si="239"/>
        <v>694.98</v>
      </c>
      <c r="AD626" s="395">
        <f>IF(AH626&gt;AH625,AD625,IF(AD625&lt;MiscData!$F$1,EOMONTH(AD625,1),EOMONTH(AD625,-11)))</f>
        <v>41882</v>
      </c>
      <c r="AE626" s="389" t="str">
        <f t="shared" si="236"/>
        <v>20140101KUUM_366</v>
      </c>
      <c r="AF626" s="437" t="str">
        <f t="shared" si="237"/>
        <v>20140101LS</v>
      </c>
      <c r="AG626" s="438"/>
      <c r="AH626" s="34">
        <f>IF(AH625=MiscData!$AB$91,1,AH625+1)</f>
        <v>9</v>
      </c>
      <c r="AI626" s="34">
        <f>IF(AD626&lt;=MiscData!$B$23,MiscData!$C$23,IF(AD626&lt;=MiscData!$B$24,MiscData!$C$24,MiscData!$C$25))</f>
        <v>20140101</v>
      </c>
      <c r="AK626" s="439" t="str">
        <f>VLOOKUP(AM626,MiscData!$AB$4:$ACB$113,2,FALSE)</f>
        <v>KUUM_366</v>
      </c>
      <c r="AL626" s="439" t="str">
        <f>VLOOKUP(AM626,MiscData!$AB$4:$AE$115,4,FALSE)</f>
        <v>LS</v>
      </c>
      <c r="AM626" s="34">
        <f>IF(AM625=MiscData!$AB$91,1,AM625+1)</f>
        <v>9</v>
      </c>
    </row>
    <row r="627" spans="1:39">
      <c r="A627" s="389">
        <f t="shared" si="240"/>
        <v>626</v>
      </c>
      <c r="B627" s="395" t="str">
        <f t="shared" si="221"/>
        <v>Aug 2014</v>
      </c>
      <c r="C627" s="396" t="str">
        <f t="shared" si="222"/>
        <v>LS</v>
      </c>
      <c r="D627" s="396" t="str">
        <f t="shared" si="223"/>
        <v>KUUM_367</v>
      </c>
      <c r="E627" s="394">
        <f t="shared" si="224"/>
        <v>25</v>
      </c>
      <c r="F627" s="397">
        <v>0</v>
      </c>
      <c r="G627" s="394">
        <f t="shared" si="225"/>
        <v>1196</v>
      </c>
      <c r="H627" s="394">
        <v>0</v>
      </c>
      <c r="I627" s="390">
        <f t="shared" si="226"/>
        <v>61.230000000000004</v>
      </c>
      <c r="J627" s="390">
        <f t="shared" si="227"/>
        <v>1.75</v>
      </c>
      <c r="K627" s="391">
        <f t="shared" si="241"/>
        <v>1530.75</v>
      </c>
      <c r="L627" s="398">
        <v>0</v>
      </c>
      <c r="M627" s="398">
        <v>0</v>
      </c>
      <c r="N627" s="164">
        <f t="shared" si="220"/>
        <v>1530.75</v>
      </c>
      <c r="O627" s="399">
        <f t="shared" si="228"/>
        <v>1530.75</v>
      </c>
      <c r="P627" s="392">
        <f t="shared" si="242"/>
        <v>1</v>
      </c>
      <c r="Q627" s="164">
        <f t="shared" si="229"/>
        <v>3.06</v>
      </c>
      <c r="R627" s="164">
        <f t="shared" si="230"/>
        <v>0</v>
      </c>
      <c r="S627" s="164">
        <f t="shared" si="231"/>
        <v>51.07</v>
      </c>
      <c r="T627" s="164">
        <f t="shared" si="232"/>
        <v>0</v>
      </c>
      <c r="U627" s="164">
        <f t="shared" si="233"/>
        <v>1584.88</v>
      </c>
      <c r="V627" s="393">
        <f t="shared" si="234"/>
        <v>1584.8799999999999</v>
      </c>
      <c r="W627" s="393">
        <f t="shared" si="235"/>
        <v>0</v>
      </c>
      <c r="Y627" s="393">
        <f t="shared" si="238"/>
        <v>43.75</v>
      </c>
      <c r="Z627" s="393">
        <f t="shared" si="239"/>
        <v>1487</v>
      </c>
      <c r="AD627" s="395">
        <f>IF(AH627&gt;AH626,AD626,IF(AD626&lt;MiscData!$F$1,EOMONTH(AD626,1),EOMONTH(AD626,-11)))</f>
        <v>41882</v>
      </c>
      <c r="AE627" s="389" t="str">
        <f t="shared" si="236"/>
        <v>20140101KUUM_367</v>
      </c>
      <c r="AF627" s="437" t="str">
        <f t="shared" si="237"/>
        <v>20140101LS</v>
      </c>
      <c r="AG627" s="438"/>
      <c r="AH627" s="34">
        <f>IF(AH626=MiscData!$AB$91,1,AH626+1)</f>
        <v>10</v>
      </c>
      <c r="AI627" s="34">
        <f>IF(AD627&lt;=MiscData!$B$23,MiscData!$C$23,IF(AD627&lt;=MiscData!$B$24,MiscData!$C$24,MiscData!$C$25))</f>
        <v>20140101</v>
      </c>
      <c r="AK627" s="439" t="str">
        <f>VLOOKUP(AM627,MiscData!$AB$4:$ACB$113,2,FALSE)</f>
        <v>KUUM_367</v>
      </c>
      <c r="AL627" s="439" t="str">
        <f>VLOOKUP(AM627,MiscData!$AB$4:$AE$115,4,FALSE)</f>
        <v>LS</v>
      </c>
      <c r="AM627" s="34">
        <f>IF(AM626=MiscData!$AB$91,1,AM626+1)</f>
        <v>10</v>
      </c>
    </row>
    <row r="628" spans="1:39">
      <c r="A628" s="389">
        <f t="shared" si="240"/>
        <v>627</v>
      </c>
      <c r="B628" s="395" t="str">
        <f t="shared" si="221"/>
        <v>Aug 2014</v>
      </c>
      <c r="C628" s="396" t="str">
        <f t="shared" si="222"/>
        <v>LS</v>
      </c>
      <c r="D628" s="396" t="str">
        <f t="shared" si="223"/>
        <v>KUUM_368</v>
      </c>
      <c r="E628" s="394">
        <f t="shared" si="224"/>
        <v>1</v>
      </c>
      <c r="F628" s="397">
        <v>0</v>
      </c>
      <c r="G628" s="394">
        <f t="shared" si="225"/>
        <v>51</v>
      </c>
      <c r="H628" s="394">
        <v>0</v>
      </c>
      <c r="I628" s="390">
        <f t="shared" si="226"/>
        <v>56.69</v>
      </c>
      <c r="J628" s="390">
        <f t="shared" si="227"/>
        <v>1.75</v>
      </c>
      <c r="K628" s="391">
        <f t="shared" si="241"/>
        <v>56.69</v>
      </c>
      <c r="L628" s="398">
        <v>0</v>
      </c>
      <c r="M628" s="398">
        <v>0</v>
      </c>
      <c r="N628" s="164">
        <f t="shared" si="220"/>
        <v>56.69</v>
      </c>
      <c r="O628" s="399">
        <f t="shared" si="228"/>
        <v>56.69</v>
      </c>
      <c r="P628" s="392">
        <f t="shared" si="242"/>
        <v>1</v>
      </c>
      <c r="Q628" s="164">
        <f t="shared" si="229"/>
        <v>0.13</v>
      </c>
      <c r="R628" s="164">
        <f t="shared" si="230"/>
        <v>0</v>
      </c>
      <c r="S628" s="164">
        <f t="shared" si="231"/>
        <v>1.89</v>
      </c>
      <c r="T628" s="164">
        <f t="shared" si="232"/>
        <v>0</v>
      </c>
      <c r="U628" s="164">
        <f t="shared" si="233"/>
        <v>58.71</v>
      </c>
      <c r="V628" s="393">
        <f t="shared" si="234"/>
        <v>58.71</v>
      </c>
      <c r="W628" s="393">
        <f t="shared" si="235"/>
        <v>0</v>
      </c>
      <c r="Y628" s="393">
        <f t="shared" si="238"/>
        <v>1.75</v>
      </c>
      <c r="Z628" s="393">
        <f t="shared" si="239"/>
        <v>54.94</v>
      </c>
      <c r="AD628" s="395">
        <f>IF(AH628&gt;AH627,AD627,IF(AD627&lt;MiscData!$F$1,EOMONTH(AD627,1),EOMONTH(AD627,-11)))</f>
        <v>41882</v>
      </c>
      <c r="AE628" s="389" t="str">
        <f t="shared" si="236"/>
        <v>20140101KUUM_368</v>
      </c>
      <c r="AF628" s="437" t="str">
        <f t="shared" si="237"/>
        <v>20140101LS</v>
      </c>
      <c r="AG628" s="438"/>
      <c r="AH628" s="34">
        <f>IF(AH627=MiscData!$AB$91,1,AH627+1)</f>
        <v>11</v>
      </c>
      <c r="AI628" s="34">
        <f>IF(AD628&lt;=MiscData!$B$23,MiscData!$C$23,IF(AD628&lt;=MiscData!$B$24,MiscData!$C$24,MiscData!$C$25))</f>
        <v>20140101</v>
      </c>
      <c r="AK628" s="439" t="str">
        <f>VLOOKUP(AM628,MiscData!$AB$4:$ACB$113,2,FALSE)</f>
        <v>KUUM_368</v>
      </c>
      <c r="AL628" s="439" t="str">
        <f>VLOOKUP(AM628,MiscData!$AB$4:$AE$115,4,FALSE)</f>
        <v>LS</v>
      </c>
      <c r="AM628" s="34">
        <f>IF(AM627=MiscData!$AB$91,1,AM627+1)</f>
        <v>11</v>
      </c>
    </row>
    <row r="629" spans="1:39">
      <c r="A629" s="389">
        <f t="shared" si="240"/>
        <v>628</v>
      </c>
      <c r="B629" s="395" t="str">
        <f t="shared" si="221"/>
        <v>Aug 2014</v>
      </c>
      <c r="C629" s="396" t="str">
        <f t="shared" si="222"/>
        <v>LS</v>
      </c>
      <c r="D629" s="396" t="str">
        <f t="shared" si="223"/>
        <v>KUUM_370</v>
      </c>
      <c r="E629" s="394">
        <f t="shared" si="224"/>
        <v>15</v>
      </c>
      <c r="F629" s="397">
        <v>0</v>
      </c>
      <c r="G629" s="394">
        <f t="shared" si="225"/>
        <v>747</v>
      </c>
      <c r="H629" s="394">
        <v>0</v>
      </c>
      <c r="I629" s="390">
        <f t="shared" si="226"/>
        <v>74.52</v>
      </c>
      <c r="J629" s="390">
        <f t="shared" si="227"/>
        <v>1.75</v>
      </c>
      <c r="K629" s="391">
        <f t="shared" si="241"/>
        <v>1117.8</v>
      </c>
      <c r="L629" s="398">
        <v>0</v>
      </c>
      <c r="M629" s="398">
        <v>0</v>
      </c>
      <c r="N629" s="164">
        <f t="shared" si="220"/>
        <v>1117.8</v>
      </c>
      <c r="O629" s="399">
        <f t="shared" si="228"/>
        <v>1117.8</v>
      </c>
      <c r="P629" s="392">
        <f t="shared" si="242"/>
        <v>1</v>
      </c>
      <c r="Q629" s="164">
        <f t="shared" si="229"/>
        <v>1.59</v>
      </c>
      <c r="R629" s="164">
        <f t="shared" si="230"/>
        <v>0</v>
      </c>
      <c r="S629" s="164">
        <f t="shared" si="231"/>
        <v>37.1</v>
      </c>
      <c r="T629" s="164">
        <f t="shared" si="232"/>
        <v>0</v>
      </c>
      <c r="U629" s="164">
        <f t="shared" si="233"/>
        <v>1156.49</v>
      </c>
      <c r="V629" s="393">
        <f t="shared" si="234"/>
        <v>1156.4899999999998</v>
      </c>
      <c r="W629" s="393">
        <f t="shared" si="235"/>
        <v>0</v>
      </c>
      <c r="Y629" s="393">
        <f t="shared" si="238"/>
        <v>26.25</v>
      </c>
      <c r="Z629" s="393">
        <f t="shared" si="239"/>
        <v>1091.55</v>
      </c>
      <c r="AD629" s="395">
        <f>IF(AH629&gt;AH628,AD628,IF(AD628&lt;MiscData!$F$1,EOMONTH(AD628,1),EOMONTH(AD628,-11)))</f>
        <v>41882</v>
      </c>
      <c r="AE629" s="389" t="str">
        <f t="shared" si="236"/>
        <v>20140101KUUM_370</v>
      </c>
      <c r="AF629" s="437" t="str">
        <f t="shared" si="237"/>
        <v>20140101LS</v>
      </c>
      <c r="AG629" s="438"/>
      <c r="AH629" s="34">
        <f>IF(AH628=MiscData!$AB$91,1,AH628+1)</f>
        <v>12</v>
      </c>
      <c r="AI629" s="34">
        <f>IF(AD629&lt;=MiscData!$B$23,MiscData!$C$23,IF(AD629&lt;=MiscData!$B$24,MiscData!$C$24,MiscData!$C$25))</f>
        <v>20140101</v>
      </c>
      <c r="AK629" s="439" t="str">
        <f>VLOOKUP(AM629,MiscData!$AB$4:$ACB$113,2,FALSE)</f>
        <v>KUUM_370</v>
      </c>
      <c r="AL629" s="439" t="str">
        <f>VLOOKUP(AM629,MiscData!$AB$4:$AE$115,4,FALSE)</f>
        <v>LS</v>
      </c>
      <c r="AM629" s="34">
        <f>IF(AM628=MiscData!$AB$91,1,AM628+1)</f>
        <v>12</v>
      </c>
    </row>
    <row r="630" spans="1:39">
      <c r="A630" s="389">
        <f t="shared" si="240"/>
        <v>629</v>
      </c>
      <c r="B630" s="395" t="str">
        <f t="shared" si="221"/>
        <v>Aug 2014</v>
      </c>
      <c r="C630" s="396" t="str">
        <f t="shared" si="222"/>
        <v>LS</v>
      </c>
      <c r="D630" s="396" t="str">
        <f t="shared" si="223"/>
        <v>KUUM_372</v>
      </c>
      <c r="E630" s="394">
        <f t="shared" si="224"/>
        <v>1</v>
      </c>
      <c r="F630" s="397">
        <v>0</v>
      </c>
      <c r="G630" s="394">
        <f t="shared" si="225"/>
        <v>51</v>
      </c>
      <c r="H630" s="394">
        <v>0</v>
      </c>
      <c r="I630" s="390">
        <f t="shared" si="226"/>
        <v>82.3</v>
      </c>
      <c r="J630" s="390">
        <f t="shared" si="227"/>
        <v>1.75</v>
      </c>
      <c r="K630" s="391">
        <f t="shared" si="241"/>
        <v>82.3</v>
      </c>
      <c r="L630" s="398">
        <v>0</v>
      </c>
      <c r="M630" s="398">
        <v>0</v>
      </c>
      <c r="N630" s="164">
        <f t="shared" si="220"/>
        <v>82.3</v>
      </c>
      <c r="O630" s="399">
        <f t="shared" si="228"/>
        <v>82.3</v>
      </c>
      <c r="P630" s="392">
        <f t="shared" si="242"/>
        <v>1</v>
      </c>
      <c r="Q630" s="164">
        <f t="shared" si="229"/>
        <v>0.13</v>
      </c>
      <c r="R630" s="164">
        <f t="shared" si="230"/>
        <v>0</v>
      </c>
      <c r="S630" s="164">
        <f t="shared" si="231"/>
        <v>2.74</v>
      </c>
      <c r="T630" s="164">
        <f t="shared" si="232"/>
        <v>0</v>
      </c>
      <c r="U630" s="164">
        <f t="shared" si="233"/>
        <v>85.17</v>
      </c>
      <c r="V630" s="393">
        <f t="shared" si="234"/>
        <v>85.169999999999987</v>
      </c>
      <c r="W630" s="393">
        <f t="shared" si="235"/>
        <v>0</v>
      </c>
      <c r="Y630" s="393">
        <f t="shared" si="238"/>
        <v>1.75</v>
      </c>
      <c r="Z630" s="393">
        <f t="shared" si="239"/>
        <v>80.55</v>
      </c>
      <c r="AD630" s="395">
        <f>IF(AH630&gt;AH629,AD629,IF(AD629&lt;MiscData!$F$1,EOMONTH(AD629,1),EOMONTH(AD629,-11)))</f>
        <v>41882</v>
      </c>
      <c r="AE630" s="389" t="str">
        <f t="shared" si="236"/>
        <v>20140101KUUM_372</v>
      </c>
      <c r="AF630" s="437" t="str">
        <f t="shared" si="237"/>
        <v>20140101LS</v>
      </c>
      <c r="AG630" s="438"/>
      <c r="AH630" s="34">
        <f>IF(AH629=MiscData!$AB$91,1,AH629+1)</f>
        <v>13</v>
      </c>
      <c r="AI630" s="34">
        <f>IF(AD630&lt;=MiscData!$B$23,MiscData!$C$23,IF(AD630&lt;=MiscData!$B$24,MiscData!$C$24,MiscData!$C$25))</f>
        <v>20140101</v>
      </c>
      <c r="AK630" s="439" t="str">
        <f>VLOOKUP(AM630,MiscData!$AB$4:$ACB$113,2,FALSE)</f>
        <v>KUUM_372</v>
      </c>
      <c r="AL630" s="439" t="str">
        <f>VLOOKUP(AM630,MiscData!$AB$4:$AE$115,4,FALSE)</f>
        <v>LS</v>
      </c>
      <c r="AM630" s="34">
        <f>IF(AM629=MiscData!$AB$91,1,AM629+1)</f>
        <v>13</v>
      </c>
    </row>
    <row r="631" spans="1:39">
      <c r="A631" s="389">
        <f t="shared" si="240"/>
        <v>630</v>
      </c>
      <c r="B631" s="395" t="str">
        <f t="shared" si="221"/>
        <v>Aug 2014</v>
      </c>
      <c r="C631" s="396" t="str">
        <f t="shared" si="222"/>
        <v>LS</v>
      </c>
      <c r="D631" s="396" t="str">
        <f t="shared" si="223"/>
        <v>KUUM_373</v>
      </c>
      <c r="E631" s="394">
        <f t="shared" si="224"/>
        <v>20</v>
      </c>
      <c r="F631" s="397">
        <v>0</v>
      </c>
      <c r="G631" s="394">
        <f t="shared" si="225"/>
        <v>944</v>
      </c>
      <c r="H631" s="394">
        <v>0</v>
      </c>
      <c r="I631" s="390">
        <f t="shared" si="226"/>
        <v>74.52</v>
      </c>
      <c r="J631" s="390">
        <f t="shared" si="227"/>
        <v>1.75</v>
      </c>
      <c r="K631" s="391">
        <f t="shared" si="241"/>
        <v>1490.4</v>
      </c>
      <c r="L631" s="398">
        <v>0</v>
      </c>
      <c r="M631" s="398">
        <v>0</v>
      </c>
      <c r="N631" s="164">
        <f t="shared" si="220"/>
        <v>1490.4</v>
      </c>
      <c r="O631" s="399">
        <f t="shared" si="228"/>
        <v>1490.4</v>
      </c>
      <c r="P631" s="392">
        <f t="shared" si="242"/>
        <v>1</v>
      </c>
      <c r="Q631" s="164">
        <f t="shared" si="229"/>
        <v>2.41</v>
      </c>
      <c r="R631" s="164">
        <f t="shared" si="230"/>
        <v>0</v>
      </c>
      <c r="S631" s="164">
        <f t="shared" si="231"/>
        <v>49.71</v>
      </c>
      <c r="T631" s="164">
        <f t="shared" si="232"/>
        <v>0</v>
      </c>
      <c r="U631" s="164">
        <f t="shared" si="233"/>
        <v>1542.52</v>
      </c>
      <c r="V631" s="393">
        <f t="shared" si="234"/>
        <v>1542.5200000000002</v>
      </c>
      <c r="W631" s="393">
        <f t="shared" si="235"/>
        <v>0</v>
      </c>
      <c r="Y631" s="393">
        <f t="shared" si="238"/>
        <v>35</v>
      </c>
      <c r="Z631" s="393">
        <f t="shared" si="239"/>
        <v>1455.4</v>
      </c>
      <c r="AD631" s="395">
        <f>IF(AH631&gt;AH630,AD630,IF(AD630&lt;MiscData!$F$1,EOMONTH(AD630,1),EOMONTH(AD630,-11)))</f>
        <v>41882</v>
      </c>
      <c r="AE631" s="389" t="str">
        <f t="shared" si="236"/>
        <v>20140101KUUM_373</v>
      </c>
      <c r="AF631" s="437" t="str">
        <f t="shared" si="237"/>
        <v>20140101LS</v>
      </c>
      <c r="AG631" s="438"/>
      <c r="AH631" s="34">
        <f>IF(AH630=MiscData!$AB$91,1,AH630+1)</f>
        <v>14</v>
      </c>
      <c r="AI631" s="34">
        <f>IF(AD631&lt;=MiscData!$B$23,MiscData!$C$23,IF(AD631&lt;=MiscData!$B$24,MiscData!$C$24,MiscData!$C$25))</f>
        <v>20140101</v>
      </c>
      <c r="AK631" s="439" t="str">
        <f>VLOOKUP(AM631,MiscData!$AB$4:$ACB$113,2,FALSE)</f>
        <v>KUUM_373</v>
      </c>
      <c r="AL631" s="439" t="str">
        <f>VLOOKUP(AM631,MiscData!$AB$4:$AE$115,4,FALSE)</f>
        <v>LS</v>
      </c>
      <c r="AM631" s="34">
        <f>IF(AM630=MiscData!$AB$91,1,AM630+1)</f>
        <v>14</v>
      </c>
    </row>
    <row r="632" spans="1:39">
      <c r="A632" s="389">
        <f t="shared" si="240"/>
        <v>631</v>
      </c>
      <c r="B632" s="395" t="str">
        <f t="shared" si="221"/>
        <v>Aug 2014</v>
      </c>
      <c r="C632" s="396" t="str">
        <f t="shared" si="222"/>
        <v>LS</v>
      </c>
      <c r="D632" s="396" t="str">
        <f t="shared" si="223"/>
        <v>KUUM_374</v>
      </c>
      <c r="E632" s="394">
        <f t="shared" si="224"/>
        <v>4</v>
      </c>
      <c r="F632" s="397">
        <v>0</v>
      </c>
      <c r="G632" s="394">
        <f t="shared" si="225"/>
        <v>196</v>
      </c>
      <c r="H632" s="394">
        <v>0</v>
      </c>
      <c r="I632" s="390">
        <f t="shared" si="226"/>
        <v>75.88</v>
      </c>
      <c r="J632" s="390">
        <f t="shared" si="227"/>
        <v>1.75</v>
      </c>
      <c r="K632" s="391">
        <f t="shared" si="241"/>
        <v>303.52</v>
      </c>
      <c r="L632" s="398">
        <v>0</v>
      </c>
      <c r="M632" s="398">
        <v>0</v>
      </c>
      <c r="N632" s="164">
        <f t="shared" ref="N632:N695" si="243">SUM(K632:M632)</f>
        <v>303.52</v>
      </c>
      <c r="O632" s="399">
        <f t="shared" si="228"/>
        <v>303.52</v>
      </c>
      <c r="P632" s="392">
        <f t="shared" si="242"/>
        <v>1</v>
      </c>
      <c r="Q632" s="164">
        <f t="shared" si="229"/>
        <v>0.5</v>
      </c>
      <c r="R632" s="164">
        <f t="shared" si="230"/>
        <v>0</v>
      </c>
      <c r="S632" s="164">
        <f t="shared" si="231"/>
        <v>10.119999999999999</v>
      </c>
      <c r="T632" s="164">
        <f t="shared" si="232"/>
        <v>0</v>
      </c>
      <c r="U632" s="164">
        <f t="shared" si="233"/>
        <v>314.14</v>
      </c>
      <c r="V632" s="393">
        <f t="shared" si="234"/>
        <v>314.14</v>
      </c>
      <c r="W632" s="393">
        <f t="shared" si="235"/>
        <v>0</v>
      </c>
      <c r="Y632" s="393">
        <f t="shared" si="238"/>
        <v>7</v>
      </c>
      <c r="Z632" s="393">
        <f t="shared" si="239"/>
        <v>296.52</v>
      </c>
      <c r="AD632" s="395">
        <f>IF(AH632&gt;AH631,AD631,IF(AD631&lt;MiscData!$F$1,EOMONTH(AD631,1),EOMONTH(AD631,-11)))</f>
        <v>41882</v>
      </c>
      <c r="AE632" s="389" t="str">
        <f t="shared" si="236"/>
        <v>20140101KUUM_374</v>
      </c>
      <c r="AF632" s="437" t="str">
        <f t="shared" si="237"/>
        <v>20140101LS</v>
      </c>
      <c r="AG632" s="438"/>
      <c r="AH632" s="34">
        <f>IF(AH631=MiscData!$AB$91,1,AH631+1)</f>
        <v>15</v>
      </c>
      <c r="AI632" s="34">
        <f>IF(AD632&lt;=MiscData!$B$23,MiscData!$C$23,IF(AD632&lt;=MiscData!$B$24,MiscData!$C$24,MiscData!$C$25))</f>
        <v>20140101</v>
      </c>
      <c r="AK632" s="439" t="str">
        <f>VLOOKUP(AM632,MiscData!$AB$4:$ACB$113,2,FALSE)</f>
        <v>KUUM_374</v>
      </c>
      <c r="AL632" s="439" t="str">
        <f>VLOOKUP(AM632,MiscData!$AB$4:$AE$115,4,FALSE)</f>
        <v>LS</v>
      </c>
      <c r="AM632" s="34">
        <f>IF(AM631=MiscData!$AB$91,1,AM631+1)</f>
        <v>15</v>
      </c>
    </row>
    <row r="633" spans="1:39">
      <c r="A633" s="389">
        <f t="shared" si="240"/>
        <v>632</v>
      </c>
      <c r="B633" s="395" t="str">
        <f t="shared" si="221"/>
        <v>Aug 2014</v>
      </c>
      <c r="C633" s="396" t="str">
        <f t="shared" si="222"/>
        <v>LS</v>
      </c>
      <c r="D633" s="396" t="str">
        <f t="shared" si="223"/>
        <v>KUUM_375</v>
      </c>
      <c r="E633" s="394">
        <f t="shared" si="224"/>
        <v>3</v>
      </c>
      <c r="F633" s="397">
        <v>0</v>
      </c>
      <c r="G633" s="394">
        <f t="shared" si="225"/>
        <v>141</v>
      </c>
      <c r="H633" s="394">
        <v>0</v>
      </c>
      <c r="I633" s="390">
        <f t="shared" si="226"/>
        <v>78.97</v>
      </c>
      <c r="J633" s="390">
        <f t="shared" si="227"/>
        <v>1.75</v>
      </c>
      <c r="K633" s="391">
        <f t="shared" si="241"/>
        <v>236.91</v>
      </c>
      <c r="L633" s="398">
        <v>0</v>
      </c>
      <c r="M633" s="398">
        <v>0</v>
      </c>
      <c r="N633" s="164">
        <f t="shared" si="243"/>
        <v>236.91</v>
      </c>
      <c r="O633" s="399">
        <f t="shared" si="228"/>
        <v>236.91</v>
      </c>
      <c r="P633" s="392">
        <f t="shared" si="242"/>
        <v>1</v>
      </c>
      <c r="Q633" s="164">
        <f t="shared" si="229"/>
        <v>0.36</v>
      </c>
      <c r="R633" s="164">
        <f t="shared" si="230"/>
        <v>0</v>
      </c>
      <c r="S633" s="164">
        <f t="shared" si="231"/>
        <v>7.9</v>
      </c>
      <c r="T633" s="164">
        <f t="shared" si="232"/>
        <v>0</v>
      </c>
      <c r="U633" s="164">
        <f t="shared" si="233"/>
        <v>245.17</v>
      </c>
      <c r="V633" s="393">
        <f t="shared" si="234"/>
        <v>245.17000000000002</v>
      </c>
      <c r="W633" s="393">
        <f t="shared" si="235"/>
        <v>0</v>
      </c>
      <c r="Y633" s="393">
        <f t="shared" si="238"/>
        <v>5.25</v>
      </c>
      <c r="Z633" s="393">
        <f t="shared" si="239"/>
        <v>231.66</v>
      </c>
      <c r="AD633" s="395">
        <f>IF(AH633&gt;AH632,AD632,IF(AD632&lt;MiscData!$F$1,EOMONTH(AD632,1),EOMONTH(AD632,-11)))</f>
        <v>41882</v>
      </c>
      <c r="AE633" s="389" t="str">
        <f t="shared" si="236"/>
        <v>20140101KUUM_375</v>
      </c>
      <c r="AF633" s="437" t="str">
        <f t="shared" si="237"/>
        <v>20140101LS</v>
      </c>
      <c r="AG633" s="438"/>
      <c r="AH633" s="34">
        <f>IF(AH632=MiscData!$AB$91,1,AH632+1)</f>
        <v>16</v>
      </c>
      <c r="AI633" s="34">
        <f>IF(AD633&lt;=MiscData!$B$23,MiscData!$C$23,IF(AD633&lt;=MiscData!$B$24,MiscData!$C$24,MiscData!$C$25))</f>
        <v>20140101</v>
      </c>
      <c r="AK633" s="439" t="str">
        <f>VLOOKUP(AM633,MiscData!$AB$4:$ACB$113,2,FALSE)</f>
        <v>KUUM_375</v>
      </c>
      <c r="AL633" s="439" t="str">
        <f>VLOOKUP(AM633,MiscData!$AB$4:$AE$115,4,FALSE)</f>
        <v>LS</v>
      </c>
      <c r="AM633" s="34">
        <f>IF(AM632=MiscData!$AB$91,1,AM632+1)</f>
        <v>16</v>
      </c>
    </row>
    <row r="634" spans="1:39">
      <c r="A634" s="389">
        <f t="shared" si="240"/>
        <v>633</v>
      </c>
      <c r="B634" s="395" t="str">
        <f t="shared" ref="B634:B697" si="244">TEXT(AD634,"mmm yyyy")</f>
        <v>Aug 2014</v>
      </c>
      <c r="C634" s="396" t="str">
        <f t="shared" ref="C634:C697" si="245">AL634</f>
        <v>LS</v>
      </c>
      <c r="D634" s="396" t="str">
        <f t="shared" ref="D634:D697" si="246">AK634</f>
        <v>KUUM_376</v>
      </c>
      <c r="E634" s="394">
        <f t="shared" ref="E634:E697" si="247">SUMIFS(_1055_Light_Count,_1055_RevMonth,$B634,_1055_RateCategory,$D634)</f>
        <v>2</v>
      </c>
      <c r="F634" s="397">
        <v>0</v>
      </c>
      <c r="G634" s="394">
        <f t="shared" ref="G634:G697" si="248">SUMIFS(_SBR_KWH,_SBR_Revenue_Month,$B634,_SBR_Rate_Category,$D634)</f>
        <v>94</v>
      </c>
      <c r="H634" s="394">
        <v>0</v>
      </c>
      <c r="I634" s="390">
        <f t="shared" ref="I634:I697" si="249">SUMIF(_Lights_Tariff_Category,$AE634,_Lights_Rates)</f>
        <v>77.259999999999991</v>
      </c>
      <c r="J634" s="390">
        <f t="shared" ref="J634:J697" si="250">SUMIF(_Lights_Tariff_Category,$AE634,_Rates_Lights_BaseFAC)</f>
        <v>1.75</v>
      </c>
      <c r="K634" s="391">
        <f t="shared" si="241"/>
        <v>154.52000000000001</v>
      </c>
      <c r="L634" s="398">
        <v>0</v>
      </c>
      <c r="M634" s="398">
        <v>0</v>
      </c>
      <c r="N634" s="164">
        <f t="shared" si="243"/>
        <v>154.52000000000001</v>
      </c>
      <c r="O634" s="399">
        <f t="shared" ref="O634:O697" si="251">U634-SUM(Q634:T634)</f>
        <v>154.51999999999998</v>
      </c>
      <c r="P634" s="392">
        <f t="shared" si="242"/>
        <v>1</v>
      </c>
      <c r="Q634" s="164">
        <f t="shared" ref="Q634:Q697" si="252">SUMIFS(_SBR_FAC,_SBR_Revenue_Month,$B634,_SBR_Rate_Category,$D634)</f>
        <v>0.24</v>
      </c>
      <c r="R634" s="164">
        <f t="shared" ref="R634:R697" si="253">SUMIFS(_SBR_DSM,_SBR_Revenue_Month,$B634,_SBR_Rate_Category,$D634)</f>
        <v>0</v>
      </c>
      <c r="S634" s="164">
        <f t="shared" ref="S634:S697" si="254">SUMIFS(_SBR_ECR,_SBR_Revenue_Month,$B634,_SBR_Rate_Category,$D634)</f>
        <v>5.15</v>
      </c>
      <c r="T634" s="164">
        <f t="shared" ref="T634:T697" si="255">SUMIFS(_SBR_MSR,_SBR_Revenue_Month,$B634,_SBR_Rate_Category,$D634)</f>
        <v>0</v>
      </c>
      <c r="U634" s="164">
        <f t="shared" ref="U634:U697" si="256">SUMIFS(_SBR_Revenue_Actual,_SBR_Revenue_Month,$B634,_SBR_Rate_Category,$D634)</f>
        <v>159.91</v>
      </c>
      <c r="V634" s="393">
        <f t="shared" ref="V634:V697" si="257">SUM(N634,Q634:T634)</f>
        <v>159.91000000000003</v>
      </c>
      <c r="W634" s="393">
        <f t="shared" ref="W634:W697" si="258">U634-V634</f>
        <v>0</v>
      </c>
      <c r="Y634" s="393">
        <f t="shared" si="238"/>
        <v>3.5</v>
      </c>
      <c r="Z634" s="393">
        <f t="shared" si="239"/>
        <v>151.01999999999998</v>
      </c>
      <c r="AD634" s="395">
        <f>IF(AH634&gt;AH633,AD633,IF(AD633&lt;MiscData!$F$1,EOMONTH(AD633,1),EOMONTH(AD633,-11)))</f>
        <v>41882</v>
      </c>
      <c r="AE634" s="389" t="str">
        <f t="shared" ref="AE634:AE697" si="259">CONCATENATE(AI634&amp;AK634)</f>
        <v>20140101KUUM_376</v>
      </c>
      <c r="AF634" s="437" t="str">
        <f t="shared" ref="AF634:AF697" si="260">CONCATENATE(AI634&amp;AL634)</f>
        <v>20140101LS</v>
      </c>
      <c r="AG634" s="438"/>
      <c r="AH634" s="34">
        <f>IF(AH633=MiscData!$AB$91,1,AH633+1)</f>
        <v>17</v>
      </c>
      <c r="AI634" s="34">
        <f>IF(AD634&lt;=MiscData!$B$23,MiscData!$C$23,IF(AD634&lt;=MiscData!$B$24,MiscData!$C$24,MiscData!$C$25))</f>
        <v>20140101</v>
      </c>
      <c r="AK634" s="439" t="str">
        <f>VLOOKUP(AM634,MiscData!$AB$4:$ACB$113,2,FALSE)</f>
        <v>KUUM_376</v>
      </c>
      <c r="AL634" s="439" t="str">
        <f>VLOOKUP(AM634,MiscData!$AB$4:$AE$115,4,FALSE)</f>
        <v>LS</v>
      </c>
      <c r="AM634" s="34">
        <f>IF(AM633=MiscData!$AB$91,1,AM633+1)</f>
        <v>17</v>
      </c>
    </row>
    <row r="635" spans="1:39">
      <c r="A635" s="389">
        <f t="shared" si="240"/>
        <v>634</v>
      </c>
      <c r="B635" s="395" t="str">
        <f t="shared" si="244"/>
        <v>Aug 2014</v>
      </c>
      <c r="C635" s="396" t="str">
        <f t="shared" si="245"/>
        <v>LS</v>
      </c>
      <c r="D635" s="396" t="str">
        <f t="shared" si="246"/>
        <v>KUUM_377</v>
      </c>
      <c r="E635" s="394">
        <f t="shared" si="247"/>
        <v>51</v>
      </c>
      <c r="F635" s="397">
        <v>0</v>
      </c>
      <c r="G635" s="394">
        <f t="shared" si="248"/>
        <v>2445</v>
      </c>
      <c r="H635" s="394">
        <v>0</v>
      </c>
      <c r="I635" s="390">
        <f t="shared" si="249"/>
        <v>64.19</v>
      </c>
      <c r="J635" s="390">
        <f t="shared" si="250"/>
        <v>1.75</v>
      </c>
      <c r="K635" s="391">
        <f t="shared" si="241"/>
        <v>3273.69</v>
      </c>
      <c r="L635" s="398">
        <v>0</v>
      </c>
      <c r="M635" s="398">
        <v>0</v>
      </c>
      <c r="N635" s="164">
        <f t="shared" si="243"/>
        <v>3273.69</v>
      </c>
      <c r="O635" s="399">
        <f t="shared" si="251"/>
        <v>3273.6899999999996</v>
      </c>
      <c r="P635" s="392">
        <f t="shared" si="242"/>
        <v>1</v>
      </c>
      <c r="Q635" s="164">
        <f t="shared" si="252"/>
        <v>6.26</v>
      </c>
      <c r="R635" s="164">
        <f t="shared" si="253"/>
        <v>0</v>
      </c>
      <c r="S635" s="164">
        <f t="shared" si="254"/>
        <v>109.23</v>
      </c>
      <c r="T635" s="164">
        <f t="shared" si="255"/>
        <v>0</v>
      </c>
      <c r="U635" s="164">
        <f t="shared" si="256"/>
        <v>3389.18</v>
      </c>
      <c r="V635" s="393">
        <f t="shared" si="257"/>
        <v>3389.1800000000003</v>
      </c>
      <c r="W635" s="393">
        <f t="shared" si="258"/>
        <v>0</v>
      </c>
      <c r="Y635" s="393">
        <f t="shared" ref="Y635:Y698" si="261">ROUND(E635*J635,2)</f>
        <v>89.25</v>
      </c>
      <c r="Z635" s="393">
        <f t="shared" ref="Z635:Z698" si="262">O635-Y635</f>
        <v>3184.4399999999996</v>
      </c>
      <c r="AD635" s="395">
        <f>IF(AH635&gt;AH634,AD634,IF(AD634&lt;MiscData!$F$1,EOMONTH(AD634,1),EOMONTH(AD634,-11)))</f>
        <v>41882</v>
      </c>
      <c r="AE635" s="389" t="str">
        <f t="shared" si="259"/>
        <v>20140101KUUM_377</v>
      </c>
      <c r="AF635" s="437" t="str">
        <f t="shared" si="260"/>
        <v>20140101LS</v>
      </c>
      <c r="AG635" s="438"/>
      <c r="AH635" s="34">
        <f>IF(AH634=MiscData!$AB$91,1,AH634+1)</f>
        <v>18</v>
      </c>
      <c r="AI635" s="34">
        <f>IF(AD635&lt;=MiscData!$B$23,MiscData!$C$23,IF(AD635&lt;=MiscData!$B$24,MiscData!$C$24,MiscData!$C$25))</f>
        <v>20140101</v>
      </c>
      <c r="AK635" s="439" t="str">
        <f>VLOOKUP(AM635,MiscData!$AB$4:$ACB$113,2,FALSE)</f>
        <v>KUUM_377</v>
      </c>
      <c r="AL635" s="439" t="str">
        <f>VLOOKUP(AM635,MiscData!$AB$4:$AE$115,4,FALSE)</f>
        <v>LS</v>
      </c>
      <c r="AM635" s="34">
        <f>IF(AM634=MiscData!$AB$91,1,AM634+1)</f>
        <v>18</v>
      </c>
    </row>
    <row r="636" spans="1:39">
      <c r="A636" s="389">
        <f t="shared" ref="A636:A699" si="263">A635+1</f>
        <v>635</v>
      </c>
      <c r="B636" s="395" t="str">
        <f t="shared" si="244"/>
        <v>Aug 2014</v>
      </c>
      <c r="C636" s="396" t="str">
        <f t="shared" si="245"/>
        <v>LS</v>
      </c>
      <c r="D636" s="396" t="str">
        <f t="shared" si="246"/>
        <v>KUUM_378</v>
      </c>
      <c r="E636" s="394">
        <f t="shared" si="247"/>
        <v>2</v>
      </c>
      <c r="F636" s="397">
        <v>0</v>
      </c>
      <c r="G636" s="394">
        <f t="shared" si="248"/>
        <v>95</v>
      </c>
      <c r="H636" s="394">
        <v>0</v>
      </c>
      <c r="I636" s="390">
        <f t="shared" si="249"/>
        <v>75.899999999999991</v>
      </c>
      <c r="J636" s="390">
        <f t="shared" si="250"/>
        <v>1.75</v>
      </c>
      <c r="K636" s="391">
        <f t="shared" si="241"/>
        <v>151.80000000000001</v>
      </c>
      <c r="L636" s="398">
        <v>0</v>
      </c>
      <c r="M636" s="398">
        <v>0</v>
      </c>
      <c r="N636" s="164">
        <f t="shared" si="243"/>
        <v>151.80000000000001</v>
      </c>
      <c r="O636" s="399">
        <f t="shared" si="251"/>
        <v>151.79999999999998</v>
      </c>
      <c r="P636" s="392">
        <f t="shared" si="242"/>
        <v>1</v>
      </c>
      <c r="Q636" s="164">
        <f t="shared" si="252"/>
        <v>0.24</v>
      </c>
      <c r="R636" s="164">
        <f t="shared" si="253"/>
        <v>0</v>
      </c>
      <c r="S636" s="164">
        <f t="shared" si="254"/>
        <v>5.0599999999999996</v>
      </c>
      <c r="T636" s="164">
        <f t="shared" si="255"/>
        <v>0</v>
      </c>
      <c r="U636" s="164">
        <f t="shared" si="256"/>
        <v>157.1</v>
      </c>
      <c r="V636" s="393">
        <f t="shared" si="257"/>
        <v>157.10000000000002</v>
      </c>
      <c r="W636" s="393">
        <f t="shared" si="258"/>
        <v>0</v>
      </c>
      <c r="Y636" s="393">
        <f t="shared" si="261"/>
        <v>3.5</v>
      </c>
      <c r="Z636" s="393">
        <f t="shared" si="262"/>
        <v>148.29999999999998</v>
      </c>
      <c r="AD636" s="395">
        <f>IF(AH636&gt;AH635,AD635,IF(AD635&lt;MiscData!$F$1,EOMONTH(AD635,1),EOMONTH(AD635,-11)))</f>
        <v>41882</v>
      </c>
      <c r="AE636" s="389" t="str">
        <f t="shared" si="259"/>
        <v>20140101KUUM_378</v>
      </c>
      <c r="AF636" s="437" t="str">
        <f t="shared" si="260"/>
        <v>20140101LS</v>
      </c>
      <c r="AG636" s="438"/>
      <c r="AH636" s="34">
        <f>IF(AH635=MiscData!$AB$91,1,AH635+1)</f>
        <v>19</v>
      </c>
      <c r="AI636" s="34">
        <f>IF(AD636&lt;=MiscData!$B$23,MiscData!$C$23,IF(AD636&lt;=MiscData!$B$24,MiscData!$C$24,MiscData!$C$25))</f>
        <v>20140101</v>
      </c>
      <c r="AK636" s="439" t="str">
        <f>VLOOKUP(AM636,MiscData!$AB$4:$ACB$113,2,FALSE)</f>
        <v>KUUM_378</v>
      </c>
      <c r="AL636" s="439" t="str">
        <f>VLOOKUP(AM636,MiscData!$AB$4:$AE$115,4,FALSE)</f>
        <v>LS</v>
      </c>
      <c r="AM636" s="34">
        <f>IF(AM635=MiscData!$AB$91,1,AM635+1)</f>
        <v>19</v>
      </c>
    </row>
    <row r="637" spans="1:39">
      <c r="A637" s="389">
        <f t="shared" si="263"/>
        <v>636</v>
      </c>
      <c r="B637" s="395" t="str">
        <f t="shared" si="244"/>
        <v>Aug 2014</v>
      </c>
      <c r="C637" s="396" t="str">
        <f t="shared" si="245"/>
        <v>LS</v>
      </c>
      <c r="D637" s="396" t="str">
        <f t="shared" si="246"/>
        <v>KUUM_401</v>
      </c>
      <c r="E637" s="394">
        <f t="shared" si="247"/>
        <v>52</v>
      </c>
      <c r="F637" s="397">
        <v>0</v>
      </c>
      <c r="G637" s="394">
        <f t="shared" si="248"/>
        <v>1174</v>
      </c>
      <c r="H637" s="394">
        <v>0</v>
      </c>
      <c r="I637" s="390">
        <f t="shared" si="249"/>
        <v>14.860000000000001</v>
      </c>
      <c r="J637" s="390">
        <f t="shared" si="250"/>
        <v>0.80000000000000071</v>
      </c>
      <c r="K637" s="391">
        <f t="shared" si="241"/>
        <v>772.72</v>
      </c>
      <c r="L637" s="398">
        <v>0</v>
      </c>
      <c r="M637" s="398">
        <v>0</v>
      </c>
      <c r="N637" s="164">
        <f t="shared" si="243"/>
        <v>772.72</v>
      </c>
      <c r="O637" s="399">
        <f t="shared" si="251"/>
        <v>772.72</v>
      </c>
      <c r="P637" s="392">
        <f t="shared" si="242"/>
        <v>1</v>
      </c>
      <c r="Q637" s="164">
        <f t="shared" si="252"/>
        <v>0.03</v>
      </c>
      <c r="R637" s="164">
        <f t="shared" si="253"/>
        <v>0</v>
      </c>
      <c r="S637" s="164">
        <f t="shared" si="254"/>
        <v>25.02</v>
      </c>
      <c r="T637" s="164">
        <f t="shared" si="255"/>
        <v>0</v>
      </c>
      <c r="U637" s="164">
        <f t="shared" si="256"/>
        <v>797.77</v>
      </c>
      <c r="V637" s="393">
        <f t="shared" si="257"/>
        <v>797.77</v>
      </c>
      <c r="W637" s="393">
        <f t="shared" si="258"/>
        <v>0</v>
      </c>
      <c r="Y637" s="393">
        <f t="shared" si="261"/>
        <v>41.6</v>
      </c>
      <c r="Z637" s="393">
        <f t="shared" si="262"/>
        <v>731.12</v>
      </c>
      <c r="AD637" s="395">
        <f>IF(AH637&gt;AH636,AD636,IF(AD636&lt;MiscData!$F$1,EOMONTH(AD636,1),EOMONTH(AD636,-11)))</f>
        <v>41882</v>
      </c>
      <c r="AE637" s="389" t="str">
        <f t="shared" si="259"/>
        <v>20140101KUUM_401</v>
      </c>
      <c r="AF637" s="437" t="str">
        <f t="shared" si="260"/>
        <v>20140101LS</v>
      </c>
      <c r="AG637" s="438"/>
      <c r="AH637" s="34">
        <f>IF(AH636=MiscData!$AB$91,1,AH636+1)</f>
        <v>20</v>
      </c>
      <c r="AI637" s="34">
        <f>IF(AD637&lt;=MiscData!$B$23,MiscData!$C$23,IF(AD637&lt;=MiscData!$B$24,MiscData!$C$24,MiscData!$C$25))</f>
        <v>20140101</v>
      </c>
      <c r="AK637" s="439" t="str">
        <f>VLOOKUP(AM637,MiscData!$AB$4:$ACB$113,2,FALSE)</f>
        <v>KUUM_401</v>
      </c>
      <c r="AL637" s="439" t="str">
        <f>VLOOKUP(AM637,MiscData!$AB$4:$AE$115,4,FALSE)</f>
        <v>LS</v>
      </c>
      <c r="AM637" s="34">
        <f>IF(AM636=MiscData!$AB$91,1,AM636+1)</f>
        <v>20</v>
      </c>
    </row>
    <row r="638" spans="1:39">
      <c r="A638" s="389">
        <f t="shared" si="263"/>
        <v>637</v>
      </c>
      <c r="B638" s="395" t="str">
        <f t="shared" si="244"/>
        <v>Aug 2014</v>
      </c>
      <c r="C638" s="396" t="str">
        <f t="shared" si="245"/>
        <v>RLS</v>
      </c>
      <c r="D638" s="396" t="str">
        <f t="shared" si="246"/>
        <v>KUUM_404</v>
      </c>
      <c r="E638" s="394">
        <f t="shared" si="247"/>
        <v>7037</v>
      </c>
      <c r="F638" s="397">
        <v>0</v>
      </c>
      <c r="G638" s="394">
        <f t="shared" si="248"/>
        <v>392051</v>
      </c>
      <c r="H638" s="394">
        <v>0</v>
      </c>
      <c r="I638" s="390">
        <f t="shared" si="249"/>
        <v>10.570000000000002</v>
      </c>
      <c r="J638" s="390">
        <f t="shared" si="250"/>
        <v>1.9900000000000002</v>
      </c>
      <c r="K638" s="391">
        <f t="shared" si="241"/>
        <v>74381.09</v>
      </c>
      <c r="L638" s="398">
        <v>-512.52</v>
      </c>
      <c r="M638" s="398">
        <v>0</v>
      </c>
      <c r="N638" s="164">
        <f t="shared" si="243"/>
        <v>73868.569999999992</v>
      </c>
      <c r="O638" s="399">
        <f t="shared" si="251"/>
        <v>73868.569999999992</v>
      </c>
      <c r="P638" s="392">
        <f t="shared" si="242"/>
        <v>1</v>
      </c>
      <c r="Q638" s="164">
        <f t="shared" si="252"/>
        <v>-270.58</v>
      </c>
      <c r="R638" s="164">
        <f t="shared" si="253"/>
        <v>0</v>
      </c>
      <c r="S638" s="164">
        <f t="shared" si="254"/>
        <v>2375.8200000000002</v>
      </c>
      <c r="T638" s="164">
        <f t="shared" si="255"/>
        <v>0</v>
      </c>
      <c r="U638" s="164">
        <f t="shared" si="256"/>
        <v>75973.81</v>
      </c>
      <c r="V638" s="393">
        <f t="shared" si="257"/>
        <v>75973.81</v>
      </c>
      <c r="W638" s="393">
        <f t="shared" si="258"/>
        <v>0</v>
      </c>
      <c r="Y638" s="393">
        <f t="shared" si="261"/>
        <v>14003.63</v>
      </c>
      <c r="Z638" s="393">
        <f t="shared" si="262"/>
        <v>59864.939999999995</v>
      </c>
      <c r="AD638" s="395">
        <f>IF(AH638&gt;AH637,AD637,IF(AD637&lt;MiscData!$F$1,EOMONTH(AD637,1),EOMONTH(AD637,-11)))</f>
        <v>41882</v>
      </c>
      <c r="AE638" s="389" t="str">
        <f t="shared" si="259"/>
        <v>20140101KUUM_404</v>
      </c>
      <c r="AF638" s="437" t="str">
        <f t="shared" si="260"/>
        <v>20140101RLS</v>
      </c>
      <c r="AG638" s="438"/>
      <c r="AH638" s="34">
        <f>IF(AH637=MiscData!$AB$91,1,AH637+1)</f>
        <v>21</v>
      </c>
      <c r="AI638" s="34">
        <f>IF(AD638&lt;=MiscData!$B$23,MiscData!$C$23,IF(AD638&lt;=MiscData!$B$24,MiscData!$C$24,MiscData!$C$25))</f>
        <v>20140101</v>
      </c>
      <c r="AK638" s="439" t="str">
        <f>VLOOKUP(AM638,MiscData!$AB$4:$ACB$113,2,FALSE)</f>
        <v>KUUM_404</v>
      </c>
      <c r="AL638" s="439" t="str">
        <f>VLOOKUP(AM638,MiscData!$AB$4:$AE$115,4,FALSE)</f>
        <v>RLS</v>
      </c>
      <c r="AM638" s="34">
        <f>IF(AM637=MiscData!$AB$91,1,AM637+1)</f>
        <v>21</v>
      </c>
    </row>
    <row r="639" spans="1:39">
      <c r="A639" s="389">
        <f t="shared" si="263"/>
        <v>638</v>
      </c>
      <c r="B639" s="395" t="str">
        <f t="shared" si="244"/>
        <v>Aug 2014</v>
      </c>
      <c r="C639" s="396" t="str">
        <f t="shared" si="245"/>
        <v>RLS</v>
      </c>
      <c r="D639" s="396" t="str">
        <f t="shared" si="246"/>
        <v>KUUM_405</v>
      </c>
      <c r="E639" s="394">
        <f t="shared" si="247"/>
        <v>0</v>
      </c>
      <c r="F639" s="397">
        <v>0</v>
      </c>
      <c r="G639" s="394">
        <f t="shared" si="248"/>
        <v>0</v>
      </c>
      <c r="H639" s="394">
        <v>0</v>
      </c>
      <c r="I639" s="390">
        <f t="shared" si="249"/>
        <v>0</v>
      </c>
      <c r="J639" s="390">
        <f t="shared" si="250"/>
        <v>0</v>
      </c>
      <c r="K639" s="391">
        <f t="shared" si="241"/>
        <v>0</v>
      </c>
      <c r="L639" s="398">
        <v>0</v>
      </c>
      <c r="M639" s="398">
        <v>0</v>
      </c>
      <c r="N639" s="164">
        <f t="shared" si="243"/>
        <v>0</v>
      </c>
      <c r="O639" s="399">
        <f t="shared" si="251"/>
        <v>0</v>
      </c>
      <c r="P639" s="392">
        <f t="shared" si="242"/>
        <v>1</v>
      </c>
      <c r="Q639" s="164">
        <f t="shared" si="252"/>
        <v>0</v>
      </c>
      <c r="R639" s="164">
        <f t="shared" si="253"/>
        <v>0</v>
      </c>
      <c r="S639" s="164">
        <f t="shared" si="254"/>
        <v>0</v>
      </c>
      <c r="T639" s="164">
        <f t="shared" si="255"/>
        <v>0</v>
      </c>
      <c r="U639" s="164">
        <f t="shared" si="256"/>
        <v>0</v>
      </c>
      <c r="V639" s="393">
        <f t="shared" si="257"/>
        <v>0</v>
      </c>
      <c r="W639" s="393">
        <f t="shared" si="258"/>
        <v>0</v>
      </c>
      <c r="Y639" s="393">
        <f t="shared" si="261"/>
        <v>0</v>
      </c>
      <c r="Z639" s="393">
        <f t="shared" si="262"/>
        <v>0</v>
      </c>
      <c r="AD639" s="395">
        <f>IF(AH639&gt;AH638,AD638,IF(AD638&lt;MiscData!$F$1,EOMONTH(AD638,1),EOMONTH(AD638,-11)))</f>
        <v>41882</v>
      </c>
      <c r="AE639" s="389" t="str">
        <f t="shared" si="259"/>
        <v>20140101KUUM_405</v>
      </c>
      <c r="AF639" s="437" t="str">
        <f t="shared" si="260"/>
        <v>20140101RLS</v>
      </c>
      <c r="AG639" s="438"/>
      <c r="AH639" s="34">
        <f>IF(AH638=MiscData!$AB$91,1,AH638+1)</f>
        <v>22</v>
      </c>
      <c r="AI639" s="34">
        <f>IF(AD639&lt;=MiscData!$B$23,MiscData!$C$23,IF(AD639&lt;=MiscData!$B$24,MiscData!$C$24,MiscData!$C$25))</f>
        <v>20140101</v>
      </c>
      <c r="AK639" s="439" t="str">
        <f>VLOOKUP(AM639,MiscData!$AB$4:$ACB$113,2,FALSE)</f>
        <v>KUUM_405</v>
      </c>
      <c r="AL639" s="439" t="str">
        <f>VLOOKUP(AM639,MiscData!$AB$4:$AE$115,4,FALSE)</f>
        <v>RLS</v>
      </c>
      <c r="AM639" s="34">
        <f>IF(AM638=MiscData!$AB$91,1,AM638+1)</f>
        <v>22</v>
      </c>
    </row>
    <row r="640" spans="1:39">
      <c r="A640" s="389">
        <f t="shared" si="263"/>
        <v>639</v>
      </c>
      <c r="B640" s="395" t="str">
        <f t="shared" si="244"/>
        <v>Aug 2014</v>
      </c>
      <c r="C640" s="396" t="str">
        <f t="shared" si="245"/>
        <v>LS</v>
      </c>
      <c r="D640" s="396" t="str">
        <f t="shared" si="246"/>
        <v>KUUM_407</v>
      </c>
      <c r="E640" s="394">
        <f t="shared" si="247"/>
        <v>0</v>
      </c>
      <c r="F640" s="397">
        <v>0</v>
      </c>
      <c r="G640" s="394">
        <f t="shared" si="248"/>
        <v>0</v>
      </c>
      <c r="H640" s="394">
        <v>0</v>
      </c>
      <c r="I640" s="390">
        <f t="shared" si="249"/>
        <v>0</v>
      </c>
      <c r="J640" s="390">
        <f t="shared" si="250"/>
        <v>0</v>
      </c>
      <c r="K640" s="391">
        <f t="shared" si="241"/>
        <v>0</v>
      </c>
      <c r="L640" s="398">
        <v>0</v>
      </c>
      <c r="M640" s="398">
        <v>0</v>
      </c>
      <c r="N640" s="164">
        <f t="shared" si="243"/>
        <v>0</v>
      </c>
      <c r="O640" s="399">
        <f t="shared" si="251"/>
        <v>0</v>
      </c>
      <c r="P640" s="392">
        <f t="shared" si="242"/>
        <v>1</v>
      </c>
      <c r="Q640" s="164">
        <f t="shared" si="252"/>
        <v>0</v>
      </c>
      <c r="R640" s="164">
        <f t="shared" si="253"/>
        <v>0</v>
      </c>
      <c r="S640" s="164">
        <f t="shared" si="254"/>
        <v>0</v>
      </c>
      <c r="T640" s="164">
        <f t="shared" si="255"/>
        <v>0</v>
      </c>
      <c r="U640" s="164">
        <f t="shared" si="256"/>
        <v>0</v>
      </c>
      <c r="V640" s="393">
        <f t="shared" si="257"/>
        <v>0</v>
      </c>
      <c r="W640" s="393">
        <f t="shared" si="258"/>
        <v>0</v>
      </c>
      <c r="Y640" s="393">
        <f t="shared" si="261"/>
        <v>0</v>
      </c>
      <c r="Z640" s="393">
        <f t="shared" si="262"/>
        <v>0</v>
      </c>
      <c r="AD640" s="395">
        <f>IF(AH640&gt;AH639,AD639,IF(AD639&lt;MiscData!$F$1,EOMONTH(AD639,1),EOMONTH(AD639,-11)))</f>
        <v>41882</v>
      </c>
      <c r="AE640" s="389" t="str">
        <f t="shared" si="259"/>
        <v>20140101KUUM_407</v>
      </c>
      <c r="AF640" s="437" t="str">
        <f t="shared" si="260"/>
        <v>20140101LS</v>
      </c>
      <c r="AG640" s="438"/>
      <c r="AH640" s="34">
        <f>IF(AH639=MiscData!$AB$91,1,AH639+1)</f>
        <v>23</v>
      </c>
      <c r="AI640" s="34">
        <f>IF(AD640&lt;=MiscData!$B$23,MiscData!$C$23,IF(AD640&lt;=MiscData!$B$24,MiscData!$C$24,MiscData!$C$25))</f>
        <v>20140101</v>
      </c>
      <c r="AK640" s="439" t="str">
        <f>VLOOKUP(AM640,MiscData!$AB$4:$ACB$113,2,FALSE)</f>
        <v>KUUM_407</v>
      </c>
      <c r="AL640" s="439" t="str">
        <f>VLOOKUP(AM640,MiscData!$AB$4:$AE$115,4,FALSE)</f>
        <v>LS</v>
      </c>
      <c r="AM640" s="34">
        <f>IF(AM639=MiscData!$AB$91,1,AM639+1)</f>
        <v>23</v>
      </c>
    </row>
    <row r="641" spans="1:39">
      <c r="A641" s="389">
        <f t="shared" si="263"/>
        <v>640</v>
      </c>
      <c r="B641" s="395" t="str">
        <f t="shared" si="244"/>
        <v>Aug 2014</v>
      </c>
      <c r="C641" s="396" t="str">
        <f t="shared" si="245"/>
        <v>RLS</v>
      </c>
      <c r="D641" s="396" t="str">
        <f t="shared" si="246"/>
        <v>KUUM_409</v>
      </c>
      <c r="E641" s="394">
        <f t="shared" si="247"/>
        <v>137</v>
      </c>
      <c r="F641" s="397">
        <v>0</v>
      </c>
      <c r="G641" s="394">
        <f t="shared" si="248"/>
        <v>17675</v>
      </c>
      <c r="H641" s="394">
        <v>0</v>
      </c>
      <c r="I641" s="390">
        <f t="shared" si="249"/>
        <v>11.71</v>
      </c>
      <c r="J641" s="390">
        <f t="shared" si="250"/>
        <v>4.5299999999999994</v>
      </c>
      <c r="K641" s="391">
        <f t="shared" si="241"/>
        <v>1604.27</v>
      </c>
      <c r="L641" s="398">
        <v>-6.64</v>
      </c>
      <c r="M641" s="398">
        <v>0</v>
      </c>
      <c r="N641" s="164">
        <f t="shared" si="243"/>
        <v>1597.6299999999999</v>
      </c>
      <c r="O641" s="399">
        <f t="shared" si="251"/>
        <v>1597.6299999999999</v>
      </c>
      <c r="P641" s="392">
        <f t="shared" si="242"/>
        <v>1</v>
      </c>
      <c r="Q641" s="164">
        <f t="shared" si="252"/>
        <v>-4.92</v>
      </c>
      <c r="R641" s="164">
        <f t="shared" si="253"/>
        <v>0</v>
      </c>
      <c r="S641" s="164">
        <f t="shared" si="254"/>
        <v>51.4</v>
      </c>
      <c r="T641" s="164">
        <f t="shared" si="255"/>
        <v>0</v>
      </c>
      <c r="U641" s="164">
        <f t="shared" si="256"/>
        <v>1644.11</v>
      </c>
      <c r="V641" s="393">
        <f t="shared" si="257"/>
        <v>1644.11</v>
      </c>
      <c r="W641" s="393">
        <f t="shared" si="258"/>
        <v>0</v>
      </c>
      <c r="Y641" s="393">
        <f t="shared" si="261"/>
        <v>620.61</v>
      </c>
      <c r="Z641" s="393">
        <f t="shared" si="262"/>
        <v>977.01999999999987</v>
      </c>
      <c r="AD641" s="395">
        <f>IF(AH641&gt;AH640,AD640,IF(AD640&lt;MiscData!$F$1,EOMONTH(AD640,1),EOMONTH(AD640,-11)))</f>
        <v>41882</v>
      </c>
      <c r="AE641" s="389" t="str">
        <f t="shared" si="259"/>
        <v>20140101KUUM_409</v>
      </c>
      <c r="AF641" s="437" t="str">
        <f t="shared" si="260"/>
        <v>20140101RLS</v>
      </c>
      <c r="AG641" s="438"/>
      <c r="AH641" s="34">
        <f>IF(AH640=MiscData!$AB$91,1,AH640+1)</f>
        <v>24</v>
      </c>
      <c r="AI641" s="34">
        <f>IF(AD641&lt;=MiscData!$B$23,MiscData!$C$23,IF(AD641&lt;=MiscData!$B$24,MiscData!$C$24,MiscData!$C$25))</f>
        <v>20140101</v>
      </c>
      <c r="AK641" s="439" t="str">
        <f>VLOOKUP(AM641,MiscData!$AB$4:$ACB$113,2,FALSE)</f>
        <v>KUUM_409</v>
      </c>
      <c r="AL641" s="439" t="str">
        <f>VLOOKUP(AM641,MiscData!$AB$4:$AE$115,4,FALSE)</f>
        <v>RLS</v>
      </c>
      <c r="AM641" s="34">
        <f>IF(AM640=MiscData!$AB$91,1,AM640+1)</f>
        <v>24</v>
      </c>
    </row>
    <row r="642" spans="1:39">
      <c r="A642" s="389">
        <f t="shared" si="263"/>
        <v>641</v>
      </c>
      <c r="B642" s="395" t="str">
        <f t="shared" si="244"/>
        <v>Aug 2014</v>
      </c>
      <c r="C642" s="396" t="str">
        <f t="shared" si="245"/>
        <v>RLS</v>
      </c>
      <c r="D642" s="396" t="str">
        <f t="shared" si="246"/>
        <v>KUUM_410</v>
      </c>
      <c r="E642" s="394">
        <f t="shared" si="247"/>
        <v>240</v>
      </c>
      <c r="F642" s="397">
        <v>0</v>
      </c>
      <c r="G642" s="394">
        <f t="shared" si="248"/>
        <v>3860</v>
      </c>
      <c r="H642" s="394">
        <v>0</v>
      </c>
      <c r="I642" s="390">
        <f t="shared" si="249"/>
        <v>20.259999999999998</v>
      </c>
      <c r="J642" s="390">
        <f t="shared" si="250"/>
        <v>0.57000000000000028</v>
      </c>
      <c r="K642" s="391">
        <f t="shared" si="241"/>
        <v>4862.3999999999996</v>
      </c>
      <c r="L642" s="398">
        <v>0</v>
      </c>
      <c r="M642" s="398">
        <v>0</v>
      </c>
      <c r="N642" s="164">
        <f t="shared" si="243"/>
        <v>4862.3999999999996</v>
      </c>
      <c r="O642" s="399">
        <f t="shared" si="251"/>
        <v>4862.3999999999996</v>
      </c>
      <c r="P642" s="392">
        <f t="shared" si="242"/>
        <v>1</v>
      </c>
      <c r="Q642" s="164">
        <f t="shared" si="252"/>
        <v>-2.97</v>
      </c>
      <c r="R642" s="164">
        <f t="shared" si="253"/>
        <v>0</v>
      </c>
      <c r="S642" s="164">
        <f t="shared" si="254"/>
        <v>155.99</v>
      </c>
      <c r="T642" s="164">
        <f t="shared" si="255"/>
        <v>0</v>
      </c>
      <c r="U642" s="164">
        <f t="shared" si="256"/>
        <v>5015.42</v>
      </c>
      <c r="V642" s="393">
        <f t="shared" si="257"/>
        <v>5015.4199999999992</v>
      </c>
      <c r="W642" s="393">
        <f t="shared" si="258"/>
        <v>0</v>
      </c>
      <c r="Y642" s="393">
        <f t="shared" si="261"/>
        <v>136.80000000000001</v>
      </c>
      <c r="Z642" s="393">
        <f t="shared" si="262"/>
        <v>4725.5999999999995</v>
      </c>
      <c r="AD642" s="395">
        <f>IF(AH642&gt;AH641,AD641,IF(AD641&lt;MiscData!$F$1,EOMONTH(AD641,1),EOMONTH(AD641,-11)))</f>
        <v>41882</v>
      </c>
      <c r="AE642" s="389" t="str">
        <f t="shared" si="259"/>
        <v>20140101KUUM_410</v>
      </c>
      <c r="AF642" s="437" t="str">
        <f t="shared" si="260"/>
        <v>20140101RLS</v>
      </c>
      <c r="AG642" s="438"/>
      <c r="AH642" s="34">
        <f>IF(AH641=MiscData!$AB$91,1,AH641+1)</f>
        <v>25</v>
      </c>
      <c r="AI642" s="34">
        <f>IF(AD642&lt;=MiscData!$B$23,MiscData!$C$23,IF(AD642&lt;=MiscData!$B$24,MiscData!$C$24,MiscData!$C$25))</f>
        <v>20140101</v>
      </c>
      <c r="AK642" s="439" t="str">
        <f>VLOOKUP(AM642,MiscData!$AB$4:$ACB$113,2,FALSE)</f>
        <v>KUUM_410</v>
      </c>
      <c r="AL642" s="439" t="str">
        <f>VLOOKUP(AM642,MiscData!$AB$4:$AE$115,4,FALSE)</f>
        <v>RLS</v>
      </c>
      <c r="AM642" s="34">
        <f>IF(AM641=MiscData!$AB$91,1,AM641+1)</f>
        <v>25</v>
      </c>
    </row>
    <row r="643" spans="1:39">
      <c r="A643" s="389">
        <f t="shared" si="263"/>
        <v>642</v>
      </c>
      <c r="B643" s="395" t="str">
        <f t="shared" si="244"/>
        <v>Aug 2014</v>
      </c>
      <c r="C643" s="396" t="str">
        <f t="shared" si="245"/>
        <v>LS</v>
      </c>
      <c r="D643" s="396" t="str">
        <f t="shared" si="246"/>
        <v>KUUM_411</v>
      </c>
      <c r="E643" s="394">
        <f t="shared" si="247"/>
        <v>150</v>
      </c>
      <c r="F643" s="397">
        <v>0</v>
      </c>
      <c r="G643" s="394">
        <f t="shared" si="248"/>
        <v>3320</v>
      </c>
      <c r="H643" s="394">
        <v>0</v>
      </c>
      <c r="I643" s="390">
        <f t="shared" si="249"/>
        <v>21.38</v>
      </c>
      <c r="J643" s="390">
        <f t="shared" si="250"/>
        <v>0.79999999999999716</v>
      </c>
      <c r="K643" s="391">
        <f t="shared" ref="K643:K706" si="264">ROUND(($E643+$F643)*$I643,2)</f>
        <v>3207</v>
      </c>
      <c r="L643" s="398">
        <v>0</v>
      </c>
      <c r="M643" s="398">
        <v>0</v>
      </c>
      <c r="N643" s="164">
        <f t="shared" si="243"/>
        <v>3207</v>
      </c>
      <c r="O643" s="399">
        <f t="shared" si="251"/>
        <v>3207</v>
      </c>
      <c r="P643" s="392">
        <f t="shared" ref="P643:P706" si="265">IF(AND(N643=0,O643=0),1,IF(N643=0,0,ROUND(O643/N643,6)))</f>
        <v>1</v>
      </c>
      <c r="Q643" s="164">
        <f t="shared" si="252"/>
        <v>-2.56</v>
      </c>
      <c r="R643" s="164">
        <f t="shared" si="253"/>
        <v>0</v>
      </c>
      <c r="S643" s="164">
        <f t="shared" si="254"/>
        <v>102.87</v>
      </c>
      <c r="T643" s="164">
        <f t="shared" si="255"/>
        <v>0</v>
      </c>
      <c r="U643" s="164">
        <f t="shared" si="256"/>
        <v>3307.31</v>
      </c>
      <c r="V643" s="393">
        <f t="shared" si="257"/>
        <v>3307.31</v>
      </c>
      <c r="W643" s="393">
        <f t="shared" si="258"/>
        <v>0</v>
      </c>
      <c r="Y643" s="393">
        <f t="shared" si="261"/>
        <v>120</v>
      </c>
      <c r="Z643" s="393">
        <f t="shared" si="262"/>
        <v>3087</v>
      </c>
      <c r="AD643" s="395">
        <f>IF(AH643&gt;AH642,AD642,IF(AD642&lt;MiscData!$F$1,EOMONTH(AD642,1),EOMONTH(AD642,-11)))</f>
        <v>41882</v>
      </c>
      <c r="AE643" s="389" t="str">
        <f t="shared" si="259"/>
        <v>20140101KUUM_411</v>
      </c>
      <c r="AF643" s="437" t="str">
        <f t="shared" si="260"/>
        <v>20140101LS</v>
      </c>
      <c r="AG643" s="438"/>
      <c r="AH643" s="34">
        <f>IF(AH642=MiscData!$AB$91,1,AH642+1)</f>
        <v>26</v>
      </c>
      <c r="AI643" s="34">
        <f>IF(AD643&lt;=MiscData!$B$23,MiscData!$C$23,IF(AD643&lt;=MiscData!$B$24,MiscData!$C$24,MiscData!$C$25))</f>
        <v>20140101</v>
      </c>
      <c r="AK643" s="439" t="str">
        <f>VLOOKUP(AM643,MiscData!$AB$4:$ACB$113,2,FALSE)</f>
        <v>KUUM_411</v>
      </c>
      <c r="AL643" s="439" t="str">
        <f>VLOOKUP(AM643,MiscData!$AB$4:$AE$115,4,FALSE)</f>
        <v>LS</v>
      </c>
      <c r="AM643" s="34">
        <f>IF(AM642=MiscData!$AB$91,1,AM642+1)</f>
        <v>26</v>
      </c>
    </row>
    <row r="644" spans="1:39">
      <c r="A644" s="389">
        <f t="shared" si="263"/>
        <v>643</v>
      </c>
      <c r="B644" s="395" t="str">
        <f t="shared" si="244"/>
        <v>Aug 2014</v>
      </c>
      <c r="C644" s="396" t="str">
        <f t="shared" si="245"/>
        <v>RLS</v>
      </c>
      <c r="D644" s="396" t="str">
        <f t="shared" si="246"/>
        <v>KUUM_412</v>
      </c>
      <c r="E644" s="394">
        <f t="shared" si="247"/>
        <v>28</v>
      </c>
      <c r="F644" s="397">
        <v>0</v>
      </c>
      <c r="G644" s="394">
        <f t="shared" si="248"/>
        <v>614</v>
      </c>
      <c r="H644" s="394">
        <v>0</v>
      </c>
      <c r="I644" s="390">
        <f t="shared" si="249"/>
        <v>30.84</v>
      </c>
      <c r="J644" s="390">
        <f t="shared" si="250"/>
        <v>0.79999999999999716</v>
      </c>
      <c r="K644" s="391">
        <f t="shared" si="264"/>
        <v>863.52</v>
      </c>
      <c r="L644" s="398">
        <v>0</v>
      </c>
      <c r="M644" s="398">
        <v>0</v>
      </c>
      <c r="N644" s="164">
        <f t="shared" si="243"/>
        <v>863.52</v>
      </c>
      <c r="O644" s="399">
        <f t="shared" si="251"/>
        <v>863.52</v>
      </c>
      <c r="P644" s="392">
        <f t="shared" si="265"/>
        <v>1</v>
      </c>
      <c r="Q644" s="164">
        <f t="shared" si="252"/>
        <v>-0.47</v>
      </c>
      <c r="R644" s="164">
        <f t="shared" si="253"/>
        <v>0</v>
      </c>
      <c r="S644" s="164">
        <f t="shared" si="254"/>
        <v>27.7</v>
      </c>
      <c r="T644" s="164">
        <f t="shared" si="255"/>
        <v>0</v>
      </c>
      <c r="U644" s="164">
        <f t="shared" si="256"/>
        <v>890.75</v>
      </c>
      <c r="V644" s="393">
        <f t="shared" si="257"/>
        <v>890.75</v>
      </c>
      <c r="W644" s="393">
        <f t="shared" si="258"/>
        <v>0</v>
      </c>
      <c r="Y644" s="393">
        <f t="shared" si="261"/>
        <v>22.4</v>
      </c>
      <c r="Z644" s="393">
        <f t="shared" si="262"/>
        <v>841.12</v>
      </c>
      <c r="AD644" s="395">
        <f>IF(AH644&gt;AH643,AD643,IF(AD643&lt;MiscData!$F$1,EOMONTH(AD643,1),EOMONTH(AD643,-11)))</f>
        <v>41882</v>
      </c>
      <c r="AE644" s="389" t="str">
        <f t="shared" si="259"/>
        <v>20140101KUUM_412</v>
      </c>
      <c r="AF644" s="437" t="str">
        <f t="shared" si="260"/>
        <v>20140101RLS</v>
      </c>
      <c r="AG644" s="438"/>
      <c r="AH644" s="34">
        <f>IF(AH643=MiscData!$AB$91,1,AH643+1)</f>
        <v>27</v>
      </c>
      <c r="AI644" s="34">
        <f>IF(AD644&lt;=MiscData!$B$23,MiscData!$C$23,IF(AD644&lt;=MiscData!$B$24,MiscData!$C$24,MiscData!$C$25))</f>
        <v>20140101</v>
      </c>
      <c r="AK644" s="439" t="str">
        <f>VLOOKUP(AM644,MiscData!$AB$4:$ACB$113,2,FALSE)</f>
        <v>KUUM_412</v>
      </c>
      <c r="AL644" s="439" t="str">
        <f>VLOOKUP(AM644,MiscData!$AB$4:$AE$115,4,FALSE)</f>
        <v>RLS</v>
      </c>
      <c r="AM644" s="34">
        <f>IF(AM643=MiscData!$AB$91,1,AM643+1)</f>
        <v>27</v>
      </c>
    </row>
    <row r="645" spans="1:39">
      <c r="A645" s="389">
        <f t="shared" si="263"/>
        <v>644</v>
      </c>
      <c r="B645" s="395" t="str">
        <f t="shared" si="244"/>
        <v>Aug 2014</v>
      </c>
      <c r="C645" s="396" t="str">
        <f t="shared" si="245"/>
        <v>RLS</v>
      </c>
      <c r="D645" s="396" t="str">
        <f t="shared" si="246"/>
        <v>KUUM_413</v>
      </c>
      <c r="E645" s="394">
        <f t="shared" si="247"/>
        <v>96</v>
      </c>
      <c r="F645" s="397">
        <v>0</v>
      </c>
      <c r="G645" s="394">
        <f t="shared" si="248"/>
        <v>2982</v>
      </c>
      <c r="H645" s="394">
        <v>0</v>
      </c>
      <c r="I645" s="390">
        <f t="shared" si="249"/>
        <v>31.22</v>
      </c>
      <c r="J645" s="390">
        <f t="shared" si="250"/>
        <v>1.129999999999999</v>
      </c>
      <c r="K645" s="391">
        <f t="shared" si="264"/>
        <v>2997.12</v>
      </c>
      <c r="L645" s="398">
        <v>0</v>
      </c>
      <c r="M645" s="398">
        <v>0</v>
      </c>
      <c r="N645" s="164">
        <f t="shared" si="243"/>
        <v>2997.12</v>
      </c>
      <c r="O645" s="399">
        <f t="shared" si="251"/>
        <v>2997.12</v>
      </c>
      <c r="P645" s="392">
        <f t="shared" si="265"/>
        <v>1</v>
      </c>
      <c r="Q645" s="164">
        <f t="shared" si="252"/>
        <v>-2.2999999999999998</v>
      </c>
      <c r="R645" s="164">
        <f t="shared" si="253"/>
        <v>0</v>
      </c>
      <c r="S645" s="164">
        <f t="shared" si="254"/>
        <v>96.14</v>
      </c>
      <c r="T645" s="164">
        <f t="shared" si="255"/>
        <v>0</v>
      </c>
      <c r="U645" s="164">
        <f t="shared" si="256"/>
        <v>3090.96</v>
      </c>
      <c r="V645" s="393">
        <f t="shared" si="257"/>
        <v>3090.9599999999996</v>
      </c>
      <c r="W645" s="393">
        <f t="shared" si="258"/>
        <v>0</v>
      </c>
      <c r="Y645" s="393">
        <f t="shared" si="261"/>
        <v>108.48</v>
      </c>
      <c r="Z645" s="393">
        <f t="shared" si="262"/>
        <v>2888.64</v>
      </c>
      <c r="AD645" s="395">
        <f>IF(AH645&gt;AH644,AD644,IF(AD644&lt;MiscData!$F$1,EOMONTH(AD644,1),EOMONTH(AD644,-11)))</f>
        <v>41882</v>
      </c>
      <c r="AE645" s="389" t="str">
        <f t="shared" si="259"/>
        <v>20140101KUUM_413</v>
      </c>
      <c r="AF645" s="437" t="str">
        <f t="shared" si="260"/>
        <v>20140101RLS</v>
      </c>
      <c r="AG645" s="438"/>
      <c r="AH645" s="34">
        <f>IF(AH644=MiscData!$AB$91,1,AH644+1)</f>
        <v>28</v>
      </c>
      <c r="AI645" s="34">
        <f>IF(AD645&lt;=MiscData!$B$23,MiscData!$C$23,IF(AD645&lt;=MiscData!$B$24,MiscData!$C$24,MiscData!$C$25))</f>
        <v>20140101</v>
      </c>
      <c r="AK645" s="439" t="str">
        <f>VLOOKUP(AM645,MiscData!$AB$4:$ACB$113,2,FALSE)</f>
        <v>KUUM_413</v>
      </c>
      <c r="AL645" s="439" t="str">
        <f>VLOOKUP(AM645,MiscData!$AB$4:$AE$115,4,FALSE)</f>
        <v>RLS</v>
      </c>
      <c r="AM645" s="34">
        <f>IF(AM644=MiscData!$AB$91,1,AM644+1)</f>
        <v>28</v>
      </c>
    </row>
    <row r="646" spans="1:39">
      <c r="A646" s="389">
        <f t="shared" si="263"/>
        <v>645</v>
      </c>
      <c r="B646" s="395" t="str">
        <f t="shared" si="244"/>
        <v>Aug 2014</v>
      </c>
      <c r="C646" s="396" t="str">
        <f t="shared" si="245"/>
        <v>LS</v>
      </c>
      <c r="D646" s="396" t="str">
        <f t="shared" si="246"/>
        <v>KUUM_414</v>
      </c>
      <c r="E646" s="394">
        <f t="shared" si="247"/>
        <v>21</v>
      </c>
      <c r="F646" s="397">
        <v>0</v>
      </c>
      <c r="G646" s="394">
        <f t="shared" si="248"/>
        <v>490</v>
      </c>
      <c r="H646" s="394">
        <v>0</v>
      </c>
      <c r="I646" s="390">
        <f t="shared" si="249"/>
        <v>30.84</v>
      </c>
      <c r="J646" s="390">
        <f t="shared" si="250"/>
        <v>0.79999999999999716</v>
      </c>
      <c r="K646" s="391">
        <f t="shared" si="264"/>
        <v>647.64</v>
      </c>
      <c r="L646" s="398">
        <v>0</v>
      </c>
      <c r="M646" s="398">
        <v>0</v>
      </c>
      <c r="N646" s="164">
        <f t="shared" si="243"/>
        <v>647.64</v>
      </c>
      <c r="O646" s="399">
        <f t="shared" si="251"/>
        <v>647.64</v>
      </c>
      <c r="P646" s="392">
        <f t="shared" si="265"/>
        <v>1</v>
      </c>
      <c r="Q646" s="164">
        <f t="shared" si="252"/>
        <v>1.25</v>
      </c>
      <c r="R646" s="164">
        <f t="shared" si="253"/>
        <v>0</v>
      </c>
      <c r="S646" s="164">
        <f t="shared" si="254"/>
        <v>21.61</v>
      </c>
      <c r="T646" s="164">
        <f t="shared" si="255"/>
        <v>0</v>
      </c>
      <c r="U646" s="164">
        <f t="shared" si="256"/>
        <v>670.5</v>
      </c>
      <c r="V646" s="393">
        <f t="shared" si="257"/>
        <v>670.5</v>
      </c>
      <c r="W646" s="393">
        <f t="shared" si="258"/>
        <v>0</v>
      </c>
      <c r="Y646" s="393">
        <f t="shared" si="261"/>
        <v>16.8</v>
      </c>
      <c r="Z646" s="393">
        <f t="shared" si="262"/>
        <v>630.84</v>
      </c>
      <c r="AD646" s="395">
        <f>IF(AH646&gt;AH645,AD645,IF(AD645&lt;MiscData!$F$1,EOMONTH(AD645,1),EOMONTH(AD645,-11)))</f>
        <v>41882</v>
      </c>
      <c r="AE646" s="389" t="str">
        <f t="shared" si="259"/>
        <v>20140101KUUM_414</v>
      </c>
      <c r="AF646" s="437" t="str">
        <f t="shared" si="260"/>
        <v>20140101LS</v>
      </c>
      <c r="AG646" s="438"/>
      <c r="AH646" s="34">
        <f>IF(AH645=MiscData!$AB$91,1,AH645+1)</f>
        <v>29</v>
      </c>
      <c r="AI646" s="34">
        <f>IF(AD646&lt;=MiscData!$B$23,MiscData!$C$23,IF(AD646&lt;=MiscData!$B$24,MiscData!$C$24,MiscData!$C$25))</f>
        <v>20140101</v>
      </c>
      <c r="AK646" s="439" t="str">
        <f>VLOOKUP(AM646,MiscData!$AB$4:$ACB$113,2,FALSE)</f>
        <v>KUUM_414</v>
      </c>
      <c r="AL646" s="439" t="str">
        <f>VLOOKUP(AM646,MiscData!$AB$4:$AE$115,4,FALSE)</f>
        <v>LS</v>
      </c>
      <c r="AM646" s="34">
        <f>IF(AM645=MiscData!$AB$91,1,AM645+1)</f>
        <v>29</v>
      </c>
    </row>
    <row r="647" spans="1:39">
      <c r="A647" s="389">
        <f t="shared" si="263"/>
        <v>646</v>
      </c>
      <c r="B647" s="395" t="str">
        <f t="shared" si="244"/>
        <v>Aug 2014</v>
      </c>
      <c r="C647" s="396" t="str">
        <f t="shared" si="245"/>
        <v>LS</v>
      </c>
      <c r="D647" s="396" t="str">
        <f t="shared" si="246"/>
        <v>KUUM_415</v>
      </c>
      <c r="E647" s="394">
        <f t="shared" si="247"/>
        <v>10</v>
      </c>
      <c r="F647" s="397">
        <v>0</v>
      </c>
      <c r="G647" s="394">
        <f t="shared" si="248"/>
        <v>329</v>
      </c>
      <c r="H647" s="394">
        <v>2493</v>
      </c>
      <c r="I647" s="390">
        <f t="shared" si="249"/>
        <v>31.22</v>
      </c>
      <c r="J647" s="390">
        <f t="shared" si="250"/>
        <v>1.129999999999999</v>
      </c>
      <c r="K647" s="391">
        <f t="shared" si="264"/>
        <v>312.2</v>
      </c>
      <c r="L647" s="398">
        <v>0</v>
      </c>
      <c r="M647" s="398">
        <v>0</v>
      </c>
      <c r="N647" s="164">
        <f t="shared" si="243"/>
        <v>312.2</v>
      </c>
      <c r="O647" s="399">
        <f t="shared" si="251"/>
        <v>312.2</v>
      </c>
      <c r="P647" s="392">
        <f t="shared" si="265"/>
        <v>1</v>
      </c>
      <c r="Q647" s="164">
        <f t="shared" si="252"/>
        <v>0.84</v>
      </c>
      <c r="R647" s="164">
        <f t="shared" si="253"/>
        <v>0</v>
      </c>
      <c r="S647" s="164">
        <f t="shared" si="254"/>
        <v>10.42</v>
      </c>
      <c r="T647" s="164">
        <f t="shared" si="255"/>
        <v>0</v>
      </c>
      <c r="U647" s="164">
        <f t="shared" si="256"/>
        <v>323.45999999999998</v>
      </c>
      <c r="V647" s="393">
        <f t="shared" si="257"/>
        <v>323.45999999999998</v>
      </c>
      <c r="W647" s="393">
        <f t="shared" si="258"/>
        <v>0</v>
      </c>
      <c r="Y647" s="393">
        <f t="shared" si="261"/>
        <v>11.3</v>
      </c>
      <c r="Z647" s="393">
        <f t="shared" si="262"/>
        <v>300.89999999999998</v>
      </c>
      <c r="AD647" s="395">
        <f>IF(AH647&gt;AH646,AD646,IF(AD646&lt;MiscData!$F$1,EOMONTH(AD646,1),EOMONTH(AD646,-11)))</f>
        <v>41882</v>
      </c>
      <c r="AE647" s="389" t="str">
        <f t="shared" si="259"/>
        <v>20140101KUUM_415</v>
      </c>
      <c r="AF647" s="437" t="str">
        <f t="shared" si="260"/>
        <v>20140101LS</v>
      </c>
      <c r="AG647" s="438"/>
      <c r="AH647" s="34">
        <f>IF(AH646=MiscData!$AB$91,1,AH646+1)</f>
        <v>30</v>
      </c>
      <c r="AI647" s="34">
        <f>IF(AD647&lt;=MiscData!$B$23,MiscData!$C$23,IF(AD647&lt;=MiscData!$B$24,MiscData!$C$24,MiscData!$C$25))</f>
        <v>20140101</v>
      </c>
      <c r="AK647" s="439" t="str">
        <f>VLOOKUP(AM647,MiscData!$AB$4:$ACB$113,2,FALSE)</f>
        <v>KUUM_415</v>
      </c>
      <c r="AL647" s="439" t="str">
        <f>VLOOKUP(AM647,MiscData!$AB$4:$AE$115,4,FALSE)</f>
        <v>LS</v>
      </c>
      <c r="AM647" s="34">
        <f>IF(AM646=MiscData!$AB$91,1,AM646+1)</f>
        <v>30</v>
      </c>
    </row>
    <row r="648" spans="1:39">
      <c r="A648" s="389">
        <f t="shared" si="263"/>
        <v>647</v>
      </c>
      <c r="B648" s="395" t="str">
        <f t="shared" si="244"/>
        <v>Aug 2014</v>
      </c>
      <c r="C648" s="396" t="str">
        <f t="shared" si="245"/>
        <v>LS</v>
      </c>
      <c r="D648" s="396" t="str">
        <f t="shared" si="246"/>
        <v>KUUM_420</v>
      </c>
      <c r="E648" s="394">
        <f t="shared" si="247"/>
        <v>510</v>
      </c>
      <c r="F648" s="397">
        <v>0</v>
      </c>
      <c r="G648" s="394">
        <f t="shared" si="248"/>
        <v>16515</v>
      </c>
      <c r="H648" s="394">
        <v>0</v>
      </c>
      <c r="I648" s="390">
        <f t="shared" si="249"/>
        <v>15.360000000000001</v>
      </c>
      <c r="J648" s="390">
        <f t="shared" si="250"/>
        <v>1.1300000000000008</v>
      </c>
      <c r="K648" s="391">
        <f t="shared" si="264"/>
        <v>7833.6</v>
      </c>
      <c r="L648" s="398">
        <v>253.44</v>
      </c>
      <c r="M648" s="398">
        <v>0</v>
      </c>
      <c r="N648" s="164">
        <f t="shared" si="243"/>
        <v>8087.04</v>
      </c>
      <c r="O648" s="399">
        <f t="shared" si="251"/>
        <v>8087.04</v>
      </c>
      <c r="P648" s="392">
        <f t="shared" si="265"/>
        <v>1</v>
      </c>
      <c r="Q648" s="164">
        <f t="shared" si="252"/>
        <v>-0.05</v>
      </c>
      <c r="R648" s="164">
        <f t="shared" si="253"/>
        <v>0</v>
      </c>
      <c r="S648" s="164">
        <f t="shared" si="254"/>
        <v>261.69</v>
      </c>
      <c r="T648" s="164">
        <f t="shared" si="255"/>
        <v>0</v>
      </c>
      <c r="U648" s="164">
        <f t="shared" si="256"/>
        <v>8348.68</v>
      </c>
      <c r="V648" s="393">
        <f t="shared" si="257"/>
        <v>8348.68</v>
      </c>
      <c r="W648" s="393">
        <f t="shared" si="258"/>
        <v>0</v>
      </c>
      <c r="Y648" s="393">
        <f t="shared" si="261"/>
        <v>576.29999999999995</v>
      </c>
      <c r="Z648" s="393">
        <f t="shared" si="262"/>
        <v>7510.74</v>
      </c>
      <c r="AD648" s="395">
        <f>IF(AH648&gt;AH647,AD647,IF(AD647&lt;MiscData!$F$1,EOMONTH(AD647,1),EOMONTH(AD647,-11)))</f>
        <v>41882</v>
      </c>
      <c r="AE648" s="389" t="str">
        <f t="shared" si="259"/>
        <v>20140101KUUM_420</v>
      </c>
      <c r="AF648" s="437" t="str">
        <f t="shared" si="260"/>
        <v>20140101LS</v>
      </c>
      <c r="AG648" s="438"/>
      <c r="AH648" s="34">
        <f>IF(AH647=MiscData!$AB$91,1,AH647+1)</f>
        <v>31</v>
      </c>
      <c r="AI648" s="34">
        <f>IF(AD648&lt;=MiscData!$B$23,MiscData!$C$23,IF(AD648&lt;=MiscData!$B$24,MiscData!$C$24,MiscData!$C$25))</f>
        <v>20140101</v>
      </c>
      <c r="AK648" s="439" t="str">
        <f>VLOOKUP(AM648,MiscData!$AB$4:$ACB$113,2,FALSE)</f>
        <v>KUUM_420</v>
      </c>
      <c r="AL648" s="439" t="str">
        <f>VLOOKUP(AM648,MiscData!$AB$4:$AE$115,4,FALSE)</f>
        <v>LS</v>
      </c>
      <c r="AM648" s="34">
        <f>IF(AM647=MiscData!$AB$91,1,AM647+1)</f>
        <v>31</v>
      </c>
    </row>
    <row r="649" spans="1:39">
      <c r="A649" s="389">
        <f t="shared" si="263"/>
        <v>648</v>
      </c>
      <c r="B649" s="395" t="str">
        <f t="shared" si="244"/>
        <v>Aug 2014</v>
      </c>
      <c r="C649" s="396" t="str">
        <f t="shared" si="245"/>
        <v>RLS</v>
      </c>
      <c r="D649" s="396" t="str">
        <f t="shared" si="246"/>
        <v>KUUM_421</v>
      </c>
      <c r="E649" s="394">
        <f t="shared" si="247"/>
        <v>5</v>
      </c>
      <c r="F649" s="397">
        <v>0</v>
      </c>
      <c r="G649" s="394">
        <f t="shared" si="248"/>
        <v>135</v>
      </c>
      <c r="H649" s="394">
        <v>0</v>
      </c>
      <c r="I649" s="390">
        <f t="shared" si="249"/>
        <v>3.39</v>
      </c>
      <c r="J649" s="390">
        <f t="shared" si="250"/>
        <v>0.98999999999999977</v>
      </c>
      <c r="K649" s="391">
        <f t="shared" si="264"/>
        <v>16.95</v>
      </c>
      <c r="L649" s="398">
        <v>0</v>
      </c>
      <c r="M649" s="398">
        <v>0</v>
      </c>
      <c r="N649" s="164">
        <f t="shared" si="243"/>
        <v>16.95</v>
      </c>
      <c r="O649" s="399">
        <f t="shared" si="251"/>
        <v>16.95</v>
      </c>
      <c r="P649" s="392">
        <f t="shared" si="265"/>
        <v>1</v>
      </c>
      <c r="Q649" s="164">
        <f t="shared" si="252"/>
        <v>0.16</v>
      </c>
      <c r="R649" s="164">
        <f t="shared" si="253"/>
        <v>0</v>
      </c>
      <c r="S649" s="164">
        <f t="shared" si="254"/>
        <v>0.56999999999999995</v>
      </c>
      <c r="T649" s="164">
        <f t="shared" si="255"/>
        <v>0</v>
      </c>
      <c r="U649" s="164">
        <f t="shared" si="256"/>
        <v>17.68</v>
      </c>
      <c r="V649" s="393">
        <f t="shared" si="257"/>
        <v>17.68</v>
      </c>
      <c r="W649" s="393">
        <f t="shared" si="258"/>
        <v>0</v>
      </c>
      <c r="Y649" s="393">
        <f t="shared" si="261"/>
        <v>4.95</v>
      </c>
      <c r="Z649" s="393">
        <f t="shared" si="262"/>
        <v>12</v>
      </c>
      <c r="AD649" s="395">
        <f>IF(AH649&gt;AH648,AD648,IF(AD648&lt;MiscData!$F$1,EOMONTH(AD648,1),EOMONTH(AD648,-11)))</f>
        <v>41882</v>
      </c>
      <c r="AE649" s="389" t="str">
        <f t="shared" si="259"/>
        <v>20140101KUUM_421</v>
      </c>
      <c r="AF649" s="437" t="str">
        <f t="shared" si="260"/>
        <v>20140101RLS</v>
      </c>
      <c r="AG649" s="438"/>
      <c r="AH649" s="34">
        <f>IF(AH648=MiscData!$AB$91,1,AH648+1)</f>
        <v>32</v>
      </c>
      <c r="AI649" s="34">
        <f>IF(AD649&lt;=MiscData!$B$23,MiscData!$C$23,IF(AD649&lt;=MiscData!$B$24,MiscData!$C$24,MiscData!$C$25))</f>
        <v>20140101</v>
      </c>
      <c r="AK649" s="439" t="str">
        <f>VLOOKUP(AM649,MiscData!$AB$4:$ACB$113,2,FALSE)</f>
        <v>KUUM_421</v>
      </c>
      <c r="AL649" s="439" t="str">
        <f>VLOOKUP(AM649,MiscData!$AB$4:$AE$115,4,FALSE)</f>
        <v>RLS</v>
      </c>
      <c r="AM649" s="34">
        <f>IF(AM648=MiscData!$AB$91,1,AM648+1)</f>
        <v>32</v>
      </c>
    </row>
    <row r="650" spans="1:39">
      <c r="A650" s="389">
        <f t="shared" si="263"/>
        <v>649</v>
      </c>
      <c r="B650" s="395" t="str">
        <f t="shared" si="244"/>
        <v>Aug 2014</v>
      </c>
      <c r="C650" s="396" t="str">
        <f t="shared" si="245"/>
        <v>RLS</v>
      </c>
      <c r="D650" s="396" t="str">
        <f t="shared" si="246"/>
        <v>KUUM_422</v>
      </c>
      <c r="E650" s="394">
        <f t="shared" si="247"/>
        <v>667</v>
      </c>
      <c r="F650" s="397">
        <v>0</v>
      </c>
      <c r="G650" s="394">
        <f t="shared" si="248"/>
        <v>35590</v>
      </c>
      <c r="H650" s="394">
        <v>0</v>
      </c>
      <c r="I650" s="390">
        <f t="shared" si="249"/>
        <v>4.5400000000000009</v>
      </c>
      <c r="J650" s="390">
        <f t="shared" si="250"/>
        <v>1.9400000000000004</v>
      </c>
      <c r="K650" s="391">
        <f t="shared" si="264"/>
        <v>3028.18</v>
      </c>
      <c r="L650" s="398">
        <v>0</v>
      </c>
      <c r="M650" s="398">
        <v>0</v>
      </c>
      <c r="N650" s="164">
        <f t="shared" si="243"/>
        <v>3028.18</v>
      </c>
      <c r="O650" s="399">
        <f t="shared" si="251"/>
        <v>3028.1800000000003</v>
      </c>
      <c r="P650" s="392">
        <f t="shared" si="265"/>
        <v>1</v>
      </c>
      <c r="Q650" s="164">
        <f t="shared" si="252"/>
        <v>1.91</v>
      </c>
      <c r="R650" s="164">
        <f t="shared" si="253"/>
        <v>0</v>
      </c>
      <c r="S650" s="164">
        <f t="shared" si="254"/>
        <v>98.19</v>
      </c>
      <c r="T650" s="164">
        <f t="shared" si="255"/>
        <v>0</v>
      </c>
      <c r="U650" s="164">
        <f t="shared" si="256"/>
        <v>3128.28</v>
      </c>
      <c r="V650" s="393">
        <f t="shared" si="257"/>
        <v>3128.2799999999997</v>
      </c>
      <c r="W650" s="393">
        <f t="shared" si="258"/>
        <v>0</v>
      </c>
      <c r="Y650" s="393">
        <f t="shared" si="261"/>
        <v>1293.98</v>
      </c>
      <c r="Z650" s="393">
        <f t="shared" si="262"/>
        <v>1734.2000000000003</v>
      </c>
      <c r="AD650" s="395">
        <f>IF(AH650&gt;AH649,AD649,IF(AD649&lt;MiscData!$F$1,EOMONTH(AD649,1),EOMONTH(AD649,-11)))</f>
        <v>41882</v>
      </c>
      <c r="AE650" s="389" t="str">
        <f t="shared" si="259"/>
        <v>20140101KUUM_422</v>
      </c>
      <c r="AF650" s="437" t="str">
        <f t="shared" si="260"/>
        <v>20140101RLS</v>
      </c>
      <c r="AG650" s="438"/>
      <c r="AH650" s="34">
        <f>IF(AH649=MiscData!$AB$91,1,AH649+1)</f>
        <v>33</v>
      </c>
      <c r="AI650" s="34">
        <f>IF(AD650&lt;=MiscData!$B$23,MiscData!$C$23,IF(AD650&lt;=MiscData!$B$24,MiscData!$C$24,MiscData!$C$25))</f>
        <v>20140101</v>
      </c>
      <c r="AK650" s="439" t="str">
        <f>VLOOKUP(AM650,MiscData!$AB$4:$ACB$113,2,FALSE)</f>
        <v>KUUM_422</v>
      </c>
      <c r="AL650" s="439" t="str">
        <f>VLOOKUP(AM650,MiscData!$AB$4:$AE$115,4,FALSE)</f>
        <v>RLS</v>
      </c>
      <c r="AM650" s="34">
        <f>IF(AM649=MiscData!$AB$91,1,AM649+1)</f>
        <v>33</v>
      </c>
    </row>
    <row r="651" spans="1:39">
      <c r="A651" s="389">
        <f t="shared" si="263"/>
        <v>650</v>
      </c>
      <c r="B651" s="395" t="str">
        <f t="shared" si="244"/>
        <v>Aug 2014</v>
      </c>
      <c r="C651" s="396" t="str">
        <f t="shared" si="245"/>
        <v>RLS</v>
      </c>
      <c r="D651" s="396" t="str">
        <f t="shared" si="246"/>
        <v>KUUM_424</v>
      </c>
      <c r="E651" s="394">
        <f t="shared" si="247"/>
        <v>45</v>
      </c>
      <c r="F651" s="397">
        <v>0</v>
      </c>
      <c r="G651" s="394">
        <f t="shared" si="248"/>
        <v>4022</v>
      </c>
      <c r="H651" s="394">
        <v>0</v>
      </c>
      <c r="I651" s="390">
        <f t="shared" si="249"/>
        <v>6.78</v>
      </c>
      <c r="J651" s="390">
        <f t="shared" si="250"/>
        <v>0.69999999999999929</v>
      </c>
      <c r="K651" s="391">
        <f t="shared" si="264"/>
        <v>305.10000000000002</v>
      </c>
      <c r="L651" s="398">
        <v>0</v>
      </c>
      <c r="M651" s="398">
        <v>0</v>
      </c>
      <c r="N651" s="164">
        <f t="shared" si="243"/>
        <v>305.10000000000002</v>
      </c>
      <c r="O651" s="399">
        <f t="shared" si="251"/>
        <v>305.09999999999997</v>
      </c>
      <c r="P651" s="392">
        <f t="shared" si="265"/>
        <v>1</v>
      </c>
      <c r="Q651" s="164">
        <f t="shared" si="252"/>
        <v>3.22</v>
      </c>
      <c r="R651" s="164">
        <f t="shared" si="253"/>
        <v>0</v>
      </c>
      <c r="S651" s="164">
        <f t="shared" si="254"/>
        <v>10.08</v>
      </c>
      <c r="T651" s="164">
        <f t="shared" si="255"/>
        <v>0</v>
      </c>
      <c r="U651" s="164">
        <f t="shared" si="256"/>
        <v>318.39999999999998</v>
      </c>
      <c r="V651" s="393">
        <f t="shared" si="257"/>
        <v>318.40000000000003</v>
      </c>
      <c r="W651" s="393">
        <f t="shared" si="258"/>
        <v>0</v>
      </c>
      <c r="Y651" s="393">
        <f t="shared" si="261"/>
        <v>31.5</v>
      </c>
      <c r="Z651" s="393">
        <f t="shared" si="262"/>
        <v>273.59999999999997</v>
      </c>
      <c r="AD651" s="395">
        <f>IF(AH651&gt;AH650,AD650,IF(AD650&lt;MiscData!$F$1,EOMONTH(AD650,1),EOMONTH(AD650,-11)))</f>
        <v>41882</v>
      </c>
      <c r="AE651" s="389" t="str">
        <f t="shared" si="259"/>
        <v>20140101KUUM_424</v>
      </c>
      <c r="AF651" s="437" t="str">
        <f t="shared" si="260"/>
        <v>20140101RLS</v>
      </c>
      <c r="AG651" s="438"/>
      <c r="AH651" s="34">
        <f>IF(AH650=MiscData!$AB$91,1,AH650+1)</f>
        <v>34</v>
      </c>
      <c r="AI651" s="34">
        <f>IF(AD651&lt;=MiscData!$B$23,MiscData!$C$23,IF(AD651&lt;=MiscData!$B$24,MiscData!$C$24,MiscData!$C$25))</f>
        <v>20140101</v>
      </c>
      <c r="AK651" s="439" t="str">
        <f>VLOOKUP(AM651,MiscData!$AB$4:$ACB$113,2,FALSE)</f>
        <v>KUUM_424</v>
      </c>
      <c r="AL651" s="439" t="str">
        <f>VLOOKUP(AM651,MiscData!$AB$4:$AE$115,4,FALSE)</f>
        <v>RLS</v>
      </c>
      <c r="AM651" s="34">
        <f>IF(AM650=MiscData!$AB$91,1,AM650+1)</f>
        <v>34</v>
      </c>
    </row>
    <row r="652" spans="1:39">
      <c r="A652" s="389">
        <f t="shared" si="263"/>
        <v>651</v>
      </c>
      <c r="B652" s="395" t="str">
        <f t="shared" si="244"/>
        <v>Aug 2014</v>
      </c>
      <c r="C652" s="396" t="str">
        <f t="shared" si="245"/>
        <v>RLS</v>
      </c>
      <c r="D652" s="396" t="str">
        <f t="shared" si="246"/>
        <v>KUUM_425</v>
      </c>
      <c r="E652" s="394">
        <f t="shared" si="247"/>
        <v>2</v>
      </c>
      <c r="F652" s="397">
        <v>0</v>
      </c>
      <c r="G652" s="394">
        <f t="shared" si="248"/>
        <v>242</v>
      </c>
      <c r="H652" s="394">
        <v>0</v>
      </c>
      <c r="I652" s="390">
        <f t="shared" si="249"/>
        <v>9.06</v>
      </c>
      <c r="J652" s="390">
        <f t="shared" si="250"/>
        <v>4.3000000000000007</v>
      </c>
      <c r="K652" s="391">
        <f t="shared" si="264"/>
        <v>18.12</v>
      </c>
      <c r="L652" s="398">
        <v>0</v>
      </c>
      <c r="M652" s="398">
        <v>0</v>
      </c>
      <c r="N652" s="164">
        <f t="shared" si="243"/>
        <v>18.12</v>
      </c>
      <c r="O652" s="399">
        <f t="shared" si="251"/>
        <v>18.12</v>
      </c>
      <c r="P652" s="392">
        <f t="shared" si="265"/>
        <v>1</v>
      </c>
      <c r="Q652" s="164">
        <f t="shared" si="252"/>
        <v>-0.19</v>
      </c>
      <c r="R652" s="164">
        <f t="shared" si="253"/>
        <v>0</v>
      </c>
      <c r="S652" s="164">
        <f t="shared" si="254"/>
        <v>0.57999999999999996</v>
      </c>
      <c r="T652" s="164">
        <f t="shared" si="255"/>
        <v>0</v>
      </c>
      <c r="U652" s="164">
        <f t="shared" si="256"/>
        <v>18.510000000000002</v>
      </c>
      <c r="V652" s="393">
        <f t="shared" si="257"/>
        <v>18.509999999999998</v>
      </c>
      <c r="W652" s="393">
        <f t="shared" si="258"/>
        <v>0</v>
      </c>
      <c r="Y652" s="393">
        <f t="shared" si="261"/>
        <v>8.6</v>
      </c>
      <c r="Z652" s="393">
        <f t="shared" si="262"/>
        <v>9.5200000000000014</v>
      </c>
      <c r="AD652" s="395">
        <f>IF(AH652&gt;AH651,AD651,IF(AD651&lt;MiscData!$F$1,EOMONTH(AD651,1),EOMONTH(AD651,-11)))</f>
        <v>41882</v>
      </c>
      <c r="AE652" s="389" t="str">
        <f t="shared" si="259"/>
        <v>20140101KUUM_425</v>
      </c>
      <c r="AF652" s="437" t="str">
        <f t="shared" si="260"/>
        <v>20140101RLS</v>
      </c>
      <c r="AG652" s="438"/>
      <c r="AH652" s="34">
        <f>IF(AH651=MiscData!$AB$91,1,AH651+1)</f>
        <v>35</v>
      </c>
      <c r="AI652" s="34">
        <f>IF(AD652&lt;=MiscData!$B$23,MiscData!$C$23,IF(AD652&lt;=MiscData!$B$24,MiscData!$C$24,MiscData!$C$25))</f>
        <v>20140101</v>
      </c>
      <c r="AK652" s="439" t="str">
        <f>VLOOKUP(AM652,MiscData!$AB$4:$ACB$113,2,FALSE)</f>
        <v>KUUM_425</v>
      </c>
      <c r="AL652" s="439" t="str">
        <f>VLOOKUP(AM652,MiscData!$AB$4:$AE$115,4,FALSE)</f>
        <v>RLS</v>
      </c>
      <c r="AM652" s="34">
        <f>IF(AM651=MiscData!$AB$91,1,AM651+1)</f>
        <v>35</v>
      </c>
    </row>
    <row r="653" spans="1:39">
      <c r="A653" s="389">
        <f t="shared" si="263"/>
        <v>652</v>
      </c>
      <c r="B653" s="395" t="str">
        <f t="shared" si="244"/>
        <v>Aug 2014</v>
      </c>
      <c r="C653" s="396" t="str">
        <f t="shared" si="245"/>
        <v>RLS</v>
      </c>
      <c r="D653" s="396" t="str">
        <f t="shared" si="246"/>
        <v>KUUM_426</v>
      </c>
      <c r="E653" s="394">
        <f t="shared" si="247"/>
        <v>171</v>
      </c>
      <c r="F653" s="397">
        <v>0</v>
      </c>
      <c r="G653" s="394">
        <f t="shared" si="248"/>
        <v>3823</v>
      </c>
      <c r="H653" s="394">
        <v>0</v>
      </c>
      <c r="I653" s="390">
        <f t="shared" si="249"/>
        <v>7.4399999999999995</v>
      </c>
      <c r="J653" s="390">
        <f t="shared" si="250"/>
        <v>0.79999999999999982</v>
      </c>
      <c r="K653" s="391">
        <f t="shared" si="264"/>
        <v>1272.24</v>
      </c>
      <c r="L653" s="398">
        <v>-8.93</v>
      </c>
      <c r="M653" s="398">
        <v>0</v>
      </c>
      <c r="N653" s="164">
        <f t="shared" si="243"/>
        <v>1263.31</v>
      </c>
      <c r="O653" s="399">
        <f t="shared" si="251"/>
        <v>1263.31</v>
      </c>
      <c r="P653" s="392">
        <f t="shared" si="265"/>
        <v>1</v>
      </c>
      <c r="Q653" s="164">
        <f t="shared" si="252"/>
        <v>-3.31</v>
      </c>
      <c r="R653" s="164">
        <f t="shared" si="253"/>
        <v>0</v>
      </c>
      <c r="S653" s="164">
        <f t="shared" si="254"/>
        <v>40.729999999999997</v>
      </c>
      <c r="T653" s="164">
        <f t="shared" si="255"/>
        <v>0</v>
      </c>
      <c r="U653" s="164">
        <f t="shared" si="256"/>
        <v>1300.73</v>
      </c>
      <c r="V653" s="393">
        <f t="shared" si="257"/>
        <v>1300.73</v>
      </c>
      <c r="W653" s="393">
        <f t="shared" si="258"/>
        <v>0</v>
      </c>
      <c r="Y653" s="393">
        <f t="shared" si="261"/>
        <v>136.80000000000001</v>
      </c>
      <c r="Z653" s="393">
        <f t="shared" si="262"/>
        <v>1126.51</v>
      </c>
      <c r="AD653" s="395">
        <f>IF(AH653&gt;AH652,AD652,IF(AD652&lt;MiscData!$F$1,EOMONTH(AD652,1),EOMONTH(AD652,-11)))</f>
        <v>41882</v>
      </c>
      <c r="AE653" s="389" t="str">
        <f t="shared" si="259"/>
        <v>20140101KUUM_426</v>
      </c>
      <c r="AF653" s="437" t="str">
        <f t="shared" si="260"/>
        <v>20140101RLS</v>
      </c>
      <c r="AG653" s="438"/>
      <c r="AH653" s="34">
        <f>IF(AH652=MiscData!$AB$91,1,AH652+1)</f>
        <v>36</v>
      </c>
      <c r="AI653" s="34">
        <f>IF(AD653&lt;=MiscData!$B$23,MiscData!$C$23,IF(AD653&lt;=MiscData!$B$24,MiscData!$C$24,MiscData!$C$25))</f>
        <v>20140101</v>
      </c>
      <c r="AK653" s="439" t="str">
        <f>VLOOKUP(AM653,MiscData!$AB$4:$ACB$113,2,FALSE)</f>
        <v>KUUM_426</v>
      </c>
      <c r="AL653" s="439" t="str">
        <f>VLOOKUP(AM653,MiscData!$AB$4:$AE$115,4,FALSE)</f>
        <v>RLS</v>
      </c>
      <c r="AM653" s="34">
        <f>IF(AM652=MiscData!$AB$91,1,AM652+1)</f>
        <v>36</v>
      </c>
    </row>
    <row r="654" spans="1:39">
      <c r="A654" s="389">
        <f t="shared" si="263"/>
        <v>653</v>
      </c>
      <c r="B654" s="395" t="str">
        <f t="shared" si="244"/>
        <v>Aug 2014</v>
      </c>
      <c r="C654" s="396" t="str">
        <f t="shared" si="245"/>
        <v>LS</v>
      </c>
      <c r="D654" s="396" t="str">
        <f t="shared" si="246"/>
        <v>KUUM_428</v>
      </c>
      <c r="E654" s="394">
        <f t="shared" si="247"/>
        <v>36630</v>
      </c>
      <c r="F654" s="397">
        <v>63</v>
      </c>
      <c r="G654" s="394">
        <f t="shared" si="248"/>
        <v>1152212</v>
      </c>
      <c r="H654" s="394">
        <v>0</v>
      </c>
      <c r="I654" s="390">
        <f t="shared" si="249"/>
        <v>7.84</v>
      </c>
      <c r="J654" s="390">
        <f t="shared" si="250"/>
        <v>1.1299999999999999</v>
      </c>
      <c r="K654" s="391">
        <f t="shared" si="264"/>
        <v>287673.12</v>
      </c>
      <c r="L654" s="398">
        <v>-2611.33</v>
      </c>
      <c r="M654" s="398">
        <v>0</v>
      </c>
      <c r="N654" s="164">
        <f t="shared" si="243"/>
        <v>285061.78999999998</v>
      </c>
      <c r="O654" s="399">
        <f t="shared" si="251"/>
        <v>285061.78999999998</v>
      </c>
      <c r="P654" s="392">
        <f t="shared" si="265"/>
        <v>1</v>
      </c>
      <c r="Q654" s="164">
        <f t="shared" si="252"/>
        <v>-814.57</v>
      </c>
      <c r="R654" s="164">
        <f t="shared" si="253"/>
        <v>0</v>
      </c>
      <c r="S654" s="164">
        <f t="shared" si="254"/>
        <v>9095.89</v>
      </c>
      <c r="T654" s="164">
        <f t="shared" si="255"/>
        <v>0</v>
      </c>
      <c r="U654" s="164">
        <f t="shared" si="256"/>
        <v>293343.11</v>
      </c>
      <c r="V654" s="393">
        <f t="shared" si="257"/>
        <v>293343.11</v>
      </c>
      <c r="W654" s="393">
        <f t="shared" si="258"/>
        <v>0</v>
      </c>
      <c r="Y654" s="393">
        <f t="shared" si="261"/>
        <v>41391.9</v>
      </c>
      <c r="Z654" s="393">
        <f t="shared" si="262"/>
        <v>243669.88999999998</v>
      </c>
      <c r="AD654" s="395">
        <f>IF(AH654&gt;AH653,AD653,IF(AD653&lt;MiscData!$F$1,EOMONTH(AD653,1),EOMONTH(AD653,-11)))</f>
        <v>41882</v>
      </c>
      <c r="AE654" s="389" t="str">
        <f t="shared" si="259"/>
        <v>20140101KUUM_428</v>
      </c>
      <c r="AF654" s="437" t="str">
        <f t="shared" si="260"/>
        <v>20140101LS</v>
      </c>
      <c r="AG654" s="438"/>
      <c r="AH654" s="34">
        <f>IF(AH653=MiscData!$AB$91,1,AH653+1)</f>
        <v>37</v>
      </c>
      <c r="AI654" s="34">
        <f>IF(AD654&lt;=MiscData!$B$23,MiscData!$C$23,IF(AD654&lt;=MiscData!$B$24,MiscData!$C$24,MiscData!$C$25))</f>
        <v>20140101</v>
      </c>
      <c r="AK654" s="439" t="str">
        <f>VLOOKUP(AM654,MiscData!$AB$4:$ACB$113,2,FALSE)</f>
        <v>KUUM_428</v>
      </c>
      <c r="AL654" s="439" t="str">
        <f>VLOOKUP(AM654,MiscData!$AB$4:$AE$115,4,FALSE)</f>
        <v>LS</v>
      </c>
      <c r="AM654" s="34">
        <f>IF(AM653=MiscData!$AB$91,1,AM653+1)</f>
        <v>37</v>
      </c>
    </row>
    <row r="655" spans="1:39">
      <c r="A655" s="389">
        <f t="shared" si="263"/>
        <v>654</v>
      </c>
      <c r="B655" s="395" t="str">
        <f t="shared" si="244"/>
        <v>Aug 2014</v>
      </c>
      <c r="C655" s="396" t="str">
        <f t="shared" si="245"/>
        <v>LS</v>
      </c>
      <c r="D655" s="396" t="str">
        <f t="shared" si="246"/>
        <v>KUUM_429</v>
      </c>
      <c r="E655" s="394">
        <f t="shared" si="247"/>
        <v>0</v>
      </c>
      <c r="F655" s="397">
        <v>0</v>
      </c>
      <c r="G655" s="394">
        <f t="shared" si="248"/>
        <v>0</v>
      </c>
      <c r="H655" s="394">
        <v>0</v>
      </c>
      <c r="I655" s="390">
        <f t="shared" si="249"/>
        <v>0</v>
      </c>
      <c r="J655" s="390">
        <f t="shared" si="250"/>
        <v>0</v>
      </c>
      <c r="K655" s="391">
        <f t="shared" si="264"/>
        <v>0</v>
      </c>
      <c r="L655" s="398">
        <v>0</v>
      </c>
      <c r="M655" s="398">
        <v>0</v>
      </c>
      <c r="N655" s="164">
        <f t="shared" si="243"/>
        <v>0</v>
      </c>
      <c r="O655" s="399">
        <f t="shared" si="251"/>
        <v>0</v>
      </c>
      <c r="P655" s="392">
        <f t="shared" si="265"/>
        <v>1</v>
      </c>
      <c r="Q655" s="164">
        <f t="shared" si="252"/>
        <v>0</v>
      </c>
      <c r="R655" s="164">
        <f t="shared" si="253"/>
        <v>0</v>
      </c>
      <c r="S655" s="164">
        <f t="shared" si="254"/>
        <v>0</v>
      </c>
      <c r="T655" s="164">
        <f t="shared" si="255"/>
        <v>0</v>
      </c>
      <c r="U655" s="164">
        <f t="shared" si="256"/>
        <v>0</v>
      </c>
      <c r="V655" s="393">
        <f t="shared" si="257"/>
        <v>0</v>
      </c>
      <c r="W655" s="393">
        <f t="shared" si="258"/>
        <v>0</v>
      </c>
      <c r="Y655" s="393">
        <f t="shared" si="261"/>
        <v>0</v>
      </c>
      <c r="Z655" s="393">
        <f t="shared" si="262"/>
        <v>0</v>
      </c>
      <c r="AD655" s="395">
        <f>IF(AH655&gt;AH654,AD654,IF(AD654&lt;MiscData!$F$1,EOMONTH(AD654,1),EOMONTH(AD654,-11)))</f>
        <v>41882</v>
      </c>
      <c r="AE655" s="389" t="str">
        <f t="shared" si="259"/>
        <v>20140101KUUM_429</v>
      </c>
      <c r="AF655" s="437" t="str">
        <f t="shared" si="260"/>
        <v>20140101LS</v>
      </c>
      <c r="AG655" s="438"/>
      <c r="AH655" s="34">
        <f>IF(AH654=MiscData!$AB$91,1,AH654+1)</f>
        <v>38</v>
      </c>
      <c r="AI655" s="34">
        <f>IF(AD655&lt;=MiscData!$B$23,MiscData!$C$23,IF(AD655&lt;=MiscData!$B$24,MiscData!$C$24,MiscData!$C$25))</f>
        <v>20140101</v>
      </c>
      <c r="AK655" s="439" t="str">
        <f>VLOOKUP(AM655,MiscData!$AB$4:$ACB$113,2,FALSE)</f>
        <v>KUUM_429</v>
      </c>
      <c r="AL655" s="439" t="str">
        <f>VLOOKUP(AM655,MiscData!$AB$4:$AE$115,4,FALSE)</f>
        <v>LS</v>
      </c>
      <c r="AM655" s="34">
        <f>IF(AM654=MiscData!$AB$91,1,AM654+1)</f>
        <v>38</v>
      </c>
    </row>
    <row r="656" spans="1:39">
      <c r="A656" s="389">
        <f t="shared" si="263"/>
        <v>655</v>
      </c>
      <c r="B656" s="395" t="str">
        <f t="shared" si="244"/>
        <v>Aug 2014</v>
      </c>
      <c r="C656" s="396" t="str">
        <f t="shared" si="245"/>
        <v>LS</v>
      </c>
      <c r="D656" s="396" t="str">
        <f t="shared" si="246"/>
        <v>KUUM_430</v>
      </c>
      <c r="E656" s="394">
        <f t="shared" si="247"/>
        <v>1182</v>
      </c>
      <c r="F656" s="397">
        <v>0</v>
      </c>
      <c r="G656" s="394">
        <f t="shared" si="248"/>
        <v>37148</v>
      </c>
      <c r="H656" s="394">
        <v>0</v>
      </c>
      <c r="I656" s="390">
        <f t="shared" si="249"/>
        <v>22</v>
      </c>
      <c r="J656" s="390">
        <f t="shared" si="250"/>
        <v>1.129999999999999</v>
      </c>
      <c r="K656" s="391">
        <f t="shared" si="264"/>
        <v>26004</v>
      </c>
      <c r="L656" s="398">
        <v>-19.07</v>
      </c>
      <c r="M656" s="398">
        <v>0</v>
      </c>
      <c r="N656" s="164">
        <f t="shared" si="243"/>
        <v>25984.93</v>
      </c>
      <c r="O656" s="399">
        <f t="shared" si="251"/>
        <v>25984.93</v>
      </c>
      <c r="P656" s="392">
        <f t="shared" si="265"/>
        <v>1</v>
      </c>
      <c r="Q656" s="164">
        <f t="shared" si="252"/>
        <v>-7.03</v>
      </c>
      <c r="R656" s="164">
        <f t="shared" si="253"/>
        <v>0</v>
      </c>
      <c r="S656" s="164">
        <f t="shared" si="254"/>
        <v>839.46</v>
      </c>
      <c r="T656" s="164">
        <f t="shared" si="255"/>
        <v>0</v>
      </c>
      <c r="U656" s="164">
        <f t="shared" si="256"/>
        <v>26817.360000000001</v>
      </c>
      <c r="V656" s="393">
        <f t="shared" si="257"/>
        <v>26817.360000000001</v>
      </c>
      <c r="W656" s="393">
        <f t="shared" si="258"/>
        <v>0</v>
      </c>
      <c r="Y656" s="393">
        <f t="shared" si="261"/>
        <v>1335.66</v>
      </c>
      <c r="Z656" s="393">
        <f t="shared" si="262"/>
        <v>24649.27</v>
      </c>
      <c r="AD656" s="395">
        <f>IF(AH656&gt;AH655,AD655,IF(AD655&lt;MiscData!$F$1,EOMONTH(AD655,1),EOMONTH(AD655,-11)))</f>
        <v>41882</v>
      </c>
      <c r="AE656" s="389" t="str">
        <f t="shared" si="259"/>
        <v>20140101KUUM_430</v>
      </c>
      <c r="AF656" s="437" t="str">
        <f t="shared" si="260"/>
        <v>20140101LS</v>
      </c>
      <c r="AG656" s="438"/>
      <c r="AH656" s="34">
        <f>IF(AH655=MiscData!$AB$91,1,AH655+1)</f>
        <v>39</v>
      </c>
      <c r="AI656" s="34">
        <f>IF(AD656&lt;=MiscData!$B$23,MiscData!$C$23,IF(AD656&lt;=MiscData!$B$24,MiscData!$C$24,MiscData!$C$25))</f>
        <v>20140101</v>
      </c>
      <c r="AK656" s="439" t="str">
        <f>VLOOKUP(AM656,MiscData!$AB$4:$ACB$113,2,FALSE)</f>
        <v>KUUM_430</v>
      </c>
      <c r="AL656" s="439" t="str">
        <f>VLOOKUP(AM656,MiscData!$AB$4:$AE$115,4,FALSE)</f>
        <v>LS</v>
      </c>
      <c r="AM656" s="34">
        <f>IF(AM655=MiscData!$AB$91,1,AM655+1)</f>
        <v>39</v>
      </c>
    </row>
    <row r="657" spans="1:39">
      <c r="A657" s="389">
        <f t="shared" si="263"/>
        <v>656</v>
      </c>
      <c r="B657" s="395" t="str">
        <f t="shared" si="244"/>
        <v>Aug 2014</v>
      </c>
      <c r="C657" s="396" t="str">
        <f t="shared" si="245"/>
        <v>RLS</v>
      </c>
      <c r="D657" s="396" t="str">
        <f t="shared" si="246"/>
        <v>KUUM_434</v>
      </c>
      <c r="E657" s="394">
        <f t="shared" si="247"/>
        <v>0</v>
      </c>
      <c r="F657" s="397">
        <v>0</v>
      </c>
      <c r="G657" s="394">
        <f t="shared" si="248"/>
        <v>0</v>
      </c>
      <c r="H657" s="394">
        <v>0</v>
      </c>
      <c r="I657" s="390">
        <f t="shared" si="249"/>
        <v>7.74</v>
      </c>
      <c r="J657" s="390">
        <f t="shared" si="250"/>
        <v>0.69999999999999929</v>
      </c>
      <c r="K657" s="391">
        <f t="shared" si="264"/>
        <v>0</v>
      </c>
      <c r="L657" s="398">
        <v>0</v>
      </c>
      <c r="M657" s="398">
        <v>0</v>
      </c>
      <c r="N657" s="164">
        <f t="shared" si="243"/>
        <v>0</v>
      </c>
      <c r="O657" s="399">
        <f t="shared" si="251"/>
        <v>0</v>
      </c>
      <c r="P657" s="392">
        <f t="shared" si="265"/>
        <v>1</v>
      </c>
      <c r="Q657" s="164">
        <f t="shared" si="252"/>
        <v>0</v>
      </c>
      <c r="R657" s="164">
        <f t="shared" si="253"/>
        <v>0</v>
      </c>
      <c r="S657" s="164">
        <f t="shared" si="254"/>
        <v>0</v>
      </c>
      <c r="T657" s="164">
        <f t="shared" si="255"/>
        <v>0</v>
      </c>
      <c r="U657" s="164">
        <f t="shared" si="256"/>
        <v>0</v>
      </c>
      <c r="V657" s="393">
        <f t="shared" si="257"/>
        <v>0</v>
      </c>
      <c r="W657" s="393">
        <f t="shared" si="258"/>
        <v>0</v>
      </c>
      <c r="Y657" s="393">
        <f t="shared" si="261"/>
        <v>0</v>
      </c>
      <c r="Z657" s="393">
        <f t="shared" si="262"/>
        <v>0</v>
      </c>
      <c r="AD657" s="395">
        <f>IF(AH657&gt;AH656,AD656,IF(AD656&lt;MiscData!$F$1,EOMONTH(AD656,1),EOMONTH(AD656,-11)))</f>
        <v>41882</v>
      </c>
      <c r="AE657" s="389" t="str">
        <f t="shared" si="259"/>
        <v>20140101KUUM_434</v>
      </c>
      <c r="AF657" s="437" t="str">
        <f t="shared" si="260"/>
        <v>20140101RLS</v>
      </c>
      <c r="AG657" s="438"/>
      <c r="AH657" s="34">
        <f>IF(AH656=MiscData!$AB$91,1,AH656+1)</f>
        <v>40</v>
      </c>
      <c r="AI657" s="34">
        <f>IF(AD657&lt;=MiscData!$B$23,MiscData!$C$23,IF(AD657&lt;=MiscData!$B$24,MiscData!$C$24,MiscData!$C$25))</f>
        <v>20140101</v>
      </c>
      <c r="AK657" s="439" t="str">
        <f>VLOOKUP(AM657,MiscData!$AB$4:$ACB$113,2,FALSE)</f>
        <v>KUUM_434</v>
      </c>
      <c r="AL657" s="439" t="str">
        <f>VLOOKUP(AM657,MiscData!$AB$4:$AE$115,4,FALSE)</f>
        <v>RLS</v>
      </c>
      <c r="AM657" s="34">
        <f>IF(AM656=MiscData!$AB$91,1,AM656+1)</f>
        <v>40</v>
      </c>
    </row>
    <row r="658" spans="1:39">
      <c r="A658" s="389">
        <f t="shared" si="263"/>
        <v>657</v>
      </c>
      <c r="B658" s="395" t="str">
        <f t="shared" si="244"/>
        <v>Aug 2014</v>
      </c>
      <c r="C658" s="396" t="str">
        <f t="shared" si="245"/>
        <v>RLS</v>
      </c>
      <c r="D658" s="396" t="str">
        <f t="shared" si="246"/>
        <v>KUUM_440</v>
      </c>
      <c r="E658" s="394">
        <f t="shared" si="247"/>
        <v>2</v>
      </c>
      <c r="F658" s="397">
        <v>0</v>
      </c>
      <c r="G658" s="394">
        <f t="shared" si="248"/>
        <v>32</v>
      </c>
      <c r="H658" s="394">
        <v>0</v>
      </c>
      <c r="I658" s="390">
        <f t="shared" si="249"/>
        <v>13.610000000000001</v>
      </c>
      <c r="J658" s="390">
        <f t="shared" si="250"/>
        <v>0.57000000000000028</v>
      </c>
      <c r="K658" s="391">
        <f t="shared" si="264"/>
        <v>27.22</v>
      </c>
      <c r="L658" s="398">
        <v>0</v>
      </c>
      <c r="M658" s="398">
        <v>0</v>
      </c>
      <c r="N658" s="164">
        <f t="shared" si="243"/>
        <v>27.22</v>
      </c>
      <c r="O658" s="399">
        <f t="shared" si="251"/>
        <v>27.22</v>
      </c>
      <c r="P658" s="392">
        <f t="shared" si="265"/>
        <v>1</v>
      </c>
      <c r="Q658" s="164">
        <f t="shared" si="252"/>
        <v>-0.02</v>
      </c>
      <c r="R658" s="164">
        <f t="shared" si="253"/>
        <v>0</v>
      </c>
      <c r="S658" s="164">
        <f t="shared" si="254"/>
        <v>0.88</v>
      </c>
      <c r="T658" s="164">
        <f t="shared" si="255"/>
        <v>0</v>
      </c>
      <c r="U658" s="164">
        <f t="shared" si="256"/>
        <v>28.08</v>
      </c>
      <c r="V658" s="393">
        <f t="shared" si="257"/>
        <v>28.08</v>
      </c>
      <c r="W658" s="393">
        <f t="shared" si="258"/>
        <v>0</v>
      </c>
      <c r="Y658" s="393">
        <f t="shared" si="261"/>
        <v>1.1399999999999999</v>
      </c>
      <c r="Z658" s="393">
        <f t="shared" si="262"/>
        <v>26.08</v>
      </c>
      <c r="AD658" s="395">
        <f>IF(AH658&gt;AH657,AD657,IF(AD657&lt;MiscData!$F$1,EOMONTH(AD657,1),EOMONTH(AD657,-11)))</f>
        <v>41882</v>
      </c>
      <c r="AE658" s="389" t="str">
        <f t="shared" si="259"/>
        <v>20140101KUUM_440</v>
      </c>
      <c r="AF658" s="437" t="str">
        <f t="shared" si="260"/>
        <v>20140101RLS</v>
      </c>
      <c r="AG658" s="438"/>
      <c r="AH658" s="34">
        <f>IF(AH657=MiscData!$AB$91,1,AH657+1)</f>
        <v>41</v>
      </c>
      <c r="AI658" s="34">
        <f>IF(AD658&lt;=MiscData!$B$23,MiscData!$C$23,IF(AD658&lt;=MiscData!$B$24,MiscData!$C$24,MiscData!$C$25))</f>
        <v>20140101</v>
      </c>
      <c r="AK658" s="439" t="str">
        <f>VLOOKUP(AM658,MiscData!$AB$4:$ACB$113,2,FALSE)</f>
        <v>KUUM_440</v>
      </c>
      <c r="AL658" s="439" t="str">
        <f>VLOOKUP(AM658,MiscData!$AB$4:$AE$115,4,FALSE)</f>
        <v>RLS</v>
      </c>
      <c r="AM658" s="34">
        <f>IF(AM657=MiscData!$AB$91,1,AM657+1)</f>
        <v>41</v>
      </c>
    </row>
    <row r="659" spans="1:39">
      <c r="A659" s="389">
        <f t="shared" si="263"/>
        <v>658</v>
      </c>
      <c r="B659" s="395" t="str">
        <f t="shared" si="244"/>
        <v>Aug 2014</v>
      </c>
      <c r="C659" s="396" t="str">
        <f t="shared" si="245"/>
        <v>RLS</v>
      </c>
      <c r="D659" s="396" t="str">
        <f t="shared" si="246"/>
        <v>KUUM_446</v>
      </c>
      <c r="E659" s="394">
        <f t="shared" si="247"/>
        <v>1081</v>
      </c>
      <c r="F659" s="397">
        <v>0</v>
      </c>
      <c r="G659" s="394">
        <f t="shared" si="248"/>
        <v>60417</v>
      </c>
      <c r="H659" s="394">
        <v>0</v>
      </c>
      <c r="I659" s="390">
        <f t="shared" si="249"/>
        <v>9.5600000000000023</v>
      </c>
      <c r="J659" s="390">
        <f t="shared" si="250"/>
        <v>1.9900000000000002</v>
      </c>
      <c r="K659" s="391">
        <f t="shared" si="264"/>
        <v>10334.36</v>
      </c>
      <c r="L659" s="398">
        <v>0</v>
      </c>
      <c r="M659" s="398">
        <v>0</v>
      </c>
      <c r="N659" s="164">
        <f t="shared" si="243"/>
        <v>10334.36</v>
      </c>
      <c r="O659" s="399">
        <f t="shared" si="251"/>
        <v>10334.36</v>
      </c>
      <c r="P659" s="392">
        <f t="shared" si="265"/>
        <v>1</v>
      </c>
      <c r="Q659" s="164">
        <f t="shared" si="252"/>
        <v>-8.26</v>
      </c>
      <c r="R659" s="164">
        <f t="shared" si="253"/>
        <v>0</v>
      </c>
      <c r="S659" s="164">
        <f t="shared" si="254"/>
        <v>333.83</v>
      </c>
      <c r="T659" s="164">
        <f t="shared" si="255"/>
        <v>0</v>
      </c>
      <c r="U659" s="164">
        <f t="shared" si="256"/>
        <v>10659.93</v>
      </c>
      <c r="V659" s="393">
        <f t="shared" si="257"/>
        <v>10659.93</v>
      </c>
      <c r="W659" s="393">
        <f t="shared" si="258"/>
        <v>0</v>
      </c>
      <c r="Y659" s="393">
        <f t="shared" si="261"/>
        <v>2151.19</v>
      </c>
      <c r="Z659" s="393">
        <f t="shared" si="262"/>
        <v>8183.17</v>
      </c>
      <c r="AD659" s="395">
        <f>IF(AH659&gt;AH658,AD658,IF(AD658&lt;MiscData!$F$1,EOMONTH(AD658,1),EOMONTH(AD658,-11)))</f>
        <v>41882</v>
      </c>
      <c r="AE659" s="389" t="str">
        <f t="shared" si="259"/>
        <v>20140101KUUM_446</v>
      </c>
      <c r="AF659" s="437" t="str">
        <f t="shared" si="260"/>
        <v>20140101RLS</v>
      </c>
      <c r="AG659" s="438"/>
      <c r="AH659" s="34">
        <f>IF(AH658=MiscData!$AB$91,1,AH658+1)</f>
        <v>42</v>
      </c>
      <c r="AI659" s="34">
        <f>IF(AD659&lt;=MiscData!$B$23,MiscData!$C$23,IF(AD659&lt;=MiscData!$B$24,MiscData!$C$24,MiscData!$C$25))</f>
        <v>20140101</v>
      </c>
      <c r="AK659" s="439" t="str">
        <f>VLOOKUP(AM659,MiscData!$AB$4:$ACB$113,2,FALSE)</f>
        <v>KUUM_446</v>
      </c>
      <c r="AL659" s="439" t="str">
        <f>VLOOKUP(AM659,MiscData!$AB$4:$AE$115,4,FALSE)</f>
        <v>RLS</v>
      </c>
      <c r="AM659" s="34">
        <f>IF(AM658=MiscData!$AB$91,1,AM658+1)</f>
        <v>42</v>
      </c>
    </row>
    <row r="660" spans="1:39">
      <c r="A660" s="389">
        <f t="shared" si="263"/>
        <v>659</v>
      </c>
      <c r="B660" s="395" t="str">
        <f t="shared" si="244"/>
        <v>Aug 2014</v>
      </c>
      <c r="C660" s="396" t="str">
        <f t="shared" si="245"/>
        <v>RLS</v>
      </c>
      <c r="D660" s="396" t="str">
        <f t="shared" si="246"/>
        <v>KUUM_447</v>
      </c>
      <c r="E660" s="394">
        <f t="shared" si="247"/>
        <v>711</v>
      </c>
      <c r="F660" s="397">
        <v>0</v>
      </c>
      <c r="G660" s="394">
        <f t="shared" si="248"/>
        <v>54961</v>
      </c>
      <c r="H660" s="394">
        <v>0</v>
      </c>
      <c r="I660" s="390">
        <f t="shared" si="249"/>
        <v>11.32</v>
      </c>
      <c r="J660" s="390">
        <f t="shared" si="250"/>
        <v>2.8400000000000016</v>
      </c>
      <c r="K660" s="391">
        <f t="shared" si="264"/>
        <v>8048.52</v>
      </c>
      <c r="L660" s="398">
        <v>0</v>
      </c>
      <c r="M660" s="398">
        <v>0</v>
      </c>
      <c r="N660" s="164">
        <f t="shared" si="243"/>
        <v>8048.52</v>
      </c>
      <c r="O660" s="399">
        <f t="shared" si="251"/>
        <v>8048.5199999999995</v>
      </c>
      <c r="P660" s="392">
        <f t="shared" si="265"/>
        <v>1</v>
      </c>
      <c r="Q660" s="164">
        <f t="shared" si="252"/>
        <v>132.93</v>
      </c>
      <c r="R660" s="164">
        <f t="shared" si="253"/>
        <v>0</v>
      </c>
      <c r="S660" s="164">
        <f t="shared" si="254"/>
        <v>272.04000000000002</v>
      </c>
      <c r="T660" s="164">
        <f t="shared" si="255"/>
        <v>0</v>
      </c>
      <c r="U660" s="164">
        <f t="shared" si="256"/>
        <v>8453.49</v>
      </c>
      <c r="V660" s="393">
        <f t="shared" si="257"/>
        <v>8453.4900000000016</v>
      </c>
      <c r="W660" s="393">
        <f t="shared" si="258"/>
        <v>0</v>
      </c>
      <c r="Y660" s="393">
        <f t="shared" si="261"/>
        <v>2019.24</v>
      </c>
      <c r="Z660" s="393">
        <f t="shared" si="262"/>
        <v>6029.28</v>
      </c>
      <c r="AD660" s="395">
        <f>IF(AH660&gt;AH659,AD659,IF(AD659&lt;MiscData!$F$1,EOMONTH(AD659,1),EOMONTH(AD659,-11)))</f>
        <v>41882</v>
      </c>
      <c r="AE660" s="389" t="str">
        <f t="shared" si="259"/>
        <v>20140101KUUM_447</v>
      </c>
      <c r="AF660" s="437" t="str">
        <f t="shared" si="260"/>
        <v>20140101RLS</v>
      </c>
      <c r="AG660" s="438"/>
      <c r="AH660" s="34">
        <f>IF(AH659=MiscData!$AB$91,1,AH659+1)</f>
        <v>43</v>
      </c>
      <c r="AI660" s="34">
        <f>IF(AD660&lt;=MiscData!$B$23,MiscData!$C$23,IF(AD660&lt;=MiscData!$B$24,MiscData!$C$24,MiscData!$C$25))</f>
        <v>20140101</v>
      </c>
      <c r="AK660" s="439" t="str">
        <f>VLOOKUP(AM660,MiscData!$AB$4:$ACB$113,2,FALSE)</f>
        <v>KUUM_447</v>
      </c>
      <c r="AL660" s="439" t="str">
        <f>VLOOKUP(AM660,MiscData!$AB$4:$AE$115,4,FALSE)</f>
        <v>RLS</v>
      </c>
      <c r="AM660" s="34">
        <f>IF(AM659=MiscData!$AB$91,1,AM659+1)</f>
        <v>43</v>
      </c>
    </row>
    <row r="661" spans="1:39">
      <c r="A661" s="389">
        <f t="shared" si="263"/>
        <v>660</v>
      </c>
      <c r="B661" s="395" t="str">
        <f t="shared" si="244"/>
        <v>Aug 2014</v>
      </c>
      <c r="C661" s="396" t="str">
        <f t="shared" si="245"/>
        <v>RLS</v>
      </c>
      <c r="D661" s="396" t="str">
        <f t="shared" si="246"/>
        <v>KUUM_448</v>
      </c>
      <c r="E661" s="394">
        <f t="shared" si="247"/>
        <v>1475</v>
      </c>
      <c r="F661" s="397">
        <v>0</v>
      </c>
      <c r="G661" s="394">
        <f t="shared" si="248"/>
        <v>180852</v>
      </c>
      <c r="H661" s="394">
        <v>0</v>
      </c>
      <c r="I661" s="390">
        <f t="shared" si="249"/>
        <v>12.809999999999999</v>
      </c>
      <c r="J661" s="390">
        <f t="shared" si="250"/>
        <v>4.37</v>
      </c>
      <c r="K661" s="391">
        <f t="shared" si="264"/>
        <v>18894.75</v>
      </c>
      <c r="L661" s="398">
        <v>0</v>
      </c>
      <c r="M661" s="398">
        <v>0</v>
      </c>
      <c r="N661" s="164">
        <f t="shared" si="243"/>
        <v>18894.75</v>
      </c>
      <c r="O661" s="399">
        <f t="shared" si="251"/>
        <v>18894.75</v>
      </c>
      <c r="P661" s="392">
        <f t="shared" si="265"/>
        <v>1</v>
      </c>
      <c r="Q661" s="164">
        <f t="shared" si="252"/>
        <v>99.32</v>
      </c>
      <c r="R661" s="164">
        <f t="shared" si="253"/>
        <v>0</v>
      </c>
      <c r="S661" s="164">
        <f t="shared" si="254"/>
        <v>619.05999999999995</v>
      </c>
      <c r="T661" s="164">
        <f t="shared" si="255"/>
        <v>0</v>
      </c>
      <c r="U661" s="164">
        <f t="shared" si="256"/>
        <v>19613.13</v>
      </c>
      <c r="V661" s="393">
        <f t="shared" si="257"/>
        <v>19613.13</v>
      </c>
      <c r="W661" s="393">
        <f t="shared" si="258"/>
        <v>0</v>
      </c>
      <c r="Y661" s="393">
        <f t="shared" si="261"/>
        <v>6445.75</v>
      </c>
      <c r="Z661" s="393">
        <f t="shared" si="262"/>
        <v>12449</v>
      </c>
      <c r="AD661" s="395">
        <f>IF(AH661&gt;AH660,AD660,IF(AD660&lt;MiscData!$F$1,EOMONTH(AD660,1),EOMONTH(AD660,-11)))</f>
        <v>41882</v>
      </c>
      <c r="AE661" s="389" t="str">
        <f t="shared" si="259"/>
        <v>20140101KUUM_448</v>
      </c>
      <c r="AF661" s="437" t="str">
        <f t="shared" si="260"/>
        <v>20140101RLS</v>
      </c>
      <c r="AG661" s="438"/>
      <c r="AH661" s="34">
        <f>IF(AH660=MiscData!$AB$91,1,AH660+1)</f>
        <v>44</v>
      </c>
      <c r="AI661" s="34">
        <f>IF(AD661&lt;=MiscData!$B$23,MiscData!$C$23,IF(AD661&lt;=MiscData!$B$24,MiscData!$C$24,MiscData!$C$25))</f>
        <v>20140101</v>
      </c>
      <c r="AK661" s="439" t="str">
        <f>VLOOKUP(AM661,MiscData!$AB$4:$ACB$113,2,FALSE)</f>
        <v>KUUM_448</v>
      </c>
      <c r="AL661" s="439" t="str">
        <f>VLOOKUP(AM661,MiscData!$AB$4:$AE$115,4,FALSE)</f>
        <v>RLS</v>
      </c>
      <c r="AM661" s="34">
        <f>IF(AM660=MiscData!$AB$91,1,AM660+1)</f>
        <v>44</v>
      </c>
    </row>
    <row r="662" spans="1:39">
      <c r="A662" s="389">
        <f t="shared" si="263"/>
        <v>661</v>
      </c>
      <c r="B662" s="395" t="str">
        <f t="shared" si="244"/>
        <v>Aug 2014</v>
      </c>
      <c r="C662" s="396" t="str">
        <f t="shared" si="245"/>
        <v>LS</v>
      </c>
      <c r="D662" s="396" t="str">
        <f t="shared" si="246"/>
        <v>KUUM_450</v>
      </c>
      <c r="E662" s="394">
        <f t="shared" si="247"/>
        <v>679</v>
      </c>
      <c r="F662" s="397">
        <v>0</v>
      </c>
      <c r="G662" s="394">
        <f t="shared" si="248"/>
        <v>27335</v>
      </c>
      <c r="H662" s="394">
        <v>0</v>
      </c>
      <c r="I662" s="390">
        <f t="shared" si="249"/>
        <v>14.25</v>
      </c>
      <c r="J662" s="390">
        <f t="shared" si="250"/>
        <v>1.9699999999999989</v>
      </c>
      <c r="K662" s="391">
        <f t="shared" si="264"/>
        <v>9675.75</v>
      </c>
      <c r="L662" s="398">
        <v>-62.56</v>
      </c>
      <c r="M662" s="398">
        <v>0</v>
      </c>
      <c r="N662" s="164">
        <f t="shared" si="243"/>
        <v>9613.19</v>
      </c>
      <c r="O662" s="399">
        <f t="shared" si="251"/>
        <v>9613.19</v>
      </c>
      <c r="P662" s="392">
        <f t="shared" si="265"/>
        <v>1</v>
      </c>
      <c r="Q662" s="164">
        <f t="shared" si="252"/>
        <v>-18.12</v>
      </c>
      <c r="R662" s="164">
        <f t="shared" si="253"/>
        <v>0</v>
      </c>
      <c r="S662" s="164">
        <f t="shared" si="254"/>
        <v>309.2</v>
      </c>
      <c r="T662" s="164">
        <f t="shared" si="255"/>
        <v>0</v>
      </c>
      <c r="U662" s="164">
        <f t="shared" si="256"/>
        <v>9904.27</v>
      </c>
      <c r="V662" s="393">
        <f t="shared" si="257"/>
        <v>9904.27</v>
      </c>
      <c r="W662" s="393">
        <f t="shared" si="258"/>
        <v>0</v>
      </c>
      <c r="Y662" s="393">
        <f t="shared" si="261"/>
        <v>1337.63</v>
      </c>
      <c r="Z662" s="393">
        <f t="shared" si="262"/>
        <v>8275.5600000000013</v>
      </c>
      <c r="AD662" s="395">
        <f>IF(AH662&gt;AH661,AD661,IF(AD661&lt;MiscData!$F$1,EOMONTH(AD661,1),EOMONTH(AD661,-11)))</f>
        <v>41882</v>
      </c>
      <c r="AE662" s="389" t="str">
        <f t="shared" si="259"/>
        <v>20140101KUUM_450</v>
      </c>
      <c r="AF662" s="437" t="str">
        <f t="shared" si="260"/>
        <v>20140101LS</v>
      </c>
      <c r="AG662" s="438"/>
      <c r="AH662" s="34">
        <f>IF(AH661=MiscData!$AB$91,1,AH661+1)</f>
        <v>45</v>
      </c>
      <c r="AI662" s="34">
        <f>IF(AD662&lt;=MiscData!$B$23,MiscData!$C$23,IF(AD662&lt;=MiscData!$B$24,MiscData!$C$24,MiscData!$C$25))</f>
        <v>20140101</v>
      </c>
      <c r="AK662" s="439" t="str">
        <f>VLOOKUP(AM662,MiscData!$AB$4:$ACB$113,2,FALSE)</f>
        <v>KUUM_450</v>
      </c>
      <c r="AL662" s="439" t="str">
        <f>VLOOKUP(AM662,MiscData!$AB$4:$AE$115,4,FALSE)</f>
        <v>LS</v>
      </c>
      <c r="AM662" s="34">
        <f>IF(AM661=MiscData!$AB$91,1,AM661+1)</f>
        <v>45</v>
      </c>
    </row>
    <row r="663" spans="1:39">
      <c r="A663" s="389">
        <f t="shared" si="263"/>
        <v>662</v>
      </c>
      <c r="B663" s="395" t="str">
        <f t="shared" si="244"/>
        <v>Aug 2014</v>
      </c>
      <c r="C663" s="396" t="str">
        <f t="shared" si="245"/>
        <v>LS</v>
      </c>
      <c r="D663" s="396" t="str">
        <f t="shared" si="246"/>
        <v>KUUM_451</v>
      </c>
      <c r="E663" s="394">
        <f t="shared" si="247"/>
        <v>5186</v>
      </c>
      <c r="F663" s="397">
        <v>0</v>
      </c>
      <c r="G663" s="394">
        <f t="shared" si="248"/>
        <v>490727</v>
      </c>
      <c r="H663" s="394">
        <v>0</v>
      </c>
      <c r="I663" s="390">
        <f t="shared" si="249"/>
        <v>20.200000000000003</v>
      </c>
      <c r="J663" s="390">
        <f t="shared" si="250"/>
        <v>4.2900000000000027</v>
      </c>
      <c r="K663" s="391">
        <f t="shared" si="264"/>
        <v>104757.2</v>
      </c>
      <c r="L663" s="398">
        <v>-124.63</v>
      </c>
      <c r="M663" s="398">
        <v>0</v>
      </c>
      <c r="N663" s="164">
        <f t="shared" si="243"/>
        <v>104632.56999999999</v>
      </c>
      <c r="O663" s="399">
        <f t="shared" si="251"/>
        <v>104632.57</v>
      </c>
      <c r="P663" s="392">
        <f t="shared" si="265"/>
        <v>1</v>
      </c>
      <c r="Q663" s="164">
        <f t="shared" si="252"/>
        <v>-326.17</v>
      </c>
      <c r="R663" s="164">
        <f t="shared" si="253"/>
        <v>0</v>
      </c>
      <c r="S663" s="164">
        <f t="shared" si="254"/>
        <v>3354.56</v>
      </c>
      <c r="T663" s="164">
        <f t="shared" si="255"/>
        <v>0</v>
      </c>
      <c r="U663" s="164">
        <f t="shared" si="256"/>
        <v>107660.96</v>
      </c>
      <c r="V663" s="393">
        <f t="shared" si="257"/>
        <v>107660.95999999999</v>
      </c>
      <c r="W663" s="393">
        <f t="shared" si="258"/>
        <v>0</v>
      </c>
      <c r="Y663" s="393">
        <f t="shared" si="261"/>
        <v>22247.94</v>
      </c>
      <c r="Z663" s="393">
        <f t="shared" si="262"/>
        <v>82384.63</v>
      </c>
      <c r="AD663" s="395">
        <f>IF(AH663&gt;AH662,AD662,IF(AD662&lt;MiscData!$F$1,EOMONTH(AD662,1),EOMONTH(AD662,-11)))</f>
        <v>41882</v>
      </c>
      <c r="AE663" s="389" t="str">
        <f t="shared" si="259"/>
        <v>20140101KUUM_451</v>
      </c>
      <c r="AF663" s="437" t="str">
        <f t="shared" si="260"/>
        <v>20140101LS</v>
      </c>
      <c r="AG663" s="438"/>
      <c r="AH663" s="34">
        <f>IF(AH662=MiscData!$AB$91,1,AH662+1)</f>
        <v>46</v>
      </c>
      <c r="AI663" s="34">
        <f>IF(AD663&lt;=MiscData!$B$23,MiscData!$C$23,IF(AD663&lt;=MiscData!$B$24,MiscData!$C$24,MiscData!$C$25))</f>
        <v>20140101</v>
      </c>
      <c r="AK663" s="439" t="str">
        <f>VLOOKUP(AM663,MiscData!$AB$4:$ACB$113,2,FALSE)</f>
        <v>KUUM_451</v>
      </c>
      <c r="AL663" s="439" t="str">
        <f>VLOOKUP(AM663,MiscData!$AB$4:$AE$115,4,FALSE)</f>
        <v>LS</v>
      </c>
      <c r="AM663" s="34">
        <f>IF(AM662=MiscData!$AB$91,1,AM662+1)</f>
        <v>46</v>
      </c>
    </row>
    <row r="664" spans="1:39">
      <c r="A664" s="389">
        <f t="shared" si="263"/>
        <v>663</v>
      </c>
      <c r="B664" s="395" t="str">
        <f t="shared" si="244"/>
        <v>Aug 2014</v>
      </c>
      <c r="C664" s="396" t="str">
        <f t="shared" si="245"/>
        <v>LS</v>
      </c>
      <c r="D664" s="396" t="str">
        <f t="shared" si="246"/>
        <v>KUUM_452</v>
      </c>
      <c r="E664" s="394">
        <f t="shared" si="247"/>
        <v>1063</v>
      </c>
      <c r="F664" s="397">
        <v>0</v>
      </c>
      <c r="G664" s="394">
        <f t="shared" si="248"/>
        <v>304154</v>
      </c>
      <c r="H664" s="394">
        <v>0</v>
      </c>
      <c r="I664" s="390">
        <f t="shared" si="249"/>
        <v>42.350000000000009</v>
      </c>
      <c r="J664" s="390">
        <f t="shared" si="250"/>
        <v>10.410000000000004</v>
      </c>
      <c r="K664" s="391">
        <f t="shared" si="264"/>
        <v>45018.05</v>
      </c>
      <c r="L664" s="398">
        <v>-756.64</v>
      </c>
      <c r="M664" s="398">
        <v>0</v>
      </c>
      <c r="N664" s="164">
        <f t="shared" si="243"/>
        <v>44261.41</v>
      </c>
      <c r="O664" s="399">
        <f t="shared" si="251"/>
        <v>44261.409999999996</v>
      </c>
      <c r="P664" s="392">
        <f t="shared" si="265"/>
        <v>1</v>
      </c>
      <c r="Q664" s="164">
        <f t="shared" si="252"/>
        <v>-212.52</v>
      </c>
      <c r="R664" s="164">
        <f t="shared" si="253"/>
        <v>0</v>
      </c>
      <c r="S664" s="164">
        <f t="shared" si="254"/>
        <v>1414.42</v>
      </c>
      <c r="T664" s="164">
        <f t="shared" si="255"/>
        <v>0</v>
      </c>
      <c r="U664" s="164">
        <f t="shared" si="256"/>
        <v>45463.31</v>
      </c>
      <c r="V664" s="393">
        <f t="shared" si="257"/>
        <v>45463.310000000005</v>
      </c>
      <c r="W664" s="393">
        <f t="shared" si="258"/>
        <v>0</v>
      </c>
      <c r="Y664" s="393">
        <f t="shared" si="261"/>
        <v>11065.83</v>
      </c>
      <c r="Z664" s="393">
        <f t="shared" si="262"/>
        <v>33195.579999999994</v>
      </c>
      <c r="AD664" s="395">
        <f>IF(AH664&gt;AH663,AD663,IF(AD663&lt;MiscData!$F$1,EOMONTH(AD663,1),EOMONTH(AD663,-11)))</f>
        <v>41882</v>
      </c>
      <c r="AE664" s="389" t="str">
        <f t="shared" si="259"/>
        <v>20140101KUUM_452</v>
      </c>
      <c r="AF664" s="437" t="str">
        <f t="shared" si="260"/>
        <v>20140101LS</v>
      </c>
      <c r="AG664" s="438"/>
      <c r="AH664" s="34">
        <f>IF(AH663=MiscData!$AB$91,1,AH663+1)</f>
        <v>47</v>
      </c>
      <c r="AI664" s="34">
        <f>IF(AD664&lt;=MiscData!$B$23,MiscData!$C$23,IF(AD664&lt;=MiscData!$B$24,MiscData!$C$24,MiscData!$C$25))</f>
        <v>20140101</v>
      </c>
      <c r="AK664" s="439" t="str">
        <f>VLOOKUP(AM664,MiscData!$AB$4:$ACB$113,2,FALSE)</f>
        <v>KUUM_452</v>
      </c>
      <c r="AL664" s="439" t="str">
        <f>VLOOKUP(AM664,MiscData!$AB$4:$AE$115,4,FALSE)</f>
        <v>LS</v>
      </c>
      <c r="AM664" s="34">
        <f>IF(AM663=MiscData!$AB$91,1,AM663+1)</f>
        <v>47</v>
      </c>
    </row>
    <row r="665" spans="1:39">
      <c r="A665" s="389">
        <f t="shared" si="263"/>
        <v>664</v>
      </c>
      <c r="B665" s="395" t="str">
        <f t="shared" si="244"/>
        <v>Aug 2014</v>
      </c>
      <c r="C665" s="396" t="str">
        <f t="shared" si="245"/>
        <v>RLS</v>
      </c>
      <c r="D665" s="396" t="str">
        <f t="shared" si="246"/>
        <v>KUUM_454</v>
      </c>
      <c r="E665" s="394">
        <f t="shared" si="247"/>
        <v>150</v>
      </c>
      <c r="F665" s="397">
        <v>0</v>
      </c>
      <c r="G665" s="394">
        <f t="shared" si="248"/>
        <v>6068</v>
      </c>
      <c r="H665" s="394">
        <v>0</v>
      </c>
      <c r="I665" s="390">
        <f t="shared" si="249"/>
        <v>18.649999999999999</v>
      </c>
      <c r="J665" s="390">
        <f t="shared" si="250"/>
        <v>1.9699999999999989</v>
      </c>
      <c r="K665" s="391">
        <f t="shared" si="264"/>
        <v>2797.5</v>
      </c>
      <c r="L665" s="398">
        <v>-16.16</v>
      </c>
      <c r="M665" s="398">
        <v>0</v>
      </c>
      <c r="N665" s="164">
        <f t="shared" si="243"/>
        <v>2781.34</v>
      </c>
      <c r="O665" s="399">
        <f t="shared" si="251"/>
        <v>2781.34</v>
      </c>
      <c r="P665" s="392">
        <f t="shared" si="265"/>
        <v>1</v>
      </c>
      <c r="Q665" s="164">
        <f t="shared" si="252"/>
        <v>-3.33</v>
      </c>
      <c r="R665" s="164">
        <f t="shared" si="253"/>
        <v>0</v>
      </c>
      <c r="S665" s="164">
        <f t="shared" si="254"/>
        <v>89.54</v>
      </c>
      <c r="T665" s="164">
        <f t="shared" si="255"/>
        <v>0</v>
      </c>
      <c r="U665" s="164">
        <f t="shared" si="256"/>
        <v>2867.55</v>
      </c>
      <c r="V665" s="393">
        <f t="shared" si="257"/>
        <v>2867.55</v>
      </c>
      <c r="W665" s="393">
        <f t="shared" si="258"/>
        <v>0</v>
      </c>
      <c r="Y665" s="393">
        <f t="shared" si="261"/>
        <v>295.5</v>
      </c>
      <c r="Z665" s="393">
        <f t="shared" si="262"/>
        <v>2485.84</v>
      </c>
      <c r="AD665" s="395">
        <f>IF(AH665&gt;AH664,AD664,IF(AD664&lt;MiscData!$F$1,EOMONTH(AD664,1),EOMONTH(AD664,-11)))</f>
        <v>41882</v>
      </c>
      <c r="AE665" s="389" t="str">
        <f t="shared" si="259"/>
        <v>20140101KUUM_454</v>
      </c>
      <c r="AF665" s="437" t="str">
        <f t="shared" si="260"/>
        <v>20140101RLS</v>
      </c>
      <c r="AG665" s="438"/>
      <c r="AH665" s="34">
        <f>IF(AH664=MiscData!$AB$91,1,AH664+1)</f>
        <v>48</v>
      </c>
      <c r="AI665" s="34">
        <f>IF(AD665&lt;=MiscData!$B$23,MiscData!$C$23,IF(AD665&lt;=MiscData!$B$24,MiscData!$C$24,MiscData!$C$25))</f>
        <v>20140101</v>
      </c>
      <c r="AK665" s="439" t="str">
        <f>VLOOKUP(AM665,MiscData!$AB$4:$ACB$113,2,FALSE)</f>
        <v>KUUM_454</v>
      </c>
      <c r="AL665" s="439" t="str">
        <f>VLOOKUP(AM665,MiscData!$AB$4:$AE$115,4,FALSE)</f>
        <v>RLS</v>
      </c>
      <c r="AM665" s="34">
        <f>IF(AM664=MiscData!$AB$91,1,AM664+1)</f>
        <v>48</v>
      </c>
    </row>
    <row r="666" spans="1:39">
      <c r="A666" s="389">
        <f t="shared" si="263"/>
        <v>665</v>
      </c>
      <c r="B666" s="395" t="str">
        <f t="shared" si="244"/>
        <v>Aug 2014</v>
      </c>
      <c r="C666" s="396" t="str">
        <f t="shared" si="245"/>
        <v>RLS</v>
      </c>
      <c r="D666" s="396" t="str">
        <f t="shared" si="246"/>
        <v>KUUM_455</v>
      </c>
      <c r="E666" s="394">
        <f t="shared" si="247"/>
        <v>1026</v>
      </c>
      <c r="F666" s="397">
        <v>0</v>
      </c>
      <c r="G666" s="394">
        <f t="shared" si="248"/>
        <v>96912</v>
      </c>
      <c r="H666" s="394">
        <v>0</v>
      </c>
      <c r="I666" s="390">
        <f t="shared" si="249"/>
        <v>24.59</v>
      </c>
      <c r="J666" s="390">
        <f t="shared" si="250"/>
        <v>4.2899999999999991</v>
      </c>
      <c r="K666" s="391">
        <f t="shared" si="264"/>
        <v>25229.34</v>
      </c>
      <c r="L666" s="398">
        <v>10.69</v>
      </c>
      <c r="M666" s="398">
        <v>0</v>
      </c>
      <c r="N666" s="164">
        <f t="shared" si="243"/>
        <v>25240.03</v>
      </c>
      <c r="O666" s="399">
        <f t="shared" si="251"/>
        <v>25240.03</v>
      </c>
      <c r="P666" s="392">
        <f t="shared" si="265"/>
        <v>1</v>
      </c>
      <c r="Q666" s="164">
        <f t="shared" si="252"/>
        <v>-64.08</v>
      </c>
      <c r="R666" s="164">
        <f t="shared" si="253"/>
        <v>0</v>
      </c>
      <c r="S666" s="164">
        <f t="shared" si="254"/>
        <v>809.56</v>
      </c>
      <c r="T666" s="164">
        <f t="shared" si="255"/>
        <v>0</v>
      </c>
      <c r="U666" s="164">
        <f t="shared" si="256"/>
        <v>25985.51</v>
      </c>
      <c r="V666" s="393">
        <f t="shared" si="257"/>
        <v>25985.51</v>
      </c>
      <c r="W666" s="393">
        <f t="shared" si="258"/>
        <v>0</v>
      </c>
      <c r="Y666" s="393">
        <f t="shared" si="261"/>
        <v>4401.54</v>
      </c>
      <c r="Z666" s="393">
        <f t="shared" si="262"/>
        <v>20838.489999999998</v>
      </c>
      <c r="AD666" s="395">
        <f>IF(AH666&gt;AH665,AD665,IF(AD665&lt;MiscData!$F$1,EOMONTH(AD665,1),EOMONTH(AD665,-11)))</f>
        <v>41882</v>
      </c>
      <c r="AE666" s="389" t="str">
        <f t="shared" si="259"/>
        <v>20140101KUUM_455</v>
      </c>
      <c r="AF666" s="437" t="str">
        <f t="shared" si="260"/>
        <v>20140101RLS</v>
      </c>
      <c r="AG666" s="438"/>
      <c r="AH666" s="34">
        <f>IF(AH665=MiscData!$AB$91,1,AH665+1)</f>
        <v>49</v>
      </c>
      <c r="AI666" s="34">
        <f>IF(AD666&lt;=MiscData!$B$23,MiscData!$C$23,IF(AD666&lt;=MiscData!$B$24,MiscData!$C$24,MiscData!$C$25))</f>
        <v>20140101</v>
      </c>
      <c r="AK666" s="439" t="str">
        <f>VLOOKUP(AM666,MiscData!$AB$4:$ACB$113,2,FALSE)</f>
        <v>KUUM_455</v>
      </c>
      <c r="AL666" s="439" t="str">
        <f>VLOOKUP(AM666,MiscData!$AB$4:$AE$115,4,FALSE)</f>
        <v>RLS</v>
      </c>
      <c r="AM666" s="34">
        <f>IF(AM665=MiscData!$AB$91,1,AM665+1)</f>
        <v>49</v>
      </c>
    </row>
    <row r="667" spans="1:39">
      <c r="A667" s="389">
        <f t="shared" si="263"/>
        <v>666</v>
      </c>
      <c r="B667" s="395" t="str">
        <f t="shared" si="244"/>
        <v>Aug 2014</v>
      </c>
      <c r="C667" s="396" t="str">
        <f t="shared" si="245"/>
        <v>RLS</v>
      </c>
      <c r="D667" s="396" t="str">
        <f t="shared" si="246"/>
        <v>KUUM_456</v>
      </c>
      <c r="E667" s="394">
        <f t="shared" si="247"/>
        <v>141</v>
      </c>
      <c r="F667" s="397">
        <v>0</v>
      </c>
      <c r="G667" s="394">
        <f t="shared" si="248"/>
        <v>7748</v>
      </c>
      <c r="H667" s="394">
        <v>0</v>
      </c>
      <c r="I667" s="390">
        <f t="shared" si="249"/>
        <v>11.870000000000001</v>
      </c>
      <c r="J667" s="390">
        <f t="shared" si="250"/>
        <v>1.9900000000000002</v>
      </c>
      <c r="K667" s="391">
        <f t="shared" si="264"/>
        <v>1673.67</v>
      </c>
      <c r="L667" s="398">
        <v>0</v>
      </c>
      <c r="M667" s="398">
        <v>0</v>
      </c>
      <c r="N667" s="164">
        <f t="shared" si="243"/>
        <v>1673.67</v>
      </c>
      <c r="O667" s="399">
        <f t="shared" si="251"/>
        <v>1673.6699999999998</v>
      </c>
      <c r="P667" s="392">
        <f t="shared" si="265"/>
        <v>1</v>
      </c>
      <c r="Q667" s="164">
        <f t="shared" si="252"/>
        <v>-2.2999999999999998</v>
      </c>
      <c r="R667" s="164">
        <f t="shared" si="253"/>
        <v>0</v>
      </c>
      <c r="S667" s="164">
        <f t="shared" si="254"/>
        <v>53.93</v>
      </c>
      <c r="T667" s="164">
        <f t="shared" si="255"/>
        <v>0</v>
      </c>
      <c r="U667" s="164">
        <f t="shared" si="256"/>
        <v>1725.3</v>
      </c>
      <c r="V667" s="393">
        <f t="shared" si="257"/>
        <v>1725.3000000000002</v>
      </c>
      <c r="W667" s="393">
        <f t="shared" si="258"/>
        <v>0</v>
      </c>
      <c r="Y667" s="393">
        <f t="shared" si="261"/>
        <v>280.58999999999997</v>
      </c>
      <c r="Z667" s="393">
        <f t="shared" si="262"/>
        <v>1393.08</v>
      </c>
      <c r="AD667" s="395">
        <f>IF(AH667&gt;AH666,AD666,IF(AD666&lt;MiscData!$F$1,EOMONTH(AD666,1),EOMONTH(AD666,-11)))</f>
        <v>41882</v>
      </c>
      <c r="AE667" s="389" t="str">
        <f t="shared" si="259"/>
        <v>20140101KUUM_456</v>
      </c>
      <c r="AF667" s="437" t="str">
        <f t="shared" si="260"/>
        <v>20140101RLS</v>
      </c>
      <c r="AG667" s="438"/>
      <c r="AH667" s="34">
        <f>IF(AH666=MiscData!$AB$91,1,AH666+1)</f>
        <v>50</v>
      </c>
      <c r="AI667" s="34">
        <f>IF(AD667&lt;=MiscData!$B$23,MiscData!$C$23,IF(AD667&lt;=MiscData!$B$24,MiscData!$C$24,MiscData!$C$25))</f>
        <v>20140101</v>
      </c>
      <c r="AK667" s="439" t="str">
        <f>VLOOKUP(AM667,MiscData!$AB$4:$ACB$113,2,FALSE)</f>
        <v>KUUM_456</v>
      </c>
      <c r="AL667" s="439" t="str">
        <f>VLOOKUP(AM667,MiscData!$AB$4:$AE$115,4,FALSE)</f>
        <v>RLS</v>
      </c>
      <c r="AM667" s="34">
        <f>IF(AM666=MiscData!$AB$91,1,AM666+1)</f>
        <v>50</v>
      </c>
    </row>
    <row r="668" spans="1:39">
      <c r="A668" s="389">
        <f t="shared" si="263"/>
        <v>667</v>
      </c>
      <c r="B668" s="395" t="str">
        <f t="shared" si="244"/>
        <v>Aug 2014</v>
      </c>
      <c r="C668" s="396" t="str">
        <f t="shared" si="245"/>
        <v>RLS</v>
      </c>
      <c r="D668" s="396" t="str">
        <f t="shared" si="246"/>
        <v>KUUM_457</v>
      </c>
      <c r="E668" s="394">
        <f t="shared" si="247"/>
        <v>453</v>
      </c>
      <c r="F668" s="397">
        <v>0</v>
      </c>
      <c r="G668" s="394">
        <f t="shared" si="248"/>
        <v>35114</v>
      </c>
      <c r="H668" s="394">
        <v>70</v>
      </c>
      <c r="I668" s="390">
        <f t="shared" si="249"/>
        <v>13.360000000000001</v>
      </c>
      <c r="J668" s="390">
        <f t="shared" si="250"/>
        <v>2.84</v>
      </c>
      <c r="K668" s="391">
        <f t="shared" si="264"/>
        <v>6052.08</v>
      </c>
      <c r="L668" s="398">
        <v>0</v>
      </c>
      <c r="M668" s="398">
        <v>0</v>
      </c>
      <c r="N668" s="164">
        <f t="shared" si="243"/>
        <v>6052.08</v>
      </c>
      <c r="O668" s="399">
        <f t="shared" si="251"/>
        <v>6052.08</v>
      </c>
      <c r="P668" s="392">
        <f t="shared" si="265"/>
        <v>1</v>
      </c>
      <c r="Q668" s="164">
        <f t="shared" si="252"/>
        <v>89.62</v>
      </c>
      <c r="R668" s="164">
        <f t="shared" si="253"/>
        <v>0</v>
      </c>
      <c r="S668" s="164">
        <f t="shared" si="254"/>
        <v>204.5</v>
      </c>
      <c r="T668" s="164">
        <f t="shared" si="255"/>
        <v>0</v>
      </c>
      <c r="U668" s="164">
        <f t="shared" si="256"/>
        <v>6346.2</v>
      </c>
      <c r="V668" s="393">
        <f t="shared" si="257"/>
        <v>6346.2</v>
      </c>
      <c r="W668" s="393">
        <f t="shared" si="258"/>
        <v>0</v>
      </c>
      <c r="Y668" s="393">
        <f t="shared" si="261"/>
        <v>1286.52</v>
      </c>
      <c r="Z668" s="393">
        <f t="shared" si="262"/>
        <v>4765.5599999999995</v>
      </c>
      <c r="AD668" s="395">
        <f>IF(AH668&gt;AH667,AD667,IF(AD667&lt;MiscData!$F$1,EOMONTH(AD667,1),EOMONTH(AD667,-11)))</f>
        <v>41882</v>
      </c>
      <c r="AE668" s="389" t="str">
        <f t="shared" si="259"/>
        <v>20140101KUUM_457</v>
      </c>
      <c r="AF668" s="437" t="str">
        <f t="shared" si="260"/>
        <v>20140101RLS</v>
      </c>
      <c r="AG668" s="438"/>
      <c r="AH668" s="34">
        <f>IF(AH667=MiscData!$AB$91,1,AH667+1)</f>
        <v>51</v>
      </c>
      <c r="AI668" s="34">
        <f>IF(AD668&lt;=MiscData!$B$23,MiscData!$C$23,IF(AD668&lt;=MiscData!$B$24,MiscData!$C$24,MiscData!$C$25))</f>
        <v>20140101</v>
      </c>
      <c r="AK668" s="439" t="str">
        <f>VLOOKUP(AM668,MiscData!$AB$4:$ACB$113,2,FALSE)</f>
        <v>KUUM_457</v>
      </c>
      <c r="AL668" s="439" t="str">
        <f>VLOOKUP(AM668,MiscData!$AB$4:$AE$115,4,FALSE)</f>
        <v>RLS</v>
      </c>
      <c r="AM668" s="34">
        <f>IF(AM667=MiscData!$AB$91,1,AM667+1)</f>
        <v>51</v>
      </c>
    </row>
    <row r="669" spans="1:39">
      <c r="A669" s="389">
        <f t="shared" si="263"/>
        <v>668</v>
      </c>
      <c r="B669" s="395" t="str">
        <f t="shared" si="244"/>
        <v>Aug 2014</v>
      </c>
      <c r="C669" s="396" t="str">
        <f t="shared" si="245"/>
        <v>RLS</v>
      </c>
      <c r="D669" s="396" t="str">
        <f t="shared" si="246"/>
        <v>KUUM_458</v>
      </c>
      <c r="E669" s="394">
        <f t="shared" si="247"/>
        <v>1457</v>
      </c>
      <c r="F669" s="397">
        <v>0</v>
      </c>
      <c r="G669" s="394">
        <f t="shared" si="248"/>
        <v>176567</v>
      </c>
      <c r="H669" s="394">
        <v>0</v>
      </c>
      <c r="I669" s="390">
        <f t="shared" si="249"/>
        <v>15.079999999999998</v>
      </c>
      <c r="J669" s="390">
        <f t="shared" si="250"/>
        <v>4.3699999999999992</v>
      </c>
      <c r="K669" s="391">
        <f t="shared" si="264"/>
        <v>21971.56</v>
      </c>
      <c r="L669" s="398">
        <v>-28.2</v>
      </c>
      <c r="M669" s="398">
        <v>0</v>
      </c>
      <c r="N669" s="164">
        <f t="shared" si="243"/>
        <v>21943.360000000001</v>
      </c>
      <c r="O669" s="399">
        <f t="shared" si="251"/>
        <v>21943.360000000001</v>
      </c>
      <c r="P669" s="392">
        <f t="shared" si="265"/>
        <v>1</v>
      </c>
      <c r="Q669" s="164">
        <f t="shared" si="252"/>
        <v>264.06</v>
      </c>
      <c r="R669" s="164">
        <f t="shared" si="253"/>
        <v>0</v>
      </c>
      <c r="S669" s="164">
        <f t="shared" si="254"/>
        <v>731.01</v>
      </c>
      <c r="T669" s="164">
        <f t="shared" si="255"/>
        <v>0</v>
      </c>
      <c r="U669" s="164">
        <f t="shared" si="256"/>
        <v>22938.43</v>
      </c>
      <c r="V669" s="393">
        <f t="shared" si="257"/>
        <v>22938.43</v>
      </c>
      <c r="W669" s="393">
        <f t="shared" si="258"/>
        <v>0</v>
      </c>
      <c r="Y669" s="393">
        <f t="shared" si="261"/>
        <v>6367.09</v>
      </c>
      <c r="Z669" s="393">
        <f t="shared" si="262"/>
        <v>15576.27</v>
      </c>
      <c r="AD669" s="395">
        <f>IF(AH669&gt;AH668,AD668,IF(AD668&lt;MiscData!$F$1,EOMONTH(AD668,1),EOMONTH(AD668,-11)))</f>
        <v>41882</v>
      </c>
      <c r="AE669" s="389" t="str">
        <f t="shared" si="259"/>
        <v>20140101KUUM_458</v>
      </c>
      <c r="AF669" s="437" t="str">
        <f t="shared" si="260"/>
        <v>20140101RLS</v>
      </c>
      <c r="AG669" s="438"/>
      <c r="AH669" s="34">
        <f>IF(AH668=MiscData!$AB$91,1,AH668+1)</f>
        <v>52</v>
      </c>
      <c r="AI669" s="34">
        <f>IF(AD669&lt;=MiscData!$B$23,MiscData!$C$23,IF(AD669&lt;=MiscData!$B$24,MiscData!$C$24,MiscData!$C$25))</f>
        <v>20140101</v>
      </c>
      <c r="AK669" s="439" t="str">
        <f>VLOOKUP(AM669,MiscData!$AB$4:$ACB$113,2,FALSE)</f>
        <v>KUUM_458</v>
      </c>
      <c r="AL669" s="439" t="str">
        <f>VLOOKUP(AM669,MiscData!$AB$4:$AE$115,4,FALSE)</f>
        <v>RLS</v>
      </c>
      <c r="AM669" s="34">
        <f>IF(AM668=MiscData!$AB$91,1,AM668+1)</f>
        <v>52</v>
      </c>
    </row>
    <row r="670" spans="1:39">
      <c r="A670" s="389">
        <f t="shared" si="263"/>
        <v>669</v>
      </c>
      <c r="B670" s="395" t="str">
        <f t="shared" si="244"/>
        <v>Aug 2014</v>
      </c>
      <c r="C670" s="396" t="str">
        <f t="shared" si="245"/>
        <v>RLS</v>
      </c>
      <c r="D670" s="396" t="str">
        <f t="shared" si="246"/>
        <v>KUUM_459</v>
      </c>
      <c r="E670" s="394">
        <f t="shared" si="247"/>
        <v>226</v>
      </c>
      <c r="F670" s="397">
        <v>0</v>
      </c>
      <c r="G670" s="394">
        <f t="shared" si="248"/>
        <v>64875</v>
      </c>
      <c r="H670" s="394">
        <v>0</v>
      </c>
      <c r="I670" s="390">
        <f t="shared" si="249"/>
        <v>46.740000000000009</v>
      </c>
      <c r="J670" s="390">
        <f t="shared" si="250"/>
        <v>10.410000000000004</v>
      </c>
      <c r="K670" s="391">
        <f t="shared" si="264"/>
        <v>10563.24</v>
      </c>
      <c r="L670" s="398">
        <v>-228.85</v>
      </c>
      <c r="M670" s="398">
        <v>0</v>
      </c>
      <c r="N670" s="164">
        <f t="shared" si="243"/>
        <v>10334.39</v>
      </c>
      <c r="O670" s="399">
        <f t="shared" si="251"/>
        <v>10334.39</v>
      </c>
      <c r="P670" s="392">
        <f t="shared" si="265"/>
        <v>1</v>
      </c>
      <c r="Q670" s="164">
        <f t="shared" si="252"/>
        <v>-48.27</v>
      </c>
      <c r="R670" s="164">
        <f t="shared" si="253"/>
        <v>0</v>
      </c>
      <c r="S670" s="164">
        <f t="shared" si="254"/>
        <v>330.84</v>
      </c>
      <c r="T670" s="164">
        <f t="shared" si="255"/>
        <v>0</v>
      </c>
      <c r="U670" s="164">
        <f t="shared" si="256"/>
        <v>10616.96</v>
      </c>
      <c r="V670" s="393">
        <f t="shared" si="257"/>
        <v>10616.96</v>
      </c>
      <c r="W670" s="393">
        <f t="shared" si="258"/>
        <v>0</v>
      </c>
      <c r="Y670" s="393">
        <f t="shared" si="261"/>
        <v>2352.66</v>
      </c>
      <c r="Z670" s="393">
        <f t="shared" si="262"/>
        <v>7981.73</v>
      </c>
      <c r="AD670" s="395">
        <f>IF(AH670&gt;AH669,AD669,IF(AD669&lt;MiscData!$F$1,EOMONTH(AD669,1),EOMONTH(AD669,-11)))</f>
        <v>41882</v>
      </c>
      <c r="AE670" s="389" t="str">
        <f t="shared" si="259"/>
        <v>20140101KUUM_459</v>
      </c>
      <c r="AF670" s="437" t="str">
        <f t="shared" si="260"/>
        <v>20140101RLS</v>
      </c>
      <c r="AG670" s="438"/>
      <c r="AH670" s="34">
        <f>IF(AH669=MiscData!$AB$91,1,AH669+1)</f>
        <v>53</v>
      </c>
      <c r="AI670" s="34">
        <f>IF(AD670&lt;=MiscData!$B$23,MiscData!$C$23,IF(AD670&lt;=MiscData!$B$24,MiscData!$C$24,MiscData!$C$25))</f>
        <v>20140101</v>
      </c>
      <c r="AK670" s="439" t="str">
        <f>VLOOKUP(AM670,MiscData!$AB$4:$ACB$113,2,FALSE)</f>
        <v>KUUM_459</v>
      </c>
      <c r="AL670" s="439" t="str">
        <f>VLOOKUP(AM670,MiscData!$AB$4:$AE$115,4,FALSE)</f>
        <v>RLS</v>
      </c>
      <c r="AM670" s="34">
        <f>IF(AM669=MiscData!$AB$91,1,AM669+1)</f>
        <v>53</v>
      </c>
    </row>
    <row r="671" spans="1:39">
      <c r="A671" s="389">
        <f t="shared" si="263"/>
        <v>670</v>
      </c>
      <c r="B671" s="395" t="str">
        <f t="shared" si="244"/>
        <v>Aug 2014</v>
      </c>
      <c r="C671" s="396" t="str">
        <f t="shared" si="245"/>
        <v>RLS</v>
      </c>
      <c r="D671" s="396" t="str">
        <f t="shared" si="246"/>
        <v>KUUM_460</v>
      </c>
      <c r="E671" s="394">
        <f t="shared" si="247"/>
        <v>26</v>
      </c>
      <c r="F671" s="397">
        <v>0</v>
      </c>
      <c r="G671" s="394">
        <f t="shared" si="248"/>
        <v>952</v>
      </c>
      <c r="H671" s="394">
        <v>0</v>
      </c>
      <c r="I671" s="390">
        <f t="shared" si="249"/>
        <v>27.15</v>
      </c>
      <c r="J671" s="390">
        <f t="shared" si="250"/>
        <v>1.9699999999999989</v>
      </c>
      <c r="K671" s="391">
        <f t="shared" si="264"/>
        <v>705.9</v>
      </c>
      <c r="L671" s="398">
        <v>-61.79</v>
      </c>
      <c r="M671" s="398">
        <v>0</v>
      </c>
      <c r="N671" s="164">
        <f t="shared" si="243"/>
        <v>644.11</v>
      </c>
      <c r="O671" s="399">
        <f t="shared" si="251"/>
        <v>644.11</v>
      </c>
      <c r="P671" s="392">
        <f t="shared" si="265"/>
        <v>1</v>
      </c>
      <c r="Q671" s="164">
        <f t="shared" si="252"/>
        <v>0.71</v>
      </c>
      <c r="R671" s="164">
        <f t="shared" si="253"/>
        <v>0</v>
      </c>
      <c r="S671" s="164">
        <f t="shared" si="254"/>
        <v>21.06</v>
      </c>
      <c r="T671" s="164">
        <f t="shared" si="255"/>
        <v>0</v>
      </c>
      <c r="U671" s="164">
        <f t="shared" si="256"/>
        <v>665.88</v>
      </c>
      <c r="V671" s="393">
        <f t="shared" si="257"/>
        <v>665.88</v>
      </c>
      <c r="W671" s="393">
        <f t="shared" si="258"/>
        <v>0</v>
      </c>
      <c r="Y671" s="393">
        <f t="shared" si="261"/>
        <v>51.22</v>
      </c>
      <c r="Z671" s="393">
        <f t="shared" si="262"/>
        <v>592.89</v>
      </c>
      <c r="AD671" s="395">
        <f>IF(AH671&gt;AH670,AD670,IF(AD670&lt;MiscData!$F$1,EOMONTH(AD670,1),EOMONTH(AD670,-11)))</f>
        <v>41882</v>
      </c>
      <c r="AE671" s="389" t="str">
        <f t="shared" si="259"/>
        <v>20140101KUUM_460</v>
      </c>
      <c r="AF671" s="437" t="str">
        <f t="shared" si="260"/>
        <v>20140101RLS</v>
      </c>
      <c r="AG671" s="438"/>
      <c r="AH671" s="34">
        <f>IF(AH670=MiscData!$AB$91,1,AH670+1)</f>
        <v>54</v>
      </c>
      <c r="AI671" s="34">
        <f>IF(AD671&lt;=MiscData!$B$23,MiscData!$C$23,IF(AD671&lt;=MiscData!$B$24,MiscData!$C$24,MiscData!$C$25))</f>
        <v>20140101</v>
      </c>
      <c r="AK671" s="439" t="str">
        <f>VLOOKUP(AM671,MiscData!$AB$4:$ACB$113,2,FALSE)</f>
        <v>KUUM_460</v>
      </c>
      <c r="AL671" s="439" t="str">
        <f>VLOOKUP(AM671,MiscData!$AB$4:$AE$115,4,FALSE)</f>
        <v>RLS</v>
      </c>
      <c r="AM671" s="34">
        <f>IF(AM670=MiscData!$AB$91,1,AM670+1)</f>
        <v>54</v>
      </c>
    </row>
    <row r="672" spans="1:39">
      <c r="A672" s="389">
        <f t="shared" si="263"/>
        <v>671</v>
      </c>
      <c r="B672" s="395" t="str">
        <f t="shared" si="244"/>
        <v>Aug 2014</v>
      </c>
      <c r="C672" s="396" t="str">
        <f t="shared" si="245"/>
        <v>RLS</v>
      </c>
      <c r="D672" s="396" t="str">
        <f t="shared" si="246"/>
        <v>KUUM_461</v>
      </c>
      <c r="E672" s="394">
        <f t="shared" si="247"/>
        <v>6924</v>
      </c>
      <c r="F672" s="397">
        <v>0</v>
      </c>
      <c r="G672" s="394">
        <f t="shared" si="248"/>
        <v>113920</v>
      </c>
      <c r="H672" s="394">
        <v>0</v>
      </c>
      <c r="I672" s="390">
        <f t="shared" si="249"/>
        <v>7.54</v>
      </c>
      <c r="J672" s="390">
        <f t="shared" si="250"/>
        <v>0.57000000000000028</v>
      </c>
      <c r="K672" s="391">
        <f t="shared" si="264"/>
        <v>52206.96</v>
      </c>
      <c r="L672" s="398">
        <v>-7.07</v>
      </c>
      <c r="M672" s="398">
        <v>0</v>
      </c>
      <c r="N672" s="164">
        <f t="shared" si="243"/>
        <v>52199.89</v>
      </c>
      <c r="O672" s="399">
        <f t="shared" si="251"/>
        <v>52199.89</v>
      </c>
      <c r="P672" s="392">
        <f t="shared" si="265"/>
        <v>1</v>
      </c>
      <c r="Q672" s="164">
        <f t="shared" si="252"/>
        <v>13.17</v>
      </c>
      <c r="R672" s="164">
        <f t="shared" si="253"/>
        <v>0</v>
      </c>
      <c r="S672" s="164">
        <f t="shared" si="254"/>
        <v>1693.01</v>
      </c>
      <c r="T672" s="164">
        <f t="shared" si="255"/>
        <v>0</v>
      </c>
      <c r="U672" s="164">
        <f t="shared" si="256"/>
        <v>53906.07</v>
      </c>
      <c r="V672" s="393">
        <f t="shared" si="257"/>
        <v>53906.07</v>
      </c>
      <c r="W672" s="393">
        <f t="shared" si="258"/>
        <v>0</v>
      </c>
      <c r="Y672" s="393">
        <f t="shared" si="261"/>
        <v>3946.68</v>
      </c>
      <c r="Z672" s="393">
        <f t="shared" si="262"/>
        <v>48253.21</v>
      </c>
      <c r="AD672" s="395">
        <f>IF(AH672&gt;AH671,AD671,IF(AD671&lt;MiscData!$F$1,EOMONTH(AD671,1),EOMONTH(AD671,-11)))</f>
        <v>41882</v>
      </c>
      <c r="AE672" s="389" t="str">
        <f t="shared" si="259"/>
        <v>20140101KUUM_461</v>
      </c>
      <c r="AF672" s="437" t="str">
        <f t="shared" si="260"/>
        <v>20140101RLS</v>
      </c>
      <c r="AG672" s="438"/>
      <c r="AH672" s="34">
        <f>IF(AH671=MiscData!$AB$91,1,AH671+1)</f>
        <v>55</v>
      </c>
      <c r="AI672" s="34">
        <f>IF(AD672&lt;=MiscData!$B$23,MiscData!$C$23,IF(AD672&lt;=MiscData!$B$24,MiscData!$C$24,MiscData!$C$25))</f>
        <v>20140101</v>
      </c>
      <c r="AK672" s="439" t="str">
        <f>VLOOKUP(AM672,MiscData!$AB$4:$ACB$113,2,FALSE)</f>
        <v>KUUM_461</v>
      </c>
      <c r="AL672" s="439" t="str">
        <f>VLOOKUP(AM672,MiscData!$AB$4:$AE$115,4,FALSE)</f>
        <v>RLS</v>
      </c>
      <c r="AM672" s="34">
        <f>IF(AM671=MiscData!$AB$91,1,AM671+1)</f>
        <v>55</v>
      </c>
    </row>
    <row r="673" spans="1:39">
      <c r="A673" s="389">
        <f t="shared" si="263"/>
        <v>672</v>
      </c>
      <c r="B673" s="395" t="str">
        <f t="shared" si="244"/>
        <v>Aug 2014</v>
      </c>
      <c r="C673" s="396" t="str">
        <f t="shared" si="245"/>
        <v>LS</v>
      </c>
      <c r="D673" s="396" t="str">
        <f t="shared" si="246"/>
        <v>KUUM_462</v>
      </c>
      <c r="E673" s="394">
        <f t="shared" si="247"/>
        <v>8811</v>
      </c>
      <c r="F673" s="397">
        <v>0</v>
      </c>
      <c r="G673" s="394">
        <f t="shared" si="248"/>
        <v>195970</v>
      </c>
      <c r="H673" s="394">
        <v>0</v>
      </c>
      <c r="I673" s="390">
        <f t="shared" si="249"/>
        <v>8.66</v>
      </c>
      <c r="J673" s="390">
        <f t="shared" si="250"/>
        <v>0.79999999999999893</v>
      </c>
      <c r="K673" s="391">
        <f t="shared" si="264"/>
        <v>76303.259999999995</v>
      </c>
      <c r="L673" s="398">
        <v>0</v>
      </c>
      <c r="M673" s="398">
        <v>0</v>
      </c>
      <c r="N673" s="164">
        <f t="shared" si="243"/>
        <v>76303.259999999995</v>
      </c>
      <c r="O673" s="399">
        <f t="shared" si="251"/>
        <v>76303.259999999995</v>
      </c>
      <c r="P673" s="392">
        <f t="shared" si="265"/>
        <v>1</v>
      </c>
      <c r="Q673" s="164">
        <f t="shared" si="252"/>
        <v>133.13999999999999</v>
      </c>
      <c r="R673" s="164">
        <f t="shared" si="253"/>
        <v>0</v>
      </c>
      <c r="S673" s="164">
        <f t="shared" si="254"/>
        <v>2493.4899999999998</v>
      </c>
      <c r="T673" s="164">
        <f t="shared" si="255"/>
        <v>0</v>
      </c>
      <c r="U673" s="164">
        <f t="shared" si="256"/>
        <v>78929.89</v>
      </c>
      <c r="V673" s="393">
        <f t="shared" si="257"/>
        <v>78929.89</v>
      </c>
      <c r="W673" s="393">
        <f t="shared" si="258"/>
        <v>0</v>
      </c>
      <c r="Y673" s="393">
        <f t="shared" si="261"/>
        <v>7048.8</v>
      </c>
      <c r="Z673" s="393">
        <f t="shared" si="262"/>
        <v>69254.459999999992</v>
      </c>
      <c r="AD673" s="395">
        <f>IF(AH673&gt;AH672,AD672,IF(AD672&lt;MiscData!$F$1,EOMONTH(AD672,1),EOMONTH(AD672,-11)))</f>
        <v>41882</v>
      </c>
      <c r="AE673" s="389" t="str">
        <f t="shared" si="259"/>
        <v>20140101KUUM_462</v>
      </c>
      <c r="AF673" s="437" t="str">
        <f t="shared" si="260"/>
        <v>20140101LS</v>
      </c>
      <c r="AG673" s="438"/>
      <c r="AH673" s="34">
        <f>IF(AH672=MiscData!$AB$91,1,AH672+1)</f>
        <v>56</v>
      </c>
      <c r="AI673" s="34">
        <f>IF(AD673&lt;=MiscData!$B$23,MiscData!$C$23,IF(AD673&lt;=MiscData!$B$24,MiscData!$C$24,MiscData!$C$25))</f>
        <v>20140101</v>
      </c>
      <c r="AK673" s="439" t="str">
        <f>VLOOKUP(AM673,MiscData!$AB$4:$ACB$113,2,FALSE)</f>
        <v>KUUM_462</v>
      </c>
      <c r="AL673" s="439" t="str">
        <f>VLOOKUP(AM673,MiscData!$AB$4:$AE$115,4,FALSE)</f>
        <v>LS</v>
      </c>
      <c r="AM673" s="34">
        <f>IF(AM672=MiscData!$AB$91,1,AM672+1)</f>
        <v>56</v>
      </c>
    </row>
    <row r="674" spans="1:39">
      <c r="A674" s="389">
        <f t="shared" si="263"/>
        <v>673</v>
      </c>
      <c r="B674" s="395" t="str">
        <f t="shared" si="244"/>
        <v>Aug 2014</v>
      </c>
      <c r="C674" s="396" t="str">
        <f t="shared" si="245"/>
        <v>LS</v>
      </c>
      <c r="D674" s="396" t="str">
        <f t="shared" si="246"/>
        <v>KUUM_463</v>
      </c>
      <c r="E674" s="394">
        <f t="shared" si="247"/>
        <v>20541</v>
      </c>
      <c r="F674" s="397">
        <v>0</v>
      </c>
      <c r="G674" s="394">
        <f t="shared" si="248"/>
        <v>658361</v>
      </c>
      <c r="H674" s="394">
        <v>0</v>
      </c>
      <c r="I674" s="390">
        <f t="shared" si="249"/>
        <v>9.14</v>
      </c>
      <c r="J674" s="390">
        <f t="shared" si="250"/>
        <v>1.1299999999999999</v>
      </c>
      <c r="K674" s="391">
        <f t="shared" si="264"/>
        <v>187744.74</v>
      </c>
      <c r="L674" s="398">
        <v>2154.98</v>
      </c>
      <c r="M674" s="398">
        <v>0</v>
      </c>
      <c r="N674" s="164">
        <f t="shared" si="243"/>
        <v>189899.72</v>
      </c>
      <c r="O674" s="399">
        <f t="shared" si="251"/>
        <v>189899.72</v>
      </c>
      <c r="P674" s="392">
        <f t="shared" si="265"/>
        <v>1</v>
      </c>
      <c r="Q674" s="164">
        <f t="shared" si="252"/>
        <v>-71.91</v>
      </c>
      <c r="R674" s="164">
        <f t="shared" si="253"/>
        <v>0</v>
      </c>
      <c r="S674" s="164">
        <f t="shared" si="254"/>
        <v>6139.36</v>
      </c>
      <c r="T674" s="164">
        <f t="shared" si="255"/>
        <v>0</v>
      </c>
      <c r="U674" s="164">
        <f t="shared" si="256"/>
        <v>195967.17</v>
      </c>
      <c r="V674" s="393">
        <f t="shared" si="257"/>
        <v>195967.16999999998</v>
      </c>
      <c r="W674" s="393">
        <f t="shared" si="258"/>
        <v>0</v>
      </c>
      <c r="Y674" s="393">
        <f t="shared" si="261"/>
        <v>23211.33</v>
      </c>
      <c r="Z674" s="393">
        <f t="shared" si="262"/>
        <v>166688.39000000001</v>
      </c>
      <c r="AD674" s="395">
        <f>IF(AH674&gt;AH673,AD673,IF(AD673&lt;MiscData!$F$1,EOMONTH(AD673,1),EOMONTH(AD673,-11)))</f>
        <v>41882</v>
      </c>
      <c r="AE674" s="389" t="str">
        <f t="shared" si="259"/>
        <v>20140101KUUM_463</v>
      </c>
      <c r="AF674" s="437" t="str">
        <f t="shared" si="260"/>
        <v>20140101LS</v>
      </c>
      <c r="AG674" s="438"/>
      <c r="AH674" s="34">
        <f>IF(AH673=MiscData!$AB$91,1,AH673+1)</f>
        <v>57</v>
      </c>
      <c r="AI674" s="34">
        <f>IF(AD674&lt;=MiscData!$B$23,MiscData!$C$23,IF(AD674&lt;=MiscData!$B$24,MiscData!$C$24,MiscData!$C$25))</f>
        <v>20140101</v>
      </c>
      <c r="AK674" s="439" t="str">
        <f>VLOOKUP(AM674,MiscData!$AB$4:$ACB$113,2,FALSE)</f>
        <v>KUUM_463</v>
      </c>
      <c r="AL674" s="439" t="str">
        <f>VLOOKUP(AM674,MiscData!$AB$4:$AE$115,4,FALSE)</f>
        <v>LS</v>
      </c>
      <c r="AM674" s="34">
        <f>IF(AM673=MiscData!$AB$91,1,AM673+1)</f>
        <v>57</v>
      </c>
    </row>
    <row r="675" spans="1:39">
      <c r="A675" s="389">
        <f t="shared" si="263"/>
        <v>674</v>
      </c>
      <c r="B675" s="395" t="str">
        <f t="shared" si="244"/>
        <v>Aug 2014</v>
      </c>
      <c r="C675" s="396" t="str">
        <f t="shared" si="245"/>
        <v>LS</v>
      </c>
      <c r="D675" s="396" t="str">
        <f t="shared" si="246"/>
        <v>KUUM_464</v>
      </c>
      <c r="E675" s="394">
        <f t="shared" si="247"/>
        <v>7614</v>
      </c>
      <c r="F675" s="397">
        <v>1</v>
      </c>
      <c r="G675" s="394">
        <f t="shared" si="248"/>
        <v>495786</v>
      </c>
      <c r="H675" s="394">
        <v>0</v>
      </c>
      <c r="I675" s="390">
        <f t="shared" si="249"/>
        <v>14.25</v>
      </c>
      <c r="J675" s="390">
        <f t="shared" si="250"/>
        <v>2.33</v>
      </c>
      <c r="K675" s="391">
        <f t="shared" si="264"/>
        <v>108513.75</v>
      </c>
      <c r="L675" s="398">
        <v>229.42</v>
      </c>
      <c r="M675" s="398">
        <v>0</v>
      </c>
      <c r="N675" s="164">
        <f t="shared" si="243"/>
        <v>108743.17</v>
      </c>
      <c r="O675" s="399">
        <f t="shared" si="251"/>
        <v>108743.17</v>
      </c>
      <c r="P675" s="392">
        <f t="shared" si="265"/>
        <v>1</v>
      </c>
      <c r="Q675" s="164">
        <f t="shared" si="252"/>
        <v>-45.3</v>
      </c>
      <c r="R675" s="164">
        <f t="shared" si="253"/>
        <v>0</v>
      </c>
      <c r="S675" s="164">
        <f t="shared" si="254"/>
        <v>3519.72</v>
      </c>
      <c r="T675" s="164">
        <f t="shared" si="255"/>
        <v>0</v>
      </c>
      <c r="U675" s="164">
        <f t="shared" si="256"/>
        <v>112217.59</v>
      </c>
      <c r="V675" s="393">
        <f t="shared" si="257"/>
        <v>112217.59</v>
      </c>
      <c r="W675" s="393">
        <f t="shared" si="258"/>
        <v>0</v>
      </c>
      <c r="Y675" s="393">
        <f t="shared" si="261"/>
        <v>17740.62</v>
      </c>
      <c r="Z675" s="393">
        <f t="shared" si="262"/>
        <v>91002.55</v>
      </c>
      <c r="AD675" s="395">
        <f>IF(AH675&gt;AH674,AD674,IF(AD674&lt;MiscData!$F$1,EOMONTH(AD674,1),EOMONTH(AD674,-11)))</f>
        <v>41882</v>
      </c>
      <c r="AE675" s="389" t="str">
        <f t="shared" si="259"/>
        <v>20140101KUUM_464</v>
      </c>
      <c r="AF675" s="437" t="str">
        <f t="shared" si="260"/>
        <v>20140101LS</v>
      </c>
      <c r="AG675" s="438"/>
      <c r="AH675" s="34">
        <f>IF(AH674=MiscData!$AB$91,1,AH674+1)</f>
        <v>58</v>
      </c>
      <c r="AI675" s="34">
        <f>IF(AD675&lt;=MiscData!$B$23,MiscData!$C$23,IF(AD675&lt;=MiscData!$B$24,MiscData!$C$24,MiscData!$C$25))</f>
        <v>20140101</v>
      </c>
      <c r="AK675" s="439" t="str">
        <f>VLOOKUP(AM675,MiscData!$AB$4:$ACB$113,2,FALSE)</f>
        <v>KUUM_464</v>
      </c>
      <c r="AL675" s="439" t="str">
        <f>VLOOKUP(AM675,MiscData!$AB$4:$AE$115,4,FALSE)</f>
        <v>LS</v>
      </c>
      <c r="AM675" s="34">
        <f>IF(AM674=MiscData!$AB$91,1,AM674+1)</f>
        <v>58</v>
      </c>
    </row>
    <row r="676" spans="1:39">
      <c r="A676" s="389">
        <f t="shared" si="263"/>
        <v>675</v>
      </c>
      <c r="B676" s="395" t="str">
        <f t="shared" si="244"/>
        <v>Aug 2014</v>
      </c>
      <c r="C676" s="396" t="str">
        <f t="shared" si="245"/>
        <v>LS</v>
      </c>
      <c r="D676" s="396" t="str">
        <f t="shared" si="246"/>
        <v>KUUM_465</v>
      </c>
      <c r="E676" s="394">
        <f t="shared" si="247"/>
        <v>2791</v>
      </c>
      <c r="F676" s="397">
        <v>0</v>
      </c>
      <c r="G676" s="394">
        <f t="shared" si="248"/>
        <v>355398</v>
      </c>
      <c r="H676" s="394">
        <v>0</v>
      </c>
      <c r="I676" s="390">
        <f t="shared" si="249"/>
        <v>22.84</v>
      </c>
      <c r="J676" s="390">
        <f t="shared" si="250"/>
        <v>4.5299999999999976</v>
      </c>
      <c r="K676" s="391">
        <f t="shared" si="264"/>
        <v>63746.44</v>
      </c>
      <c r="L676" s="398">
        <v>120.3</v>
      </c>
      <c r="M676" s="398">
        <v>0</v>
      </c>
      <c r="N676" s="164">
        <f t="shared" si="243"/>
        <v>63866.740000000005</v>
      </c>
      <c r="O676" s="399">
        <f t="shared" si="251"/>
        <v>63866.740000000005</v>
      </c>
      <c r="P676" s="392">
        <f t="shared" si="265"/>
        <v>1</v>
      </c>
      <c r="Q676" s="164">
        <f t="shared" si="252"/>
        <v>-130.77000000000001</v>
      </c>
      <c r="R676" s="164">
        <f t="shared" si="253"/>
        <v>0</v>
      </c>
      <c r="S676" s="164">
        <f t="shared" si="254"/>
        <v>2055.27</v>
      </c>
      <c r="T676" s="164">
        <f t="shared" si="255"/>
        <v>0</v>
      </c>
      <c r="U676" s="164">
        <f t="shared" si="256"/>
        <v>65791.240000000005</v>
      </c>
      <c r="V676" s="393">
        <f t="shared" si="257"/>
        <v>65791.240000000005</v>
      </c>
      <c r="W676" s="393">
        <f t="shared" si="258"/>
        <v>0</v>
      </c>
      <c r="Y676" s="393">
        <f t="shared" si="261"/>
        <v>12643.23</v>
      </c>
      <c r="Z676" s="393">
        <f t="shared" si="262"/>
        <v>51223.510000000009</v>
      </c>
      <c r="AD676" s="395">
        <f>IF(AH676&gt;AH675,AD675,IF(AD675&lt;MiscData!$F$1,EOMONTH(AD675,1),EOMONTH(AD675,-11)))</f>
        <v>41882</v>
      </c>
      <c r="AE676" s="389" t="str">
        <f t="shared" si="259"/>
        <v>20140101KUUM_465</v>
      </c>
      <c r="AF676" s="437" t="str">
        <f t="shared" si="260"/>
        <v>20140101LS</v>
      </c>
      <c r="AG676" s="438"/>
      <c r="AH676" s="34">
        <f>IF(AH675=MiscData!$AB$91,1,AH675+1)</f>
        <v>59</v>
      </c>
      <c r="AI676" s="34">
        <f>IF(AD676&lt;=MiscData!$B$23,MiscData!$C$23,IF(AD676&lt;=MiscData!$B$24,MiscData!$C$24,MiscData!$C$25))</f>
        <v>20140101</v>
      </c>
      <c r="AK676" s="439" t="str">
        <f>VLOOKUP(AM676,MiscData!$AB$4:$ACB$113,2,FALSE)</f>
        <v>KUUM_465</v>
      </c>
      <c r="AL676" s="439" t="str">
        <f>VLOOKUP(AM676,MiscData!$AB$4:$AE$115,4,FALSE)</f>
        <v>LS</v>
      </c>
      <c r="AM676" s="34">
        <f>IF(AM675=MiscData!$AB$91,1,AM675+1)</f>
        <v>59</v>
      </c>
    </row>
    <row r="677" spans="1:39">
      <c r="A677" s="389">
        <f t="shared" si="263"/>
        <v>676</v>
      </c>
      <c r="B677" s="395" t="str">
        <f t="shared" si="244"/>
        <v>Aug 2014</v>
      </c>
      <c r="C677" s="396" t="str">
        <f t="shared" si="245"/>
        <v>RLS</v>
      </c>
      <c r="D677" s="396" t="str">
        <f t="shared" si="246"/>
        <v>KUUM_466</v>
      </c>
      <c r="E677" s="394">
        <f t="shared" si="247"/>
        <v>856</v>
      </c>
      <c r="F677" s="397">
        <v>0</v>
      </c>
      <c r="G677" s="394">
        <f t="shared" si="248"/>
        <v>13841</v>
      </c>
      <c r="H677" s="394">
        <v>0</v>
      </c>
      <c r="I677" s="390">
        <f t="shared" si="249"/>
        <v>9.620000000000001</v>
      </c>
      <c r="J677" s="390">
        <f t="shared" si="250"/>
        <v>0.57000000000000028</v>
      </c>
      <c r="K677" s="391">
        <f t="shared" si="264"/>
        <v>8234.7199999999993</v>
      </c>
      <c r="L677" s="398">
        <v>0</v>
      </c>
      <c r="M677" s="398">
        <v>0</v>
      </c>
      <c r="N677" s="164">
        <f t="shared" si="243"/>
        <v>8234.7199999999993</v>
      </c>
      <c r="O677" s="399">
        <f t="shared" si="251"/>
        <v>8234.7200000000012</v>
      </c>
      <c r="P677" s="392">
        <f t="shared" si="265"/>
        <v>1</v>
      </c>
      <c r="Q677" s="164">
        <f t="shared" si="252"/>
        <v>-7.43</v>
      </c>
      <c r="R677" s="164">
        <f t="shared" si="253"/>
        <v>0</v>
      </c>
      <c r="S677" s="164">
        <f t="shared" si="254"/>
        <v>264.82</v>
      </c>
      <c r="T677" s="164">
        <f t="shared" si="255"/>
        <v>0</v>
      </c>
      <c r="U677" s="164">
        <f t="shared" si="256"/>
        <v>8492.11</v>
      </c>
      <c r="V677" s="393">
        <f t="shared" si="257"/>
        <v>8492.1099999999988</v>
      </c>
      <c r="W677" s="393">
        <f t="shared" si="258"/>
        <v>0</v>
      </c>
      <c r="Y677" s="393">
        <f t="shared" si="261"/>
        <v>487.92</v>
      </c>
      <c r="Z677" s="393">
        <f t="shared" si="262"/>
        <v>7746.8000000000011</v>
      </c>
      <c r="AD677" s="395">
        <f>IF(AH677&gt;AH676,AD676,IF(AD676&lt;MiscData!$F$1,EOMONTH(AD676,1),EOMONTH(AD676,-11)))</f>
        <v>41882</v>
      </c>
      <c r="AE677" s="389" t="str">
        <f t="shared" si="259"/>
        <v>20140101KUUM_466</v>
      </c>
      <c r="AF677" s="437" t="str">
        <f t="shared" si="260"/>
        <v>20140101RLS</v>
      </c>
      <c r="AG677" s="438"/>
      <c r="AH677" s="34">
        <f>IF(AH676=MiscData!$AB$91,1,AH676+1)</f>
        <v>60</v>
      </c>
      <c r="AI677" s="34">
        <f>IF(AD677&lt;=MiscData!$B$23,MiscData!$C$23,IF(AD677&lt;=MiscData!$B$24,MiscData!$C$24,MiscData!$C$25))</f>
        <v>20140101</v>
      </c>
      <c r="AK677" s="439" t="str">
        <f>VLOOKUP(AM677,MiscData!$AB$4:$ACB$113,2,FALSE)</f>
        <v>KUUM_466</v>
      </c>
      <c r="AL677" s="439" t="str">
        <f>VLOOKUP(AM677,MiscData!$AB$4:$AE$115,4,FALSE)</f>
        <v>RLS</v>
      </c>
      <c r="AM677" s="34">
        <f>IF(AM676=MiscData!$AB$91,1,AM676+1)</f>
        <v>60</v>
      </c>
    </row>
    <row r="678" spans="1:39">
      <c r="A678" s="389">
        <f t="shared" si="263"/>
        <v>677</v>
      </c>
      <c r="B678" s="395" t="str">
        <f t="shared" si="244"/>
        <v>Aug 2014</v>
      </c>
      <c r="C678" s="396" t="str">
        <f t="shared" si="245"/>
        <v>LS</v>
      </c>
      <c r="D678" s="396" t="str">
        <f t="shared" si="246"/>
        <v>KUUM_467</v>
      </c>
      <c r="E678" s="394">
        <f t="shared" si="247"/>
        <v>1363</v>
      </c>
      <c r="F678" s="397">
        <v>0</v>
      </c>
      <c r="G678" s="394">
        <f t="shared" si="248"/>
        <v>30487</v>
      </c>
      <c r="H678" s="394">
        <v>0</v>
      </c>
      <c r="I678" s="390">
        <f t="shared" si="249"/>
        <v>10.770000000000001</v>
      </c>
      <c r="J678" s="390">
        <f t="shared" si="250"/>
        <v>0.80000000000000071</v>
      </c>
      <c r="K678" s="391">
        <f t="shared" si="264"/>
        <v>14679.51</v>
      </c>
      <c r="L678" s="398">
        <v>17.190000000000001</v>
      </c>
      <c r="M678" s="398">
        <v>0</v>
      </c>
      <c r="N678" s="164">
        <f t="shared" si="243"/>
        <v>14696.7</v>
      </c>
      <c r="O678" s="399">
        <f t="shared" si="251"/>
        <v>14696.7</v>
      </c>
      <c r="P678" s="392">
        <f t="shared" si="265"/>
        <v>1</v>
      </c>
      <c r="Q678" s="164">
        <f t="shared" si="252"/>
        <v>-6.67</v>
      </c>
      <c r="R678" s="164">
        <f t="shared" si="253"/>
        <v>0</v>
      </c>
      <c r="S678" s="164">
        <f t="shared" si="254"/>
        <v>474.46</v>
      </c>
      <c r="T678" s="164">
        <f t="shared" si="255"/>
        <v>0</v>
      </c>
      <c r="U678" s="164">
        <f t="shared" si="256"/>
        <v>15164.49</v>
      </c>
      <c r="V678" s="393">
        <f t="shared" si="257"/>
        <v>15164.49</v>
      </c>
      <c r="W678" s="393">
        <f t="shared" si="258"/>
        <v>0</v>
      </c>
      <c r="Y678" s="393">
        <f t="shared" si="261"/>
        <v>1090.4000000000001</v>
      </c>
      <c r="Z678" s="393">
        <f t="shared" si="262"/>
        <v>13606.300000000001</v>
      </c>
      <c r="AD678" s="395">
        <f>IF(AH678&gt;AH677,AD677,IF(AD677&lt;MiscData!$F$1,EOMONTH(AD677,1),EOMONTH(AD677,-11)))</f>
        <v>41882</v>
      </c>
      <c r="AE678" s="389" t="str">
        <f t="shared" si="259"/>
        <v>20140101KUUM_467</v>
      </c>
      <c r="AF678" s="437" t="str">
        <f t="shared" si="260"/>
        <v>20140101LS</v>
      </c>
      <c r="AG678" s="438"/>
      <c r="AH678" s="34">
        <f>IF(AH677=MiscData!$AB$91,1,AH677+1)</f>
        <v>61</v>
      </c>
      <c r="AI678" s="34">
        <f>IF(AD678&lt;=MiscData!$B$23,MiscData!$C$23,IF(AD678&lt;=MiscData!$B$24,MiscData!$C$24,MiscData!$C$25))</f>
        <v>20140101</v>
      </c>
      <c r="AK678" s="439" t="str">
        <f>VLOOKUP(AM678,MiscData!$AB$4:$ACB$113,2,FALSE)</f>
        <v>KUUM_467</v>
      </c>
      <c r="AL678" s="439" t="str">
        <f>VLOOKUP(AM678,MiscData!$AB$4:$AE$115,4,FALSE)</f>
        <v>LS</v>
      </c>
      <c r="AM678" s="34">
        <f>IF(AM677=MiscData!$AB$91,1,AM677+1)</f>
        <v>61</v>
      </c>
    </row>
    <row r="679" spans="1:39">
      <c r="A679" s="389">
        <f t="shared" si="263"/>
        <v>678</v>
      </c>
      <c r="B679" s="395" t="str">
        <f t="shared" si="244"/>
        <v>Aug 2014</v>
      </c>
      <c r="C679" s="396" t="str">
        <f t="shared" si="245"/>
        <v>LS</v>
      </c>
      <c r="D679" s="396" t="str">
        <f t="shared" si="246"/>
        <v>KUUM_468</v>
      </c>
      <c r="E679" s="394">
        <f t="shared" si="247"/>
        <v>4040</v>
      </c>
      <c r="F679" s="397">
        <v>0</v>
      </c>
      <c r="G679" s="394">
        <f t="shared" si="248"/>
        <v>126666</v>
      </c>
      <c r="H679" s="394">
        <v>0</v>
      </c>
      <c r="I679" s="390">
        <f t="shared" si="249"/>
        <v>11.16</v>
      </c>
      <c r="J679" s="390">
        <f t="shared" si="250"/>
        <v>1.129999999999999</v>
      </c>
      <c r="K679" s="391">
        <f t="shared" si="264"/>
        <v>45086.400000000001</v>
      </c>
      <c r="L679" s="398">
        <v>-23.85</v>
      </c>
      <c r="M679" s="398">
        <v>0</v>
      </c>
      <c r="N679" s="164">
        <f t="shared" si="243"/>
        <v>45062.55</v>
      </c>
      <c r="O679" s="399">
        <f t="shared" si="251"/>
        <v>45062.549999999996</v>
      </c>
      <c r="P679" s="392">
        <f t="shared" si="265"/>
        <v>1</v>
      </c>
      <c r="Q679" s="164">
        <f t="shared" si="252"/>
        <v>-75.72</v>
      </c>
      <c r="R679" s="164">
        <f t="shared" si="253"/>
        <v>0</v>
      </c>
      <c r="S679" s="164">
        <f t="shared" si="254"/>
        <v>1446.8</v>
      </c>
      <c r="T679" s="164">
        <f t="shared" si="255"/>
        <v>0</v>
      </c>
      <c r="U679" s="164">
        <f t="shared" si="256"/>
        <v>46433.63</v>
      </c>
      <c r="V679" s="393">
        <f t="shared" si="257"/>
        <v>46433.630000000005</v>
      </c>
      <c r="W679" s="393">
        <f t="shared" si="258"/>
        <v>0</v>
      </c>
      <c r="Y679" s="393">
        <f t="shared" si="261"/>
        <v>4565.2</v>
      </c>
      <c r="Z679" s="393">
        <f t="shared" si="262"/>
        <v>40497.35</v>
      </c>
      <c r="AD679" s="395">
        <f>IF(AH679&gt;AH678,AD678,IF(AD678&lt;MiscData!$F$1,EOMONTH(AD678,1),EOMONTH(AD678,-11)))</f>
        <v>41882</v>
      </c>
      <c r="AE679" s="389" t="str">
        <f t="shared" si="259"/>
        <v>20140101KUUM_468</v>
      </c>
      <c r="AF679" s="437" t="str">
        <f t="shared" si="260"/>
        <v>20140101LS</v>
      </c>
      <c r="AG679" s="438"/>
      <c r="AH679" s="34">
        <f>IF(AH678=MiscData!$AB$91,1,AH678+1)</f>
        <v>62</v>
      </c>
      <c r="AI679" s="34">
        <f>IF(AD679&lt;=MiscData!$B$23,MiscData!$C$23,IF(AD679&lt;=MiscData!$B$24,MiscData!$C$24,MiscData!$C$25))</f>
        <v>20140101</v>
      </c>
      <c r="AK679" s="439" t="str">
        <f>VLOOKUP(AM679,MiscData!$AB$4:$ACB$113,2,FALSE)</f>
        <v>KUUM_468</v>
      </c>
      <c r="AL679" s="439" t="str">
        <f>VLOOKUP(AM679,MiscData!$AB$4:$AE$115,4,FALSE)</f>
        <v>LS</v>
      </c>
      <c r="AM679" s="34">
        <f>IF(AM678=MiscData!$AB$91,1,AM678+1)</f>
        <v>62</v>
      </c>
    </row>
    <row r="680" spans="1:39">
      <c r="A680" s="389">
        <f t="shared" si="263"/>
        <v>679</v>
      </c>
      <c r="B680" s="395" t="str">
        <f t="shared" si="244"/>
        <v>Aug 2014</v>
      </c>
      <c r="C680" s="396" t="str">
        <f t="shared" si="245"/>
        <v>RLS</v>
      </c>
      <c r="D680" s="396" t="str">
        <f t="shared" si="246"/>
        <v>KUUM_469</v>
      </c>
      <c r="E680" s="394">
        <f t="shared" si="247"/>
        <v>292</v>
      </c>
      <c r="F680" s="397">
        <v>0</v>
      </c>
      <c r="G680" s="394">
        <f t="shared" si="248"/>
        <v>27556</v>
      </c>
      <c r="H680" s="394">
        <v>0</v>
      </c>
      <c r="I680" s="390">
        <f t="shared" si="249"/>
        <v>33.100000000000009</v>
      </c>
      <c r="J680" s="390">
        <f t="shared" si="250"/>
        <v>4.2900000000000063</v>
      </c>
      <c r="K680" s="391">
        <f t="shared" si="264"/>
        <v>9665.2000000000007</v>
      </c>
      <c r="L680" s="398">
        <v>0.01</v>
      </c>
      <c r="M680" s="398">
        <v>0</v>
      </c>
      <c r="N680" s="164">
        <f t="shared" si="243"/>
        <v>9665.2100000000009</v>
      </c>
      <c r="O680" s="399">
        <f t="shared" si="251"/>
        <v>9665.2100000000009</v>
      </c>
      <c r="P680" s="392">
        <f t="shared" si="265"/>
        <v>1</v>
      </c>
      <c r="Q680" s="164">
        <f t="shared" si="252"/>
        <v>-17.21</v>
      </c>
      <c r="R680" s="164">
        <f t="shared" si="253"/>
        <v>0</v>
      </c>
      <c r="S680" s="164">
        <f t="shared" si="254"/>
        <v>310.19</v>
      </c>
      <c r="T680" s="164">
        <f t="shared" si="255"/>
        <v>0</v>
      </c>
      <c r="U680" s="164">
        <f t="shared" si="256"/>
        <v>9958.19</v>
      </c>
      <c r="V680" s="393">
        <f t="shared" si="257"/>
        <v>9958.1900000000023</v>
      </c>
      <c r="W680" s="393">
        <f t="shared" si="258"/>
        <v>0</v>
      </c>
      <c r="Y680" s="393">
        <f t="shared" si="261"/>
        <v>1252.68</v>
      </c>
      <c r="Z680" s="393">
        <f t="shared" si="262"/>
        <v>8412.5300000000007</v>
      </c>
      <c r="AD680" s="395">
        <f>IF(AH680&gt;AH679,AD679,IF(AD679&lt;MiscData!$F$1,EOMONTH(AD679,1),EOMONTH(AD679,-11)))</f>
        <v>41882</v>
      </c>
      <c r="AE680" s="389" t="str">
        <f t="shared" si="259"/>
        <v>20140101KUUM_469</v>
      </c>
      <c r="AF680" s="437" t="str">
        <f t="shared" si="260"/>
        <v>20140101RLS</v>
      </c>
      <c r="AG680" s="438"/>
      <c r="AH680" s="34">
        <f>IF(AH679=MiscData!$AB$91,1,AH679+1)</f>
        <v>63</v>
      </c>
      <c r="AI680" s="34">
        <f>IF(AD680&lt;=MiscData!$B$23,MiscData!$C$23,IF(AD680&lt;=MiscData!$B$24,MiscData!$C$24,MiscData!$C$25))</f>
        <v>20140101</v>
      </c>
      <c r="AK680" s="439" t="str">
        <f>VLOOKUP(AM680,MiscData!$AB$4:$ACB$113,2,FALSE)</f>
        <v>KUUM_469</v>
      </c>
      <c r="AL680" s="439" t="str">
        <f>VLOOKUP(AM680,MiscData!$AB$4:$AE$115,4,FALSE)</f>
        <v>RLS</v>
      </c>
      <c r="AM680" s="34">
        <f>IF(AM679=MiscData!$AB$91,1,AM679+1)</f>
        <v>63</v>
      </c>
    </row>
    <row r="681" spans="1:39">
      <c r="A681" s="389">
        <f t="shared" si="263"/>
        <v>680</v>
      </c>
      <c r="B681" s="395" t="str">
        <f t="shared" si="244"/>
        <v>Aug 2014</v>
      </c>
      <c r="C681" s="396" t="str">
        <f t="shared" si="245"/>
        <v>RLS</v>
      </c>
      <c r="D681" s="396" t="str">
        <f t="shared" si="246"/>
        <v>KUUM_470</v>
      </c>
      <c r="E681" s="394">
        <f t="shared" si="247"/>
        <v>61</v>
      </c>
      <c r="F681" s="397">
        <v>0</v>
      </c>
      <c r="G681" s="394">
        <f t="shared" si="248"/>
        <v>17715</v>
      </c>
      <c r="H681" s="394">
        <v>0</v>
      </c>
      <c r="I681" s="390">
        <f t="shared" si="249"/>
        <v>55.250000000000007</v>
      </c>
      <c r="J681" s="390">
        <f t="shared" si="250"/>
        <v>10.410000000000004</v>
      </c>
      <c r="K681" s="391">
        <f t="shared" si="264"/>
        <v>3370.25</v>
      </c>
      <c r="L681" s="398">
        <v>0</v>
      </c>
      <c r="M681" s="398">
        <v>0</v>
      </c>
      <c r="N681" s="164">
        <f t="shared" si="243"/>
        <v>3370.25</v>
      </c>
      <c r="O681" s="399">
        <f t="shared" si="251"/>
        <v>3370.25</v>
      </c>
      <c r="P681" s="392">
        <f t="shared" si="265"/>
        <v>1</v>
      </c>
      <c r="Q681" s="164">
        <f t="shared" si="252"/>
        <v>-13.62</v>
      </c>
      <c r="R681" s="164">
        <f t="shared" si="253"/>
        <v>0</v>
      </c>
      <c r="S681" s="164">
        <f t="shared" si="254"/>
        <v>107.76</v>
      </c>
      <c r="T681" s="164">
        <f t="shared" si="255"/>
        <v>0</v>
      </c>
      <c r="U681" s="164">
        <f t="shared" si="256"/>
        <v>3464.39</v>
      </c>
      <c r="V681" s="393">
        <f t="shared" si="257"/>
        <v>3464.3900000000003</v>
      </c>
      <c r="W681" s="393">
        <f t="shared" si="258"/>
        <v>0</v>
      </c>
      <c r="Y681" s="393">
        <f t="shared" si="261"/>
        <v>635.01</v>
      </c>
      <c r="Z681" s="393">
        <f t="shared" si="262"/>
        <v>2735.24</v>
      </c>
      <c r="AD681" s="395">
        <f>IF(AH681&gt;AH680,AD680,IF(AD680&lt;MiscData!$F$1,EOMONTH(AD680,1),EOMONTH(AD680,-11)))</f>
        <v>41882</v>
      </c>
      <c r="AE681" s="389" t="str">
        <f t="shared" si="259"/>
        <v>20140101KUUM_470</v>
      </c>
      <c r="AF681" s="437" t="str">
        <f t="shared" si="260"/>
        <v>20140101RLS</v>
      </c>
      <c r="AG681" s="438"/>
      <c r="AH681" s="34">
        <f>IF(AH680=MiscData!$AB$91,1,AH680+1)</f>
        <v>64</v>
      </c>
      <c r="AI681" s="34">
        <f>IF(AD681&lt;=MiscData!$B$23,MiscData!$C$23,IF(AD681&lt;=MiscData!$B$24,MiscData!$C$24,MiscData!$C$25))</f>
        <v>20140101</v>
      </c>
      <c r="AK681" s="439" t="str">
        <f>VLOOKUP(AM681,MiscData!$AB$4:$ACB$113,2,FALSE)</f>
        <v>KUUM_470</v>
      </c>
      <c r="AL681" s="439" t="str">
        <f>VLOOKUP(AM681,MiscData!$AB$4:$AE$115,4,FALSE)</f>
        <v>RLS</v>
      </c>
      <c r="AM681" s="34">
        <f>IF(AM680=MiscData!$AB$91,1,AM680+1)</f>
        <v>64</v>
      </c>
    </row>
    <row r="682" spans="1:39">
      <c r="A682" s="389">
        <f t="shared" si="263"/>
        <v>681</v>
      </c>
      <c r="B682" s="395" t="str">
        <f t="shared" si="244"/>
        <v>Aug 2014</v>
      </c>
      <c r="C682" s="396" t="str">
        <f t="shared" si="245"/>
        <v>RLS</v>
      </c>
      <c r="D682" s="396" t="str">
        <f t="shared" si="246"/>
        <v>KUUM_471</v>
      </c>
      <c r="E682" s="394">
        <f t="shared" si="247"/>
        <v>3666</v>
      </c>
      <c r="F682" s="397">
        <v>0</v>
      </c>
      <c r="G682" s="394">
        <f t="shared" si="248"/>
        <v>57824</v>
      </c>
      <c r="H682" s="394">
        <v>0</v>
      </c>
      <c r="I682" s="390">
        <f t="shared" si="249"/>
        <v>10.49</v>
      </c>
      <c r="J682" s="390">
        <f t="shared" si="250"/>
        <v>0.56999999999999851</v>
      </c>
      <c r="K682" s="391">
        <f t="shared" si="264"/>
        <v>38456.339999999997</v>
      </c>
      <c r="L682" s="398">
        <v>0</v>
      </c>
      <c r="M682" s="398">
        <v>0</v>
      </c>
      <c r="N682" s="164">
        <f t="shared" si="243"/>
        <v>38456.339999999997</v>
      </c>
      <c r="O682" s="399">
        <f t="shared" si="251"/>
        <v>38456.340000000004</v>
      </c>
      <c r="P682" s="392">
        <f t="shared" si="265"/>
        <v>1</v>
      </c>
      <c r="Q682" s="164">
        <f t="shared" si="252"/>
        <v>147.76</v>
      </c>
      <c r="R682" s="164">
        <f t="shared" si="253"/>
        <v>0</v>
      </c>
      <c r="S682" s="164">
        <f t="shared" si="254"/>
        <v>1285.45</v>
      </c>
      <c r="T682" s="164">
        <f t="shared" si="255"/>
        <v>0</v>
      </c>
      <c r="U682" s="164">
        <f t="shared" si="256"/>
        <v>39889.550000000003</v>
      </c>
      <c r="V682" s="393">
        <f t="shared" si="257"/>
        <v>39889.549999999996</v>
      </c>
      <c r="W682" s="393">
        <f t="shared" si="258"/>
        <v>0</v>
      </c>
      <c r="Y682" s="393">
        <f t="shared" si="261"/>
        <v>2089.62</v>
      </c>
      <c r="Z682" s="393">
        <f t="shared" si="262"/>
        <v>36366.720000000001</v>
      </c>
      <c r="AD682" s="395">
        <f>IF(AH682&gt;AH681,AD681,IF(AD681&lt;MiscData!$F$1,EOMONTH(AD681,1),EOMONTH(AD681,-11)))</f>
        <v>41882</v>
      </c>
      <c r="AE682" s="389" t="str">
        <f t="shared" si="259"/>
        <v>20140101KUUM_471</v>
      </c>
      <c r="AF682" s="437" t="str">
        <f t="shared" si="260"/>
        <v>20140101RLS</v>
      </c>
      <c r="AG682" s="438"/>
      <c r="AH682" s="34">
        <f>IF(AH681=MiscData!$AB$91,1,AH681+1)</f>
        <v>65</v>
      </c>
      <c r="AI682" s="34">
        <f>IF(AD682&lt;=MiscData!$B$23,MiscData!$C$23,IF(AD682&lt;=MiscData!$B$24,MiscData!$C$24,MiscData!$C$25))</f>
        <v>20140101</v>
      </c>
      <c r="AK682" s="439" t="str">
        <f>VLOOKUP(AM682,MiscData!$AB$4:$ACB$113,2,FALSE)</f>
        <v>KUUM_471</v>
      </c>
      <c r="AL682" s="439" t="str">
        <f>VLOOKUP(AM682,MiscData!$AB$4:$AE$115,4,FALSE)</f>
        <v>RLS</v>
      </c>
      <c r="AM682" s="34">
        <f>IF(AM681=MiscData!$AB$91,1,AM681+1)</f>
        <v>65</v>
      </c>
    </row>
    <row r="683" spans="1:39">
      <c r="A683" s="389">
        <f t="shared" si="263"/>
        <v>682</v>
      </c>
      <c r="B683" s="395" t="str">
        <f t="shared" si="244"/>
        <v>Aug 2014</v>
      </c>
      <c r="C683" s="396" t="str">
        <f t="shared" si="245"/>
        <v>LS</v>
      </c>
      <c r="D683" s="396" t="str">
        <f t="shared" si="246"/>
        <v>KUUM_472</v>
      </c>
      <c r="E683" s="394">
        <f t="shared" si="247"/>
        <v>8799</v>
      </c>
      <c r="F683" s="397">
        <v>0</v>
      </c>
      <c r="G683" s="394">
        <f t="shared" si="248"/>
        <v>191984</v>
      </c>
      <c r="H683" s="394">
        <v>0</v>
      </c>
      <c r="I683" s="390">
        <f t="shared" si="249"/>
        <v>11.600000000000001</v>
      </c>
      <c r="J683" s="390">
        <f t="shared" si="250"/>
        <v>0.80000000000000071</v>
      </c>
      <c r="K683" s="391">
        <f t="shared" si="264"/>
        <v>102068.4</v>
      </c>
      <c r="L683" s="398">
        <v>29.77</v>
      </c>
      <c r="M683" s="398">
        <v>0</v>
      </c>
      <c r="N683" s="164">
        <f t="shared" si="243"/>
        <v>102098.17</v>
      </c>
      <c r="O683" s="399">
        <f t="shared" si="251"/>
        <v>102098.17</v>
      </c>
      <c r="P683" s="392">
        <f t="shared" si="265"/>
        <v>1</v>
      </c>
      <c r="Q683" s="164">
        <f t="shared" si="252"/>
        <v>485.02</v>
      </c>
      <c r="R683" s="164">
        <f t="shared" si="253"/>
        <v>0</v>
      </c>
      <c r="S683" s="164">
        <f t="shared" si="254"/>
        <v>3414.8</v>
      </c>
      <c r="T683" s="164">
        <f t="shared" si="255"/>
        <v>0</v>
      </c>
      <c r="U683" s="164">
        <f t="shared" si="256"/>
        <v>105997.99</v>
      </c>
      <c r="V683" s="393">
        <f t="shared" si="257"/>
        <v>105997.99</v>
      </c>
      <c r="W683" s="393">
        <f t="shared" si="258"/>
        <v>0</v>
      </c>
      <c r="Y683" s="393">
        <f t="shared" si="261"/>
        <v>7039.2</v>
      </c>
      <c r="Z683" s="393">
        <f t="shared" si="262"/>
        <v>95058.97</v>
      </c>
      <c r="AD683" s="395">
        <f>IF(AH683&gt;AH682,AD682,IF(AD682&lt;MiscData!$F$1,EOMONTH(AD682,1),EOMONTH(AD682,-11)))</f>
        <v>41882</v>
      </c>
      <c r="AE683" s="389" t="str">
        <f t="shared" si="259"/>
        <v>20140101KUUM_472</v>
      </c>
      <c r="AF683" s="437" t="str">
        <f t="shared" si="260"/>
        <v>20140101LS</v>
      </c>
      <c r="AG683" s="438"/>
      <c r="AH683" s="34">
        <f>IF(AH682=MiscData!$AB$91,1,AH682+1)</f>
        <v>66</v>
      </c>
      <c r="AI683" s="34">
        <f>IF(AD683&lt;=MiscData!$B$23,MiscData!$C$23,IF(AD683&lt;=MiscData!$B$24,MiscData!$C$24,MiscData!$C$25))</f>
        <v>20140101</v>
      </c>
      <c r="AK683" s="439" t="str">
        <f>VLOOKUP(AM683,MiscData!$AB$4:$ACB$113,2,FALSE)</f>
        <v>KUUM_472</v>
      </c>
      <c r="AL683" s="439" t="str">
        <f>VLOOKUP(AM683,MiscData!$AB$4:$AE$115,4,FALSE)</f>
        <v>LS</v>
      </c>
      <c r="AM683" s="34">
        <f>IF(AM682=MiscData!$AB$91,1,AM682+1)</f>
        <v>66</v>
      </c>
    </row>
    <row r="684" spans="1:39">
      <c r="A684" s="389">
        <f t="shared" si="263"/>
        <v>683</v>
      </c>
      <c r="B684" s="395" t="str">
        <f t="shared" si="244"/>
        <v>Aug 2014</v>
      </c>
      <c r="C684" s="396" t="str">
        <f t="shared" si="245"/>
        <v>LS</v>
      </c>
      <c r="D684" s="396" t="str">
        <f t="shared" si="246"/>
        <v>KUUM_473</v>
      </c>
      <c r="E684" s="394">
        <f t="shared" si="247"/>
        <v>3375</v>
      </c>
      <c r="F684" s="397">
        <v>0</v>
      </c>
      <c r="G684" s="394">
        <f t="shared" si="248"/>
        <v>105591</v>
      </c>
      <c r="H684" s="394">
        <v>0</v>
      </c>
      <c r="I684" s="390">
        <f t="shared" si="249"/>
        <v>12.3</v>
      </c>
      <c r="J684" s="390">
        <f t="shared" si="250"/>
        <v>1.129999999999999</v>
      </c>
      <c r="K684" s="391">
        <f t="shared" si="264"/>
        <v>41512.5</v>
      </c>
      <c r="L684" s="398">
        <v>0</v>
      </c>
      <c r="M684" s="398">
        <v>0</v>
      </c>
      <c r="N684" s="164">
        <f t="shared" si="243"/>
        <v>41512.5</v>
      </c>
      <c r="O684" s="399">
        <f t="shared" si="251"/>
        <v>41512.5</v>
      </c>
      <c r="P684" s="392">
        <f t="shared" si="265"/>
        <v>1</v>
      </c>
      <c r="Q684" s="164">
        <f t="shared" si="252"/>
        <v>128.08000000000001</v>
      </c>
      <c r="R684" s="164">
        <f t="shared" si="253"/>
        <v>0</v>
      </c>
      <c r="S684" s="164">
        <f t="shared" si="254"/>
        <v>1366.88</v>
      </c>
      <c r="T684" s="164">
        <f t="shared" si="255"/>
        <v>0</v>
      </c>
      <c r="U684" s="164">
        <f t="shared" si="256"/>
        <v>43007.46</v>
      </c>
      <c r="V684" s="393">
        <f t="shared" si="257"/>
        <v>43007.46</v>
      </c>
      <c r="W684" s="393">
        <f t="shared" si="258"/>
        <v>0</v>
      </c>
      <c r="Y684" s="393">
        <f t="shared" si="261"/>
        <v>3813.75</v>
      </c>
      <c r="Z684" s="393">
        <f t="shared" si="262"/>
        <v>37698.75</v>
      </c>
      <c r="AD684" s="395">
        <f>IF(AH684&gt;AH683,AD683,IF(AD683&lt;MiscData!$F$1,EOMONTH(AD683,1),EOMONTH(AD683,-11)))</f>
        <v>41882</v>
      </c>
      <c r="AE684" s="389" t="str">
        <f t="shared" si="259"/>
        <v>20140101KUUM_473</v>
      </c>
      <c r="AF684" s="437" t="str">
        <f t="shared" si="260"/>
        <v>20140101LS</v>
      </c>
      <c r="AG684" s="438"/>
      <c r="AH684" s="34">
        <f>IF(AH683=MiscData!$AB$91,1,AH683+1)</f>
        <v>67</v>
      </c>
      <c r="AI684" s="34">
        <f>IF(AD684&lt;=MiscData!$B$23,MiscData!$C$23,IF(AD684&lt;=MiscData!$B$24,MiscData!$C$24,MiscData!$C$25))</f>
        <v>20140101</v>
      </c>
      <c r="AK684" s="439" t="str">
        <f>VLOOKUP(AM684,MiscData!$AB$4:$ACB$113,2,FALSE)</f>
        <v>KUUM_473</v>
      </c>
      <c r="AL684" s="439" t="str">
        <f>VLOOKUP(AM684,MiscData!$AB$4:$AE$115,4,FALSE)</f>
        <v>LS</v>
      </c>
      <c r="AM684" s="34">
        <f>IF(AM683=MiscData!$AB$91,1,AM683+1)</f>
        <v>67</v>
      </c>
    </row>
    <row r="685" spans="1:39">
      <c r="A685" s="389">
        <f t="shared" si="263"/>
        <v>684</v>
      </c>
      <c r="B685" s="395" t="str">
        <f t="shared" si="244"/>
        <v>Aug 2014</v>
      </c>
      <c r="C685" s="396" t="str">
        <f t="shared" si="245"/>
        <v>LS</v>
      </c>
      <c r="D685" s="396" t="str">
        <f t="shared" si="246"/>
        <v>KUUM_474</v>
      </c>
      <c r="E685" s="394">
        <f t="shared" si="247"/>
        <v>5183</v>
      </c>
      <c r="F685" s="397">
        <v>0</v>
      </c>
      <c r="G685" s="394">
        <f t="shared" si="248"/>
        <v>332928</v>
      </c>
      <c r="H685" s="394">
        <v>0</v>
      </c>
      <c r="I685" s="390">
        <f t="shared" si="249"/>
        <v>17.41</v>
      </c>
      <c r="J685" s="390">
        <f t="shared" si="250"/>
        <v>2.33</v>
      </c>
      <c r="K685" s="391">
        <f t="shared" si="264"/>
        <v>90236.03</v>
      </c>
      <c r="L685" s="398">
        <v>-33.659999999999997</v>
      </c>
      <c r="M685" s="398">
        <v>0</v>
      </c>
      <c r="N685" s="164">
        <f t="shared" si="243"/>
        <v>90202.37</v>
      </c>
      <c r="O685" s="399">
        <f t="shared" si="251"/>
        <v>90202.37</v>
      </c>
      <c r="P685" s="392">
        <f t="shared" si="265"/>
        <v>1</v>
      </c>
      <c r="Q685" s="164">
        <f t="shared" si="252"/>
        <v>404.09</v>
      </c>
      <c r="R685" s="164">
        <f t="shared" si="253"/>
        <v>0</v>
      </c>
      <c r="S685" s="164">
        <f t="shared" si="254"/>
        <v>2974.09</v>
      </c>
      <c r="T685" s="164">
        <f t="shared" si="255"/>
        <v>0</v>
      </c>
      <c r="U685" s="164">
        <f t="shared" si="256"/>
        <v>93580.55</v>
      </c>
      <c r="V685" s="393">
        <f t="shared" si="257"/>
        <v>93580.549999999988</v>
      </c>
      <c r="W685" s="393">
        <f t="shared" si="258"/>
        <v>0</v>
      </c>
      <c r="Y685" s="393">
        <f t="shared" si="261"/>
        <v>12076.39</v>
      </c>
      <c r="Z685" s="393">
        <f t="shared" si="262"/>
        <v>78125.98</v>
      </c>
      <c r="AD685" s="395">
        <f>IF(AH685&gt;AH684,AD684,IF(AD684&lt;MiscData!$F$1,EOMONTH(AD684,1),EOMONTH(AD684,-11)))</f>
        <v>41882</v>
      </c>
      <c r="AE685" s="389" t="str">
        <f t="shared" si="259"/>
        <v>20140101KUUM_474</v>
      </c>
      <c r="AF685" s="437" t="str">
        <f t="shared" si="260"/>
        <v>20140101LS</v>
      </c>
      <c r="AG685" s="438"/>
      <c r="AH685" s="34">
        <f>IF(AH684=MiscData!$AB$91,1,AH684+1)</f>
        <v>68</v>
      </c>
      <c r="AI685" s="34">
        <f>IF(AD685&lt;=MiscData!$B$23,MiscData!$C$23,IF(AD685&lt;=MiscData!$B$24,MiscData!$C$24,MiscData!$C$25))</f>
        <v>20140101</v>
      </c>
      <c r="AK685" s="439" t="str">
        <f>VLOOKUP(AM685,MiscData!$AB$4:$ACB$113,2,FALSE)</f>
        <v>KUUM_474</v>
      </c>
      <c r="AL685" s="439" t="str">
        <f>VLOOKUP(AM685,MiscData!$AB$4:$AE$115,4,FALSE)</f>
        <v>LS</v>
      </c>
      <c r="AM685" s="34">
        <f>IF(AM684=MiscData!$AB$91,1,AM684+1)</f>
        <v>68</v>
      </c>
    </row>
    <row r="686" spans="1:39">
      <c r="A686" s="389">
        <f t="shared" si="263"/>
        <v>685</v>
      </c>
      <c r="B686" s="395" t="str">
        <f t="shared" si="244"/>
        <v>Aug 2014</v>
      </c>
      <c r="C686" s="396" t="str">
        <f t="shared" si="245"/>
        <v>LS</v>
      </c>
      <c r="D686" s="396" t="str">
        <f t="shared" si="246"/>
        <v>KUUM_475</v>
      </c>
      <c r="E686" s="394">
        <f t="shared" si="247"/>
        <v>509</v>
      </c>
      <c r="F686" s="397">
        <v>0</v>
      </c>
      <c r="G686" s="394">
        <f t="shared" si="248"/>
        <v>63945</v>
      </c>
      <c r="H686" s="394">
        <v>0</v>
      </c>
      <c r="I686" s="390">
        <f t="shared" si="249"/>
        <v>24.46</v>
      </c>
      <c r="J686" s="390">
        <f t="shared" si="250"/>
        <v>4.5300000000000011</v>
      </c>
      <c r="K686" s="391">
        <f t="shared" si="264"/>
        <v>12450.14</v>
      </c>
      <c r="L686" s="398">
        <v>0</v>
      </c>
      <c r="M686" s="398">
        <v>0</v>
      </c>
      <c r="N686" s="164">
        <f t="shared" si="243"/>
        <v>12450.14</v>
      </c>
      <c r="O686" s="399">
        <f t="shared" si="251"/>
        <v>12450.140000000001</v>
      </c>
      <c r="P686" s="392">
        <f t="shared" si="265"/>
        <v>1</v>
      </c>
      <c r="Q686" s="164">
        <f t="shared" si="252"/>
        <v>82.62</v>
      </c>
      <c r="R686" s="164">
        <f t="shared" si="253"/>
        <v>0</v>
      </c>
      <c r="S686" s="164">
        <f t="shared" si="254"/>
        <v>411.6</v>
      </c>
      <c r="T686" s="164">
        <f t="shared" si="255"/>
        <v>0</v>
      </c>
      <c r="U686" s="164">
        <f t="shared" si="256"/>
        <v>12944.36</v>
      </c>
      <c r="V686" s="393">
        <f t="shared" si="257"/>
        <v>12944.36</v>
      </c>
      <c r="W686" s="393">
        <f t="shared" si="258"/>
        <v>0</v>
      </c>
      <c r="Y686" s="393">
        <f t="shared" si="261"/>
        <v>2305.77</v>
      </c>
      <c r="Z686" s="393">
        <f t="shared" si="262"/>
        <v>10144.370000000001</v>
      </c>
      <c r="AD686" s="395">
        <f>IF(AH686&gt;AH685,AD685,IF(AD685&lt;MiscData!$F$1,EOMONTH(AD685,1),EOMONTH(AD685,-11)))</f>
        <v>41882</v>
      </c>
      <c r="AE686" s="389" t="str">
        <f t="shared" si="259"/>
        <v>20140101KUUM_475</v>
      </c>
      <c r="AF686" s="437" t="str">
        <f t="shared" si="260"/>
        <v>20140101LS</v>
      </c>
      <c r="AG686" s="438"/>
      <c r="AH686" s="34">
        <f>IF(AH685=MiscData!$AB$91,1,AH685+1)</f>
        <v>69</v>
      </c>
      <c r="AI686" s="34">
        <f>IF(AD686&lt;=MiscData!$B$23,MiscData!$C$23,IF(AD686&lt;=MiscData!$B$24,MiscData!$C$24,MiscData!$C$25))</f>
        <v>20140101</v>
      </c>
      <c r="AK686" s="439" t="str">
        <f>VLOOKUP(AM686,MiscData!$AB$4:$ACB$113,2,FALSE)</f>
        <v>KUUM_475</v>
      </c>
      <c r="AL686" s="439" t="str">
        <f>VLOOKUP(AM686,MiscData!$AB$4:$AE$115,4,FALSE)</f>
        <v>LS</v>
      </c>
      <c r="AM686" s="34">
        <f>IF(AM685=MiscData!$AB$91,1,AM685+1)</f>
        <v>69</v>
      </c>
    </row>
    <row r="687" spans="1:39">
      <c r="A687" s="389">
        <f t="shared" si="263"/>
        <v>686</v>
      </c>
      <c r="B687" s="395" t="str">
        <f t="shared" si="244"/>
        <v>Aug 2014</v>
      </c>
      <c r="C687" s="396" t="str">
        <f t="shared" si="245"/>
        <v>LS</v>
      </c>
      <c r="D687" s="396" t="str">
        <f t="shared" si="246"/>
        <v>KUUM_476</v>
      </c>
      <c r="E687" s="394">
        <f t="shared" si="247"/>
        <v>4575</v>
      </c>
      <c r="F687" s="397">
        <v>0</v>
      </c>
      <c r="G687" s="394">
        <f t="shared" si="248"/>
        <v>100028</v>
      </c>
      <c r="H687" s="394">
        <v>0</v>
      </c>
      <c r="I687" s="390">
        <f t="shared" si="249"/>
        <v>16.79</v>
      </c>
      <c r="J687" s="390">
        <f t="shared" si="250"/>
        <v>0.79999999999999893</v>
      </c>
      <c r="K687" s="391">
        <f t="shared" si="264"/>
        <v>76814.25</v>
      </c>
      <c r="L687" s="398">
        <v>178.53</v>
      </c>
      <c r="M687" s="398">
        <v>0</v>
      </c>
      <c r="N687" s="164">
        <f t="shared" si="243"/>
        <v>76992.78</v>
      </c>
      <c r="O687" s="399">
        <f t="shared" si="251"/>
        <v>76992.78</v>
      </c>
      <c r="P687" s="392">
        <f t="shared" si="265"/>
        <v>1</v>
      </c>
      <c r="Q687" s="164">
        <f t="shared" si="252"/>
        <v>254.58</v>
      </c>
      <c r="R687" s="164">
        <f t="shared" si="253"/>
        <v>0</v>
      </c>
      <c r="S687" s="164">
        <f t="shared" si="254"/>
        <v>2571.9299999999998</v>
      </c>
      <c r="T687" s="164">
        <f t="shared" si="255"/>
        <v>0</v>
      </c>
      <c r="U687" s="164">
        <f t="shared" si="256"/>
        <v>79819.289999999994</v>
      </c>
      <c r="V687" s="393">
        <f t="shared" si="257"/>
        <v>79819.289999999994</v>
      </c>
      <c r="W687" s="393">
        <f t="shared" si="258"/>
        <v>0</v>
      </c>
      <c r="Y687" s="393">
        <f t="shared" si="261"/>
        <v>3660</v>
      </c>
      <c r="Z687" s="393">
        <f t="shared" si="262"/>
        <v>73332.78</v>
      </c>
      <c r="AD687" s="395">
        <f>IF(AH687&gt;AH686,AD686,IF(AD686&lt;MiscData!$F$1,EOMONTH(AD686,1),EOMONTH(AD686,-11)))</f>
        <v>41882</v>
      </c>
      <c r="AE687" s="389" t="str">
        <f t="shared" si="259"/>
        <v>20140101KUUM_476</v>
      </c>
      <c r="AF687" s="437" t="str">
        <f t="shared" si="260"/>
        <v>20140101LS</v>
      </c>
      <c r="AG687" s="438"/>
      <c r="AH687" s="34">
        <f>IF(AH686=MiscData!$AB$91,1,AH686+1)</f>
        <v>70</v>
      </c>
      <c r="AI687" s="34">
        <f>IF(AD687&lt;=MiscData!$B$23,MiscData!$C$23,IF(AD687&lt;=MiscData!$B$24,MiscData!$C$24,MiscData!$C$25))</f>
        <v>20140101</v>
      </c>
      <c r="AK687" s="439" t="str">
        <f>VLOOKUP(AM687,MiscData!$AB$4:$ACB$113,2,FALSE)</f>
        <v>KUUM_476</v>
      </c>
      <c r="AL687" s="439" t="str">
        <f>VLOOKUP(AM687,MiscData!$AB$4:$AE$115,4,FALSE)</f>
        <v>LS</v>
      </c>
      <c r="AM687" s="34">
        <f>IF(AM686=MiscData!$AB$91,1,AM686+1)</f>
        <v>70</v>
      </c>
    </row>
    <row r="688" spans="1:39">
      <c r="A688" s="389">
        <f t="shared" si="263"/>
        <v>687</v>
      </c>
      <c r="B688" s="395" t="str">
        <f t="shared" si="244"/>
        <v>Aug 2014</v>
      </c>
      <c r="C688" s="396" t="str">
        <f t="shared" si="245"/>
        <v>LS</v>
      </c>
      <c r="D688" s="396" t="str">
        <f t="shared" si="246"/>
        <v>KUUM_477</v>
      </c>
      <c r="E688" s="394">
        <f t="shared" si="247"/>
        <v>1054</v>
      </c>
      <c r="F688" s="397">
        <v>0</v>
      </c>
      <c r="G688" s="394">
        <f t="shared" si="248"/>
        <v>32965</v>
      </c>
      <c r="H688" s="394">
        <v>0</v>
      </c>
      <c r="I688" s="390">
        <f t="shared" si="249"/>
        <v>20.97</v>
      </c>
      <c r="J688" s="390">
        <f t="shared" si="250"/>
        <v>1.129999999999999</v>
      </c>
      <c r="K688" s="391">
        <f t="shared" si="264"/>
        <v>22102.38</v>
      </c>
      <c r="L688" s="398">
        <v>4.9000000000000004</v>
      </c>
      <c r="M688" s="398">
        <v>0</v>
      </c>
      <c r="N688" s="164">
        <f t="shared" si="243"/>
        <v>22107.280000000002</v>
      </c>
      <c r="O688" s="399">
        <f t="shared" si="251"/>
        <v>22107.280000000002</v>
      </c>
      <c r="P688" s="392">
        <f t="shared" si="265"/>
        <v>1</v>
      </c>
      <c r="Q688" s="164">
        <f t="shared" si="252"/>
        <v>30.54</v>
      </c>
      <c r="R688" s="164">
        <f t="shared" si="253"/>
        <v>0</v>
      </c>
      <c r="S688" s="164">
        <f t="shared" si="254"/>
        <v>724.33</v>
      </c>
      <c r="T688" s="164">
        <f t="shared" si="255"/>
        <v>0</v>
      </c>
      <c r="U688" s="164">
        <f t="shared" si="256"/>
        <v>22862.15</v>
      </c>
      <c r="V688" s="393">
        <f t="shared" si="257"/>
        <v>22862.150000000005</v>
      </c>
      <c r="W688" s="393">
        <f t="shared" si="258"/>
        <v>0</v>
      </c>
      <c r="Y688" s="393">
        <f t="shared" si="261"/>
        <v>1191.02</v>
      </c>
      <c r="Z688" s="393">
        <f t="shared" si="262"/>
        <v>20916.260000000002</v>
      </c>
      <c r="AD688" s="395">
        <f>IF(AH688&gt;AH687,AD687,IF(AD687&lt;MiscData!$F$1,EOMONTH(AD687,1),EOMONTH(AD687,-11)))</f>
        <v>41882</v>
      </c>
      <c r="AE688" s="389" t="str">
        <f t="shared" si="259"/>
        <v>20140101KUUM_477</v>
      </c>
      <c r="AF688" s="437" t="str">
        <f t="shared" si="260"/>
        <v>20140101LS</v>
      </c>
      <c r="AG688" s="438"/>
      <c r="AH688" s="34">
        <f>IF(AH687=MiscData!$AB$91,1,AH687+1)</f>
        <v>71</v>
      </c>
      <c r="AI688" s="34">
        <f>IF(AD688&lt;=MiscData!$B$23,MiscData!$C$23,IF(AD688&lt;=MiscData!$B$24,MiscData!$C$24,MiscData!$C$25))</f>
        <v>20140101</v>
      </c>
      <c r="AK688" s="439" t="str">
        <f>VLOOKUP(AM688,MiscData!$AB$4:$ACB$113,2,FALSE)</f>
        <v>KUUM_477</v>
      </c>
      <c r="AL688" s="439" t="str">
        <f>VLOOKUP(AM688,MiscData!$AB$4:$AE$115,4,FALSE)</f>
        <v>LS</v>
      </c>
      <c r="AM688" s="34">
        <f>IF(AM687=MiscData!$AB$91,1,AM687+1)</f>
        <v>71</v>
      </c>
    </row>
    <row r="689" spans="1:39">
      <c r="A689" s="389">
        <f t="shared" si="263"/>
        <v>688</v>
      </c>
      <c r="B689" s="395" t="str">
        <f t="shared" si="244"/>
        <v>Aug 2014</v>
      </c>
      <c r="C689" s="396" t="str">
        <f t="shared" si="245"/>
        <v>LS</v>
      </c>
      <c r="D689" s="396" t="str">
        <f t="shared" si="246"/>
        <v>KUUM_478</v>
      </c>
      <c r="E689" s="394">
        <f t="shared" si="247"/>
        <v>1407</v>
      </c>
      <c r="F689" s="397">
        <v>0</v>
      </c>
      <c r="G689" s="394">
        <f t="shared" si="248"/>
        <v>91132</v>
      </c>
      <c r="H689" s="394">
        <v>0</v>
      </c>
      <c r="I689" s="390">
        <f t="shared" si="249"/>
        <v>26.86</v>
      </c>
      <c r="J689" s="390">
        <f t="shared" si="250"/>
        <v>2.3299999999999983</v>
      </c>
      <c r="K689" s="391">
        <f t="shared" si="264"/>
        <v>37792.019999999997</v>
      </c>
      <c r="L689" s="398">
        <v>0.01</v>
      </c>
      <c r="M689" s="398">
        <v>0</v>
      </c>
      <c r="N689" s="164">
        <f t="shared" si="243"/>
        <v>37792.03</v>
      </c>
      <c r="O689" s="399">
        <f t="shared" si="251"/>
        <v>37792.03</v>
      </c>
      <c r="P689" s="392">
        <f t="shared" si="265"/>
        <v>1</v>
      </c>
      <c r="Q689" s="164">
        <f t="shared" si="252"/>
        <v>56.29</v>
      </c>
      <c r="R689" s="164">
        <f t="shared" si="253"/>
        <v>0</v>
      </c>
      <c r="S689" s="164">
        <f t="shared" si="254"/>
        <v>1234.1400000000001</v>
      </c>
      <c r="T689" s="164">
        <f t="shared" si="255"/>
        <v>0</v>
      </c>
      <c r="U689" s="164">
        <f t="shared" si="256"/>
        <v>39082.46</v>
      </c>
      <c r="V689" s="393">
        <f t="shared" si="257"/>
        <v>39082.46</v>
      </c>
      <c r="W689" s="393">
        <f t="shared" si="258"/>
        <v>0</v>
      </c>
      <c r="Y689" s="393">
        <f t="shared" si="261"/>
        <v>3278.31</v>
      </c>
      <c r="Z689" s="393">
        <f t="shared" si="262"/>
        <v>34513.72</v>
      </c>
      <c r="AD689" s="395">
        <f>IF(AH689&gt;AH688,AD688,IF(AD688&lt;MiscData!$F$1,EOMONTH(AD688,1),EOMONTH(AD688,-11)))</f>
        <v>41882</v>
      </c>
      <c r="AE689" s="389" t="str">
        <f t="shared" si="259"/>
        <v>20140101KUUM_478</v>
      </c>
      <c r="AF689" s="437" t="str">
        <f t="shared" si="260"/>
        <v>20140101LS</v>
      </c>
      <c r="AG689" s="438"/>
      <c r="AH689" s="34">
        <f>IF(AH688=MiscData!$AB$91,1,AH688+1)</f>
        <v>72</v>
      </c>
      <c r="AI689" s="34">
        <f>IF(AD689&lt;=MiscData!$B$23,MiscData!$C$23,IF(AD689&lt;=MiscData!$B$24,MiscData!$C$24,MiscData!$C$25))</f>
        <v>20140101</v>
      </c>
      <c r="AK689" s="439" t="str">
        <f>VLOOKUP(AM689,MiscData!$AB$4:$ACB$113,2,FALSE)</f>
        <v>KUUM_478</v>
      </c>
      <c r="AL689" s="439" t="str">
        <f>VLOOKUP(AM689,MiscData!$AB$4:$AE$115,4,FALSE)</f>
        <v>LS</v>
      </c>
      <c r="AM689" s="34">
        <f>IF(AM688=MiscData!$AB$91,1,AM688+1)</f>
        <v>72</v>
      </c>
    </row>
    <row r="690" spans="1:39">
      <c r="A690" s="389">
        <f t="shared" si="263"/>
        <v>689</v>
      </c>
      <c r="B690" s="395" t="str">
        <f t="shared" si="244"/>
        <v>Aug 2014</v>
      </c>
      <c r="C690" s="396" t="str">
        <f t="shared" si="245"/>
        <v>LS</v>
      </c>
      <c r="D690" s="396" t="str">
        <f t="shared" si="246"/>
        <v>KUUM_479</v>
      </c>
      <c r="E690" s="394">
        <f t="shared" si="247"/>
        <v>941</v>
      </c>
      <c r="F690" s="397">
        <v>0</v>
      </c>
      <c r="G690" s="394">
        <f t="shared" si="248"/>
        <v>120856</v>
      </c>
      <c r="H690" s="394">
        <v>0</v>
      </c>
      <c r="I690" s="390">
        <f t="shared" si="249"/>
        <v>33.119999999999997</v>
      </c>
      <c r="J690" s="390">
        <f t="shared" si="250"/>
        <v>4.529999999999994</v>
      </c>
      <c r="K690" s="391">
        <f t="shared" si="264"/>
        <v>31165.919999999998</v>
      </c>
      <c r="L690" s="398">
        <v>262.31</v>
      </c>
      <c r="M690" s="398">
        <v>0</v>
      </c>
      <c r="N690" s="164">
        <f t="shared" si="243"/>
        <v>31428.23</v>
      </c>
      <c r="O690" s="399">
        <f t="shared" si="251"/>
        <v>31428.23</v>
      </c>
      <c r="P690" s="392">
        <f t="shared" si="265"/>
        <v>1</v>
      </c>
      <c r="Q690" s="164">
        <f t="shared" si="252"/>
        <v>-45.72</v>
      </c>
      <c r="R690" s="164">
        <f t="shared" si="253"/>
        <v>0</v>
      </c>
      <c r="S690" s="164">
        <f t="shared" si="254"/>
        <v>1011.95</v>
      </c>
      <c r="T690" s="164">
        <f t="shared" si="255"/>
        <v>0</v>
      </c>
      <c r="U690" s="164">
        <f t="shared" si="256"/>
        <v>32394.46</v>
      </c>
      <c r="V690" s="393">
        <f t="shared" si="257"/>
        <v>32394.46</v>
      </c>
      <c r="W690" s="393">
        <f t="shared" si="258"/>
        <v>0</v>
      </c>
      <c r="Y690" s="393">
        <f t="shared" si="261"/>
        <v>4262.7299999999996</v>
      </c>
      <c r="Z690" s="393">
        <f t="shared" si="262"/>
        <v>27165.5</v>
      </c>
      <c r="AD690" s="395">
        <f>IF(AH690&gt;AH689,AD689,IF(AD689&lt;MiscData!$F$1,EOMONTH(AD689,1),EOMONTH(AD689,-11)))</f>
        <v>41882</v>
      </c>
      <c r="AE690" s="389" t="str">
        <f t="shared" si="259"/>
        <v>20140101KUUM_479</v>
      </c>
      <c r="AF690" s="437" t="str">
        <f t="shared" si="260"/>
        <v>20140101LS</v>
      </c>
      <c r="AG690" s="438"/>
      <c r="AH690" s="34">
        <f>IF(AH689=MiscData!$AB$91,1,AH689+1)</f>
        <v>73</v>
      </c>
      <c r="AI690" s="34">
        <f>IF(AD690&lt;=MiscData!$B$23,MiscData!$C$23,IF(AD690&lt;=MiscData!$B$24,MiscData!$C$24,MiscData!$C$25))</f>
        <v>20140101</v>
      </c>
      <c r="AK690" s="439" t="str">
        <f>VLOOKUP(AM690,MiscData!$AB$4:$ACB$113,2,FALSE)</f>
        <v>KUUM_479</v>
      </c>
      <c r="AL690" s="439" t="str">
        <f>VLOOKUP(AM690,MiscData!$AB$4:$AE$115,4,FALSE)</f>
        <v>LS</v>
      </c>
      <c r="AM690" s="34">
        <f>IF(AM689=MiscData!$AB$91,1,AM689+1)</f>
        <v>73</v>
      </c>
    </row>
    <row r="691" spans="1:39">
      <c r="A691" s="389">
        <f t="shared" si="263"/>
        <v>690</v>
      </c>
      <c r="B691" s="395" t="str">
        <f t="shared" si="244"/>
        <v>Aug 2014</v>
      </c>
      <c r="C691" s="396" t="str">
        <f t="shared" si="245"/>
        <v>LS</v>
      </c>
      <c r="D691" s="396" t="str">
        <f t="shared" si="246"/>
        <v>KUUM_486</v>
      </c>
      <c r="E691" s="394">
        <f t="shared" si="247"/>
        <v>0</v>
      </c>
      <c r="F691" s="397">
        <v>0</v>
      </c>
      <c r="G691" s="394">
        <f t="shared" si="248"/>
        <v>0</v>
      </c>
      <c r="H691" s="394">
        <v>0</v>
      </c>
      <c r="I691" s="390">
        <f t="shared" si="249"/>
        <v>0</v>
      </c>
      <c r="J691" s="390">
        <f t="shared" si="250"/>
        <v>0</v>
      </c>
      <c r="K691" s="391">
        <f t="shared" si="264"/>
        <v>0</v>
      </c>
      <c r="L691" s="398">
        <v>0</v>
      </c>
      <c r="M691" s="398">
        <v>0</v>
      </c>
      <c r="N691" s="164">
        <f t="shared" si="243"/>
        <v>0</v>
      </c>
      <c r="O691" s="399">
        <f t="shared" si="251"/>
        <v>0</v>
      </c>
      <c r="P691" s="392">
        <f t="shared" si="265"/>
        <v>1</v>
      </c>
      <c r="Q691" s="164">
        <f t="shared" si="252"/>
        <v>0</v>
      </c>
      <c r="R691" s="164">
        <f t="shared" si="253"/>
        <v>0</v>
      </c>
      <c r="S691" s="164">
        <f t="shared" si="254"/>
        <v>0</v>
      </c>
      <c r="T691" s="164">
        <f t="shared" si="255"/>
        <v>0</v>
      </c>
      <c r="U691" s="164">
        <f t="shared" si="256"/>
        <v>0</v>
      </c>
      <c r="V691" s="393">
        <f t="shared" si="257"/>
        <v>0</v>
      </c>
      <c r="W691" s="393">
        <f t="shared" si="258"/>
        <v>0</v>
      </c>
      <c r="Y691" s="393">
        <f t="shared" si="261"/>
        <v>0</v>
      </c>
      <c r="Z691" s="393">
        <f t="shared" si="262"/>
        <v>0</v>
      </c>
      <c r="AD691" s="395">
        <f>IF(AH691&gt;AH690,AD690,IF(AD690&lt;MiscData!$F$1,EOMONTH(AD690,1),EOMONTH(AD690,-11)))</f>
        <v>41882</v>
      </c>
      <c r="AE691" s="389" t="str">
        <f t="shared" si="259"/>
        <v>20140101KUUM_486</v>
      </c>
      <c r="AF691" s="437" t="str">
        <f t="shared" si="260"/>
        <v>20140101LS</v>
      </c>
      <c r="AG691" s="438"/>
      <c r="AH691" s="34">
        <f>IF(AH690=MiscData!$AB$91,1,AH690+1)</f>
        <v>74</v>
      </c>
      <c r="AI691" s="34">
        <f>IF(AD691&lt;=MiscData!$B$23,MiscData!$C$23,IF(AD691&lt;=MiscData!$B$24,MiscData!$C$24,MiscData!$C$25))</f>
        <v>20140101</v>
      </c>
      <c r="AK691" s="439" t="str">
        <f>VLOOKUP(AM691,MiscData!$AB$4:$ACB$113,2,FALSE)</f>
        <v>KUUM_486</v>
      </c>
      <c r="AL691" s="439" t="str">
        <f>VLOOKUP(AM691,MiscData!$AB$4:$AE$115,4,FALSE)</f>
        <v>LS</v>
      </c>
      <c r="AM691" s="34">
        <f>IF(AM690=MiscData!$AB$91,1,AM690+1)</f>
        <v>74</v>
      </c>
    </row>
    <row r="692" spans="1:39">
      <c r="A692" s="389">
        <f t="shared" si="263"/>
        <v>691</v>
      </c>
      <c r="B692" s="395" t="str">
        <f t="shared" si="244"/>
        <v>Aug 2014</v>
      </c>
      <c r="C692" s="396" t="str">
        <f t="shared" si="245"/>
        <v>LS</v>
      </c>
      <c r="D692" s="396" t="str">
        <f t="shared" si="246"/>
        <v>KUUM_487</v>
      </c>
      <c r="E692" s="394">
        <f t="shared" si="247"/>
        <v>11148</v>
      </c>
      <c r="F692" s="397">
        <v>0</v>
      </c>
      <c r="G692" s="394">
        <f t="shared" si="248"/>
        <v>350948</v>
      </c>
      <c r="H692" s="394">
        <v>0</v>
      </c>
      <c r="I692" s="390">
        <f t="shared" si="249"/>
        <v>9</v>
      </c>
      <c r="J692" s="390">
        <f t="shared" si="250"/>
        <v>1.1299999999999999</v>
      </c>
      <c r="K692" s="391">
        <f t="shared" si="264"/>
        <v>100332</v>
      </c>
      <c r="L692" s="398">
        <v>-720.74</v>
      </c>
      <c r="M692" s="398">
        <v>0</v>
      </c>
      <c r="N692" s="164">
        <f t="shared" si="243"/>
        <v>99611.26</v>
      </c>
      <c r="O692" s="399">
        <f t="shared" si="251"/>
        <v>99611.26</v>
      </c>
      <c r="P692" s="392">
        <f t="shared" si="265"/>
        <v>1</v>
      </c>
      <c r="Q692" s="164">
        <f t="shared" si="252"/>
        <v>-243.49</v>
      </c>
      <c r="R692" s="164">
        <f t="shared" si="253"/>
        <v>0</v>
      </c>
      <c r="S692" s="164">
        <f t="shared" si="254"/>
        <v>3208.16</v>
      </c>
      <c r="T692" s="164">
        <f t="shared" si="255"/>
        <v>0</v>
      </c>
      <c r="U692" s="164">
        <f t="shared" si="256"/>
        <v>102575.93</v>
      </c>
      <c r="V692" s="393">
        <f t="shared" si="257"/>
        <v>102575.93</v>
      </c>
      <c r="W692" s="393">
        <f t="shared" si="258"/>
        <v>0</v>
      </c>
      <c r="Y692" s="393">
        <f t="shared" si="261"/>
        <v>12597.24</v>
      </c>
      <c r="Z692" s="393">
        <f t="shared" si="262"/>
        <v>87014.01999999999</v>
      </c>
      <c r="AD692" s="395">
        <f>IF(AH692&gt;AH691,AD691,IF(AD691&lt;MiscData!$F$1,EOMONTH(AD691,1),EOMONTH(AD691,-11)))</f>
        <v>41882</v>
      </c>
      <c r="AE692" s="389" t="str">
        <f t="shared" si="259"/>
        <v>20140101KUUM_487</v>
      </c>
      <c r="AF692" s="437" t="str">
        <f t="shared" si="260"/>
        <v>20140101LS</v>
      </c>
      <c r="AG692" s="438"/>
      <c r="AH692" s="34">
        <f>IF(AH691=MiscData!$AB$91,1,AH691+1)</f>
        <v>75</v>
      </c>
      <c r="AI692" s="34">
        <f>IF(AD692&lt;=MiscData!$B$23,MiscData!$C$23,IF(AD692&lt;=MiscData!$B$24,MiscData!$C$24,MiscData!$C$25))</f>
        <v>20140101</v>
      </c>
      <c r="AK692" s="439" t="str">
        <f>VLOOKUP(AM692,MiscData!$AB$4:$ACB$113,2,FALSE)</f>
        <v>KUUM_487</v>
      </c>
      <c r="AL692" s="439" t="str">
        <f>VLOOKUP(AM692,MiscData!$AB$4:$AE$115,4,FALSE)</f>
        <v>LS</v>
      </c>
      <c r="AM692" s="34">
        <f>IF(AM691=MiscData!$AB$91,1,AM691+1)</f>
        <v>75</v>
      </c>
    </row>
    <row r="693" spans="1:39">
      <c r="A693" s="389">
        <f t="shared" si="263"/>
        <v>692</v>
      </c>
      <c r="B693" s="395" t="str">
        <f t="shared" si="244"/>
        <v>Aug 2014</v>
      </c>
      <c r="C693" s="396" t="str">
        <f t="shared" si="245"/>
        <v>LS</v>
      </c>
      <c r="D693" s="396" t="str">
        <f t="shared" si="246"/>
        <v>KUUM_488</v>
      </c>
      <c r="E693" s="394">
        <f t="shared" si="247"/>
        <v>6622</v>
      </c>
      <c r="F693" s="397">
        <v>0</v>
      </c>
      <c r="G693" s="394">
        <f t="shared" si="248"/>
        <v>432341</v>
      </c>
      <c r="H693" s="394"/>
      <c r="I693" s="390">
        <f t="shared" si="249"/>
        <v>13.639999999999999</v>
      </c>
      <c r="J693" s="390">
        <f t="shared" si="250"/>
        <v>2.33</v>
      </c>
      <c r="K693" s="391">
        <f t="shared" si="264"/>
        <v>90324.08</v>
      </c>
      <c r="L693" s="398">
        <v>-487.79</v>
      </c>
      <c r="M693" s="398">
        <v>0</v>
      </c>
      <c r="N693" s="164">
        <f t="shared" si="243"/>
        <v>89836.290000000008</v>
      </c>
      <c r="O693" s="399">
        <f t="shared" si="251"/>
        <v>89836.290000000008</v>
      </c>
      <c r="P693" s="392">
        <f t="shared" si="265"/>
        <v>1</v>
      </c>
      <c r="Q693" s="164">
        <f t="shared" si="252"/>
        <v>-285.77999999999997</v>
      </c>
      <c r="R693" s="164">
        <f t="shared" si="253"/>
        <v>0</v>
      </c>
      <c r="S693" s="164">
        <f t="shared" si="254"/>
        <v>2887.93</v>
      </c>
      <c r="T693" s="164">
        <f t="shared" si="255"/>
        <v>0</v>
      </c>
      <c r="U693" s="164">
        <f t="shared" si="256"/>
        <v>92438.44</v>
      </c>
      <c r="V693" s="393">
        <f t="shared" si="257"/>
        <v>92438.44</v>
      </c>
      <c r="W693" s="393">
        <f t="shared" si="258"/>
        <v>0</v>
      </c>
      <c r="Y693" s="393">
        <f t="shared" si="261"/>
        <v>15429.26</v>
      </c>
      <c r="Z693" s="393">
        <f t="shared" si="262"/>
        <v>74407.030000000013</v>
      </c>
      <c r="AD693" s="395">
        <f>IF(AH693&gt;AH692,AD692,IF(AD692&lt;MiscData!$F$1,EOMONTH(AD692,1),EOMONTH(AD692,-11)))</f>
        <v>41882</v>
      </c>
      <c r="AE693" s="389" t="str">
        <f t="shared" si="259"/>
        <v>20140101KUUM_488</v>
      </c>
      <c r="AF693" s="437" t="str">
        <f t="shared" si="260"/>
        <v>20140101LS</v>
      </c>
      <c r="AG693" s="438"/>
      <c r="AH693" s="34">
        <f>IF(AH692=MiscData!$AB$91,1,AH692+1)</f>
        <v>76</v>
      </c>
      <c r="AI693" s="34">
        <f>IF(AD693&lt;=MiscData!$B$23,MiscData!$C$23,IF(AD693&lt;=MiscData!$B$24,MiscData!$C$24,MiscData!$C$25))</f>
        <v>20140101</v>
      </c>
      <c r="AK693" s="439" t="str">
        <f>VLOOKUP(AM693,MiscData!$AB$4:$ACB$113,2,FALSE)</f>
        <v>KUUM_488</v>
      </c>
      <c r="AL693" s="439" t="str">
        <f>VLOOKUP(AM693,MiscData!$AB$4:$AE$115,4,FALSE)</f>
        <v>LS</v>
      </c>
      <c r="AM693" s="34">
        <f>IF(AM692=MiscData!$AB$91,1,AM692+1)</f>
        <v>76</v>
      </c>
    </row>
    <row r="694" spans="1:39">
      <c r="A694" s="389">
        <f t="shared" si="263"/>
        <v>693</v>
      </c>
      <c r="B694" s="395" t="str">
        <f t="shared" si="244"/>
        <v>Aug 2014</v>
      </c>
      <c r="C694" s="396" t="str">
        <f t="shared" si="245"/>
        <v>LS</v>
      </c>
      <c r="D694" s="396" t="str">
        <f t="shared" si="246"/>
        <v>KUUM_489</v>
      </c>
      <c r="E694" s="394">
        <f t="shared" si="247"/>
        <v>8341</v>
      </c>
      <c r="F694" s="397">
        <v>0</v>
      </c>
      <c r="G694" s="394">
        <f t="shared" si="248"/>
        <v>1062610</v>
      </c>
      <c r="H694" s="394"/>
      <c r="I694" s="390">
        <f t="shared" si="249"/>
        <v>19.46</v>
      </c>
      <c r="J694" s="390">
        <f t="shared" si="250"/>
        <v>4.5300000000000011</v>
      </c>
      <c r="K694" s="391">
        <f t="shared" si="264"/>
        <v>162315.85999999999</v>
      </c>
      <c r="L694" s="398">
        <v>-337.81</v>
      </c>
      <c r="M694" s="398">
        <v>0</v>
      </c>
      <c r="N694" s="164">
        <f t="shared" si="243"/>
        <v>161978.04999999999</v>
      </c>
      <c r="O694" s="399">
        <f t="shared" si="251"/>
        <v>161978.04999999999</v>
      </c>
      <c r="P694" s="392">
        <f t="shared" si="265"/>
        <v>1</v>
      </c>
      <c r="Q694" s="164">
        <f t="shared" si="252"/>
        <v>-632.91999999999996</v>
      </c>
      <c r="R694" s="164">
        <f t="shared" si="253"/>
        <v>0</v>
      </c>
      <c r="S694" s="164">
        <f t="shared" si="254"/>
        <v>5184.24</v>
      </c>
      <c r="T694" s="164">
        <f t="shared" si="255"/>
        <v>0</v>
      </c>
      <c r="U694" s="164">
        <f t="shared" si="256"/>
        <v>166529.37</v>
      </c>
      <c r="V694" s="393">
        <f t="shared" si="257"/>
        <v>166529.36999999997</v>
      </c>
      <c r="W694" s="393">
        <f t="shared" si="258"/>
        <v>0</v>
      </c>
      <c r="Y694" s="393">
        <f t="shared" si="261"/>
        <v>37784.730000000003</v>
      </c>
      <c r="Z694" s="393">
        <f t="shared" si="262"/>
        <v>124193.31999999998</v>
      </c>
      <c r="AD694" s="395">
        <f>IF(AH694&gt;AH693,AD693,IF(AD693&lt;MiscData!$F$1,EOMONTH(AD693,1),EOMONTH(AD693,-11)))</f>
        <v>41882</v>
      </c>
      <c r="AE694" s="389" t="str">
        <f t="shared" si="259"/>
        <v>20140101KUUM_489</v>
      </c>
      <c r="AF694" s="437" t="str">
        <f t="shared" si="260"/>
        <v>20140101LS</v>
      </c>
      <c r="AG694" s="438"/>
      <c r="AH694" s="34">
        <f>IF(AH693=MiscData!$AB$91,1,AH693+1)</f>
        <v>77</v>
      </c>
      <c r="AI694" s="34">
        <f>IF(AD694&lt;=MiscData!$B$23,MiscData!$C$23,IF(AD694&lt;=MiscData!$B$24,MiscData!$C$24,MiscData!$C$25))</f>
        <v>20140101</v>
      </c>
      <c r="AK694" s="439" t="str">
        <f>VLOOKUP(AM694,MiscData!$AB$4:$ACB$113,2,FALSE)</f>
        <v>KUUM_489</v>
      </c>
      <c r="AL694" s="439" t="str">
        <f>VLOOKUP(AM694,MiscData!$AB$4:$AE$115,4,FALSE)</f>
        <v>LS</v>
      </c>
      <c r="AM694" s="34">
        <f>IF(AM693=MiscData!$AB$91,1,AM693+1)</f>
        <v>77</v>
      </c>
    </row>
    <row r="695" spans="1:39">
      <c r="A695" s="389">
        <f t="shared" si="263"/>
        <v>694</v>
      </c>
      <c r="B695" s="395" t="str">
        <f t="shared" si="244"/>
        <v>Aug 2014</v>
      </c>
      <c r="C695" s="396" t="str">
        <f t="shared" si="245"/>
        <v>LS</v>
      </c>
      <c r="D695" s="396" t="str">
        <f t="shared" si="246"/>
        <v>KUUM_490</v>
      </c>
      <c r="E695" s="394">
        <f t="shared" si="247"/>
        <v>61</v>
      </c>
      <c r="F695" s="397">
        <v>0</v>
      </c>
      <c r="G695" s="394">
        <f t="shared" si="248"/>
        <v>2533</v>
      </c>
      <c r="H695" s="394"/>
      <c r="I695" s="390">
        <f t="shared" si="249"/>
        <v>15.47</v>
      </c>
      <c r="J695" s="390">
        <f t="shared" si="250"/>
        <v>1.9700000000000006</v>
      </c>
      <c r="K695" s="391">
        <f t="shared" si="264"/>
        <v>943.67</v>
      </c>
      <c r="L695" s="398">
        <v>-11.34</v>
      </c>
      <c r="M695" s="398">
        <v>0</v>
      </c>
      <c r="N695" s="164">
        <f t="shared" si="243"/>
        <v>932.32999999999993</v>
      </c>
      <c r="O695" s="399">
        <f t="shared" si="251"/>
        <v>932.32999999999993</v>
      </c>
      <c r="P695" s="392">
        <f t="shared" si="265"/>
        <v>1</v>
      </c>
      <c r="Q695" s="164">
        <f t="shared" si="252"/>
        <v>-1.8</v>
      </c>
      <c r="R695" s="164">
        <f t="shared" si="253"/>
        <v>0</v>
      </c>
      <c r="S695" s="164">
        <f t="shared" si="254"/>
        <v>29.89</v>
      </c>
      <c r="T695" s="164">
        <f t="shared" si="255"/>
        <v>0</v>
      </c>
      <c r="U695" s="164">
        <f t="shared" si="256"/>
        <v>960.42</v>
      </c>
      <c r="V695" s="393">
        <f t="shared" si="257"/>
        <v>960.42</v>
      </c>
      <c r="W695" s="393">
        <f t="shared" si="258"/>
        <v>0</v>
      </c>
      <c r="Y695" s="393">
        <f t="shared" si="261"/>
        <v>120.17</v>
      </c>
      <c r="Z695" s="393">
        <f t="shared" si="262"/>
        <v>812.16</v>
      </c>
      <c r="AD695" s="395">
        <f>IF(AH695&gt;AH694,AD694,IF(AD694&lt;MiscData!$F$1,EOMONTH(AD694,1),EOMONTH(AD694,-11)))</f>
        <v>41882</v>
      </c>
      <c r="AE695" s="389" t="str">
        <f t="shared" si="259"/>
        <v>20140101KUUM_490</v>
      </c>
      <c r="AF695" s="437" t="str">
        <f t="shared" si="260"/>
        <v>20140101LS</v>
      </c>
      <c r="AG695" s="438"/>
      <c r="AH695" s="34">
        <f>IF(AH694=MiscData!$AB$91,1,AH694+1)</f>
        <v>78</v>
      </c>
      <c r="AI695" s="34">
        <f>IF(AD695&lt;=MiscData!$B$23,MiscData!$C$23,IF(AD695&lt;=MiscData!$B$24,MiscData!$C$24,MiscData!$C$25))</f>
        <v>20140101</v>
      </c>
      <c r="AK695" s="439" t="str">
        <f>VLOOKUP(AM695,MiscData!$AB$4:$ACB$113,2,FALSE)</f>
        <v>KUUM_490</v>
      </c>
      <c r="AL695" s="439" t="str">
        <f>VLOOKUP(AM695,MiscData!$AB$4:$AE$115,4,FALSE)</f>
        <v>LS</v>
      </c>
      <c r="AM695" s="34">
        <f>IF(AM694=MiscData!$AB$91,1,AM694+1)</f>
        <v>78</v>
      </c>
    </row>
    <row r="696" spans="1:39">
      <c r="A696" s="389">
        <f t="shared" si="263"/>
        <v>695</v>
      </c>
      <c r="B696" s="395" t="str">
        <f t="shared" si="244"/>
        <v>Aug 2014</v>
      </c>
      <c r="C696" s="396" t="str">
        <f t="shared" si="245"/>
        <v>LS</v>
      </c>
      <c r="D696" s="396" t="str">
        <f t="shared" si="246"/>
        <v>KUUM_491</v>
      </c>
      <c r="E696" s="394">
        <f t="shared" si="247"/>
        <v>319</v>
      </c>
      <c r="F696" s="397">
        <v>0</v>
      </c>
      <c r="G696" s="394">
        <f t="shared" si="248"/>
        <v>30179</v>
      </c>
      <c r="H696" s="394"/>
      <c r="I696" s="390">
        <f t="shared" si="249"/>
        <v>21.930000000000003</v>
      </c>
      <c r="J696" s="390">
        <f t="shared" si="250"/>
        <v>4.2900000000000027</v>
      </c>
      <c r="K696" s="391">
        <f t="shared" si="264"/>
        <v>6995.67</v>
      </c>
      <c r="L696" s="398">
        <v>-2.83</v>
      </c>
      <c r="M696" s="398">
        <v>0</v>
      </c>
      <c r="N696" s="164">
        <f t="shared" ref="N696:N759" si="266">SUM(K696:M696)</f>
        <v>6992.84</v>
      </c>
      <c r="O696" s="399">
        <f t="shared" si="251"/>
        <v>6992.84</v>
      </c>
      <c r="P696" s="392">
        <f t="shared" si="265"/>
        <v>1</v>
      </c>
      <c r="Q696" s="164">
        <f t="shared" si="252"/>
        <v>-22.3</v>
      </c>
      <c r="R696" s="164">
        <f t="shared" si="253"/>
        <v>0</v>
      </c>
      <c r="S696" s="164">
        <f t="shared" si="254"/>
        <v>223.82</v>
      </c>
      <c r="T696" s="164">
        <f t="shared" si="255"/>
        <v>0</v>
      </c>
      <c r="U696" s="164">
        <f t="shared" si="256"/>
        <v>7194.36</v>
      </c>
      <c r="V696" s="393">
        <f t="shared" si="257"/>
        <v>7194.36</v>
      </c>
      <c r="W696" s="393">
        <f t="shared" si="258"/>
        <v>0</v>
      </c>
      <c r="Y696" s="393">
        <f t="shared" si="261"/>
        <v>1368.51</v>
      </c>
      <c r="Z696" s="393">
        <f t="shared" si="262"/>
        <v>5624.33</v>
      </c>
      <c r="AD696" s="395">
        <f>IF(AH696&gt;AH695,AD695,IF(AD695&lt;MiscData!$F$1,EOMONTH(AD695,1),EOMONTH(AD695,-11)))</f>
        <v>41882</v>
      </c>
      <c r="AE696" s="389" t="str">
        <f t="shared" si="259"/>
        <v>20140101KUUM_491</v>
      </c>
      <c r="AF696" s="437" t="str">
        <f t="shared" si="260"/>
        <v>20140101LS</v>
      </c>
      <c r="AG696" s="438"/>
      <c r="AH696" s="34">
        <f>IF(AH695=MiscData!$AB$91,1,AH695+1)</f>
        <v>79</v>
      </c>
      <c r="AI696" s="34">
        <f>IF(AD696&lt;=MiscData!$B$23,MiscData!$C$23,IF(AD696&lt;=MiscData!$B$24,MiscData!$C$24,MiscData!$C$25))</f>
        <v>20140101</v>
      </c>
      <c r="AK696" s="439" t="str">
        <f>VLOOKUP(AM696,MiscData!$AB$4:$ACB$113,2,FALSE)</f>
        <v>KUUM_491</v>
      </c>
      <c r="AL696" s="439" t="str">
        <f>VLOOKUP(AM696,MiscData!$AB$4:$AE$115,4,FALSE)</f>
        <v>LS</v>
      </c>
      <c r="AM696" s="34">
        <f>IF(AM695=MiscData!$AB$91,1,AM695+1)</f>
        <v>79</v>
      </c>
    </row>
    <row r="697" spans="1:39">
      <c r="A697" s="389">
        <f t="shared" si="263"/>
        <v>696</v>
      </c>
      <c r="B697" s="395" t="str">
        <f t="shared" si="244"/>
        <v>Aug 2014</v>
      </c>
      <c r="C697" s="396" t="str">
        <f t="shared" si="245"/>
        <v>LS</v>
      </c>
      <c r="D697" s="396" t="str">
        <f t="shared" si="246"/>
        <v>KUUM_492</v>
      </c>
      <c r="E697" s="394">
        <f t="shared" si="247"/>
        <v>2</v>
      </c>
      <c r="F697" s="397">
        <v>0</v>
      </c>
      <c r="G697" s="394">
        <f t="shared" si="248"/>
        <v>45</v>
      </c>
      <c r="H697" s="394"/>
      <c r="I697" s="390">
        <f t="shared" si="249"/>
        <v>15.370000000000001</v>
      </c>
      <c r="J697" s="390">
        <f t="shared" si="250"/>
        <v>0.80000000000000071</v>
      </c>
      <c r="K697" s="391">
        <f t="shared" si="264"/>
        <v>30.74</v>
      </c>
      <c r="L697" s="398">
        <v>0</v>
      </c>
      <c r="M697" s="398">
        <v>0</v>
      </c>
      <c r="N697" s="164">
        <f t="shared" si="266"/>
        <v>30.74</v>
      </c>
      <c r="O697" s="399">
        <f t="shared" si="251"/>
        <v>30.74</v>
      </c>
      <c r="P697" s="392">
        <f t="shared" si="265"/>
        <v>1</v>
      </c>
      <c r="Q697" s="164">
        <f t="shared" si="252"/>
        <v>-0.03</v>
      </c>
      <c r="R697" s="164">
        <f t="shared" si="253"/>
        <v>0</v>
      </c>
      <c r="S697" s="164">
        <f t="shared" si="254"/>
        <v>0.99</v>
      </c>
      <c r="T697" s="164">
        <f t="shared" si="255"/>
        <v>0</v>
      </c>
      <c r="U697" s="164">
        <f t="shared" si="256"/>
        <v>31.7</v>
      </c>
      <c r="V697" s="393">
        <f t="shared" si="257"/>
        <v>31.699999999999996</v>
      </c>
      <c r="W697" s="393">
        <f t="shared" si="258"/>
        <v>0</v>
      </c>
      <c r="Y697" s="393">
        <f t="shared" si="261"/>
        <v>1.6</v>
      </c>
      <c r="Z697" s="393">
        <f t="shared" si="262"/>
        <v>29.139999999999997</v>
      </c>
      <c r="AD697" s="395">
        <f>IF(AH697&gt;AH696,AD696,IF(AD696&lt;MiscData!$F$1,EOMONTH(AD696,1),EOMONTH(AD696,-11)))</f>
        <v>41882</v>
      </c>
      <c r="AE697" s="389" t="str">
        <f t="shared" si="259"/>
        <v>20140101KUUM_492</v>
      </c>
      <c r="AF697" s="437" t="str">
        <f t="shared" si="260"/>
        <v>20140101LS</v>
      </c>
      <c r="AG697" s="438"/>
      <c r="AH697" s="34">
        <f>IF(AH696=MiscData!$AB$91,1,AH696+1)</f>
        <v>80</v>
      </c>
      <c r="AI697" s="34">
        <f>IF(AD697&lt;=MiscData!$B$23,MiscData!$C$23,IF(AD697&lt;=MiscData!$B$24,MiscData!$C$24,MiscData!$C$25))</f>
        <v>20140101</v>
      </c>
      <c r="AK697" s="439" t="str">
        <f>VLOOKUP(AM697,MiscData!$AB$4:$ACB$113,2,FALSE)</f>
        <v>KUUM_492</v>
      </c>
      <c r="AL697" s="439" t="str">
        <f>VLOOKUP(AM697,MiscData!$AB$4:$AE$115,4,FALSE)</f>
        <v>LS</v>
      </c>
      <c r="AM697" s="34">
        <f>IF(AM696=MiscData!$AB$91,1,AM696+1)</f>
        <v>80</v>
      </c>
    </row>
    <row r="698" spans="1:39">
      <c r="A698" s="389">
        <f t="shared" si="263"/>
        <v>697</v>
      </c>
      <c r="B698" s="395" t="str">
        <f t="shared" ref="B698:B761" si="267">TEXT(AD698,"mmm yyyy")</f>
        <v>Aug 2014</v>
      </c>
      <c r="C698" s="396" t="str">
        <f t="shared" ref="C698:C761" si="268">AL698</f>
        <v>LS</v>
      </c>
      <c r="D698" s="396" t="str">
        <f t="shared" ref="D698:D761" si="269">AK698</f>
        <v>KUUM_493</v>
      </c>
      <c r="E698" s="394">
        <f t="shared" ref="E698:E761" si="270">SUMIFS(_1055_Light_Count,_1055_RevMonth,$B698,_1055_RateCategory,$D698)</f>
        <v>43</v>
      </c>
      <c r="F698" s="397">
        <v>0</v>
      </c>
      <c r="G698" s="394">
        <f t="shared" ref="G698:G761" si="271">SUMIFS(_SBR_KWH,_SBR_Revenue_Month,$B698,_SBR_Rate_Category,$D698)</f>
        <v>12493</v>
      </c>
      <c r="H698" s="394">
        <v>0</v>
      </c>
      <c r="I698" s="390">
        <f t="shared" ref="I698:I761" si="272">SUMIF(_Lights_Tariff_Category,$AE698,_Lights_Rates)</f>
        <v>45.7</v>
      </c>
      <c r="J698" s="390">
        <f t="shared" ref="J698:J761" si="273">SUMIF(_Lights_Tariff_Category,$AE698,_Rates_Lights_BaseFAC)</f>
        <v>10.409999999999997</v>
      </c>
      <c r="K698" s="391">
        <f t="shared" si="264"/>
        <v>1965.1</v>
      </c>
      <c r="L698" s="398">
        <v>0.01</v>
      </c>
      <c r="M698" s="398">
        <v>0</v>
      </c>
      <c r="N698" s="164">
        <f t="shared" si="266"/>
        <v>1965.11</v>
      </c>
      <c r="O698" s="399">
        <f t="shared" ref="O698:O761" si="274">U698-SUM(Q698:T698)</f>
        <v>1965.11</v>
      </c>
      <c r="P698" s="392">
        <f t="shared" si="265"/>
        <v>1</v>
      </c>
      <c r="Q698" s="164">
        <f t="shared" ref="Q698:Q761" si="275">SUMIFS(_SBR_FAC,_SBR_Revenue_Month,$B698,_SBR_Rate_Category,$D698)</f>
        <v>-9.6300000000000008</v>
      </c>
      <c r="R698" s="164">
        <f t="shared" ref="R698:R761" si="276">SUMIFS(_SBR_DSM,_SBR_Revenue_Month,$B698,_SBR_Rate_Category,$D698)</f>
        <v>0</v>
      </c>
      <c r="S698" s="164">
        <f t="shared" ref="S698:S761" si="277">SUMIFS(_SBR_ECR,_SBR_Revenue_Month,$B698,_SBR_Rate_Category,$D698)</f>
        <v>62.78</v>
      </c>
      <c r="T698" s="164">
        <f t="shared" ref="T698:T761" si="278">SUMIFS(_SBR_MSR,_SBR_Revenue_Month,$B698,_SBR_Rate_Category,$D698)</f>
        <v>0</v>
      </c>
      <c r="U698" s="164">
        <f t="shared" ref="U698:U761" si="279">SUMIFS(_SBR_Revenue_Actual,_SBR_Revenue_Month,$B698,_SBR_Rate_Category,$D698)</f>
        <v>2018.26</v>
      </c>
      <c r="V698" s="393">
        <f t="shared" ref="V698:V761" si="280">SUM(N698,Q698:T698)</f>
        <v>2018.2599999999998</v>
      </c>
      <c r="W698" s="393">
        <f t="shared" ref="W698:W761" si="281">U698-V698</f>
        <v>0</v>
      </c>
      <c r="Y698" s="393">
        <f t="shared" si="261"/>
        <v>447.63</v>
      </c>
      <c r="Z698" s="393">
        <f t="shared" si="262"/>
        <v>1517.48</v>
      </c>
      <c r="AD698" s="395">
        <f>IF(AH698&gt;AH697,AD697,IF(AD697&lt;MiscData!$F$1,EOMONTH(AD697,1),EOMONTH(AD697,-11)))</f>
        <v>41882</v>
      </c>
      <c r="AE698" s="389" t="str">
        <f t="shared" ref="AE698:AE761" si="282">CONCATENATE(AI698&amp;AK698)</f>
        <v>20140101KUUM_493</v>
      </c>
      <c r="AF698" s="437" t="str">
        <f t="shared" ref="AF698:AF761" si="283">CONCATENATE(AI698&amp;AL698)</f>
        <v>20140101LS</v>
      </c>
      <c r="AG698" s="438"/>
      <c r="AH698" s="34">
        <f>IF(AH697=MiscData!$AB$91,1,AH697+1)</f>
        <v>81</v>
      </c>
      <c r="AI698" s="34">
        <f>IF(AD698&lt;=MiscData!$B$23,MiscData!$C$23,IF(AD698&lt;=MiscData!$B$24,MiscData!$C$24,MiscData!$C$25))</f>
        <v>20140101</v>
      </c>
      <c r="AK698" s="439" t="str">
        <f>VLOOKUP(AM698,MiscData!$AB$4:$ACB$113,2,FALSE)</f>
        <v>KUUM_493</v>
      </c>
      <c r="AL698" s="439" t="str">
        <f>VLOOKUP(AM698,MiscData!$AB$4:$AE$115,4,FALSE)</f>
        <v>LS</v>
      </c>
      <c r="AM698" s="34">
        <f>IF(AM697=MiscData!$AB$91,1,AM697+1)</f>
        <v>81</v>
      </c>
    </row>
    <row r="699" spans="1:39">
      <c r="A699" s="389">
        <f t="shared" si="263"/>
        <v>698</v>
      </c>
      <c r="B699" s="395" t="str">
        <f t="shared" si="267"/>
        <v>Aug 2014</v>
      </c>
      <c r="C699" s="396" t="str">
        <f t="shared" si="268"/>
        <v>LS</v>
      </c>
      <c r="D699" s="396" t="str">
        <f t="shared" si="269"/>
        <v>KUUM_494</v>
      </c>
      <c r="E699" s="394">
        <f t="shared" si="270"/>
        <v>182</v>
      </c>
      <c r="F699" s="397">
        <v>0</v>
      </c>
      <c r="G699" s="394">
        <f t="shared" si="271"/>
        <v>7557</v>
      </c>
      <c r="H699" s="394">
        <v>0</v>
      </c>
      <c r="I699" s="390">
        <f t="shared" si="272"/>
        <v>28.37</v>
      </c>
      <c r="J699" s="390">
        <f t="shared" si="273"/>
        <v>1.9699999999999989</v>
      </c>
      <c r="K699" s="391">
        <f t="shared" si="264"/>
        <v>5163.34</v>
      </c>
      <c r="L699" s="398">
        <v>0</v>
      </c>
      <c r="M699" s="398">
        <v>0</v>
      </c>
      <c r="N699" s="164">
        <f t="shared" si="266"/>
        <v>5163.34</v>
      </c>
      <c r="O699" s="399">
        <f t="shared" si="274"/>
        <v>5163.34</v>
      </c>
      <c r="P699" s="392">
        <f t="shared" si="265"/>
        <v>1</v>
      </c>
      <c r="Q699" s="164">
        <f t="shared" si="275"/>
        <v>-1.61</v>
      </c>
      <c r="R699" s="164">
        <f t="shared" si="276"/>
        <v>0</v>
      </c>
      <c r="S699" s="164">
        <f t="shared" si="277"/>
        <v>166.78</v>
      </c>
      <c r="T699" s="164">
        <f t="shared" si="278"/>
        <v>0</v>
      </c>
      <c r="U699" s="164">
        <f t="shared" si="279"/>
        <v>5328.51</v>
      </c>
      <c r="V699" s="393">
        <f t="shared" si="280"/>
        <v>5328.51</v>
      </c>
      <c r="W699" s="393">
        <f t="shared" si="281"/>
        <v>0</v>
      </c>
      <c r="Y699" s="393">
        <f t="shared" ref="Y699:Y762" si="284">ROUND(E699*J699,2)</f>
        <v>358.54</v>
      </c>
      <c r="Z699" s="393">
        <f t="shared" ref="Z699:Z762" si="285">O699-Y699</f>
        <v>4804.8</v>
      </c>
      <c r="AD699" s="395">
        <f>IF(AH699&gt;AH698,AD698,IF(AD698&lt;MiscData!$F$1,EOMONTH(AD698,1),EOMONTH(AD698,-11)))</f>
        <v>41882</v>
      </c>
      <c r="AE699" s="389" t="str">
        <f t="shared" si="282"/>
        <v>20140101KUUM_494</v>
      </c>
      <c r="AF699" s="437" t="str">
        <f t="shared" si="283"/>
        <v>20140101LS</v>
      </c>
      <c r="AG699" s="438"/>
      <c r="AH699" s="34">
        <f>IF(AH698=MiscData!$AB$91,1,AH698+1)</f>
        <v>82</v>
      </c>
      <c r="AI699" s="34">
        <f>IF(AD699&lt;=MiscData!$B$23,MiscData!$C$23,IF(AD699&lt;=MiscData!$B$24,MiscData!$C$24,MiscData!$C$25))</f>
        <v>20140101</v>
      </c>
      <c r="AK699" s="439" t="str">
        <f>VLOOKUP(AM699,MiscData!$AB$4:$ACB$113,2,FALSE)</f>
        <v>KUUM_494</v>
      </c>
      <c r="AL699" s="439" t="str">
        <f>VLOOKUP(AM699,MiscData!$AB$4:$AE$115,4,FALSE)</f>
        <v>LS</v>
      </c>
      <c r="AM699" s="34">
        <f>IF(AM698=MiscData!$AB$91,1,AM698+1)</f>
        <v>82</v>
      </c>
    </row>
    <row r="700" spans="1:39">
      <c r="A700" s="389">
        <f t="shared" ref="A700:A763" si="286">A699+1</f>
        <v>699</v>
      </c>
      <c r="B700" s="395" t="str">
        <f t="shared" si="267"/>
        <v>Aug 2014</v>
      </c>
      <c r="C700" s="396" t="str">
        <f t="shared" si="268"/>
        <v>LS</v>
      </c>
      <c r="D700" s="396" t="str">
        <f t="shared" si="269"/>
        <v>KUUM_495</v>
      </c>
      <c r="E700" s="394">
        <f t="shared" si="270"/>
        <v>654</v>
      </c>
      <c r="F700" s="397">
        <v>0</v>
      </c>
      <c r="G700" s="394">
        <f t="shared" si="271"/>
        <v>60888</v>
      </c>
      <c r="H700" s="394">
        <v>0</v>
      </c>
      <c r="I700" s="390">
        <f t="shared" si="272"/>
        <v>34.830000000000005</v>
      </c>
      <c r="J700" s="390">
        <f t="shared" si="273"/>
        <v>4.2899999999999991</v>
      </c>
      <c r="K700" s="391">
        <f t="shared" si="264"/>
        <v>22778.82</v>
      </c>
      <c r="L700" s="398">
        <v>-535.42999999999995</v>
      </c>
      <c r="M700" s="398">
        <v>0</v>
      </c>
      <c r="N700" s="164">
        <f t="shared" si="266"/>
        <v>22243.39</v>
      </c>
      <c r="O700" s="399">
        <f t="shared" si="274"/>
        <v>22243.39</v>
      </c>
      <c r="P700" s="392">
        <f t="shared" si="265"/>
        <v>1</v>
      </c>
      <c r="Q700" s="164">
        <f t="shared" si="275"/>
        <v>-46.28</v>
      </c>
      <c r="R700" s="164">
        <f t="shared" si="276"/>
        <v>0</v>
      </c>
      <c r="S700" s="164">
        <f t="shared" si="277"/>
        <v>712.6</v>
      </c>
      <c r="T700" s="164">
        <f t="shared" si="278"/>
        <v>0</v>
      </c>
      <c r="U700" s="164">
        <f t="shared" si="279"/>
        <v>22909.71</v>
      </c>
      <c r="V700" s="393">
        <f t="shared" si="280"/>
        <v>22909.71</v>
      </c>
      <c r="W700" s="393">
        <f t="shared" si="281"/>
        <v>0</v>
      </c>
      <c r="Y700" s="393">
        <f t="shared" si="284"/>
        <v>2805.66</v>
      </c>
      <c r="Z700" s="393">
        <f t="shared" si="285"/>
        <v>19437.73</v>
      </c>
      <c r="AD700" s="395">
        <f>IF(AH700&gt;AH699,AD699,IF(AD699&lt;MiscData!$F$1,EOMONTH(AD699,1),EOMONTH(AD699,-11)))</f>
        <v>41882</v>
      </c>
      <c r="AE700" s="389" t="str">
        <f t="shared" si="282"/>
        <v>20140101KUUM_495</v>
      </c>
      <c r="AF700" s="437" t="str">
        <f t="shared" si="283"/>
        <v>20140101LS</v>
      </c>
      <c r="AG700" s="438"/>
      <c r="AH700" s="34">
        <f>IF(AH699=MiscData!$AB$91,1,AH699+1)</f>
        <v>83</v>
      </c>
      <c r="AI700" s="34">
        <f>IF(AD700&lt;=MiscData!$B$23,MiscData!$C$23,IF(AD700&lt;=MiscData!$B$24,MiscData!$C$24,MiscData!$C$25))</f>
        <v>20140101</v>
      </c>
      <c r="AK700" s="439" t="str">
        <f>VLOOKUP(AM700,MiscData!$AB$4:$ACB$113,2,FALSE)</f>
        <v>KUUM_495</v>
      </c>
      <c r="AL700" s="439" t="str">
        <f>VLOOKUP(AM700,MiscData!$AB$4:$AE$115,4,FALSE)</f>
        <v>LS</v>
      </c>
      <c r="AM700" s="34">
        <f>IF(AM699=MiscData!$AB$91,1,AM699+1)</f>
        <v>83</v>
      </c>
    </row>
    <row r="701" spans="1:39">
      <c r="A701" s="389">
        <f t="shared" si="286"/>
        <v>700</v>
      </c>
      <c r="B701" s="395" t="str">
        <f t="shared" si="267"/>
        <v>Aug 2014</v>
      </c>
      <c r="C701" s="396" t="str">
        <f t="shared" si="268"/>
        <v>LS</v>
      </c>
      <c r="D701" s="396" t="str">
        <f t="shared" si="269"/>
        <v>KUUM_496</v>
      </c>
      <c r="E701" s="394">
        <f t="shared" si="270"/>
        <v>154</v>
      </c>
      <c r="F701" s="397">
        <v>0</v>
      </c>
      <c r="G701" s="394">
        <f t="shared" si="271"/>
        <v>44986</v>
      </c>
      <c r="H701" s="394">
        <v>0</v>
      </c>
      <c r="I701" s="390">
        <f t="shared" si="272"/>
        <v>58.59</v>
      </c>
      <c r="J701" s="390">
        <f t="shared" si="273"/>
        <v>10.409999999999997</v>
      </c>
      <c r="K701" s="391">
        <f t="shared" si="264"/>
        <v>9022.86</v>
      </c>
      <c r="L701" s="398">
        <v>0</v>
      </c>
      <c r="M701" s="398">
        <v>0</v>
      </c>
      <c r="N701" s="164">
        <f t="shared" si="266"/>
        <v>9022.86</v>
      </c>
      <c r="O701" s="399">
        <f t="shared" si="274"/>
        <v>9022.8599999999988</v>
      </c>
      <c r="P701" s="392">
        <f t="shared" si="265"/>
        <v>1</v>
      </c>
      <c r="Q701" s="164">
        <f t="shared" si="275"/>
        <v>-26</v>
      </c>
      <c r="R701" s="164">
        <f t="shared" si="276"/>
        <v>0</v>
      </c>
      <c r="S701" s="164">
        <f t="shared" si="277"/>
        <v>289.44</v>
      </c>
      <c r="T701" s="164">
        <f t="shared" si="278"/>
        <v>0</v>
      </c>
      <c r="U701" s="164">
        <f t="shared" si="279"/>
        <v>9286.2999999999993</v>
      </c>
      <c r="V701" s="393">
        <f t="shared" si="280"/>
        <v>9286.3000000000011</v>
      </c>
      <c r="W701" s="393">
        <f t="shared" si="281"/>
        <v>0</v>
      </c>
      <c r="Y701" s="393">
        <f t="shared" si="284"/>
        <v>1603.14</v>
      </c>
      <c r="Z701" s="393">
        <f t="shared" si="285"/>
        <v>7419.7199999999984</v>
      </c>
      <c r="AD701" s="395">
        <f>IF(AH701&gt;AH700,AD700,IF(AD700&lt;MiscData!$F$1,EOMONTH(AD700,1),EOMONTH(AD700,-11)))</f>
        <v>41882</v>
      </c>
      <c r="AE701" s="389" t="str">
        <f t="shared" si="282"/>
        <v>20140101KUUM_496</v>
      </c>
      <c r="AF701" s="437" t="str">
        <f t="shared" si="283"/>
        <v>20140101LS</v>
      </c>
      <c r="AG701" s="438"/>
      <c r="AH701" s="34">
        <f>IF(AH700=MiscData!$AB$91,1,AH700+1)</f>
        <v>84</v>
      </c>
      <c r="AI701" s="34">
        <f>IF(AD701&lt;=MiscData!$B$23,MiscData!$C$23,IF(AD701&lt;=MiscData!$B$24,MiscData!$C$24,MiscData!$C$25))</f>
        <v>20140101</v>
      </c>
      <c r="AK701" s="439" t="str">
        <f>VLOOKUP(AM701,MiscData!$AB$4:$ACB$113,2,FALSE)</f>
        <v>KUUM_496</v>
      </c>
      <c r="AL701" s="439" t="str">
        <f>VLOOKUP(AM701,MiscData!$AB$4:$AE$115,4,FALSE)</f>
        <v>LS</v>
      </c>
      <c r="AM701" s="34">
        <f>IF(AM700=MiscData!$AB$91,1,AM700+1)</f>
        <v>84</v>
      </c>
    </row>
    <row r="702" spans="1:39">
      <c r="A702" s="389">
        <f t="shared" si="286"/>
        <v>701</v>
      </c>
      <c r="B702" s="395" t="str">
        <f t="shared" si="267"/>
        <v>Aug 2014</v>
      </c>
      <c r="C702" s="396" t="str">
        <f t="shared" si="268"/>
        <v>LS</v>
      </c>
      <c r="D702" s="396" t="str">
        <f t="shared" si="269"/>
        <v>KUUM_497</v>
      </c>
      <c r="E702" s="394">
        <f t="shared" si="270"/>
        <v>15</v>
      </c>
      <c r="F702" s="397">
        <v>0</v>
      </c>
      <c r="G702" s="394">
        <f t="shared" si="271"/>
        <v>478</v>
      </c>
      <c r="H702" s="394">
        <v>0</v>
      </c>
      <c r="I702" s="390">
        <f t="shared" si="272"/>
        <v>15.35</v>
      </c>
      <c r="J702" s="390">
        <f t="shared" si="273"/>
        <v>1.1300000000000008</v>
      </c>
      <c r="K702" s="391">
        <f t="shared" si="264"/>
        <v>230.25</v>
      </c>
      <c r="L702" s="398">
        <v>0</v>
      </c>
      <c r="M702" s="398">
        <v>0</v>
      </c>
      <c r="N702" s="164">
        <f t="shared" si="266"/>
        <v>230.25</v>
      </c>
      <c r="O702" s="399">
        <f t="shared" si="274"/>
        <v>230.25</v>
      </c>
      <c r="P702" s="392">
        <f t="shared" si="265"/>
        <v>1</v>
      </c>
      <c r="Q702" s="164">
        <f t="shared" si="275"/>
        <v>-0.37</v>
      </c>
      <c r="R702" s="164">
        <f t="shared" si="276"/>
        <v>0</v>
      </c>
      <c r="S702" s="164">
        <f t="shared" si="277"/>
        <v>7.38</v>
      </c>
      <c r="T702" s="164">
        <f t="shared" si="278"/>
        <v>0</v>
      </c>
      <c r="U702" s="164">
        <f t="shared" si="279"/>
        <v>237.26</v>
      </c>
      <c r="V702" s="393">
        <f t="shared" si="280"/>
        <v>237.26</v>
      </c>
      <c r="W702" s="393">
        <f t="shared" si="281"/>
        <v>0</v>
      </c>
      <c r="Y702" s="393">
        <f t="shared" si="284"/>
        <v>16.95</v>
      </c>
      <c r="Z702" s="393">
        <f t="shared" si="285"/>
        <v>213.3</v>
      </c>
      <c r="AD702" s="395">
        <f>IF(AH702&gt;AH701,AD701,IF(AD701&lt;MiscData!$F$1,EOMONTH(AD701,1),EOMONTH(AD701,-11)))</f>
        <v>41882</v>
      </c>
      <c r="AE702" s="389" t="str">
        <f t="shared" si="282"/>
        <v>20140101KUUM_497</v>
      </c>
      <c r="AF702" s="437" t="str">
        <f t="shared" si="283"/>
        <v>20140101LS</v>
      </c>
      <c r="AG702" s="438"/>
      <c r="AH702" s="34">
        <f>IF(AH701=MiscData!$AB$91,1,AH701+1)</f>
        <v>85</v>
      </c>
      <c r="AI702" s="34">
        <f>IF(AD702&lt;=MiscData!$B$23,MiscData!$C$23,IF(AD702&lt;=MiscData!$B$24,MiscData!$C$24,MiscData!$C$25))</f>
        <v>20140101</v>
      </c>
      <c r="AK702" s="439" t="str">
        <f>VLOOKUP(AM702,MiscData!$AB$4:$ACB$113,2,FALSE)</f>
        <v>KUUM_497</v>
      </c>
      <c r="AL702" s="439" t="str">
        <f>VLOOKUP(AM702,MiscData!$AB$4:$AE$115,4,FALSE)</f>
        <v>LS</v>
      </c>
      <c r="AM702" s="34">
        <f>IF(AM701=MiscData!$AB$91,1,AM701+1)</f>
        <v>85</v>
      </c>
    </row>
    <row r="703" spans="1:39">
      <c r="A703" s="389">
        <f t="shared" si="286"/>
        <v>702</v>
      </c>
      <c r="B703" s="395" t="str">
        <f t="shared" si="267"/>
        <v>Aug 2014</v>
      </c>
      <c r="C703" s="396" t="str">
        <f t="shared" si="268"/>
        <v>LS</v>
      </c>
      <c r="D703" s="396" t="str">
        <f t="shared" si="269"/>
        <v>KUUM_498</v>
      </c>
      <c r="E703" s="394">
        <f t="shared" si="270"/>
        <v>26</v>
      </c>
      <c r="F703" s="397">
        <v>0</v>
      </c>
      <c r="G703" s="394">
        <f t="shared" si="271"/>
        <v>1698</v>
      </c>
      <c r="H703" s="394">
        <v>0</v>
      </c>
      <c r="I703" s="390">
        <f t="shared" si="272"/>
        <v>17.72</v>
      </c>
      <c r="J703" s="390">
        <f t="shared" si="273"/>
        <v>2.33</v>
      </c>
      <c r="K703" s="391">
        <f t="shared" si="264"/>
        <v>460.72</v>
      </c>
      <c r="L703" s="398">
        <f>SUMIFS(_SBR_Energy_Revenue,_SBR_Revenue_Month,$B703,_SBR_Rate_Category,$D703)-K703</f>
        <v>0</v>
      </c>
      <c r="M703" s="398">
        <v>0</v>
      </c>
      <c r="N703" s="164">
        <f t="shared" si="266"/>
        <v>460.72</v>
      </c>
      <c r="O703" s="399">
        <f t="shared" si="274"/>
        <v>460.72</v>
      </c>
      <c r="P703" s="392">
        <f t="shared" si="265"/>
        <v>1</v>
      </c>
      <c r="Q703" s="164">
        <f t="shared" si="275"/>
        <v>-1.33</v>
      </c>
      <c r="R703" s="164">
        <f t="shared" si="276"/>
        <v>0</v>
      </c>
      <c r="S703" s="164">
        <f t="shared" si="277"/>
        <v>14.73</v>
      </c>
      <c r="T703" s="164">
        <f t="shared" si="278"/>
        <v>0</v>
      </c>
      <c r="U703" s="164">
        <f t="shared" si="279"/>
        <v>474.12</v>
      </c>
      <c r="V703" s="393">
        <f t="shared" si="280"/>
        <v>474.12000000000006</v>
      </c>
      <c r="W703" s="393">
        <f t="shared" si="281"/>
        <v>0</v>
      </c>
      <c r="Y703" s="393">
        <f t="shared" si="284"/>
        <v>60.58</v>
      </c>
      <c r="Z703" s="393">
        <f t="shared" si="285"/>
        <v>400.14000000000004</v>
      </c>
      <c r="AD703" s="395">
        <f>IF(AH703&gt;AH702,AD702,IF(AD702&lt;MiscData!$F$1,EOMONTH(AD702,1),EOMONTH(AD702,-11)))</f>
        <v>41882</v>
      </c>
      <c r="AE703" s="389" t="str">
        <f t="shared" si="282"/>
        <v>20140101KUUM_498</v>
      </c>
      <c r="AF703" s="437" t="str">
        <f t="shared" si="283"/>
        <v>20140101LS</v>
      </c>
      <c r="AG703" s="438"/>
      <c r="AH703" s="34">
        <f>IF(AH702=MiscData!$AB$91,1,AH702+1)</f>
        <v>86</v>
      </c>
      <c r="AI703" s="34">
        <f>IF(AD703&lt;=MiscData!$B$23,MiscData!$C$23,IF(AD703&lt;=MiscData!$B$24,MiscData!$C$24,MiscData!$C$25))</f>
        <v>20140101</v>
      </c>
      <c r="AK703" s="439" t="str">
        <f>VLOOKUP(AM703,MiscData!$AB$4:$ACB$113,2,FALSE)</f>
        <v>KUUM_498</v>
      </c>
      <c r="AL703" s="439" t="str">
        <f>VLOOKUP(AM703,MiscData!$AB$4:$AE$115,4,FALSE)</f>
        <v>LS</v>
      </c>
      <c r="AM703" s="34">
        <f>IF(AM702=MiscData!$AB$91,1,AM702+1)</f>
        <v>86</v>
      </c>
    </row>
    <row r="704" spans="1:39">
      <c r="A704" s="389">
        <f t="shared" si="286"/>
        <v>703</v>
      </c>
      <c r="B704" s="395" t="str">
        <f t="shared" si="267"/>
        <v>Aug 2014</v>
      </c>
      <c r="C704" s="396" t="str">
        <f t="shared" si="268"/>
        <v>LS</v>
      </c>
      <c r="D704" s="396" t="str">
        <f t="shared" si="269"/>
        <v>KUUM_499</v>
      </c>
      <c r="E704" s="394">
        <f t="shared" si="270"/>
        <v>25</v>
      </c>
      <c r="F704" s="397">
        <v>0</v>
      </c>
      <c r="G704" s="394">
        <f t="shared" si="271"/>
        <v>3854</v>
      </c>
      <c r="H704" s="394">
        <v>0</v>
      </c>
      <c r="I704" s="390">
        <f t="shared" si="272"/>
        <v>21.490000000000002</v>
      </c>
      <c r="J704" s="390">
        <f t="shared" si="273"/>
        <v>4.5300000000000011</v>
      </c>
      <c r="K704" s="391">
        <f t="shared" si="264"/>
        <v>537.25</v>
      </c>
      <c r="L704" s="398">
        <f>SUMIFS(_SBR_Energy_Revenue,_SBR_Revenue_Month,$B704,_SBR_Rate_Category,$D704)-K704</f>
        <v>151.28999999999996</v>
      </c>
      <c r="M704" s="398">
        <v>0</v>
      </c>
      <c r="N704" s="164">
        <f t="shared" si="266"/>
        <v>688.54</v>
      </c>
      <c r="O704" s="399">
        <f t="shared" si="274"/>
        <v>688.54</v>
      </c>
      <c r="P704" s="392">
        <f t="shared" si="265"/>
        <v>1</v>
      </c>
      <c r="Q704" s="164">
        <f t="shared" si="275"/>
        <v>-2.56</v>
      </c>
      <c r="R704" s="164">
        <f t="shared" si="276"/>
        <v>0</v>
      </c>
      <c r="S704" s="164">
        <f t="shared" si="277"/>
        <v>22.05</v>
      </c>
      <c r="T704" s="164">
        <f t="shared" si="278"/>
        <v>0</v>
      </c>
      <c r="U704" s="164">
        <f t="shared" si="279"/>
        <v>708.03</v>
      </c>
      <c r="V704" s="393">
        <f t="shared" si="280"/>
        <v>708.03</v>
      </c>
      <c r="W704" s="393">
        <f t="shared" si="281"/>
        <v>0</v>
      </c>
      <c r="Y704" s="393">
        <f t="shared" si="284"/>
        <v>113.25</v>
      </c>
      <c r="Z704" s="393">
        <f t="shared" si="285"/>
        <v>575.29</v>
      </c>
      <c r="AD704" s="395">
        <f>IF(AH704&gt;AH703,AD703,IF(AD703&lt;MiscData!$F$1,EOMONTH(AD703,1),EOMONTH(AD703,-11)))</f>
        <v>41882</v>
      </c>
      <c r="AE704" s="389" t="str">
        <f t="shared" si="282"/>
        <v>20140101KUUM_499</v>
      </c>
      <c r="AF704" s="437" t="str">
        <f t="shared" si="283"/>
        <v>20140101LS</v>
      </c>
      <c r="AG704" s="438"/>
      <c r="AH704" s="34">
        <f>IF(AH703=MiscData!$AB$91,1,AH703+1)</f>
        <v>87</v>
      </c>
      <c r="AI704" s="34">
        <f>IF(AD704&lt;=MiscData!$B$23,MiscData!$C$23,IF(AD704&lt;=MiscData!$B$24,MiscData!$C$24,MiscData!$C$25))</f>
        <v>20140101</v>
      </c>
      <c r="AK704" s="439" t="str">
        <f>VLOOKUP(AM704,MiscData!$AB$4:$ACB$113,2,FALSE)</f>
        <v>KUUM_499</v>
      </c>
      <c r="AL704" s="439" t="str">
        <f>VLOOKUP(AM704,MiscData!$AB$4:$AE$115,4,FALSE)</f>
        <v>LS</v>
      </c>
      <c r="AM704" s="34">
        <f>IF(AM703=MiscData!$AB$91,1,AM703+1)</f>
        <v>87</v>
      </c>
    </row>
    <row r="705" spans="1:39">
      <c r="A705" s="389">
        <f t="shared" si="286"/>
        <v>704</v>
      </c>
      <c r="B705" s="395" t="str">
        <f t="shared" si="267"/>
        <v>Aug 2014</v>
      </c>
      <c r="C705" s="396" t="str">
        <f t="shared" si="268"/>
        <v>ODL</v>
      </c>
      <c r="D705" s="396" t="str">
        <f t="shared" si="269"/>
        <v>ODL</v>
      </c>
      <c r="E705" s="394">
        <f t="shared" si="270"/>
        <v>0</v>
      </c>
      <c r="F705" s="397">
        <v>0</v>
      </c>
      <c r="G705" s="394">
        <f t="shared" si="271"/>
        <v>0</v>
      </c>
      <c r="H705" s="394">
        <v>0</v>
      </c>
      <c r="I705" s="390">
        <f t="shared" si="272"/>
        <v>0</v>
      </c>
      <c r="J705" s="390">
        <f t="shared" si="273"/>
        <v>0</v>
      </c>
      <c r="K705" s="391">
        <f t="shared" si="264"/>
        <v>0</v>
      </c>
      <c r="L705" s="398">
        <v>0</v>
      </c>
      <c r="M705" s="398">
        <v>0</v>
      </c>
      <c r="N705" s="164">
        <f t="shared" si="266"/>
        <v>0</v>
      </c>
      <c r="O705" s="399">
        <f t="shared" si="274"/>
        <v>0</v>
      </c>
      <c r="P705" s="392">
        <f t="shared" si="265"/>
        <v>1</v>
      </c>
      <c r="Q705" s="164">
        <f t="shared" si="275"/>
        <v>0</v>
      </c>
      <c r="R705" s="164">
        <f t="shared" si="276"/>
        <v>0</v>
      </c>
      <c r="S705" s="164">
        <f t="shared" si="277"/>
        <v>0</v>
      </c>
      <c r="T705" s="164">
        <f t="shared" si="278"/>
        <v>0</v>
      </c>
      <c r="U705" s="164">
        <f t="shared" si="279"/>
        <v>0</v>
      </c>
      <c r="V705" s="393">
        <f t="shared" si="280"/>
        <v>0</v>
      </c>
      <c r="W705" s="393">
        <f t="shared" si="281"/>
        <v>0</v>
      </c>
      <c r="Y705" s="393">
        <f t="shared" si="284"/>
        <v>0</v>
      </c>
      <c r="Z705" s="393">
        <f t="shared" si="285"/>
        <v>0</v>
      </c>
      <c r="AD705" s="395">
        <f>IF(AH705&gt;AH704,AD704,IF(AD704&lt;MiscData!$F$1,EOMONTH(AD704,1),EOMONTH(AD704,-11)))</f>
        <v>41882</v>
      </c>
      <c r="AE705" s="389" t="str">
        <f t="shared" si="282"/>
        <v>20140101ODL</v>
      </c>
      <c r="AF705" s="437" t="str">
        <f t="shared" si="283"/>
        <v>20140101ODL</v>
      </c>
      <c r="AG705" s="438"/>
      <c r="AH705" s="34">
        <f>IF(AH704=MiscData!$AB$91,1,AH704+1)</f>
        <v>88</v>
      </c>
      <c r="AI705" s="34">
        <f>IF(AD705&lt;=MiscData!$B$23,MiscData!$C$23,IF(AD705&lt;=MiscData!$B$24,MiscData!$C$24,MiscData!$C$25))</f>
        <v>20140101</v>
      </c>
      <c r="AK705" s="439" t="str">
        <f>VLOOKUP(AM705,MiscData!$AB$4:$ACB$113,2,FALSE)</f>
        <v>ODL</v>
      </c>
      <c r="AL705" s="439" t="str">
        <f>VLOOKUP(AM705,MiscData!$AB$4:$AE$115,4,FALSE)</f>
        <v>ODL</v>
      </c>
      <c r="AM705" s="34">
        <f>IF(AM704=MiscData!$AB$91,1,AM704+1)</f>
        <v>88</v>
      </c>
    </row>
    <row r="706" spans="1:39">
      <c r="A706" s="389">
        <f t="shared" si="286"/>
        <v>705</v>
      </c>
      <c r="B706" s="395" t="str">
        <f t="shared" si="267"/>
        <v>Sep 2014</v>
      </c>
      <c r="C706" s="396" t="str">
        <f t="shared" si="268"/>
        <v>LS</v>
      </c>
      <c r="D706" s="396" t="str">
        <f t="shared" si="269"/>
        <v>KUUM_300</v>
      </c>
      <c r="E706" s="394">
        <f t="shared" si="270"/>
        <v>0</v>
      </c>
      <c r="F706" s="397">
        <v>0</v>
      </c>
      <c r="G706" s="394">
        <f t="shared" si="271"/>
        <v>0</v>
      </c>
      <c r="H706" s="394">
        <v>0</v>
      </c>
      <c r="I706" s="390">
        <f t="shared" si="272"/>
        <v>22.49</v>
      </c>
      <c r="J706" s="390">
        <f t="shared" si="273"/>
        <v>0.58000000000000185</v>
      </c>
      <c r="K706" s="391">
        <f t="shared" si="264"/>
        <v>0</v>
      </c>
      <c r="L706" s="398">
        <v>0</v>
      </c>
      <c r="M706" s="398">
        <v>0</v>
      </c>
      <c r="N706" s="164">
        <f t="shared" si="266"/>
        <v>0</v>
      </c>
      <c r="O706" s="399">
        <f t="shared" si="274"/>
        <v>0</v>
      </c>
      <c r="P706" s="392">
        <f t="shared" si="265"/>
        <v>1</v>
      </c>
      <c r="Q706" s="164">
        <f t="shared" si="275"/>
        <v>0</v>
      </c>
      <c r="R706" s="164">
        <f t="shared" si="276"/>
        <v>0</v>
      </c>
      <c r="S706" s="164">
        <f t="shared" si="277"/>
        <v>0</v>
      </c>
      <c r="T706" s="164">
        <f t="shared" si="278"/>
        <v>0</v>
      </c>
      <c r="U706" s="164">
        <f t="shared" si="279"/>
        <v>0</v>
      </c>
      <c r="V706" s="393">
        <f t="shared" si="280"/>
        <v>0</v>
      </c>
      <c r="W706" s="393">
        <f t="shared" si="281"/>
        <v>0</v>
      </c>
      <c r="Y706" s="393">
        <f t="shared" si="284"/>
        <v>0</v>
      </c>
      <c r="Z706" s="393">
        <f t="shared" si="285"/>
        <v>0</v>
      </c>
      <c r="AD706" s="395">
        <f>IF(AH706&gt;AH705,AD705,IF(AD705&lt;MiscData!$F$1,EOMONTH(AD705,1),EOMONTH(AD705,-11)))</f>
        <v>41912</v>
      </c>
      <c r="AE706" s="389" t="str">
        <f t="shared" si="282"/>
        <v>20140101KUUM_300</v>
      </c>
      <c r="AF706" s="437" t="str">
        <f t="shared" si="283"/>
        <v>20140101LS</v>
      </c>
      <c r="AG706" s="438"/>
      <c r="AH706" s="34">
        <f>IF(AH705=MiscData!$AB$91,1,AH705+1)</f>
        <v>1</v>
      </c>
      <c r="AI706" s="34">
        <f>IF(AD706&lt;=MiscData!$B$23,MiscData!$C$23,IF(AD706&lt;=MiscData!$B$24,MiscData!$C$24,MiscData!$C$25))</f>
        <v>20140101</v>
      </c>
      <c r="AK706" s="439" t="str">
        <f>VLOOKUP(AM706,MiscData!$AB$4:$ACB$113,2,FALSE)</f>
        <v>KUUM_300</v>
      </c>
      <c r="AL706" s="439" t="str">
        <f>VLOOKUP(AM706,MiscData!$AB$4:$AE$115,4,FALSE)</f>
        <v>LS</v>
      </c>
      <c r="AM706" s="34">
        <f>IF(AM705=MiscData!$AB$91,1,AM705+1)</f>
        <v>1</v>
      </c>
    </row>
    <row r="707" spans="1:39">
      <c r="A707" s="389">
        <f t="shared" si="286"/>
        <v>706</v>
      </c>
      <c r="B707" s="395" t="str">
        <f t="shared" si="267"/>
        <v>Sep 2014</v>
      </c>
      <c r="C707" s="396" t="str">
        <f t="shared" si="268"/>
        <v>LS</v>
      </c>
      <c r="D707" s="396" t="str">
        <f t="shared" si="269"/>
        <v>KUUM_301</v>
      </c>
      <c r="E707" s="394">
        <f t="shared" si="270"/>
        <v>0</v>
      </c>
      <c r="F707" s="397">
        <v>0</v>
      </c>
      <c r="G707" s="394">
        <f t="shared" si="271"/>
        <v>0</v>
      </c>
      <c r="H707" s="394">
        <v>0</v>
      </c>
      <c r="I707" s="390">
        <f t="shared" si="272"/>
        <v>23.5</v>
      </c>
      <c r="J707" s="390">
        <f t="shared" si="273"/>
        <v>1.129999999999999</v>
      </c>
      <c r="K707" s="391">
        <f t="shared" ref="K707:K770" si="287">ROUND(($E707+$F707)*$I707,2)</f>
        <v>0</v>
      </c>
      <c r="L707" s="398">
        <v>0</v>
      </c>
      <c r="M707" s="398">
        <v>0</v>
      </c>
      <c r="N707" s="164">
        <f t="shared" si="266"/>
        <v>0</v>
      </c>
      <c r="O707" s="399">
        <f t="shared" si="274"/>
        <v>0</v>
      </c>
      <c r="P707" s="392">
        <f t="shared" ref="P707:P770" si="288">IF(AND(N707=0,O707=0),1,IF(N707=0,0,ROUND(O707/N707,6)))</f>
        <v>1</v>
      </c>
      <c r="Q707" s="164">
        <f t="shared" si="275"/>
        <v>0</v>
      </c>
      <c r="R707" s="164">
        <f t="shared" si="276"/>
        <v>0</v>
      </c>
      <c r="S707" s="164">
        <f t="shared" si="277"/>
        <v>0</v>
      </c>
      <c r="T707" s="164">
        <f t="shared" si="278"/>
        <v>0</v>
      </c>
      <c r="U707" s="164">
        <f t="shared" si="279"/>
        <v>0</v>
      </c>
      <c r="V707" s="393">
        <f t="shared" si="280"/>
        <v>0</v>
      </c>
      <c r="W707" s="393">
        <f t="shared" si="281"/>
        <v>0</v>
      </c>
      <c r="Y707" s="393">
        <f t="shared" si="284"/>
        <v>0</v>
      </c>
      <c r="Z707" s="393">
        <f t="shared" si="285"/>
        <v>0</v>
      </c>
      <c r="AD707" s="395">
        <f>IF(AH707&gt;AH706,AD706,IF(AD706&lt;MiscData!$F$1,EOMONTH(AD706,1),EOMONTH(AD706,-11)))</f>
        <v>41912</v>
      </c>
      <c r="AE707" s="389" t="str">
        <f t="shared" si="282"/>
        <v>20140101KUUM_301</v>
      </c>
      <c r="AF707" s="437" t="str">
        <f t="shared" si="283"/>
        <v>20140101LS</v>
      </c>
      <c r="AG707" s="438"/>
      <c r="AH707" s="34">
        <f>IF(AH706=MiscData!$AB$91,1,AH706+1)</f>
        <v>2</v>
      </c>
      <c r="AI707" s="34">
        <f>IF(AD707&lt;=MiscData!$B$23,MiscData!$C$23,IF(AD707&lt;=MiscData!$B$24,MiscData!$C$24,MiscData!$C$25))</f>
        <v>20140101</v>
      </c>
      <c r="AK707" s="439" t="str">
        <f>VLOOKUP(AM707,MiscData!$AB$4:$ACB$113,2,FALSE)</f>
        <v>KUUM_301</v>
      </c>
      <c r="AL707" s="439" t="str">
        <f>VLOOKUP(AM707,MiscData!$AB$4:$AE$115,4,FALSE)</f>
        <v>LS</v>
      </c>
      <c r="AM707" s="34">
        <f>IF(AM706=MiscData!$AB$91,1,AM706+1)</f>
        <v>2</v>
      </c>
    </row>
    <row r="708" spans="1:39">
      <c r="A708" s="389">
        <f t="shared" si="286"/>
        <v>707</v>
      </c>
      <c r="B708" s="395" t="str">
        <f t="shared" si="267"/>
        <v>Sep 2014</v>
      </c>
      <c r="C708" s="396" t="str">
        <f t="shared" si="268"/>
        <v>LS</v>
      </c>
      <c r="D708" s="396" t="str">
        <f t="shared" si="269"/>
        <v>KUUM_360</v>
      </c>
      <c r="E708" s="394">
        <f t="shared" si="270"/>
        <v>172</v>
      </c>
      <c r="F708" s="397">
        <v>0</v>
      </c>
      <c r="G708" s="394">
        <f t="shared" si="271"/>
        <v>0</v>
      </c>
      <c r="H708" s="394">
        <v>0</v>
      </c>
      <c r="I708" s="390">
        <f t="shared" si="272"/>
        <v>55.33</v>
      </c>
      <c r="J708" s="390">
        <f t="shared" si="273"/>
        <v>1.75</v>
      </c>
      <c r="K708" s="391">
        <f t="shared" si="287"/>
        <v>9516.76</v>
      </c>
      <c r="L708" s="398">
        <v>0</v>
      </c>
      <c r="M708" s="398">
        <v>0</v>
      </c>
      <c r="N708" s="164">
        <f t="shared" si="266"/>
        <v>9516.76</v>
      </c>
      <c r="O708" s="399">
        <f t="shared" si="274"/>
        <v>0</v>
      </c>
      <c r="P708" s="392">
        <f t="shared" si="288"/>
        <v>0</v>
      </c>
      <c r="Q708" s="164">
        <f t="shared" si="275"/>
        <v>0</v>
      </c>
      <c r="R708" s="164">
        <f t="shared" si="276"/>
        <v>0</v>
      </c>
      <c r="S708" s="164">
        <f t="shared" si="277"/>
        <v>0</v>
      </c>
      <c r="T708" s="164">
        <f t="shared" si="278"/>
        <v>0</v>
      </c>
      <c r="U708" s="164">
        <f t="shared" si="279"/>
        <v>0</v>
      </c>
      <c r="V708" s="393">
        <f t="shared" si="280"/>
        <v>9516.76</v>
      </c>
      <c r="W708" s="393">
        <f t="shared" si="281"/>
        <v>-9516.76</v>
      </c>
      <c r="Y708" s="393">
        <f t="shared" si="284"/>
        <v>301</v>
      </c>
      <c r="Z708" s="393">
        <f t="shared" si="285"/>
        <v>-301</v>
      </c>
      <c r="AD708" s="395">
        <f>IF(AH708&gt;AH707,AD707,IF(AD707&lt;MiscData!$F$1,EOMONTH(AD707,1),EOMONTH(AD707,-11)))</f>
        <v>41912</v>
      </c>
      <c r="AE708" s="389" t="str">
        <f t="shared" si="282"/>
        <v>20140101KUUM_360</v>
      </c>
      <c r="AF708" s="437" t="str">
        <f t="shared" si="283"/>
        <v>20140101LS</v>
      </c>
      <c r="AG708" s="438"/>
      <c r="AH708" s="34">
        <f>IF(AH707=MiscData!$AB$91,1,AH707+1)</f>
        <v>3</v>
      </c>
      <c r="AI708" s="34">
        <f>IF(AD708&lt;=MiscData!$B$23,MiscData!$C$23,IF(AD708&lt;=MiscData!$B$24,MiscData!$C$24,MiscData!$C$25))</f>
        <v>20140101</v>
      </c>
      <c r="AK708" s="439" t="str">
        <f>VLOOKUP(AM708,MiscData!$AB$4:$ACB$113,2,FALSE)</f>
        <v>KUUM_360</v>
      </c>
      <c r="AL708" s="439" t="str">
        <f>VLOOKUP(AM708,MiscData!$AB$4:$AE$115,4,FALSE)</f>
        <v>LS</v>
      </c>
      <c r="AM708" s="34">
        <f>IF(AM707=MiscData!$AB$91,1,AM707+1)</f>
        <v>3</v>
      </c>
    </row>
    <row r="709" spans="1:39">
      <c r="A709" s="389">
        <f t="shared" si="286"/>
        <v>708</v>
      </c>
      <c r="B709" s="395" t="str">
        <f t="shared" si="267"/>
        <v>Sep 2014</v>
      </c>
      <c r="C709" s="396" t="str">
        <f t="shared" si="268"/>
        <v>LS</v>
      </c>
      <c r="D709" s="396" t="str">
        <f t="shared" si="269"/>
        <v>KUUM_361</v>
      </c>
      <c r="E709" s="394">
        <f t="shared" si="270"/>
        <v>26</v>
      </c>
      <c r="F709" s="397">
        <v>0</v>
      </c>
      <c r="G709" s="394">
        <f t="shared" si="271"/>
        <v>0</v>
      </c>
      <c r="H709" s="394">
        <v>0</v>
      </c>
      <c r="I709" s="390">
        <f t="shared" si="272"/>
        <v>83.16</v>
      </c>
      <c r="J709" s="390">
        <f t="shared" si="273"/>
        <v>1.75</v>
      </c>
      <c r="K709" s="391">
        <f t="shared" si="287"/>
        <v>2162.16</v>
      </c>
      <c r="L709" s="398">
        <v>0</v>
      </c>
      <c r="M709" s="398">
        <v>0</v>
      </c>
      <c r="N709" s="164">
        <f t="shared" si="266"/>
        <v>2162.16</v>
      </c>
      <c r="O709" s="399">
        <f t="shared" si="274"/>
        <v>0</v>
      </c>
      <c r="P709" s="392">
        <f t="shared" si="288"/>
        <v>0</v>
      </c>
      <c r="Q709" s="164">
        <f t="shared" si="275"/>
        <v>0</v>
      </c>
      <c r="R709" s="164">
        <f t="shared" si="276"/>
        <v>0</v>
      </c>
      <c r="S709" s="164">
        <f t="shared" si="277"/>
        <v>0</v>
      </c>
      <c r="T709" s="164">
        <f t="shared" si="278"/>
        <v>0</v>
      </c>
      <c r="U709" s="164">
        <f t="shared" si="279"/>
        <v>0</v>
      </c>
      <c r="V709" s="393">
        <f t="shared" si="280"/>
        <v>2162.16</v>
      </c>
      <c r="W709" s="393">
        <f t="shared" si="281"/>
        <v>-2162.16</v>
      </c>
      <c r="Y709" s="393">
        <f t="shared" si="284"/>
        <v>45.5</v>
      </c>
      <c r="Z709" s="393">
        <f t="shared" si="285"/>
        <v>-45.5</v>
      </c>
      <c r="AD709" s="395">
        <f>IF(AH709&gt;AH708,AD708,IF(AD708&lt;MiscData!$F$1,EOMONTH(AD708,1),EOMONTH(AD708,-11)))</f>
        <v>41912</v>
      </c>
      <c r="AE709" s="389" t="str">
        <f t="shared" si="282"/>
        <v>20140101KUUM_361</v>
      </c>
      <c r="AF709" s="437" t="str">
        <f t="shared" si="283"/>
        <v>20140101LS</v>
      </c>
      <c r="AG709" s="438"/>
      <c r="AH709" s="34">
        <f>IF(AH708=MiscData!$AB$91,1,AH708+1)</f>
        <v>4</v>
      </c>
      <c r="AI709" s="34">
        <f>IF(AD709&lt;=MiscData!$B$23,MiscData!$C$23,IF(AD709&lt;=MiscData!$B$24,MiscData!$C$24,MiscData!$C$25))</f>
        <v>20140101</v>
      </c>
      <c r="AK709" s="439" t="str">
        <f>VLOOKUP(AM709,MiscData!$AB$4:$ACB$113,2,FALSE)</f>
        <v>KUUM_361</v>
      </c>
      <c r="AL709" s="439" t="str">
        <f>VLOOKUP(AM709,MiscData!$AB$4:$AE$115,4,FALSE)</f>
        <v>LS</v>
      </c>
      <c r="AM709" s="34">
        <f>IF(AM708=MiscData!$AB$91,1,AM708+1)</f>
        <v>4</v>
      </c>
    </row>
    <row r="710" spans="1:39">
      <c r="A710" s="389">
        <f t="shared" si="286"/>
        <v>709</v>
      </c>
      <c r="B710" s="395" t="str">
        <f t="shared" si="267"/>
        <v>Sep 2014</v>
      </c>
      <c r="C710" s="396" t="str">
        <f t="shared" si="268"/>
        <v>LS</v>
      </c>
      <c r="D710" s="396" t="str">
        <f t="shared" si="269"/>
        <v>KUUM_362</v>
      </c>
      <c r="E710" s="394">
        <f t="shared" si="270"/>
        <v>40</v>
      </c>
      <c r="F710" s="397">
        <v>0</v>
      </c>
      <c r="G710" s="394">
        <f t="shared" si="271"/>
        <v>0</v>
      </c>
      <c r="H710" s="394">
        <v>0</v>
      </c>
      <c r="I710" s="390">
        <f t="shared" si="272"/>
        <v>59.78</v>
      </c>
      <c r="J710" s="390">
        <f t="shared" si="273"/>
        <v>1.75</v>
      </c>
      <c r="K710" s="391">
        <f t="shared" si="287"/>
        <v>2391.1999999999998</v>
      </c>
      <c r="L710" s="398">
        <v>0</v>
      </c>
      <c r="M710" s="398">
        <v>0</v>
      </c>
      <c r="N710" s="164">
        <f t="shared" si="266"/>
        <v>2391.1999999999998</v>
      </c>
      <c r="O710" s="399">
        <f t="shared" si="274"/>
        <v>0</v>
      </c>
      <c r="P710" s="392">
        <f t="shared" si="288"/>
        <v>0</v>
      </c>
      <c r="Q710" s="164">
        <f t="shared" si="275"/>
        <v>0</v>
      </c>
      <c r="R710" s="164">
        <f t="shared" si="276"/>
        <v>0</v>
      </c>
      <c r="S710" s="164">
        <f t="shared" si="277"/>
        <v>0</v>
      </c>
      <c r="T710" s="164">
        <f t="shared" si="278"/>
        <v>0</v>
      </c>
      <c r="U710" s="164">
        <f t="shared" si="279"/>
        <v>0</v>
      </c>
      <c r="V710" s="393">
        <f t="shared" si="280"/>
        <v>2391.1999999999998</v>
      </c>
      <c r="W710" s="393">
        <f t="shared" si="281"/>
        <v>-2391.1999999999998</v>
      </c>
      <c r="Y710" s="393">
        <f t="shared" si="284"/>
        <v>70</v>
      </c>
      <c r="Z710" s="393">
        <f t="shared" si="285"/>
        <v>-70</v>
      </c>
      <c r="AD710" s="395">
        <f>IF(AH710&gt;AH709,AD709,IF(AD709&lt;MiscData!$F$1,EOMONTH(AD709,1),EOMONTH(AD709,-11)))</f>
        <v>41912</v>
      </c>
      <c r="AE710" s="389" t="str">
        <f t="shared" si="282"/>
        <v>20140101KUUM_362</v>
      </c>
      <c r="AF710" s="437" t="str">
        <f t="shared" si="283"/>
        <v>20140101LS</v>
      </c>
      <c r="AG710" s="438"/>
      <c r="AH710" s="34">
        <f>IF(AH709=MiscData!$AB$91,1,AH709+1)</f>
        <v>5</v>
      </c>
      <c r="AI710" s="34">
        <f>IF(AD710&lt;=MiscData!$B$23,MiscData!$C$23,IF(AD710&lt;=MiscData!$B$24,MiscData!$C$24,MiscData!$C$25))</f>
        <v>20140101</v>
      </c>
      <c r="AK710" s="439" t="str">
        <f>VLOOKUP(AM710,MiscData!$AB$4:$ACB$113,2,FALSE)</f>
        <v>KUUM_362</v>
      </c>
      <c r="AL710" s="439" t="str">
        <f>VLOOKUP(AM710,MiscData!$AB$4:$AE$115,4,FALSE)</f>
        <v>LS</v>
      </c>
      <c r="AM710" s="34">
        <f>IF(AM709=MiscData!$AB$91,1,AM709+1)</f>
        <v>5</v>
      </c>
    </row>
    <row r="711" spans="1:39">
      <c r="A711" s="389">
        <f t="shared" si="286"/>
        <v>710</v>
      </c>
      <c r="B711" s="395" t="str">
        <f t="shared" si="267"/>
        <v>Sep 2014</v>
      </c>
      <c r="C711" s="396" t="str">
        <f t="shared" si="268"/>
        <v>LS</v>
      </c>
      <c r="D711" s="396" t="str">
        <f t="shared" si="269"/>
        <v>KUUM_363</v>
      </c>
      <c r="E711" s="394">
        <f t="shared" si="270"/>
        <v>5</v>
      </c>
      <c r="F711" s="397">
        <v>0</v>
      </c>
      <c r="G711" s="394">
        <f t="shared" si="271"/>
        <v>0</v>
      </c>
      <c r="H711" s="394">
        <v>0</v>
      </c>
      <c r="I711" s="390">
        <f t="shared" si="272"/>
        <v>61.75</v>
      </c>
      <c r="J711" s="390">
        <f t="shared" si="273"/>
        <v>1.75</v>
      </c>
      <c r="K711" s="391">
        <f t="shared" si="287"/>
        <v>308.75</v>
      </c>
      <c r="L711" s="398">
        <v>0</v>
      </c>
      <c r="M711" s="398">
        <v>0</v>
      </c>
      <c r="N711" s="164">
        <f t="shared" si="266"/>
        <v>308.75</v>
      </c>
      <c r="O711" s="399">
        <f t="shared" si="274"/>
        <v>0</v>
      </c>
      <c r="P711" s="392">
        <f t="shared" si="288"/>
        <v>0</v>
      </c>
      <c r="Q711" s="164">
        <f t="shared" si="275"/>
        <v>0</v>
      </c>
      <c r="R711" s="164">
        <f t="shared" si="276"/>
        <v>0</v>
      </c>
      <c r="S711" s="164">
        <f t="shared" si="277"/>
        <v>0</v>
      </c>
      <c r="T711" s="164">
        <f t="shared" si="278"/>
        <v>0</v>
      </c>
      <c r="U711" s="164">
        <f t="shared" si="279"/>
        <v>0</v>
      </c>
      <c r="V711" s="393">
        <f t="shared" si="280"/>
        <v>308.75</v>
      </c>
      <c r="W711" s="393">
        <f t="shared" si="281"/>
        <v>-308.75</v>
      </c>
      <c r="Y711" s="393">
        <f t="shared" si="284"/>
        <v>8.75</v>
      </c>
      <c r="Z711" s="393">
        <f t="shared" si="285"/>
        <v>-8.75</v>
      </c>
      <c r="AD711" s="395">
        <f>IF(AH711&gt;AH710,AD710,IF(AD710&lt;MiscData!$F$1,EOMONTH(AD710,1),EOMONTH(AD710,-11)))</f>
        <v>41912</v>
      </c>
      <c r="AE711" s="389" t="str">
        <f t="shared" si="282"/>
        <v>20140101KUUM_363</v>
      </c>
      <c r="AF711" s="437" t="str">
        <f t="shared" si="283"/>
        <v>20140101LS</v>
      </c>
      <c r="AG711" s="438"/>
      <c r="AH711" s="34">
        <f>IF(AH710=MiscData!$AB$91,1,AH710+1)</f>
        <v>6</v>
      </c>
      <c r="AI711" s="34">
        <f>IF(AD711&lt;=MiscData!$B$23,MiscData!$C$23,IF(AD711&lt;=MiscData!$B$24,MiscData!$C$24,MiscData!$C$25))</f>
        <v>20140101</v>
      </c>
      <c r="AK711" s="439" t="str">
        <f>VLOOKUP(AM711,MiscData!$AB$4:$ACB$113,2,FALSE)</f>
        <v>KUUM_363</v>
      </c>
      <c r="AL711" s="439" t="str">
        <f>VLOOKUP(AM711,MiscData!$AB$4:$AE$115,4,FALSE)</f>
        <v>LS</v>
      </c>
      <c r="AM711" s="34">
        <f>IF(AM710=MiscData!$AB$91,1,AM710+1)</f>
        <v>6</v>
      </c>
    </row>
    <row r="712" spans="1:39">
      <c r="A712" s="389">
        <f t="shared" si="286"/>
        <v>711</v>
      </c>
      <c r="B712" s="395" t="str">
        <f t="shared" si="267"/>
        <v>Sep 2014</v>
      </c>
      <c r="C712" s="396" t="str">
        <f t="shared" si="268"/>
        <v>LS</v>
      </c>
      <c r="D712" s="396" t="str">
        <f t="shared" si="269"/>
        <v>KUUM_364</v>
      </c>
      <c r="E712" s="394">
        <f t="shared" si="270"/>
        <v>1</v>
      </c>
      <c r="F712" s="397">
        <v>0</v>
      </c>
      <c r="G712" s="394">
        <f t="shared" si="271"/>
        <v>0</v>
      </c>
      <c r="H712" s="394">
        <v>0</v>
      </c>
      <c r="I712" s="390">
        <f t="shared" si="272"/>
        <v>63.11</v>
      </c>
      <c r="J712" s="390">
        <f t="shared" si="273"/>
        <v>1.75</v>
      </c>
      <c r="K712" s="391">
        <f t="shared" si="287"/>
        <v>63.11</v>
      </c>
      <c r="L712" s="398">
        <v>0</v>
      </c>
      <c r="M712" s="398">
        <v>0</v>
      </c>
      <c r="N712" s="164">
        <f t="shared" si="266"/>
        <v>63.11</v>
      </c>
      <c r="O712" s="399">
        <f t="shared" si="274"/>
        <v>0</v>
      </c>
      <c r="P712" s="392">
        <f t="shared" si="288"/>
        <v>0</v>
      </c>
      <c r="Q712" s="164">
        <f t="shared" si="275"/>
        <v>0</v>
      </c>
      <c r="R712" s="164">
        <f t="shared" si="276"/>
        <v>0</v>
      </c>
      <c r="S712" s="164">
        <f t="shared" si="277"/>
        <v>0</v>
      </c>
      <c r="T712" s="164">
        <f t="shared" si="278"/>
        <v>0</v>
      </c>
      <c r="U712" s="164">
        <f t="shared" si="279"/>
        <v>0</v>
      </c>
      <c r="V712" s="393">
        <f t="shared" si="280"/>
        <v>63.11</v>
      </c>
      <c r="W712" s="393">
        <f t="shared" si="281"/>
        <v>-63.11</v>
      </c>
      <c r="Y712" s="393">
        <f t="shared" si="284"/>
        <v>1.75</v>
      </c>
      <c r="Z712" s="393">
        <f t="shared" si="285"/>
        <v>-1.75</v>
      </c>
      <c r="AD712" s="395">
        <f>IF(AH712&gt;AH711,AD711,IF(AD711&lt;MiscData!$F$1,EOMONTH(AD711,1),EOMONTH(AD711,-11)))</f>
        <v>41912</v>
      </c>
      <c r="AE712" s="389" t="str">
        <f t="shared" si="282"/>
        <v>20140101KUUM_364</v>
      </c>
      <c r="AF712" s="437" t="str">
        <f t="shared" si="283"/>
        <v>20140101LS</v>
      </c>
      <c r="AG712" s="438"/>
      <c r="AH712" s="34">
        <f>IF(AH711=MiscData!$AB$91,1,AH711+1)</f>
        <v>7</v>
      </c>
      <c r="AI712" s="34">
        <f>IF(AD712&lt;=MiscData!$B$23,MiscData!$C$23,IF(AD712&lt;=MiscData!$B$24,MiscData!$C$24,MiscData!$C$25))</f>
        <v>20140101</v>
      </c>
      <c r="AK712" s="439" t="str">
        <f>VLOOKUP(AM712,MiscData!$AB$4:$ACB$113,2,FALSE)</f>
        <v>KUUM_364</v>
      </c>
      <c r="AL712" s="439" t="str">
        <f>VLOOKUP(AM712,MiscData!$AB$4:$AE$115,4,FALSE)</f>
        <v>LS</v>
      </c>
      <c r="AM712" s="34">
        <f>IF(AM711=MiscData!$AB$91,1,AM711+1)</f>
        <v>7</v>
      </c>
    </row>
    <row r="713" spans="1:39">
      <c r="A713" s="389">
        <f t="shared" si="286"/>
        <v>712</v>
      </c>
      <c r="B713" s="395" t="str">
        <f t="shared" si="267"/>
        <v>Sep 2014</v>
      </c>
      <c r="C713" s="396" t="str">
        <f t="shared" si="268"/>
        <v>LS</v>
      </c>
      <c r="D713" s="396" t="str">
        <f t="shared" si="269"/>
        <v>KUUM_365</v>
      </c>
      <c r="E713" s="394">
        <f t="shared" si="270"/>
        <v>5</v>
      </c>
      <c r="F713" s="397">
        <v>0</v>
      </c>
      <c r="G713" s="394">
        <f t="shared" si="271"/>
        <v>0</v>
      </c>
      <c r="H713" s="394">
        <v>0</v>
      </c>
      <c r="I713" s="390">
        <f t="shared" si="272"/>
        <v>80.94</v>
      </c>
      <c r="J713" s="390">
        <f t="shared" si="273"/>
        <v>1.75</v>
      </c>
      <c r="K713" s="391">
        <f t="shared" si="287"/>
        <v>404.7</v>
      </c>
      <c r="L713" s="398">
        <v>0</v>
      </c>
      <c r="M713" s="398">
        <v>0</v>
      </c>
      <c r="N713" s="164">
        <f t="shared" si="266"/>
        <v>404.7</v>
      </c>
      <c r="O713" s="399">
        <f t="shared" si="274"/>
        <v>0</v>
      </c>
      <c r="P713" s="392">
        <f t="shared" si="288"/>
        <v>0</v>
      </c>
      <c r="Q713" s="164">
        <f t="shared" si="275"/>
        <v>0</v>
      </c>
      <c r="R713" s="164">
        <f t="shared" si="276"/>
        <v>0</v>
      </c>
      <c r="S713" s="164">
        <f t="shared" si="277"/>
        <v>0</v>
      </c>
      <c r="T713" s="164">
        <f t="shared" si="278"/>
        <v>0</v>
      </c>
      <c r="U713" s="164">
        <f t="shared" si="279"/>
        <v>0</v>
      </c>
      <c r="V713" s="393">
        <f t="shared" si="280"/>
        <v>404.7</v>
      </c>
      <c r="W713" s="393">
        <f t="shared" si="281"/>
        <v>-404.7</v>
      </c>
      <c r="Y713" s="393">
        <f t="shared" si="284"/>
        <v>8.75</v>
      </c>
      <c r="Z713" s="393">
        <f t="shared" si="285"/>
        <v>-8.75</v>
      </c>
      <c r="AD713" s="395">
        <f>IF(AH713&gt;AH712,AD712,IF(AD712&lt;MiscData!$F$1,EOMONTH(AD712,1),EOMONTH(AD712,-11)))</f>
        <v>41912</v>
      </c>
      <c r="AE713" s="389" t="str">
        <f t="shared" si="282"/>
        <v>20140101KUUM_365</v>
      </c>
      <c r="AF713" s="437" t="str">
        <f t="shared" si="283"/>
        <v>20140101LS</v>
      </c>
      <c r="AG713" s="438"/>
      <c r="AH713" s="34">
        <f>IF(AH712=MiscData!$AB$91,1,AH712+1)</f>
        <v>8</v>
      </c>
      <c r="AI713" s="34">
        <f>IF(AD713&lt;=MiscData!$B$23,MiscData!$C$23,IF(AD713&lt;=MiscData!$B$24,MiscData!$C$24,MiscData!$C$25))</f>
        <v>20140101</v>
      </c>
      <c r="AK713" s="439" t="str">
        <f>VLOOKUP(AM713,MiscData!$AB$4:$ACB$113,2,FALSE)</f>
        <v>KUUM_365</v>
      </c>
      <c r="AL713" s="439" t="str">
        <f>VLOOKUP(AM713,MiscData!$AB$4:$AE$115,4,FALSE)</f>
        <v>LS</v>
      </c>
      <c r="AM713" s="34">
        <f>IF(AM712=MiscData!$AB$91,1,AM712+1)</f>
        <v>8</v>
      </c>
    </row>
    <row r="714" spans="1:39">
      <c r="A714" s="389">
        <f t="shared" si="286"/>
        <v>713</v>
      </c>
      <c r="B714" s="395" t="str">
        <f t="shared" si="267"/>
        <v>Sep 2014</v>
      </c>
      <c r="C714" s="396" t="str">
        <f t="shared" si="268"/>
        <v>LS</v>
      </c>
      <c r="D714" s="396" t="str">
        <f t="shared" si="269"/>
        <v>KUUM_366</v>
      </c>
      <c r="E714" s="394">
        <f t="shared" si="270"/>
        <v>10</v>
      </c>
      <c r="F714" s="397">
        <v>0</v>
      </c>
      <c r="G714" s="394">
        <f t="shared" si="271"/>
        <v>0</v>
      </c>
      <c r="H714" s="394">
        <v>0</v>
      </c>
      <c r="I714" s="390">
        <f t="shared" si="272"/>
        <v>78.97</v>
      </c>
      <c r="J714" s="390">
        <f t="shared" si="273"/>
        <v>1.75</v>
      </c>
      <c r="K714" s="391">
        <f t="shared" si="287"/>
        <v>789.7</v>
      </c>
      <c r="L714" s="398">
        <v>0</v>
      </c>
      <c r="M714" s="398">
        <v>0</v>
      </c>
      <c r="N714" s="164">
        <f t="shared" si="266"/>
        <v>789.7</v>
      </c>
      <c r="O714" s="399">
        <f t="shared" si="274"/>
        <v>0</v>
      </c>
      <c r="P714" s="392">
        <f t="shared" si="288"/>
        <v>0</v>
      </c>
      <c r="Q714" s="164">
        <f t="shared" si="275"/>
        <v>0</v>
      </c>
      <c r="R714" s="164">
        <f t="shared" si="276"/>
        <v>0</v>
      </c>
      <c r="S714" s="164">
        <f t="shared" si="277"/>
        <v>0</v>
      </c>
      <c r="T714" s="164">
        <f t="shared" si="278"/>
        <v>0</v>
      </c>
      <c r="U714" s="164">
        <f t="shared" si="279"/>
        <v>0</v>
      </c>
      <c r="V714" s="393">
        <f t="shared" si="280"/>
        <v>789.7</v>
      </c>
      <c r="W714" s="393">
        <f t="shared" si="281"/>
        <v>-789.7</v>
      </c>
      <c r="Y714" s="393">
        <f t="shared" si="284"/>
        <v>17.5</v>
      </c>
      <c r="Z714" s="393">
        <f t="shared" si="285"/>
        <v>-17.5</v>
      </c>
      <c r="AD714" s="395">
        <f>IF(AH714&gt;AH713,AD713,IF(AD713&lt;MiscData!$F$1,EOMONTH(AD713,1),EOMONTH(AD713,-11)))</f>
        <v>41912</v>
      </c>
      <c r="AE714" s="389" t="str">
        <f t="shared" si="282"/>
        <v>20140101KUUM_366</v>
      </c>
      <c r="AF714" s="437" t="str">
        <f t="shared" si="283"/>
        <v>20140101LS</v>
      </c>
      <c r="AG714" s="438"/>
      <c r="AH714" s="34">
        <f>IF(AH713=MiscData!$AB$91,1,AH713+1)</f>
        <v>9</v>
      </c>
      <c r="AI714" s="34">
        <f>IF(AD714&lt;=MiscData!$B$23,MiscData!$C$23,IF(AD714&lt;=MiscData!$B$24,MiscData!$C$24,MiscData!$C$25))</f>
        <v>20140101</v>
      </c>
      <c r="AK714" s="439" t="str">
        <f>VLOOKUP(AM714,MiscData!$AB$4:$ACB$113,2,FALSE)</f>
        <v>KUUM_366</v>
      </c>
      <c r="AL714" s="439" t="str">
        <f>VLOOKUP(AM714,MiscData!$AB$4:$AE$115,4,FALSE)</f>
        <v>LS</v>
      </c>
      <c r="AM714" s="34">
        <f>IF(AM713=MiscData!$AB$91,1,AM713+1)</f>
        <v>9</v>
      </c>
    </row>
    <row r="715" spans="1:39">
      <c r="A715" s="389">
        <f t="shared" si="286"/>
        <v>714</v>
      </c>
      <c r="B715" s="395" t="str">
        <f t="shared" si="267"/>
        <v>Sep 2014</v>
      </c>
      <c r="C715" s="396" t="str">
        <f t="shared" si="268"/>
        <v>LS</v>
      </c>
      <c r="D715" s="396" t="str">
        <f t="shared" si="269"/>
        <v>KUUM_367</v>
      </c>
      <c r="E715" s="394">
        <f t="shared" si="270"/>
        <v>24</v>
      </c>
      <c r="F715" s="397">
        <v>0</v>
      </c>
      <c r="G715" s="394">
        <f t="shared" si="271"/>
        <v>0</v>
      </c>
      <c r="H715" s="394">
        <v>0</v>
      </c>
      <c r="I715" s="390">
        <f t="shared" si="272"/>
        <v>61.230000000000004</v>
      </c>
      <c r="J715" s="390">
        <f t="shared" si="273"/>
        <v>1.75</v>
      </c>
      <c r="K715" s="391">
        <f t="shared" si="287"/>
        <v>1469.52</v>
      </c>
      <c r="L715" s="398">
        <v>0</v>
      </c>
      <c r="M715" s="398">
        <v>0</v>
      </c>
      <c r="N715" s="164">
        <f t="shared" si="266"/>
        <v>1469.52</v>
      </c>
      <c r="O715" s="399">
        <f t="shared" si="274"/>
        <v>0</v>
      </c>
      <c r="P715" s="392">
        <f t="shared" si="288"/>
        <v>0</v>
      </c>
      <c r="Q715" s="164">
        <f t="shared" si="275"/>
        <v>0</v>
      </c>
      <c r="R715" s="164">
        <f t="shared" si="276"/>
        <v>0</v>
      </c>
      <c r="S715" s="164">
        <f t="shared" si="277"/>
        <v>0</v>
      </c>
      <c r="T715" s="164">
        <f t="shared" si="278"/>
        <v>0</v>
      </c>
      <c r="U715" s="164">
        <f t="shared" si="279"/>
        <v>0</v>
      </c>
      <c r="V715" s="393">
        <f t="shared" si="280"/>
        <v>1469.52</v>
      </c>
      <c r="W715" s="393">
        <f t="shared" si="281"/>
        <v>-1469.52</v>
      </c>
      <c r="Y715" s="393">
        <f t="shared" si="284"/>
        <v>42</v>
      </c>
      <c r="Z715" s="393">
        <f t="shared" si="285"/>
        <v>-42</v>
      </c>
      <c r="AD715" s="395">
        <f>IF(AH715&gt;AH714,AD714,IF(AD714&lt;MiscData!$F$1,EOMONTH(AD714,1),EOMONTH(AD714,-11)))</f>
        <v>41912</v>
      </c>
      <c r="AE715" s="389" t="str">
        <f t="shared" si="282"/>
        <v>20140101KUUM_367</v>
      </c>
      <c r="AF715" s="437" t="str">
        <f t="shared" si="283"/>
        <v>20140101LS</v>
      </c>
      <c r="AG715" s="438"/>
      <c r="AH715" s="34">
        <f>IF(AH714=MiscData!$AB$91,1,AH714+1)</f>
        <v>10</v>
      </c>
      <c r="AI715" s="34">
        <f>IF(AD715&lt;=MiscData!$B$23,MiscData!$C$23,IF(AD715&lt;=MiscData!$B$24,MiscData!$C$24,MiscData!$C$25))</f>
        <v>20140101</v>
      </c>
      <c r="AK715" s="439" t="str">
        <f>VLOOKUP(AM715,MiscData!$AB$4:$ACB$113,2,FALSE)</f>
        <v>KUUM_367</v>
      </c>
      <c r="AL715" s="439" t="str">
        <f>VLOOKUP(AM715,MiscData!$AB$4:$AE$115,4,FALSE)</f>
        <v>LS</v>
      </c>
      <c r="AM715" s="34">
        <f>IF(AM714=MiscData!$AB$91,1,AM714+1)</f>
        <v>10</v>
      </c>
    </row>
    <row r="716" spans="1:39">
      <c r="A716" s="389">
        <f t="shared" si="286"/>
        <v>715</v>
      </c>
      <c r="B716" s="395" t="str">
        <f t="shared" si="267"/>
        <v>Sep 2014</v>
      </c>
      <c r="C716" s="396" t="str">
        <f t="shared" si="268"/>
        <v>LS</v>
      </c>
      <c r="D716" s="396" t="str">
        <f t="shared" si="269"/>
        <v>KUUM_368</v>
      </c>
      <c r="E716" s="394">
        <f t="shared" si="270"/>
        <v>1</v>
      </c>
      <c r="F716" s="397">
        <v>0</v>
      </c>
      <c r="G716" s="394">
        <f t="shared" si="271"/>
        <v>0</v>
      </c>
      <c r="H716" s="394">
        <v>0</v>
      </c>
      <c r="I716" s="390">
        <f t="shared" si="272"/>
        <v>56.69</v>
      </c>
      <c r="J716" s="390">
        <f t="shared" si="273"/>
        <v>1.75</v>
      </c>
      <c r="K716" s="391">
        <f t="shared" si="287"/>
        <v>56.69</v>
      </c>
      <c r="L716" s="398">
        <v>0</v>
      </c>
      <c r="M716" s="398">
        <v>0</v>
      </c>
      <c r="N716" s="164">
        <f t="shared" si="266"/>
        <v>56.69</v>
      </c>
      <c r="O716" s="399">
        <f t="shared" si="274"/>
        <v>0</v>
      </c>
      <c r="P716" s="392">
        <f t="shared" si="288"/>
        <v>0</v>
      </c>
      <c r="Q716" s="164">
        <f t="shared" si="275"/>
        <v>0</v>
      </c>
      <c r="R716" s="164">
        <f t="shared" si="276"/>
        <v>0</v>
      </c>
      <c r="S716" s="164">
        <f t="shared" si="277"/>
        <v>0</v>
      </c>
      <c r="T716" s="164">
        <f t="shared" si="278"/>
        <v>0</v>
      </c>
      <c r="U716" s="164">
        <f t="shared" si="279"/>
        <v>0</v>
      </c>
      <c r="V716" s="393">
        <f t="shared" si="280"/>
        <v>56.69</v>
      </c>
      <c r="W716" s="393">
        <f t="shared" si="281"/>
        <v>-56.69</v>
      </c>
      <c r="Y716" s="393">
        <f t="shared" si="284"/>
        <v>1.75</v>
      </c>
      <c r="Z716" s="393">
        <f t="shared" si="285"/>
        <v>-1.75</v>
      </c>
      <c r="AD716" s="395">
        <f>IF(AH716&gt;AH715,AD715,IF(AD715&lt;MiscData!$F$1,EOMONTH(AD715,1),EOMONTH(AD715,-11)))</f>
        <v>41912</v>
      </c>
      <c r="AE716" s="389" t="str">
        <f t="shared" si="282"/>
        <v>20140101KUUM_368</v>
      </c>
      <c r="AF716" s="437" t="str">
        <f t="shared" si="283"/>
        <v>20140101LS</v>
      </c>
      <c r="AG716" s="438"/>
      <c r="AH716" s="34">
        <f>IF(AH715=MiscData!$AB$91,1,AH715+1)</f>
        <v>11</v>
      </c>
      <c r="AI716" s="34">
        <f>IF(AD716&lt;=MiscData!$B$23,MiscData!$C$23,IF(AD716&lt;=MiscData!$B$24,MiscData!$C$24,MiscData!$C$25))</f>
        <v>20140101</v>
      </c>
      <c r="AK716" s="439" t="str">
        <f>VLOOKUP(AM716,MiscData!$AB$4:$ACB$113,2,FALSE)</f>
        <v>KUUM_368</v>
      </c>
      <c r="AL716" s="439" t="str">
        <f>VLOOKUP(AM716,MiscData!$AB$4:$AE$115,4,FALSE)</f>
        <v>LS</v>
      </c>
      <c r="AM716" s="34">
        <f>IF(AM715=MiscData!$AB$91,1,AM715+1)</f>
        <v>11</v>
      </c>
    </row>
    <row r="717" spans="1:39">
      <c r="A717" s="389">
        <f t="shared" si="286"/>
        <v>716</v>
      </c>
      <c r="B717" s="395" t="str">
        <f t="shared" si="267"/>
        <v>Sep 2014</v>
      </c>
      <c r="C717" s="396" t="str">
        <f t="shared" si="268"/>
        <v>LS</v>
      </c>
      <c r="D717" s="396" t="str">
        <f t="shared" si="269"/>
        <v>KUUM_370</v>
      </c>
      <c r="E717" s="394">
        <f t="shared" si="270"/>
        <v>16</v>
      </c>
      <c r="F717" s="397">
        <v>0</v>
      </c>
      <c r="G717" s="394">
        <f t="shared" si="271"/>
        <v>0</v>
      </c>
      <c r="H717" s="394">
        <v>0</v>
      </c>
      <c r="I717" s="390">
        <f t="shared" si="272"/>
        <v>74.52</v>
      </c>
      <c r="J717" s="390">
        <f t="shared" si="273"/>
        <v>1.75</v>
      </c>
      <c r="K717" s="391">
        <f t="shared" si="287"/>
        <v>1192.32</v>
      </c>
      <c r="L717" s="398">
        <v>0</v>
      </c>
      <c r="M717" s="398">
        <v>0</v>
      </c>
      <c r="N717" s="164">
        <f t="shared" si="266"/>
        <v>1192.32</v>
      </c>
      <c r="O717" s="399">
        <f t="shared" si="274"/>
        <v>0</v>
      </c>
      <c r="P717" s="392">
        <f t="shared" si="288"/>
        <v>0</v>
      </c>
      <c r="Q717" s="164">
        <f t="shared" si="275"/>
        <v>0</v>
      </c>
      <c r="R717" s="164">
        <f t="shared" si="276"/>
        <v>0</v>
      </c>
      <c r="S717" s="164">
        <f t="shared" si="277"/>
        <v>0</v>
      </c>
      <c r="T717" s="164">
        <f t="shared" si="278"/>
        <v>0</v>
      </c>
      <c r="U717" s="164">
        <f t="shared" si="279"/>
        <v>0</v>
      </c>
      <c r="V717" s="393">
        <f t="shared" si="280"/>
        <v>1192.32</v>
      </c>
      <c r="W717" s="393">
        <f t="shared" si="281"/>
        <v>-1192.32</v>
      </c>
      <c r="Y717" s="393">
        <f t="shared" si="284"/>
        <v>28</v>
      </c>
      <c r="Z717" s="393">
        <f t="shared" si="285"/>
        <v>-28</v>
      </c>
      <c r="AD717" s="395">
        <f>IF(AH717&gt;AH716,AD716,IF(AD716&lt;MiscData!$F$1,EOMONTH(AD716,1),EOMONTH(AD716,-11)))</f>
        <v>41912</v>
      </c>
      <c r="AE717" s="389" t="str">
        <f t="shared" si="282"/>
        <v>20140101KUUM_370</v>
      </c>
      <c r="AF717" s="437" t="str">
        <f t="shared" si="283"/>
        <v>20140101LS</v>
      </c>
      <c r="AG717" s="438"/>
      <c r="AH717" s="34">
        <f>IF(AH716=MiscData!$AB$91,1,AH716+1)</f>
        <v>12</v>
      </c>
      <c r="AI717" s="34">
        <f>IF(AD717&lt;=MiscData!$B$23,MiscData!$C$23,IF(AD717&lt;=MiscData!$B$24,MiscData!$C$24,MiscData!$C$25))</f>
        <v>20140101</v>
      </c>
      <c r="AK717" s="439" t="str">
        <f>VLOOKUP(AM717,MiscData!$AB$4:$ACB$113,2,FALSE)</f>
        <v>KUUM_370</v>
      </c>
      <c r="AL717" s="439" t="str">
        <f>VLOOKUP(AM717,MiscData!$AB$4:$AE$115,4,FALSE)</f>
        <v>LS</v>
      </c>
      <c r="AM717" s="34">
        <f>IF(AM716=MiscData!$AB$91,1,AM716+1)</f>
        <v>12</v>
      </c>
    </row>
    <row r="718" spans="1:39">
      <c r="A718" s="389">
        <f t="shared" si="286"/>
        <v>717</v>
      </c>
      <c r="B718" s="395" t="str">
        <f t="shared" si="267"/>
        <v>Sep 2014</v>
      </c>
      <c r="C718" s="396" t="str">
        <f t="shared" si="268"/>
        <v>LS</v>
      </c>
      <c r="D718" s="396" t="str">
        <f t="shared" si="269"/>
        <v>KUUM_372</v>
      </c>
      <c r="E718" s="394">
        <f t="shared" si="270"/>
        <v>1</v>
      </c>
      <c r="F718" s="397">
        <v>0</v>
      </c>
      <c r="G718" s="394">
        <f t="shared" si="271"/>
        <v>0</v>
      </c>
      <c r="H718" s="394">
        <v>0</v>
      </c>
      <c r="I718" s="390">
        <f t="shared" si="272"/>
        <v>82.3</v>
      </c>
      <c r="J718" s="390">
        <f t="shared" si="273"/>
        <v>1.75</v>
      </c>
      <c r="K718" s="391">
        <f t="shared" si="287"/>
        <v>82.3</v>
      </c>
      <c r="L718" s="398">
        <v>0</v>
      </c>
      <c r="M718" s="398">
        <v>0</v>
      </c>
      <c r="N718" s="164">
        <f t="shared" si="266"/>
        <v>82.3</v>
      </c>
      <c r="O718" s="399">
        <f t="shared" si="274"/>
        <v>0</v>
      </c>
      <c r="P718" s="392">
        <f t="shared" si="288"/>
        <v>0</v>
      </c>
      <c r="Q718" s="164">
        <f t="shared" si="275"/>
        <v>0</v>
      </c>
      <c r="R718" s="164">
        <f t="shared" si="276"/>
        <v>0</v>
      </c>
      <c r="S718" s="164">
        <f t="shared" si="277"/>
        <v>0</v>
      </c>
      <c r="T718" s="164">
        <f t="shared" si="278"/>
        <v>0</v>
      </c>
      <c r="U718" s="164">
        <f t="shared" si="279"/>
        <v>0</v>
      </c>
      <c r="V718" s="393">
        <f t="shared" si="280"/>
        <v>82.3</v>
      </c>
      <c r="W718" s="393">
        <f t="shared" si="281"/>
        <v>-82.3</v>
      </c>
      <c r="Y718" s="393">
        <f t="shared" si="284"/>
        <v>1.75</v>
      </c>
      <c r="Z718" s="393">
        <f t="shared" si="285"/>
        <v>-1.75</v>
      </c>
      <c r="AD718" s="395">
        <f>IF(AH718&gt;AH717,AD717,IF(AD717&lt;MiscData!$F$1,EOMONTH(AD717,1),EOMONTH(AD717,-11)))</f>
        <v>41912</v>
      </c>
      <c r="AE718" s="389" t="str">
        <f t="shared" si="282"/>
        <v>20140101KUUM_372</v>
      </c>
      <c r="AF718" s="437" t="str">
        <f t="shared" si="283"/>
        <v>20140101LS</v>
      </c>
      <c r="AG718" s="438"/>
      <c r="AH718" s="34">
        <f>IF(AH717=MiscData!$AB$91,1,AH717+1)</f>
        <v>13</v>
      </c>
      <c r="AI718" s="34">
        <f>IF(AD718&lt;=MiscData!$B$23,MiscData!$C$23,IF(AD718&lt;=MiscData!$B$24,MiscData!$C$24,MiscData!$C$25))</f>
        <v>20140101</v>
      </c>
      <c r="AK718" s="439" t="str">
        <f>VLOOKUP(AM718,MiscData!$AB$4:$ACB$113,2,FALSE)</f>
        <v>KUUM_372</v>
      </c>
      <c r="AL718" s="439" t="str">
        <f>VLOOKUP(AM718,MiscData!$AB$4:$AE$115,4,FALSE)</f>
        <v>LS</v>
      </c>
      <c r="AM718" s="34">
        <f>IF(AM717=MiscData!$AB$91,1,AM717+1)</f>
        <v>13</v>
      </c>
    </row>
    <row r="719" spans="1:39">
      <c r="A719" s="389">
        <f t="shared" si="286"/>
        <v>718</v>
      </c>
      <c r="B719" s="395" t="str">
        <f t="shared" si="267"/>
        <v>Sep 2014</v>
      </c>
      <c r="C719" s="396" t="str">
        <f t="shared" si="268"/>
        <v>LS</v>
      </c>
      <c r="D719" s="396" t="str">
        <f t="shared" si="269"/>
        <v>KUUM_373</v>
      </c>
      <c r="E719" s="394">
        <f t="shared" si="270"/>
        <v>19</v>
      </c>
      <c r="F719" s="397">
        <v>0</v>
      </c>
      <c r="G719" s="394">
        <f t="shared" si="271"/>
        <v>0</v>
      </c>
      <c r="H719" s="394">
        <v>0</v>
      </c>
      <c r="I719" s="390">
        <f t="shared" si="272"/>
        <v>74.52</v>
      </c>
      <c r="J719" s="390">
        <f t="shared" si="273"/>
        <v>1.75</v>
      </c>
      <c r="K719" s="391">
        <f t="shared" si="287"/>
        <v>1415.88</v>
      </c>
      <c r="L719" s="398">
        <v>0</v>
      </c>
      <c r="M719" s="398">
        <v>0</v>
      </c>
      <c r="N719" s="164">
        <f t="shared" si="266"/>
        <v>1415.88</v>
      </c>
      <c r="O719" s="399">
        <f t="shared" si="274"/>
        <v>0</v>
      </c>
      <c r="P719" s="392">
        <f t="shared" si="288"/>
        <v>0</v>
      </c>
      <c r="Q719" s="164">
        <f t="shared" si="275"/>
        <v>0</v>
      </c>
      <c r="R719" s="164">
        <f t="shared" si="276"/>
        <v>0</v>
      </c>
      <c r="S719" s="164">
        <f t="shared" si="277"/>
        <v>0</v>
      </c>
      <c r="T719" s="164">
        <f t="shared" si="278"/>
        <v>0</v>
      </c>
      <c r="U719" s="164">
        <f t="shared" si="279"/>
        <v>0</v>
      </c>
      <c r="V719" s="393">
        <f t="shared" si="280"/>
        <v>1415.88</v>
      </c>
      <c r="W719" s="393">
        <f t="shared" si="281"/>
        <v>-1415.88</v>
      </c>
      <c r="Y719" s="393">
        <f t="shared" si="284"/>
        <v>33.25</v>
      </c>
      <c r="Z719" s="393">
        <f t="shared" si="285"/>
        <v>-33.25</v>
      </c>
      <c r="AD719" s="395">
        <f>IF(AH719&gt;AH718,AD718,IF(AD718&lt;MiscData!$F$1,EOMONTH(AD718,1),EOMONTH(AD718,-11)))</f>
        <v>41912</v>
      </c>
      <c r="AE719" s="389" t="str">
        <f t="shared" si="282"/>
        <v>20140101KUUM_373</v>
      </c>
      <c r="AF719" s="437" t="str">
        <f t="shared" si="283"/>
        <v>20140101LS</v>
      </c>
      <c r="AG719" s="438"/>
      <c r="AH719" s="34">
        <f>IF(AH718=MiscData!$AB$91,1,AH718+1)</f>
        <v>14</v>
      </c>
      <c r="AI719" s="34">
        <f>IF(AD719&lt;=MiscData!$B$23,MiscData!$C$23,IF(AD719&lt;=MiscData!$B$24,MiscData!$C$24,MiscData!$C$25))</f>
        <v>20140101</v>
      </c>
      <c r="AK719" s="439" t="str">
        <f>VLOOKUP(AM719,MiscData!$AB$4:$ACB$113,2,FALSE)</f>
        <v>KUUM_373</v>
      </c>
      <c r="AL719" s="439" t="str">
        <f>VLOOKUP(AM719,MiscData!$AB$4:$AE$115,4,FALSE)</f>
        <v>LS</v>
      </c>
      <c r="AM719" s="34">
        <f>IF(AM718=MiscData!$AB$91,1,AM718+1)</f>
        <v>14</v>
      </c>
    </row>
    <row r="720" spans="1:39">
      <c r="A720" s="389">
        <f t="shared" si="286"/>
        <v>719</v>
      </c>
      <c r="B720" s="395" t="str">
        <f t="shared" si="267"/>
        <v>Sep 2014</v>
      </c>
      <c r="C720" s="396" t="str">
        <f t="shared" si="268"/>
        <v>LS</v>
      </c>
      <c r="D720" s="396" t="str">
        <f t="shared" si="269"/>
        <v>KUUM_374</v>
      </c>
      <c r="E720" s="394">
        <f t="shared" si="270"/>
        <v>4</v>
      </c>
      <c r="F720" s="397">
        <v>0</v>
      </c>
      <c r="G720" s="394">
        <f t="shared" si="271"/>
        <v>0</v>
      </c>
      <c r="H720" s="394">
        <v>0</v>
      </c>
      <c r="I720" s="390">
        <f t="shared" si="272"/>
        <v>75.88</v>
      </c>
      <c r="J720" s="390">
        <f t="shared" si="273"/>
        <v>1.75</v>
      </c>
      <c r="K720" s="391">
        <f t="shared" si="287"/>
        <v>303.52</v>
      </c>
      <c r="L720" s="398">
        <v>0</v>
      </c>
      <c r="M720" s="398">
        <v>0</v>
      </c>
      <c r="N720" s="164">
        <f t="shared" si="266"/>
        <v>303.52</v>
      </c>
      <c r="O720" s="399">
        <f t="shared" si="274"/>
        <v>0</v>
      </c>
      <c r="P720" s="392">
        <f t="shared" si="288"/>
        <v>0</v>
      </c>
      <c r="Q720" s="164">
        <f t="shared" si="275"/>
        <v>0</v>
      </c>
      <c r="R720" s="164">
        <f t="shared" si="276"/>
        <v>0</v>
      </c>
      <c r="S720" s="164">
        <f t="shared" si="277"/>
        <v>0</v>
      </c>
      <c r="T720" s="164">
        <f t="shared" si="278"/>
        <v>0</v>
      </c>
      <c r="U720" s="164">
        <f t="shared" si="279"/>
        <v>0</v>
      </c>
      <c r="V720" s="393">
        <f t="shared" si="280"/>
        <v>303.52</v>
      </c>
      <c r="W720" s="393">
        <f t="shared" si="281"/>
        <v>-303.52</v>
      </c>
      <c r="Y720" s="393">
        <f t="shared" si="284"/>
        <v>7</v>
      </c>
      <c r="Z720" s="393">
        <f t="shared" si="285"/>
        <v>-7</v>
      </c>
      <c r="AD720" s="395">
        <f>IF(AH720&gt;AH719,AD719,IF(AD719&lt;MiscData!$F$1,EOMONTH(AD719,1),EOMONTH(AD719,-11)))</f>
        <v>41912</v>
      </c>
      <c r="AE720" s="389" t="str">
        <f t="shared" si="282"/>
        <v>20140101KUUM_374</v>
      </c>
      <c r="AF720" s="437" t="str">
        <f t="shared" si="283"/>
        <v>20140101LS</v>
      </c>
      <c r="AG720" s="438"/>
      <c r="AH720" s="34">
        <f>IF(AH719=MiscData!$AB$91,1,AH719+1)</f>
        <v>15</v>
      </c>
      <c r="AI720" s="34">
        <f>IF(AD720&lt;=MiscData!$B$23,MiscData!$C$23,IF(AD720&lt;=MiscData!$B$24,MiscData!$C$24,MiscData!$C$25))</f>
        <v>20140101</v>
      </c>
      <c r="AK720" s="439" t="str">
        <f>VLOOKUP(AM720,MiscData!$AB$4:$ACB$113,2,FALSE)</f>
        <v>KUUM_374</v>
      </c>
      <c r="AL720" s="439" t="str">
        <f>VLOOKUP(AM720,MiscData!$AB$4:$AE$115,4,FALSE)</f>
        <v>LS</v>
      </c>
      <c r="AM720" s="34">
        <f>IF(AM719=MiscData!$AB$91,1,AM719+1)</f>
        <v>15</v>
      </c>
    </row>
    <row r="721" spans="1:39">
      <c r="A721" s="389">
        <f t="shared" si="286"/>
        <v>720</v>
      </c>
      <c r="B721" s="395" t="str">
        <f t="shared" si="267"/>
        <v>Sep 2014</v>
      </c>
      <c r="C721" s="396" t="str">
        <f t="shared" si="268"/>
        <v>LS</v>
      </c>
      <c r="D721" s="396" t="str">
        <f t="shared" si="269"/>
        <v>KUUM_375</v>
      </c>
      <c r="E721" s="394">
        <f t="shared" si="270"/>
        <v>3</v>
      </c>
      <c r="F721" s="397">
        <v>0</v>
      </c>
      <c r="G721" s="394">
        <f t="shared" si="271"/>
        <v>0</v>
      </c>
      <c r="H721" s="394">
        <v>0</v>
      </c>
      <c r="I721" s="390">
        <f t="shared" si="272"/>
        <v>78.97</v>
      </c>
      <c r="J721" s="390">
        <f t="shared" si="273"/>
        <v>1.75</v>
      </c>
      <c r="K721" s="391">
        <f t="shared" si="287"/>
        <v>236.91</v>
      </c>
      <c r="L721" s="398">
        <v>0</v>
      </c>
      <c r="M721" s="398">
        <v>0</v>
      </c>
      <c r="N721" s="164">
        <f t="shared" si="266"/>
        <v>236.91</v>
      </c>
      <c r="O721" s="399">
        <f t="shared" si="274"/>
        <v>0</v>
      </c>
      <c r="P721" s="392">
        <f t="shared" si="288"/>
        <v>0</v>
      </c>
      <c r="Q721" s="164">
        <f t="shared" si="275"/>
        <v>0</v>
      </c>
      <c r="R721" s="164">
        <f t="shared" si="276"/>
        <v>0</v>
      </c>
      <c r="S721" s="164">
        <f t="shared" si="277"/>
        <v>0</v>
      </c>
      <c r="T721" s="164">
        <f t="shared" si="278"/>
        <v>0</v>
      </c>
      <c r="U721" s="164">
        <f t="shared" si="279"/>
        <v>0</v>
      </c>
      <c r="V721" s="393">
        <f t="shared" si="280"/>
        <v>236.91</v>
      </c>
      <c r="W721" s="393">
        <f t="shared" si="281"/>
        <v>-236.91</v>
      </c>
      <c r="Y721" s="393">
        <f t="shared" si="284"/>
        <v>5.25</v>
      </c>
      <c r="Z721" s="393">
        <f t="shared" si="285"/>
        <v>-5.25</v>
      </c>
      <c r="AD721" s="395">
        <f>IF(AH721&gt;AH720,AD720,IF(AD720&lt;MiscData!$F$1,EOMONTH(AD720,1),EOMONTH(AD720,-11)))</f>
        <v>41912</v>
      </c>
      <c r="AE721" s="389" t="str">
        <f t="shared" si="282"/>
        <v>20140101KUUM_375</v>
      </c>
      <c r="AF721" s="437" t="str">
        <f t="shared" si="283"/>
        <v>20140101LS</v>
      </c>
      <c r="AG721" s="438"/>
      <c r="AH721" s="34">
        <f>IF(AH720=MiscData!$AB$91,1,AH720+1)</f>
        <v>16</v>
      </c>
      <c r="AI721" s="34">
        <f>IF(AD721&lt;=MiscData!$B$23,MiscData!$C$23,IF(AD721&lt;=MiscData!$B$24,MiscData!$C$24,MiscData!$C$25))</f>
        <v>20140101</v>
      </c>
      <c r="AK721" s="439" t="str">
        <f>VLOOKUP(AM721,MiscData!$AB$4:$ACB$113,2,FALSE)</f>
        <v>KUUM_375</v>
      </c>
      <c r="AL721" s="439" t="str">
        <f>VLOOKUP(AM721,MiscData!$AB$4:$AE$115,4,FALSE)</f>
        <v>LS</v>
      </c>
      <c r="AM721" s="34">
        <f>IF(AM720=MiscData!$AB$91,1,AM720+1)</f>
        <v>16</v>
      </c>
    </row>
    <row r="722" spans="1:39">
      <c r="A722" s="389">
        <f t="shared" si="286"/>
        <v>721</v>
      </c>
      <c r="B722" s="395" t="str">
        <f t="shared" si="267"/>
        <v>Sep 2014</v>
      </c>
      <c r="C722" s="396" t="str">
        <f t="shared" si="268"/>
        <v>LS</v>
      </c>
      <c r="D722" s="396" t="str">
        <f t="shared" si="269"/>
        <v>KUUM_376</v>
      </c>
      <c r="E722" s="394">
        <f t="shared" si="270"/>
        <v>2</v>
      </c>
      <c r="F722" s="397">
        <v>0</v>
      </c>
      <c r="G722" s="394">
        <f t="shared" si="271"/>
        <v>0</v>
      </c>
      <c r="H722" s="394">
        <v>0</v>
      </c>
      <c r="I722" s="390">
        <f t="shared" si="272"/>
        <v>77.259999999999991</v>
      </c>
      <c r="J722" s="390">
        <f t="shared" si="273"/>
        <v>1.75</v>
      </c>
      <c r="K722" s="391">
        <f t="shared" si="287"/>
        <v>154.52000000000001</v>
      </c>
      <c r="L722" s="398">
        <v>0</v>
      </c>
      <c r="M722" s="398">
        <v>0</v>
      </c>
      <c r="N722" s="164">
        <f t="shared" si="266"/>
        <v>154.52000000000001</v>
      </c>
      <c r="O722" s="399">
        <f t="shared" si="274"/>
        <v>0</v>
      </c>
      <c r="P722" s="392">
        <f t="shared" si="288"/>
        <v>0</v>
      </c>
      <c r="Q722" s="164">
        <f t="shared" si="275"/>
        <v>0</v>
      </c>
      <c r="R722" s="164">
        <f t="shared" si="276"/>
        <v>0</v>
      </c>
      <c r="S722" s="164">
        <f t="shared" si="277"/>
        <v>0</v>
      </c>
      <c r="T722" s="164">
        <f t="shared" si="278"/>
        <v>0</v>
      </c>
      <c r="U722" s="164">
        <f t="shared" si="279"/>
        <v>0</v>
      </c>
      <c r="V722" s="393">
        <f t="shared" si="280"/>
        <v>154.52000000000001</v>
      </c>
      <c r="W722" s="393">
        <f t="shared" si="281"/>
        <v>-154.52000000000001</v>
      </c>
      <c r="Y722" s="393">
        <f t="shared" si="284"/>
        <v>3.5</v>
      </c>
      <c r="Z722" s="393">
        <f t="shared" si="285"/>
        <v>-3.5</v>
      </c>
      <c r="AD722" s="395">
        <f>IF(AH722&gt;AH721,AD721,IF(AD721&lt;MiscData!$F$1,EOMONTH(AD721,1),EOMONTH(AD721,-11)))</f>
        <v>41912</v>
      </c>
      <c r="AE722" s="389" t="str">
        <f t="shared" si="282"/>
        <v>20140101KUUM_376</v>
      </c>
      <c r="AF722" s="437" t="str">
        <f t="shared" si="283"/>
        <v>20140101LS</v>
      </c>
      <c r="AG722" s="438"/>
      <c r="AH722" s="34">
        <f>IF(AH721=MiscData!$AB$91,1,AH721+1)</f>
        <v>17</v>
      </c>
      <c r="AI722" s="34">
        <f>IF(AD722&lt;=MiscData!$B$23,MiscData!$C$23,IF(AD722&lt;=MiscData!$B$24,MiscData!$C$24,MiscData!$C$25))</f>
        <v>20140101</v>
      </c>
      <c r="AK722" s="439" t="str">
        <f>VLOOKUP(AM722,MiscData!$AB$4:$ACB$113,2,FALSE)</f>
        <v>KUUM_376</v>
      </c>
      <c r="AL722" s="439" t="str">
        <f>VLOOKUP(AM722,MiscData!$AB$4:$AE$115,4,FALSE)</f>
        <v>LS</v>
      </c>
      <c r="AM722" s="34">
        <f>IF(AM721=MiscData!$AB$91,1,AM721+1)</f>
        <v>17</v>
      </c>
    </row>
    <row r="723" spans="1:39">
      <c r="A723" s="389">
        <f t="shared" si="286"/>
        <v>722</v>
      </c>
      <c r="B723" s="395" t="str">
        <f t="shared" si="267"/>
        <v>Sep 2014</v>
      </c>
      <c r="C723" s="396" t="str">
        <f t="shared" si="268"/>
        <v>LS</v>
      </c>
      <c r="D723" s="396" t="str">
        <f t="shared" si="269"/>
        <v>KUUM_377</v>
      </c>
      <c r="E723" s="394">
        <f t="shared" si="270"/>
        <v>49</v>
      </c>
      <c r="F723" s="397">
        <v>0</v>
      </c>
      <c r="G723" s="394">
        <f t="shared" si="271"/>
        <v>0</v>
      </c>
      <c r="H723" s="394">
        <v>0</v>
      </c>
      <c r="I723" s="390">
        <f t="shared" si="272"/>
        <v>64.19</v>
      </c>
      <c r="J723" s="390">
        <f t="shared" si="273"/>
        <v>1.75</v>
      </c>
      <c r="K723" s="391">
        <f t="shared" si="287"/>
        <v>3145.31</v>
      </c>
      <c r="L723" s="398">
        <v>0</v>
      </c>
      <c r="M723" s="398">
        <v>0</v>
      </c>
      <c r="N723" s="164">
        <f t="shared" si="266"/>
        <v>3145.31</v>
      </c>
      <c r="O723" s="399">
        <f t="shared" si="274"/>
        <v>0</v>
      </c>
      <c r="P723" s="392">
        <f t="shared" si="288"/>
        <v>0</v>
      </c>
      <c r="Q723" s="164">
        <f t="shared" si="275"/>
        <v>0</v>
      </c>
      <c r="R723" s="164">
        <f t="shared" si="276"/>
        <v>0</v>
      </c>
      <c r="S723" s="164">
        <f t="shared" si="277"/>
        <v>0</v>
      </c>
      <c r="T723" s="164">
        <f t="shared" si="278"/>
        <v>0</v>
      </c>
      <c r="U723" s="164">
        <f t="shared" si="279"/>
        <v>0</v>
      </c>
      <c r="V723" s="393">
        <f t="shared" si="280"/>
        <v>3145.31</v>
      </c>
      <c r="W723" s="393">
        <f t="shared" si="281"/>
        <v>-3145.31</v>
      </c>
      <c r="Y723" s="393">
        <f t="shared" si="284"/>
        <v>85.75</v>
      </c>
      <c r="Z723" s="393">
        <f t="shared" si="285"/>
        <v>-85.75</v>
      </c>
      <c r="AD723" s="395">
        <f>IF(AH723&gt;AH722,AD722,IF(AD722&lt;MiscData!$F$1,EOMONTH(AD722,1),EOMONTH(AD722,-11)))</f>
        <v>41912</v>
      </c>
      <c r="AE723" s="389" t="str">
        <f t="shared" si="282"/>
        <v>20140101KUUM_377</v>
      </c>
      <c r="AF723" s="437" t="str">
        <f t="shared" si="283"/>
        <v>20140101LS</v>
      </c>
      <c r="AG723" s="438"/>
      <c r="AH723" s="34">
        <f>IF(AH722=MiscData!$AB$91,1,AH722+1)</f>
        <v>18</v>
      </c>
      <c r="AI723" s="34">
        <f>IF(AD723&lt;=MiscData!$B$23,MiscData!$C$23,IF(AD723&lt;=MiscData!$B$24,MiscData!$C$24,MiscData!$C$25))</f>
        <v>20140101</v>
      </c>
      <c r="AK723" s="439" t="str">
        <f>VLOOKUP(AM723,MiscData!$AB$4:$ACB$113,2,FALSE)</f>
        <v>KUUM_377</v>
      </c>
      <c r="AL723" s="439" t="str">
        <f>VLOOKUP(AM723,MiscData!$AB$4:$AE$115,4,FALSE)</f>
        <v>LS</v>
      </c>
      <c r="AM723" s="34">
        <f>IF(AM722=MiscData!$AB$91,1,AM722+1)</f>
        <v>18</v>
      </c>
    </row>
    <row r="724" spans="1:39">
      <c r="A724" s="389">
        <f t="shared" si="286"/>
        <v>723</v>
      </c>
      <c r="B724" s="395" t="str">
        <f t="shared" si="267"/>
        <v>Sep 2014</v>
      </c>
      <c r="C724" s="396" t="str">
        <f t="shared" si="268"/>
        <v>LS</v>
      </c>
      <c r="D724" s="396" t="str">
        <f t="shared" si="269"/>
        <v>KUUM_378</v>
      </c>
      <c r="E724" s="394">
        <f t="shared" si="270"/>
        <v>2</v>
      </c>
      <c r="F724" s="397">
        <v>0</v>
      </c>
      <c r="G724" s="394">
        <f t="shared" si="271"/>
        <v>0</v>
      </c>
      <c r="H724" s="394">
        <v>0</v>
      </c>
      <c r="I724" s="390">
        <f t="shared" si="272"/>
        <v>75.899999999999991</v>
      </c>
      <c r="J724" s="390">
        <f t="shared" si="273"/>
        <v>1.75</v>
      </c>
      <c r="K724" s="391">
        <f t="shared" si="287"/>
        <v>151.80000000000001</v>
      </c>
      <c r="L724" s="398">
        <v>0</v>
      </c>
      <c r="M724" s="398">
        <v>0</v>
      </c>
      <c r="N724" s="164">
        <f t="shared" si="266"/>
        <v>151.80000000000001</v>
      </c>
      <c r="O724" s="399">
        <f t="shared" si="274"/>
        <v>0</v>
      </c>
      <c r="P724" s="392">
        <f t="shared" si="288"/>
        <v>0</v>
      </c>
      <c r="Q724" s="164">
        <f t="shared" si="275"/>
        <v>0</v>
      </c>
      <c r="R724" s="164">
        <f t="shared" si="276"/>
        <v>0</v>
      </c>
      <c r="S724" s="164">
        <f t="shared" si="277"/>
        <v>0</v>
      </c>
      <c r="T724" s="164">
        <f t="shared" si="278"/>
        <v>0</v>
      </c>
      <c r="U724" s="164">
        <f t="shared" si="279"/>
        <v>0</v>
      </c>
      <c r="V724" s="393">
        <f t="shared" si="280"/>
        <v>151.80000000000001</v>
      </c>
      <c r="W724" s="393">
        <f t="shared" si="281"/>
        <v>-151.80000000000001</v>
      </c>
      <c r="Y724" s="393">
        <f t="shared" si="284"/>
        <v>3.5</v>
      </c>
      <c r="Z724" s="393">
        <f t="shared" si="285"/>
        <v>-3.5</v>
      </c>
      <c r="AD724" s="395">
        <f>IF(AH724&gt;AH723,AD723,IF(AD723&lt;MiscData!$F$1,EOMONTH(AD723,1),EOMONTH(AD723,-11)))</f>
        <v>41912</v>
      </c>
      <c r="AE724" s="389" t="str">
        <f t="shared" si="282"/>
        <v>20140101KUUM_378</v>
      </c>
      <c r="AF724" s="437" t="str">
        <f t="shared" si="283"/>
        <v>20140101LS</v>
      </c>
      <c r="AG724" s="438"/>
      <c r="AH724" s="34">
        <f>IF(AH723=MiscData!$AB$91,1,AH723+1)</f>
        <v>19</v>
      </c>
      <c r="AI724" s="34">
        <f>IF(AD724&lt;=MiscData!$B$23,MiscData!$C$23,IF(AD724&lt;=MiscData!$B$24,MiscData!$C$24,MiscData!$C$25))</f>
        <v>20140101</v>
      </c>
      <c r="AK724" s="439" t="str">
        <f>VLOOKUP(AM724,MiscData!$AB$4:$ACB$113,2,FALSE)</f>
        <v>KUUM_378</v>
      </c>
      <c r="AL724" s="439" t="str">
        <f>VLOOKUP(AM724,MiscData!$AB$4:$AE$115,4,FALSE)</f>
        <v>LS</v>
      </c>
      <c r="AM724" s="34">
        <f>IF(AM723=MiscData!$AB$91,1,AM723+1)</f>
        <v>19</v>
      </c>
    </row>
    <row r="725" spans="1:39">
      <c r="A725" s="389">
        <f t="shared" si="286"/>
        <v>724</v>
      </c>
      <c r="B725" s="395" t="str">
        <f t="shared" si="267"/>
        <v>Sep 2014</v>
      </c>
      <c r="C725" s="396" t="str">
        <f t="shared" si="268"/>
        <v>LS</v>
      </c>
      <c r="D725" s="396" t="str">
        <f t="shared" si="269"/>
        <v>KUUM_401</v>
      </c>
      <c r="E725" s="394">
        <f t="shared" si="270"/>
        <v>50</v>
      </c>
      <c r="F725" s="397">
        <v>0</v>
      </c>
      <c r="G725" s="394">
        <f t="shared" si="271"/>
        <v>0</v>
      </c>
      <c r="H725" s="394">
        <v>0</v>
      </c>
      <c r="I725" s="390">
        <f t="shared" si="272"/>
        <v>14.860000000000001</v>
      </c>
      <c r="J725" s="390">
        <f t="shared" si="273"/>
        <v>0.80000000000000071</v>
      </c>
      <c r="K725" s="391">
        <f t="shared" si="287"/>
        <v>743</v>
      </c>
      <c r="L725" s="398">
        <v>0</v>
      </c>
      <c r="M725" s="398">
        <v>0</v>
      </c>
      <c r="N725" s="164">
        <f t="shared" si="266"/>
        <v>743</v>
      </c>
      <c r="O725" s="399">
        <f t="shared" si="274"/>
        <v>0</v>
      </c>
      <c r="P725" s="392">
        <f t="shared" si="288"/>
        <v>0</v>
      </c>
      <c r="Q725" s="164">
        <f t="shared" si="275"/>
        <v>0</v>
      </c>
      <c r="R725" s="164">
        <f t="shared" si="276"/>
        <v>0</v>
      </c>
      <c r="S725" s="164">
        <f t="shared" si="277"/>
        <v>0</v>
      </c>
      <c r="T725" s="164">
        <f t="shared" si="278"/>
        <v>0</v>
      </c>
      <c r="U725" s="164">
        <f t="shared" si="279"/>
        <v>0</v>
      </c>
      <c r="V725" s="393">
        <f t="shared" si="280"/>
        <v>743</v>
      </c>
      <c r="W725" s="393">
        <f t="shared" si="281"/>
        <v>-743</v>
      </c>
      <c r="Y725" s="393">
        <f t="shared" si="284"/>
        <v>40</v>
      </c>
      <c r="Z725" s="393">
        <f t="shared" si="285"/>
        <v>-40</v>
      </c>
      <c r="AD725" s="395">
        <f>IF(AH725&gt;AH724,AD724,IF(AD724&lt;MiscData!$F$1,EOMONTH(AD724,1),EOMONTH(AD724,-11)))</f>
        <v>41912</v>
      </c>
      <c r="AE725" s="389" t="str">
        <f t="shared" si="282"/>
        <v>20140101KUUM_401</v>
      </c>
      <c r="AF725" s="437" t="str">
        <f t="shared" si="283"/>
        <v>20140101LS</v>
      </c>
      <c r="AG725" s="438"/>
      <c r="AH725" s="34">
        <f>IF(AH724=MiscData!$AB$91,1,AH724+1)</f>
        <v>20</v>
      </c>
      <c r="AI725" s="34">
        <f>IF(AD725&lt;=MiscData!$B$23,MiscData!$C$23,IF(AD725&lt;=MiscData!$B$24,MiscData!$C$24,MiscData!$C$25))</f>
        <v>20140101</v>
      </c>
      <c r="AK725" s="439" t="str">
        <f>VLOOKUP(AM725,MiscData!$AB$4:$ACB$113,2,FALSE)</f>
        <v>KUUM_401</v>
      </c>
      <c r="AL725" s="439" t="str">
        <f>VLOOKUP(AM725,MiscData!$AB$4:$AE$115,4,FALSE)</f>
        <v>LS</v>
      </c>
      <c r="AM725" s="34">
        <f>IF(AM724=MiscData!$AB$91,1,AM724+1)</f>
        <v>20</v>
      </c>
    </row>
    <row r="726" spans="1:39">
      <c r="A726" s="389">
        <f t="shared" si="286"/>
        <v>725</v>
      </c>
      <c r="B726" s="395" t="str">
        <f t="shared" si="267"/>
        <v>Sep 2014</v>
      </c>
      <c r="C726" s="396" t="str">
        <f t="shared" si="268"/>
        <v>RLS</v>
      </c>
      <c r="D726" s="396" t="str">
        <f t="shared" si="269"/>
        <v>KUUM_404</v>
      </c>
      <c r="E726" s="394">
        <f t="shared" si="270"/>
        <v>7165</v>
      </c>
      <c r="F726" s="397">
        <v>0</v>
      </c>
      <c r="G726" s="394">
        <f t="shared" si="271"/>
        <v>0</v>
      </c>
      <c r="H726" s="394">
        <v>0</v>
      </c>
      <c r="I726" s="390">
        <f t="shared" si="272"/>
        <v>10.570000000000002</v>
      </c>
      <c r="J726" s="390">
        <f t="shared" si="273"/>
        <v>1.9900000000000002</v>
      </c>
      <c r="K726" s="391">
        <f t="shared" si="287"/>
        <v>75734.05</v>
      </c>
      <c r="L726" s="398">
        <v>0</v>
      </c>
      <c r="M726" s="398">
        <v>0</v>
      </c>
      <c r="N726" s="164">
        <f t="shared" si="266"/>
        <v>75734.05</v>
      </c>
      <c r="O726" s="399">
        <f t="shared" si="274"/>
        <v>0</v>
      </c>
      <c r="P726" s="392">
        <f t="shared" si="288"/>
        <v>0</v>
      </c>
      <c r="Q726" s="164">
        <f t="shared" si="275"/>
        <v>0</v>
      </c>
      <c r="R726" s="164">
        <f t="shared" si="276"/>
        <v>0</v>
      </c>
      <c r="S726" s="164">
        <f t="shared" si="277"/>
        <v>0</v>
      </c>
      <c r="T726" s="164">
        <f t="shared" si="278"/>
        <v>0</v>
      </c>
      <c r="U726" s="164">
        <f t="shared" si="279"/>
        <v>0</v>
      </c>
      <c r="V726" s="393">
        <f t="shared" si="280"/>
        <v>75734.05</v>
      </c>
      <c r="W726" s="393">
        <f t="shared" si="281"/>
        <v>-75734.05</v>
      </c>
      <c r="Y726" s="393">
        <f t="shared" si="284"/>
        <v>14258.35</v>
      </c>
      <c r="Z726" s="393">
        <f t="shared" si="285"/>
        <v>-14258.35</v>
      </c>
      <c r="AD726" s="395">
        <f>IF(AH726&gt;AH725,AD725,IF(AD725&lt;MiscData!$F$1,EOMONTH(AD725,1),EOMONTH(AD725,-11)))</f>
        <v>41912</v>
      </c>
      <c r="AE726" s="389" t="str">
        <f t="shared" si="282"/>
        <v>20140101KUUM_404</v>
      </c>
      <c r="AF726" s="437" t="str">
        <f t="shared" si="283"/>
        <v>20140101RLS</v>
      </c>
      <c r="AG726" s="438"/>
      <c r="AH726" s="34">
        <f>IF(AH725=MiscData!$AB$91,1,AH725+1)</f>
        <v>21</v>
      </c>
      <c r="AI726" s="34">
        <f>IF(AD726&lt;=MiscData!$B$23,MiscData!$C$23,IF(AD726&lt;=MiscData!$B$24,MiscData!$C$24,MiscData!$C$25))</f>
        <v>20140101</v>
      </c>
      <c r="AK726" s="439" t="str">
        <f>VLOOKUP(AM726,MiscData!$AB$4:$ACB$113,2,FALSE)</f>
        <v>KUUM_404</v>
      </c>
      <c r="AL726" s="439" t="str">
        <f>VLOOKUP(AM726,MiscData!$AB$4:$AE$115,4,FALSE)</f>
        <v>RLS</v>
      </c>
      <c r="AM726" s="34">
        <f>IF(AM725=MiscData!$AB$91,1,AM725+1)</f>
        <v>21</v>
      </c>
    </row>
    <row r="727" spans="1:39">
      <c r="A727" s="389">
        <f t="shared" si="286"/>
        <v>726</v>
      </c>
      <c r="B727" s="395" t="str">
        <f t="shared" si="267"/>
        <v>Sep 2014</v>
      </c>
      <c r="C727" s="396" t="str">
        <f t="shared" si="268"/>
        <v>RLS</v>
      </c>
      <c r="D727" s="396" t="str">
        <f t="shared" si="269"/>
        <v>KUUM_405</v>
      </c>
      <c r="E727" s="394">
        <f t="shared" si="270"/>
        <v>0</v>
      </c>
      <c r="F727" s="397">
        <v>0</v>
      </c>
      <c r="G727" s="394">
        <f t="shared" si="271"/>
        <v>0</v>
      </c>
      <c r="H727" s="394">
        <v>0</v>
      </c>
      <c r="I727" s="390">
        <f t="shared" si="272"/>
        <v>0</v>
      </c>
      <c r="J727" s="390">
        <f t="shared" si="273"/>
        <v>0</v>
      </c>
      <c r="K727" s="391">
        <f t="shared" si="287"/>
        <v>0</v>
      </c>
      <c r="L727" s="398">
        <v>0</v>
      </c>
      <c r="M727" s="398">
        <v>0</v>
      </c>
      <c r="N727" s="164">
        <f t="shared" si="266"/>
        <v>0</v>
      </c>
      <c r="O727" s="399">
        <f t="shared" si="274"/>
        <v>0</v>
      </c>
      <c r="P727" s="392">
        <f t="shared" si="288"/>
        <v>1</v>
      </c>
      <c r="Q727" s="164">
        <f t="shared" si="275"/>
        <v>0</v>
      </c>
      <c r="R727" s="164">
        <f t="shared" si="276"/>
        <v>0</v>
      </c>
      <c r="S727" s="164">
        <f t="shared" si="277"/>
        <v>0</v>
      </c>
      <c r="T727" s="164">
        <f t="shared" si="278"/>
        <v>0</v>
      </c>
      <c r="U727" s="164">
        <f t="shared" si="279"/>
        <v>0</v>
      </c>
      <c r="V727" s="393">
        <f t="shared" si="280"/>
        <v>0</v>
      </c>
      <c r="W727" s="393">
        <f t="shared" si="281"/>
        <v>0</v>
      </c>
      <c r="Y727" s="393">
        <f t="shared" si="284"/>
        <v>0</v>
      </c>
      <c r="Z727" s="393">
        <f t="shared" si="285"/>
        <v>0</v>
      </c>
      <c r="AD727" s="395">
        <f>IF(AH727&gt;AH726,AD726,IF(AD726&lt;MiscData!$F$1,EOMONTH(AD726,1),EOMONTH(AD726,-11)))</f>
        <v>41912</v>
      </c>
      <c r="AE727" s="389" t="str">
        <f t="shared" si="282"/>
        <v>20140101KUUM_405</v>
      </c>
      <c r="AF727" s="437" t="str">
        <f t="shared" si="283"/>
        <v>20140101RLS</v>
      </c>
      <c r="AG727" s="438"/>
      <c r="AH727" s="34">
        <f>IF(AH726=MiscData!$AB$91,1,AH726+1)</f>
        <v>22</v>
      </c>
      <c r="AI727" s="34">
        <f>IF(AD727&lt;=MiscData!$B$23,MiscData!$C$23,IF(AD727&lt;=MiscData!$B$24,MiscData!$C$24,MiscData!$C$25))</f>
        <v>20140101</v>
      </c>
      <c r="AK727" s="439" t="str">
        <f>VLOOKUP(AM727,MiscData!$AB$4:$ACB$113,2,FALSE)</f>
        <v>KUUM_405</v>
      </c>
      <c r="AL727" s="439" t="str">
        <f>VLOOKUP(AM727,MiscData!$AB$4:$AE$115,4,FALSE)</f>
        <v>RLS</v>
      </c>
      <c r="AM727" s="34">
        <f>IF(AM726=MiscData!$AB$91,1,AM726+1)</f>
        <v>22</v>
      </c>
    </row>
    <row r="728" spans="1:39">
      <c r="A728" s="389">
        <f t="shared" si="286"/>
        <v>727</v>
      </c>
      <c r="B728" s="395" t="str">
        <f t="shared" si="267"/>
        <v>Sep 2014</v>
      </c>
      <c r="C728" s="396" t="str">
        <f t="shared" si="268"/>
        <v>LS</v>
      </c>
      <c r="D728" s="396" t="str">
        <f t="shared" si="269"/>
        <v>KUUM_407</v>
      </c>
      <c r="E728" s="394">
        <f t="shared" si="270"/>
        <v>0</v>
      </c>
      <c r="F728" s="397">
        <v>0</v>
      </c>
      <c r="G728" s="394">
        <f t="shared" si="271"/>
        <v>0</v>
      </c>
      <c r="H728" s="394">
        <v>0</v>
      </c>
      <c r="I728" s="390">
        <f t="shared" si="272"/>
        <v>0</v>
      </c>
      <c r="J728" s="390">
        <f t="shared" si="273"/>
        <v>0</v>
      </c>
      <c r="K728" s="391">
        <f t="shared" si="287"/>
        <v>0</v>
      </c>
      <c r="L728" s="398">
        <v>0</v>
      </c>
      <c r="M728" s="398">
        <v>0</v>
      </c>
      <c r="N728" s="164">
        <f t="shared" si="266"/>
        <v>0</v>
      </c>
      <c r="O728" s="399">
        <f t="shared" si="274"/>
        <v>0</v>
      </c>
      <c r="P728" s="392">
        <f t="shared" si="288"/>
        <v>1</v>
      </c>
      <c r="Q728" s="164">
        <f t="shared" si="275"/>
        <v>0</v>
      </c>
      <c r="R728" s="164">
        <f t="shared" si="276"/>
        <v>0</v>
      </c>
      <c r="S728" s="164">
        <f t="shared" si="277"/>
        <v>0</v>
      </c>
      <c r="T728" s="164">
        <f t="shared" si="278"/>
        <v>0</v>
      </c>
      <c r="U728" s="164">
        <f t="shared" si="279"/>
        <v>0</v>
      </c>
      <c r="V728" s="393">
        <f t="shared" si="280"/>
        <v>0</v>
      </c>
      <c r="W728" s="393">
        <f t="shared" si="281"/>
        <v>0</v>
      </c>
      <c r="Y728" s="393">
        <f t="shared" si="284"/>
        <v>0</v>
      </c>
      <c r="Z728" s="393">
        <f t="shared" si="285"/>
        <v>0</v>
      </c>
      <c r="AD728" s="395">
        <f>IF(AH728&gt;AH727,AD727,IF(AD727&lt;MiscData!$F$1,EOMONTH(AD727,1),EOMONTH(AD727,-11)))</f>
        <v>41912</v>
      </c>
      <c r="AE728" s="389" t="str">
        <f t="shared" si="282"/>
        <v>20140101KUUM_407</v>
      </c>
      <c r="AF728" s="437" t="str">
        <f t="shared" si="283"/>
        <v>20140101LS</v>
      </c>
      <c r="AG728" s="438"/>
      <c r="AH728" s="34">
        <f>IF(AH727=MiscData!$AB$91,1,AH727+1)</f>
        <v>23</v>
      </c>
      <c r="AI728" s="34">
        <f>IF(AD728&lt;=MiscData!$B$23,MiscData!$C$23,IF(AD728&lt;=MiscData!$B$24,MiscData!$C$24,MiscData!$C$25))</f>
        <v>20140101</v>
      </c>
      <c r="AK728" s="439" t="str">
        <f>VLOOKUP(AM728,MiscData!$AB$4:$ACB$113,2,FALSE)</f>
        <v>KUUM_407</v>
      </c>
      <c r="AL728" s="439" t="str">
        <f>VLOOKUP(AM728,MiscData!$AB$4:$AE$115,4,FALSE)</f>
        <v>LS</v>
      </c>
      <c r="AM728" s="34">
        <f>IF(AM727=MiscData!$AB$91,1,AM727+1)</f>
        <v>23</v>
      </c>
    </row>
    <row r="729" spans="1:39">
      <c r="A729" s="389">
        <f t="shared" si="286"/>
        <v>728</v>
      </c>
      <c r="B729" s="395" t="str">
        <f t="shared" si="267"/>
        <v>Sep 2014</v>
      </c>
      <c r="C729" s="396" t="str">
        <f t="shared" si="268"/>
        <v>RLS</v>
      </c>
      <c r="D729" s="396" t="str">
        <f t="shared" si="269"/>
        <v>KUUM_409</v>
      </c>
      <c r="E729" s="394">
        <f t="shared" si="270"/>
        <v>134</v>
      </c>
      <c r="F729" s="397">
        <v>0</v>
      </c>
      <c r="G729" s="394">
        <f t="shared" si="271"/>
        <v>0</v>
      </c>
      <c r="H729" s="394">
        <v>0</v>
      </c>
      <c r="I729" s="390">
        <f t="shared" si="272"/>
        <v>11.71</v>
      </c>
      <c r="J729" s="390">
        <f t="shared" si="273"/>
        <v>4.5299999999999994</v>
      </c>
      <c r="K729" s="391">
        <f t="shared" si="287"/>
        <v>1569.14</v>
      </c>
      <c r="L729" s="398">
        <v>0</v>
      </c>
      <c r="M729" s="398">
        <v>0</v>
      </c>
      <c r="N729" s="164">
        <f t="shared" si="266"/>
        <v>1569.14</v>
      </c>
      <c r="O729" s="399">
        <f t="shared" si="274"/>
        <v>0</v>
      </c>
      <c r="P729" s="392">
        <f t="shared" si="288"/>
        <v>0</v>
      </c>
      <c r="Q729" s="164">
        <f t="shared" si="275"/>
        <v>0</v>
      </c>
      <c r="R729" s="164">
        <f t="shared" si="276"/>
        <v>0</v>
      </c>
      <c r="S729" s="164">
        <f t="shared" si="277"/>
        <v>0</v>
      </c>
      <c r="T729" s="164">
        <f t="shared" si="278"/>
        <v>0</v>
      </c>
      <c r="U729" s="164">
        <f t="shared" si="279"/>
        <v>0</v>
      </c>
      <c r="V729" s="393">
        <f t="shared" si="280"/>
        <v>1569.14</v>
      </c>
      <c r="W729" s="393">
        <f t="shared" si="281"/>
        <v>-1569.14</v>
      </c>
      <c r="Y729" s="393">
        <f t="shared" si="284"/>
        <v>607.02</v>
      </c>
      <c r="Z729" s="393">
        <f t="shared" si="285"/>
        <v>-607.02</v>
      </c>
      <c r="AD729" s="395">
        <f>IF(AH729&gt;AH728,AD728,IF(AD728&lt;MiscData!$F$1,EOMONTH(AD728,1),EOMONTH(AD728,-11)))</f>
        <v>41912</v>
      </c>
      <c r="AE729" s="389" t="str">
        <f t="shared" si="282"/>
        <v>20140101KUUM_409</v>
      </c>
      <c r="AF729" s="437" t="str">
        <f t="shared" si="283"/>
        <v>20140101RLS</v>
      </c>
      <c r="AG729" s="438"/>
      <c r="AH729" s="34">
        <f>IF(AH728=MiscData!$AB$91,1,AH728+1)</f>
        <v>24</v>
      </c>
      <c r="AI729" s="34">
        <f>IF(AD729&lt;=MiscData!$B$23,MiscData!$C$23,IF(AD729&lt;=MiscData!$B$24,MiscData!$C$24,MiscData!$C$25))</f>
        <v>20140101</v>
      </c>
      <c r="AK729" s="439" t="str">
        <f>VLOOKUP(AM729,MiscData!$AB$4:$ACB$113,2,FALSE)</f>
        <v>KUUM_409</v>
      </c>
      <c r="AL729" s="439" t="str">
        <f>VLOOKUP(AM729,MiscData!$AB$4:$AE$115,4,FALSE)</f>
        <v>RLS</v>
      </c>
      <c r="AM729" s="34">
        <f>IF(AM728=MiscData!$AB$91,1,AM728+1)</f>
        <v>24</v>
      </c>
    </row>
    <row r="730" spans="1:39">
      <c r="A730" s="389">
        <f t="shared" si="286"/>
        <v>729</v>
      </c>
      <c r="B730" s="395" t="str">
        <f t="shared" si="267"/>
        <v>Sep 2014</v>
      </c>
      <c r="C730" s="396" t="str">
        <f t="shared" si="268"/>
        <v>RLS</v>
      </c>
      <c r="D730" s="396" t="str">
        <f t="shared" si="269"/>
        <v>KUUM_410</v>
      </c>
      <c r="E730" s="394">
        <f t="shared" si="270"/>
        <v>236</v>
      </c>
      <c r="F730" s="397">
        <v>0</v>
      </c>
      <c r="G730" s="394">
        <f t="shared" si="271"/>
        <v>0</v>
      </c>
      <c r="H730" s="394">
        <v>0</v>
      </c>
      <c r="I730" s="390">
        <f t="shared" si="272"/>
        <v>20.259999999999998</v>
      </c>
      <c r="J730" s="390">
        <f t="shared" si="273"/>
        <v>0.57000000000000028</v>
      </c>
      <c r="K730" s="391">
        <f t="shared" si="287"/>
        <v>4781.3599999999997</v>
      </c>
      <c r="L730" s="398">
        <v>0</v>
      </c>
      <c r="M730" s="398">
        <v>0</v>
      </c>
      <c r="N730" s="164">
        <f t="shared" si="266"/>
        <v>4781.3599999999997</v>
      </c>
      <c r="O730" s="399">
        <f t="shared" si="274"/>
        <v>0</v>
      </c>
      <c r="P730" s="392">
        <f t="shared" si="288"/>
        <v>0</v>
      </c>
      <c r="Q730" s="164">
        <f t="shared" si="275"/>
        <v>0</v>
      </c>
      <c r="R730" s="164">
        <f t="shared" si="276"/>
        <v>0</v>
      </c>
      <c r="S730" s="164">
        <f t="shared" si="277"/>
        <v>0</v>
      </c>
      <c r="T730" s="164">
        <f t="shared" si="278"/>
        <v>0</v>
      </c>
      <c r="U730" s="164">
        <f t="shared" si="279"/>
        <v>0</v>
      </c>
      <c r="V730" s="393">
        <f t="shared" si="280"/>
        <v>4781.3599999999997</v>
      </c>
      <c r="W730" s="393">
        <f t="shared" si="281"/>
        <v>-4781.3599999999997</v>
      </c>
      <c r="Y730" s="393">
        <f t="shared" si="284"/>
        <v>134.52000000000001</v>
      </c>
      <c r="Z730" s="393">
        <f t="shared" si="285"/>
        <v>-134.52000000000001</v>
      </c>
      <c r="AD730" s="395">
        <f>IF(AH730&gt;AH729,AD729,IF(AD729&lt;MiscData!$F$1,EOMONTH(AD729,1),EOMONTH(AD729,-11)))</f>
        <v>41912</v>
      </c>
      <c r="AE730" s="389" t="str">
        <f t="shared" si="282"/>
        <v>20140101KUUM_410</v>
      </c>
      <c r="AF730" s="437" t="str">
        <f t="shared" si="283"/>
        <v>20140101RLS</v>
      </c>
      <c r="AG730" s="438"/>
      <c r="AH730" s="34">
        <f>IF(AH729=MiscData!$AB$91,1,AH729+1)</f>
        <v>25</v>
      </c>
      <c r="AI730" s="34">
        <f>IF(AD730&lt;=MiscData!$B$23,MiscData!$C$23,IF(AD730&lt;=MiscData!$B$24,MiscData!$C$24,MiscData!$C$25))</f>
        <v>20140101</v>
      </c>
      <c r="AK730" s="439" t="str">
        <f>VLOOKUP(AM730,MiscData!$AB$4:$ACB$113,2,FALSE)</f>
        <v>KUUM_410</v>
      </c>
      <c r="AL730" s="439" t="str">
        <f>VLOOKUP(AM730,MiscData!$AB$4:$AE$115,4,FALSE)</f>
        <v>RLS</v>
      </c>
      <c r="AM730" s="34">
        <f>IF(AM729=MiscData!$AB$91,1,AM729+1)</f>
        <v>25</v>
      </c>
    </row>
    <row r="731" spans="1:39">
      <c r="A731" s="389">
        <f t="shared" si="286"/>
        <v>730</v>
      </c>
      <c r="B731" s="395" t="str">
        <f t="shared" si="267"/>
        <v>Sep 2014</v>
      </c>
      <c r="C731" s="396" t="str">
        <f t="shared" si="268"/>
        <v>LS</v>
      </c>
      <c r="D731" s="396" t="str">
        <f t="shared" si="269"/>
        <v>KUUM_411</v>
      </c>
      <c r="E731" s="394">
        <f t="shared" si="270"/>
        <v>142</v>
      </c>
      <c r="F731" s="397">
        <v>0</v>
      </c>
      <c r="G731" s="394">
        <f t="shared" si="271"/>
        <v>0</v>
      </c>
      <c r="H731" s="394">
        <v>0</v>
      </c>
      <c r="I731" s="390">
        <f t="shared" si="272"/>
        <v>21.38</v>
      </c>
      <c r="J731" s="390">
        <f t="shared" si="273"/>
        <v>0.79999999999999716</v>
      </c>
      <c r="K731" s="391">
        <f t="shared" si="287"/>
        <v>3035.96</v>
      </c>
      <c r="L731" s="398">
        <v>0</v>
      </c>
      <c r="M731" s="398">
        <v>0</v>
      </c>
      <c r="N731" s="164">
        <f t="shared" si="266"/>
        <v>3035.96</v>
      </c>
      <c r="O731" s="399">
        <f t="shared" si="274"/>
        <v>0</v>
      </c>
      <c r="P731" s="392">
        <f t="shared" si="288"/>
        <v>0</v>
      </c>
      <c r="Q731" s="164">
        <f t="shared" si="275"/>
        <v>0</v>
      </c>
      <c r="R731" s="164">
        <f t="shared" si="276"/>
        <v>0</v>
      </c>
      <c r="S731" s="164">
        <f t="shared" si="277"/>
        <v>0</v>
      </c>
      <c r="T731" s="164">
        <f t="shared" si="278"/>
        <v>0</v>
      </c>
      <c r="U731" s="164">
        <f t="shared" si="279"/>
        <v>0</v>
      </c>
      <c r="V731" s="393">
        <f t="shared" si="280"/>
        <v>3035.96</v>
      </c>
      <c r="W731" s="393">
        <f t="shared" si="281"/>
        <v>-3035.96</v>
      </c>
      <c r="Y731" s="393">
        <f t="shared" si="284"/>
        <v>113.6</v>
      </c>
      <c r="Z731" s="393">
        <f t="shared" si="285"/>
        <v>-113.6</v>
      </c>
      <c r="AD731" s="395">
        <f>IF(AH731&gt;AH730,AD730,IF(AD730&lt;MiscData!$F$1,EOMONTH(AD730,1),EOMONTH(AD730,-11)))</f>
        <v>41912</v>
      </c>
      <c r="AE731" s="389" t="str">
        <f t="shared" si="282"/>
        <v>20140101KUUM_411</v>
      </c>
      <c r="AF731" s="437" t="str">
        <f t="shared" si="283"/>
        <v>20140101LS</v>
      </c>
      <c r="AG731" s="438"/>
      <c r="AH731" s="34">
        <f>IF(AH730=MiscData!$AB$91,1,AH730+1)</f>
        <v>26</v>
      </c>
      <c r="AI731" s="34">
        <f>IF(AD731&lt;=MiscData!$B$23,MiscData!$C$23,IF(AD731&lt;=MiscData!$B$24,MiscData!$C$24,MiscData!$C$25))</f>
        <v>20140101</v>
      </c>
      <c r="AK731" s="439" t="str">
        <f>VLOOKUP(AM731,MiscData!$AB$4:$ACB$113,2,FALSE)</f>
        <v>KUUM_411</v>
      </c>
      <c r="AL731" s="439" t="str">
        <f>VLOOKUP(AM731,MiscData!$AB$4:$AE$115,4,FALSE)</f>
        <v>LS</v>
      </c>
      <c r="AM731" s="34">
        <f>IF(AM730=MiscData!$AB$91,1,AM730+1)</f>
        <v>26</v>
      </c>
    </row>
    <row r="732" spans="1:39">
      <c r="A732" s="389">
        <f t="shared" si="286"/>
        <v>731</v>
      </c>
      <c r="B732" s="395" t="str">
        <f t="shared" si="267"/>
        <v>Sep 2014</v>
      </c>
      <c r="C732" s="396" t="str">
        <f t="shared" si="268"/>
        <v>RLS</v>
      </c>
      <c r="D732" s="396" t="str">
        <f t="shared" si="269"/>
        <v>KUUM_412</v>
      </c>
      <c r="E732" s="394">
        <f t="shared" si="270"/>
        <v>28</v>
      </c>
      <c r="F732" s="397">
        <v>0</v>
      </c>
      <c r="G732" s="394">
        <f t="shared" si="271"/>
        <v>0</v>
      </c>
      <c r="H732" s="394">
        <v>0</v>
      </c>
      <c r="I732" s="390">
        <f t="shared" si="272"/>
        <v>30.84</v>
      </c>
      <c r="J732" s="390">
        <f t="shared" si="273"/>
        <v>0.79999999999999716</v>
      </c>
      <c r="K732" s="391">
        <f t="shared" si="287"/>
        <v>863.52</v>
      </c>
      <c r="L732" s="398">
        <v>0</v>
      </c>
      <c r="M732" s="398">
        <v>0</v>
      </c>
      <c r="N732" s="164">
        <f t="shared" si="266"/>
        <v>863.52</v>
      </c>
      <c r="O732" s="399">
        <f t="shared" si="274"/>
        <v>0</v>
      </c>
      <c r="P732" s="392">
        <f t="shared" si="288"/>
        <v>0</v>
      </c>
      <c r="Q732" s="164">
        <f t="shared" si="275"/>
        <v>0</v>
      </c>
      <c r="R732" s="164">
        <f t="shared" si="276"/>
        <v>0</v>
      </c>
      <c r="S732" s="164">
        <f t="shared" si="277"/>
        <v>0</v>
      </c>
      <c r="T732" s="164">
        <f t="shared" si="278"/>
        <v>0</v>
      </c>
      <c r="U732" s="164">
        <f t="shared" si="279"/>
        <v>0</v>
      </c>
      <c r="V732" s="393">
        <f t="shared" si="280"/>
        <v>863.52</v>
      </c>
      <c r="W732" s="393">
        <f t="shared" si="281"/>
        <v>-863.52</v>
      </c>
      <c r="Y732" s="393">
        <f t="shared" si="284"/>
        <v>22.4</v>
      </c>
      <c r="Z732" s="393">
        <f t="shared" si="285"/>
        <v>-22.4</v>
      </c>
      <c r="AD732" s="395">
        <f>IF(AH732&gt;AH731,AD731,IF(AD731&lt;MiscData!$F$1,EOMONTH(AD731,1),EOMONTH(AD731,-11)))</f>
        <v>41912</v>
      </c>
      <c r="AE732" s="389" t="str">
        <f t="shared" si="282"/>
        <v>20140101KUUM_412</v>
      </c>
      <c r="AF732" s="437" t="str">
        <f t="shared" si="283"/>
        <v>20140101RLS</v>
      </c>
      <c r="AG732" s="438"/>
      <c r="AH732" s="34">
        <f>IF(AH731=MiscData!$AB$91,1,AH731+1)</f>
        <v>27</v>
      </c>
      <c r="AI732" s="34">
        <f>IF(AD732&lt;=MiscData!$B$23,MiscData!$C$23,IF(AD732&lt;=MiscData!$B$24,MiscData!$C$24,MiscData!$C$25))</f>
        <v>20140101</v>
      </c>
      <c r="AK732" s="439" t="str">
        <f>VLOOKUP(AM732,MiscData!$AB$4:$ACB$113,2,FALSE)</f>
        <v>KUUM_412</v>
      </c>
      <c r="AL732" s="439" t="str">
        <f>VLOOKUP(AM732,MiscData!$AB$4:$AE$115,4,FALSE)</f>
        <v>RLS</v>
      </c>
      <c r="AM732" s="34">
        <f>IF(AM731=MiscData!$AB$91,1,AM731+1)</f>
        <v>27</v>
      </c>
    </row>
    <row r="733" spans="1:39">
      <c r="A733" s="389">
        <f t="shared" si="286"/>
        <v>732</v>
      </c>
      <c r="B733" s="395" t="str">
        <f t="shared" si="267"/>
        <v>Sep 2014</v>
      </c>
      <c r="C733" s="396" t="str">
        <f t="shared" si="268"/>
        <v>RLS</v>
      </c>
      <c r="D733" s="396" t="str">
        <f t="shared" si="269"/>
        <v>KUUM_413</v>
      </c>
      <c r="E733" s="394">
        <f t="shared" si="270"/>
        <v>95</v>
      </c>
      <c r="F733" s="397">
        <v>0</v>
      </c>
      <c r="G733" s="394">
        <f t="shared" si="271"/>
        <v>0</v>
      </c>
      <c r="H733" s="394">
        <v>0</v>
      </c>
      <c r="I733" s="390">
        <f t="shared" si="272"/>
        <v>31.22</v>
      </c>
      <c r="J733" s="390">
        <f t="shared" si="273"/>
        <v>1.129999999999999</v>
      </c>
      <c r="K733" s="391">
        <f t="shared" si="287"/>
        <v>2965.9</v>
      </c>
      <c r="L733" s="398">
        <v>0</v>
      </c>
      <c r="M733" s="398">
        <v>0</v>
      </c>
      <c r="N733" s="164">
        <f t="shared" si="266"/>
        <v>2965.9</v>
      </c>
      <c r="O733" s="399">
        <f t="shared" si="274"/>
        <v>0</v>
      </c>
      <c r="P733" s="392">
        <f t="shared" si="288"/>
        <v>0</v>
      </c>
      <c r="Q733" s="164">
        <f t="shared" si="275"/>
        <v>0</v>
      </c>
      <c r="R733" s="164">
        <f t="shared" si="276"/>
        <v>0</v>
      </c>
      <c r="S733" s="164">
        <f t="shared" si="277"/>
        <v>0</v>
      </c>
      <c r="T733" s="164">
        <f t="shared" si="278"/>
        <v>0</v>
      </c>
      <c r="U733" s="164">
        <f t="shared" si="279"/>
        <v>0</v>
      </c>
      <c r="V733" s="393">
        <f t="shared" si="280"/>
        <v>2965.9</v>
      </c>
      <c r="W733" s="393">
        <f t="shared" si="281"/>
        <v>-2965.9</v>
      </c>
      <c r="Y733" s="393">
        <f t="shared" si="284"/>
        <v>107.35</v>
      </c>
      <c r="Z733" s="393">
        <f t="shared" si="285"/>
        <v>-107.35</v>
      </c>
      <c r="AD733" s="395">
        <f>IF(AH733&gt;AH732,AD732,IF(AD732&lt;MiscData!$F$1,EOMONTH(AD732,1),EOMONTH(AD732,-11)))</f>
        <v>41912</v>
      </c>
      <c r="AE733" s="389" t="str">
        <f t="shared" si="282"/>
        <v>20140101KUUM_413</v>
      </c>
      <c r="AF733" s="437" t="str">
        <f t="shared" si="283"/>
        <v>20140101RLS</v>
      </c>
      <c r="AG733" s="438"/>
      <c r="AH733" s="34">
        <f>IF(AH732=MiscData!$AB$91,1,AH732+1)</f>
        <v>28</v>
      </c>
      <c r="AI733" s="34">
        <f>IF(AD733&lt;=MiscData!$B$23,MiscData!$C$23,IF(AD733&lt;=MiscData!$B$24,MiscData!$C$24,MiscData!$C$25))</f>
        <v>20140101</v>
      </c>
      <c r="AK733" s="439" t="str">
        <f>VLOOKUP(AM733,MiscData!$AB$4:$ACB$113,2,FALSE)</f>
        <v>KUUM_413</v>
      </c>
      <c r="AL733" s="439" t="str">
        <f>VLOOKUP(AM733,MiscData!$AB$4:$AE$115,4,FALSE)</f>
        <v>RLS</v>
      </c>
      <c r="AM733" s="34">
        <f>IF(AM732=MiscData!$AB$91,1,AM732+1)</f>
        <v>28</v>
      </c>
    </row>
    <row r="734" spans="1:39">
      <c r="A734" s="389">
        <f t="shared" si="286"/>
        <v>733</v>
      </c>
      <c r="B734" s="395" t="str">
        <f t="shared" si="267"/>
        <v>Sep 2014</v>
      </c>
      <c r="C734" s="396" t="str">
        <f t="shared" si="268"/>
        <v>LS</v>
      </c>
      <c r="D734" s="396" t="str">
        <f t="shared" si="269"/>
        <v>KUUM_414</v>
      </c>
      <c r="E734" s="394">
        <f t="shared" si="270"/>
        <v>21</v>
      </c>
      <c r="F734" s="397">
        <v>0</v>
      </c>
      <c r="G734" s="394">
        <f t="shared" si="271"/>
        <v>0</v>
      </c>
      <c r="H734" s="394">
        <v>0</v>
      </c>
      <c r="I734" s="390">
        <f t="shared" si="272"/>
        <v>30.84</v>
      </c>
      <c r="J734" s="390">
        <f t="shared" si="273"/>
        <v>0.79999999999999716</v>
      </c>
      <c r="K734" s="391">
        <f t="shared" si="287"/>
        <v>647.64</v>
      </c>
      <c r="L734" s="398">
        <v>0</v>
      </c>
      <c r="M734" s="398">
        <v>0</v>
      </c>
      <c r="N734" s="164">
        <f t="shared" si="266"/>
        <v>647.64</v>
      </c>
      <c r="O734" s="399">
        <f t="shared" si="274"/>
        <v>0</v>
      </c>
      <c r="P734" s="392">
        <f t="shared" si="288"/>
        <v>0</v>
      </c>
      <c r="Q734" s="164">
        <f t="shared" si="275"/>
        <v>0</v>
      </c>
      <c r="R734" s="164">
        <f t="shared" si="276"/>
        <v>0</v>
      </c>
      <c r="S734" s="164">
        <f t="shared" si="277"/>
        <v>0</v>
      </c>
      <c r="T734" s="164">
        <f t="shared" si="278"/>
        <v>0</v>
      </c>
      <c r="U734" s="164">
        <f t="shared" si="279"/>
        <v>0</v>
      </c>
      <c r="V734" s="393">
        <f t="shared" si="280"/>
        <v>647.64</v>
      </c>
      <c r="W734" s="393">
        <f t="shared" si="281"/>
        <v>-647.64</v>
      </c>
      <c r="Y734" s="393">
        <f t="shared" si="284"/>
        <v>16.8</v>
      </c>
      <c r="Z734" s="393">
        <f t="shared" si="285"/>
        <v>-16.8</v>
      </c>
      <c r="AD734" s="395">
        <f>IF(AH734&gt;AH733,AD733,IF(AD733&lt;MiscData!$F$1,EOMONTH(AD733,1),EOMONTH(AD733,-11)))</f>
        <v>41912</v>
      </c>
      <c r="AE734" s="389" t="str">
        <f t="shared" si="282"/>
        <v>20140101KUUM_414</v>
      </c>
      <c r="AF734" s="437" t="str">
        <f t="shared" si="283"/>
        <v>20140101LS</v>
      </c>
      <c r="AG734" s="438"/>
      <c r="AH734" s="34">
        <f>IF(AH733=MiscData!$AB$91,1,AH733+1)</f>
        <v>29</v>
      </c>
      <c r="AI734" s="34">
        <f>IF(AD734&lt;=MiscData!$B$23,MiscData!$C$23,IF(AD734&lt;=MiscData!$B$24,MiscData!$C$24,MiscData!$C$25))</f>
        <v>20140101</v>
      </c>
      <c r="AK734" s="439" t="str">
        <f>VLOOKUP(AM734,MiscData!$AB$4:$ACB$113,2,FALSE)</f>
        <v>KUUM_414</v>
      </c>
      <c r="AL734" s="439" t="str">
        <f>VLOOKUP(AM734,MiscData!$AB$4:$AE$115,4,FALSE)</f>
        <v>LS</v>
      </c>
      <c r="AM734" s="34">
        <f>IF(AM733=MiscData!$AB$91,1,AM733+1)</f>
        <v>29</v>
      </c>
    </row>
    <row r="735" spans="1:39">
      <c r="A735" s="389">
        <f t="shared" si="286"/>
        <v>734</v>
      </c>
      <c r="B735" s="395" t="str">
        <f t="shared" si="267"/>
        <v>Sep 2014</v>
      </c>
      <c r="C735" s="396" t="str">
        <f t="shared" si="268"/>
        <v>LS</v>
      </c>
      <c r="D735" s="396" t="str">
        <f t="shared" si="269"/>
        <v>KUUM_415</v>
      </c>
      <c r="E735" s="394">
        <f t="shared" si="270"/>
        <v>10</v>
      </c>
      <c r="F735" s="397">
        <v>0</v>
      </c>
      <c r="G735" s="394">
        <f t="shared" si="271"/>
        <v>0</v>
      </c>
      <c r="H735" s="394">
        <v>0</v>
      </c>
      <c r="I735" s="390">
        <f t="shared" si="272"/>
        <v>31.22</v>
      </c>
      <c r="J735" s="390">
        <f t="shared" si="273"/>
        <v>1.129999999999999</v>
      </c>
      <c r="K735" s="391">
        <f t="shared" si="287"/>
        <v>312.2</v>
      </c>
      <c r="L735" s="398">
        <v>0</v>
      </c>
      <c r="M735" s="398">
        <v>0</v>
      </c>
      <c r="N735" s="164">
        <f t="shared" si="266"/>
        <v>312.2</v>
      </c>
      <c r="O735" s="399">
        <f t="shared" si="274"/>
        <v>0</v>
      </c>
      <c r="P735" s="392">
        <f t="shared" si="288"/>
        <v>0</v>
      </c>
      <c r="Q735" s="164">
        <f t="shared" si="275"/>
        <v>0</v>
      </c>
      <c r="R735" s="164">
        <f t="shared" si="276"/>
        <v>0</v>
      </c>
      <c r="S735" s="164">
        <f t="shared" si="277"/>
        <v>0</v>
      </c>
      <c r="T735" s="164">
        <f t="shared" si="278"/>
        <v>0</v>
      </c>
      <c r="U735" s="164">
        <f t="shared" si="279"/>
        <v>0</v>
      </c>
      <c r="V735" s="393">
        <f t="shared" si="280"/>
        <v>312.2</v>
      </c>
      <c r="W735" s="393">
        <f t="shared" si="281"/>
        <v>-312.2</v>
      </c>
      <c r="Y735" s="393">
        <f t="shared" si="284"/>
        <v>11.3</v>
      </c>
      <c r="Z735" s="393">
        <f t="shared" si="285"/>
        <v>-11.3</v>
      </c>
      <c r="AD735" s="395">
        <f>IF(AH735&gt;AH734,AD734,IF(AD734&lt;MiscData!$F$1,EOMONTH(AD734,1),EOMONTH(AD734,-11)))</f>
        <v>41912</v>
      </c>
      <c r="AE735" s="389" t="str">
        <f t="shared" si="282"/>
        <v>20140101KUUM_415</v>
      </c>
      <c r="AF735" s="437" t="str">
        <f t="shared" si="283"/>
        <v>20140101LS</v>
      </c>
      <c r="AG735" s="438"/>
      <c r="AH735" s="34">
        <f>IF(AH734=MiscData!$AB$91,1,AH734+1)</f>
        <v>30</v>
      </c>
      <c r="AI735" s="34">
        <f>IF(AD735&lt;=MiscData!$B$23,MiscData!$C$23,IF(AD735&lt;=MiscData!$B$24,MiscData!$C$24,MiscData!$C$25))</f>
        <v>20140101</v>
      </c>
      <c r="AK735" s="439" t="str">
        <f>VLOOKUP(AM735,MiscData!$AB$4:$ACB$113,2,FALSE)</f>
        <v>KUUM_415</v>
      </c>
      <c r="AL735" s="439" t="str">
        <f>VLOOKUP(AM735,MiscData!$AB$4:$AE$115,4,FALSE)</f>
        <v>LS</v>
      </c>
      <c r="AM735" s="34">
        <f>IF(AM734=MiscData!$AB$91,1,AM734+1)</f>
        <v>30</v>
      </c>
    </row>
    <row r="736" spans="1:39">
      <c r="A736" s="389">
        <f t="shared" si="286"/>
        <v>735</v>
      </c>
      <c r="B736" s="395" t="str">
        <f t="shared" si="267"/>
        <v>Sep 2014</v>
      </c>
      <c r="C736" s="396" t="str">
        <f t="shared" si="268"/>
        <v>LS</v>
      </c>
      <c r="D736" s="396" t="str">
        <f t="shared" si="269"/>
        <v>KUUM_420</v>
      </c>
      <c r="E736" s="394">
        <f t="shared" si="270"/>
        <v>448</v>
      </c>
      <c r="F736" s="397">
        <v>0</v>
      </c>
      <c r="G736" s="394">
        <f t="shared" si="271"/>
        <v>0</v>
      </c>
      <c r="H736" s="394">
        <v>0</v>
      </c>
      <c r="I736" s="390">
        <f t="shared" si="272"/>
        <v>15.360000000000001</v>
      </c>
      <c r="J736" s="390">
        <f t="shared" si="273"/>
        <v>1.1300000000000008</v>
      </c>
      <c r="K736" s="391">
        <f t="shared" si="287"/>
        <v>6881.28</v>
      </c>
      <c r="L736" s="398">
        <v>0</v>
      </c>
      <c r="M736" s="398">
        <v>0</v>
      </c>
      <c r="N736" s="164">
        <f t="shared" si="266"/>
        <v>6881.28</v>
      </c>
      <c r="O736" s="399">
        <f t="shared" si="274"/>
        <v>0</v>
      </c>
      <c r="P736" s="392">
        <f t="shared" si="288"/>
        <v>0</v>
      </c>
      <c r="Q736" s="164">
        <f t="shared" si="275"/>
        <v>0</v>
      </c>
      <c r="R736" s="164">
        <f t="shared" si="276"/>
        <v>0</v>
      </c>
      <c r="S736" s="164">
        <f t="shared" si="277"/>
        <v>0</v>
      </c>
      <c r="T736" s="164">
        <f t="shared" si="278"/>
        <v>0</v>
      </c>
      <c r="U736" s="164">
        <f t="shared" si="279"/>
        <v>0</v>
      </c>
      <c r="V736" s="393">
        <f t="shared" si="280"/>
        <v>6881.28</v>
      </c>
      <c r="W736" s="393">
        <f t="shared" si="281"/>
        <v>-6881.28</v>
      </c>
      <c r="Y736" s="393">
        <f t="shared" si="284"/>
        <v>506.24</v>
      </c>
      <c r="Z736" s="393">
        <f t="shared" si="285"/>
        <v>-506.24</v>
      </c>
      <c r="AD736" s="395">
        <f>IF(AH736&gt;AH735,AD735,IF(AD735&lt;MiscData!$F$1,EOMONTH(AD735,1),EOMONTH(AD735,-11)))</f>
        <v>41912</v>
      </c>
      <c r="AE736" s="389" t="str">
        <f t="shared" si="282"/>
        <v>20140101KUUM_420</v>
      </c>
      <c r="AF736" s="437" t="str">
        <f t="shared" si="283"/>
        <v>20140101LS</v>
      </c>
      <c r="AG736" s="438"/>
      <c r="AH736" s="34">
        <f>IF(AH735=MiscData!$AB$91,1,AH735+1)</f>
        <v>31</v>
      </c>
      <c r="AI736" s="34">
        <f>IF(AD736&lt;=MiscData!$B$23,MiscData!$C$23,IF(AD736&lt;=MiscData!$B$24,MiscData!$C$24,MiscData!$C$25))</f>
        <v>20140101</v>
      </c>
      <c r="AK736" s="439" t="str">
        <f>VLOOKUP(AM736,MiscData!$AB$4:$ACB$113,2,FALSE)</f>
        <v>KUUM_420</v>
      </c>
      <c r="AL736" s="439" t="str">
        <f>VLOOKUP(AM736,MiscData!$AB$4:$AE$115,4,FALSE)</f>
        <v>LS</v>
      </c>
      <c r="AM736" s="34">
        <f>IF(AM735=MiscData!$AB$91,1,AM735+1)</f>
        <v>31</v>
      </c>
    </row>
    <row r="737" spans="1:39">
      <c r="A737" s="389">
        <f t="shared" si="286"/>
        <v>736</v>
      </c>
      <c r="B737" s="395" t="str">
        <f t="shared" si="267"/>
        <v>Sep 2014</v>
      </c>
      <c r="C737" s="396" t="str">
        <f t="shared" si="268"/>
        <v>RLS</v>
      </c>
      <c r="D737" s="396" t="str">
        <f t="shared" si="269"/>
        <v>KUUM_421</v>
      </c>
      <c r="E737" s="394">
        <f t="shared" si="270"/>
        <v>5</v>
      </c>
      <c r="F737" s="397">
        <v>0</v>
      </c>
      <c r="G737" s="394">
        <f t="shared" si="271"/>
        <v>0</v>
      </c>
      <c r="H737" s="394">
        <v>0</v>
      </c>
      <c r="I737" s="390">
        <f t="shared" si="272"/>
        <v>3.39</v>
      </c>
      <c r="J737" s="390">
        <f t="shared" si="273"/>
        <v>0.98999999999999977</v>
      </c>
      <c r="K737" s="391">
        <f t="shared" si="287"/>
        <v>16.95</v>
      </c>
      <c r="L737" s="398">
        <v>0</v>
      </c>
      <c r="M737" s="398">
        <v>0</v>
      </c>
      <c r="N737" s="164">
        <f t="shared" si="266"/>
        <v>16.95</v>
      </c>
      <c r="O737" s="399">
        <f t="shared" si="274"/>
        <v>0</v>
      </c>
      <c r="P737" s="392">
        <f t="shared" si="288"/>
        <v>0</v>
      </c>
      <c r="Q737" s="164">
        <f t="shared" si="275"/>
        <v>0</v>
      </c>
      <c r="R737" s="164">
        <f t="shared" si="276"/>
        <v>0</v>
      </c>
      <c r="S737" s="164">
        <f t="shared" si="277"/>
        <v>0</v>
      </c>
      <c r="T737" s="164">
        <f t="shared" si="278"/>
        <v>0</v>
      </c>
      <c r="U737" s="164">
        <f t="shared" si="279"/>
        <v>0</v>
      </c>
      <c r="V737" s="393">
        <f t="shared" si="280"/>
        <v>16.95</v>
      </c>
      <c r="W737" s="393">
        <f t="shared" si="281"/>
        <v>-16.95</v>
      </c>
      <c r="Y737" s="393">
        <f t="shared" si="284"/>
        <v>4.95</v>
      </c>
      <c r="Z737" s="393">
        <f t="shared" si="285"/>
        <v>-4.95</v>
      </c>
      <c r="AD737" s="395">
        <f>IF(AH737&gt;AH736,AD736,IF(AD736&lt;MiscData!$F$1,EOMONTH(AD736,1),EOMONTH(AD736,-11)))</f>
        <v>41912</v>
      </c>
      <c r="AE737" s="389" t="str">
        <f t="shared" si="282"/>
        <v>20140101KUUM_421</v>
      </c>
      <c r="AF737" s="437" t="str">
        <f t="shared" si="283"/>
        <v>20140101RLS</v>
      </c>
      <c r="AG737" s="438"/>
      <c r="AH737" s="34">
        <f>IF(AH736=MiscData!$AB$91,1,AH736+1)</f>
        <v>32</v>
      </c>
      <c r="AI737" s="34">
        <f>IF(AD737&lt;=MiscData!$B$23,MiscData!$C$23,IF(AD737&lt;=MiscData!$B$24,MiscData!$C$24,MiscData!$C$25))</f>
        <v>20140101</v>
      </c>
      <c r="AK737" s="439" t="str">
        <f>VLOOKUP(AM737,MiscData!$AB$4:$ACB$113,2,FALSE)</f>
        <v>KUUM_421</v>
      </c>
      <c r="AL737" s="439" t="str">
        <f>VLOOKUP(AM737,MiscData!$AB$4:$AE$115,4,FALSE)</f>
        <v>RLS</v>
      </c>
      <c r="AM737" s="34">
        <f>IF(AM736=MiscData!$AB$91,1,AM736+1)</f>
        <v>32</v>
      </c>
    </row>
    <row r="738" spans="1:39">
      <c r="A738" s="389">
        <f t="shared" si="286"/>
        <v>737</v>
      </c>
      <c r="B738" s="395" t="str">
        <f t="shared" si="267"/>
        <v>Sep 2014</v>
      </c>
      <c r="C738" s="396" t="str">
        <f t="shared" si="268"/>
        <v>RLS</v>
      </c>
      <c r="D738" s="396" t="str">
        <f t="shared" si="269"/>
        <v>KUUM_422</v>
      </c>
      <c r="E738" s="394">
        <f t="shared" si="270"/>
        <v>680</v>
      </c>
      <c r="F738" s="397">
        <v>0</v>
      </c>
      <c r="G738" s="394">
        <f t="shared" si="271"/>
        <v>0</v>
      </c>
      <c r="H738" s="394">
        <v>0</v>
      </c>
      <c r="I738" s="390">
        <f t="shared" si="272"/>
        <v>4.5400000000000009</v>
      </c>
      <c r="J738" s="390">
        <f t="shared" si="273"/>
        <v>1.9400000000000004</v>
      </c>
      <c r="K738" s="391">
        <f t="shared" si="287"/>
        <v>3087.2</v>
      </c>
      <c r="L738" s="398">
        <v>0</v>
      </c>
      <c r="M738" s="398">
        <v>0</v>
      </c>
      <c r="N738" s="164">
        <f t="shared" si="266"/>
        <v>3087.2</v>
      </c>
      <c r="O738" s="399">
        <f t="shared" si="274"/>
        <v>0</v>
      </c>
      <c r="P738" s="392">
        <f t="shared" si="288"/>
        <v>0</v>
      </c>
      <c r="Q738" s="164">
        <f t="shared" si="275"/>
        <v>0</v>
      </c>
      <c r="R738" s="164">
        <f t="shared" si="276"/>
        <v>0</v>
      </c>
      <c r="S738" s="164">
        <f t="shared" si="277"/>
        <v>0</v>
      </c>
      <c r="T738" s="164">
        <f t="shared" si="278"/>
        <v>0</v>
      </c>
      <c r="U738" s="164">
        <f t="shared" si="279"/>
        <v>0</v>
      </c>
      <c r="V738" s="393">
        <f t="shared" si="280"/>
        <v>3087.2</v>
      </c>
      <c r="W738" s="393">
        <f t="shared" si="281"/>
        <v>-3087.2</v>
      </c>
      <c r="Y738" s="393">
        <f t="shared" si="284"/>
        <v>1319.2</v>
      </c>
      <c r="Z738" s="393">
        <f t="shared" si="285"/>
        <v>-1319.2</v>
      </c>
      <c r="AD738" s="395">
        <f>IF(AH738&gt;AH737,AD737,IF(AD737&lt;MiscData!$F$1,EOMONTH(AD737,1),EOMONTH(AD737,-11)))</f>
        <v>41912</v>
      </c>
      <c r="AE738" s="389" t="str">
        <f t="shared" si="282"/>
        <v>20140101KUUM_422</v>
      </c>
      <c r="AF738" s="437" t="str">
        <f t="shared" si="283"/>
        <v>20140101RLS</v>
      </c>
      <c r="AG738" s="438"/>
      <c r="AH738" s="34">
        <f>IF(AH737=MiscData!$AB$91,1,AH737+1)</f>
        <v>33</v>
      </c>
      <c r="AI738" s="34">
        <f>IF(AD738&lt;=MiscData!$B$23,MiscData!$C$23,IF(AD738&lt;=MiscData!$B$24,MiscData!$C$24,MiscData!$C$25))</f>
        <v>20140101</v>
      </c>
      <c r="AK738" s="439" t="str">
        <f>VLOOKUP(AM738,MiscData!$AB$4:$ACB$113,2,FALSE)</f>
        <v>KUUM_422</v>
      </c>
      <c r="AL738" s="439" t="str">
        <f>VLOOKUP(AM738,MiscData!$AB$4:$AE$115,4,FALSE)</f>
        <v>RLS</v>
      </c>
      <c r="AM738" s="34">
        <f>IF(AM737=MiscData!$AB$91,1,AM737+1)</f>
        <v>33</v>
      </c>
    </row>
    <row r="739" spans="1:39">
      <c r="A739" s="389">
        <f t="shared" si="286"/>
        <v>738</v>
      </c>
      <c r="B739" s="395" t="str">
        <f t="shared" si="267"/>
        <v>Sep 2014</v>
      </c>
      <c r="C739" s="396" t="str">
        <f t="shared" si="268"/>
        <v>RLS</v>
      </c>
      <c r="D739" s="396" t="str">
        <f t="shared" si="269"/>
        <v>KUUM_424</v>
      </c>
      <c r="E739" s="394">
        <f t="shared" si="270"/>
        <v>134</v>
      </c>
      <c r="F739" s="397">
        <v>0</v>
      </c>
      <c r="G739" s="394">
        <f t="shared" si="271"/>
        <v>0</v>
      </c>
      <c r="H739" s="394">
        <v>0</v>
      </c>
      <c r="I739" s="390">
        <f t="shared" si="272"/>
        <v>6.78</v>
      </c>
      <c r="J739" s="390">
        <f t="shared" si="273"/>
        <v>0.69999999999999929</v>
      </c>
      <c r="K739" s="391">
        <f t="shared" si="287"/>
        <v>908.52</v>
      </c>
      <c r="L739" s="398">
        <v>0</v>
      </c>
      <c r="M739" s="398">
        <v>0</v>
      </c>
      <c r="N739" s="164">
        <f t="shared" si="266"/>
        <v>908.52</v>
      </c>
      <c r="O739" s="399">
        <f t="shared" si="274"/>
        <v>0</v>
      </c>
      <c r="P739" s="392">
        <f t="shared" si="288"/>
        <v>0</v>
      </c>
      <c r="Q739" s="164">
        <f t="shared" si="275"/>
        <v>0</v>
      </c>
      <c r="R739" s="164">
        <f t="shared" si="276"/>
        <v>0</v>
      </c>
      <c r="S739" s="164">
        <f t="shared" si="277"/>
        <v>0</v>
      </c>
      <c r="T739" s="164">
        <f t="shared" si="278"/>
        <v>0</v>
      </c>
      <c r="U739" s="164">
        <f t="shared" si="279"/>
        <v>0</v>
      </c>
      <c r="V739" s="393">
        <f t="shared" si="280"/>
        <v>908.52</v>
      </c>
      <c r="W739" s="393">
        <f t="shared" si="281"/>
        <v>-908.52</v>
      </c>
      <c r="Y739" s="393">
        <f t="shared" si="284"/>
        <v>93.8</v>
      </c>
      <c r="Z739" s="393">
        <f t="shared" si="285"/>
        <v>-93.8</v>
      </c>
      <c r="AD739" s="395">
        <f>IF(AH739&gt;AH738,AD738,IF(AD738&lt;MiscData!$F$1,EOMONTH(AD738,1),EOMONTH(AD738,-11)))</f>
        <v>41912</v>
      </c>
      <c r="AE739" s="389" t="str">
        <f t="shared" si="282"/>
        <v>20140101KUUM_424</v>
      </c>
      <c r="AF739" s="437" t="str">
        <f t="shared" si="283"/>
        <v>20140101RLS</v>
      </c>
      <c r="AG739" s="438"/>
      <c r="AH739" s="34">
        <f>IF(AH738=MiscData!$AB$91,1,AH738+1)</f>
        <v>34</v>
      </c>
      <c r="AI739" s="34">
        <f>IF(AD739&lt;=MiscData!$B$23,MiscData!$C$23,IF(AD739&lt;=MiscData!$B$24,MiscData!$C$24,MiscData!$C$25))</f>
        <v>20140101</v>
      </c>
      <c r="AK739" s="439" t="str">
        <f>VLOOKUP(AM739,MiscData!$AB$4:$ACB$113,2,FALSE)</f>
        <v>KUUM_424</v>
      </c>
      <c r="AL739" s="439" t="str">
        <f>VLOOKUP(AM739,MiscData!$AB$4:$AE$115,4,FALSE)</f>
        <v>RLS</v>
      </c>
      <c r="AM739" s="34">
        <f>IF(AM738=MiscData!$AB$91,1,AM738+1)</f>
        <v>34</v>
      </c>
    </row>
    <row r="740" spans="1:39">
      <c r="A740" s="389">
        <f t="shared" si="286"/>
        <v>739</v>
      </c>
      <c r="B740" s="395" t="str">
        <f t="shared" si="267"/>
        <v>Sep 2014</v>
      </c>
      <c r="C740" s="396" t="str">
        <f t="shared" si="268"/>
        <v>RLS</v>
      </c>
      <c r="D740" s="396" t="str">
        <f t="shared" si="269"/>
        <v>KUUM_425</v>
      </c>
      <c r="E740" s="394">
        <f t="shared" si="270"/>
        <v>2</v>
      </c>
      <c r="F740" s="397">
        <v>0</v>
      </c>
      <c r="G740" s="394">
        <f t="shared" si="271"/>
        <v>0</v>
      </c>
      <c r="H740" s="394">
        <v>0</v>
      </c>
      <c r="I740" s="390">
        <f t="shared" si="272"/>
        <v>9.06</v>
      </c>
      <c r="J740" s="390">
        <f t="shared" si="273"/>
        <v>4.3000000000000007</v>
      </c>
      <c r="K740" s="391">
        <f t="shared" si="287"/>
        <v>18.12</v>
      </c>
      <c r="L740" s="398">
        <v>0</v>
      </c>
      <c r="M740" s="398">
        <v>0</v>
      </c>
      <c r="N740" s="164">
        <f t="shared" si="266"/>
        <v>18.12</v>
      </c>
      <c r="O740" s="399">
        <f t="shared" si="274"/>
        <v>0</v>
      </c>
      <c r="P740" s="392">
        <f t="shared" si="288"/>
        <v>0</v>
      </c>
      <c r="Q740" s="164">
        <f t="shared" si="275"/>
        <v>0</v>
      </c>
      <c r="R740" s="164">
        <f t="shared" si="276"/>
        <v>0</v>
      </c>
      <c r="S740" s="164">
        <f t="shared" si="277"/>
        <v>0</v>
      </c>
      <c r="T740" s="164">
        <f t="shared" si="278"/>
        <v>0</v>
      </c>
      <c r="U740" s="164">
        <f t="shared" si="279"/>
        <v>0</v>
      </c>
      <c r="V740" s="393">
        <f t="shared" si="280"/>
        <v>18.12</v>
      </c>
      <c r="W740" s="393">
        <f t="shared" si="281"/>
        <v>-18.12</v>
      </c>
      <c r="Y740" s="393">
        <f t="shared" si="284"/>
        <v>8.6</v>
      </c>
      <c r="Z740" s="393">
        <f t="shared" si="285"/>
        <v>-8.6</v>
      </c>
      <c r="AD740" s="395">
        <f>IF(AH740&gt;AH739,AD739,IF(AD739&lt;MiscData!$F$1,EOMONTH(AD739,1),EOMONTH(AD739,-11)))</f>
        <v>41912</v>
      </c>
      <c r="AE740" s="389" t="str">
        <f t="shared" si="282"/>
        <v>20140101KUUM_425</v>
      </c>
      <c r="AF740" s="437" t="str">
        <f t="shared" si="283"/>
        <v>20140101RLS</v>
      </c>
      <c r="AG740" s="438"/>
      <c r="AH740" s="34">
        <f>IF(AH739=MiscData!$AB$91,1,AH739+1)</f>
        <v>35</v>
      </c>
      <c r="AI740" s="34">
        <f>IF(AD740&lt;=MiscData!$B$23,MiscData!$C$23,IF(AD740&lt;=MiscData!$B$24,MiscData!$C$24,MiscData!$C$25))</f>
        <v>20140101</v>
      </c>
      <c r="AK740" s="439" t="str">
        <f>VLOOKUP(AM740,MiscData!$AB$4:$ACB$113,2,FALSE)</f>
        <v>KUUM_425</v>
      </c>
      <c r="AL740" s="439" t="str">
        <f>VLOOKUP(AM740,MiscData!$AB$4:$AE$115,4,FALSE)</f>
        <v>RLS</v>
      </c>
      <c r="AM740" s="34">
        <f>IF(AM739=MiscData!$AB$91,1,AM739+1)</f>
        <v>35</v>
      </c>
    </row>
    <row r="741" spans="1:39">
      <c r="A741" s="389">
        <f t="shared" si="286"/>
        <v>740</v>
      </c>
      <c r="B741" s="395" t="str">
        <f t="shared" si="267"/>
        <v>Sep 2014</v>
      </c>
      <c r="C741" s="396" t="str">
        <f t="shared" si="268"/>
        <v>RLS</v>
      </c>
      <c r="D741" s="396" t="str">
        <f t="shared" si="269"/>
        <v>KUUM_426</v>
      </c>
      <c r="E741" s="394">
        <f t="shared" si="270"/>
        <v>161</v>
      </c>
      <c r="F741" s="397">
        <v>0</v>
      </c>
      <c r="G741" s="394">
        <f t="shared" si="271"/>
        <v>0</v>
      </c>
      <c r="H741" s="394">
        <v>0</v>
      </c>
      <c r="I741" s="390">
        <f t="shared" si="272"/>
        <v>7.4399999999999995</v>
      </c>
      <c r="J741" s="390">
        <f t="shared" si="273"/>
        <v>0.79999999999999982</v>
      </c>
      <c r="K741" s="391">
        <f t="shared" si="287"/>
        <v>1197.8399999999999</v>
      </c>
      <c r="L741" s="398">
        <v>0</v>
      </c>
      <c r="M741" s="398">
        <v>0</v>
      </c>
      <c r="N741" s="164">
        <f t="shared" si="266"/>
        <v>1197.8399999999999</v>
      </c>
      <c r="O741" s="399">
        <f t="shared" si="274"/>
        <v>0</v>
      </c>
      <c r="P741" s="392">
        <f t="shared" si="288"/>
        <v>0</v>
      </c>
      <c r="Q741" s="164">
        <f t="shared" si="275"/>
        <v>0</v>
      </c>
      <c r="R741" s="164">
        <f t="shared" si="276"/>
        <v>0</v>
      </c>
      <c r="S741" s="164">
        <f t="shared" si="277"/>
        <v>0</v>
      </c>
      <c r="T741" s="164">
        <f t="shared" si="278"/>
        <v>0</v>
      </c>
      <c r="U741" s="164">
        <f t="shared" si="279"/>
        <v>0</v>
      </c>
      <c r="V741" s="393">
        <f t="shared" si="280"/>
        <v>1197.8399999999999</v>
      </c>
      <c r="W741" s="393">
        <f t="shared" si="281"/>
        <v>-1197.8399999999999</v>
      </c>
      <c r="Y741" s="393">
        <f t="shared" si="284"/>
        <v>128.80000000000001</v>
      </c>
      <c r="Z741" s="393">
        <f t="shared" si="285"/>
        <v>-128.80000000000001</v>
      </c>
      <c r="AD741" s="395">
        <f>IF(AH741&gt;AH740,AD740,IF(AD740&lt;MiscData!$F$1,EOMONTH(AD740,1),EOMONTH(AD740,-11)))</f>
        <v>41912</v>
      </c>
      <c r="AE741" s="389" t="str">
        <f t="shared" si="282"/>
        <v>20140101KUUM_426</v>
      </c>
      <c r="AF741" s="437" t="str">
        <f t="shared" si="283"/>
        <v>20140101RLS</v>
      </c>
      <c r="AG741" s="438"/>
      <c r="AH741" s="34">
        <f>IF(AH740=MiscData!$AB$91,1,AH740+1)</f>
        <v>36</v>
      </c>
      <c r="AI741" s="34">
        <f>IF(AD741&lt;=MiscData!$B$23,MiscData!$C$23,IF(AD741&lt;=MiscData!$B$24,MiscData!$C$24,MiscData!$C$25))</f>
        <v>20140101</v>
      </c>
      <c r="AK741" s="439" t="str">
        <f>VLOOKUP(AM741,MiscData!$AB$4:$ACB$113,2,FALSE)</f>
        <v>KUUM_426</v>
      </c>
      <c r="AL741" s="439" t="str">
        <f>VLOOKUP(AM741,MiscData!$AB$4:$AE$115,4,FALSE)</f>
        <v>RLS</v>
      </c>
      <c r="AM741" s="34">
        <f>IF(AM740=MiscData!$AB$91,1,AM740+1)</f>
        <v>36</v>
      </c>
    </row>
    <row r="742" spans="1:39">
      <c r="A742" s="389">
        <f t="shared" si="286"/>
        <v>741</v>
      </c>
      <c r="B742" s="395" t="str">
        <f t="shared" si="267"/>
        <v>Sep 2014</v>
      </c>
      <c r="C742" s="396" t="str">
        <f t="shared" si="268"/>
        <v>LS</v>
      </c>
      <c r="D742" s="396" t="str">
        <f t="shared" si="269"/>
        <v>KUUM_428</v>
      </c>
      <c r="E742" s="394">
        <f t="shared" si="270"/>
        <v>34809</v>
      </c>
      <c r="F742" s="397">
        <v>0</v>
      </c>
      <c r="G742" s="394">
        <f t="shared" si="271"/>
        <v>0</v>
      </c>
      <c r="H742" s="394">
        <v>0</v>
      </c>
      <c r="I742" s="390">
        <f t="shared" si="272"/>
        <v>7.84</v>
      </c>
      <c r="J742" s="390">
        <f t="shared" si="273"/>
        <v>1.1299999999999999</v>
      </c>
      <c r="K742" s="391">
        <f t="shared" si="287"/>
        <v>272902.56</v>
      </c>
      <c r="L742" s="398">
        <v>0</v>
      </c>
      <c r="M742" s="398">
        <v>0</v>
      </c>
      <c r="N742" s="164">
        <f t="shared" si="266"/>
        <v>272902.56</v>
      </c>
      <c r="O742" s="399">
        <f t="shared" si="274"/>
        <v>0</v>
      </c>
      <c r="P742" s="392">
        <f t="shared" si="288"/>
        <v>0</v>
      </c>
      <c r="Q742" s="164">
        <f t="shared" si="275"/>
        <v>0</v>
      </c>
      <c r="R742" s="164">
        <f t="shared" si="276"/>
        <v>0</v>
      </c>
      <c r="S742" s="164">
        <f t="shared" si="277"/>
        <v>0</v>
      </c>
      <c r="T742" s="164">
        <f t="shared" si="278"/>
        <v>0</v>
      </c>
      <c r="U742" s="164">
        <f t="shared" si="279"/>
        <v>0</v>
      </c>
      <c r="V742" s="393">
        <f t="shared" si="280"/>
        <v>272902.56</v>
      </c>
      <c r="W742" s="393">
        <f t="shared" si="281"/>
        <v>-272902.56</v>
      </c>
      <c r="Y742" s="393">
        <f t="shared" si="284"/>
        <v>39334.17</v>
      </c>
      <c r="Z742" s="393">
        <f t="shared" si="285"/>
        <v>-39334.17</v>
      </c>
      <c r="AD742" s="395">
        <f>IF(AH742&gt;AH741,AD741,IF(AD741&lt;MiscData!$F$1,EOMONTH(AD741,1),EOMONTH(AD741,-11)))</f>
        <v>41912</v>
      </c>
      <c r="AE742" s="389" t="str">
        <f t="shared" si="282"/>
        <v>20140101KUUM_428</v>
      </c>
      <c r="AF742" s="437" t="str">
        <f t="shared" si="283"/>
        <v>20140101LS</v>
      </c>
      <c r="AG742" s="438"/>
      <c r="AH742" s="34">
        <f>IF(AH741=MiscData!$AB$91,1,AH741+1)</f>
        <v>37</v>
      </c>
      <c r="AI742" s="34">
        <f>IF(AD742&lt;=MiscData!$B$23,MiscData!$C$23,IF(AD742&lt;=MiscData!$B$24,MiscData!$C$24,MiscData!$C$25))</f>
        <v>20140101</v>
      </c>
      <c r="AK742" s="439" t="str">
        <f>VLOOKUP(AM742,MiscData!$AB$4:$ACB$113,2,FALSE)</f>
        <v>KUUM_428</v>
      </c>
      <c r="AL742" s="439" t="str">
        <f>VLOOKUP(AM742,MiscData!$AB$4:$AE$115,4,FALSE)</f>
        <v>LS</v>
      </c>
      <c r="AM742" s="34">
        <f>IF(AM741=MiscData!$AB$91,1,AM741+1)</f>
        <v>37</v>
      </c>
    </row>
    <row r="743" spans="1:39">
      <c r="A743" s="389">
        <f t="shared" si="286"/>
        <v>742</v>
      </c>
      <c r="B743" s="395" t="str">
        <f t="shared" si="267"/>
        <v>Sep 2014</v>
      </c>
      <c r="C743" s="396" t="str">
        <f t="shared" si="268"/>
        <v>LS</v>
      </c>
      <c r="D743" s="396" t="str">
        <f t="shared" si="269"/>
        <v>KUUM_429</v>
      </c>
      <c r="E743" s="394">
        <f t="shared" si="270"/>
        <v>0</v>
      </c>
      <c r="F743" s="397">
        <v>0</v>
      </c>
      <c r="G743" s="394">
        <f t="shared" si="271"/>
        <v>0</v>
      </c>
      <c r="H743" s="394">
        <v>0</v>
      </c>
      <c r="I743" s="390">
        <f t="shared" si="272"/>
        <v>0</v>
      </c>
      <c r="J743" s="390">
        <f t="shared" si="273"/>
        <v>0</v>
      </c>
      <c r="K743" s="391">
        <f t="shared" si="287"/>
        <v>0</v>
      </c>
      <c r="L743" s="398">
        <v>0</v>
      </c>
      <c r="M743" s="398">
        <v>0</v>
      </c>
      <c r="N743" s="164">
        <f t="shared" si="266"/>
        <v>0</v>
      </c>
      <c r="O743" s="399">
        <f t="shared" si="274"/>
        <v>0</v>
      </c>
      <c r="P743" s="392">
        <f t="shared" si="288"/>
        <v>1</v>
      </c>
      <c r="Q743" s="164">
        <f t="shared" si="275"/>
        <v>0</v>
      </c>
      <c r="R743" s="164">
        <f t="shared" si="276"/>
        <v>0</v>
      </c>
      <c r="S743" s="164">
        <f t="shared" si="277"/>
        <v>0</v>
      </c>
      <c r="T743" s="164">
        <f t="shared" si="278"/>
        <v>0</v>
      </c>
      <c r="U743" s="164">
        <f t="shared" si="279"/>
        <v>0</v>
      </c>
      <c r="V743" s="393">
        <f t="shared" si="280"/>
        <v>0</v>
      </c>
      <c r="W743" s="393">
        <f t="shared" si="281"/>
        <v>0</v>
      </c>
      <c r="Y743" s="393">
        <f t="shared" si="284"/>
        <v>0</v>
      </c>
      <c r="Z743" s="393">
        <f t="shared" si="285"/>
        <v>0</v>
      </c>
      <c r="AD743" s="395">
        <f>IF(AH743&gt;AH742,AD742,IF(AD742&lt;MiscData!$F$1,EOMONTH(AD742,1),EOMONTH(AD742,-11)))</f>
        <v>41912</v>
      </c>
      <c r="AE743" s="389" t="str">
        <f t="shared" si="282"/>
        <v>20140101KUUM_429</v>
      </c>
      <c r="AF743" s="437" t="str">
        <f t="shared" si="283"/>
        <v>20140101LS</v>
      </c>
      <c r="AG743" s="438"/>
      <c r="AH743" s="34">
        <f>IF(AH742=MiscData!$AB$91,1,AH742+1)</f>
        <v>38</v>
      </c>
      <c r="AI743" s="34">
        <f>IF(AD743&lt;=MiscData!$B$23,MiscData!$C$23,IF(AD743&lt;=MiscData!$B$24,MiscData!$C$24,MiscData!$C$25))</f>
        <v>20140101</v>
      </c>
      <c r="AK743" s="439" t="str">
        <f>VLOOKUP(AM743,MiscData!$AB$4:$ACB$113,2,FALSE)</f>
        <v>KUUM_429</v>
      </c>
      <c r="AL743" s="439" t="str">
        <f>VLOOKUP(AM743,MiscData!$AB$4:$AE$115,4,FALSE)</f>
        <v>LS</v>
      </c>
      <c r="AM743" s="34">
        <f>IF(AM742=MiscData!$AB$91,1,AM742+1)</f>
        <v>38</v>
      </c>
    </row>
    <row r="744" spans="1:39">
      <c r="A744" s="389">
        <f t="shared" si="286"/>
        <v>743</v>
      </c>
      <c r="B744" s="395" t="str">
        <f t="shared" si="267"/>
        <v>Sep 2014</v>
      </c>
      <c r="C744" s="396" t="str">
        <f t="shared" si="268"/>
        <v>LS</v>
      </c>
      <c r="D744" s="396" t="str">
        <f t="shared" si="269"/>
        <v>KUUM_430</v>
      </c>
      <c r="E744" s="394">
        <f t="shared" si="270"/>
        <v>1086</v>
      </c>
      <c r="F744" s="397">
        <v>0</v>
      </c>
      <c r="G744" s="394">
        <f t="shared" si="271"/>
        <v>0</v>
      </c>
      <c r="H744" s="394">
        <v>0</v>
      </c>
      <c r="I744" s="390">
        <f t="shared" si="272"/>
        <v>22</v>
      </c>
      <c r="J744" s="390">
        <f t="shared" si="273"/>
        <v>1.129999999999999</v>
      </c>
      <c r="K744" s="391">
        <f t="shared" si="287"/>
        <v>23892</v>
      </c>
      <c r="L744" s="398">
        <v>0</v>
      </c>
      <c r="M744" s="398">
        <v>0</v>
      </c>
      <c r="N744" s="164">
        <f t="shared" si="266"/>
        <v>23892</v>
      </c>
      <c r="O744" s="399">
        <f t="shared" si="274"/>
        <v>0</v>
      </c>
      <c r="P744" s="392">
        <f t="shared" si="288"/>
        <v>0</v>
      </c>
      <c r="Q744" s="164">
        <f t="shared" si="275"/>
        <v>0</v>
      </c>
      <c r="R744" s="164">
        <f t="shared" si="276"/>
        <v>0</v>
      </c>
      <c r="S744" s="164">
        <f t="shared" si="277"/>
        <v>0</v>
      </c>
      <c r="T744" s="164">
        <f t="shared" si="278"/>
        <v>0</v>
      </c>
      <c r="U744" s="164">
        <f t="shared" si="279"/>
        <v>0</v>
      </c>
      <c r="V744" s="393">
        <f t="shared" si="280"/>
        <v>23892</v>
      </c>
      <c r="W744" s="393">
        <f t="shared" si="281"/>
        <v>-23892</v>
      </c>
      <c r="Y744" s="393">
        <f t="shared" si="284"/>
        <v>1227.18</v>
      </c>
      <c r="Z744" s="393">
        <f t="shared" si="285"/>
        <v>-1227.18</v>
      </c>
      <c r="AD744" s="395">
        <f>IF(AH744&gt;AH743,AD743,IF(AD743&lt;MiscData!$F$1,EOMONTH(AD743,1),EOMONTH(AD743,-11)))</f>
        <v>41912</v>
      </c>
      <c r="AE744" s="389" t="str">
        <f t="shared" si="282"/>
        <v>20140101KUUM_430</v>
      </c>
      <c r="AF744" s="437" t="str">
        <f t="shared" si="283"/>
        <v>20140101LS</v>
      </c>
      <c r="AG744" s="438"/>
      <c r="AH744" s="34">
        <f>IF(AH743=MiscData!$AB$91,1,AH743+1)</f>
        <v>39</v>
      </c>
      <c r="AI744" s="34">
        <f>IF(AD744&lt;=MiscData!$B$23,MiscData!$C$23,IF(AD744&lt;=MiscData!$B$24,MiscData!$C$24,MiscData!$C$25))</f>
        <v>20140101</v>
      </c>
      <c r="AK744" s="439" t="str">
        <f>VLOOKUP(AM744,MiscData!$AB$4:$ACB$113,2,FALSE)</f>
        <v>KUUM_430</v>
      </c>
      <c r="AL744" s="439" t="str">
        <f>VLOOKUP(AM744,MiscData!$AB$4:$AE$115,4,FALSE)</f>
        <v>LS</v>
      </c>
      <c r="AM744" s="34">
        <f>IF(AM743=MiscData!$AB$91,1,AM743+1)</f>
        <v>39</v>
      </c>
    </row>
    <row r="745" spans="1:39">
      <c r="A745" s="389">
        <f t="shared" si="286"/>
        <v>744</v>
      </c>
      <c r="B745" s="395" t="str">
        <f t="shared" si="267"/>
        <v>Sep 2014</v>
      </c>
      <c r="C745" s="396" t="str">
        <f t="shared" si="268"/>
        <v>RLS</v>
      </c>
      <c r="D745" s="396" t="str">
        <f t="shared" si="269"/>
        <v>KUUM_434</v>
      </c>
      <c r="E745" s="394">
        <f t="shared" si="270"/>
        <v>8</v>
      </c>
      <c r="F745" s="397">
        <v>0</v>
      </c>
      <c r="G745" s="394">
        <f t="shared" si="271"/>
        <v>0</v>
      </c>
      <c r="H745" s="394">
        <v>0</v>
      </c>
      <c r="I745" s="390">
        <f t="shared" si="272"/>
        <v>7.74</v>
      </c>
      <c r="J745" s="390">
        <f t="shared" si="273"/>
        <v>0.69999999999999929</v>
      </c>
      <c r="K745" s="391">
        <f t="shared" si="287"/>
        <v>61.92</v>
      </c>
      <c r="L745" s="398">
        <v>0</v>
      </c>
      <c r="M745" s="398">
        <v>0</v>
      </c>
      <c r="N745" s="164">
        <f t="shared" si="266"/>
        <v>61.92</v>
      </c>
      <c r="O745" s="399">
        <f t="shared" si="274"/>
        <v>0</v>
      </c>
      <c r="P745" s="392">
        <f t="shared" si="288"/>
        <v>0</v>
      </c>
      <c r="Q745" s="164">
        <f t="shared" si="275"/>
        <v>0</v>
      </c>
      <c r="R745" s="164">
        <f t="shared" si="276"/>
        <v>0</v>
      </c>
      <c r="S745" s="164">
        <f t="shared" si="277"/>
        <v>0</v>
      </c>
      <c r="T745" s="164">
        <f t="shared" si="278"/>
        <v>0</v>
      </c>
      <c r="U745" s="164">
        <f t="shared" si="279"/>
        <v>0</v>
      </c>
      <c r="V745" s="393">
        <f t="shared" si="280"/>
        <v>61.92</v>
      </c>
      <c r="W745" s="393">
        <f t="shared" si="281"/>
        <v>-61.92</v>
      </c>
      <c r="Y745" s="393">
        <f t="shared" si="284"/>
        <v>5.6</v>
      </c>
      <c r="Z745" s="393">
        <f t="shared" si="285"/>
        <v>-5.6</v>
      </c>
      <c r="AD745" s="395">
        <f>IF(AH745&gt;AH744,AD744,IF(AD744&lt;MiscData!$F$1,EOMONTH(AD744,1),EOMONTH(AD744,-11)))</f>
        <v>41912</v>
      </c>
      <c r="AE745" s="389" t="str">
        <f t="shared" si="282"/>
        <v>20140101KUUM_434</v>
      </c>
      <c r="AF745" s="437" t="str">
        <f t="shared" si="283"/>
        <v>20140101RLS</v>
      </c>
      <c r="AG745" s="438"/>
      <c r="AH745" s="34">
        <f>IF(AH744=MiscData!$AB$91,1,AH744+1)</f>
        <v>40</v>
      </c>
      <c r="AI745" s="34">
        <f>IF(AD745&lt;=MiscData!$B$23,MiscData!$C$23,IF(AD745&lt;=MiscData!$B$24,MiscData!$C$24,MiscData!$C$25))</f>
        <v>20140101</v>
      </c>
      <c r="AK745" s="439" t="str">
        <f>VLOOKUP(AM745,MiscData!$AB$4:$ACB$113,2,FALSE)</f>
        <v>KUUM_434</v>
      </c>
      <c r="AL745" s="439" t="str">
        <f>VLOOKUP(AM745,MiscData!$AB$4:$AE$115,4,FALSE)</f>
        <v>RLS</v>
      </c>
      <c r="AM745" s="34">
        <f>IF(AM744=MiscData!$AB$91,1,AM744+1)</f>
        <v>40</v>
      </c>
    </row>
    <row r="746" spans="1:39">
      <c r="A746" s="389">
        <f t="shared" si="286"/>
        <v>745</v>
      </c>
      <c r="B746" s="395" t="str">
        <f t="shared" si="267"/>
        <v>Sep 2014</v>
      </c>
      <c r="C746" s="396" t="str">
        <f t="shared" si="268"/>
        <v>RLS</v>
      </c>
      <c r="D746" s="396" t="str">
        <f t="shared" si="269"/>
        <v>KUUM_440</v>
      </c>
      <c r="E746" s="394">
        <f t="shared" si="270"/>
        <v>2</v>
      </c>
      <c r="F746" s="397">
        <v>0</v>
      </c>
      <c r="G746" s="394">
        <f t="shared" si="271"/>
        <v>0</v>
      </c>
      <c r="H746" s="394">
        <v>0</v>
      </c>
      <c r="I746" s="390">
        <f t="shared" si="272"/>
        <v>13.610000000000001</v>
      </c>
      <c r="J746" s="390">
        <f t="shared" si="273"/>
        <v>0.57000000000000028</v>
      </c>
      <c r="K746" s="391">
        <f t="shared" si="287"/>
        <v>27.22</v>
      </c>
      <c r="L746" s="398">
        <v>0</v>
      </c>
      <c r="M746" s="398">
        <v>0</v>
      </c>
      <c r="N746" s="164">
        <f t="shared" si="266"/>
        <v>27.22</v>
      </c>
      <c r="O746" s="399">
        <f t="shared" si="274"/>
        <v>0</v>
      </c>
      <c r="P746" s="392">
        <f t="shared" si="288"/>
        <v>0</v>
      </c>
      <c r="Q746" s="164">
        <f t="shared" si="275"/>
        <v>0</v>
      </c>
      <c r="R746" s="164">
        <f t="shared" si="276"/>
        <v>0</v>
      </c>
      <c r="S746" s="164">
        <f t="shared" si="277"/>
        <v>0</v>
      </c>
      <c r="T746" s="164">
        <f t="shared" si="278"/>
        <v>0</v>
      </c>
      <c r="U746" s="164">
        <f t="shared" si="279"/>
        <v>0</v>
      </c>
      <c r="V746" s="393">
        <f t="shared" si="280"/>
        <v>27.22</v>
      </c>
      <c r="W746" s="393">
        <f t="shared" si="281"/>
        <v>-27.22</v>
      </c>
      <c r="Y746" s="393">
        <f t="shared" si="284"/>
        <v>1.1399999999999999</v>
      </c>
      <c r="Z746" s="393">
        <f t="shared" si="285"/>
        <v>-1.1399999999999999</v>
      </c>
      <c r="AD746" s="395">
        <f>IF(AH746&gt;AH745,AD745,IF(AD745&lt;MiscData!$F$1,EOMONTH(AD745,1),EOMONTH(AD745,-11)))</f>
        <v>41912</v>
      </c>
      <c r="AE746" s="389" t="str">
        <f t="shared" si="282"/>
        <v>20140101KUUM_440</v>
      </c>
      <c r="AF746" s="437" t="str">
        <f t="shared" si="283"/>
        <v>20140101RLS</v>
      </c>
      <c r="AG746" s="438"/>
      <c r="AH746" s="34">
        <f>IF(AH745=MiscData!$AB$91,1,AH745+1)</f>
        <v>41</v>
      </c>
      <c r="AI746" s="34">
        <f>IF(AD746&lt;=MiscData!$B$23,MiscData!$C$23,IF(AD746&lt;=MiscData!$B$24,MiscData!$C$24,MiscData!$C$25))</f>
        <v>20140101</v>
      </c>
      <c r="AK746" s="439" t="str">
        <f>VLOOKUP(AM746,MiscData!$AB$4:$ACB$113,2,FALSE)</f>
        <v>KUUM_440</v>
      </c>
      <c r="AL746" s="439" t="str">
        <f>VLOOKUP(AM746,MiscData!$AB$4:$AE$115,4,FALSE)</f>
        <v>RLS</v>
      </c>
      <c r="AM746" s="34">
        <f>IF(AM745=MiscData!$AB$91,1,AM745+1)</f>
        <v>41</v>
      </c>
    </row>
    <row r="747" spans="1:39">
      <c r="A747" s="389">
        <f t="shared" si="286"/>
        <v>746</v>
      </c>
      <c r="B747" s="395" t="str">
        <f t="shared" si="267"/>
        <v>Sep 2014</v>
      </c>
      <c r="C747" s="396" t="str">
        <f t="shared" si="268"/>
        <v>RLS</v>
      </c>
      <c r="D747" s="396" t="str">
        <f t="shared" si="269"/>
        <v>KUUM_446</v>
      </c>
      <c r="E747" s="394">
        <f t="shared" si="270"/>
        <v>1037</v>
      </c>
      <c r="F747" s="397">
        <v>0</v>
      </c>
      <c r="G747" s="394">
        <f t="shared" si="271"/>
        <v>0</v>
      </c>
      <c r="H747" s="394">
        <v>0</v>
      </c>
      <c r="I747" s="390">
        <f t="shared" si="272"/>
        <v>9.5600000000000023</v>
      </c>
      <c r="J747" s="390">
        <f t="shared" si="273"/>
        <v>1.9900000000000002</v>
      </c>
      <c r="K747" s="391">
        <f t="shared" si="287"/>
        <v>9913.7199999999993</v>
      </c>
      <c r="L747" s="398">
        <v>0</v>
      </c>
      <c r="M747" s="398">
        <v>0</v>
      </c>
      <c r="N747" s="164">
        <f t="shared" si="266"/>
        <v>9913.7199999999993</v>
      </c>
      <c r="O747" s="399">
        <f t="shared" si="274"/>
        <v>0</v>
      </c>
      <c r="P747" s="392">
        <f t="shared" si="288"/>
        <v>0</v>
      </c>
      <c r="Q747" s="164">
        <f t="shared" si="275"/>
        <v>0</v>
      </c>
      <c r="R747" s="164">
        <f t="shared" si="276"/>
        <v>0</v>
      </c>
      <c r="S747" s="164">
        <f t="shared" si="277"/>
        <v>0</v>
      </c>
      <c r="T747" s="164">
        <f t="shared" si="278"/>
        <v>0</v>
      </c>
      <c r="U747" s="164">
        <f t="shared" si="279"/>
        <v>0</v>
      </c>
      <c r="V747" s="393">
        <f t="shared" si="280"/>
        <v>9913.7199999999993</v>
      </c>
      <c r="W747" s="393">
        <f t="shared" si="281"/>
        <v>-9913.7199999999993</v>
      </c>
      <c r="Y747" s="393">
        <f t="shared" si="284"/>
        <v>2063.63</v>
      </c>
      <c r="Z747" s="393">
        <f t="shared" si="285"/>
        <v>-2063.63</v>
      </c>
      <c r="AD747" s="395">
        <f>IF(AH747&gt;AH746,AD746,IF(AD746&lt;MiscData!$F$1,EOMONTH(AD746,1),EOMONTH(AD746,-11)))</f>
        <v>41912</v>
      </c>
      <c r="AE747" s="389" t="str">
        <f t="shared" si="282"/>
        <v>20140101KUUM_446</v>
      </c>
      <c r="AF747" s="437" t="str">
        <f t="shared" si="283"/>
        <v>20140101RLS</v>
      </c>
      <c r="AG747" s="438"/>
      <c r="AH747" s="34">
        <f>IF(AH746=MiscData!$AB$91,1,AH746+1)</f>
        <v>42</v>
      </c>
      <c r="AI747" s="34">
        <f>IF(AD747&lt;=MiscData!$B$23,MiscData!$C$23,IF(AD747&lt;=MiscData!$B$24,MiscData!$C$24,MiscData!$C$25))</f>
        <v>20140101</v>
      </c>
      <c r="AK747" s="439" t="str">
        <f>VLOOKUP(AM747,MiscData!$AB$4:$ACB$113,2,FALSE)</f>
        <v>KUUM_446</v>
      </c>
      <c r="AL747" s="439" t="str">
        <f>VLOOKUP(AM747,MiscData!$AB$4:$AE$115,4,FALSE)</f>
        <v>RLS</v>
      </c>
      <c r="AM747" s="34">
        <f>IF(AM746=MiscData!$AB$91,1,AM746+1)</f>
        <v>42</v>
      </c>
    </row>
    <row r="748" spans="1:39">
      <c r="A748" s="389">
        <f t="shared" si="286"/>
        <v>747</v>
      </c>
      <c r="B748" s="395" t="str">
        <f t="shared" si="267"/>
        <v>Sep 2014</v>
      </c>
      <c r="C748" s="396" t="str">
        <f t="shared" si="268"/>
        <v>RLS</v>
      </c>
      <c r="D748" s="396" t="str">
        <f t="shared" si="269"/>
        <v>KUUM_447</v>
      </c>
      <c r="E748" s="394">
        <f t="shared" si="270"/>
        <v>728</v>
      </c>
      <c r="F748" s="397">
        <v>0</v>
      </c>
      <c r="G748" s="394">
        <f t="shared" si="271"/>
        <v>0</v>
      </c>
      <c r="H748" s="394">
        <v>0</v>
      </c>
      <c r="I748" s="390">
        <f t="shared" si="272"/>
        <v>11.32</v>
      </c>
      <c r="J748" s="390">
        <f t="shared" si="273"/>
        <v>2.8400000000000016</v>
      </c>
      <c r="K748" s="391">
        <f t="shared" si="287"/>
        <v>8240.9599999999991</v>
      </c>
      <c r="L748" s="398">
        <v>0</v>
      </c>
      <c r="M748" s="398">
        <v>0</v>
      </c>
      <c r="N748" s="164">
        <f t="shared" si="266"/>
        <v>8240.9599999999991</v>
      </c>
      <c r="O748" s="399">
        <f t="shared" si="274"/>
        <v>0</v>
      </c>
      <c r="P748" s="392">
        <f t="shared" si="288"/>
        <v>0</v>
      </c>
      <c r="Q748" s="164">
        <f t="shared" si="275"/>
        <v>0</v>
      </c>
      <c r="R748" s="164">
        <f t="shared" si="276"/>
        <v>0</v>
      </c>
      <c r="S748" s="164">
        <f t="shared" si="277"/>
        <v>0</v>
      </c>
      <c r="T748" s="164">
        <f t="shared" si="278"/>
        <v>0</v>
      </c>
      <c r="U748" s="164">
        <f t="shared" si="279"/>
        <v>0</v>
      </c>
      <c r="V748" s="393">
        <f t="shared" si="280"/>
        <v>8240.9599999999991</v>
      </c>
      <c r="W748" s="393">
        <f t="shared" si="281"/>
        <v>-8240.9599999999991</v>
      </c>
      <c r="Y748" s="393">
        <f t="shared" si="284"/>
        <v>2067.52</v>
      </c>
      <c r="Z748" s="393">
        <f t="shared" si="285"/>
        <v>-2067.52</v>
      </c>
      <c r="AD748" s="395">
        <f>IF(AH748&gt;AH747,AD747,IF(AD747&lt;MiscData!$F$1,EOMONTH(AD747,1),EOMONTH(AD747,-11)))</f>
        <v>41912</v>
      </c>
      <c r="AE748" s="389" t="str">
        <f t="shared" si="282"/>
        <v>20140101KUUM_447</v>
      </c>
      <c r="AF748" s="437" t="str">
        <f t="shared" si="283"/>
        <v>20140101RLS</v>
      </c>
      <c r="AG748" s="438"/>
      <c r="AH748" s="34">
        <f>IF(AH747=MiscData!$AB$91,1,AH747+1)</f>
        <v>43</v>
      </c>
      <c r="AI748" s="34">
        <f>IF(AD748&lt;=MiscData!$B$23,MiscData!$C$23,IF(AD748&lt;=MiscData!$B$24,MiscData!$C$24,MiscData!$C$25))</f>
        <v>20140101</v>
      </c>
      <c r="AK748" s="439" t="str">
        <f>VLOOKUP(AM748,MiscData!$AB$4:$ACB$113,2,FALSE)</f>
        <v>KUUM_447</v>
      </c>
      <c r="AL748" s="439" t="str">
        <f>VLOOKUP(AM748,MiscData!$AB$4:$AE$115,4,FALSE)</f>
        <v>RLS</v>
      </c>
      <c r="AM748" s="34">
        <f>IF(AM747=MiscData!$AB$91,1,AM747+1)</f>
        <v>43</v>
      </c>
    </row>
    <row r="749" spans="1:39">
      <c r="A749" s="389">
        <f t="shared" si="286"/>
        <v>748</v>
      </c>
      <c r="B749" s="395" t="str">
        <f t="shared" si="267"/>
        <v>Sep 2014</v>
      </c>
      <c r="C749" s="396" t="str">
        <f t="shared" si="268"/>
        <v>RLS</v>
      </c>
      <c r="D749" s="396" t="str">
        <f t="shared" si="269"/>
        <v>KUUM_448</v>
      </c>
      <c r="E749" s="394">
        <f t="shared" si="270"/>
        <v>1561</v>
      </c>
      <c r="F749" s="397">
        <v>0</v>
      </c>
      <c r="G749" s="394">
        <f t="shared" si="271"/>
        <v>0</v>
      </c>
      <c r="H749" s="394">
        <v>0</v>
      </c>
      <c r="I749" s="390">
        <f t="shared" si="272"/>
        <v>12.809999999999999</v>
      </c>
      <c r="J749" s="390">
        <f t="shared" si="273"/>
        <v>4.37</v>
      </c>
      <c r="K749" s="391">
        <f t="shared" si="287"/>
        <v>19996.41</v>
      </c>
      <c r="L749" s="398">
        <v>0</v>
      </c>
      <c r="M749" s="398">
        <v>0</v>
      </c>
      <c r="N749" s="164">
        <f t="shared" si="266"/>
        <v>19996.41</v>
      </c>
      <c r="O749" s="399">
        <f t="shared" si="274"/>
        <v>0</v>
      </c>
      <c r="P749" s="392">
        <f t="shared" si="288"/>
        <v>0</v>
      </c>
      <c r="Q749" s="164">
        <f t="shared" si="275"/>
        <v>0</v>
      </c>
      <c r="R749" s="164">
        <f t="shared" si="276"/>
        <v>0</v>
      </c>
      <c r="S749" s="164">
        <f t="shared" si="277"/>
        <v>0</v>
      </c>
      <c r="T749" s="164">
        <f t="shared" si="278"/>
        <v>0</v>
      </c>
      <c r="U749" s="164">
        <f t="shared" si="279"/>
        <v>0</v>
      </c>
      <c r="V749" s="393">
        <f t="shared" si="280"/>
        <v>19996.41</v>
      </c>
      <c r="W749" s="393">
        <f t="shared" si="281"/>
        <v>-19996.41</v>
      </c>
      <c r="Y749" s="393">
        <f t="shared" si="284"/>
        <v>6821.57</v>
      </c>
      <c r="Z749" s="393">
        <f t="shared" si="285"/>
        <v>-6821.57</v>
      </c>
      <c r="AD749" s="395">
        <f>IF(AH749&gt;AH748,AD748,IF(AD748&lt;MiscData!$F$1,EOMONTH(AD748,1),EOMONTH(AD748,-11)))</f>
        <v>41912</v>
      </c>
      <c r="AE749" s="389" t="str">
        <f t="shared" si="282"/>
        <v>20140101KUUM_448</v>
      </c>
      <c r="AF749" s="437" t="str">
        <f t="shared" si="283"/>
        <v>20140101RLS</v>
      </c>
      <c r="AG749" s="438"/>
      <c r="AH749" s="34">
        <f>IF(AH748=MiscData!$AB$91,1,AH748+1)</f>
        <v>44</v>
      </c>
      <c r="AI749" s="34">
        <f>IF(AD749&lt;=MiscData!$B$23,MiscData!$C$23,IF(AD749&lt;=MiscData!$B$24,MiscData!$C$24,MiscData!$C$25))</f>
        <v>20140101</v>
      </c>
      <c r="AK749" s="439" t="str">
        <f>VLOOKUP(AM749,MiscData!$AB$4:$ACB$113,2,FALSE)</f>
        <v>KUUM_448</v>
      </c>
      <c r="AL749" s="439" t="str">
        <f>VLOOKUP(AM749,MiscData!$AB$4:$AE$115,4,FALSE)</f>
        <v>RLS</v>
      </c>
      <c r="AM749" s="34">
        <f>IF(AM748=MiscData!$AB$91,1,AM748+1)</f>
        <v>44</v>
      </c>
    </row>
    <row r="750" spans="1:39">
      <c r="A750" s="389">
        <f t="shared" si="286"/>
        <v>749</v>
      </c>
      <c r="B750" s="395" t="str">
        <f t="shared" si="267"/>
        <v>Sep 2014</v>
      </c>
      <c r="C750" s="396" t="str">
        <f t="shared" si="268"/>
        <v>LS</v>
      </c>
      <c r="D750" s="396" t="str">
        <f t="shared" si="269"/>
        <v>KUUM_450</v>
      </c>
      <c r="E750" s="394">
        <f t="shared" si="270"/>
        <v>614</v>
      </c>
      <c r="F750" s="397">
        <v>0</v>
      </c>
      <c r="G750" s="394">
        <f t="shared" si="271"/>
        <v>0</v>
      </c>
      <c r="H750" s="394">
        <v>0</v>
      </c>
      <c r="I750" s="390">
        <f t="shared" si="272"/>
        <v>14.25</v>
      </c>
      <c r="J750" s="390">
        <f t="shared" si="273"/>
        <v>1.9699999999999989</v>
      </c>
      <c r="K750" s="391">
        <f t="shared" si="287"/>
        <v>8749.5</v>
      </c>
      <c r="L750" s="398">
        <v>0</v>
      </c>
      <c r="M750" s="398">
        <v>0</v>
      </c>
      <c r="N750" s="164">
        <f t="shared" si="266"/>
        <v>8749.5</v>
      </c>
      <c r="O750" s="399">
        <f t="shared" si="274"/>
        <v>0</v>
      </c>
      <c r="P750" s="392">
        <f t="shared" si="288"/>
        <v>0</v>
      </c>
      <c r="Q750" s="164">
        <f t="shared" si="275"/>
        <v>0</v>
      </c>
      <c r="R750" s="164">
        <f t="shared" si="276"/>
        <v>0</v>
      </c>
      <c r="S750" s="164">
        <f t="shared" si="277"/>
        <v>0</v>
      </c>
      <c r="T750" s="164">
        <f t="shared" si="278"/>
        <v>0</v>
      </c>
      <c r="U750" s="164">
        <f t="shared" si="279"/>
        <v>0</v>
      </c>
      <c r="V750" s="393">
        <f t="shared" si="280"/>
        <v>8749.5</v>
      </c>
      <c r="W750" s="393">
        <f t="shared" si="281"/>
        <v>-8749.5</v>
      </c>
      <c r="Y750" s="393">
        <f t="shared" si="284"/>
        <v>1209.58</v>
      </c>
      <c r="Z750" s="393">
        <f t="shared" si="285"/>
        <v>-1209.58</v>
      </c>
      <c r="AD750" s="395">
        <f>IF(AH750&gt;AH749,AD749,IF(AD749&lt;MiscData!$F$1,EOMONTH(AD749,1),EOMONTH(AD749,-11)))</f>
        <v>41912</v>
      </c>
      <c r="AE750" s="389" t="str">
        <f t="shared" si="282"/>
        <v>20140101KUUM_450</v>
      </c>
      <c r="AF750" s="437" t="str">
        <f t="shared" si="283"/>
        <v>20140101LS</v>
      </c>
      <c r="AG750" s="438"/>
      <c r="AH750" s="34">
        <f>IF(AH749=MiscData!$AB$91,1,AH749+1)</f>
        <v>45</v>
      </c>
      <c r="AI750" s="34">
        <f>IF(AD750&lt;=MiscData!$B$23,MiscData!$C$23,IF(AD750&lt;=MiscData!$B$24,MiscData!$C$24,MiscData!$C$25))</f>
        <v>20140101</v>
      </c>
      <c r="AK750" s="439" t="str">
        <f>VLOOKUP(AM750,MiscData!$AB$4:$ACB$113,2,FALSE)</f>
        <v>KUUM_450</v>
      </c>
      <c r="AL750" s="439" t="str">
        <f>VLOOKUP(AM750,MiscData!$AB$4:$AE$115,4,FALSE)</f>
        <v>LS</v>
      </c>
      <c r="AM750" s="34">
        <f>IF(AM749=MiscData!$AB$91,1,AM749+1)</f>
        <v>45</v>
      </c>
    </row>
    <row r="751" spans="1:39">
      <c r="A751" s="389">
        <f t="shared" si="286"/>
        <v>750</v>
      </c>
      <c r="B751" s="395" t="str">
        <f t="shared" si="267"/>
        <v>Sep 2014</v>
      </c>
      <c r="C751" s="396" t="str">
        <f t="shared" si="268"/>
        <v>LS</v>
      </c>
      <c r="D751" s="396" t="str">
        <f t="shared" si="269"/>
        <v>KUUM_451</v>
      </c>
      <c r="E751" s="394">
        <f t="shared" si="270"/>
        <v>4843</v>
      </c>
      <c r="F751" s="397">
        <v>0</v>
      </c>
      <c r="G751" s="394">
        <f t="shared" si="271"/>
        <v>0</v>
      </c>
      <c r="H751" s="394">
        <v>0</v>
      </c>
      <c r="I751" s="390">
        <f t="shared" si="272"/>
        <v>20.200000000000003</v>
      </c>
      <c r="J751" s="390">
        <f t="shared" si="273"/>
        <v>4.2900000000000027</v>
      </c>
      <c r="K751" s="391">
        <f t="shared" si="287"/>
        <v>97828.6</v>
      </c>
      <c r="L751" s="398">
        <v>0</v>
      </c>
      <c r="M751" s="398">
        <v>0</v>
      </c>
      <c r="N751" s="164">
        <f t="shared" si="266"/>
        <v>97828.6</v>
      </c>
      <c r="O751" s="399">
        <f t="shared" si="274"/>
        <v>0</v>
      </c>
      <c r="P751" s="392">
        <f t="shared" si="288"/>
        <v>0</v>
      </c>
      <c r="Q751" s="164">
        <f t="shared" si="275"/>
        <v>0</v>
      </c>
      <c r="R751" s="164">
        <f t="shared" si="276"/>
        <v>0</v>
      </c>
      <c r="S751" s="164">
        <f t="shared" si="277"/>
        <v>0</v>
      </c>
      <c r="T751" s="164">
        <f t="shared" si="278"/>
        <v>0</v>
      </c>
      <c r="U751" s="164">
        <f t="shared" si="279"/>
        <v>0</v>
      </c>
      <c r="V751" s="393">
        <f t="shared" si="280"/>
        <v>97828.6</v>
      </c>
      <c r="W751" s="393">
        <f t="shared" si="281"/>
        <v>-97828.6</v>
      </c>
      <c r="Y751" s="393">
        <f t="shared" si="284"/>
        <v>20776.47</v>
      </c>
      <c r="Z751" s="393">
        <f t="shared" si="285"/>
        <v>-20776.47</v>
      </c>
      <c r="AD751" s="395">
        <f>IF(AH751&gt;AH750,AD750,IF(AD750&lt;MiscData!$F$1,EOMONTH(AD750,1),EOMONTH(AD750,-11)))</f>
        <v>41912</v>
      </c>
      <c r="AE751" s="389" t="str">
        <f t="shared" si="282"/>
        <v>20140101KUUM_451</v>
      </c>
      <c r="AF751" s="437" t="str">
        <f t="shared" si="283"/>
        <v>20140101LS</v>
      </c>
      <c r="AG751" s="438"/>
      <c r="AH751" s="34">
        <f>IF(AH750=MiscData!$AB$91,1,AH750+1)</f>
        <v>46</v>
      </c>
      <c r="AI751" s="34">
        <f>IF(AD751&lt;=MiscData!$B$23,MiscData!$C$23,IF(AD751&lt;=MiscData!$B$24,MiscData!$C$24,MiscData!$C$25))</f>
        <v>20140101</v>
      </c>
      <c r="AK751" s="439" t="str">
        <f>VLOOKUP(AM751,MiscData!$AB$4:$ACB$113,2,FALSE)</f>
        <v>KUUM_451</v>
      </c>
      <c r="AL751" s="439" t="str">
        <f>VLOOKUP(AM751,MiscData!$AB$4:$AE$115,4,FALSE)</f>
        <v>LS</v>
      </c>
      <c r="AM751" s="34">
        <f>IF(AM750=MiscData!$AB$91,1,AM750+1)</f>
        <v>46</v>
      </c>
    </row>
    <row r="752" spans="1:39">
      <c r="A752" s="389">
        <f t="shared" si="286"/>
        <v>751</v>
      </c>
      <c r="B752" s="395" t="str">
        <f t="shared" si="267"/>
        <v>Sep 2014</v>
      </c>
      <c r="C752" s="396" t="str">
        <f t="shared" si="268"/>
        <v>LS</v>
      </c>
      <c r="D752" s="396" t="str">
        <f t="shared" si="269"/>
        <v>KUUM_452</v>
      </c>
      <c r="E752" s="394">
        <f t="shared" si="270"/>
        <v>993</v>
      </c>
      <c r="F752" s="397">
        <v>0</v>
      </c>
      <c r="G752" s="394">
        <f t="shared" si="271"/>
        <v>0</v>
      </c>
      <c r="H752" s="394">
        <v>0</v>
      </c>
      <c r="I752" s="390">
        <f t="shared" si="272"/>
        <v>42.350000000000009</v>
      </c>
      <c r="J752" s="390">
        <f t="shared" si="273"/>
        <v>10.410000000000004</v>
      </c>
      <c r="K752" s="391">
        <f t="shared" si="287"/>
        <v>42053.55</v>
      </c>
      <c r="L752" s="398">
        <v>0</v>
      </c>
      <c r="M752" s="398">
        <v>0</v>
      </c>
      <c r="N752" s="164">
        <f t="shared" si="266"/>
        <v>42053.55</v>
      </c>
      <c r="O752" s="399">
        <f t="shared" si="274"/>
        <v>0</v>
      </c>
      <c r="P752" s="392">
        <f t="shared" si="288"/>
        <v>0</v>
      </c>
      <c r="Q752" s="164">
        <f t="shared" si="275"/>
        <v>0</v>
      </c>
      <c r="R752" s="164">
        <f t="shared" si="276"/>
        <v>0</v>
      </c>
      <c r="S752" s="164">
        <f t="shared" si="277"/>
        <v>0</v>
      </c>
      <c r="T752" s="164">
        <f t="shared" si="278"/>
        <v>0</v>
      </c>
      <c r="U752" s="164">
        <f t="shared" si="279"/>
        <v>0</v>
      </c>
      <c r="V752" s="393">
        <f t="shared" si="280"/>
        <v>42053.55</v>
      </c>
      <c r="W752" s="393">
        <f t="shared" si="281"/>
        <v>-42053.55</v>
      </c>
      <c r="Y752" s="393">
        <f t="shared" si="284"/>
        <v>10337.129999999999</v>
      </c>
      <c r="Z752" s="393">
        <f t="shared" si="285"/>
        <v>-10337.129999999999</v>
      </c>
      <c r="AD752" s="395">
        <f>IF(AH752&gt;AH751,AD751,IF(AD751&lt;MiscData!$F$1,EOMONTH(AD751,1),EOMONTH(AD751,-11)))</f>
        <v>41912</v>
      </c>
      <c r="AE752" s="389" t="str">
        <f t="shared" si="282"/>
        <v>20140101KUUM_452</v>
      </c>
      <c r="AF752" s="437" t="str">
        <f t="shared" si="283"/>
        <v>20140101LS</v>
      </c>
      <c r="AG752" s="438"/>
      <c r="AH752" s="34">
        <f>IF(AH751=MiscData!$AB$91,1,AH751+1)</f>
        <v>47</v>
      </c>
      <c r="AI752" s="34">
        <f>IF(AD752&lt;=MiscData!$B$23,MiscData!$C$23,IF(AD752&lt;=MiscData!$B$24,MiscData!$C$24,MiscData!$C$25))</f>
        <v>20140101</v>
      </c>
      <c r="AK752" s="439" t="str">
        <f>VLOOKUP(AM752,MiscData!$AB$4:$ACB$113,2,FALSE)</f>
        <v>KUUM_452</v>
      </c>
      <c r="AL752" s="439" t="str">
        <f>VLOOKUP(AM752,MiscData!$AB$4:$AE$115,4,FALSE)</f>
        <v>LS</v>
      </c>
      <c r="AM752" s="34">
        <f>IF(AM751=MiscData!$AB$91,1,AM751+1)</f>
        <v>47</v>
      </c>
    </row>
    <row r="753" spans="1:39">
      <c r="A753" s="389">
        <f t="shared" si="286"/>
        <v>752</v>
      </c>
      <c r="B753" s="395" t="str">
        <f t="shared" si="267"/>
        <v>Sep 2014</v>
      </c>
      <c r="C753" s="396" t="str">
        <f t="shared" si="268"/>
        <v>RLS</v>
      </c>
      <c r="D753" s="396" t="str">
        <f t="shared" si="269"/>
        <v>KUUM_454</v>
      </c>
      <c r="E753" s="394">
        <f t="shared" si="270"/>
        <v>142</v>
      </c>
      <c r="F753" s="397">
        <v>0</v>
      </c>
      <c r="G753" s="394">
        <f t="shared" si="271"/>
        <v>0</v>
      </c>
      <c r="H753" s="394">
        <v>0</v>
      </c>
      <c r="I753" s="390">
        <f t="shared" si="272"/>
        <v>18.649999999999999</v>
      </c>
      <c r="J753" s="390">
        <f t="shared" si="273"/>
        <v>1.9699999999999989</v>
      </c>
      <c r="K753" s="391">
        <f t="shared" si="287"/>
        <v>2648.3</v>
      </c>
      <c r="L753" s="398">
        <v>0</v>
      </c>
      <c r="M753" s="398">
        <v>0</v>
      </c>
      <c r="N753" s="164">
        <f t="shared" si="266"/>
        <v>2648.3</v>
      </c>
      <c r="O753" s="399">
        <f t="shared" si="274"/>
        <v>0</v>
      </c>
      <c r="P753" s="392">
        <f t="shared" si="288"/>
        <v>0</v>
      </c>
      <c r="Q753" s="164">
        <f t="shared" si="275"/>
        <v>0</v>
      </c>
      <c r="R753" s="164">
        <f t="shared" si="276"/>
        <v>0</v>
      </c>
      <c r="S753" s="164">
        <f t="shared" si="277"/>
        <v>0</v>
      </c>
      <c r="T753" s="164">
        <f t="shared" si="278"/>
        <v>0</v>
      </c>
      <c r="U753" s="164">
        <f t="shared" si="279"/>
        <v>0</v>
      </c>
      <c r="V753" s="393">
        <f t="shared" si="280"/>
        <v>2648.3</v>
      </c>
      <c r="W753" s="393">
        <f t="shared" si="281"/>
        <v>-2648.3</v>
      </c>
      <c r="Y753" s="393">
        <f t="shared" si="284"/>
        <v>279.74</v>
      </c>
      <c r="Z753" s="393">
        <f t="shared" si="285"/>
        <v>-279.74</v>
      </c>
      <c r="AD753" s="395">
        <f>IF(AH753&gt;AH752,AD752,IF(AD752&lt;MiscData!$F$1,EOMONTH(AD752,1),EOMONTH(AD752,-11)))</f>
        <v>41912</v>
      </c>
      <c r="AE753" s="389" t="str">
        <f t="shared" si="282"/>
        <v>20140101KUUM_454</v>
      </c>
      <c r="AF753" s="437" t="str">
        <f t="shared" si="283"/>
        <v>20140101RLS</v>
      </c>
      <c r="AG753" s="438"/>
      <c r="AH753" s="34">
        <f>IF(AH752=MiscData!$AB$91,1,AH752+1)</f>
        <v>48</v>
      </c>
      <c r="AI753" s="34">
        <f>IF(AD753&lt;=MiscData!$B$23,MiscData!$C$23,IF(AD753&lt;=MiscData!$B$24,MiscData!$C$24,MiscData!$C$25))</f>
        <v>20140101</v>
      </c>
      <c r="AK753" s="439" t="str">
        <f>VLOOKUP(AM753,MiscData!$AB$4:$ACB$113,2,FALSE)</f>
        <v>KUUM_454</v>
      </c>
      <c r="AL753" s="439" t="str">
        <f>VLOOKUP(AM753,MiscData!$AB$4:$AE$115,4,FALSE)</f>
        <v>RLS</v>
      </c>
      <c r="AM753" s="34">
        <f>IF(AM752=MiscData!$AB$91,1,AM752+1)</f>
        <v>48</v>
      </c>
    </row>
    <row r="754" spans="1:39">
      <c r="A754" s="389">
        <f t="shared" si="286"/>
        <v>753</v>
      </c>
      <c r="B754" s="395" t="str">
        <f t="shared" si="267"/>
        <v>Sep 2014</v>
      </c>
      <c r="C754" s="396" t="str">
        <f t="shared" si="268"/>
        <v>RLS</v>
      </c>
      <c r="D754" s="396" t="str">
        <f t="shared" si="269"/>
        <v>KUUM_455</v>
      </c>
      <c r="E754" s="394">
        <f t="shared" si="270"/>
        <v>991</v>
      </c>
      <c r="F754" s="397">
        <v>0</v>
      </c>
      <c r="G754" s="394">
        <f t="shared" si="271"/>
        <v>0</v>
      </c>
      <c r="H754" s="394">
        <v>0</v>
      </c>
      <c r="I754" s="390">
        <f t="shared" si="272"/>
        <v>24.59</v>
      </c>
      <c r="J754" s="390">
        <f t="shared" si="273"/>
        <v>4.2899999999999991</v>
      </c>
      <c r="K754" s="391">
        <f t="shared" si="287"/>
        <v>24368.69</v>
      </c>
      <c r="L754" s="398">
        <v>0</v>
      </c>
      <c r="M754" s="398">
        <v>0</v>
      </c>
      <c r="N754" s="164">
        <f t="shared" si="266"/>
        <v>24368.69</v>
      </c>
      <c r="O754" s="399">
        <f t="shared" si="274"/>
        <v>0</v>
      </c>
      <c r="P754" s="392">
        <f t="shared" si="288"/>
        <v>0</v>
      </c>
      <c r="Q754" s="164">
        <f t="shared" si="275"/>
        <v>0</v>
      </c>
      <c r="R754" s="164">
        <f t="shared" si="276"/>
        <v>0</v>
      </c>
      <c r="S754" s="164">
        <f t="shared" si="277"/>
        <v>0</v>
      </c>
      <c r="T754" s="164">
        <f t="shared" si="278"/>
        <v>0</v>
      </c>
      <c r="U754" s="164">
        <f t="shared" si="279"/>
        <v>0</v>
      </c>
      <c r="V754" s="393">
        <f t="shared" si="280"/>
        <v>24368.69</v>
      </c>
      <c r="W754" s="393">
        <f t="shared" si="281"/>
        <v>-24368.69</v>
      </c>
      <c r="Y754" s="393">
        <f t="shared" si="284"/>
        <v>4251.3900000000003</v>
      </c>
      <c r="Z754" s="393">
        <f t="shared" si="285"/>
        <v>-4251.3900000000003</v>
      </c>
      <c r="AD754" s="395">
        <f>IF(AH754&gt;AH753,AD753,IF(AD753&lt;MiscData!$F$1,EOMONTH(AD753,1),EOMONTH(AD753,-11)))</f>
        <v>41912</v>
      </c>
      <c r="AE754" s="389" t="str">
        <f t="shared" si="282"/>
        <v>20140101KUUM_455</v>
      </c>
      <c r="AF754" s="437" t="str">
        <f t="shared" si="283"/>
        <v>20140101RLS</v>
      </c>
      <c r="AG754" s="438"/>
      <c r="AH754" s="34">
        <f>IF(AH753=MiscData!$AB$91,1,AH753+1)</f>
        <v>49</v>
      </c>
      <c r="AI754" s="34">
        <f>IF(AD754&lt;=MiscData!$B$23,MiscData!$C$23,IF(AD754&lt;=MiscData!$B$24,MiscData!$C$24,MiscData!$C$25))</f>
        <v>20140101</v>
      </c>
      <c r="AK754" s="439" t="str">
        <f>VLOOKUP(AM754,MiscData!$AB$4:$ACB$113,2,FALSE)</f>
        <v>KUUM_455</v>
      </c>
      <c r="AL754" s="439" t="str">
        <f>VLOOKUP(AM754,MiscData!$AB$4:$AE$115,4,FALSE)</f>
        <v>RLS</v>
      </c>
      <c r="AM754" s="34">
        <f>IF(AM753=MiscData!$AB$91,1,AM753+1)</f>
        <v>49</v>
      </c>
    </row>
    <row r="755" spans="1:39">
      <c r="A755" s="389">
        <f t="shared" si="286"/>
        <v>754</v>
      </c>
      <c r="B755" s="395" t="str">
        <f t="shared" si="267"/>
        <v>Sep 2014</v>
      </c>
      <c r="C755" s="396" t="str">
        <f t="shared" si="268"/>
        <v>RLS</v>
      </c>
      <c r="D755" s="396" t="str">
        <f t="shared" si="269"/>
        <v>KUUM_456</v>
      </c>
      <c r="E755" s="394">
        <f t="shared" si="270"/>
        <v>135</v>
      </c>
      <c r="F755" s="397">
        <v>0</v>
      </c>
      <c r="G755" s="394">
        <f t="shared" si="271"/>
        <v>0</v>
      </c>
      <c r="H755" s="394">
        <v>0</v>
      </c>
      <c r="I755" s="390">
        <f t="shared" si="272"/>
        <v>11.870000000000001</v>
      </c>
      <c r="J755" s="390">
        <f t="shared" si="273"/>
        <v>1.9900000000000002</v>
      </c>
      <c r="K755" s="391">
        <f t="shared" si="287"/>
        <v>1602.45</v>
      </c>
      <c r="L755" s="398">
        <v>0</v>
      </c>
      <c r="M755" s="398">
        <v>0</v>
      </c>
      <c r="N755" s="164">
        <f t="shared" si="266"/>
        <v>1602.45</v>
      </c>
      <c r="O755" s="399">
        <f t="shared" si="274"/>
        <v>0</v>
      </c>
      <c r="P755" s="392">
        <f t="shared" si="288"/>
        <v>0</v>
      </c>
      <c r="Q755" s="164">
        <f t="shared" si="275"/>
        <v>0</v>
      </c>
      <c r="R755" s="164">
        <f t="shared" si="276"/>
        <v>0</v>
      </c>
      <c r="S755" s="164">
        <f t="shared" si="277"/>
        <v>0</v>
      </c>
      <c r="T755" s="164">
        <f t="shared" si="278"/>
        <v>0</v>
      </c>
      <c r="U755" s="164">
        <f t="shared" si="279"/>
        <v>0</v>
      </c>
      <c r="V755" s="393">
        <f t="shared" si="280"/>
        <v>1602.45</v>
      </c>
      <c r="W755" s="393">
        <f t="shared" si="281"/>
        <v>-1602.45</v>
      </c>
      <c r="Y755" s="393">
        <f t="shared" si="284"/>
        <v>268.64999999999998</v>
      </c>
      <c r="Z755" s="393">
        <f t="shared" si="285"/>
        <v>-268.64999999999998</v>
      </c>
      <c r="AD755" s="395">
        <f>IF(AH755&gt;AH754,AD754,IF(AD754&lt;MiscData!$F$1,EOMONTH(AD754,1),EOMONTH(AD754,-11)))</f>
        <v>41912</v>
      </c>
      <c r="AE755" s="389" t="str">
        <f t="shared" si="282"/>
        <v>20140101KUUM_456</v>
      </c>
      <c r="AF755" s="437" t="str">
        <f t="shared" si="283"/>
        <v>20140101RLS</v>
      </c>
      <c r="AG755" s="438"/>
      <c r="AH755" s="34">
        <f>IF(AH754=MiscData!$AB$91,1,AH754+1)</f>
        <v>50</v>
      </c>
      <c r="AI755" s="34">
        <f>IF(AD755&lt;=MiscData!$B$23,MiscData!$C$23,IF(AD755&lt;=MiscData!$B$24,MiscData!$C$24,MiscData!$C$25))</f>
        <v>20140101</v>
      </c>
      <c r="AK755" s="439" t="str">
        <f>VLOOKUP(AM755,MiscData!$AB$4:$ACB$113,2,FALSE)</f>
        <v>KUUM_456</v>
      </c>
      <c r="AL755" s="439" t="str">
        <f>VLOOKUP(AM755,MiscData!$AB$4:$AE$115,4,FALSE)</f>
        <v>RLS</v>
      </c>
      <c r="AM755" s="34">
        <f>IF(AM754=MiscData!$AB$91,1,AM754+1)</f>
        <v>50</v>
      </c>
    </row>
    <row r="756" spans="1:39">
      <c r="A756" s="389">
        <f t="shared" si="286"/>
        <v>755</v>
      </c>
      <c r="B756" s="395" t="str">
        <f t="shared" si="267"/>
        <v>Sep 2014</v>
      </c>
      <c r="C756" s="396" t="str">
        <f t="shared" si="268"/>
        <v>RLS</v>
      </c>
      <c r="D756" s="396" t="str">
        <f t="shared" si="269"/>
        <v>KUUM_457</v>
      </c>
      <c r="E756" s="394">
        <f t="shared" si="270"/>
        <v>440</v>
      </c>
      <c r="F756" s="397">
        <v>0</v>
      </c>
      <c r="G756" s="394">
        <f t="shared" si="271"/>
        <v>0</v>
      </c>
      <c r="H756" s="394">
        <v>0</v>
      </c>
      <c r="I756" s="390">
        <f t="shared" si="272"/>
        <v>13.360000000000001</v>
      </c>
      <c r="J756" s="390">
        <f t="shared" si="273"/>
        <v>2.84</v>
      </c>
      <c r="K756" s="391">
        <f t="shared" si="287"/>
        <v>5878.4</v>
      </c>
      <c r="L756" s="398">
        <v>0</v>
      </c>
      <c r="M756" s="398">
        <v>0</v>
      </c>
      <c r="N756" s="164">
        <f t="shared" si="266"/>
        <v>5878.4</v>
      </c>
      <c r="O756" s="399">
        <f t="shared" si="274"/>
        <v>0</v>
      </c>
      <c r="P756" s="392">
        <f t="shared" si="288"/>
        <v>0</v>
      </c>
      <c r="Q756" s="164">
        <f t="shared" si="275"/>
        <v>0</v>
      </c>
      <c r="R756" s="164">
        <f t="shared" si="276"/>
        <v>0</v>
      </c>
      <c r="S756" s="164">
        <f t="shared" si="277"/>
        <v>0</v>
      </c>
      <c r="T756" s="164">
        <f t="shared" si="278"/>
        <v>0</v>
      </c>
      <c r="U756" s="164">
        <f t="shared" si="279"/>
        <v>0</v>
      </c>
      <c r="V756" s="393">
        <f t="shared" si="280"/>
        <v>5878.4</v>
      </c>
      <c r="W756" s="393">
        <f t="shared" si="281"/>
        <v>-5878.4</v>
      </c>
      <c r="Y756" s="393">
        <f t="shared" si="284"/>
        <v>1249.5999999999999</v>
      </c>
      <c r="Z756" s="393">
        <f t="shared" si="285"/>
        <v>-1249.5999999999999</v>
      </c>
      <c r="AD756" s="395">
        <f>IF(AH756&gt;AH755,AD755,IF(AD755&lt;MiscData!$F$1,EOMONTH(AD755,1),EOMONTH(AD755,-11)))</f>
        <v>41912</v>
      </c>
      <c r="AE756" s="389" t="str">
        <f t="shared" si="282"/>
        <v>20140101KUUM_457</v>
      </c>
      <c r="AF756" s="437" t="str">
        <f t="shared" si="283"/>
        <v>20140101RLS</v>
      </c>
      <c r="AG756" s="438"/>
      <c r="AH756" s="34">
        <f>IF(AH755=MiscData!$AB$91,1,AH755+1)</f>
        <v>51</v>
      </c>
      <c r="AI756" s="34">
        <f>IF(AD756&lt;=MiscData!$B$23,MiscData!$C$23,IF(AD756&lt;=MiscData!$B$24,MiscData!$C$24,MiscData!$C$25))</f>
        <v>20140101</v>
      </c>
      <c r="AK756" s="439" t="str">
        <f>VLOOKUP(AM756,MiscData!$AB$4:$ACB$113,2,FALSE)</f>
        <v>KUUM_457</v>
      </c>
      <c r="AL756" s="439" t="str">
        <f>VLOOKUP(AM756,MiscData!$AB$4:$AE$115,4,FALSE)</f>
        <v>RLS</v>
      </c>
      <c r="AM756" s="34">
        <f>IF(AM755=MiscData!$AB$91,1,AM755+1)</f>
        <v>51</v>
      </c>
    </row>
    <row r="757" spans="1:39">
      <c r="A757" s="389">
        <f t="shared" si="286"/>
        <v>756</v>
      </c>
      <c r="B757" s="395" t="str">
        <f t="shared" si="267"/>
        <v>Sep 2014</v>
      </c>
      <c r="C757" s="396" t="str">
        <f t="shared" si="268"/>
        <v>RLS</v>
      </c>
      <c r="D757" s="396" t="str">
        <f t="shared" si="269"/>
        <v>KUUM_458</v>
      </c>
      <c r="E757" s="394">
        <f t="shared" si="270"/>
        <v>1450</v>
      </c>
      <c r="F757" s="397">
        <v>0</v>
      </c>
      <c r="G757" s="394">
        <f t="shared" si="271"/>
        <v>0</v>
      </c>
      <c r="H757" s="394">
        <v>0</v>
      </c>
      <c r="I757" s="390">
        <f t="shared" si="272"/>
        <v>15.079999999999998</v>
      </c>
      <c r="J757" s="390">
        <f t="shared" si="273"/>
        <v>4.3699999999999992</v>
      </c>
      <c r="K757" s="391">
        <f t="shared" si="287"/>
        <v>21866</v>
      </c>
      <c r="L757" s="398">
        <v>0</v>
      </c>
      <c r="M757" s="398">
        <v>0</v>
      </c>
      <c r="N757" s="164">
        <f t="shared" si="266"/>
        <v>21866</v>
      </c>
      <c r="O757" s="399">
        <f t="shared" si="274"/>
        <v>0</v>
      </c>
      <c r="P757" s="392">
        <f t="shared" si="288"/>
        <v>0</v>
      </c>
      <c r="Q757" s="164">
        <f t="shared" si="275"/>
        <v>0</v>
      </c>
      <c r="R757" s="164">
        <f t="shared" si="276"/>
        <v>0</v>
      </c>
      <c r="S757" s="164">
        <f t="shared" si="277"/>
        <v>0</v>
      </c>
      <c r="T757" s="164">
        <f t="shared" si="278"/>
        <v>0</v>
      </c>
      <c r="U757" s="164">
        <f t="shared" si="279"/>
        <v>0</v>
      </c>
      <c r="V757" s="393">
        <f t="shared" si="280"/>
        <v>21866</v>
      </c>
      <c r="W757" s="393">
        <f t="shared" si="281"/>
        <v>-21866</v>
      </c>
      <c r="Y757" s="393">
        <f t="shared" si="284"/>
        <v>6336.5</v>
      </c>
      <c r="Z757" s="393">
        <f t="shared" si="285"/>
        <v>-6336.5</v>
      </c>
      <c r="AD757" s="395">
        <f>IF(AH757&gt;AH756,AD756,IF(AD756&lt;MiscData!$F$1,EOMONTH(AD756,1),EOMONTH(AD756,-11)))</f>
        <v>41912</v>
      </c>
      <c r="AE757" s="389" t="str">
        <f t="shared" si="282"/>
        <v>20140101KUUM_458</v>
      </c>
      <c r="AF757" s="437" t="str">
        <f t="shared" si="283"/>
        <v>20140101RLS</v>
      </c>
      <c r="AG757" s="438"/>
      <c r="AH757" s="34">
        <f>IF(AH756=MiscData!$AB$91,1,AH756+1)</f>
        <v>52</v>
      </c>
      <c r="AI757" s="34">
        <f>IF(AD757&lt;=MiscData!$B$23,MiscData!$C$23,IF(AD757&lt;=MiscData!$B$24,MiscData!$C$24,MiscData!$C$25))</f>
        <v>20140101</v>
      </c>
      <c r="AK757" s="439" t="str">
        <f>VLOOKUP(AM757,MiscData!$AB$4:$ACB$113,2,FALSE)</f>
        <v>KUUM_458</v>
      </c>
      <c r="AL757" s="439" t="str">
        <f>VLOOKUP(AM757,MiscData!$AB$4:$AE$115,4,FALSE)</f>
        <v>RLS</v>
      </c>
      <c r="AM757" s="34">
        <f>IF(AM756=MiscData!$AB$91,1,AM756+1)</f>
        <v>52</v>
      </c>
    </row>
    <row r="758" spans="1:39">
      <c r="A758" s="389">
        <f t="shared" si="286"/>
        <v>757</v>
      </c>
      <c r="B758" s="395" t="str">
        <f t="shared" si="267"/>
        <v>Sep 2014</v>
      </c>
      <c r="C758" s="396" t="str">
        <f t="shared" si="268"/>
        <v>RLS</v>
      </c>
      <c r="D758" s="396" t="str">
        <f t="shared" si="269"/>
        <v>KUUM_459</v>
      </c>
      <c r="E758" s="394">
        <f t="shared" si="270"/>
        <v>216</v>
      </c>
      <c r="F758" s="397">
        <v>0</v>
      </c>
      <c r="G758" s="394">
        <f t="shared" si="271"/>
        <v>0</v>
      </c>
      <c r="H758" s="394">
        <v>0</v>
      </c>
      <c r="I758" s="390">
        <f t="shared" si="272"/>
        <v>46.740000000000009</v>
      </c>
      <c r="J758" s="390">
        <f t="shared" si="273"/>
        <v>10.410000000000004</v>
      </c>
      <c r="K758" s="391">
        <f t="shared" si="287"/>
        <v>10095.84</v>
      </c>
      <c r="L758" s="398">
        <v>0</v>
      </c>
      <c r="M758" s="398">
        <v>0</v>
      </c>
      <c r="N758" s="164">
        <f t="shared" si="266"/>
        <v>10095.84</v>
      </c>
      <c r="O758" s="399">
        <f t="shared" si="274"/>
        <v>0</v>
      </c>
      <c r="P758" s="392">
        <f t="shared" si="288"/>
        <v>0</v>
      </c>
      <c r="Q758" s="164">
        <f t="shared" si="275"/>
        <v>0</v>
      </c>
      <c r="R758" s="164">
        <f t="shared" si="276"/>
        <v>0</v>
      </c>
      <c r="S758" s="164">
        <f t="shared" si="277"/>
        <v>0</v>
      </c>
      <c r="T758" s="164">
        <f t="shared" si="278"/>
        <v>0</v>
      </c>
      <c r="U758" s="164">
        <f t="shared" si="279"/>
        <v>0</v>
      </c>
      <c r="V758" s="393">
        <f t="shared" si="280"/>
        <v>10095.84</v>
      </c>
      <c r="W758" s="393">
        <f t="shared" si="281"/>
        <v>-10095.84</v>
      </c>
      <c r="Y758" s="393">
        <f t="shared" si="284"/>
        <v>2248.56</v>
      </c>
      <c r="Z758" s="393">
        <f t="shared" si="285"/>
        <v>-2248.56</v>
      </c>
      <c r="AD758" s="395">
        <f>IF(AH758&gt;AH757,AD757,IF(AD757&lt;MiscData!$F$1,EOMONTH(AD757,1),EOMONTH(AD757,-11)))</f>
        <v>41912</v>
      </c>
      <c r="AE758" s="389" t="str">
        <f t="shared" si="282"/>
        <v>20140101KUUM_459</v>
      </c>
      <c r="AF758" s="437" t="str">
        <f t="shared" si="283"/>
        <v>20140101RLS</v>
      </c>
      <c r="AG758" s="438"/>
      <c r="AH758" s="34">
        <f>IF(AH757=MiscData!$AB$91,1,AH757+1)</f>
        <v>53</v>
      </c>
      <c r="AI758" s="34">
        <f>IF(AD758&lt;=MiscData!$B$23,MiscData!$C$23,IF(AD758&lt;=MiscData!$B$24,MiscData!$C$24,MiscData!$C$25))</f>
        <v>20140101</v>
      </c>
      <c r="AK758" s="439" t="str">
        <f>VLOOKUP(AM758,MiscData!$AB$4:$ACB$113,2,FALSE)</f>
        <v>KUUM_459</v>
      </c>
      <c r="AL758" s="439" t="str">
        <f>VLOOKUP(AM758,MiscData!$AB$4:$AE$115,4,FALSE)</f>
        <v>RLS</v>
      </c>
      <c r="AM758" s="34">
        <f>IF(AM757=MiscData!$AB$91,1,AM757+1)</f>
        <v>53</v>
      </c>
    </row>
    <row r="759" spans="1:39">
      <c r="A759" s="389">
        <f t="shared" si="286"/>
        <v>758</v>
      </c>
      <c r="B759" s="395" t="str">
        <f t="shared" si="267"/>
        <v>Sep 2014</v>
      </c>
      <c r="C759" s="396" t="str">
        <f t="shared" si="268"/>
        <v>RLS</v>
      </c>
      <c r="D759" s="396" t="str">
        <f t="shared" si="269"/>
        <v>KUUM_460</v>
      </c>
      <c r="E759" s="394">
        <f t="shared" si="270"/>
        <v>26</v>
      </c>
      <c r="F759" s="397">
        <v>0</v>
      </c>
      <c r="G759" s="394">
        <f t="shared" si="271"/>
        <v>0</v>
      </c>
      <c r="H759" s="394">
        <v>0</v>
      </c>
      <c r="I759" s="390">
        <f t="shared" si="272"/>
        <v>27.15</v>
      </c>
      <c r="J759" s="390">
        <f t="shared" si="273"/>
        <v>1.9699999999999989</v>
      </c>
      <c r="K759" s="391">
        <f t="shared" si="287"/>
        <v>705.9</v>
      </c>
      <c r="L759" s="398">
        <v>0</v>
      </c>
      <c r="M759" s="398">
        <v>0</v>
      </c>
      <c r="N759" s="164">
        <f t="shared" si="266"/>
        <v>705.9</v>
      </c>
      <c r="O759" s="399">
        <f t="shared" si="274"/>
        <v>0</v>
      </c>
      <c r="P759" s="392">
        <f t="shared" si="288"/>
        <v>0</v>
      </c>
      <c r="Q759" s="164">
        <f t="shared" si="275"/>
        <v>0</v>
      </c>
      <c r="R759" s="164">
        <f t="shared" si="276"/>
        <v>0</v>
      </c>
      <c r="S759" s="164">
        <f t="shared" si="277"/>
        <v>0</v>
      </c>
      <c r="T759" s="164">
        <f t="shared" si="278"/>
        <v>0</v>
      </c>
      <c r="U759" s="164">
        <f t="shared" si="279"/>
        <v>0</v>
      </c>
      <c r="V759" s="393">
        <f t="shared" si="280"/>
        <v>705.9</v>
      </c>
      <c r="W759" s="393">
        <f t="shared" si="281"/>
        <v>-705.9</v>
      </c>
      <c r="Y759" s="393">
        <f t="shared" si="284"/>
        <v>51.22</v>
      </c>
      <c r="Z759" s="393">
        <f t="shared" si="285"/>
        <v>-51.22</v>
      </c>
      <c r="AD759" s="395">
        <f>IF(AH759&gt;AH758,AD758,IF(AD758&lt;MiscData!$F$1,EOMONTH(AD758,1),EOMONTH(AD758,-11)))</f>
        <v>41912</v>
      </c>
      <c r="AE759" s="389" t="str">
        <f t="shared" si="282"/>
        <v>20140101KUUM_460</v>
      </c>
      <c r="AF759" s="437" t="str">
        <f t="shared" si="283"/>
        <v>20140101RLS</v>
      </c>
      <c r="AG759" s="438"/>
      <c r="AH759" s="34">
        <f>IF(AH758=MiscData!$AB$91,1,AH758+1)</f>
        <v>54</v>
      </c>
      <c r="AI759" s="34">
        <f>IF(AD759&lt;=MiscData!$B$23,MiscData!$C$23,IF(AD759&lt;=MiscData!$B$24,MiscData!$C$24,MiscData!$C$25))</f>
        <v>20140101</v>
      </c>
      <c r="AK759" s="439" t="str">
        <f>VLOOKUP(AM759,MiscData!$AB$4:$ACB$113,2,FALSE)</f>
        <v>KUUM_460</v>
      </c>
      <c r="AL759" s="439" t="str">
        <f>VLOOKUP(AM759,MiscData!$AB$4:$AE$115,4,FALSE)</f>
        <v>RLS</v>
      </c>
      <c r="AM759" s="34">
        <f>IF(AM758=MiscData!$AB$91,1,AM758+1)</f>
        <v>54</v>
      </c>
    </row>
    <row r="760" spans="1:39">
      <c r="A760" s="389">
        <f t="shared" si="286"/>
        <v>759</v>
      </c>
      <c r="B760" s="395" t="str">
        <f t="shared" si="267"/>
        <v>Sep 2014</v>
      </c>
      <c r="C760" s="396" t="str">
        <f t="shared" si="268"/>
        <v>RLS</v>
      </c>
      <c r="D760" s="396" t="str">
        <f t="shared" si="269"/>
        <v>KUUM_461</v>
      </c>
      <c r="E760" s="394">
        <f t="shared" si="270"/>
        <v>6648</v>
      </c>
      <c r="F760" s="397">
        <v>0</v>
      </c>
      <c r="G760" s="394">
        <f t="shared" si="271"/>
        <v>0</v>
      </c>
      <c r="H760" s="394">
        <v>0</v>
      </c>
      <c r="I760" s="390">
        <f t="shared" si="272"/>
        <v>7.54</v>
      </c>
      <c r="J760" s="390">
        <f t="shared" si="273"/>
        <v>0.57000000000000028</v>
      </c>
      <c r="K760" s="391">
        <f t="shared" si="287"/>
        <v>50125.919999999998</v>
      </c>
      <c r="L760" s="398">
        <v>0</v>
      </c>
      <c r="M760" s="398">
        <v>0</v>
      </c>
      <c r="N760" s="164">
        <f t="shared" ref="N760:N823" si="289">SUM(K760:M760)</f>
        <v>50125.919999999998</v>
      </c>
      <c r="O760" s="399">
        <f t="shared" si="274"/>
        <v>0</v>
      </c>
      <c r="P760" s="392">
        <f t="shared" si="288"/>
        <v>0</v>
      </c>
      <c r="Q760" s="164">
        <f t="shared" si="275"/>
        <v>0</v>
      </c>
      <c r="R760" s="164">
        <f t="shared" si="276"/>
        <v>0</v>
      </c>
      <c r="S760" s="164">
        <f t="shared" si="277"/>
        <v>0</v>
      </c>
      <c r="T760" s="164">
        <f t="shared" si="278"/>
        <v>0</v>
      </c>
      <c r="U760" s="164">
        <f t="shared" si="279"/>
        <v>0</v>
      </c>
      <c r="V760" s="393">
        <f t="shared" si="280"/>
        <v>50125.919999999998</v>
      </c>
      <c r="W760" s="393">
        <f t="shared" si="281"/>
        <v>-50125.919999999998</v>
      </c>
      <c r="Y760" s="393">
        <f t="shared" si="284"/>
        <v>3789.36</v>
      </c>
      <c r="Z760" s="393">
        <f t="shared" si="285"/>
        <v>-3789.36</v>
      </c>
      <c r="AD760" s="395">
        <f>IF(AH760&gt;AH759,AD759,IF(AD759&lt;MiscData!$F$1,EOMONTH(AD759,1),EOMONTH(AD759,-11)))</f>
        <v>41912</v>
      </c>
      <c r="AE760" s="389" t="str">
        <f t="shared" si="282"/>
        <v>20140101KUUM_461</v>
      </c>
      <c r="AF760" s="437" t="str">
        <f t="shared" si="283"/>
        <v>20140101RLS</v>
      </c>
      <c r="AG760" s="438"/>
      <c r="AH760" s="34">
        <f>IF(AH759=MiscData!$AB$91,1,AH759+1)</f>
        <v>55</v>
      </c>
      <c r="AI760" s="34">
        <f>IF(AD760&lt;=MiscData!$B$23,MiscData!$C$23,IF(AD760&lt;=MiscData!$B$24,MiscData!$C$24,MiscData!$C$25))</f>
        <v>20140101</v>
      </c>
      <c r="AK760" s="439" t="str">
        <f>VLOOKUP(AM760,MiscData!$AB$4:$ACB$113,2,FALSE)</f>
        <v>KUUM_461</v>
      </c>
      <c r="AL760" s="439" t="str">
        <f>VLOOKUP(AM760,MiscData!$AB$4:$AE$115,4,FALSE)</f>
        <v>RLS</v>
      </c>
      <c r="AM760" s="34">
        <f>IF(AM759=MiscData!$AB$91,1,AM759+1)</f>
        <v>55</v>
      </c>
    </row>
    <row r="761" spans="1:39">
      <c r="A761" s="389">
        <f t="shared" si="286"/>
        <v>760</v>
      </c>
      <c r="B761" s="395" t="str">
        <f t="shared" si="267"/>
        <v>Sep 2014</v>
      </c>
      <c r="C761" s="396" t="str">
        <f t="shared" si="268"/>
        <v>LS</v>
      </c>
      <c r="D761" s="396" t="str">
        <f t="shared" si="269"/>
        <v>KUUM_462</v>
      </c>
      <c r="E761" s="394">
        <f t="shared" si="270"/>
        <v>7031</v>
      </c>
      <c r="F761" s="397">
        <v>0</v>
      </c>
      <c r="G761" s="394">
        <f t="shared" si="271"/>
        <v>0</v>
      </c>
      <c r="H761" s="394">
        <v>0</v>
      </c>
      <c r="I761" s="390">
        <f t="shared" si="272"/>
        <v>8.66</v>
      </c>
      <c r="J761" s="390">
        <f t="shared" si="273"/>
        <v>0.79999999999999893</v>
      </c>
      <c r="K761" s="391">
        <f t="shared" si="287"/>
        <v>60888.46</v>
      </c>
      <c r="L761" s="398">
        <v>0</v>
      </c>
      <c r="M761" s="398">
        <v>0</v>
      </c>
      <c r="N761" s="164">
        <f t="shared" si="289"/>
        <v>60888.46</v>
      </c>
      <c r="O761" s="399">
        <f t="shared" si="274"/>
        <v>0</v>
      </c>
      <c r="P761" s="392">
        <f t="shared" si="288"/>
        <v>0</v>
      </c>
      <c r="Q761" s="164">
        <f t="shared" si="275"/>
        <v>0</v>
      </c>
      <c r="R761" s="164">
        <f t="shared" si="276"/>
        <v>0</v>
      </c>
      <c r="S761" s="164">
        <f t="shared" si="277"/>
        <v>0</v>
      </c>
      <c r="T761" s="164">
        <f t="shared" si="278"/>
        <v>0</v>
      </c>
      <c r="U761" s="164">
        <f t="shared" si="279"/>
        <v>0</v>
      </c>
      <c r="V761" s="393">
        <f t="shared" si="280"/>
        <v>60888.46</v>
      </c>
      <c r="W761" s="393">
        <f t="shared" si="281"/>
        <v>-60888.46</v>
      </c>
      <c r="Y761" s="393">
        <f t="shared" si="284"/>
        <v>5624.8</v>
      </c>
      <c r="Z761" s="393">
        <f t="shared" si="285"/>
        <v>-5624.8</v>
      </c>
      <c r="AD761" s="395">
        <f>IF(AH761&gt;AH760,AD760,IF(AD760&lt;MiscData!$F$1,EOMONTH(AD760,1),EOMONTH(AD760,-11)))</f>
        <v>41912</v>
      </c>
      <c r="AE761" s="389" t="str">
        <f t="shared" si="282"/>
        <v>20140101KUUM_462</v>
      </c>
      <c r="AF761" s="437" t="str">
        <f t="shared" si="283"/>
        <v>20140101LS</v>
      </c>
      <c r="AG761" s="438"/>
      <c r="AH761" s="34">
        <f>IF(AH760=MiscData!$AB$91,1,AH760+1)</f>
        <v>56</v>
      </c>
      <c r="AI761" s="34">
        <f>IF(AD761&lt;=MiscData!$B$23,MiscData!$C$23,IF(AD761&lt;=MiscData!$B$24,MiscData!$C$24,MiscData!$C$25))</f>
        <v>20140101</v>
      </c>
      <c r="AK761" s="439" t="str">
        <f>VLOOKUP(AM761,MiscData!$AB$4:$ACB$113,2,FALSE)</f>
        <v>KUUM_462</v>
      </c>
      <c r="AL761" s="439" t="str">
        <f>VLOOKUP(AM761,MiscData!$AB$4:$AE$115,4,FALSE)</f>
        <v>LS</v>
      </c>
      <c r="AM761" s="34">
        <f>IF(AM760=MiscData!$AB$91,1,AM760+1)</f>
        <v>56</v>
      </c>
    </row>
    <row r="762" spans="1:39">
      <c r="A762" s="389">
        <f t="shared" si="286"/>
        <v>761</v>
      </c>
      <c r="B762" s="395" t="str">
        <f t="shared" ref="B762:B825" si="290">TEXT(AD762,"mmm yyyy")</f>
        <v>Sep 2014</v>
      </c>
      <c r="C762" s="396" t="str">
        <f t="shared" ref="C762:C825" si="291">AL762</f>
        <v>LS</v>
      </c>
      <c r="D762" s="396" t="str">
        <f t="shared" ref="D762:D825" si="292">AK762</f>
        <v>KUUM_463</v>
      </c>
      <c r="E762" s="394">
        <f t="shared" ref="E762:E825" si="293">SUMIFS(_1055_Light_Count,_1055_RevMonth,$B762,_1055_RateCategory,$D762)</f>
        <v>19635</v>
      </c>
      <c r="F762" s="397">
        <v>0</v>
      </c>
      <c r="G762" s="394">
        <f t="shared" ref="G762:G825" si="294">SUMIFS(_SBR_KWH,_SBR_Revenue_Month,$B762,_SBR_Rate_Category,$D762)</f>
        <v>0</v>
      </c>
      <c r="H762" s="394">
        <v>0</v>
      </c>
      <c r="I762" s="390">
        <f t="shared" ref="I762:I825" si="295">SUMIF(_Lights_Tariff_Category,$AE762,_Lights_Rates)</f>
        <v>9.14</v>
      </c>
      <c r="J762" s="390">
        <f t="shared" ref="J762:J825" si="296">SUMIF(_Lights_Tariff_Category,$AE762,_Rates_Lights_BaseFAC)</f>
        <v>1.1299999999999999</v>
      </c>
      <c r="K762" s="391">
        <f t="shared" si="287"/>
        <v>179463.9</v>
      </c>
      <c r="L762" s="398">
        <v>0</v>
      </c>
      <c r="M762" s="398">
        <v>0</v>
      </c>
      <c r="N762" s="164">
        <f t="shared" si="289"/>
        <v>179463.9</v>
      </c>
      <c r="O762" s="399">
        <f t="shared" ref="O762:O825" si="297">U762-SUM(Q762:T762)</f>
        <v>0</v>
      </c>
      <c r="P762" s="392">
        <f t="shared" si="288"/>
        <v>0</v>
      </c>
      <c r="Q762" s="164">
        <f t="shared" ref="Q762:Q825" si="298">SUMIFS(_SBR_FAC,_SBR_Revenue_Month,$B762,_SBR_Rate_Category,$D762)</f>
        <v>0</v>
      </c>
      <c r="R762" s="164">
        <f t="shared" ref="R762:R825" si="299">SUMIFS(_SBR_DSM,_SBR_Revenue_Month,$B762,_SBR_Rate_Category,$D762)</f>
        <v>0</v>
      </c>
      <c r="S762" s="164">
        <f t="shared" ref="S762:S825" si="300">SUMIFS(_SBR_ECR,_SBR_Revenue_Month,$B762,_SBR_Rate_Category,$D762)</f>
        <v>0</v>
      </c>
      <c r="T762" s="164">
        <f t="shared" ref="T762:T825" si="301">SUMIFS(_SBR_MSR,_SBR_Revenue_Month,$B762,_SBR_Rate_Category,$D762)</f>
        <v>0</v>
      </c>
      <c r="U762" s="164">
        <f t="shared" ref="U762:U825" si="302">SUMIFS(_SBR_Revenue_Actual,_SBR_Revenue_Month,$B762,_SBR_Rate_Category,$D762)</f>
        <v>0</v>
      </c>
      <c r="V762" s="393">
        <f t="shared" ref="V762:V825" si="303">SUM(N762,Q762:T762)</f>
        <v>179463.9</v>
      </c>
      <c r="W762" s="393">
        <f t="shared" ref="W762:W825" si="304">U762-V762</f>
        <v>-179463.9</v>
      </c>
      <c r="Y762" s="393">
        <f t="shared" si="284"/>
        <v>22187.55</v>
      </c>
      <c r="Z762" s="393">
        <f t="shared" si="285"/>
        <v>-22187.55</v>
      </c>
      <c r="AD762" s="395">
        <f>IF(AH762&gt;AH761,AD761,IF(AD761&lt;MiscData!$F$1,EOMONTH(AD761,1),EOMONTH(AD761,-11)))</f>
        <v>41912</v>
      </c>
      <c r="AE762" s="389" t="str">
        <f t="shared" ref="AE762:AE825" si="305">CONCATENATE(AI762&amp;AK762)</f>
        <v>20140101KUUM_463</v>
      </c>
      <c r="AF762" s="437" t="str">
        <f t="shared" ref="AF762:AF825" si="306">CONCATENATE(AI762&amp;AL762)</f>
        <v>20140101LS</v>
      </c>
      <c r="AG762" s="438"/>
      <c r="AH762" s="34">
        <f>IF(AH761=MiscData!$AB$91,1,AH761+1)</f>
        <v>57</v>
      </c>
      <c r="AI762" s="34">
        <f>IF(AD762&lt;=MiscData!$B$23,MiscData!$C$23,IF(AD762&lt;=MiscData!$B$24,MiscData!$C$24,MiscData!$C$25))</f>
        <v>20140101</v>
      </c>
      <c r="AK762" s="439" t="str">
        <f>VLOOKUP(AM762,MiscData!$AB$4:$ACB$113,2,FALSE)</f>
        <v>KUUM_463</v>
      </c>
      <c r="AL762" s="439" t="str">
        <f>VLOOKUP(AM762,MiscData!$AB$4:$AE$115,4,FALSE)</f>
        <v>LS</v>
      </c>
      <c r="AM762" s="34">
        <f>IF(AM761=MiscData!$AB$91,1,AM761+1)</f>
        <v>57</v>
      </c>
    </row>
    <row r="763" spans="1:39">
      <c r="A763" s="389">
        <f t="shared" si="286"/>
        <v>762</v>
      </c>
      <c r="B763" s="395" t="str">
        <f t="shared" si="290"/>
        <v>Sep 2014</v>
      </c>
      <c r="C763" s="396" t="str">
        <f t="shared" si="291"/>
        <v>LS</v>
      </c>
      <c r="D763" s="396" t="str">
        <f t="shared" si="292"/>
        <v>KUUM_464</v>
      </c>
      <c r="E763" s="394">
        <f t="shared" si="293"/>
        <v>7192</v>
      </c>
      <c r="F763" s="397">
        <v>0</v>
      </c>
      <c r="G763" s="394">
        <f t="shared" si="294"/>
        <v>0</v>
      </c>
      <c r="H763" s="394">
        <v>0</v>
      </c>
      <c r="I763" s="390">
        <f t="shared" si="295"/>
        <v>14.25</v>
      </c>
      <c r="J763" s="390">
        <f t="shared" si="296"/>
        <v>2.33</v>
      </c>
      <c r="K763" s="391">
        <f t="shared" si="287"/>
        <v>102486</v>
      </c>
      <c r="L763" s="398">
        <v>0</v>
      </c>
      <c r="M763" s="398">
        <v>0</v>
      </c>
      <c r="N763" s="164">
        <f t="shared" si="289"/>
        <v>102486</v>
      </c>
      <c r="O763" s="399">
        <f t="shared" si="297"/>
        <v>0</v>
      </c>
      <c r="P763" s="392">
        <f t="shared" si="288"/>
        <v>0</v>
      </c>
      <c r="Q763" s="164">
        <f t="shared" si="298"/>
        <v>0</v>
      </c>
      <c r="R763" s="164">
        <f t="shared" si="299"/>
        <v>0</v>
      </c>
      <c r="S763" s="164">
        <f t="shared" si="300"/>
        <v>0</v>
      </c>
      <c r="T763" s="164">
        <f t="shared" si="301"/>
        <v>0</v>
      </c>
      <c r="U763" s="164">
        <f t="shared" si="302"/>
        <v>0</v>
      </c>
      <c r="V763" s="393">
        <f t="shared" si="303"/>
        <v>102486</v>
      </c>
      <c r="W763" s="393">
        <f t="shared" si="304"/>
        <v>-102486</v>
      </c>
      <c r="Y763" s="393">
        <f t="shared" ref="Y763:Y826" si="307">ROUND(E763*J763,2)</f>
        <v>16757.36</v>
      </c>
      <c r="Z763" s="393">
        <f t="shared" ref="Z763:Z826" si="308">O763-Y763</f>
        <v>-16757.36</v>
      </c>
      <c r="AD763" s="395">
        <f>IF(AH763&gt;AH762,AD762,IF(AD762&lt;MiscData!$F$1,EOMONTH(AD762,1),EOMONTH(AD762,-11)))</f>
        <v>41912</v>
      </c>
      <c r="AE763" s="389" t="str">
        <f t="shared" si="305"/>
        <v>20140101KUUM_464</v>
      </c>
      <c r="AF763" s="437" t="str">
        <f t="shared" si="306"/>
        <v>20140101LS</v>
      </c>
      <c r="AG763" s="438"/>
      <c r="AH763" s="34">
        <f>IF(AH762=MiscData!$AB$91,1,AH762+1)</f>
        <v>58</v>
      </c>
      <c r="AI763" s="34">
        <f>IF(AD763&lt;=MiscData!$B$23,MiscData!$C$23,IF(AD763&lt;=MiscData!$B$24,MiscData!$C$24,MiscData!$C$25))</f>
        <v>20140101</v>
      </c>
      <c r="AK763" s="439" t="str">
        <f>VLOOKUP(AM763,MiscData!$AB$4:$ACB$113,2,FALSE)</f>
        <v>KUUM_464</v>
      </c>
      <c r="AL763" s="439" t="str">
        <f>VLOOKUP(AM763,MiscData!$AB$4:$AE$115,4,FALSE)</f>
        <v>LS</v>
      </c>
      <c r="AM763" s="34">
        <f>IF(AM762=MiscData!$AB$91,1,AM762+1)</f>
        <v>58</v>
      </c>
    </row>
    <row r="764" spans="1:39">
      <c r="A764" s="389">
        <f t="shared" ref="A764:A827" si="309">A763+1</f>
        <v>763</v>
      </c>
      <c r="B764" s="395" t="str">
        <f t="shared" si="290"/>
        <v>Sep 2014</v>
      </c>
      <c r="C764" s="396" t="str">
        <f t="shared" si="291"/>
        <v>LS</v>
      </c>
      <c r="D764" s="396" t="str">
        <f t="shared" si="292"/>
        <v>KUUM_465</v>
      </c>
      <c r="E764" s="394">
        <f t="shared" si="293"/>
        <v>2703</v>
      </c>
      <c r="F764" s="397">
        <v>0</v>
      </c>
      <c r="G764" s="394">
        <f t="shared" si="294"/>
        <v>0</v>
      </c>
      <c r="H764" s="394">
        <v>0</v>
      </c>
      <c r="I764" s="390">
        <f t="shared" si="295"/>
        <v>22.84</v>
      </c>
      <c r="J764" s="390">
        <f t="shared" si="296"/>
        <v>4.5299999999999976</v>
      </c>
      <c r="K764" s="391">
        <f t="shared" si="287"/>
        <v>61736.52</v>
      </c>
      <c r="L764" s="398">
        <v>0</v>
      </c>
      <c r="M764" s="398">
        <v>0</v>
      </c>
      <c r="N764" s="164">
        <f t="shared" si="289"/>
        <v>61736.52</v>
      </c>
      <c r="O764" s="399">
        <f t="shared" si="297"/>
        <v>0</v>
      </c>
      <c r="P764" s="392">
        <f t="shared" si="288"/>
        <v>0</v>
      </c>
      <c r="Q764" s="164">
        <f t="shared" si="298"/>
        <v>0</v>
      </c>
      <c r="R764" s="164">
        <f t="shared" si="299"/>
        <v>0</v>
      </c>
      <c r="S764" s="164">
        <f t="shared" si="300"/>
        <v>0</v>
      </c>
      <c r="T764" s="164">
        <f t="shared" si="301"/>
        <v>0</v>
      </c>
      <c r="U764" s="164">
        <f t="shared" si="302"/>
        <v>0</v>
      </c>
      <c r="V764" s="393">
        <f t="shared" si="303"/>
        <v>61736.52</v>
      </c>
      <c r="W764" s="393">
        <f t="shared" si="304"/>
        <v>-61736.52</v>
      </c>
      <c r="Y764" s="393">
        <f t="shared" si="307"/>
        <v>12244.59</v>
      </c>
      <c r="Z764" s="393">
        <f t="shared" si="308"/>
        <v>-12244.59</v>
      </c>
      <c r="AD764" s="395">
        <f>IF(AH764&gt;AH763,AD763,IF(AD763&lt;MiscData!$F$1,EOMONTH(AD763,1),EOMONTH(AD763,-11)))</f>
        <v>41912</v>
      </c>
      <c r="AE764" s="389" t="str">
        <f t="shared" si="305"/>
        <v>20140101KUUM_465</v>
      </c>
      <c r="AF764" s="437" t="str">
        <f t="shared" si="306"/>
        <v>20140101LS</v>
      </c>
      <c r="AG764" s="438"/>
      <c r="AH764" s="34">
        <f>IF(AH763=MiscData!$AB$91,1,AH763+1)</f>
        <v>59</v>
      </c>
      <c r="AI764" s="34">
        <f>IF(AD764&lt;=MiscData!$B$23,MiscData!$C$23,IF(AD764&lt;=MiscData!$B$24,MiscData!$C$24,MiscData!$C$25))</f>
        <v>20140101</v>
      </c>
      <c r="AK764" s="439" t="str">
        <f>VLOOKUP(AM764,MiscData!$AB$4:$ACB$113,2,FALSE)</f>
        <v>KUUM_465</v>
      </c>
      <c r="AL764" s="439" t="str">
        <f>VLOOKUP(AM764,MiscData!$AB$4:$AE$115,4,FALSE)</f>
        <v>LS</v>
      </c>
      <c r="AM764" s="34">
        <f>IF(AM763=MiscData!$AB$91,1,AM763+1)</f>
        <v>59</v>
      </c>
    </row>
    <row r="765" spans="1:39">
      <c r="A765" s="389">
        <f t="shared" si="309"/>
        <v>764</v>
      </c>
      <c r="B765" s="395" t="str">
        <f t="shared" si="290"/>
        <v>Sep 2014</v>
      </c>
      <c r="C765" s="396" t="str">
        <f t="shared" si="291"/>
        <v>RLS</v>
      </c>
      <c r="D765" s="396" t="str">
        <f t="shared" si="292"/>
        <v>KUUM_466</v>
      </c>
      <c r="E765" s="394">
        <f t="shared" si="293"/>
        <v>828</v>
      </c>
      <c r="F765" s="397">
        <v>0</v>
      </c>
      <c r="G765" s="394">
        <f t="shared" si="294"/>
        <v>0</v>
      </c>
      <c r="H765" s="394">
        <v>0</v>
      </c>
      <c r="I765" s="390">
        <f t="shared" si="295"/>
        <v>9.620000000000001</v>
      </c>
      <c r="J765" s="390">
        <f t="shared" si="296"/>
        <v>0.57000000000000028</v>
      </c>
      <c r="K765" s="391">
        <f t="shared" si="287"/>
        <v>7965.36</v>
      </c>
      <c r="L765" s="398">
        <v>0</v>
      </c>
      <c r="M765" s="398">
        <v>0</v>
      </c>
      <c r="N765" s="164">
        <f t="shared" si="289"/>
        <v>7965.36</v>
      </c>
      <c r="O765" s="399">
        <f t="shared" si="297"/>
        <v>0</v>
      </c>
      <c r="P765" s="392">
        <f t="shared" si="288"/>
        <v>0</v>
      </c>
      <c r="Q765" s="164">
        <f t="shared" si="298"/>
        <v>0</v>
      </c>
      <c r="R765" s="164">
        <f t="shared" si="299"/>
        <v>0</v>
      </c>
      <c r="S765" s="164">
        <f t="shared" si="300"/>
        <v>0</v>
      </c>
      <c r="T765" s="164">
        <f t="shared" si="301"/>
        <v>0</v>
      </c>
      <c r="U765" s="164">
        <f t="shared" si="302"/>
        <v>0</v>
      </c>
      <c r="V765" s="393">
        <f t="shared" si="303"/>
        <v>7965.36</v>
      </c>
      <c r="W765" s="393">
        <f t="shared" si="304"/>
        <v>-7965.36</v>
      </c>
      <c r="Y765" s="393">
        <f t="shared" si="307"/>
        <v>471.96</v>
      </c>
      <c r="Z765" s="393">
        <f t="shared" si="308"/>
        <v>-471.96</v>
      </c>
      <c r="AD765" s="395">
        <f>IF(AH765&gt;AH764,AD764,IF(AD764&lt;MiscData!$F$1,EOMONTH(AD764,1),EOMONTH(AD764,-11)))</f>
        <v>41912</v>
      </c>
      <c r="AE765" s="389" t="str">
        <f t="shared" si="305"/>
        <v>20140101KUUM_466</v>
      </c>
      <c r="AF765" s="437" t="str">
        <f t="shared" si="306"/>
        <v>20140101RLS</v>
      </c>
      <c r="AG765" s="438"/>
      <c r="AH765" s="34">
        <f>IF(AH764=MiscData!$AB$91,1,AH764+1)</f>
        <v>60</v>
      </c>
      <c r="AI765" s="34">
        <f>IF(AD765&lt;=MiscData!$B$23,MiscData!$C$23,IF(AD765&lt;=MiscData!$B$24,MiscData!$C$24,MiscData!$C$25))</f>
        <v>20140101</v>
      </c>
      <c r="AK765" s="439" t="str">
        <f>VLOOKUP(AM765,MiscData!$AB$4:$ACB$113,2,FALSE)</f>
        <v>KUUM_466</v>
      </c>
      <c r="AL765" s="439" t="str">
        <f>VLOOKUP(AM765,MiscData!$AB$4:$AE$115,4,FALSE)</f>
        <v>RLS</v>
      </c>
      <c r="AM765" s="34">
        <f>IF(AM764=MiscData!$AB$91,1,AM764+1)</f>
        <v>60</v>
      </c>
    </row>
    <row r="766" spans="1:39">
      <c r="A766" s="389">
        <f t="shared" si="309"/>
        <v>765</v>
      </c>
      <c r="B766" s="395" t="str">
        <f t="shared" si="290"/>
        <v>Sep 2014</v>
      </c>
      <c r="C766" s="396" t="str">
        <f t="shared" si="291"/>
        <v>LS</v>
      </c>
      <c r="D766" s="396" t="str">
        <f t="shared" si="292"/>
        <v>KUUM_467</v>
      </c>
      <c r="E766" s="394">
        <f t="shared" si="293"/>
        <v>1210</v>
      </c>
      <c r="F766" s="397">
        <v>0</v>
      </c>
      <c r="G766" s="394">
        <f t="shared" si="294"/>
        <v>0</v>
      </c>
      <c r="H766" s="394">
        <v>0</v>
      </c>
      <c r="I766" s="390">
        <f t="shared" si="295"/>
        <v>10.770000000000001</v>
      </c>
      <c r="J766" s="390">
        <f t="shared" si="296"/>
        <v>0.80000000000000071</v>
      </c>
      <c r="K766" s="391">
        <f t="shared" si="287"/>
        <v>13031.7</v>
      </c>
      <c r="L766" s="398">
        <v>0</v>
      </c>
      <c r="M766" s="398">
        <v>0</v>
      </c>
      <c r="N766" s="164">
        <f t="shared" si="289"/>
        <v>13031.7</v>
      </c>
      <c r="O766" s="399">
        <f t="shared" si="297"/>
        <v>0</v>
      </c>
      <c r="P766" s="392">
        <f t="shared" si="288"/>
        <v>0</v>
      </c>
      <c r="Q766" s="164">
        <f t="shared" si="298"/>
        <v>0</v>
      </c>
      <c r="R766" s="164">
        <f t="shared" si="299"/>
        <v>0</v>
      </c>
      <c r="S766" s="164">
        <f t="shared" si="300"/>
        <v>0</v>
      </c>
      <c r="T766" s="164">
        <f t="shared" si="301"/>
        <v>0</v>
      </c>
      <c r="U766" s="164">
        <f t="shared" si="302"/>
        <v>0</v>
      </c>
      <c r="V766" s="393">
        <f t="shared" si="303"/>
        <v>13031.7</v>
      </c>
      <c r="W766" s="393">
        <f t="shared" si="304"/>
        <v>-13031.7</v>
      </c>
      <c r="Y766" s="393">
        <f t="shared" si="307"/>
        <v>968</v>
      </c>
      <c r="Z766" s="393">
        <f t="shared" si="308"/>
        <v>-968</v>
      </c>
      <c r="AD766" s="395">
        <f>IF(AH766&gt;AH765,AD765,IF(AD765&lt;MiscData!$F$1,EOMONTH(AD765,1),EOMONTH(AD765,-11)))</f>
        <v>41912</v>
      </c>
      <c r="AE766" s="389" t="str">
        <f t="shared" si="305"/>
        <v>20140101KUUM_467</v>
      </c>
      <c r="AF766" s="437" t="str">
        <f t="shared" si="306"/>
        <v>20140101LS</v>
      </c>
      <c r="AG766" s="438"/>
      <c r="AH766" s="34">
        <f>IF(AH765=MiscData!$AB$91,1,AH765+1)</f>
        <v>61</v>
      </c>
      <c r="AI766" s="34">
        <f>IF(AD766&lt;=MiscData!$B$23,MiscData!$C$23,IF(AD766&lt;=MiscData!$B$24,MiscData!$C$24,MiscData!$C$25))</f>
        <v>20140101</v>
      </c>
      <c r="AK766" s="439" t="str">
        <f>VLOOKUP(AM766,MiscData!$AB$4:$ACB$113,2,FALSE)</f>
        <v>KUUM_467</v>
      </c>
      <c r="AL766" s="439" t="str">
        <f>VLOOKUP(AM766,MiscData!$AB$4:$AE$115,4,FALSE)</f>
        <v>LS</v>
      </c>
      <c r="AM766" s="34">
        <f>IF(AM765=MiscData!$AB$91,1,AM765+1)</f>
        <v>61</v>
      </c>
    </row>
    <row r="767" spans="1:39">
      <c r="A767" s="389">
        <f t="shared" si="309"/>
        <v>766</v>
      </c>
      <c r="B767" s="395" t="str">
        <f t="shared" si="290"/>
        <v>Sep 2014</v>
      </c>
      <c r="C767" s="396" t="str">
        <f t="shared" si="291"/>
        <v>LS</v>
      </c>
      <c r="D767" s="396" t="str">
        <f t="shared" si="292"/>
        <v>KUUM_468</v>
      </c>
      <c r="E767" s="394">
        <f t="shared" si="293"/>
        <v>3809</v>
      </c>
      <c r="F767" s="397">
        <v>0</v>
      </c>
      <c r="G767" s="394">
        <f t="shared" si="294"/>
        <v>0</v>
      </c>
      <c r="H767" s="394">
        <v>0</v>
      </c>
      <c r="I767" s="390">
        <f t="shared" si="295"/>
        <v>11.16</v>
      </c>
      <c r="J767" s="390">
        <f t="shared" si="296"/>
        <v>1.129999999999999</v>
      </c>
      <c r="K767" s="391">
        <f t="shared" si="287"/>
        <v>42508.44</v>
      </c>
      <c r="L767" s="398">
        <v>0</v>
      </c>
      <c r="M767" s="398">
        <v>0</v>
      </c>
      <c r="N767" s="164">
        <f t="shared" si="289"/>
        <v>42508.44</v>
      </c>
      <c r="O767" s="399">
        <f t="shared" si="297"/>
        <v>0</v>
      </c>
      <c r="P767" s="392">
        <f t="shared" si="288"/>
        <v>0</v>
      </c>
      <c r="Q767" s="164">
        <f t="shared" si="298"/>
        <v>0</v>
      </c>
      <c r="R767" s="164">
        <f t="shared" si="299"/>
        <v>0</v>
      </c>
      <c r="S767" s="164">
        <f t="shared" si="300"/>
        <v>0</v>
      </c>
      <c r="T767" s="164">
        <f t="shared" si="301"/>
        <v>0</v>
      </c>
      <c r="U767" s="164">
        <f t="shared" si="302"/>
        <v>0</v>
      </c>
      <c r="V767" s="393">
        <f t="shared" si="303"/>
        <v>42508.44</v>
      </c>
      <c r="W767" s="393">
        <f t="shared" si="304"/>
        <v>-42508.44</v>
      </c>
      <c r="Y767" s="393">
        <f t="shared" si="307"/>
        <v>4304.17</v>
      </c>
      <c r="Z767" s="393">
        <f t="shared" si="308"/>
        <v>-4304.17</v>
      </c>
      <c r="AD767" s="395">
        <f>IF(AH767&gt;AH766,AD766,IF(AD766&lt;MiscData!$F$1,EOMONTH(AD766,1),EOMONTH(AD766,-11)))</f>
        <v>41912</v>
      </c>
      <c r="AE767" s="389" t="str">
        <f t="shared" si="305"/>
        <v>20140101KUUM_468</v>
      </c>
      <c r="AF767" s="437" t="str">
        <f t="shared" si="306"/>
        <v>20140101LS</v>
      </c>
      <c r="AG767" s="438"/>
      <c r="AH767" s="34">
        <f>IF(AH766=MiscData!$AB$91,1,AH766+1)</f>
        <v>62</v>
      </c>
      <c r="AI767" s="34">
        <f>IF(AD767&lt;=MiscData!$B$23,MiscData!$C$23,IF(AD767&lt;=MiscData!$B$24,MiscData!$C$24,MiscData!$C$25))</f>
        <v>20140101</v>
      </c>
      <c r="AK767" s="439" t="str">
        <f>VLOOKUP(AM767,MiscData!$AB$4:$ACB$113,2,FALSE)</f>
        <v>KUUM_468</v>
      </c>
      <c r="AL767" s="439" t="str">
        <f>VLOOKUP(AM767,MiscData!$AB$4:$AE$115,4,FALSE)</f>
        <v>LS</v>
      </c>
      <c r="AM767" s="34">
        <f>IF(AM766=MiscData!$AB$91,1,AM766+1)</f>
        <v>62</v>
      </c>
    </row>
    <row r="768" spans="1:39">
      <c r="A768" s="389">
        <f t="shared" si="309"/>
        <v>767</v>
      </c>
      <c r="B768" s="395" t="str">
        <f t="shared" si="290"/>
        <v>Sep 2014</v>
      </c>
      <c r="C768" s="396" t="str">
        <f t="shared" si="291"/>
        <v>RLS</v>
      </c>
      <c r="D768" s="396" t="str">
        <f t="shared" si="292"/>
        <v>KUUM_469</v>
      </c>
      <c r="E768" s="394">
        <f t="shared" si="293"/>
        <v>283</v>
      </c>
      <c r="F768" s="397">
        <v>0</v>
      </c>
      <c r="G768" s="394">
        <f t="shared" si="294"/>
        <v>0</v>
      </c>
      <c r="H768" s="394">
        <v>0</v>
      </c>
      <c r="I768" s="390">
        <f t="shared" si="295"/>
        <v>33.100000000000009</v>
      </c>
      <c r="J768" s="390">
        <f t="shared" si="296"/>
        <v>4.2900000000000063</v>
      </c>
      <c r="K768" s="391">
        <f t="shared" si="287"/>
        <v>9367.2999999999993</v>
      </c>
      <c r="L768" s="398">
        <v>0</v>
      </c>
      <c r="M768" s="398">
        <v>0</v>
      </c>
      <c r="N768" s="164">
        <f t="shared" si="289"/>
        <v>9367.2999999999993</v>
      </c>
      <c r="O768" s="399">
        <f t="shared" si="297"/>
        <v>0</v>
      </c>
      <c r="P768" s="392">
        <f t="shared" si="288"/>
        <v>0</v>
      </c>
      <c r="Q768" s="164">
        <f t="shared" si="298"/>
        <v>0</v>
      </c>
      <c r="R768" s="164">
        <f t="shared" si="299"/>
        <v>0</v>
      </c>
      <c r="S768" s="164">
        <f t="shared" si="300"/>
        <v>0</v>
      </c>
      <c r="T768" s="164">
        <f t="shared" si="301"/>
        <v>0</v>
      </c>
      <c r="U768" s="164">
        <f t="shared" si="302"/>
        <v>0</v>
      </c>
      <c r="V768" s="393">
        <f t="shared" si="303"/>
        <v>9367.2999999999993</v>
      </c>
      <c r="W768" s="393">
        <f t="shared" si="304"/>
        <v>-9367.2999999999993</v>
      </c>
      <c r="Y768" s="393">
        <f t="shared" si="307"/>
        <v>1214.07</v>
      </c>
      <c r="Z768" s="393">
        <f t="shared" si="308"/>
        <v>-1214.07</v>
      </c>
      <c r="AD768" s="395">
        <f>IF(AH768&gt;AH767,AD767,IF(AD767&lt;MiscData!$F$1,EOMONTH(AD767,1),EOMONTH(AD767,-11)))</f>
        <v>41912</v>
      </c>
      <c r="AE768" s="389" t="str">
        <f t="shared" si="305"/>
        <v>20140101KUUM_469</v>
      </c>
      <c r="AF768" s="437" t="str">
        <f t="shared" si="306"/>
        <v>20140101RLS</v>
      </c>
      <c r="AG768" s="438"/>
      <c r="AH768" s="34">
        <f>IF(AH767=MiscData!$AB$91,1,AH767+1)</f>
        <v>63</v>
      </c>
      <c r="AI768" s="34">
        <f>IF(AD768&lt;=MiscData!$B$23,MiscData!$C$23,IF(AD768&lt;=MiscData!$B$24,MiscData!$C$24,MiscData!$C$25))</f>
        <v>20140101</v>
      </c>
      <c r="AK768" s="439" t="str">
        <f>VLOOKUP(AM768,MiscData!$AB$4:$ACB$113,2,FALSE)</f>
        <v>KUUM_469</v>
      </c>
      <c r="AL768" s="439" t="str">
        <f>VLOOKUP(AM768,MiscData!$AB$4:$AE$115,4,FALSE)</f>
        <v>RLS</v>
      </c>
      <c r="AM768" s="34">
        <f>IF(AM767=MiscData!$AB$91,1,AM767+1)</f>
        <v>63</v>
      </c>
    </row>
    <row r="769" spans="1:39">
      <c r="A769" s="389">
        <f t="shared" si="309"/>
        <v>768</v>
      </c>
      <c r="B769" s="395" t="str">
        <f t="shared" si="290"/>
        <v>Sep 2014</v>
      </c>
      <c r="C769" s="396" t="str">
        <f t="shared" si="291"/>
        <v>RLS</v>
      </c>
      <c r="D769" s="396" t="str">
        <f t="shared" si="292"/>
        <v>KUUM_470</v>
      </c>
      <c r="E769" s="394">
        <f t="shared" si="293"/>
        <v>68</v>
      </c>
      <c r="F769" s="397">
        <v>0</v>
      </c>
      <c r="G769" s="394">
        <f t="shared" si="294"/>
        <v>0</v>
      </c>
      <c r="H769" s="394">
        <v>0</v>
      </c>
      <c r="I769" s="390">
        <f t="shared" si="295"/>
        <v>55.250000000000007</v>
      </c>
      <c r="J769" s="390">
        <f t="shared" si="296"/>
        <v>10.410000000000004</v>
      </c>
      <c r="K769" s="391">
        <f t="shared" si="287"/>
        <v>3757</v>
      </c>
      <c r="L769" s="398">
        <v>0</v>
      </c>
      <c r="M769" s="398">
        <v>0</v>
      </c>
      <c r="N769" s="164">
        <f t="shared" si="289"/>
        <v>3757</v>
      </c>
      <c r="O769" s="399">
        <f t="shared" si="297"/>
        <v>0</v>
      </c>
      <c r="P769" s="392">
        <f t="shared" si="288"/>
        <v>0</v>
      </c>
      <c r="Q769" s="164">
        <f t="shared" si="298"/>
        <v>0</v>
      </c>
      <c r="R769" s="164">
        <f t="shared" si="299"/>
        <v>0</v>
      </c>
      <c r="S769" s="164">
        <f t="shared" si="300"/>
        <v>0</v>
      </c>
      <c r="T769" s="164">
        <f t="shared" si="301"/>
        <v>0</v>
      </c>
      <c r="U769" s="164">
        <f t="shared" si="302"/>
        <v>0</v>
      </c>
      <c r="V769" s="393">
        <f t="shared" si="303"/>
        <v>3757</v>
      </c>
      <c r="W769" s="393">
        <f t="shared" si="304"/>
        <v>-3757</v>
      </c>
      <c r="Y769" s="393">
        <f t="shared" si="307"/>
        <v>707.88</v>
      </c>
      <c r="Z769" s="393">
        <f t="shared" si="308"/>
        <v>-707.88</v>
      </c>
      <c r="AD769" s="395">
        <f>IF(AH769&gt;AH768,AD768,IF(AD768&lt;MiscData!$F$1,EOMONTH(AD768,1),EOMONTH(AD768,-11)))</f>
        <v>41912</v>
      </c>
      <c r="AE769" s="389" t="str">
        <f t="shared" si="305"/>
        <v>20140101KUUM_470</v>
      </c>
      <c r="AF769" s="437" t="str">
        <f t="shared" si="306"/>
        <v>20140101RLS</v>
      </c>
      <c r="AG769" s="438"/>
      <c r="AH769" s="34">
        <f>IF(AH768=MiscData!$AB$91,1,AH768+1)</f>
        <v>64</v>
      </c>
      <c r="AI769" s="34">
        <f>IF(AD769&lt;=MiscData!$B$23,MiscData!$C$23,IF(AD769&lt;=MiscData!$B$24,MiscData!$C$24,MiscData!$C$25))</f>
        <v>20140101</v>
      </c>
      <c r="AK769" s="439" t="str">
        <f>VLOOKUP(AM769,MiscData!$AB$4:$ACB$113,2,FALSE)</f>
        <v>KUUM_470</v>
      </c>
      <c r="AL769" s="439" t="str">
        <f>VLOOKUP(AM769,MiscData!$AB$4:$AE$115,4,FALSE)</f>
        <v>RLS</v>
      </c>
      <c r="AM769" s="34">
        <f>IF(AM768=MiscData!$AB$91,1,AM768+1)</f>
        <v>64</v>
      </c>
    </row>
    <row r="770" spans="1:39">
      <c r="A770" s="389">
        <f t="shared" si="309"/>
        <v>769</v>
      </c>
      <c r="B770" s="395" t="str">
        <f t="shared" si="290"/>
        <v>Sep 2014</v>
      </c>
      <c r="C770" s="396" t="str">
        <f t="shared" si="291"/>
        <v>RLS</v>
      </c>
      <c r="D770" s="396" t="str">
        <f t="shared" si="292"/>
        <v>KUUM_471</v>
      </c>
      <c r="E770" s="394">
        <f t="shared" si="293"/>
        <v>3584</v>
      </c>
      <c r="F770" s="397">
        <v>0</v>
      </c>
      <c r="G770" s="394">
        <f t="shared" si="294"/>
        <v>0</v>
      </c>
      <c r="H770" s="394">
        <v>0</v>
      </c>
      <c r="I770" s="390">
        <f t="shared" si="295"/>
        <v>10.49</v>
      </c>
      <c r="J770" s="390">
        <f t="shared" si="296"/>
        <v>0.56999999999999851</v>
      </c>
      <c r="K770" s="391">
        <f t="shared" si="287"/>
        <v>37596.160000000003</v>
      </c>
      <c r="L770" s="398">
        <v>0</v>
      </c>
      <c r="M770" s="398">
        <v>0</v>
      </c>
      <c r="N770" s="164">
        <f t="shared" si="289"/>
        <v>37596.160000000003</v>
      </c>
      <c r="O770" s="399">
        <f t="shared" si="297"/>
        <v>0</v>
      </c>
      <c r="P770" s="392">
        <f t="shared" si="288"/>
        <v>0</v>
      </c>
      <c r="Q770" s="164">
        <f t="shared" si="298"/>
        <v>0</v>
      </c>
      <c r="R770" s="164">
        <f t="shared" si="299"/>
        <v>0</v>
      </c>
      <c r="S770" s="164">
        <f t="shared" si="300"/>
        <v>0</v>
      </c>
      <c r="T770" s="164">
        <f t="shared" si="301"/>
        <v>0</v>
      </c>
      <c r="U770" s="164">
        <f t="shared" si="302"/>
        <v>0</v>
      </c>
      <c r="V770" s="393">
        <f t="shared" si="303"/>
        <v>37596.160000000003</v>
      </c>
      <c r="W770" s="393">
        <f t="shared" si="304"/>
        <v>-37596.160000000003</v>
      </c>
      <c r="Y770" s="393">
        <f t="shared" si="307"/>
        <v>2042.88</v>
      </c>
      <c r="Z770" s="393">
        <f t="shared" si="308"/>
        <v>-2042.88</v>
      </c>
      <c r="AD770" s="395">
        <f>IF(AH770&gt;AH769,AD769,IF(AD769&lt;MiscData!$F$1,EOMONTH(AD769,1),EOMONTH(AD769,-11)))</f>
        <v>41912</v>
      </c>
      <c r="AE770" s="389" t="str">
        <f t="shared" si="305"/>
        <v>20140101KUUM_471</v>
      </c>
      <c r="AF770" s="437" t="str">
        <f t="shared" si="306"/>
        <v>20140101RLS</v>
      </c>
      <c r="AG770" s="438"/>
      <c r="AH770" s="34">
        <f>IF(AH769=MiscData!$AB$91,1,AH769+1)</f>
        <v>65</v>
      </c>
      <c r="AI770" s="34">
        <f>IF(AD770&lt;=MiscData!$B$23,MiscData!$C$23,IF(AD770&lt;=MiscData!$B$24,MiscData!$C$24,MiscData!$C$25))</f>
        <v>20140101</v>
      </c>
      <c r="AK770" s="439" t="str">
        <f>VLOOKUP(AM770,MiscData!$AB$4:$ACB$113,2,FALSE)</f>
        <v>KUUM_471</v>
      </c>
      <c r="AL770" s="439" t="str">
        <f>VLOOKUP(AM770,MiscData!$AB$4:$AE$115,4,FALSE)</f>
        <v>RLS</v>
      </c>
      <c r="AM770" s="34">
        <f>IF(AM769=MiscData!$AB$91,1,AM769+1)</f>
        <v>65</v>
      </c>
    </row>
    <row r="771" spans="1:39">
      <c r="A771" s="389">
        <f t="shared" si="309"/>
        <v>770</v>
      </c>
      <c r="B771" s="395" t="str">
        <f t="shared" si="290"/>
        <v>Sep 2014</v>
      </c>
      <c r="C771" s="396" t="str">
        <f t="shared" si="291"/>
        <v>LS</v>
      </c>
      <c r="D771" s="396" t="str">
        <f t="shared" si="292"/>
        <v>KUUM_472</v>
      </c>
      <c r="E771" s="394">
        <f t="shared" si="293"/>
        <v>8387</v>
      </c>
      <c r="F771" s="397">
        <v>0</v>
      </c>
      <c r="G771" s="394">
        <f t="shared" si="294"/>
        <v>0</v>
      </c>
      <c r="H771" s="394">
        <v>0</v>
      </c>
      <c r="I771" s="390">
        <f t="shared" si="295"/>
        <v>11.600000000000001</v>
      </c>
      <c r="J771" s="390">
        <f t="shared" si="296"/>
        <v>0.80000000000000071</v>
      </c>
      <c r="K771" s="391">
        <f t="shared" ref="K771:K834" si="310">ROUND(($E771+$F771)*$I771,2)</f>
        <v>97289.2</v>
      </c>
      <c r="L771" s="398">
        <v>0</v>
      </c>
      <c r="M771" s="398">
        <v>0</v>
      </c>
      <c r="N771" s="164">
        <f t="shared" si="289"/>
        <v>97289.2</v>
      </c>
      <c r="O771" s="399">
        <f t="shared" si="297"/>
        <v>0</v>
      </c>
      <c r="P771" s="392">
        <f t="shared" ref="P771:P834" si="311">IF(AND(N771=0,O771=0),1,IF(N771=0,0,ROUND(O771/N771,6)))</f>
        <v>0</v>
      </c>
      <c r="Q771" s="164">
        <f t="shared" si="298"/>
        <v>0</v>
      </c>
      <c r="R771" s="164">
        <f t="shared" si="299"/>
        <v>0</v>
      </c>
      <c r="S771" s="164">
        <f t="shared" si="300"/>
        <v>0</v>
      </c>
      <c r="T771" s="164">
        <f t="shared" si="301"/>
        <v>0</v>
      </c>
      <c r="U771" s="164">
        <f t="shared" si="302"/>
        <v>0</v>
      </c>
      <c r="V771" s="393">
        <f t="shared" si="303"/>
        <v>97289.2</v>
      </c>
      <c r="W771" s="393">
        <f t="shared" si="304"/>
        <v>-97289.2</v>
      </c>
      <c r="Y771" s="393">
        <f t="shared" si="307"/>
        <v>6709.6</v>
      </c>
      <c r="Z771" s="393">
        <f t="shared" si="308"/>
        <v>-6709.6</v>
      </c>
      <c r="AD771" s="395">
        <f>IF(AH771&gt;AH770,AD770,IF(AD770&lt;MiscData!$F$1,EOMONTH(AD770,1),EOMONTH(AD770,-11)))</f>
        <v>41912</v>
      </c>
      <c r="AE771" s="389" t="str">
        <f t="shared" si="305"/>
        <v>20140101KUUM_472</v>
      </c>
      <c r="AF771" s="437" t="str">
        <f t="shared" si="306"/>
        <v>20140101LS</v>
      </c>
      <c r="AG771" s="438"/>
      <c r="AH771" s="34">
        <f>IF(AH770=MiscData!$AB$91,1,AH770+1)</f>
        <v>66</v>
      </c>
      <c r="AI771" s="34">
        <f>IF(AD771&lt;=MiscData!$B$23,MiscData!$C$23,IF(AD771&lt;=MiscData!$B$24,MiscData!$C$24,MiscData!$C$25))</f>
        <v>20140101</v>
      </c>
      <c r="AK771" s="439" t="str">
        <f>VLOOKUP(AM771,MiscData!$AB$4:$ACB$113,2,FALSE)</f>
        <v>KUUM_472</v>
      </c>
      <c r="AL771" s="439" t="str">
        <f>VLOOKUP(AM771,MiscData!$AB$4:$AE$115,4,FALSE)</f>
        <v>LS</v>
      </c>
      <c r="AM771" s="34">
        <f>IF(AM770=MiscData!$AB$91,1,AM770+1)</f>
        <v>66</v>
      </c>
    </row>
    <row r="772" spans="1:39">
      <c r="A772" s="389">
        <f t="shared" si="309"/>
        <v>771</v>
      </c>
      <c r="B772" s="395" t="str">
        <f t="shared" si="290"/>
        <v>Sep 2014</v>
      </c>
      <c r="C772" s="396" t="str">
        <f t="shared" si="291"/>
        <v>LS</v>
      </c>
      <c r="D772" s="396" t="str">
        <f t="shared" si="292"/>
        <v>KUUM_473</v>
      </c>
      <c r="E772" s="394">
        <f t="shared" si="293"/>
        <v>3286</v>
      </c>
      <c r="F772" s="397">
        <v>0</v>
      </c>
      <c r="G772" s="394">
        <f t="shared" si="294"/>
        <v>0</v>
      </c>
      <c r="H772" s="394">
        <v>0</v>
      </c>
      <c r="I772" s="390">
        <f t="shared" si="295"/>
        <v>12.3</v>
      </c>
      <c r="J772" s="390">
        <f t="shared" si="296"/>
        <v>1.129999999999999</v>
      </c>
      <c r="K772" s="391">
        <f t="shared" si="310"/>
        <v>40417.800000000003</v>
      </c>
      <c r="L772" s="398">
        <v>0</v>
      </c>
      <c r="M772" s="398">
        <v>0</v>
      </c>
      <c r="N772" s="164">
        <f t="shared" si="289"/>
        <v>40417.800000000003</v>
      </c>
      <c r="O772" s="399">
        <f t="shared" si="297"/>
        <v>0</v>
      </c>
      <c r="P772" s="392">
        <f t="shared" si="311"/>
        <v>0</v>
      </c>
      <c r="Q772" s="164">
        <f t="shared" si="298"/>
        <v>0</v>
      </c>
      <c r="R772" s="164">
        <f t="shared" si="299"/>
        <v>0</v>
      </c>
      <c r="S772" s="164">
        <f t="shared" si="300"/>
        <v>0</v>
      </c>
      <c r="T772" s="164">
        <f t="shared" si="301"/>
        <v>0</v>
      </c>
      <c r="U772" s="164">
        <f t="shared" si="302"/>
        <v>0</v>
      </c>
      <c r="V772" s="393">
        <f t="shared" si="303"/>
        <v>40417.800000000003</v>
      </c>
      <c r="W772" s="393">
        <f t="shared" si="304"/>
        <v>-40417.800000000003</v>
      </c>
      <c r="Y772" s="393">
        <f t="shared" si="307"/>
        <v>3713.18</v>
      </c>
      <c r="Z772" s="393">
        <f t="shared" si="308"/>
        <v>-3713.18</v>
      </c>
      <c r="AD772" s="395">
        <f>IF(AH772&gt;AH771,AD771,IF(AD771&lt;MiscData!$F$1,EOMONTH(AD771,1),EOMONTH(AD771,-11)))</f>
        <v>41912</v>
      </c>
      <c r="AE772" s="389" t="str">
        <f t="shared" si="305"/>
        <v>20140101KUUM_473</v>
      </c>
      <c r="AF772" s="437" t="str">
        <f t="shared" si="306"/>
        <v>20140101LS</v>
      </c>
      <c r="AG772" s="438"/>
      <c r="AH772" s="34">
        <f>IF(AH771=MiscData!$AB$91,1,AH771+1)</f>
        <v>67</v>
      </c>
      <c r="AI772" s="34">
        <f>IF(AD772&lt;=MiscData!$B$23,MiscData!$C$23,IF(AD772&lt;=MiscData!$B$24,MiscData!$C$24,MiscData!$C$25))</f>
        <v>20140101</v>
      </c>
      <c r="AK772" s="439" t="str">
        <f>VLOOKUP(AM772,MiscData!$AB$4:$ACB$113,2,FALSE)</f>
        <v>KUUM_473</v>
      </c>
      <c r="AL772" s="439" t="str">
        <f>VLOOKUP(AM772,MiscData!$AB$4:$AE$115,4,FALSE)</f>
        <v>LS</v>
      </c>
      <c r="AM772" s="34">
        <f>IF(AM771=MiscData!$AB$91,1,AM771+1)</f>
        <v>67</v>
      </c>
    </row>
    <row r="773" spans="1:39">
      <c r="A773" s="389">
        <f t="shared" si="309"/>
        <v>772</v>
      </c>
      <c r="B773" s="395" t="str">
        <f t="shared" si="290"/>
        <v>Sep 2014</v>
      </c>
      <c r="C773" s="396" t="str">
        <f t="shared" si="291"/>
        <v>LS</v>
      </c>
      <c r="D773" s="396" t="str">
        <f t="shared" si="292"/>
        <v>KUUM_474</v>
      </c>
      <c r="E773" s="394">
        <f t="shared" si="293"/>
        <v>4908</v>
      </c>
      <c r="F773" s="397">
        <v>0</v>
      </c>
      <c r="G773" s="394">
        <f t="shared" si="294"/>
        <v>0</v>
      </c>
      <c r="H773" s="394">
        <v>0</v>
      </c>
      <c r="I773" s="390">
        <f t="shared" si="295"/>
        <v>17.41</v>
      </c>
      <c r="J773" s="390">
        <f t="shared" si="296"/>
        <v>2.33</v>
      </c>
      <c r="K773" s="391">
        <f t="shared" si="310"/>
        <v>85448.28</v>
      </c>
      <c r="L773" s="398">
        <v>0</v>
      </c>
      <c r="M773" s="398">
        <v>0</v>
      </c>
      <c r="N773" s="164">
        <f t="shared" si="289"/>
        <v>85448.28</v>
      </c>
      <c r="O773" s="399">
        <f t="shared" si="297"/>
        <v>0</v>
      </c>
      <c r="P773" s="392">
        <f t="shared" si="311"/>
        <v>0</v>
      </c>
      <c r="Q773" s="164">
        <f t="shared" si="298"/>
        <v>0</v>
      </c>
      <c r="R773" s="164">
        <f t="shared" si="299"/>
        <v>0</v>
      </c>
      <c r="S773" s="164">
        <f t="shared" si="300"/>
        <v>0</v>
      </c>
      <c r="T773" s="164">
        <f t="shared" si="301"/>
        <v>0</v>
      </c>
      <c r="U773" s="164">
        <f t="shared" si="302"/>
        <v>0</v>
      </c>
      <c r="V773" s="393">
        <f t="shared" si="303"/>
        <v>85448.28</v>
      </c>
      <c r="W773" s="393">
        <f t="shared" si="304"/>
        <v>-85448.28</v>
      </c>
      <c r="Y773" s="393">
        <f t="shared" si="307"/>
        <v>11435.64</v>
      </c>
      <c r="Z773" s="393">
        <f t="shared" si="308"/>
        <v>-11435.64</v>
      </c>
      <c r="AD773" s="395">
        <f>IF(AH773&gt;AH772,AD772,IF(AD772&lt;MiscData!$F$1,EOMONTH(AD772,1),EOMONTH(AD772,-11)))</f>
        <v>41912</v>
      </c>
      <c r="AE773" s="389" t="str">
        <f t="shared" si="305"/>
        <v>20140101KUUM_474</v>
      </c>
      <c r="AF773" s="437" t="str">
        <f t="shared" si="306"/>
        <v>20140101LS</v>
      </c>
      <c r="AG773" s="438"/>
      <c r="AH773" s="34">
        <f>IF(AH772=MiscData!$AB$91,1,AH772+1)</f>
        <v>68</v>
      </c>
      <c r="AI773" s="34">
        <f>IF(AD773&lt;=MiscData!$B$23,MiscData!$C$23,IF(AD773&lt;=MiscData!$B$24,MiscData!$C$24,MiscData!$C$25))</f>
        <v>20140101</v>
      </c>
      <c r="AK773" s="439" t="str">
        <f>VLOOKUP(AM773,MiscData!$AB$4:$ACB$113,2,FALSE)</f>
        <v>KUUM_474</v>
      </c>
      <c r="AL773" s="439" t="str">
        <f>VLOOKUP(AM773,MiscData!$AB$4:$AE$115,4,FALSE)</f>
        <v>LS</v>
      </c>
      <c r="AM773" s="34">
        <f>IF(AM772=MiscData!$AB$91,1,AM772+1)</f>
        <v>68</v>
      </c>
    </row>
    <row r="774" spans="1:39">
      <c r="A774" s="389">
        <f t="shared" si="309"/>
        <v>773</v>
      </c>
      <c r="B774" s="395" t="str">
        <f t="shared" si="290"/>
        <v>Sep 2014</v>
      </c>
      <c r="C774" s="396" t="str">
        <f t="shared" si="291"/>
        <v>LS</v>
      </c>
      <c r="D774" s="396" t="str">
        <f t="shared" si="292"/>
        <v>KUUM_475</v>
      </c>
      <c r="E774" s="394">
        <f t="shared" si="293"/>
        <v>470</v>
      </c>
      <c r="F774" s="397">
        <v>0</v>
      </c>
      <c r="G774" s="394">
        <f t="shared" si="294"/>
        <v>0</v>
      </c>
      <c r="H774" s="394">
        <v>0</v>
      </c>
      <c r="I774" s="390">
        <f t="shared" si="295"/>
        <v>24.46</v>
      </c>
      <c r="J774" s="390">
        <f t="shared" si="296"/>
        <v>4.5300000000000011</v>
      </c>
      <c r="K774" s="391">
        <f t="shared" si="310"/>
        <v>11496.2</v>
      </c>
      <c r="L774" s="398">
        <v>0</v>
      </c>
      <c r="M774" s="398">
        <v>0</v>
      </c>
      <c r="N774" s="164">
        <f t="shared" si="289"/>
        <v>11496.2</v>
      </c>
      <c r="O774" s="399">
        <f t="shared" si="297"/>
        <v>0</v>
      </c>
      <c r="P774" s="392">
        <f t="shared" si="311"/>
        <v>0</v>
      </c>
      <c r="Q774" s="164">
        <f t="shared" si="298"/>
        <v>0</v>
      </c>
      <c r="R774" s="164">
        <f t="shared" si="299"/>
        <v>0</v>
      </c>
      <c r="S774" s="164">
        <f t="shared" si="300"/>
        <v>0</v>
      </c>
      <c r="T774" s="164">
        <f t="shared" si="301"/>
        <v>0</v>
      </c>
      <c r="U774" s="164">
        <f t="shared" si="302"/>
        <v>0</v>
      </c>
      <c r="V774" s="393">
        <f t="shared" si="303"/>
        <v>11496.2</v>
      </c>
      <c r="W774" s="393">
        <f t="shared" si="304"/>
        <v>-11496.2</v>
      </c>
      <c r="Y774" s="393">
        <f t="shared" si="307"/>
        <v>2129.1</v>
      </c>
      <c r="Z774" s="393">
        <f t="shared" si="308"/>
        <v>-2129.1</v>
      </c>
      <c r="AD774" s="395">
        <f>IF(AH774&gt;AH773,AD773,IF(AD773&lt;MiscData!$F$1,EOMONTH(AD773,1),EOMONTH(AD773,-11)))</f>
        <v>41912</v>
      </c>
      <c r="AE774" s="389" t="str">
        <f t="shared" si="305"/>
        <v>20140101KUUM_475</v>
      </c>
      <c r="AF774" s="437" t="str">
        <f t="shared" si="306"/>
        <v>20140101LS</v>
      </c>
      <c r="AG774" s="438"/>
      <c r="AH774" s="34">
        <f>IF(AH773=MiscData!$AB$91,1,AH773+1)</f>
        <v>69</v>
      </c>
      <c r="AI774" s="34">
        <f>IF(AD774&lt;=MiscData!$B$23,MiscData!$C$23,IF(AD774&lt;=MiscData!$B$24,MiscData!$C$24,MiscData!$C$25))</f>
        <v>20140101</v>
      </c>
      <c r="AK774" s="439" t="str">
        <f>VLOOKUP(AM774,MiscData!$AB$4:$ACB$113,2,FALSE)</f>
        <v>KUUM_475</v>
      </c>
      <c r="AL774" s="439" t="str">
        <f>VLOOKUP(AM774,MiscData!$AB$4:$AE$115,4,FALSE)</f>
        <v>LS</v>
      </c>
      <c r="AM774" s="34">
        <f>IF(AM773=MiscData!$AB$91,1,AM773+1)</f>
        <v>69</v>
      </c>
    </row>
    <row r="775" spans="1:39">
      <c r="A775" s="389">
        <f t="shared" si="309"/>
        <v>774</v>
      </c>
      <c r="B775" s="395" t="str">
        <f t="shared" si="290"/>
        <v>Sep 2014</v>
      </c>
      <c r="C775" s="396" t="str">
        <f t="shared" si="291"/>
        <v>LS</v>
      </c>
      <c r="D775" s="396" t="str">
        <f t="shared" si="292"/>
        <v>KUUM_476</v>
      </c>
      <c r="E775" s="394">
        <f t="shared" si="293"/>
        <v>4453</v>
      </c>
      <c r="F775" s="397">
        <v>0</v>
      </c>
      <c r="G775" s="394">
        <f t="shared" si="294"/>
        <v>0</v>
      </c>
      <c r="H775" s="394">
        <v>0</v>
      </c>
      <c r="I775" s="390">
        <f t="shared" si="295"/>
        <v>16.79</v>
      </c>
      <c r="J775" s="390">
        <f t="shared" si="296"/>
        <v>0.79999999999999893</v>
      </c>
      <c r="K775" s="391">
        <f t="shared" si="310"/>
        <v>74765.87</v>
      </c>
      <c r="L775" s="398">
        <v>0</v>
      </c>
      <c r="M775" s="398">
        <v>0</v>
      </c>
      <c r="N775" s="164">
        <f t="shared" si="289"/>
        <v>74765.87</v>
      </c>
      <c r="O775" s="399">
        <f t="shared" si="297"/>
        <v>0</v>
      </c>
      <c r="P775" s="392">
        <f t="shared" si="311"/>
        <v>0</v>
      </c>
      <c r="Q775" s="164">
        <f t="shared" si="298"/>
        <v>0</v>
      </c>
      <c r="R775" s="164">
        <f t="shared" si="299"/>
        <v>0</v>
      </c>
      <c r="S775" s="164">
        <f t="shared" si="300"/>
        <v>0</v>
      </c>
      <c r="T775" s="164">
        <f t="shared" si="301"/>
        <v>0</v>
      </c>
      <c r="U775" s="164">
        <f t="shared" si="302"/>
        <v>0</v>
      </c>
      <c r="V775" s="393">
        <f t="shared" si="303"/>
        <v>74765.87</v>
      </c>
      <c r="W775" s="393">
        <f t="shared" si="304"/>
        <v>-74765.87</v>
      </c>
      <c r="Y775" s="393">
        <f t="shared" si="307"/>
        <v>3562.4</v>
      </c>
      <c r="Z775" s="393">
        <f t="shared" si="308"/>
        <v>-3562.4</v>
      </c>
      <c r="AD775" s="395">
        <f>IF(AH775&gt;AH774,AD774,IF(AD774&lt;MiscData!$F$1,EOMONTH(AD774,1),EOMONTH(AD774,-11)))</f>
        <v>41912</v>
      </c>
      <c r="AE775" s="389" t="str">
        <f t="shared" si="305"/>
        <v>20140101KUUM_476</v>
      </c>
      <c r="AF775" s="437" t="str">
        <f t="shared" si="306"/>
        <v>20140101LS</v>
      </c>
      <c r="AG775" s="438"/>
      <c r="AH775" s="34">
        <f>IF(AH774=MiscData!$AB$91,1,AH774+1)</f>
        <v>70</v>
      </c>
      <c r="AI775" s="34">
        <f>IF(AD775&lt;=MiscData!$B$23,MiscData!$C$23,IF(AD775&lt;=MiscData!$B$24,MiscData!$C$24,MiscData!$C$25))</f>
        <v>20140101</v>
      </c>
      <c r="AK775" s="439" t="str">
        <f>VLOOKUP(AM775,MiscData!$AB$4:$ACB$113,2,FALSE)</f>
        <v>KUUM_476</v>
      </c>
      <c r="AL775" s="439" t="str">
        <f>VLOOKUP(AM775,MiscData!$AB$4:$AE$115,4,FALSE)</f>
        <v>LS</v>
      </c>
      <c r="AM775" s="34">
        <f>IF(AM774=MiscData!$AB$91,1,AM774+1)</f>
        <v>70</v>
      </c>
    </row>
    <row r="776" spans="1:39">
      <c r="A776" s="389">
        <f t="shared" si="309"/>
        <v>775</v>
      </c>
      <c r="B776" s="395" t="str">
        <f t="shared" si="290"/>
        <v>Sep 2014</v>
      </c>
      <c r="C776" s="396" t="str">
        <f t="shared" si="291"/>
        <v>LS</v>
      </c>
      <c r="D776" s="396" t="str">
        <f t="shared" si="292"/>
        <v>KUUM_477</v>
      </c>
      <c r="E776" s="394">
        <f t="shared" si="293"/>
        <v>1032</v>
      </c>
      <c r="F776" s="397">
        <v>0</v>
      </c>
      <c r="G776" s="394">
        <f t="shared" si="294"/>
        <v>0</v>
      </c>
      <c r="H776" s="394">
        <v>0</v>
      </c>
      <c r="I776" s="390">
        <f t="shared" si="295"/>
        <v>20.97</v>
      </c>
      <c r="J776" s="390">
        <f t="shared" si="296"/>
        <v>1.129999999999999</v>
      </c>
      <c r="K776" s="391">
        <f t="shared" si="310"/>
        <v>21641.040000000001</v>
      </c>
      <c r="L776" s="398">
        <v>0</v>
      </c>
      <c r="M776" s="398">
        <v>0</v>
      </c>
      <c r="N776" s="164">
        <f t="shared" si="289"/>
        <v>21641.040000000001</v>
      </c>
      <c r="O776" s="399">
        <f t="shared" si="297"/>
        <v>0</v>
      </c>
      <c r="P776" s="392">
        <f t="shared" si="311"/>
        <v>0</v>
      </c>
      <c r="Q776" s="164">
        <f t="shared" si="298"/>
        <v>0</v>
      </c>
      <c r="R776" s="164">
        <f t="shared" si="299"/>
        <v>0</v>
      </c>
      <c r="S776" s="164">
        <f t="shared" si="300"/>
        <v>0</v>
      </c>
      <c r="T776" s="164">
        <f t="shared" si="301"/>
        <v>0</v>
      </c>
      <c r="U776" s="164">
        <f t="shared" si="302"/>
        <v>0</v>
      </c>
      <c r="V776" s="393">
        <f t="shared" si="303"/>
        <v>21641.040000000001</v>
      </c>
      <c r="W776" s="393">
        <f t="shared" si="304"/>
        <v>-21641.040000000001</v>
      </c>
      <c r="Y776" s="393">
        <f t="shared" si="307"/>
        <v>1166.1600000000001</v>
      </c>
      <c r="Z776" s="393">
        <f t="shared" si="308"/>
        <v>-1166.1600000000001</v>
      </c>
      <c r="AD776" s="395">
        <f>IF(AH776&gt;AH775,AD775,IF(AD775&lt;MiscData!$F$1,EOMONTH(AD775,1),EOMONTH(AD775,-11)))</f>
        <v>41912</v>
      </c>
      <c r="AE776" s="389" t="str">
        <f t="shared" si="305"/>
        <v>20140101KUUM_477</v>
      </c>
      <c r="AF776" s="437" t="str">
        <f t="shared" si="306"/>
        <v>20140101LS</v>
      </c>
      <c r="AG776" s="438"/>
      <c r="AH776" s="34">
        <f>IF(AH775=MiscData!$AB$91,1,AH775+1)</f>
        <v>71</v>
      </c>
      <c r="AI776" s="34">
        <f>IF(AD776&lt;=MiscData!$B$23,MiscData!$C$23,IF(AD776&lt;=MiscData!$B$24,MiscData!$C$24,MiscData!$C$25))</f>
        <v>20140101</v>
      </c>
      <c r="AK776" s="439" t="str">
        <f>VLOOKUP(AM776,MiscData!$AB$4:$ACB$113,2,FALSE)</f>
        <v>KUUM_477</v>
      </c>
      <c r="AL776" s="439" t="str">
        <f>VLOOKUP(AM776,MiscData!$AB$4:$AE$115,4,FALSE)</f>
        <v>LS</v>
      </c>
      <c r="AM776" s="34">
        <f>IF(AM775=MiscData!$AB$91,1,AM775+1)</f>
        <v>71</v>
      </c>
    </row>
    <row r="777" spans="1:39">
      <c r="A777" s="389">
        <f t="shared" si="309"/>
        <v>776</v>
      </c>
      <c r="B777" s="395" t="str">
        <f t="shared" si="290"/>
        <v>Sep 2014</v>
      </c>
      <c r="C777" s="396" t="str">
        <f t="shared" si="291"/>
        <v>LS</v>
      </c>
      <c r="D777" s="396" t="str">
        <f t="shared" si="292"/>
        <v>KUUM_478</v>
      </c>
      <c r="E777" s="394">
        <f t="shared" si="293"/>
        <v>1363</v>
      </c>
      <c r="F777" s="397">
        <v>0</v>
      </c>
      <c r="G777" s="394">
        <f t="shared" si="294"/>
        <v>0</v>
      </c>
      <c r="H777" s="394">
        <v>0</v>
      </c>
      <c r="I777" s="390">
        <f t="shared" si="295"/>
        <v>26.86</v>
      </c>
      <c r="J777" s="390">
        <f t="shared" si="296"/>
        <v>2.3299999999999983</v>
      </c>
      <c r="K777" s="391">
        <f t="shared" si="310"/>
        <v>36610.18</v>
      </c>
      <c r="L777" s="398">
        <v>0</v>
      </c>
      <c r="M777" s="398">
        <v>0</v>
      </c>
      <c r="N777" s="164">
        <f t="shared" si="289"/>
        <v>36610.18</v>
      </c>
      <c r="O777" s="399">
        <f t="shared" si="297"/>
        <v>0</v>
      </c>
      <c r="P777" s="392">
        <f t="shared" si="311"/>
        <v>0</v>
      </c>
      <c r="Q777" s="164">
        <f t="shared" si="298"/>
        <v>0</v>
      </c>
      <c r="R777" s="164">
        <f t="shared" si="299"/>
        <v>0</v>
      </c>
      <c r="S777" s="164">
        <f t="shared" si="300"/>
        <v>0</v>
      </c>
      <c r="T777" s="164">
        <f t="shared" si="301"/>
        <v>0</v>
      </c>
      <c r="U777" s="164">
        <f t="shared" si="302"/>
        <v>0</v>
      </c>
      <c r="V777" s="393">
        <f t="shared" si="303"/>
        <v>36610.18</v>
      </c>
      <c r="W777" s="393">
        <f t="shared" si="304"/>
        <v>-36610.18</v>
      </c>
      <c r="Y777" s="393">
        <f t="shared" si="307"/>
        <v>3175.79</v>
      </c>
      <c r="Z777" s="393">
        <f t="shared" si="308"/>
        <v>-3175.79</v>
      </c>
      <c r="AD777" s="395">
        <f>IF(AH777&gt;AH776,AD776,IF(AD776&lt;MiscData!$F$1,EOMONTH(AD776,1),EOMONTH(AD776,-11)))</f>
        <v>41912</v>
      </c>
      <c r="AE777" s="389" t="str">
        <f t="shared" si="305"/>
        <v>20140101KUUM_478</v>
      </c>
      <c r="AF777" s="437" t="str">
        <f t="shared" si="306"/>
        <v>20140101LS</v>
      </c>
      <c r="AG777" s="438"/>
      <c r="AH777" s="34">
        <f>IF(AH776=MiscData!$AB$91,1,AH776+1)</f>
        <v>72</v>
      </c>
      <c r="AI777" s="34">
        <f>IF(AD777&lt;=MiscData!$B$23,MiscData!$C$23,IF(AD777&lt;=MiscData!$B$24,MiscData!$C$24,MiscData!$C$25))</f>
        <v>20140101</v>
      </c>
      <c r="AK777" s="439" t="str">
        <f>VLOOKUP(AM777,MiscData!$AB$4:$ACB$113,2,FALSE)</f>
        <v>KUUM_478</v>
      </c>
      <c r="AL777" s="439" t="str">
        <f>VLOOKUP(AM777,MiscData!$AB$4:$AE$115,4,FALSE)</f>
        <v>LS</v>
      </c>
      <c r="AM777" s="34">
        <f>IF(AM776=MiscData!$AB$91,1,AM776+1)</f>
        <v>72</v>
      </c>
    </row>
    <row r="778" spans="1:39">
      <c r="A778" s="389">
        <f t="shared" si="309"/>
        <v>777</v>
      </c>
      <c r="B778" s="395" t="str">
        <f t="shared" si="290"/>
        <v>Sep 2014</v>
      </c>
      <c r="C778" s="396" t="str">
        <f t="shared" si="291"/>
        <v>LS</v>
      </c>
      <c r="D778" s="396" t="str">
        <f t="shared" si="292"/>
        <v>KUUM_479</v>
      </c>
      <c r="E778" s="394">
        <f t="shared" si="293"/>
        <v>889</v>
      </c>
      <c r="F778" s="397">
        <v>0</v>
      </c>
      <c r="G778" s="394">
        <f t="shared" si="294"/>
        <v>0</v>
      </c>
      <c r="H778" s="394">
        <v>0</v>
      </c>
      <c r="I778" s="390">
        <f t="shared" si="295"/>
        <v>33.119999999999997</v>
      </c>
      <c r="J778" s="390">
        <f t="shared" si="296"/>
        <v>4.529999999999994</v>
      </c>
      <c r="K778" s="391">
        <f t="shared" si="310"/>
        <v>29443.68</v>
      </c>
      <c r="L778" s="398">
        <v>0</v>
      </c>
      <c r="M778" s="398">
        <v>0</v>
      </c>
      <c r="N778" s="164">
        <f t="shared" si="289"/>
        <v>29443.68</v>
      </c>
      <c r="O778" s="399">
        <f t="shared" si="297"/>
        <v>0</v>
      </c>
      <c r="P778" s="392">
        <f t="shared" si="311"/>
        <v>0</v>
      </c>
      <c r="Q778" s="164">
        <f t="shared" si="298"/>
        <v>0</v>
      </c>
      <c r="R778" s="164">
        <f t="shared" si="299"/>
        <v>0</v>
      </c>
      <c r="S778" s="164">
        <f t="shared" si="300"/>
        <v>0</v>
      </c>
      <c r="T778" s="164">
        <f t="shared" si="301"/>
        <v>0</v>
      </c>
      <c r="U778" s="164">
        <f t="shared" si="302"/>
        <v>0</v>
      </c>
      <c r="V778" s="393">
        <f t="shared" si="303"/>
        <v>29443.68</v>
      </c>
      <c r="W778" s="393">
        <f t="shared" si="304"/>
        <v>-29443.68</v>
      </c>
      <c r="Y778" s="393">
        <f t="shared" si="307"/>
        <v>4027.17</v>
      </c>
      <c r="Z778" s="393">
        <f t="shared" si="308"/>
        <v>-4027.17</v>
      </c>
      <c r="AD778" s="395">
        <f>IF(AH778&gt;AH777,AD777,IF(AD777&lt;MiscData!$F$1,EOMONTH(AD777,1),EOMONTH(AD777,-11)))</f>
        <v>41912</v>
      </c>
      <c r="AE778" s="389" t="str">
        <f t="shared" si="305"/>
        <v>20140101KUUM_479</v>
      </c>
      <c r="AF778" s="437" t="str">
        <f t="shared" si="306"/>
        <v>20140101LS</v>
      </c>
      <c r="AG778" s="438"/>
      <c r="AH778" s="34">
        <f>IF(AH777=MiscData!$AB$91,1,AH777+1)</f>
        <v>73</v>
      </c>
      <c r="AI778" s="34">
        <f>IF(AD778&lt;=MiscData!$B$23,MiscData!$C$23,IF(AD778&lt;=MiscData!$B$24,MiscData!$C$24,MiscData!$C$25))</f>
        <v>20140101</v>
      </c>
      <c r="AK778" s="439" t="str">
        <f>VLOOKUP(AM778,MiscData!$AB$4:$ACB$113,2,FALSE)</f>
        <v>KUUM_479</v>
      </c>
      <c r="AL778" s="439" t="str">
        <f>VLOOKUP(AM778,MiscData!$AB$4:$AE$115,4,FALSE)</f>
        <v>LS</v>
      </c>
      <c r="AM778" s="34">
        <f>IF(AM777=MiscData!$AB$91,1,AM777+1)</f>
        <v>73</v>
      </c>
    </row>
    <row r="779" spans="1:39">
      <c r="A779" s="389">
        <f t="shared" si="309"/>
        <v>778</v>
      </c>
      <c r="B779" s="395" t="str">
        <f t="shared" si="290"/>
        <v>Sep 2014</v>
      </c>
      <c r="C779" s="396" t="str">
        <f t="shared" si="291"/>
        <v>LS</v>
      </c>
      <c r="D779" s="396" t="str">
        <f t="shared" si="292"/>
        <v>KUUM_486</v>
      </c>
      <c r="E779" s="394">
        <f t="shared" si="293"/>
        <v>0</v>
      </c>
      <c r="F779" s="397">
        <v>0</v>
      </c>
      <c r="G779" s="394">
        <f t="shared" si="294"/>
        <v>0</v>
      </c>
      <c r="H779" s="394">
        <v>0</v>
      </c>
      <c r="I779" s="390">
        <f t="shared" si="295"/>
        <v>0</v>
      </c>
      <c r="J779" s="390">
        <f t="shared" si="296"/>
        <v>0</v>
      </c>
      <c r="K779" s="391">
        <f t="shared" si="310"/>
        <v>0</v>
      </c>
      <c r="L779" s="398">
        <v>0</v>
      </c>
      <c r="M779" s="398">
        <v>0</v>
      </c>
      <c r="N779" s="164">
        <f t="shared" si="289"/>
        <v>0</v>
      </c>
      <c r="O779" s="399">
        <f t="shared" si="297"/>
        <v>0</v>
      </c>
      <c r="P779" s="392">
        <f t="shared" si="311"/>
        <v>1</v>
      </c>
      <c r="Q779" s="164">
        <f t="shared" si="298"/>
        <v>0</v>
      </c>
      <c r="R779" s="164">
        <f t="shared" si="299"/>
        <v>0</v>
      </c>
      <c r="S779" s="164">
        <f t="shared" si="300"/>
        <v>0</v>
      </c>
      <c r="T779" s="164">
        <f t="shared" si="301"/>
        <v>0</v>
      </c>
      <c r="U779" s="164">
        <f t="shared" si="302"/>
        <v>0</v>
      </c>
      <c r="V779" s="393">
        <f t="shared" si="303"/>
        <v>0</v>
      </c>
      <c r="W779" s="393">
        <f t="shared" si="304"/>
        <v>0</v>
      </c>
      <c r="Y779" s="393">
        <f t="shared" si="307"/>
        <v>0</v>
      </c>
      <c r="Z779" s="393">
        <f t="shared" si="308"/>
        <v>0</v>
      </c>
      <c r="AD779" s="395">
        <f>IF(AH779&gt;AH778,AD778,IF(AD778&lt;MiscData!$F$1,EOMONTH(AD778,1),EOMONTH(AD778,-11)))</f>
        <v>41912</v>
      </c>
      <c r="AE779" s="389" t="str">
        <f t="shared" si="305"/>
        <v>20140101KUUM_486</v>
      </c>
      <c r="AF779" s="437" t="str">
        <f t="shared" si="306"/>
        <v>20140101LS</v>
      </c>
      <c r="AG779" s="438"/>
      <c r="AH779" s="34">
        <f>IF(AH778=MiscData!$AB$91,1,AH778+1)</f>
        <v>74</v>
      </c>
      <c r="AI779" s="34">
        <f>IF(AD779&lt;=MiscData!$B$23,MiscData!$C$23,IF(AD779&lt;=MiscData!$B$24,MiscData!$C$24,MiscData!$C$25))</f>
        <v>20140101</v>
      </c>
      <c r="AK779" s="439" t="str">
        <f>VLOOKUP(AM779,MiscData!$AB$4:$ACB$113,2,FALSE)</f>
        <v>KUUM_486</v>
      </c>
      <c r="AL779" s="439" t="str">
        <f>VLOOKUP(AM779,MiscData!$AB$4:$AE$115,4,FALSE)</f>
        <v>LS</v>
      </c>
      <c r="AM779" s="34">
        <f>IF(AM778=MiscData!$AB$91,1,AM778+1)</f>
        <v>74</v>
      </c>
    </row>
    <row r="780" spans="1:39">
      <c r="A780" s="389">
        <f t="shared" si="309"/>
        <v>779</v>
      </c>
      <c r="B780" s="395" t="str">
        <f t="shared" si="290"/>
        <v>Sep 2014</v>
      </c>
      <c r="C780" s="396" t="str">
        <f t="shared" si="291"/>
        <v>LS</v>
      </c>
      <c r="D780" s="396" t="str">
        <f t="shared" si="292"/>
        <v>KUUM_487</v>
      </c>
      <c r="E780" s="394">
        <f t="shared" si="293"/>
        <v>10610</v>
      </c>
      <c r="F780" s="397">
        <v>0</v>
      </c>
      <c r="G780" s="394">
        <f t="shared" si="294"/>
        <v>0</v>
      </c>
      <c r="H780" s="394">
        <v>0</v>
      </c>
      <c r="I780" s="390">
        <f t="shared" si="295"/>
        <v>9</v>
      </c>
      <c r="J780" s="390">
        <f t="shared" si="296"/>
        <v>1.1299999999999999</v>
      </c>
      <c r="K780" s="391">
        <f t="shared" si="310"/>
        <v>95490</v>
      </c>
      <c r="L780" s="398">
        <v>0</v>
      </c>
      <c r="M780" s="398">
        <v>0</v>
      </c>
      <c r="N780" s="164">
        <f t="shared" si="289"/>
        <v>95490</v>
      </c>
      <c r="O780" s="399">
        <f t="shared" si="297"/>
        <v>0</v>
      </c>
      <c r="P780" s="392">
        <f t="shared" si="311"/>
        <v>0</v>
      </c>
      <c r="Q780" s="164">
        <f t="shared" si="298"/>
        <v>0</v>
      </c>
      <c r="R780" s="164">
        <f t="shared" si="299"/>
        <v>0</v>
      </c>
      <c r="S780" s="164">
        <f t="shared" si="300"/>
        <v>0</v>
      </c>
      <c r="T780" s="164">
        <f t="shared" si="301"/>
        <v>0</v>
      </c>
      <c r="U780" s="164">
        <f t="shared" si="302"/>
        <v>0</v>
      </c>
      <c r="V780" s="393">
        <f t="shared" si="303"/>
        <v>95490</v>
      </c>
      <c r="W780" s="393">
        <f t="shared" si="304"/>
        <v>-95490</v>
      </c>
      <c r="Y780" s="393">
        <f t="shared" si="307"/>
        <v>11989.3</v>
      </c>
      <c r="Z780" s="393">
        <f t="shared" si="308"/>
        <v>-11989.3</v>
      </c>
      <c r="AD780" s="395">
        <f>IF(AH780&gt;AH779,AD779,IF(AD779&lt;MiscData!$F$1,EOMONTH(AD779,1),EOMONTH(AD779,-11)))</f>
        <v>41912</v>
      </c>
      <c r="AE780" s="389" t="str">
        <f t="shared" si="305"/>
        <v>20140101KUUM_487</v>
      </c>
      <c r="AF780" s="437" t="str">
        <f t="shared" si="306"/>
        <v>20140101LS</v>
      </c>
      <c r="AG780" s="438"/>
      <c r="AH780" s="34">
        <f>IF(AH779=MiscData!$AB$91,1,AH779+1)</f>
        <v>75</v>
      </c>
      <c r="AI780" s="34">
        <f>IF(AD780&lt;=MiscData!$B$23,MiscData!$C$23,IF(AD780&lt;=MiscData!$B$24,MiscData!$C$24,MiscData!$C$25))</f>
        <v>20140101</v>
      </c>
      <c r="AK780" s="439" t="str">
        <f>VLOOKUP(AM780,MiscData!$AB$4:$ACB$113,2,FALSE)</f>
        <v>KUUM_487</v>
      </c>
      <c r="AL780" s="439" t="str">
        <f>VLOOKUP(AM780,MiscData!$AB$4:$AE$115,4,FALSE)</f>
        <v>LS</v>
      </c>
      <c r="AM780" s="34">
        <f>IF(AM779=MiscData!$AB$91,1,AM779+1)</f>
        <v>75</v>
      </c>
    </row>
    <row r="781" spans="1:39">
      <c r="A781" s="389">
        <f t="shared" si="309"/>
        <v>780</v>
      </c>
      <c r="B781" s="395" t="str">
        <f t="shared" si="290"/>
        <v>Sep 2014</v>
      </c>
      <c r="C781" s="396" t="str">
        <f t="shared" si="291"/>
        <v>LS</v>
      </c>
      <c r="D781" s="396" t="str">
        <f t="shared" si="292"/>
        <v>KUUM_488</v>
      </c>
      <c r="E781" s="394">
        <f t="shared" si="293"/>
        <v>6289</v>
      </c>
      <c r="F781" s="397">
        <v>0</v>
      </c>
      <c r="G781" s="394">
        <f t="shared" si="294"/>
        <v>0</v>
      </c>
      <c r="H781" s="394">
        <v>0</v>
      </c>
      <c r="I781" s="390">
        <f t="shared" si="295"/>
        <v>13.639999999999999</v>
      </c>
      <c r="J781" s="390">
        <f t="shared" si="296"/>
        <v>2.33</v>
      </c>
      <c r="K781" s="391">
        <f t="shared" si="310"/>
        <v>85781.96</v>
      </c>
      <c r="L781" s="398">
        <v>0</v>
      </c>
      <c r="M781" s="398">
        <v>0</v>
      </c>
      <c r="N781" s="164">
        <f t="shared" si="289"/>
        <v>85781.96</v>
      </c>
      <c r="O781" s="399">
        <f t="shared" si="297"/>
        <v>0</v>
      </c>
      <c r="P781" s="392">
        <f t="shared" si="311"/>
        <v>0</v>
      </c>
      <c r="Q781" s="164">
        <f t="shared" si="298"/>
        <v>0</v>
      </c>
      <c r="R781" s="164">
        <f t="shared" si="299"/>
        <v>0</v>
      </c>
      <c r="S781" s="164">
        <f t="shared" si="300"/>
        <v>0</v>
      </c>
      <c r="T781" s="164">
        <f t="shared" si="301"/>
        <v>0</v>
      </c>
      <c r="U781" s="164">
        <f t="shared" si="302"/>
        <v>0</v>
      </c>
      <c r="V781" s="393">
        <f t="shared" si="303"/>
        <v>85781.96</v>
      </c>
      <c r="W781" s="393">
        <f t="shared" si="304"/>
        <v>-85781.96</v>
      </c>
      <c r="Y781" s="393">
        <f t="shared" si="307"/>
        <v>14653.37</v>
      </c>
      <c r="Z781" s="393">
        <f t="shared" si="308"/>
        <v>-14653.37</v>
      </c>
      <c r="AD781" s="395">
        <f>IF(AH781&gt;AH780,AD780,IF(AD780&lt;MiscData!$F$1,EOMONTH(AD780,1),EOMONTH(AD780,-11)))</f>
        <v>41912</v>
      </c>
      <c r="AE781" s="389" t="str">
        <f t="shared" si="305"/>
        <v>20140101KUUM_488</v>
      </c>
      <c r="AF781" s="437" t="str">
        <f t="shared" si="306"/>
        <v>20140101LS</v>
      </c>
      <c r="AG781" s="438"/>
      <c r="AH781" s="34">
        <f>IF(AH780=MiscData!$AB$91,1,AH780+1)</f>
        <v>76</v>
      </c>
      <c r="AI781" s="34">
        <f>IF(AD781&lt;=MiscData!$B$23,MiscData!$C$23,IF(AD781&lt;=MiscData!$B$24,MiscData!$C$24,MiscData!$C$25))</f>
        <v>20140101</v>
      </c>
      <c r="AK781" s="439" t="str">
        <f>VLOOKUP(AM781,MiscData!$AB$4:$ACB$113,2,FALSE)</f>
        <v>KUUM_488</v>
      </c>
      <c r="AL781" s="439" t="str">
        <f>VLOOKUP(AM781,MiscData!$AB$4:$AE$115,4,FALSE)</f>
        <v>LS</v>
      </c>
      <c r="AM781" s="34">
        <f>IF(AM780=MiscData!$AB$91,1,AM780+1)</f>
        <v>76</v>
      </c>
    </row>
    <row r="782" spans="1:39">
      <c r="A782" s="389">
        <f t="shared" si="309"/>
        <v>781</v>
      </c>
      <c r="B782" s="395" t="str">
        <f t="shared" si="290"/>
        <v>Sep 2014</v>
      </c>
      <c r="C782" s="396" t="str">
        <f t="shared" si="291"/>
        <v>LS</v>
      </c>
      <c r="D782" s="396" t="str">
        <f t="shared" si="292"/>
        <v>KUUM_489</v>
      </c>
      <c r="E782" s="394">
        <f t="shared" si="293"/>
        <v>7972</v>
      </c>
      <c r="F782" s="397">
        <v>0</v>
      </c>
      <c r="G782" s="394">
        <f t="shared" si="294"/>
        <v>0</v>
      </c>
      <c r="H782" s="394">
        <v>0</v>
      </c>
      <c r="I782" s="390">
        <f t="shared" si="295"/>
        <v>19.46</v>
      </c>
      <c r="J782" s="390">
        <f t="shared" si="296"/>
        <v>4.5300000000000011</v>
      </c>
      <c r="K782" s="391">
        <f t="shared" si="310"/>
        <v>155135.12</v>
      </c>
      <c r="L782" s="398">
        <v>0</v>
      </c>
      <c r="M782" s="398">
        <v>0</v>
      </c>
      <c r="N782" s="164">
        <f t="shared" si="289"/>
        <v>155135.12</v>
      </c>
      <c r="O782" s="399">
        <f t="shared" si="297"/>
        <v>0</v>
      </c>
      <c r="P782" s="392">
        <f t="shared" si="311"/>
        <v>0</v>
      </c>
      <c r="Q782" s="164">
        <f t="shared" si="298"/>
        <v>0</v>
      </c>
      <c r="R782" s="164">
        <f t="shared" si="299"/>
        <v>0</v>
      </c>
      <c r="S782" s="164">
        <f t="shared" si="300"/>
        <v>0</v>
      </c>
      <c r="T782" s="164">
        <f t="shared" si="301"/>
        <v>0</v>
      </c>
      <c r="U782" s="164">
        <f t="shared" si="302"/>
        <v>0</v>
      </c>
      <c r="V782" s="393">
        <f t="shared" si="303"/>
        <v>155135.12</v>
      </c>
      <c r="W782" s="393">
        <f t="shared" si="304"/>
        <v>-155135.12</v>
      </c>
      <c r="Y782" s="393">
        <f t="shared" si="307"/>
        <v>36113.160000000003</v>
      </c>
      <c r="Z782" s="393">
        <f t="shared" si="308"/>
        <v>-36113.160000000003</v>
      </c>
      <c r="AD782" s="395">
        <f>IF(AH782&gt;AH781,AD781,IF(AD781&lt;MiscData!$F$1,EOMONTH(AD781,1),EOMONTH(AD781,-11)))</f>
        <v>41912</v>
      </c>
      <c r="AE782" s="389" t="str">
        <f t="shared" si="305"/>
        <v>20140101KUUM_489</v>
      </c>
      <c r="AF782" s="437" t="str">
        <f t="shared" si="306"/>
        <v>20140101LS</v>
      </c>
      <c r="AG782" s="438"/>
      <c r="AH782" s="34">
        <f>IF(AH781=MiscData!$AB$91,1,AH781+1)</f>
        <v>77</v>
      </c>
      <c r="AI782" s="34">
        <f>IF(AD782&lt;=MiscData!$B$23,MiscData!$C$23,IF(AD782&lt;=MiscData!$B$24,MiscData!$C$24,MiscData!$C$25))</f>
        <v>20140101</v>
      </c>
      <c r="AK782" s="439" t="str">
        <f>VLOOKUP(AM782,MiscData!$AB$4:$ACB$113,2,FALSE)</f>
        <v>KUUM_489</v>
      </c>
      <c r="AL782" s="439" t="str">
        <f>VLOOKUP(AM782,MiscData!$AB$4:$AE$115,4,FALSE)</f>
        <v>LS</v>
      </c>
      <c r="AM782" s="34">
        <f>IF(AM781=MiscData!$AB$91,1,AM781+1)</f>
        <v>77</v>
      </c>
    </row>
    <row r="783" spans="1:39">
      <c r="A783" s="389">
        <f t="shared" si="309"/>
        <v>782</v>
      </c>
      <c r="B783" s="395" t="str">
        <f t="shared" si="290"/>
        <v>Sep 2014</v>
      </c>
      <c r="C783" s="396" t="str">
        <f t="shared" si="291"/>
        <v>LS</v>
      </c>
      <c r="D783" s="396" t="str">
        <f t="shared" si="292"/>
        <v>KUUM_490</v>
      </c>
      <c r="E783" s="394">
        <f t="shared" si="293"/>
        <v>56</v>
      </c>
      <c r="F783" s="397">
        <v>0</v>
      </c>
      <c r="G783" s="394">
        <f t="shared" si="294"/>
        <v>0</v>
      </c>
      <c r="H783" s="394">
        <v>0</v>
      </c>
      <c r="I783" s="390">
        <f t="shared" si="295"/>
        <v>15.47</v>
      </c>
      <c r="J783" s="390">
        <f t="shared" si="296"/>
        <v>1.9700000000000006</v>
      </c>
      <c r="K783" s="391">
        <f t="shared" si="310"/>
        <v>866.32</v>
      </c>
      <c r="L783" s="398">
        <v>0</v>
      </c>
      <c r="M783" s="398">
        <v>0</v>
      </c>
      <c r="N783" s="164">
        <f t="shared" si="289"/>
        <v>866.32</v>
      </c>
      <c r="O783" s="399">
        <f t="shared" si="297"/>
        <v>0</v>
      </c>
      <c r="P783" s="392">
        <f t="shared" si="311"/>
        <v>0</v>
      </c>
      <c r="Q783" s="164">
        <f t="shared" si="298"/>
        <v>0</v>
      </c>
      <c r="R783" s="164">
        <f t="shared" si="299"/>
        <v>0</v>
      </c>
      <c r="S783" s="164">
        <f t="shared" si="300"/>
        <v>0</v>
      </c>
      <c r="T783" s="164">
        <f t="shared" si="301"/>
        <v>0</v>
      </c>
      <c r="U783" s="164">
        <f t="shared" si="302"/>
        <v>0</v>
      </c>
      <c r="V783" s="393">
        <f t="shared" si="303"/>
        <v>866.32</v>
      </c>
      <c r="W783" s="393">
        <f t="shared" si="304"/>
        <v>-866.32</v>
      </c>
      <c r="Y783" s="393">
        <f t="shared" si="307"/>
        <v>110.32</v>
      </c>
      <c r="Z783" s="393">
        <f t="shared" si="308"/>
        <v>-110.32</v>
      </c>
      <c r="AD783" s="395">
        <f>IF(AH783&gt;AH782,AD782,IF(AD782&lt;MiscData!$F$1,EOMONTH(AD782,1),EOMONTH(AD782,-11)))</f>
        <v>41912</v>
      </c>
      <c r="AE783" s="389" t="str">
        <f t="shared" si="305"/>
        <v>20140101KUUM_490</v>
      </c>
      <c r="AF783" s="437" t="str">
        <f t="shared" si="306"/>
        <v>20140101LS</v>
      </c>
      <c r="AG783" s="438"/>
      <c r="AH783" s="34">
        <f>IF(AH782=MiscData!$AB$91,1,AH782+1)</f>
        <v>78</v>
      </c>
      <c r="AI783" s="34">
        <f>IF(AD783&lt;=MiscData!$B$23,MiscData!$C$23,IF(AD783&lt;=MiscData!$B$24,MiscData!$C$24,MiscData!$C$25))</f>
        <v>20140101</v>
      </c>
      <c r="AK783" s="439" t="str">
        <f>VLOOKUP(AM783,MiscData!$AB$4:$ACB$113,2,FALSE)</f>
        <v>KUUM_490</v>
      </c>
      <c r="AL783" s="439" t="str">
        <f>VLOOKUP(AM783,MiscData!$AB$4:$AE$115,4,FALSE)</f>
        <v>LS</v>
      </c>
      <c r="AM783" s="34">
        <f>IF(AM782=MiscData!$AB$91,1,AM782+1)</f>
        <v>78</v>
      </c>
    </row>
    <row r="784" spans="1:39">
      <c r="A784" s="389">
        <f t="shared" si="309"/>
        <v>783</v>
      </c>
      <c r="B784" s="395" t="str">
        <f t="shared" si="290"/>
        <v>Sep 2014</v>
      </c>
      <c r="C784" s="396" t="str">
        <f t="shared" si="291"/>
        <v>LS</v>
      </c>
      <c r="D784" s="396" t="str">
        <f t="shared" si="292"/>
        <v>KUUM_491</v>
      </c>
      <c r="E784" s="394">
        <f t="shared" si="293"/>
        <v>311</v>
      </c>
      <c r="F784" s="397">
        <v>0</v>
      </c>
      <c r="G784" s="394">
        <f t="shared" si="294"/>
        <v>0</v>
      </c>
      <c r="H784" s="394">
        <v>0</v>
      </c>
      <c r="I784" s="390">
        <f t="shared" si="295"/>
        <v>21.930000000000003</v>
      </c>
      <c r="J784" s="390">
        <f t="shared" si="296"/>
        <v>4.2900000000000027</v>
      </c>
      <c r="K784" s="391">
        <f t="shared" si="310"/>
        <v>6820.23</v>
      </c>
      <c r="L784" s="398">
        <v>0</v>
      </c>
      <c r="M784" s="398">
        <v>0</v>
      </c>
      <c r="N784" s="164">
        <f t="shared" si="289"/>
        <v>6820.23</v>
      </c>
      <c r="O784" s="399">
        <f t="shared" si="297"/>
        <v>0</v>
      </c>
      <c r="P784" s="392">
        <f t="shared" si="311"/>
        <v>0</v>
      </c>
      <c r="Q784" s="164">
        <f t="shared" si="298"/>
        <v>0</v>
      </c>
      <c r="R784" s="164">
        <f t="shared" si="299"/>
        <v>0</v>
      </c>
      <c r="S784" s="164">
        <f t="shared" si="300"/>
        <v>0</v>
      </c>
      <c r="T784" s="164">
        <f t="shared" si="301"/>
        <v>0</v>
      </c>
      <c r="U784" s="164">
        <f t="shared" si="302"/>
        <v>0</v>
      </c>
      <c r="V784" s="393">
        <f t="shared" si="303"/>
        <v>6820.23</v>
      </c>
      <c r="W784" s="393">
        <f t="shared" si="304"/>
        <v>-6820.23</v>
      </c>
      <c r="Y784" s="393">
        <f t="shared" si="307"/>
        <v>1334.19</v>
      </c>
      <c r="Z784" s="393">
        <f t="shared" si="308"/>
        <v>-1334.19</v>
      </c>
      <c r="AD784" s="395">
        <f>IF(AH784&gt;AH783,AD783,IF(AD783&lt;MiscData!$F$1,EOMONTH(AD783,1),EOMONTH(AD783,-11)))</f>
        <v>41912</v>
      </c>
      <c r="AE784" s="389" t="str">
        <f t="shared" si="305"/>
        <v>20140101KUUM_491</v>
      </c>
      <c r="AF784" s="437" t="str">
        <f t="shared" si="306"/>
        <v>20140101LS</v>
      </c>
      <c r="AG784" s="438"/>
      <c r="AH784" s="34">
        <f>IF(AH783=MiscData!$AB$91,1,AH783+1)</f>
        <v>79</v>
      </c>
      <c r="AI784" s="34">
        <f>IF(AD784&lt;=MiscData!$B$23,MiscData!$C$23,IF(AD784&lt;=MiscData!$B$24,MiscData!$C$24,MiscData!$C$25))</f>
        <v>20140101</v>
      </c>
      <c r="AK784" s="439" t="str">
        <f>VLOOKUP(AM784,MiscData!$AB$4:$ACB$113,2,FALSE)</f>
        <v>KUUM_491</v>
      </c>
      <c r="AL784" s="439" t="str">
        <f>VLOOKUP(AM784,MiscData!$AB$4:$AE$115,4,FALSE)</f>
        <v>LS</v>
      </c>
      <c r="AM784" s="34">
        <f>IF(AM783=MiscData!$AB$91,1,AM783+1)</f>
        <v>79</v>
      </c>
    </row>
    <row r="785" spans="1:39">
      <c r="A785" s="389">
        <f t="shared" si="309"/>
        <v>784</v>
      </c>
      <c r="B785" s="395" t="str">
        <f t="shared" si="290"/>
        <v>Sep 2014</v>
      </c>
      <c r="C785" s="396" t="str">
        <f t="shared" si="291"/>
        <v>LS</v>
      </c>
      <c r="D785" s="396" t="str">
        <f t="shared" si="292"/>
        <v>KUUM_492</v>
      </c>
      <c r="E785" s="394">
        <f t="shared" si="293"/>
        <v>2</v>
      </c>
      <c r="F785" s="397">
        <v>0</v>
      </c>
      <c r="G785" s="394">
        <f t="shared" si="294"/>
        <v>0</v>
      </c>
      <c r="H785" s="394">
        <v>0</v>
      </c>
      <c r="I785" s="390">
        <f t="shared" si="295"/>
        <v>15.370000000000001</v>
      </c>
      <c r="J785" s="390">
        <f t="shared" si="296"/>
        <v>0.80000000000000071</v>
      </c>
      <c r="K785" s="391">
        <f t="shared" si="310"/>
        <v>30.74</v>
      </c>
      <c r="L785" s="398">
        <v>0</v>
      </c>
      <c r="M785" s="398">
        <v>0</v>
      </c>
      <c r="N785" s="164">
        <f t="shared" si="289"/>
        <v>30.74</v>
      </c>
      <c r="O785" s="399">
        <f t="shared" si="297"/>
        <v>0</v>
      </c>
      <c r="P785" s="392">
        <f t="shared" si="311"/>
        <v>0</v>
      </c>
      <c r="Q785" s="164">
        <f t="shared" si="298"/>
        <v>0</v>
      </c>
      <c r="R785" s="164">
        <f t="shared" si="299"/>
        <v>0</v>
      </c>
      <c r="S785" s="164">
        <f t="shared" si="300"/>
        <v>0</v>
      </c>
      <c r="T785" s="164">
        <f t="shared" si="301"/>
        <v>0</v>
      </c>
      <c r="U785" s="164">
        <f t="shared" si="302"/>
        <v>0</v>
      </c>
      <c r="V785" s="393">
        <f t="shared" si="303"/>
        <v>30.74</v>
      </c>
      <c r="W785" s="393">
        <f t="shared" si="304"/>
        <v>-30.74</v>
      </c>
      <c r="Y785" s="393">
        <f t="shared" si="307"/>
        <v>1.6</v>
      </c>
      <c r="Z785" s="393">
        <f t="shared" si="308"/>
        <v>-1.6</v>
      </c>
      <c r="AD785" s="395">
        <f>IF(AH785&gt;AH784,AD784,IF(AD784&lt;MiscData!$F$1,EOMONTH(AD784,1),EOMONTH(AD784,-11)))</f>
        <v>41912</v>
      </c>
      <c r="AE785" s="389" t="str">
        <f t="shared" si="305"/>
        <v>20140101KUUM_492</v>
      </c>
      <c r="AF785" s="437" t="str">
        <f t="shared" si="306"/>
        <v>20140101LS</v>
      </c>
      <c r="AG785" s="438"/>
      <c r="AH785" s="34">
        <f>IF(AH784=MiscData!$AB$91,1,AH784+1)</f>
        <v>80</v>
      </c>
      <c r="AI785" s="34">
        <f>IF(AD785&lt;=MiscData!$B$23,MiscData!$C$23,IF(AD785&lt;=MiscData!$B$24,MiscData!$C$24,MiscData!$C$25))</f>
        <v>20140101</v>
      </c>
      <c r="AK785" s="439" t="str">
        <f>VLOOKUP(AM785,MiscData!$AB$4:$ACB$113,2,FALSE)</f>
        <v>KUUM_492</v>
      </c>
      <c r="AL785" s="439" t="str">
        <f>VLOOKUP(AM785,MiscData!$AB$4:$AE$115,4,FALSE)</f>
        <v>LS</v>
      </c>
      <c r="AM785" s="34">
        <f>IF(AM784=MiscData!$AB$91,1,AM784+1)</f>
        <v>80</v>
      </c>
    </row>
    <row r="786" spans="1:39">
      <c r="A786" s="389">
        <f t="shared" si="309"/>
        <v>785</v>
      </c>
      <c r="B786" s="395" t="str">
        <f t="shared" si="290"/>
        <v>Sep 2014</v>
      </c>
      <c r="C786" s="396" t="str">
        <f t="shared" si="291"/>
        <v>LS</v>
      </c>
      <c r="D786" s="396" t="str">
        <f t="shared" si="292"/>
        <v>KUUM_493</v>
      </c>
      <c r="E786" s="394">
        <f t="shared" si="293"/>
        <v>48</v>
      </c>
      <c r="F786" s="397">
        <v>0</v>
      </c>
      <c r="G786" s="394">
        <f t="shared" si="294"/>
        <v>0</v>
      </c>
      <c r="H786" s="394">
        <v>0</v>
      </c>
      <c r="I786" s="390">
        <f t="shared" si="295"/>
        <v>45.7</v>
      </c>
      <c r="J786" s="390">
        <f t="shared" si="296"/>
        <v>10.409999999999997</v>
      </c>
      <c r="K786" s="391">
        <f t="shared" si="310"/>
        <v>2193.6</v>
      </c>
      <c r="L786" s="398">
        <v>0</v>
      </c>
      <c r="M786" s="398">
        <v>0</v>
      </c>
      <c r="N786" s="164">
        <f t="shared" si="289"/>
        <v>2193.6</v>
      </c>
      <c r="O786" s="399">
        <f t="shared" si="297"/>
        <v>0</v>
      </c>
      <c r="P786" s="392">
        <f t="shared" si="311"/>
        <v>0</v>
      </c>
      <c r="Q786" s="164">
        <f t="shared" si="298"/>
        <v>0</v>
      </c>
      <c r="R786" s="164">
        <f t="shared" si="299"/>
        <v>0</v>
      </c>
      <c r="S786" s="164">
        <f t="shared" si="300"/>
        <v>0</v>
      </c>
      <c r="T786" s="164">
        <f t="shared" si="301"/>
        <v>0</v>
      </c>
      <c r="U786" s="164">
        <f t="shared" si="302"/>
        <v>0</v>
      </c>
      <c r="V786" s="393">
        <f t="shared" si="303"/>
        <v>2193.6</v>
      </c>
      <c r="W786" s="393">
        <f t="shared" si="304"/>
        <v>-2193.6</v>
      </c>
      <c r="Y786" s="393">
        <f t="shared" si="307"/>
        <v>499.68</v>
      </c>
      <c r="Z786" s="393">
        <f t="shared" si="308"/>
        <v>-499.68</v>
      </c>
      <c r="AD786" s="395">
        <f>IF(AH786&gt;AH785,AD785,IF(AD785&lt;MiscData!$F$1,EOMONTH(AD785,1),EOMONTH(AD785,-11)))</f>
        <v>41912</v>
      </c>
      <c r="AE786" s="389" t="str">
        <f t="shared" si="305"/>
        <v>20140101KUUM_493</v>
      </c>
      <c r="AF786" s="437" t="str">
        <f t="shared" si="306"/>
        <v>20140101LS</v>
      </c>
      <c r="AG786" s="438"/>
      <c r="AH786" s="34">
        <f>IF(AH785=MiscData!$AB$91,1,AH785+1)</f>
        <v>81</v>
      </c>
      <c r="AI786" s="34">
        <f>IF(AD786&lt;=MiscData!$B$23,MiscData!$C$23,IF(AD786&lt;=MiscData!$B$24,MiscData!$C$24,MiscData!$C$25))</f>
        <v>20140101</v>
      </c>
      <c r="AK786" s="439" t="str">
        <f>VLOOKUP(AM786,MiscData!$AB$4:$ACB$113,2,FALSE)</f>
        <v>KUUM_493</v>
      </c>
      <c r="AL786" s="439" t="str">
        <f>VLOOKUP(AM786,MiscData!$AB$4:$AE$115,4,FALSE)</f>
        <v>LS</v>
      </c>
      <c r="AM786" s="34">
        <f>IF(AM785=MiscData!$AB$91,1,AM785+1)</f>
        <v>81</v>
      </c>
    </row>
    <row r="787" spans="1:39">
      <c r="A787" s="389">
        <f t="shared" si="309"/>
        <v>786</v>
      </c>
      <c r="B787" s="395" t="str">
        <f t="shared" si="290"/>
        <v>Sep 2014</v>
      </c>
      <c r="C787" s="396" t="str">
        <f t="shared" si="291"/>
        <v>LS</v>
      </c>
      <c r="D787" s="396" t="str">
        <f t="shared" si="292"/>
        <v>KUUM_494</v>
      </c>
      <c r="E787" s="394">
        <f t="shared" si="293"/>
        <v>191</v>
      </c>
      <c r="F787" s="397">
        <v>0</v>
      </c>
      <c r="G787" s="394">
        <f t="shared" si="294"/>
        <v>0</v>
      </c>
      <c r="H787" s="394">
        <v>0</v>
      </c>
      <c r="I787" s="390">
        <f t="shared" si="295"/>
        <v>28.37</v>
      </c>
      <c r="J787" s="390">
        <f t="shared" si="296"/>
        <v>1.9699999999999989</v>
      </c>
      <c r="K787" s="391">
        <f t="shared" si="310"/>
        <v>5418.67</v>
      </c>
      <c r="L787" s="398">
        <v>0</v>
      </c>
      <c r="M787" s="398">
        <v>0</v>
      </c>
      <c r="N787" s="164">
        <f t="shared" si="289"/>
        <v>5418.67</v>
      </c>
      <c r="O787" s="399">
        <f t="shared" si="297"/>
        <v>0</v>
      </c>
      <c r="P787" s="392">
        <f t="shared" si="311"/>
        <v>0</v>
      </c>
      <c r="Q787" s="164">
        <f t="shared" si="298"/>
        <v>0</v>
      </c>
      <c r="R787" s="164">
        <f t="shared" si="299"/>
        <v>0</v>
      </c>
      <c r="S787" s="164">
        <f t="shared" si="300"/>
        <v>0</v>
      </c>
      <c r="T787" s="164">
        <f t="shared" si="301"/>
        <v>0</v>
      </c>
      <c r="U787" s="164">
        <f t="shared" si="302"/>
        <v>0</v>
      </c>
      <c r="V787" s="393">
        <f t="shared" si="303"/>
        <v>5418.67</v>
      </c>
      <c r="W787" s="393">
        <f t="shared" si="304"/>
        <v>-5418.67</v>
      </c>
      <c r="Y787" s="393">
        <f t="shared" si="307"/>
        <v>376.27</v>
      </c>
      <c r="Z787" s="393">
        <f t="shared" si="308"/>
        <v>-376.27</v>
      </c>
      <c r="AD787" s="395">
        <f>IF(AH787&gt;AH786,AD786,IF(AD786&lt;MiscData!$F$1,EOMONTH(AD786,1),EOMONTH(AD786,-11)))</f>
        <v>41912</v>
      </c>
      <c r="AE787" s="389" t="str">
        <f t="shared" si="305"/>
        <v>20140101KUUM_494</v>
      </c>
      <c r="AF787" s="437" t="str">
        <f t="shared" si="306"/>
        <v>20140101LS</v>
      </c>
      <c r="AG787" s="438"/>
      <c r="AH787" s="34">
        <f>IF(AH786=MiscData!$AB$91,1,AH786+1)</f>
        <v>82</v>
      </c>
      <c r="AI787" s="34">
        <f>IF(AD787&lt;=MiscData!$B$23,MiscData!$C$23,IF(AD787&lt;=MiscData!$B$24,MiscData!$C$24,MiscData!$C$25))</f>
        <v>20140101</v>
      </c>
      <c r="AK787" s="439" t="str">
        <f>VLOOKUP(AM787,MiscData!$AB$4:$ACB$113,2,FALSE)</f>
        <v>KUUM_494</v>
      </c>
      <c r="AL787" s="439" t="str">
        <f>VLOOKUP(AM787,MiscData!$AB$4:$AE$115,4,FALSE)</f>
        <v>LS</v>
      </c>
      <c r="AM787" s="34">
        <f>IF(AM786=MiscData!$AB$91,1,AM786+1)</f>
        <v>82</v>
      </c>
    </row>
    <row r="788" spans="1:39">
      <c r="A788" s="389">
        <f t="shared" si="309"/>
        <v>787</v>
      </c>
      <c r="B788" s="395" t="str">
        <f t="shared" si="290"/>
        <v>Sep 2014</v>
      </c>
      <c r="C788" s="396" t="str">
        <f t="shared" si="291"/>
        <v>LS</v>
      </c>
      <c r="D788" s="396" t="str">
        <f t="shared" si="292"/>
        <v>KUUM_495</v>
      </c>
      <c r="E788" s="394">
        <f t="shared" si="293"/>
        <v>612</v>
      </c>
      <c r="F788" s="397">
        <v>0</v>
      </c>
      <c r="G788" s="394">
        <f t="shared" si="294"/>
        <v>0</v>
      </c>
      <c r="H788" s="394">
        <v>0</v>
      </c>
      <c r="I788" s="390">
        <f t="shared" si="295"/>
        <v>34.830000000000005</v>
      </c>
      <c r="J788" s="390">
        <f t="shared" si="296"/>
        <v>4.2899999999999991</v>
      </c>
      <c r="K788" s="391">
        <f t="shared" si="310"/>
        <v>21315.96</v>
      </c>
      <c r="L788" s="398">
        <v>0</v>
      </c>
      <c r="M788" s="398">
        <v>0</v>
      </c>
      <c r="N788" s="164">
        <f t="shared" si="289"/>
        <v>21315.96</v>
      </c>
      <c r="O788" s="399">
        <f t="shared" si="297"/>
        <v>0</v>
      </c>
      <c r="P788" s="392">
        <f t="shared" si="311"/>
        <v>0</v>
      </c>
      <c r="Q788" s="164">
        <f t="shared" si="298"/>
        <v>0</v>
      </c>
      <c r="R788" s="164">
        <f t="shared" si="299"/>
        <v>0</v>
      </c>
      <c r="S788" s="164">
        <f t="shared" si="300"/>
        <v>0</v>
      </c>
      <c r="T788" s="164">
        <f t="shared" si="301"/>
        <v>0</v>
      </c>
      <c r="U788" s="164">
        <f t="shared" si="302"/>
        <v>0</v>
      </c>
      <c r="V788" s="393">
        <f t="shared" si="303"/>
        <v>21315.96</v>
      </c>
      <c r="W788" s="393">
        <f t="shared" si="304"/>
        <v>-21315.96</v>
      </c>
      <c r="Y788" s="393">
        <f t="shared" si="307"/>
        <v>2625.48</v>
      </c>
      <c r="Z788" s="393">
        <f t="shared" si="308"/>
        <v>-2625.48</v>
      </c>
      <c r="AD788" s="395">
        <f>IF(AH788&gt;AH787,AD787,IF(AD787&lt;MiscData!$F$1,EOMONTH(AD787,1),EOMONTH(AD787,-11)))</f>
        <v>41912</v>
      </c>
      <c r="AE788" s="389" t="str">
        <f t="shared" si="305"/>
        <v>20140101KUUM_495</v>
      </c>
      <c r="AF788" s="437" t="str">
        <f t="shared" si="306"/>
        <v>20140101LS</v>
      </c>
      <c r="AG788" s="438"/>
      <c r="AH788" s="34">
        <f>IF(AH787=MiscData!$AB$91,1,AH787+1)</f>
        <v>83</v>
      </c>
      <c r="AI788" s="34">
        <f>IF(AD788&lt;=MiscData!$B$23,MiscData!$C$23,IF(AD788&lt;=MiscData!$B$24,MiscData!$C$24,MiscData!$C$25))</f>
        <v>20140101</v>
      </c>
      <c r="AK788" s="439" t="str">
        <f>VLOOKUP(AM788,MiscData!$AB$4:$ACB$113,2,FALSE)</f>
        <v>KUUM_495</v>
      </c>
      <c r="AL788" s="439" t="str">
        <f>VLOOKUP(AM788,MiscData!$AB$4:$AE$115,4,FALSE)</f>
        <v>LS</v>
      </c>
      <c r="AM788" s="34">
        <f>IF(AM787=MiscData!$AB$91,1,AM787+1)</f>
        <v>83</v>
      </c>
    </row>
    <row r="789" spans="1:39">
      <c r="A789" s="389">
        <f t="shared" si="309"/>
        <v>788</v>
      </c>
      <c r="B789" s="395" t="str">
        <f t="shared" si="290"/>
        <v>Sep 2014</v>
      </c>
      <c r="C789" s="396" t="str">
        <f t="shared" si="291"/>
        <v>LS</v>
      </c>
      <c r="D789" s="396" t="str">
        <f t="shared" si="292"/>
        <v>KUUM_496</v>
      </c>
      <c r="E789" s="394">
        <f t="shared" si="293"/>
        <v>159</v>
      </c>
      <c r="F789" s="397">
        <v>0</v>
      </c>
      <c r="G789" s="394">
        <f t="shared" si="294"/>
        <v>0</v>
      </c>
      <c r="H789" s="394">
        <v>0</v>
      </c>
      <c r="I789" s="390">
        <f t="shared" si="295"/>
        <v>58.59</v>
      </c>
      <c r="J789" s="390">
        <f t="shared" si="296"/>
        <v>10.409999999999997</v>
      </c>
      <c r="K789" s="391">
        <f t="shared" si="310"/>
        <v>9315.81</v>
      </c>
      <c r="L789" s="398">
        <v>0</v>
      </c>
      <c r="M789" s="398">
        <v>0</v>
      </c>
      <c r="N789" s="164">
        <f t="shared" si="289"/>
        <v>9315.81</v>
      </c>
      <c r="O789" s="399">
        <f t="shared" si="297"/>
        <v>0</v>
      </c>
      <c r="P789" s="392">
        <f t="shared" si="311"/>
        <v>0</v>
      </c>
      <c r="Q789" s="164">
        <f t="shared" si="298"/>
        <v>0</v>
      </c>
      <c r="R789" s="164">
        <f t="shared" si="299"/>
        <v>0</v>
      </c>
      <c r="S789" s="164">
        <f t="shared" si="300"/>
        <v>0</v>
      </c>
      <c r="T789" s="164">
        <f t="shared" si="301"/>
        <v>0</v>
      </c>
      <c r="U789" s="164">
        <f t="shared" si="302"/>
        <v>0</v>
      </c>
      <c r="V789" s="393">
        <f t="shared" si="303"/>
        <v>9315.81</v>
      </c>
      <c r="W789" s="393">
        <f t="shared" si="304"/>
        <v>-9315.81</v>
      </c>
      <c r="Y789" s="393">
        <f t="shared" si="307"/>
        <v>1655.19</v>
      </c>
      <c r="Z789" s="393">
        <f t="shared" si="308"/>
        <v>-1655.19</v>
      </c>
      <c r="AD789" s="395">
        <f>IF(AH789&gt;AH788,AD788,IF(AD788&lt;MiscData!$F$1,EOMONTH(AD788,1),EOMONTH(AD788,-11)))</f>
        <v>41912</v>
      </c>
      <c r="AE789" s="389" t="str">
        <f t="shared" si="305"/>
        <v>20140101KUUM_496</v>
      </c>
      <c r="AF789" s="437" t="str">
        <f t="shared" si="306"/>
        <v>20140101LS</v>
      </c>
      <c r="AG789" s="438"/>
      <c r="AH789" s="34">
        <f>IF(AH788=MiscData!$AB$91,1,AH788+1)</f>
        <v>84</v>
      </c>
      <c r="AI789" s="34">
        <f>IF(AD789&lt;=MiscData!$B$23,MiscData!$C$23,IF(AD789&lt;=MiscData!$B$24,MiscData!$C$24,MiscData!$C$25))</f>
        <v>20140101</v>
      </c>
      <c r="AK789" s="439" t="str">
        <f>VLOOKUP(AM789,MiscData!$AB$4:$ACB$113,2,FALSE)</f>
        <v>KUUM_496</v>
      </c>
      <c r="AL789" s="439" t="str">
        <f>VLOOKUP(AM789,MiscData!$AB$4:$AE$115,4,FALSE)</f>
        <v>LS</v>
      </c>
      <c r="AM789" s="34">
        <f>IF(AM788=MiscData!$AB$91,1,AM788+1)</f>
        <v>84</v>
      </c>
    </row>
    <row r="790" spans="1:39">
      <c r="A790" s="389">
        <f t="shared" si="309"/>
        <v>789</v>
      </c>
      <c r="B790" s="395" t="str">
        <f t="shared" si="290"/>
        <v>Sep 2014</v>
      </c>
      <c r="C790" s="396" t="str">
        <f t="shared" si="291"/>
        <v>LS</v>
      </c>
      <c r="D790" s="396" t="str">
        <f t="shared" si="292"/>
        <v>KUUM_497</v>
      </c>
      <c r="E790" s="394">
        <f t="shared" si="293"/>
        <v>7</v>
      </c>
      <c r="F790" s="397">
        <v>0</v>
      </c>
      <c r="G790" s="394">
        <f t="shared" si="294"/>
        <v>0</v>
      </c>
      <c r="H790" s="394">
        <v>0</v>
      </c>
      <c r="I790" s="390">
        <f t="shared" si="295"/>
        <v>15.35</v>
      </c>
      <c r="J790" s="390">
        <f t="shared" si="296"/>
        <v>1.1300000000000008</v>
      </c>
      <c r="K790" s="391">
        <f t="shared" si="310"/>
        <v>107.45</v>
      </c>
      <c r="L790" s="398">
        <v>0</v>
      </c>
      <c r="M790" s="398">
        <v>0</v>
      </c>
      <c r="N790" s="164">
        <f t="shared" si="289"/>
        <v>107.45</v>
      </c>
      <c r="O790" s="399">
        <f t="shared" si="297"/>
        <v>0</v>
      </c>
      <c r="P790" s="392">
        <f t="shared" si="311"/>
        <v>0</v>
      </c>
      <c r="Q790" s="164">
        <f t="shared" si="298"/>
        <v>0</v>
      </c>
      <c r="R790" s="164">
        <f t="shared" si="299"/>
        <v>0</v>
      </c>
      <c r="S790" s="164">
        <f t="shared" si="300"/>
        <v>0</v>
      </c>
      <c r="T790" s="164">
        <f t="shared" si="301"/>
        <v>0</v>
      </c>
      <c r="U790" s="164">
        <f t="shared" si="302"/>
        <v>0</v>
      </c>
      <c r="V790" s="393">
        <f t="shared" si="303"/>
        <v>107.45</v>
      </c>
      <c r="W790" s="393">
        <f t="shared" si="304"/>
        <v>-107.45</v>
      </c>
      <c r="Y790" s="393">
        <f t="shared" si="307"/>
        <v>7.91</v>
      </c>
      <c r="Z790" s="393">
        <f t="shared" si="308"/>
        <v>-7.91</v>
      </c>
      <c r="AD790" s="395">
        <f>IF(AH790&gt;AH789,AD789,IF(AD789&lt;MiscData!$F$1,EOMONTH(AD789,1),EOMONTH(AD789,-11)))</f>
        <v>41912</v>
      </c>
      <c r="AE790" s="389" t="str">
        <f t="shared" si="305"/>
        <v>20140101KUUM_497</v>
      </c>
      <c r="AF790" s="437" t="str">
        <f t="shared" si="306"/>
        <v>20140101LS</v>
      </c>
      <c r="AG790" s="438"/>
      <c r="AH790" s="34">
        <f>IF(AH789=MiscData!$AB$91,1,AH789+1)</f>
        <v>85</v>
      </c>
      <c r="AI790" s="34">
        <f>IF(AD790&lt;=MiscData!$B$23,MiscData!$C$23,IF(AD790&lt;=MiscData!$B$24,MiscData!$C$24,MiscData!$C$25))</f>
        <v>20140101</v>
      </c>
      <c r="AK790" s="439" t="str">
        <f>VLOOKUP(AM790,MiscData!$AB$4:$ACB$113,2,FALSE)</f>
        <v>KUUM_497</v>
      </c>
      <c r="AL790" s="439" t="str">
        <f>VLOOKUP(AM790,MiscData!$AB$4:$AE$115,4,FALSE)</f>
        <v>LS</v>
      </c>
      <c r="AM790" s="34">
        <f>IF(AM789=MiscData!$AB$91,1,AM789+1)</f>
        <v>85</v>
      </c>
    </row>
    <row r="791" spans="1:39">
      <c r="A791" s="389">
        <f t="shared" si="309"/>
        <v>790</v>
      </c>
      <c r="B791" s="395" t="str">
        <f t="shared" si="290"/>
        <v>Sep 2014</v>
      </c>
      <c r="C791" s="396" t="str">
        <f t="shared" si="291"/>
        <v>LS</v>
      </c>
      <c r="D791" s="396" t="str">
        <f t="shared" si="292"/>
        <v>KUUM_498</v>
      </c>
      <c r="E791" s="394">
        <f t="shared" si="293"/>
        <v>20</v>
      </c>
      <c r="F791" s="397">
        <v>0</v>
      </c>
      <c r="G791" s="394">
        <f t="shared" si="294"/>
        <v>0</v>
      </c>
      <c r="H791" s="394">
        <v>0</v>
      </c>
      <c r="I791" s="390">
        <f t="shared" si="295"/>
        <v>17.72</v>
      </c>
      <c r="J791" s="390">
        <f t="shared" si="296"/>
        <v>2.33</v>
      </c>
      <c r="K791" s="391">
        <f t="shared" si="310"/>
        <v>354.4</v>
      </c>
      <c r="L791" s="398">
        <v>0</v>
      </c>
      <c r="M791" s="398">
        <v>0</v>
      </c>
      <c r="N791" s="164">
        <f t="shared" si="289"/>
        <v>354.4</v>
      </c>
      <c r="O791" s="399">
        <f t="shared" si="297"/>
        <v>0</v>
      </c>
      <c r="P791" s="392">
        <f t="shared" si="311"/>
        <v>0</v>
      </c>
      <c r="Q791" s="164">
        <f t="shared" si="298"/>
        <v>0</v>
      </c>
      <c r="R791" s="164">
        <f t="shared" si="299"/>
        <v>0</v>
      </c>
      <c r="S791" s="164">
        <f t="shared" si="300"/>
        <v>0</v>
      </c>
      <c r="T791" s="164">
        <f t="shared" si="301"/>
        <v>0</v>
      </c>
      <c r="U791" s="164">
        <f t="shared" si="302"/>
        <v>0</v>
      </c>
      <c r="V791" s="393">
        <f t="shared" si="303"/>
        <v>354.4</v>
      </c>
      <c r="W791" s="393">
        <f t="shared" si="304"/>
        <v>-354.4</v>
      </c>
      <c r="Y791" s="393">
        <f t="shared" si="307"/>
        <v>46.6</v>
      </c>
      <c r="Z791" s="393">
        <f t="shared" si="308"/>
        <v>-46.6</v>
      </c>
      <c r="AD791" s="395">
        <f>IF(AH791&gt;AH790,AD790,IF(AD790&lt;MiscData!$F$1,EOMONTH(AD790,1),EOMONTH(AD790,-11)))</f>
        <v>41912</v>
      </c>
      <c r="AE791" s="389" t="str">
        <f t="shared" si="305"/>
        <v>20140101KUUM_498</v>
      </c>
      <c r="AF791" s="437" t="str">
        <f t="shared" si="306"/>
        <v>20140101LS</v>
      </c>
      <c r="AG791" s="438"/>
      <c r="AH791" s="34">
        <f>IF(AH790=MiscData!$AB$91,1,AH790+1)</f>
        <v>86</v>
      </c>
      <c r="AI791" s="34">
        <f>IF(AD791&lt;=MiscData!$B$23,MiscData!$C$23,IF(AD791&lt;=MiscData!$B$24,MiscData!$C$24,MiscData!$C$25))</f>
        <v>20140101</v>
      </c>
      <c r="AK791" s="439" t="str">
        <f>VLOOKUP(AM791,MiscData!$AB$4:$ACB$113,2,FALSE)</f>
        <v>KUUM_498</v>
      </c>
      <c r="AL791" s="439" t="str">
        <f>VLOOKUP(AM791,MiscData!$AB$4:$AE$115,4,FALSE)</f>
        <v>LS</v>
      </c>
      <c r="AM791" s="34">
        <f>IF(AM790=MiscData!$AB$91,1,AM790+1)</f>
        <v>86</v>
      </c>
    </row>
    <row r="792" spans="1:39">
      <c r="A792" s="389">
        <f t="shared" si="309"/>
        <v>791</v>
      </c>
      <c r="B792" s="395" t="str">
        <f t="shared" si="290"/>
        <v>Sep 2014</v>
      </c>
      <c r="C792" s="396" t="str">
        <f t="shared" si="291"/>
        <v>LS</v>
      </c>
      <c r="D792" s="396" t="str">
        <f t="shared" si="292"/>
        <v>KUUM_499</v>
      </c>
      <c r="E792" s="394">
        <f t="shared" si="293"/>
        <v>19</v>
      </c>
      <c r="F792" s="397">
        <v>0</v>
      </c>
      <c r="G792" s="394">
        <f t="shared" si="294"/>
        <v>0</v>
      </c>
      <c r="H792" s="394">
        <v>0</v>
      </c>
      <c r="I792" s="390">
        <f t="shared" si="295"/>
        <v>21.490000000000002</v>
      </c>
      <c r="J792" s="390">
        <f t="shared" si="296"/>
        <v>4.5300000000000011</v>
      </c>
      <c r="K792" s="391">
        <f t="shared" si="310"/>
        <v>408.31</v>
      </c>
      <c r="L792" s="398">
        <v>0</v>
      </c>
      <c r="M792" s="398">
        <v>0</v>
      </c>
      <c r="N792" s="164">
        <f t="shared" si="289"/>
        <v>408.31</v>
      </c>
      <c r="O792" s="399">
        <f t="shared" si="297"/>
        <v>0</v>
      </c>
      <c r="P792" s="392">
        <f t="shared" si="311"/>
        <v>0</v>
      </c>
      <c r="Q792" s="164">
        <f t="shared" si="298"/>
        <v>0</v>
      </c>
      <c r="R792" s="164">
        <f t="shared" si="299"/>
        <v>0</v>
      </c>
      <c r="S792" s="164">
        <f t="shared" si="300"/>
        <v>0</v>
      </c>
      <c r="T792" s="164">
        <f t="shared" si="301"/>
        <v>0</v>
      </c>
      <c r="U792" s="164">
        <f t="shared" si="302"/>
        <v>0</v>
      </c>
      <c r="V792" s="393">
        <f t="shared" si="303"/>
        <v>408.31</v>
      </c>
      <c r="W792" s="393">
        <f t="shared" si="304"/>
        <v>-408.31</v>
      </c>
      <c r="Y792" s="393">
        <f t="shared" si="307"/>
        <v>86.07</v>
      </c>
      <c r="Z792" s="393">
        <f t="shared" si="308"/>
        <v>-86.07</v>
      </c>
      <c r="AD792" s="395">
        <f>IF(AH792&gt;AH791,AD791,IF(AD791&lt;MiscData!$F$1,EOMONTH(AD791,1),EOMONTH(AD791,-11)))</f>
        <v>41912</v>
      </c>
      <c r="AE792" s="389" t="str">
        <f t="shared" si="305"/>
        <v>20140101KUUM_499</v>
      </c>
      <c r="AF792" s="437" t="str">
        <f t="shared" si="306"/>
        <v>20140101LS</v>
      </c>
      <c r="AG792" s="438"/>
      <c r="AH792" s="34">
        <f>IF(AH791=MiscData!$AB$91,1,AH791+1)</f>
        <v>87</v>
      </c>
      <c r="AI792" s="34">
        <f>IF(AD792&lt;=MiscData!$B$23,MiscData!$C$23,IF(AD792&lt;=MiscData!$B$24,MiscData!$C$24,MiscData!$C$25))</f>
        <v>20140101</v>
      </c>
      <c r="AK792" s="439" t="str">
        <f>VLOOKUP(AM792,MiscData!$AB$4:$ACB$113,2,FALSE)</f>
        <v>KUUM_499</v>
      </c>
      <c r="AL792" s="439" t="str">
        <f>VLOOKUP(AM792,MiscData!$AB$4:$AE$115,4,FALSE)</f>
        <v>LS</v>
      </c>
      <c r="AM792" s="34">
        <f>IF(AM791=MiscData!$AB$91,1,AM791+1)</f>
        <v>87</v>
      </c>
    </row>
    <row r="793" spans="1:39">
      <c r="A793" s="389">
        <f t="shared" si="309"/>
        <v>792</v>
      </c>
      <c r="B793" s="395" t="str">
        <f t="shared" si="290"/>
        <v>Sep 2014</v>
      </c>
      <c r="C793" s="396" t="str">
        <f t="shared" si="291"/>
        <v>ODL</v>
      </c>
      <c r="D793" s="396" t="str">
        <f t="shared" si="292"/>
        <v>ODL</v>
      </c>
      <c r="E793" s="394">
        <f t="shared" si="293"/>
        <v>0</v>
      </c>
      <c r="F793" s="397">
        <v>0</v>
      </c>
      <c r="G793" s="394">
        <f t="shared" si="294"/>
        <v>9717964</v>
      </c>
      <c r="H793" s="394">
        <v>0</v>
      </c>
      <c r="I793" s="390">
        <f t="shared" si="295"/>
        <v>0</v>
      </c>
      <c r="J793" s="390">
        <f t="shared" si="296"/>
        <v>0</v>
      </c>
      <c r="K793" s="391">
        <f t="shared" si="310"/>
        <v>0</v>
      </c>
      <c r="L793" s="398">
        <v>0</v>
      </c>
      <c r="M793" s="398">
        <v>0</v>
      </c>
      <c r="N793" s="164">
        <f t="shared" si="289"/>
        <v>0</v>
      </c>
      <c r="O793" s="399">
        <f t="shared" si="297"/>
        <v>2026718.25</v>
      </c>
      <c r="P793" s="392">
        <f t="shared" si="311"/>
        <v>0</v>
      </c>
      <c r="Q793" s="164">
        <f t="shared" si="298"/>
        <v>-23755</v>
      </c>
      <c r="R793" s="164">
        <f t="shared" si="299"/>
        <v>0</v>
      </c>
      <c r="S793" s="164">
        <f t="shared" si="300"/>
        <v>26745</v>
      </c>
      <c r="T793" s="164">
        <f t="shared" si="301"/>
        <v>0</v>
      </c>
      <c r="U793" s="164">
        <f t="shared" si="302"/>
        <v>2029708.25</v>
      </c>
      <c r="V793" s="393">
        <f t="shared" si="303"/>
        <v>2990</v>
      </c>
      <c r="W793" s="393">
        <f t="shared" si="304"/>
        <v>2026718.25</v>
      </c>
      <c r="Y793" s="393">
        <f t="shared" si="307"/>
        <v>0</v>
      </c>
      <c r="Z793" s="393">
        <f t="shared" si="308"/>
        <v>2026718.25</v>
      </c>
      <c r="AD793" s="395">
        <f>IF(AH793&gt;AH792,AD792,IF(AD792&lt;MiscData!$F$1,EOMONTH(AD792,1),EOMONTH(AD792,-11)))</f>
        <v>41912</v>
      </c>
      <c r="AE793" s="389" t="str">
        <f t="shared" si="305"/>
        <v>20140101ODL</v>
      </c>
      <c r="AF793" s="437" t="str">
        <f t="shared" si="306"/>
        <v>20140101ODL</v>
      </c>
      <c r="AG793" s="438"/>
      <c r="AH793" s="34">
        <f>IF(AH792=MiscData!$AB$91,1,AH792+1)</f>
        <v>88</v>
      </c>
      <c r="AI793" s="34">
        <f>IF(AD793&lt;=MiscData!$B$23,MiscData!$C$23,IF(AD793&lt;=MiscData!$B$24,MiscData!$C$24,MiscData!$C$25))</f>
        <v>20140101</v>
      </c>
      <c r="AK793" s="439" t="str">
        <f>VLOOKUP(AM793,MiscData!$AB$4:$ACB$113,2,FALSE)</f>
        <v>ODL</v>
      </c>
      <c r="AL793" s="439" t="str">
        <f>VLOOKUP(AM793,MiscData!$AB$4:$AE$115,4,FALSE)</f>
        <v>ODL</v>
      </c>
      <c r="AM793" s="34">
        <f>IF(AM792=MiscData!$AB$91,1,AM792+1)</f>
        <v>88</v>
      </c>
    </row>
    <row r="794" spans="1:39">
      <c r="A794" s="389">
        <f t="shared" si="309"/>
        <v>793</v>
      </c>
      <c r="B794" s="395" t="str">
        <f t="shared" si="290"/>
        <v>Oct 2014</v>
      </c>
      <c r="C794" s="396" t="str">
        <f t="shared" si="291"/>
        <v>LS</v>
      </c>
      <c r="D794" s="396" t="str">
        <f t="shared" si="292"/>
        <v>KUUM_300</v>
      </c>
      <c r="E794" s="394">
        <f t="shared" si="293"/>
        <v>0</v>
      </c>
      <c r="F794" s="397">
        <v>0</v>
      </c>
      <c r="G794" s="394">
        <f t="shared" si="294"/>
        <v>0</v>
      </c>
      <c r="H794" s="394">
        <v>0</v>
      </c>
      <c r="I794" s="390">
        <f t="shared" si="295"/>
        <v>22.49</v>
      </c>
      <c r="J794" s="390">
        <f t="shared" si="296"/>
        <v>0.58000000000000185</v>
      </c>
      <c r="K794" s="391">
        <f t="shared" si="310"/>
        <v>0</v>
      </c>
      <c r="L794" s="398">
        <v>0</v>
      </c>
      <c r="M794" s="398">
        <v>0</v>
      </c>
      <c r="N794" s="164">
        <f t="shared" si="289"/>
        <v>0</v>
      </c>
      <c r="O794" s="399">
        <f t="shared" si="297"/>
        <v>0</v>
      </c>
      <c r="P794" s="392">
        <f t="shared" si="311"/>
        <v>1</v>
      </c>
      <c r="Q794" s="164">
        <f t="shared" si="298"/>
        <v>0</v>
      </c>
      <c r="R794" s="164">
        <f t="shared" si="299"/>
        <v>0</v>
      </c>
      <c r="S794" s="164">
        <f t="shared" si="300"/>
        <v>0</v>
      </c>
      <c r="T794" s="164">
        <f t="shared" si="301"/>
        <v>0</v>
      </c>
      <c r="U794" s="164">
        <f t="shared" si="302"/>
        <v>0</v>
      </c>
      <c r="V794" s="393">
        <f t="shared" si="303"/>
        <v>0</v>
      </c>
      <c r="W794" s="393">
        <f t="shared" si="304"/>
        <v>0</v>
      </c>
      <c r="Y794" s="393">
        <f t="shared" si="307"/>
        <v>0</v>
      </c>
      <c r="Z794" s="393">
        <f t="shared" si="308"/>
        <v>0</v>
      </c>
      <c r="AD794" s="395">
        <f>IF(AH794&gt;AH793,AD793,IF(AD793&lt;MiscData!$F$1,EOMONTH(AD793,1),EOMONTH(AD793,-11)))</f>
        <v>41943</v>
      </c>
      <c r="AE794" s="389" t="str">
        <f t="shared" si="305"/>
        <v>20140101KUUM_300</v>
      </c>
      <c r="AF794" s="437" t="str">
        <f t="shared" si="306"/>
        <v>20140101LS</v>
      </c>
      <c r="AG794" s="438"/>
      <c r="AH794" s="34">
        <f>IF(AH793=MiscData!$AB$91,1,AH793+1)</f>
        <v>1</v>
      </c>
      <c r="AI794" s="34">
        <f>IF(AD794&lt;=MiscData!$B$23,MiscData!$C$23,IF(AD794&lt;=MiscData!$B$24,MiscData!$C$24,MiscData!$C$25))</f>
        <v>20140101</v>
      </c>
      <c r="AK794" s="439" t="str">
        <f>VLOOKUP(AM794,MiscData!$AB$4:$ACB$113,2,FALSE)</f>
        <v>KUUM_300</v>
      </c>
      <c r="AL794" s="439" t="str">
        <f>VLOOKUP(AM794,MiscData!$AB$4:$AE$115,4,FALSE)</f>
        <v>LS</v>
      </c>
      <c r="AM794" s="34">
        <f>IF(AM793=MiscData!$AB$91,1,AM793+1)</f>
        <v>1</v>
      </c>
    </row>
    <row r="795" spans="1:39">
      <c r="A795" s="389">
        <f t="shared" si="309"/>
        <v>794</v>
      </c>
      <c r="B795" s="395" t="str">
        <f t="shared" si="290"/>
        <v>Oct 2014</v>
      </c>
      <c r="C795" s="396" t="str">
        <f t="shared" si="291"/>
        <v>LS</v>
      </c>
      <c r="D795" s="396" t="str">
        <f t="shared" si="292"/>
        <v>KUUM_301</v>
      </c>
      <c r="E795" s="394">
        <f t="shared" si="293"/>
        <v>0</v>
      </c>
      <c r="F795" s="397">
        <v>0</v>
      </c>
      <c r="G795" s="394">
        <f t="shared" si="294"/>
        <v>0</v>
      </c>
      <c r="H795" s="394">
        <v>0</v>
      </c>
      <c r="I795" s="390">
        <f t="shared" si="295"/>
        <v>23.5</v>
      </c>
      <c r="J795" s="390">
        <f t="shared" si="296"/>
        <v>1.129999999999999</v>
      </c>
      <c r="K795" s="391">
        <f t="shared" si="310"/>
        <v>0</v>
      </c>
      <c r="L795" s="398">
        <v>0</v>
      </c>
      <c r="M795" s="398">
        <v>0</v>
      </c>
      <c r="N795" s="164">
        <f t="shared" si="289"/>
        <v>0</v>
      </c>
      <c r="O795" s="399">
        <f t="shared" si="297"/>
        <v>0</v>
      </c>
      <c r="P795" s="392">
        <f t="shared" si="311"/>
        <v>1</v>
      </c>
      <c r="Q795" s="164">
        <f t="shared" si="298"/>
        <v>0</v>
      </c>
      <c r="R795" s="164">
        <f t="shared" si="299"/>
        <v>0</v>
      </c>
      <c r="S795" s="164">
        <f t="shared" si="300"/>
        <v>0</v>
      </c>
      <c r="T795" s="164">
        <f t="shared" si="301"/>
        <v>0</v>
      </c>
      <c r="U795" s="164">
        <f t="shared" si="302"/>
        <v>0</v>
      </c>
      <c r="V795" s="393">
        <f t="shared" si="303"/>
        <v>0</v>
      </c>
      <c r="W795" s="393">
        <f t="shared" si="304"/>
        <v>0</v>
      </c>
      <c r="Y795" s="393">
        <f t="shared" si="307"/>
        <v>0</v>
      </c>
      <c r="Z795" s="393">
        <f t="shared" si="308"/>
        <v>0</v>
      </c>
      <c r="AD795" s="395">
        <f>IF(AH795&gt;AH794,AD794,IF(AD794&lt;MiscData!$F$1,EOMONTH(AD794,1),EOMONTH(AD794,-11)))</f>
        <v>41943</v>
      </c>
      <c r="AE795" s="389" t="str">
        <f t="shared" si="305"/>
        <v>20140101KUUM_301</v>
      </c>
      <c r="AF795" s="437" t="str">
        <f t="shared" si="306"/>
        <v>20140101LS</v>
      </c>
      <c r="AG795" s="438"/>
      <c r="AH795" s="34">
        <f>IF(AH794=MiscData!$AB$91,1,AH794+1)</f>
        <v>2</v>
      </c>
      <c r="AI795" s="34">
        <f>IF(AD795&lt;=MiscData!$B$23,MiscData!$C$23,IF(AD795&lt;=MiscData!$B$24,MiscData!$C$24,MiscData!$C$25))</f>
        <v>20140101</v>
      </c>
      <c r="AK795" s="439" t="str">
        <f>VLOOKUP(AM795,MiscData!$AB$4:$ACB$113,2,FALSE)</f>
        <v>KUUM_301</v>
      </c>
      <c r="AL795" s="439" t="str">
        <f>VLOOKUP(AM795,MiscData!$AB$4:$AE$115,4,FALSE)</f>
        <v>LS</v>
      </c>
      <c r="AM795" s="34">
        <f>IF(AM794=MiscData!$AB$91,1,AM794+1)</f>
        <v>2</v>
      </c>
    </row>
    <row r="796" spans="1:39">
      <c r="A796" s="389">
        <f t="shared" si="309"/>
        <v>795</v>
      </c>
      <c r="B796" s="395" t="str">
        <f t="shared" si="290"/>
        <v>Oct 2014</v>
      </c>
      <c r="C796" s="396" t="str">
        <f t="shared" si="291"/>
        <v>LS</v>
      </c>
      <c r="D796" s="396" t="str">
        <f t="shared" si="292"/>
        <v>KUUM_360</v>
      </c>
      <c r="E796" s="394">
        <f t="shared" si="293"/>
        <v>172</v>
      </c>
      <c r="F796" s="397">
        <v>0</v>
      </c>
      <c r="G796" s="394">
        <f t="shared" si="294"/>
        <v>0</v>
      </c>
      <c r="H796" s="394">
        <v>0</v>
      </c>
      <c r="I796" s="390">
        <f t="shared" si="295"/>
        <v>55.33</v>
      </c>
      <c r="J796" s="390">
        <f t="shared" si="296"/>
        <v>1.75</v>
      </c>
      <c r="K796" s="391">
        <f t="shared" si="310"/>
        <v>9516.76</v>
      </c>
      <c r="L796" s="398">
        <v>0</v>
      </c>
      <c r="M796" s="398">
        <v>0</v>
      </c>
      <c r="N796" s="164">
        <f t="shared" si="289"/>
        <v>9516.76</v>
      </c>
      <c r="O796" s="399">
        <f t="shared" si="297"/>
        <v>0</v>
      </c>
      <c r="P796" s="392">
        <f t="shared" si="311"/>
        <v>0</v>
      </c>
      <c r="Q796" s="164">
        <f t="shared" si="298"/>
        <v>0</v>
      </c>
      <c r="R796" s="164">
        <f t="shared" si="299"/>
        <v>0</v>
      </c>
      <c r="S796" s="164">
        <f t="shared" si="300"/>
        <v>0</v>
      </c>
      <c r="T796" s="164">
        <f t="shared" si="301"/>
        <v>0</v>
      </c>
      <c r="U796" s="164">
        <f t="shared" si="302"/>
        <v>0</v>
      </c>
      <c r="V796" s="393">
        <f t="shared" si="303"/>
        <v>9516.76</v>
      </c>
      <c r="W796" s="393">
        <f t="shared" si="304"/>
        <v>-9516.76</v>
      </c>
      <c r="Y796" s="393">
        <f t="shared" si="307"/>
        <v>301</v>
      </c>
      <c r="Z796" s="393">
        <f t="shared" si="308"/>
        <v>-301</v>
      </c>
      <c r="AD796" s="395">
        <f>IF(AH796&gt;AH795,AD795,IF(AD795&lt;MiscData!$F$1,EOMONTH(AD795,1),EOMONTH(AD795,-11)))</f>
        <v>41943</v>
      </c>
      <c r="AE796" s="389" t="str">
        <f t="shared" si="305"/>
        <v>20140101KUUM_360</v>
      </c>
      <c r="AF796" s="437" t="str">
        <f t="shared" si="306"/>
        <v>20140101LS</v>
      </c>
      <c r="AG796" s="438"/>
      <c r="AH796" s="34">
        <f>IF(AH795=MiscData!$AB$91,1,AH795+1)</f>
        <v>3</v>
      </c>
      <c r="AI796" s="34">
        <f>IF(AD796&lt;=MiscData!$B$23,MiscData!$C$23,IF(AD796&lt;=MiscData!$B$24,MiscData!$C$24,MiscData!$C$25))</f>
        <v>20140101</v>
      </c>
      <c r="AK796" s="439" t="str">
        <f>VLOOKUP(AM796,MiscData!$AB$4:$ACB$113,2,FALSE)</f>
        <v>KUUM_360</v>
      </c>
      <c r="AL796" s="439" t="str">
        <f>VLOOKUP(AM796,MiscData!$AB$4:$AE$115,4,FALSE)</f>
        <v>LS</v>
      </c>
      <c r="AM796" s="34">
        <f>IF(AM795=MiscData!$AB$91,1,AM795+1)</f>
        <v>3</v>
      </c>
    </row>
    <row r="797" spans="1:39">
      <c r="A797" s="389">
        <f t="shared" si="309"/>
        <v>796</v>
      </c>
      <c r="B797" s="395" t="str">
        <f t="shared" si="290"/>
        <v>Oct 2014</v>
      </c>
      <c r="C797" s="396" t="str">
        <f t="shared" si="291"/>
        <v>LS</v>
      </c>
      <c r="D797" s="396" t="str">
        <f t="shared" si="292"/>
        <v>KUUM_361</v>
      </c>
      <c r="E797" s="394">
        <f t="shared" si="293"/>
        <v>26</v>
      </c>
      <c r="F797" s="397">
        <v>0</v>
      </c>
      <c r="G797" s="394">
        <f t="shared" si="294"/>
        <v>0</v>
      </c>
      <c r="H797" s="394">
        <v>0</v>
      </c>
      <c r="I797" s="390">
        <f t="shared" si="295"/>
        <v>83.16</v>
      </c>
      <c r="J797" s="390">
        <f t="shared" si="296"/>
        <v>1.75</v>
      </c>
      <c r="K797" s="391">
        <f t="shared" si="310"/>
        <v>2162.16</v>
      </c>
      <c r="L797" s="398">
        <v>0</v>
      </c>
      <c r="M797" s="398">
        <v>0</v>
      </c>
      <c r="N797" s="164">
        <f t="shared" si="289"/>
        <v>2162.16</v>
      </c>
      <c r="O797" s="399">
        <f t="shared" si="297"/>
        <v>0</v>
      </c>
      <c r="P797" s="392">
        <f t="shared" si="311"/>
        <v>0</v>
      </c>
      <c r="Q797" s="164">
        <f t="shared" si="298"/>
        <v>0</v>
      </c>
      <c r="R797" s="164">
        <f t="shared" si="299"/>
        <v>0</v>
      </c>
      <c r="S797" s="164">
        <f t="shared" si="300"/>
        <v>0</v>
      </c>
      <c r="T797" s="164">
        <f t="shared" si="301"/>
        <v>0</v>
      </c>
      <c r="U797" s="164">
        <f t="shared" si="302"/>
        <v>0</v>
      </c>
      <c r="V797" s="393">
        <f t="shared" si="303"/>
        <v>2162.16</v>
      </c>
      <c r="W797" s="393">
        <f t="shared" si="304"/>
        <v>-2162.16</v>
      </c>
      <c r="Y797" s="393">
        <f t="shared" si="307"/>
        <v>45.5</v>
      </c>
      <c r="Z797" s="393">
        <f t="shared" si="308"/>
        <v>-45.5</v>
      </c>
      <c r="AD797" s="395">
        <f>IF(AH797&gt;AH796,AD796,IF(AD796&lt;MiscData!$F$1,EOMONTH(AD796,1),EOMONTH(AD796,-11)))</f>
        <v>41943</v>
      </c>
      <c r="AE797" s="389" t="str">
        <f t="shared" si="305"/>
        <v>20140101KUUM_361</v>
      </c>
      <c r="AF797" s="437" t="str">
        <f t="shared" si="306"/>
        <v>20140101LS</v>
      </c>
      <c r="AG797" s="438"/>
      <c r="AH797" s="34">
        <f>IF(AH796=MiscData!$AB$91,1,AH796+1)</f>
        <v>4</v>
      </c>
      <c r="AI797" s="34">
        <f>IF(AD797&lt;=MiscData!$B$23,MiscData!$C$23,IF(AD797&lt;=MiscData!$B$24,MiscData!$C$24,MiscData!$C$25))</f>
        <v>20140101</v>
      </c>
      <c r="AK797" s="439" t="str">
        <f>VLOOKUP(AM797,MiscData!$AB$4:$ACB$113,2,FALSE)</f>
        <v>KUUM_361</v>
      </c>
      <c r="AL797" s="439" t="str">
        <f>VLOOKUP(AM797,MiscData!$AB$4:$AE$115,4,FALSE)</f>
        <v>LS</v>
      </c>
      <c r="AM797" s="34">
        <f>IF(AM796=MiscData!$AB$91,1,AM796+1)</f>
        <v>4</v>
      </c>
    </row>
    <row r="798" spans="1:39">
      <c r="A798" s="389">
        <f t="shared" si="309"/>
        <v>797</v>
      </c>
      <c r="B798" s="395" t="str">
        <f t="shared" si="290"/>
        <v>Oct 2014</v>
      </c>
      <c r="C798" s="396" t="str">
        <f t="shared" si="291"/>
        <v>LS</v>
      </c>
      <c r="D798" s="396" t="str">
        <f t="shared" si="292"/>
        <v>KUUM_362</v>
      </c>
      <c r="E798" s="394">
        <f t="shared" si="293"/>
        <v>44</v>
      </c>
      <c r="F798" s="397">
        <v>0</v>
      </c>
      <c r="G798" s="394">
        <f t="shared" si="294"/>
        <v>0</v>
      </c>
      <c r="H798" s="394">
        <v>0</v>
      </c>
      <c r="I798" s="390">
        <f t="shared" si="295"/>
        <v>59.78</v>
      </c>
      <c r="J798" s="390">
        <f t="shared" si="296"/>
        <v>1.75</v>
      </c>
      <c r="K798" s="391">
        <f t="shared" si="310"/>
        <v>2630.32</v>
      </c>
      <c r="L798" s="398">
        <v>0</v>
      </c>
      <c r="M798" s="398">
        <v>0</v>
      </c>
      <c r="N798" s="164">
        <f t="shared" si="289"/>
        <v>2630.32</v>
      </c>
      <c r="O798" s="399">
        <f t="shared" si="297"/>
        <v>0</v>
      </c>
      <c r="P798" s="392">
        <f t="shared" si="311"/>
        <v>0</v>
      </c>
      <c r="Q798" s="164">
        <f t="shared" si="298"/>
        <v>0</v>
      </c>
      <c r="R798" s="164">
        <f t="shared" si="299"/>
        <v>0</v>
      </c>
      <c r="S798" s="164">
        <f t="shared" si="300"/>
        <v>0</v>
      </c>
      <c r="T798" s="164">
        <f t="shared" si="301"/>
        <v>0</v>
      </c>
      <c r="U798" s="164">
        <f t="shared" si="302"/>
        <v>0</v>
      </c>
      <c r="V798" s="393">
        <f t="shared" si="303"/>
        <v>2630.32</v>
      </c>
      <c r="W798" s="393">
        <f t="shared" si="304"/>
        <v>-2630.32</v>
      </c>
      <c r="Y798" s="393">
        <f t="shared" si="307"/>
        <v>77</v>
      </c>
      <c r="Z798" s="393">
        <f t="shared" si="308"/>
        <v>-77</v>
      </c>
      <c r="AD798" s="395">
        <f>IF(AH798&gt;AH797,AD797,IF(AD797&lt;MiscData!$F$1,EOMONTH(AD797,1),EOMONTH(AD797,-11)))</f>
        <v>41943</v>
      </c>
      <c r="AE798" s="389" t="str">
        <f t="shared" si="305"/>
        <v>20140101KUUM_362</v>
      </c>
      <c r="AF798" s="437" t="str">
        <f t="shared" si="306"/>
        <v>20140101LS</v>
      </c>
      <c r="AG798" s="438"/>
      <c r="AH798" s="34">
        <f>IF(AH797=MiscData!$AB$91,1,AH797+1)</f>
        <v>5</v>
      </c>
      <c r="AI798" s="34">
        <f>IF(AD798&lt;=MiscData!$B$23,MiscData!$C$23,IF(AD798&lt;=MiscData!$B$24,MiscData!$C$24,MiscData!$C$25))</f>
        <v>20140101</v>
      </c>
      <c r="AK798" s="439" t="str">
        <f>VLOOKUP(AM798,MiscData!$AB$4:$ACB$113,2,FALSE)</f>
        <v>KUUM_362</v>
      </c>
      <c r="AL798" s="439" t="str">
        <f>VLOOKUP(AM798,MiscData!$AB$4:$AE$115,4,FALSE)</f>
        <v>LS</v>
      </c>
      <c r="AM798" s="34">
        <f>IF(AM797=MiscData!$AB$91,1,AM797+1)</f>
        <v>5</v>
      </c>
    </row>
    <row r="799" spans="1:39">
      <c r="A799" s="389">
        <f t="shared" si="309"/>
        <v>798</v>
      </c>
      <c r="B799" s="395" t="str">
        <f t="shared" si="290"/>
        <v>Oct 2014</v>
      </c>
      <c r="C799" s="396" t="str">
        <f t="shared" si="291"/>
        <v>LS</v>
      </c>
      <c r="D799" s="396" t="str">
        <f t="shared" si="292"/>
        <v>KUUM_363</v>
      </c>
      <c r="E799" s="394">
        <f t="shared" si="293"/>
        <v>5</v>
      </c>
      <c r="F799" s="397">
        <v>0</v>
      </c>
      <c r="G799" s="394">
        <f t="shared" si="294"/>
        <v>0</v>
      </c>
      <c r="H799" s="394">
        <v>0</v>
      </c>
      <c r="I799" s="390">
        <f t="shared" si="295"/>
        <v>61.75</v>
      </c>
      <c r="J799" s="390">
        <f t="shared" si="296"/>
        <v>1.75</v>
      </c>
      <c r="K799" s="391">
        <f t="shared" si="310"/>
        <v>308.75</v>
      </c>
      <c r="L799" s="398">
        <v>0</v>
      </c>
      <c r="M799" s="398">
        <v>0</v>
      </c>
      <c r="N799" s="164">
        <f t="shared" si="289"/>
        <v>308.75</v>
      </c>
      <c r="O799" s="399">
        <f t="shared" si="297"/>
        <v>0</v>
      </c>
      <c r="P799" s="392">
        <f t="shared" si="311"/>
        <v>0</v>
      </c>
      <c r="Q799" s="164">
        <f t="shared" si="298"/>
        <v>0</v>
      </c>
      <c r="R799" s="164">
        <f t="shared" si="299"/>
        <v>0</v>
      </c>
      <c r="S799" s="164">
        <f t="shared" si="300"/>
        <v>0</v>
      </c>
      <c r="T799" s="164">
        <f t="shared" si="301"/>
        <v>0</v>
      </c>
      <c r="U799" s="164">
        <f t="shared" si="302"/>
        <v>0</v>
      </c>
      <c r="V799" s="393">
        <f t="shared" si="303"/>
        <v>308.75</v>
      </c>
      <c r="W799" s="393">
        <f t="shared" si="304"/>
        <v>-308.75</v>
      </c>
      <c r="Y799" s="393">
        <f t="shared" si="307"/>
        <v>8.75</v>
      </c>
      <c r="Z799" s="393">
        <f t="shared" si="308"/>
        <v>-8.75</v>
      </c>
      <c r="AD799" s="395">
        <f>IF(AH799&gt;AH798,AD798,IF(AD798&lt;MiscData!$F$1,EOMONTH(AD798,1),EOMONTH(AD798,-11)))</f>
        <v>41943</v>
      </c>
      <c r="AE799" s="389" t="str">
        <f t="shared" si="305"/>
        <v>20140101KUUM_363</v>
      </c>
      <c r="AF799" s="437" t="str">
        <f t="shared" si="306"/>
        <v>20140101LS</v>
      </c>
      <c r="AG799" s="438"/>
      <c r="AH799" s="34">
        <f>IF(AH798=MiscData!$AB$91,1,AH798+1)</f>
        <v>6</v>
      </c>
      <c r="AI799" s="34">
        <f>IF(AD799&lt;=MiscData!$B$23,MiscData!$C$23,IF(AD799&lt;=MiscData!$B$24,MiscData!$C$24,MiscData!$C$25))</f>
        <v>20140101</v>
      </c>
      <c r="AK799" s="439" t="str">
        <f>VLOOKUP(AM799,MiscData!$AB$4:$ACB$113,2,FALSE)</f>
        <v>KUUM_363</v>
      </c>
      <c r="AL799" s="439" t="str">
        <f>VLOOKUP(AM799,MiscData!$AB$4:$AE$115,4,FALSE)</f>
        <v>LS</v>
      </c>
      <c r="AM799" s="34">
        <f>IF(AM798=MiscData!$AB$91,1,AM798+1)</f>
        <v>6</v>
      </c>
    </row>
    <row r="800" spans="1:39">
      <c r="A800" s="389">
        <f t="shared" si="309"/>
        <v>799</v>
      </c>
      <c r="B800" s="395" t="str">
        <f t="shared" si="290"/>
        <v>Oct 2014</v>
      </c>
      <c r="C800" s="396" t="str">
        <f t="shared" si="291"/>
        <v>LS</v>
      </c>
      <c r="D800" s="396" t="str">
        <f t="shared" si="292"/>
        <v>KUUM_364</v>
      </c>
      <c r="E800" s="394">
        <f t="shared" si="293"/>
        <v>1</v>
      </c>
      <c r="F800" s="397">
        <v>0</v>
      </c>
      <c r="G800" s="394">
        <f t="shared" si="294"/>
        <v>0</v>
      </c>
      <c r="H800" s="394">
        <v>0</v>
      </c>
      <c r="I800" s="390">
        <f t="shared" si="295"/>
        <v>63.11</v>
      </c>
      <c r="J800" s="390">
        <f t="shared" si="296"/>
        <v>1.75</v>
      </c>
      <c r="K800" s="391">
        <f t="shared" si="310"/>
        <v>63.11</v>
      </c>
      <c r="L800" s="398">
        <v>0</v>
      </c>
      <c r="M800" s="398">
        <v>0</v>
      </c>
      <c r="N800" s="164">
        <f t="shared" si="289"/>
        <v>63.11</v>
      </c>
      <c r="O800" s="399">
        <f t="shared" si="297"/>
        <v>0</v>
      </c>
      <c r="P800" s="392">
        <f t="shared" si="311"/>
        <v>0</v>
      </c>
      <c r="Q800" s="164">
        <f t="shared" si="298"/>
        <v>0</v>
      </c>
      <c r="R800" s="164">
        <f t="shared" si="299"/>
        <v>0</v>
      </c>
      <c r="S800" s="164">
        <f t="shared" si="300"/>
        <v>0</v>
      </c>
      <c r="T800" s="164">
        <f t="shared" si="301"/>
        <v>0</v>
      </c>
      <c r="U800" s="164">
        <f t="shared" si="302"/>
        <v>0</v>
      </c>
      <c r="V800" s="393">
        <f t="shared" si="303"/>
        <v>63.11</v>
      </c>
      <c r="W800" s="393">
        <f t="shared" si="304"/>
        <v>-63.11</v>
      </c>
      <c r="Y800" s="393">
        <f t="shared" si="307"/>
        <v>1.75</v>
      </c>
      <c r="Z800" s="393">
        <f t="shared" si="308"/>
        <v>-1.75</v>
      </c>
      <c r="AD800" s="395">
        <f>IF(AH800&gt;AH799,AD799,IF(AD799&lt;MiscData!$F$1,EOMONTH(AD799,1),EOMONTH(AD799,-11)))</f>
        <v>41943</v>
      </c>
      <c r="AE800" s="389" t="str">
        <f t="shared" si="305"/>
        <v>20140101KUUM_364</v>
      </c>
      <c r="AF800" s="437" t="str">
        <f t="shared" si="306"/>
        <v>20140101LS</v>
      </c>
      <c r="AG800" s="438"/>
      <c r="AH800" s="34">
        <f>IF(AH799=MiscData!$AB$91,1,AH799+1)</f>
        <v>7</v>
      </c>
      <c r="AI800" s="34">
        <f>IF(AD800&lt;=MiscData!$B$23,MiscData!$C$23,IF(AD800&lt;=MiscData!$B$24,MiscData!$C$24,MiscData!$C$25))</f>
        <v>20140101</v>
      </c>
      <c r="AK800" s="439" t="str">
        <f>VLOOKUP(AM800,MiscData!$AB$4:$ACB$113,2,FALSE)</f>
        <v>KUUM_364</v>
      </c>
      <c r="AL800" s="439" t="str">
        <f>VLOOKUP(AM800,MiscData!$AB$4:$AE$115,4,FALSE)</f>
        <v>LS</v>
      </c>
      <c r="AM800" s="34">
        <f>IF(AM799=MiscData!$AB$91,1,AM799+1)</f>
        <v>7</v>
      </c>
    </row>
    <row r="801" spans="1:39">
      <c r="A801" s="389">
        <f t="shared" si="309"/>
        <v>800</v>
      </c>
      <c r="B801" s="395" t="str">
        <f t="shared" si="290"/>
        <v>Oct 2014</v>
      </c>
      <c r="C801" s="396" t="str">
        <f t="shared" si="291"/>
        <v>LS</v>
      </c>
      <c r="D801" s="396" t="str">
        <f t="shared" si="292"/>
        <v>KUUM_365</v>
      </c>
      <c r="E801" s="394">
        <f t="shared" si="293"/>
        <v>5</v>
      </c>
      <c r="F801" s="397">
        <v>0</v>
      </c>
      <c r="G801" s="394">
        <f t="shared" si="294"/>
        <v>0</v>
      </c>
      <c r="H801" s="394">
        <v>0</v>
      </c>
      <c r="I801" s="390">
        <f t="shared" si="295"/>
        <v>80.94</v>
      </c>
      <c r="J801" s="390">
        <f t="shared" si="296"/>
        <v>1.75</v>
      </c>
      <c r="K801" s="391">
        <f t="shared" si="310"/>
        <v>404.7</v>
      </c>
      <c r="L801" s="398">
        <v>0</v>
      </c>
      <c r="M801" s="398">
        <v>0</v>
      </c>
      <c r="N801" s="164">
        <f t="shared" si="289"/>
        <v>404.7</v>
      </c>
      <c r="O801" s="399">
        <f t="shared" si="297"/>
        <v>0</v>
      </c>
      <c r="P801" s="392">
        <f t="shared" si="311"/>
        <v>0</v>
      </c>
      <c r="Q801" s="164">
        <f t="shared" si="298"/>
        <v>0</v>
      </c>
      <c r="R801" s="164">
        <f t="shared" si="299"/>
        <v>0</v>
      </c>
      <c r="S801" s="164">
        <f t="shared" si="300"/>
        <v>0</v>
      </c>
      <c r="T801" s="164">
        <f t="shared" si="301"/>
        <v>0</v>
      </c>
      <c r="U801" s="164">
        <f t="shared" si="302"/>
        <v>0</v>
      </c>
      <c r="V801" s="393">
        <f t="shared" si="303"/>
        <v>404.7</v>
      </c>
      <c r="W801" s="393">
        <f t="shared" si="304"/>
        <v>-404.7</v>
      </c>
      <c r="Y801" s="393">
        <f t="shared" si="307"/>
        <v>8.75</v>
      </c>
      <c r="Z801" s="393">
        <f t="shared" si="308"/>
        <v>-8.75</v>
      </c>
      <c r="AD801" s="395">
        <f>IF(AH801&gt;AH800,AD800,IF(AD800&lt;MiscData!$F$1,EOMONTH(AD800,1),EOMONTH(AD800,-11)))</f>
        <v>41943</v>
      </c>
      <c r="AE801" s="389" t="str">
        <f t="shared" si="305"/>
        <v>20140101KUUM_365</v>
      </c>
      <c r="AF801" s="437" t="str">
        <f t="shared" si="306"/>
        <v>20140101LS</v>
      </c>
      <c r="AG801" s="438"/>
      <c r="AH801" s="34">
        <f>IF(AH800=MiscData!$AB$91,1,AH800+1)</f>
        <v>8</v>
      </c>
      <c r="AI801" s="34">
        <f>IF(AD801&lt;=MiscData!$B$23,MiscData!$C$23,IF(AD801&lt;=MiscData!$B$24,MiscData!$C$24,MiscData!$C$25))</f>
        <v>20140101</v>
      </c>
      <c r="AK801" s="439" t="str">
        <f>VLOOKUP(AM801,MiscData!$AB$4:$ACB$113,2,FALSE)</f>
        <v>KUUM_365</v>
      </c>
      <c r="AL801" s="439" t="str">
        <f>VLOOKUP(AM801,MiscData!$AB$4:$AE$115,4,FALSE)</f>
        <v>LS</v>
      </c>
      <c r="AM801" s="34">
        <f>IF(AM800=MiscData!$AB$91,1,AM800+1)</f>
        <v>8</v>
      </c>
    </row>
    <row r="802" spans="1:39">
      <c r="A802" s="389">
        <f t="shared" si="309"/>
        <v>801</v>
      </c>
      <c r="B802" s="395" t="str">
        <f t="shared" si="290"/>
        <v>Oct 2014</v>
      </c>
      <c r="C802" s="396" t="str">
        <f t="shared" si="291"/>
        <v>LS</v>
      </c>
      <c r="D802" s="396" t="str">
        <f t="shared" si="292"/>
        <v>KUUM_366</v>
      </c>
      <c r="E802" s="394">
        <f t="shared" si="293"/>
        <v>10</v>
      </c>
      <c r="F802" s="397">
        <v>0</v>
      </c>
      <c r="G802" s="394">
        <f t="shared" si="294"/>
        <v>0</v>
      </c>
      <c r="H802" s="394">
        <v>0</v>
      </c>
      <c r="I802" s="390">
        <f t="shared" si="295"/>
        <v>78.97</v>
      </c>
      <c r="J802" s="390">
        <f t="shared" si="296"/>
        <v>1.75</v>
      </c>
      <c r="K802" s="391">
        <f t="shared" si="310"/>
        <v>789.7</v>
      </c>
      <c r="L802" s="398">
        <v>0</v>
      </c>
      <c r="M802" s="398">
        <v>0</v>
      </c>
      <c r="N802" s="164">
        <f t="shared" si="289"/>
        <v>789.7</v>
      </c>
      <c r="O802" s="399">
        <f t="shared" si="297"/>
        <v>0</v>
      </c>
      <c r="P802" s="392">
        <f t="shared" si="311"/>
        <v>0</v>
      </c>
      <c r="Q802" s="164">
        <f t="shared" si="298"/>
        <v>0</v>
      </c>
      <c r="R802" s="164">
        <f t="shared" si="299"/>
        <v>0</v>
      </c>
      <c r="S802" s="164">
        <f t="shared" si="300"/>
        <v>0</v>
      </c>
      <c r="T802" s="164">
        <f t="shared" si="301"/>
        <v>0</v>
      </c>
      <c r="U802" s="164">
        <f t="shared" si="302"/>
        <v>0</v>
      </c>
      <c r="V802" s="393">
        <f t="shared" si="303"/>
        <v>789.7</v>
      </c>
      <c r="W802" s="393">
        <f t="shared" si="304"/>
        <v>-789.7</v>
      </c>
      <c r="Y802" s="393">
        <f t="shared" si="307"/>
        <v>17.5</v>
      </c>
      <c r="Z802" s="393">
        <f t="shared" si="308"/>
        <v>-17.5</v>
      </c>
      <c r="AD802" s="395">
        <f>IF(AH802&gt;AH801,AD801,IF(AD801&lt;MiscData!$F$1,EOMONTH(AD801,1),EOMONTH(AD801,-11)))</f>
        <v>41943</v>
      </c>
      <c r="AE802" s="389" t="str">
        <f t="shared" si="305"/>
        <v>20140101KUUM_366</v>
      </c>
      <c r="AF802" s="437" t="str">
        <f t="shared" si="306"/>
        <v>20140101LS</v>
      </c>
      <c r="AG802" s="438"/>
      <c r="AH802" s="34">
        <f>IF(AH801=MiscData!$AB$91,1,AH801+1)</f>
        <v>9</v>
      </c>
      <c r="AI802" s="34">
        <f>IF(AD802&lt;=MiscData!$B$23,MiscData!$C$23,IF(AD802&lt;=MiscData!$B$24,MiscData!$C$24,MiscData!$C$25))</f>
        <v>20140101</v>
      </c>
      <c r="AK802" s="439" t="str">
        <f>VLOOKUP(AM802,MiscData!$AB$4:$ACB$113,2,FALSE)</f>
        <v>KUUM_366</v>
      </c>
      <c r="AL802" s="439" t="str">
        <f>VLOOKUP(AM802,MiscData!$AB$4:$AE$115,4,FALSE)</f>
        <v>LS</v>
      </c>
      <c r="AM802" s="34">
        <f>IF(AM801=MiscData!$AB$91,1,AM801+1)</f>
        <v>9</v>
      </c>
    </row>
    <row r="803" spans="1:39">
      <c r="A803" s="389">
        <f t="shared" si="309"/>
        <v>802</v>
      </c>
      <c r="B803" s="395" t="str">
        <f t="shared" si="290"/>
        <v>Oct 2014</v>
      </c>
      <c r="C803" s="396" t="str">
        <f t="shared" si="291"/>
        <v>LS</v>
      </c>
      <c r="D803" s="396" t="str">
        <f t="shared" si="292"/>
        <v>KUUM_367</v>
      </c>
      <c r="E803" s="394">
        <f t="shared" si="293"/>
        <v>24</v>
      </c>
      <c r="F803" s="397">
        <v>0</v>
      </c>
      <c r="G803" s="394">
        <f t="shared" si="294"/>
        <v>0</v>
      </c>
      <c r="H803" s="394">
        <v>0</v>
      </c>
      <c r="I803" s="390">
        <f t="shared" si="295"/>
        <v>61.230000000000004</v>
      </c>
      <c r="J803" s="390">
        <f t="shared" si="296"/>
        <v>1.75</v>
      </c>
      <c r="K803" s="391">
        <f t="shared" si="310"/>
        <v>1469.52</v>
      </c>
      <c r="L803" s="398">
        <v>0</v>
      </c>
      <c r="M803" s="398">
        <v>0</v>
      </c>
      <c r="N803" s="164">
        <f t="shared" si="289"/>
        <v>1469.52</v>
      </c>
      <c r="O803" s="399">
        <f t="shared" si="297"/>
        <v>0</v>
      </c>
      <c r="P803" s="392">
        <f t="shared" si="311"/>
        <v>0</v>
      </c>
      <c r="Q803" s="164">
        <f t="shared" si="298"/>
        <v>0</v>
      </c>
      <c r="R803" s="164">
        <f t="shared" si="299"/>
        <v>0</v>
      </c>
      <c r="S803" s="164">
        <f t="shared" si="300"/>
        <v>0</v>
      </c>
      <c r="T803" s="164">
        <f t="shared" si="301"/>
        <v>0</v>
      </c>
      <c r="U803" s="164">
        <f t="shared" si="302"/>
        <v>0</v>
      </c>
      <c r="V803" s="393">
        <f t="shared" si="303"/>
        <v>1469.52</v>
      </c>
      <c r="W803" s="393">
        <f t="shared" si="304"/>
        <v>-1469.52</v>
      </c>
      <c r="Y803" s="393">
        <f t="shared" si="307"/>
        <v>42</v>
      </c>
      <c r="Z803" s="393">
        <f t="shared" si="308"/>
        <v>-42</v>
      </c>
      <c r="AD803" s="395">
        <f>IF(AH803&gt;AH802,AD802,IF(AD802&lt;MiscData!$F$1,EOMONTH(AD802,1),EOMONTH(AD802,-11)))</f>
        <v>41943</v>
      </c>
      <c r="AE803" s="389" t="str">
        <f t="shared" si="305"/>
        <v>20140101KUUM_367</v>
      </c>
      <c r="AF803" s="437" t="str">
        <f t="shared" si="306"/>
        <v>20140101LS</v>
      </c>
      <c r="AG803" s="438"/>
      <c r="AH803" s="34">
        <f>IF(AH802=MiscData!$AB$91,1,AH802+1)</f>
        <v>10</v>
      </c>
      <c r="AI803" s="34">
        <f>IF(AD803&lt;=MiscData!$B$23,MiscData!$C$23,IF(AD803&lt;=MiscData!$B$24,MiscData!$C$24,MiscData!$C$25))</f>
        <v>20140101</v>
      </c>
      <c r="AK803" s="439" t="str">
        <f>VLOOKUP(AM803,MiscData!$AB$4:$ACB$113,2,FALSE)</f>
        <v>KUUM_367</v>
      </c>
      <c r="AL803" s="439" t="str">
        <f>VLOOKUP(AM803,MiscData!$AB$4:$AE$115,4,FALSE)</f>
        <v>LS</v>
      </c>
      <c r="AM803" s="34">
        <f>IF(AM802=MiscData!$AB$91,1,AM802+1)</f>
        <v>10</v>
      </c>
    </row>
    <row r="804" spans="1:39">
      <c r="A804" s="389">
        <f t="shared" si="309"/>
        <v>803</v>
      </c>
      <c r="B804" s="395" t="str">
        <f t="shared" si="290"/>
        <v>Oct 2014</v>
      </c>
      <c r="C804" s="396" t="str">
        <f t="shared" si="291"/>
        <v>LS</v>
      </c>
      <c r="D804" s="396" t="str">
        <f t="shared" si="292"/>
        <v>KUUM_368</v>
      </c>
      <c r="E804" s="394">
        <f t="shared" si="293"/>
        <v>1</v>
      </c>
      <c r="F804" s="397">
        <v>0</v>
      </c>
      <c r="G804" s="394">
        <f t="shared" si="294"/>
        <v>0</v>
      </c>
      <c r="H804" s="394">
        <v>0</v>
      </c>
      <c r="I804" s="390">
        <f t="shared" si="295"/>
        <v>56.69</v>
      </c>
      <c r="J804" s="390">
        <f t="shared" si="296"/>
        <v>1.75</v>
      </c>
      <c r="K804" s="391">
        <f t="shared" si="310"/>
        <v>56.69</v>
      </c>
      <c r="L804" s="398">
        <v>0</v>
      </c>
      <c r="M804" s="398">
        <v>0</v>
      </c>
      <c r="N804" s="164">
        <f t="shared" si="289"/>
        <v>56.69</v>
      </c>
      <c r="O804" s="399">
        <f t="shared" si="297"/>
        <v>0</v>
      </c>
      <c r="P804" s="392">
        <f t="shared" si="311"/>
        <v>0</v>
      </c>
      <c r="Q804" s="164">
        <f t="shared" si="298"/>
        <v>0</v>
      </c>
      <c r="R804" s="164">
        <f t="shared" si="299"/>
        <v>0</v>
      </c>
      <c r="S804" s="164">
        <f t="shared" si="300"/>
        <v>0</v>
      </c>
      <c r="T804" s="164">
        <f t="shared" si="301"/>
        <v>0</v>
      </c>
      <c r="U804" s="164">
        <f t="shared" si="302"/>
        <v>0</v>
      </c>
      <c r="V804" s="393">
        <f t="shared" si="303"/>
        <v>56.69</v>
      </c>
      <c r="W804" s="393">
        <f t="shared" si="304"/>
        <v>-56.69</v>
      </c>
      <c r="Y804" s="393">
        <f t="shared" si="307"/>
        <v>1.75</v>
      </c>
      <c r="Z804" s="393">
        <f t="shared" si="308"/>
        <v>-1.75</v>
      </c>
      <c r="AD804" s="395">
        <f>IF(AH804&gt;AH803,AD803,IF(AD803&lt;MiscData!$F$1,EOMONTH(AD803,1),EOMONTH(AD803,-11)))</f>
        <v>41943</v>
      </c>
      <c r="AE804" s="389" t="str">
        <f t="shared" si="305"/>
        <v>20140101KUUM_368</v>
      </c>
      <c r="AF804" s="437" t="str">
        <f t="shared" si="306"/>
        <v>20140101LS</v>
      </c>
      <c r="AG804" s="438"/>
      <c r="AH804" s="34">
        <f>IF(AH803=MiscData!$AB$91,1,AH803+1)</f>
        <v>11</v>
      </c>
      <c r="AI804" s="34">
        <f>IF(AD804&lt;=MiscData!$B$23,MiscData!$C$23,IF(AD804&lt;=MiscData!$B$24,MiscData!$C$24,MiscData!$C$25))</f>
        <v>20140101</v>
      </c>
      <c r="AK804" s="439" t="str">
        <f>VLOOKUP(AM804,MiscData!$AB$4:$ACB$113,2,FALSE)</f>
        <v>KUUM_368</v>
      </c>
      <c r="AL804" s="439" t="str">
        <f>VLOOKUP(AM804,MiscData!$AB$4:$AE$115,4,FALSE)</f>
        <v>LS</v>
      </c>
      <c r="AM804" s="34">
        <f>IF(AM803=MiscData!$AB$91,1,AM803+1)</f>
        <v>11</v>
      </c>
    </row>
    <row r="805" spans="1:39">
      <c r="A805" s="389">
        <f t="shared" si="309"/>
        <v>804</v>
      </c>
      <c r="B805" s="395" t="str">
        <f t="shared" si="290"/>
        <v>Oct 2014</v>
      </c>
      <c r="C805" s="396" t="str">
        <f t="shared" si="291"/>
        <v>LS</v>
      </c>
      <c r="D805" s="396" t="str">
        <f t="shared" si="292"/>
        <v>KUUM_370</v>
      </c>
      <c r="E805" s="394">
        <f t="shared" si="293"/>
        <v>16</v>
      </c>
      <c r="F805" s="397">
        <v>0</v>
      </c>
      <c r="G805" s="394">
        <f t="shared" si="294"/>
        <v>0</v>
      </c>
      <c r="H805" s="394">
        <v>0</v>
      </c>
      <c r="I805" s="390">
        <f t="shared" si="295"/>
        <v>74.52</v>
      </c>
      <c r="J805" s="390">
        <f t="shared" si="296"/>
        <v>1.75</v>
      </c>
      <c r="K805" s="391">
        <f t="shared" si="310"/>
        <v>1192.32</v>
      </c>
      <c r="L805" s="398">
        <v>0</v>
      </c>
      <c r="M805" s="398">
        <v>0</v>
      </c>
      <c r="N805" s="164">
        <f t="shared" si="289"/>
        <v>1192.32</v>
      </c>
      <c r="O805" s="399">
        <f t="shared" si="297"/>
        <v>0</v>
      </c>
      <c r="P805" s="392">
        <f t="shared" si="311"/>
        <v>0</v>
      </c>
      <c r="Q805" s="164">
        <f t="shared" si="298"/>
        <v>0</v>
      </c>
      <c r="R805" s="164">
        <f t="shared" si="299"/>
        <v>0</v>
      </c>
      <c r="S805" s="164">
        <f t="shared" si="300"/>
        <v>0</v>
      </c>
      <c r="T805" s="164">
        <f t="shared" si="301"/>
        <v>0</v>
      </c>
      <c r="U805" s="164">
        <f t="shared" si="302"/>
        <v>0</v>
      </c>
      <c r="V805" s="393">
        <f t="shared" si="303"/>
        <v>1192.32</v>
      </c>
      <c r="W805" s="393">
        <f t="shared" si="304"/>
        <v>-1192.32</v>
      </c>
      <c r="Y805" s="393">
        <f t="shared" si="307"/>
        <v>28</v>
      </c>
      <c r="Z805" s="393">
        <f t="shared" si="308"/>
        <v>-28</v>
      </c>
      <c r="AD805" s="395">
        <f>IF(AH805&gt;AH804,AD804,IF(AD804&lt;MiscData!$F$1,EOMONTH(AD804,1),EOMONTH(AD804,-11)))</f>
        <v>41943</v>
      </c>
      <c r="AE805" s="389" t="str">
        <f t="shared" si="305"/>
        <v>20140101KUUM_370</v>
      </c>
      <c r="AF805" s="437" t="str">
        <f t="shared" si="306"/>
        <v>20140101LS</v>
      </c>
      <c r="AG805" s="438"/>
      <c r="AH805" s="34">
        <f>IF(AH804=MiscData!$AB$91,1,AH804+1)</f>
        <v>12</v>
      </c>
      <c r="AI805" s="34">
        <f>IF(AD805&lt;=MiscData!$B$23,MiscData!$C$23,IF(AD805&lt;=MiscData!$B$24,MiscData!$C$24,MiscData!$C$25))</f>
        <v>20140101</v>
      </c>
      <c r="AK805" s="439" t="str">
        <f>VLOOKUP(AM805,MiscData!$AB$4:$ACB$113,2,FALSE)</f>
        <v>KUUM_370</v>
      </c>
      <c r="AL805" s="439" t="str">
        <f>VLOOKUP(AM805,MiscData!$AB$4:$AE$115,4,FALSE)</f>
        <v>LS</v>
      </c>
      <c r="AM805" s="34">
        <f>IF(AM804=MiscData!$AB$91,1,AM804+1)</f>
        <v>12</v>
      </c>
    </row>
    <row r="806" spans="1:39">
      <c r="A806" s="389">
        <f t="shared" si="309"/>
        <v>805</v>
      </c>
      <c r="B806" s="395" t="str">
        <f t="shared" si="290"/>
        <v>Oct 2014</v>
      </c>
      <c r="C806" s="396" t="str">
        <f t="shared" si="291"/>
        <v>LS</v>
      </c>
      <c r="D806" s="396" t="str">
        <f t="shared" si="292"/>
        <v>KUUM_372</v>
      </c>
      <c r="E806" s="394">
        <f t="shared" si="293"/>
        <v>1</v>
      </c>
      <c r="F806" s="397">
        <v>0</v>
      </c>
      <c r="G806" s="394">
        <f t="shared" si="294"/>
        <v>0</v>
      </c>
      <c r="H806" s="394">
        <v>0</v>
      </c>
      <c r="I806" s="390">
        <f t="shared" si="295"/>
        <v>82.3</v>
      </c>
      <c r="J806" s="390">
        <f t="shared" si="296"/>
        <v>1.75</v>
      </c>
      <c r="K806" s="391">
        <f t="shared" si="310"/>
        <v>82.3</v>
      </c>
      <c r="L806" s="398">
        <v>0</v>
      </c>
      <c r="M806" s="398">
        <v>0</v>
      </c>
      <c r="N806" s="164">
        <f t="shared" si="289"/>
        <v>82.3</v>
      </c>
      <c r="O806" s="399">
        <f t="shared" si="297"/>
        <v>0</v>
      </c>
      <c r="P806" s="392">
        <f t="shared" si="311"/>
        <v>0</v>
      </c>
      <c r="Q806" s="164">
        <f t="shared" si="298"/>
        <v>0</v>
      </c>
      <c r="R806" s="164">
        <f t="shared" si="299"/>
        <v>0</v>
      </c>
      <c r="S806" s="164">
        <f t="shared" si="300"/>
        <v>0</v>
      </c>
      <c r="T806" s="164">
        <f t="shared" si="301"/>
        <v>0</v>
      </c>
      <c r="U806" s="164">
        <f t="shared" si="302"/>
        <v>0</v>
      </c>
      <c r="V806" s="393">
        <f t="shared" si="303"/>
        <v>82.3</v>
      </c>
      <c r="W806" s="393">
        <f t="shared" si="304"/>
        <v>-82.3</v>
      </c>
      <c r="Y806" s="393">
        <f t="shared" si="307"/>
        <v>1.75</v>
      </c>
      <c r="Z806" s="393">
        <f t="shared" si="308"/>
        <v>-1.75</v>
      </c>
      <c r="AD806" s="395">
        <f>IF(AH806&gt;AH805,AD805,IF(AD805&lt;MiscData!$F$1,EOMONTH(AD805,1),EOMONTH(AD805,-11)))</f>
        <v>41943</v>
      </c>
      <c r="AE806" s="389" t="str">
        <f t="shared" si="305"/>
        <v>20140101KUUM_372</v>
      </c>
      <c r="AF806" s="437" t="str">
        <f t="shared" si="306"/>
        <v>20140101LS</v>
      </c>
      <c r="AG806" s="438"/>
      <c r="AH806" s="34">
        <f>IF(AH805=MiscData!$AB$91,1,AH805+1)</f>
        <v>13</v>
      </c>
      <c r="AI806" s="34">
        <f>IF(AD806&lt;=MiscData!$B$23,MiscData!$C$23,IF(AD806&lt;=MiscData!$B$24,MiscData!$C$24,MiscData!$C$25))</f>
        <v>20140101</v>
      </c>
      <c r="AK806" s="439" t="str">
        <f>VLOOKUP(AM806,MiscData!$AB$4:$ACB$113,2,FALSE)</f>
        <v>KUUM_372</v>
      </c>
      <c r="AL806" s="439" t="str">
        <f>VLOOKUP(AM806,MiscData!$AB$4:$AE$115,4,FALSE)</f>
        <v>LS</v>
      </c>
      <c r="AM806" s="34">
        <f>IF(AM805=MiscData!$AB$91,1,AM805+1)</f>
        <v>13</v>
      </c>
    </row>
    <row r="807" spans="1:39">
      <c r="A807" s="389">
        <f t="shared" si="309"/>
        <v>806</v>
      </c>
      <c r="B807" s="395" t="str">
        <f t="shared" si="290"/>
        <v>Oct 2014</v>
      </c>
      <c r="C807" s="396" t="str">
        <f t="shared" si="291"/>
        <v>LS</v>
      </c>
      <c r="D807" s="396" t="str">
        <f t="shared" si="292"/>
        <v>KUUM_373</v>
      </c>
      <c r="E807" s="394">
        <f t="shared" si="293"/>
        <v>19</v>
      </c>
      <c r="F807" s="397">
        <v>0</v>
      </c>
      <c r="G807" s="394">
        <f t="shared" si="294"/>
        <v>0</v>
      </c>
      <c r="H807" s="394">
        <v>0</v>
      </c>
      <c r="I807" s="390">
        <f t="shared" si="295"/>
        <v>74.52</v>
      </c>
      <c r="J807" s="390">
        <f t="shared" si="296"/>
        <v>1.75</v>
      </c>
      <c r="K807" s="391">
        <f t="shared" si="310"/>
        <v>1415.88</v>
      </c>
      <c r="L807" s="398">
        <v>0</v>
      </c>
      <c r="M807" s="398">
        <v>0</v>
      </c>
      <c r="N807" s="164">
        <f t="shared" si="289"/>
        <v>1415.88</v>
      </c>
      <c r="O807" s="399">
        <f t="shared" si="297"/>
        <v>0</v>
      </c>
      <c r="P807" s="392">
        <f t="shared" si="311"/>
        <v>0</v>
      </c>
      <c r="Q807" s="164">
        <f t="shared" si="298"/>
        <v>0</v>
      </c>
      <c r="R807" s="164">
        <f t="shared" si="299"/>
        <v>0</v>
      </c>
      <c r="S807" s="164">
        <f t="shared" si="300"/>
        <v>0</v>
      </c>
      <c r="T807" s="164">
        <f t="shared" si="301"/>
        <v>0</v>
      </c>
      <c r="U807" s="164">
        <f t="shared" si="302"/>
        <v>0</v>
      </c>
      <c r="V807" s="393">
        <f t="shared" si="303"/>
        <v>1415.88</v>
      </c>
      <c r="W807" s="393">
        <f t="shared" si="304"/>
        <v>-1415.88</v>
      </c>
      <c r="Y807" s="393">
        <f t="shared" si="307"/>
        <v>33.25</v>
      </c>
      <c r="Z807" s="393">
        <f t="shared" si="308"/>
        <v>-33.25</v>
      </c>
      <c r="AD807" s="395">
        <f>IF(AH807&gt;AH806,AD806,IF(AD806&lt;MiscData!$F$1,EOMONTH(AD806,1),EOMONTH(AD806,-11)))</f>
        <v>41943</v>
      </c>
      <c r="AE807" s="389" t="str">
        <f t="shared" si="305"/>
        <v>20140101KUUM_373</v>
      </c>
      <c r="AF807" s="437" t="str">
        <f t="shared" si="306"/>
        <v>20140101LS</v>
      </c>
      <c r="AG807" s="438"/>
      <c r="AH807" s="34">
        <f>IF(AH806=MiscData!$AB$91,1,AH806+1)</f>
        <v>14</v>
      </c>
      <c r="AI807" s="34">
        <f>IF(AD807&lt;=MiscData!$B$23,MiscData!$C$23,IF(AD807&lt;=MiscData!$B$24,MiscData!$C$24,MiscData!$C$25))</f>
        <v>20140101</v>
      </c>
      <c r="AK807" s="439" t="str">
        <f>VLOOKUP(AM807,MiscData!$AB$4:$ACB$113,2,FALSE)</f>
        <v>KUUM_373</v>
      </c>
      <c r="AL807" s="439" t="str">
        <f>VLOOKUP(AM807,MiscData!$AB$4:$AE$115,4,FALSE)</f>
        <v>LS</v>
      </c>
      <c r="AM807" s="34">
        <f>IF(AM806=MiscData!$AB$91,1,AM806+1)</f>
        <v>14</v>
      </c>
    </row>
    <row r="808" spans="1:39">
      <c r="A808" s="389">
        <f t="shared" si="309"/>
        <v>807</v>
      </c>
      <c r="B808" s="395" t="str">
        <f t="shared" si="290"/>
        <v>Oct 2014</v>
      </c>
      <c r="C808" s="396" t="str">
        <f t="shared" si="291"/>
        <v>LS</v>
      </c>
      <c r="D808" s="396" t="str">
        <f t="shared" si="292"/>
        <v>KUUM_374</v>
      </c>
      <c r="E808" s="394">
        <f t="shared" si="293"/>
        <v>4</v>
      </c>
      <c r="F808" s="397">
        <v>0</v>
      </c>
      <c r="G808" s="394">
        <f t="shared" si="294"/>
        <v>0</v>
      </c>
      <c r="H808" s="394">
        <v>0</v>
      </c>
      <c r="I808" s="390">
        <f t="shared" si="295"/>
        <v>75.88</v>
      </c>
      <c r="J808" s="390">
        <f t="shared" si="296"/>
        <v>1.75</v>
      </c>
      <c r="K808" s="391">
        <f t="shared" si="310"/>
        <v>303.52</v>
      </c>
      <c r="L808" s="398">
        <v>0</v>
      </c>
      <c r="M808" s="398">
        <v>0</v>
      </c>
      <c r="N808" s="164">
        <f t="shared" si="289"/>
        <v>303.52</v>
      </c>
      <c r="O808" s="399">
        <f t="shared" si="297"/>
        <v>0</v>
      </c>
      <c r="P808" s="392">
        <f t="shared" si="311"/>
        <v>0</v>
      </c>
      <c r="Q808" s="164">
        <f t="shared" si="298"/>
        <v>0</v>
      </c>
      <c r="R808" s="164">
        <f t="shared" si="299"/>
        <v>0</v>
      </c>
      <c r="S808" s="164">
        <f t="shared" si="300"/>
        <v>0</v>
      </c>
      <c r="T808" s="164">
        <f t="shared" si="301"/>
        <v>0</v>
      </c>
      <c r="U808" s="164">
        <f t="shared" si="302"/>
        <v>0</v>
      </c>
      <c r="V808" s="393">
        <f t="shared" si="303"/>
        <v>303.52</v>
      </c>
      <c r="W808" s="393">
        <f t="shared" si="304"/>
        <v>-303.52</v>
      </c>
      <c r="Y808" s="393">
        <f t="shared" si="307"/>
        <v>7</v>
      </c>
      <c r="Z808" s="393">
        <f t="shared" si="308"/>
        <v>-7</v>
      </c>
      <c r="AD808" s="395">
        <f>IF(AH808&gt;AH807,AD807,IF(AD807&lt;MiscData!$F$1,EOMONTH(AD807,1),EOMONTH(AD807,-11)))</f>
        <v>41943</v>
      </c>
      <c r="AE808" s="389" t="str">
        <f t="shared" si="305"/>
        <v>20140101KUUM_374</v>
      </c>
      <c r="AF808" s="437" t="str">
        <f t="shared" si="306"/>
        <v>20140101LS</v>
      </c>
      <c r="AG808" s="438"/>
      <c r="AH808" s="34">
        <f>IF(AH807=MiscData!$AB$91,1,AH807+1)</f>
        <v>15</v>
      </c>
      <c r="AI808" s="34">
        <f>IF(AD808&lt;=MiscData!$B$23,MiscData!$C$23,IF(AD808&lt;=MiscData!$B$24,MiscData!$C$24,MiscData!$C$25))</f>
        <v>20140101</v>
      </c>
      <c r="AK808" s="439" t="str">
        <f>VLOOKUP(AM808,MiscData!$AB$4:$ACB$113,2,FALSE)</f>
        <v>KUUM_374</v>
      </c>
      <c r="AL808" s="439" t="str">
        <f>VLOOKUP(AM808,MiscData!$AB$4:$AE$115,4,FALSE)</f>
        <v>LS</v>
      </c>
      <c r="AM808" s="34">
        <f>IF(AM807=MiscData!$AB$91,1,AM807+1)</f>
        <v>15</v>
      </c>
    </row>
    <row r="809" spans="1:39">
      <c r="A809" s="389">
        <f t="shared" si="309"/>
        <v>808</v>
      </c>
      <c r="B809" s="395" t="str">
        <f t="shared" si="290"/>
        <v>Oct 2014</v>
      </c>
      <c r="C809" s="396" t="str">
        <f t="shared" si="291"/>
        <v>LS</v>
      </c>
      <c r="D809" s="396" t="str">
        <f t="shared" si="292"/>
        <v>KUUM_375</v>
      </c>
      <c r="E809" s="394">
        <f t="shared" si="293"/>
        <v>3</v>
      </c>
      <c r="F809" s="397">
        <v>0</v>
      </c>
      <c r="G809" s="394">
        <f t="shared" si="294"/>
        <v>0</v>
      </c>
      <c r="H809" s="394">
        <v>0</v>
      </c>
      <c r="I809" s="390">
        <f t="shared" si="295"/>
        <v>78.97</v>
      </c>
      <c r="J809" s="390">
        <f t="shared" si="296"/>
        <v>1.75</v>
      </c>
      <c r="K809" s="391">
        <f t="shared" si="310"/>
        <v>236.91</v>
      </c>
      <c r="L809" s="398">
        <v>0</v>
      </c>
      <c r="M809" s="398">
        <v>0</v>
      </c>
      <c r="N809" s="164">
        <f t="shared" si="289"/>
        <v>236.91</v>
      </c>
      <c r="O809" s="399">
        <f t="shared" si="297"/>
        <v>0</v>
      </c>
      <c r="P809" s="392">
        <f t="shared" si="311"/>
        <v>0</v>
      </c>
      <c r="Q809" s="164">
        <f t="shared" si="298"/>
        <v>0</v>
      </c>
      <c r="R809" s="164">
        <f t="shared" si="299"/>
        <v>0</v>
      </c>
      <c r="S809" s="164">
        <f t="shared" si="300"/>
        <v>0</v>
      </c>
      <c r="T809" s="164">
        <f t="shared" si="301"/>
        <v>0</v>
      </c>
      <c r="U809" s="164">
        <f t="shared" si="302"/>
        <v>0</v>
      </c>
      <c r="V809" s="393">
        <f t="shared" si="303"/>
        <v>236.91</v>
      </c>
      <c r="W809" s="393">
        <f t="shared" si="304"/>
        <v>-236.91</v>
      </c>
      <c r="Y809" s="393">
        <f t="shared" si="307"/>
        <v>5.25</v>
      </c>
      <c r="Z809" s="393">
        <f t="shared" si="308"/>
        <v>-5.25</v>
      </c>
      <c r="AD809" s="395">
        <f>IF(AH809&gt;AH808,AD808,IF(AD808&lt;MiscData!$F$1,EOMONTH(AD808,1),EOMONTH(AD808,-11)))</f>
        <v>41943</v>
      </c>
      <c r="AE809" s="389" t="str">
        <f t="shared" si="305"/>
        <v>20140101KUUM_375</v>
      </c>
      <c r="AF809" s="437" t="str">
        <f t="shared" si="306"/>
        <v>20140101LS</v>
      </c>
      <c r="AG809" s="438"/>
      <c r="AH809" s="34">
        <f>IF(AH808=MiscData!$AB$91,1,AH808+1)</f>
        <v>16</v>
      </c>
      <c r="AI809" s="34">
        <f>IF(AD809&lt;=MiscData!$B$23,MiscData!$C$23,IF(AD809&lt;=MiscData!$B$24,MiscData!$C$24,MiscData!$C$25))</f>
        <v>20140101</v>
      </c>
      <c r="AK809" s="439" t="str">
        <f>VLOOKUP(AM809,MiscData!$AB$4:$ACB$113,2,FALSE)</f>
        <v>KUUM_375</v>
      </c>
      <c r="AL809" s="439" t="str">
        <f>VLOOKUP(AM809,MiscData!$AB$4:$AE$115,4,FALSE)</f>
        <v>LS</v>
      </c>
      <c r="AM809" s="34">
        <f>IF(AM808=MiscData!$AB$91,1,AM808+1)</f>
        <v>16</v>
      </c>
    </row>
    <row r="810" spans="1:39">
      <c r="A810" s="389">
        <f t="shared" si="309"/>
        <v>809</v>
      </c>
      <c r="B810" s="395" t="str">
        <f t="shared" si="290"/>
        <v>Oct 2014</v>
      </c>
      <c r="C810" s="396" t="str">
        <f t="shared" si="291"/>
        <v>LS</v>
      </c>
      <c r="D810" s="396" t="str">
        <f t="shared" si="292"/>
        <v>KUUM_376</v>
      </c>
      <c r="E810" s="394">
        <f t="shared" si="293"/>
        <v>2</v>
      </c>
      <c r="F810" s="397">
        <v>0</v>
      </c>
      <c r="G810" s="394">
        <f t="shared" si="294"/>
        <v>0</v>
      </c>
      <c r="H810" s="394">
        <v>0</v>
      </c>
      <c r="I810" s="390">
        <f t="shared" si="295"/>
        <v>77.259999999999991</v>
      </c>
      <c r="J810" s="390">
        <f t="shared" si="296"/>
        <v>1.75</v>
      </c>
      <c r="K810" s="391">
        <f t="shared" si="310"/>
        <v>154.52000000000001</v>
      </c>
      <c r="L810" s="398">
        <v>0</v>
      </c>
      <c r="M810" s="398">
        <v>0</v>
      </c>
      <c r="N810" s="164">
        <f t="shared" si="289"/>
        <v>154.52000000000001</v>
      </c>
      <c r="O810" s="399">
        <f t="shared" si="297"/>
        <v>0</v>
      </c>
      <c r="P810" s="392">
        <f t="shared" si="311"/>
        <v>0</v>
      </c>
      <c r="Q810" s="164">
        <f t="shared" si="298"/>
        <v>0</v>
      </c>
      <c r="R810" s="164">
        <f t="shared" si="299"/>
        <v>0</v>
      </c>
      <c r="S810" s="164">
        <f t="shared" si="300"/>
        <v>0</v>
      </c>
      <c r="T810" s="164">
        <f t="shared" si="301"/>
        <v>0</v>
      </c>
      <c r="U810" s="164">
        <f t="shared" si="302"/>
        <v>0</v>
      </c>
      <c r="V810" s="393">
        <f t="shared" si="303"/>
        <v>154.52000000000001</v>
      </c>
      <c r="W810" s="393">
        <f t="shared" si="304"/>
        <v>-154.52000000000001</v>
      </c>
      <c r="Y810" s="393">
        <f t="shared" si="307"/>
        <v>3.5</v>
      </c>
      <c r="Z810" s="393">
        <f t="shared" si="308"/>
        <v>-3.5</v>
      </c>
      <c r="AD810" s="395">
        <f>IF(AH810&gt;AH809,AD809,IF(AD809&lt;MiscData!$F$1,EOMONTH(AD809,1),EOMONTH(AD809,-11)))</f>
        <v>41943</v>
      </c>
      <c r="AE810" s="389" t="str">
        <f t="shared" si="305"/>
        <v>20140101KUUM_376</v>
      </c>
      <c r="AF810" s="437" t="str">
        <f t="shared" si="306"/>
        <v>20140101LS</v>
      </c>
      <c r="AG810" s="438"/>
      <c r="AH810" s="34">
        <f>IF(AH809=MiscData!$AB$91,1,AH809+1)</f>
        <v>17</v>
      </c>
      <c r="AI810" s="34">
        <f>IF(AD810&lt;=MiscData!$B$23,MiscData!$C$23,IF(AD810&lt;=MiscData!$B$24,MiscData!$C$24,MiscData!$C$25))</f>
        <v>20140101</v>
      </c>
      <c r="AK810" s="439" t="str">
        <f>VLOOKUP(AM810,MiscData!$AB$4:$ACB$113,2,FALSE)</f>
        <v>KUUM_376</v>
      </c>
      <c r="AL810" s="439" t="str">
        <f>VLOOKUP(AM810,MiscData!$AB$4:$AE$115,4,FALSE)</f>
        <v>LS</v>
      </c>
      <c r="AM810" s="34">
        <f>IF(AM809=MiscData!$AB$91,1,AM809+1)</f>
        <v>17</v>
      </c>
    </row>
    <row r="811" spans="1:39">
      <c r="A811" s="389">
        <f t="shared" si="309"/>
        <v>810</v>
      </c>
      <c r="B811" s="395" t="str">
        <f t="shared" si="290"/>
        <v>Oct 2014</v>
      </c>
      <c r="C811" s="396" t="str">
        <f t="shared" si="291"/>
        <v>LS</v>
      </c>
      <c r="D811" s="396" t="str">
        <f t="shared" si="292"/>
        <v>KUUM_377</v>
      </c>
      <c r="E811" s="394">
        <f t="shared" si="293"/>
        <v>49</v>
      </c>
      <c r="F811" s="397">
        <v>0</v>
      </c>
      <c r="G811" s="394">
        <f t="shared" si="294"/>
        <v>0</v>
      </c>
      <c r="H811" s="394">
        <v>0</v>
      </c>
      <c r="I811" s="390">
        <f t="shared" si="295"/>
        <v>64.19</v>
      </c>
      <c r="J811" s="390">
        <f t="shared" si="296"/>
        <v>1.75</v>
      </c>
      <c r="K811" s="391">
        <f t="shared" si="310"/>
        <v>3145.31</v>
      </c>
      <c r="L811" s="398">
        <v>0</v>
      </c>
      <c r="M811" s="398">
        <v>0</v>
      </c>
      <c r="N811" s="164">
        <f t="shared" si="289"/>
        <v>3145.31</v>
      </c>
      <c r="O811" s="399">
        <f t="shared" si="297"/>
        <v>0</v>
      </c>
      <c r="P811" s="392">
        <f t="shared" si="311"/>
        <v>0</v>
      </c>
      <c r="Q811" s="164">
        <f t="shared" si="298"/>
        <v>0</v>
      </c>
      <c r="R811" s="164">
        <f t="shared" si="299"/>
        <v>0</v>
      </c>
      <c r="S811" s="164">
        <f t="shared" si="300"/>
        <v>0</v>
      </c>
      <c r="T811" s="164">
        <f t="shared" si="301"/>
        <v>0</v>
      </c>
      <c r="U811" s="164">
        <f t="shared" si="302"/>
        <v>0</v>
      </c>
      <c r="V811" s="393">
        <f t="shared" si="303"/>
        <v>3145.31</v>
      </c>
      <c r="W811" s="393">
        <f t="shared" si="304"/>
        <v>-3145.31</v>
      </c>
      <c r="Y811" s="393">
        <f t="shared" si="307"/>
        <v>85.75</v>
      </c>
      <c r="Z811" s="393">
        <f t="shared" si="308"/>
        <v>-85.75</v>
      </c>
      <c r="AD811" s="395">
        <f>IF(AH811&gt;AH810,AD810,IF(AD810&lt;MiscData!$F$1,EOMONTH(AD810,1),EOMONTH(AD810,-11)))</f>
        <v>41943</v>
      </c>
      <c r="AE811" s="389" t="str">
        <f t="shared" si="305"/>
        <v>20140101KUUM_377</v>
      </c>
      <c r="AF811" s="437" t="str">
        <f t="shared" si="306"/>
        <v>20140101LS</v>
      </c>
      <c r="AG811" s="438"/>
      <c r="AH811" s="34">
        <f>IF(AH810=MiscData!$AB$91,1,AH810+1)</f>
        <v>18</v>
      </c>
      <c r="AI811" s="34">
        <f>IF(AD811&lt;=MiscData!$B$23,MiscData!$C$23,IF(AD811&lt;=MiscData!$B$24,MiscData!$C$24,MiscData!$C$25))</f>
        <v>20140101</v>
      </c>
      <c r="AK811" s="439" t="str">
        <f>VLOOKUP(AM811,MiscData!$AB$4:$ACB$113,2,FALSE)</f>
        <v>KUUM_377</v>
      </c>
      <c r="AL811" s="439" t="str">
        <f>VLOOKUP(AM811,MiscData!$AB$4:$AE$115,4,FALSE)</f>
        <v>LS</v>
      </c>
      <c r="AM811" s="34">
        <f>IF(AM810=MiscData!$AB$91,1,AM810+1)</f>
        <v>18</v>
      </c>
    </row>
    <row r="812" spans="1:39">
      <c r="A812" s="389">
        <f t="shared" si="309"/>
        <v>811</v>
      </c>
      <c r="B812" s="395" t="str">
        <f t="shared" si="290"/>
        <v>Oct 2014</v>
      </c>
      <c r="C812" s="396" t="str">
        <f t="shared" si="291"/>
        <v>LS</v>
      </c>
      <c r="D812" s="396" t="str">
        <f t="shared" si="292"/>
        <v>KUUM_378</v>
      </c>
      <c r="E812" s="394">
        <f t="shared" si="293"/>
        <v>2</v>
      </c>
      <c r="F812" s="397">
        <v>0</v>
      </c>
      <c r="G812" s="394">
        <f t="shared" si="294"/>
        <v>0</v>
      </c>
      <c r="H812" s="394">
        <v>0</v>
      </c>
      <c r="I812" s="390">
        <f t="shared" si="295"/>
        <v>75.899999999999991</v>
      </c>
      <c r="J812" s="390">
        <f t="shared" si="296"/>
        <v>1.75</v>
      </c>
      <c r="K812" s="391">
        <f t="shared" si="310"/>
        <v>151.80000000000001</v>
      </c>
      <c r="L812" s="398">
        <v>0</v>
      </c>
      <c r="M812" s="398">
        <v>0</v>
      </c>
      <c r="N812" s="164">
        <f t="shared" si="289"/>
        <v>151.80000000000001</v>
      </c>
      <c r="O812" s="399">
        <f t="shared" si="297"/>
        <v>0</v>
      </c>
      <c r="P812" s="392">
        <f t="shared" si="311"/>
        <v>0</v>
      </c>
      <c r="Q812" s="164">
        <f t="shared" si="298"/>
        <v>0</v>
      </c>
      <c r="R812" s="164">
        <f t="shared" si="299"/>
        <v>0</v>
      </c>
      <c r="S812" s="164">
        <f t="shared" si="300"/>
        <v>0</v>
      </c>
      <c r="T812" s="164">
        <f t="shared" si="301"/>
        <v>0</v>
      </c>
      <c r="U812" s="164">
        <f t="shared" si="302"/>
        <v>0</v>
      </c>
      <c r="V812" s="393">
        <f t="shared" si="303"/>
        <v>151.80000000000001</v>
      </c>
      <c r="W812" s="393">
        <f t="shared" si="304"/>
        <v>-151.80000000000001</v>
      </c>
      <c r="Y812" s="393">
        <f t="shared" si="307"/>
        <v>3.5</v>
      </c>
      <c r="Z812" s="393">
        <f t="shared" si="308"/>
        <v>-3.5</v>
      </c>
      <c r="AD812" s="395">
        <f>IF(AH812&gt;AH811,AD811,IF(AD811&lt;MiscData!$F$1,EOMONTH(AD811,1),EOMONTH(AD811,-11)))</f>
        <v>41943</v>
      </c>
      <c r="AE812" s="389" t="str">
        <f t="shared" si="305"/>
        <v>20140101KUUM_378</v>
      </c>
      <c r="AF812" s="437" t="str">
        <f t="shared" si="306"/>
        <v>20140101LS</v>
      </c>
      <c r="AG812" s="438"/>
      <c r="AH812" s="34">
        <f>IF(AH811=MiscData!$AB$91,1,AH811+1)</f>
        <v>19</v>
      </c>
      <c r="AI812" s="34">
        <f>IF(AD812&lt;=MiscData!$B$23,MiscData!$C$23,IF(AD812&lt;=MiscData!$B$24,MiscData!$C$24,MiscData!$C$25))</f>
        <v>20140101</v>
      </c>
      <c r="AK812" s="439" t="str">
        <f>VLOOKUP(AM812,MiscData!$AB$4:$ACB$113,2,FALSE)</f>
        <v>KUUM_378</v>
      </c>
      <c r="AL812" s="439" t="str">
        <f>VLOOKUP(AM812,MiscData!$AB$4:$AE$115,4,FALSE)</f>
        <v>LS</v>
      </c>
      <c r="AM812" s="34">
        <f>IF(AM811=MiscData!$AB$91,1,AM811+1)</f>
        <v>19</v>
      </c>
    </row>
    <row r="813" spans="1:39">
      <c r="A813" s="389">
        <f t="shared" si="309"/>
        <v>812</v>
      </c>
      <c r="B813" s="395" t="str">
        <f t="shared" si="290"/>
        <v>Oct 2014</v>
      </c>
      <c r="C813" s="396" t="str">
        <f t="shared" si="291"/>
        <v>LS</v>
      </c>
      <c r="D813" s="396" t="str">
        <f t="shared" si="292"/>
        <v>KUUM_401</v>
      </c>
      <c r="E813" s="394">
        <f t="shared" si="293"/>
        <v>56</v>
      </c>
      <c r="F813" s="397">
        <v>0</v>
      </c>
      <c r="G813" s="394">
        <f t="shared" si="294"/>
        <v>0</v>
      </c>
      <c r="H813" s="394">
        <v>0</v>
      </c>
      <c r="I813" s="390">
        <f t="shared" si="295"/>
        <v>14.860000000000001</v>
      </c>
      <c r="J813" s="390">
        <f t="shared" si="296"/>
        <v>0.80000000000000071</v>
      </c>
      <c r="K813" s="391">
        <f t="shared" si="310"/>
        <v>832.16</v>
      </c>
      <c r="L813" s="398">
        <v>0</v>
      </c>
      <c r="M813" s="398">
        <v>0</v>
      </c>
      <c r="N813" s="164">
        <f t="shared" si="289"/>
        <v>832.16</v>
      </c>
      <c r="O813" s="399">
        <f t="shared" si="297"/>
        <v>0</v>
      </c>
      <c r="P813" s="392">
        <f t="shared" si="311"/>
        <v>0</v>
      </c>
      <c r="Q813" s="164">
        <f t="shared" si="298"/>
        <v>0</v>
      </c>
      <c r="R813" s="164">
        <f t="shared" si="299"/>
        <v>0</v>
      </c>
      <c r="S813" s="164">
        <f t="shared" si="300"/>
        <v>0</v>
      </c>
      <c r="T813" s="164">
        <f t="shared" si="301"/>
        <v>0</v>
      </c>
      <c r="U813" s="164">
        <f t="shared" si="302"/>
        <v>0</v>
      </c>
      <c r="V813" s="393">
        <f t="shared" si="303"/>
        <v>832.16</v>
      </c>
      <c r="W813" s="393">
        <f t="shared" si="304"/>
        <v>-832.16</v>
      </c>
      <c r="Y813" s="393">
        <f t="shared" si="307"/>
        <v>44.8</v>
      </c>
      <c r="Z813" s="393">
        <f t="shared" si="308"/>
        <v>-44.8</v>
      </c>
      <c r="AD813" s="395">
        <f>IF(AH813&gt;AH812,AD812,IF(AD812&lt;MiscData!$F$1,EOMONTH(AD812,1),EOMONTH(AD812,-11)))</f>
        <v>41943</v>
      </c>
      <c r="AE813" s="389" t="str">
        <f t="shared" si="305"/>
        <v>20140101KUUM_401</v>
      </c>
      <c r="AF813" s="437" t="str">
        <f t="shared" si="306"/>
        <v>20140101LS</v>
      </c>
      <c r="AG813" s="438"/>
      <c r="AH813" s="34">
        <f>IF(AH812=MiscData!$AB$91,1,AH812+1)</f>
        <v>20</v>
      </c>
      <c r="AI813" s="34">
        <f>IF(AD813&lt;=MiscData!$B$23,MiscData!$C$23,IF(AD813&lt;=MiscData!$B$24,MiscData!$C$24,MiscData!$C$25))</f>
        <v>20140101</v>
      </c>
      <c r="AK813" s="439" t="str">
        <f>VLOOKUP(AM813,MiscData!$AB$4:$ACB$113,2,FALSE)</f>
        <v>KUUM_401</v>
      </c>
      <c r="AL813" s="439" t="str">
        <f>VLOOKUP(AM813,MiscData!$AB$4:$AE$115,4,FALSE)</f>
        <v>LS</v>
      </c>
      <c r="AM813" s="34">
        <f>IF(AM812=MiscData!$AB$91,1,AM812+1)</f>
        <v>20</v>
      </c>
    </row>
    <row r="814" spans="1:39">
      <c r="A814" s="389">
        <f t="shared" si="309"/>
        <v>813</v>
      </c>
      <c r="B814" s="395" t="str">
        <f t="shared" si="290"/>
        <v>Oct 2014</v>
      </c>
      <c r="C814" s="396" t="str">
        <f t="shared" si="291"/>
        <v>RLS</v>
      </c>
      <c r="D814" s="396" t="str">
        <f t="shared" si="292"/>
        <v>KUUM_404</v>
      </c>
      <c r="E814" s="394">
        <f t="shared" si="293"/>
        <v>7155</v>
      </c>
      <c r="F814" s="397">
        <v>0</v>
      </c>
      <c r="G814" s="394">
        <f t="shared" si="294"/>
        <v>0</v>
      </c>
      <c r="H814" s="394">
        <v>0</v>
      </c>
      <c r="I814" s="390">
        <f t="shared" si="295"/>
        <v>10.570000000000002</v>
      </c>
      <c r="J814" s="390">
        <f t="shared" si="296"/>
        <v>1.9900000000000002</v>
      </c>
      <c r="K814" s="391">
        <f t="shared" si="310"/>
        <v>75628.350000000006</v>
      </c>
      <c r="L814" s="398">
        <v>0</v>
      </c>
      <c r="M814" s="398">
        <v>0</v>
      </c>
      <c r="N814" s="164">
        <f t="shared" si="289"/>
        <v>75628.350000000006</v>
      </c>
      <c r="O814" s="399">
        <f t="shared" si="297"/>
        <v>0</v>
      </c>
      <c r="P814" s="392">
        <f t="shared" si="311"/>
        <v>0</v>
      </c>
      <c r="Q814" s="164">
        <f t="shared" si="298"/>
        <v>0</v>
      </c>
      <c r="R814" s="164">
        <f t="shared" si="299"/>
        <v>0</v>
      </c>
      <c r="S814" s="164">
        <f t="shared" si="300"/>
        <v>0</v>
      </c>
      <c r="T814" s="164">
        <f t="shared" si="301"/>
        <v>0</v>
      </c>
      <c r="U814" s="164">
        <f t="shared" si="302"/>
        <v>0</v>
      </c>
      <c r="V814" s="393">
        <f t="shared" si="303"/>
        <v>75628.350000000006</v>
      </c>
      <c r="W814" s="393">
        <f t="shared" si="304"/>
        <v>-75628.350000000006</v>
      </c>
      <c r="Y814" s="393">
        <f t="shared" si="307"/>
        <v>14238.45</v>
      </c>
      <c r="Z814" s="393">
        <f t="shared" si="308"/>
        <v>-14238.45</v>
      </c>
      <c r="AD814" s="395">
        <f>IF(AH814&gt;AH813,AD813,IF(AD813&lt;MiscData!$F$1,EOMONTH(AD813,1),EOMONTH(AD813,-11)))</f>
        <v>41943</v>
      </c>
      <c r="AE814" s="389" t="str">
        <f t="shared" si="305"/>
        <v>20140101KUUM_404</v>
      </c>
      <c r="AF814" s="437" t="str">
        <f t="shared" si="306"/>
        <v>20140101RLS</v>
      </c>
      <c r="AG814" s="438"/>
      <c r="AH814" s="34">
        <f>IF(AH813=MiscData!$AB$91,1,AH813+1)</f>
        <v>21</v>
      </c>
      <c r="AI814" s="34">
        <f>IF(AD814&lt;=MiscData!$B$23,MiscData!$C$23,IF(AD814&lt;=MiscData!$B$24,MiscData!$C$24,MiscData!$C$25))</f>
        <v>20140101</v>
      </c>
      <c r="AK814" s="439" t="str">
        <f>VLOOKUP(AM814,MiscData!$AB$4:$ACB$113,2,FALSE)</f>
        <v>KUUM_404</v>
      </c>
      <c r="AL814" s="439" t="str">
        <f>VLOOKUP(AM814,MiscData!$AB$4:$AE$115,4,FALSE)</f>
        <v>RLS</v>
      </c>
      <c r="AM814" s="34">
        <f>IF(AM813=MiscData!$AB$91,1,AM813+1)</f>
        <v>21</v>
      </c>
    </row>
    <row r="815" spans="1:39">
      <c r="A815" s="389">
        <f t="shared" si="309"/>
        <v>814</v>
      </c>
      <c r="B815" s="395" t="str">
        <f t="shared" si="290"/>
        <v>Oct 2014</v>
      </c>
      <c r="C815" s="396" t="str">
        <f t="shared" si="291"/>
        <v>RLS</v>
      </c>
      <c r="D815" s="396" t="str">
        <f t="shared" si="292"/>
        <v>KUUM_405</v>
      </c>
      <c r="E815" s="394">
        <f t="shared" si="293"/>
        <v>0</v>
      </c>
      <c r="F815" s="397">
        <v>0</v>
      </c>
      <c r="G815" s="394">
        <f t="shared" si="294"/>
        <v>0</v>
      </c>
      <c r="H815" s="394">
        <v>0</v>
      </c>
      <c r="I815" s="390">
        <f t="shared" si="295"/>
        <v>0</v>
      </c>
      <c r="J815" s="390">
        <f t="shared" si="296"/>
        <v>0</v>
      </c>
      <c r="K815" s="391">
        <f t="shared" si="310"/>
        <v>0</v>
      </c>
      <c r="L815" s="398">
        <v>0</v>
      </c>
      <c r="M815" s="398">
        <v>0</v>
      </c>
      <c r="N815" s="164">
        <f t="shared" si="289"/>
        <v>0</v>
      </c>
      <c r="O815" s="399">
        <f t="shared" si="297"/>
        <v>0</v>
      </c>
      <c r="P815" s="392">
        <f t="shared" si="311"/>
        <v>1</v>
      </c>
      <c r="Q815" s="164">
        <f t="shared" si="298"/>
        <v>0</v>
      </c>
      <c r="R815" s="164">
        <f t="shared" si="299"/>
        <v>0</v>
      </c>
      <c r="S815" s="164">
        <f t="shared" si="300"/>
        <v>0</v>
      </c>
      <c r="T815" s="164">
        <f t="shared" si="301"/>
        <v>0</v>
      </c>
      <c r="U815" s="164">
        <f t="shared" si="302"/>
        <v>0</v>
      </c>
      <c r="V815" s="393">
        <f t="shared" si="303"/>
        <v>0</v>
      </c>
      <c r="W815" s="393">
        <f t="shared" si="304"/>
        <v>0</v>
      </c>
      <c r="Y815" s="393">
        <f t="shared" si="307"/>
        <v>0</v>
      </c>
      <c r="Z815" s="393">
        <f t="shared" si="308"/>
        <v>0</v>
      </c>
      <c r="AD815" s="395">
        <f>IF(AH815&gt;AH814,AD814,IF(AD814&lt;MiscData!$F$1,EOMONTH(AD814,1),EOMONTH(AD814,-11)))</f>
        <v>41943</v>
      </c>
      <c r="AE815" s="389" t="str">
        <f t="shared" si="305"/>
        <v>20140101KUUM_405</v>
      </c>
      <c r="AF815" s="437" t="str">
        <f t="shared" si="306"/>
        <v>20140101RLS</v>
      </c>
      <c r="AG815" s="438"/>
      <c r="AH815" s="34">
        <f>IF(AH814=MiscData!$AB$91,1,AH814+1)</f>
        <v>22</v>
      </c>
      <c r="AI815" s="34">
        <f>IF(AD815&lt;=MiscData!$B$23,MiscData!$C$23,IF(AD815&lt;=MiscData!$B$24,MiscData!$C$24,MiscData!$C$25))</f>
        <v>20140101</v>
      </c>
      <c r="AK815" s="439" t="str">
        <f>VLOOKUP(AM815,MiscData!$AB$4:$ACB$113,2,FALSE)</f>
        <v>KUUM_405</v>
      </c>
      <c r="AL815" s="439" t="str">
        <f>VLOOKUP(AM815,MiscData!$AB$4:$AE$115,4,FALSE)</f>
        <v>RLS</v>
      </c>
      <c r="AM815" s="34">
        <f>IF(AM814=MiscData!$AB$91,1,AM814+1)</f>
        <v>22</v>
      </c>
    </row>
    <row r="816" spans="1:39">
      <c r="A816" s="389">
        <f t="shared" si="309"/>
        <v>815</v>
      </c>
      <c r="B816" s="395" t="str">
        <f t="shared" si="290"/>
        <v>Oct 2014</v>
      </c>
      <c r="C816" s="396" t="str">
        <f t="shared" si="291"/>
        <v>LS</v>
      </c>
      <c r="D816" s="396" t="str">
        <f t="shared" si="292"/>
        <v>KUUM_407</v>
      </c>
      <c r="E816" s="394">
        <f t="shared" si="293"/>
        <v>0</v>
      </c>
      <c r="F816" s="397">
        <v>0</v>
      </c>
      <c r="G816" s="394">
        <f t="shared" si="294"/>
        <v>0</v>
      </c>
      <c r="H816" s="394">
        <v>0</v>
      </c>
      <c r="I816" s="390">
        <f t="shared" si="295"/>
        <v>0</v>
      </c>
      <c r="J816" s="390">
        <f t="shared" si="296"/>
        <v>0</v>
      </c>
      <c r="K816" s="391">
        <f t="shared" si="310"/>
        <v>0</v>
      </c>
      <c r="L816" s="398">
        <v>0</v>
      </c>
      <c r="M816" s="398">
        <v>0</v>
      </c>
      <c r="N816" s="164">
        <f t="shared" si="289"/>
        <v>0</v>
      </c>
      <c r="O816" s="399">
        <f t="shared" si="297"/>
        <v>0</v>
      </c>
      <c r="P816" s="392">
        <f t="shared" si="311"/>
        <v>1</v>
      </c>
      <c r="Q816" s="164">
        <f t="shared" si="298"/>
        <v>0</v>
      </c>
      <c r="R816" s="164">
        <f t="shared" si="299"/>
        <v>0</v>
      </c>
      <c r="S816" s="164">
        <f t="shared" si="300"/>
        <v>0</v>
      </c>
      <c r="T816" s="164">
        <f t="shared" si="301"/>
        <v>0</v>
      </c>
      <c r="U816" s="164">
        <f t="shared" si="302"/>
        <v>0</v>
      </c>
      <c r="V816" s="393">
        <f t="shared" si="303"/>
        <v>0</v>
      </c>
      <c r="W816" s="393">
        <f t="shared" si="304"/>
        <v>0</v>
      </c>
      <c r="Y816" s="393">
        <f t="shared" si="307"/>
        <v>0</v>
      </c>
      <c r="Z816" s="393">
        <f t="shared" si="308"/>
        <v>0</v>
      </c>
      <c r="AD816" s="395">
        <f>IF(AH816&gt;AH815,AD815,IF(AD815&lt;MiscData!$F$1,EOMONTH(AD815,1),EOMONTH(AD815,-11)))</f>
        <v>41943</v>
      </c>
      <c r="AE816" s="389" t="str">
        <f t="shared" si="305"/>
        <v>20140101KUUM_407</v>
      </c>
      <c r="AF816" s="437" t="str">
        <f t="shared" si="306"/>
        <v>20140101LS</v>
      </c>
      <c r="AG816" s="438"/>
      <c r="AH816" s="34">
        <f>IF(AH815=MiscData!$AB$91,1,AH815+1)</f>
        <v>23</v>
      </c>
      <c r="AI816" s="34">
        <f>IF(AD816&lt;=MiscData!$B$23,MiscData!$C$23,IF(AD816&lt;=MiscData!$B$24,MiscData!$C$24,MiscData!$C$25))</f>
        <v>20140101</v>
      </c>
      <c r="AK816" s="439" t="str">
        <f>VLOOKUP(AM816,MiscData!$AB$4:$ACB$113,2,FALSE)</f>
        <v>KUUM_407</v>
      </c>
      <c r="AL816" s="439" t="str">
        <f>VLOOKUP(AM816,MiscData!$AB$4:$AE$115,4,FALSE)</f>
        <v>LS</v>
      </c>
      <c r="AM816" s="34">
        <f>IF(AM815=MiscData!$AB$91,1,AM815+1)</f>
        <v>23</v>
      </c>
    </row>
    <row r="817" spans="1:39">
      <c r="A817" s="389">
        <f t="shared" si="309"/>
        <v>816</v>
      </c>
      <c r="B817" s="395" t="str">
        <f t="shared" si="290"/>
        <v>Oct 2014</v>
      </c>
      <c r="C817" s="396" t="str">
        <f t="shared" si="291"/>
        <v>RLS</v>
      </c>
      <c r="D817" s="396" t="str">
        <f t="shared" si="292"/>
        <v>KUUM_409</v>
      </c>
      <c r="E817" s="394">
        <f t="shared" si="293"/>
        <v>134</v>
      </c>
      <c r="F817" s="397">
        <v>0</v>
      </c>
      <c r="G817" s="394">
        <f t="shared" si="294"/>
        <v>0</v>
      </c>
      <c r="H817" s="394">
        <v>0</v>
      </c>
      <c r="I817" s="390">
        <f t="shared" si="295"/>
        <v>11.71</v>
      </c>
      <c r="J817" s="390">
        <f t="shared" si="296"/>
        <v>4.5299999999999994</v>
      </c>
      <c r="K817" s="391">
        <f t="shared" si="310"/>
        <v>1569.14</v>
      </c>
      <c r="L817" s="398">
        <v>0</v>
      </c>
      <c r="M817" s="398">
        <v>0</v>
      </c>
      <c r="N817" s="164">
        <f t="shared" si="289"/>
        <v>1569.14</v>
      </c>
      <c r="O817" s="399">
        <f t="shared" si="297"/>
        <v>0</v>
      </c>
      <c r="P817" s="392">
        <f t="shared" si="311"/>
        <v>0</v>
      </c>
      <c r="Q817" s="164">
        <f t="shared" si="298"/>
        <v>0</v>
      </c>
      <c r="R817" s="164">
        <f t="shared" si="299"/>
        <v>0</v>
      </c>
      <c r="S817" s="164">
        <f t="shared" si="300"/>
        <v>0</v>
      </c>
      <c r="T817" s="164">
        <f t="shared" si="301"/>
        <v>0</v>
      </c>
      <c r="U817" s="164">
        <f t="shared" si="302"/>
        <v>0</v>
      </c>
      <c r="V817" s="393">
        <f t="shared" si="303"/>
        <v>1569.14</v>
      </c>
      <c r="W817" s="393">
        <f t="shared" si="304"/>
        <v>-1569.14</v>
      </c>
      <c r="Y817" s="393">
        <f t="shared" si="307"/>
        <v>607.02</v>
      </c>
      <c r="Z817" s="393">
        <f t="shared" si="308"/>
        <v>-607.02</v>
      </c>
      <c r="AD817" s="395">
        <f>IF(AH817&gt;AH816,AD816,IF(AD816&lt;MiscData!$F$1,EOMONTH(AD816,1),EOMONTH(AD816,-11)))</f>
        <v>41943</v>
      </c>
      <c r="AE817" s="389" t="str">
        <f t="shared" si="305"/>
        <v>20140101KUUM_409</v>
      </c>
      <c r="AF817" s="437" t="str">
        <f t="shared" si="306"/>
        <v>20140101RLS</v>
      </c>
      <c r="AG817" s="438"/>
      <c r="AH817" s="34">
        <f>IF(AH816=MiscData!$AB$91,1,AH816+1)</f>
        <v>24</v>
      </c>
      <c r="AI817" s="34">
        <f>IF(AD817&lt;=MiscData!$B$23,MiscData!$C$23,IF(AD817&lt;=MiscData!$B$24,MiscData!$C$24,MiscData!$C$25))</f>
        <v>20140101</v>
      </c>
      <c r="AK817" s="439" t="str">
        <f>VLOOKUP(AM817,MiscData!$AB$4:$ACB$113,2,FALSE)</f>
        <v>KUUM_409</v>
      </c>
      <c r="AL817" s="439" t="str">
        <f>VLOOKUP(AM817,MiscData!$AB$4:$AE$115,4,FALSE)</f>
        <v>RLS</v>
      </c>
      <c r="AM817" s="34">
        <f>IF(AM816=MiscData!$AB$91,1,AM816+1)</f>
        <v>24</v>
      </c>
    </row>
    <row r="818" spans="1:39">
      <c r="A818" s="389">
        <f t="shared" si="309"/>
        <v>817</v>
      </c>
      <c r="B818" s="395" t="str">
        <f t="shared" si="290"/>
        <v>Oct 2014</v>
      </c>
      <c r="C818" s="396" t="str">
        <f t="shared" si="291"/>
        <v>RLS</v>
      </c>
      <c r="D818" s="396" t="str">
        <f t="shared" si="292"/>
        <v>KUUM_410</v>
      </c>
      <c r="E818" s="394">
        <f t="shared" si="293"/>
        <v>236</v>
      </c>
      <c r="F818" s="397">
        <v>0</v>
      </c>
      <c r="G818" s="394">
        <f t="shared" si="294"/>
        <v>0</v>
      </c>
      <c r="H818" s="394">
        <v>0</v>
      </c>
      <c r="I818" s="390">
        <f t="shared" si="295"/>
        <v>20.259999999999998</v>
      </c>
      <c r="J818" s="390">
        <f t="shared" si="296"/>
        <v>0.57000000000000028</v>
      </c>
      <c r="K818" s="391">
        <f t="shared" si="310"/>
        <v>4781.3599999999997</v>
      </c>
      <c r="L818" s="398">
        <v>0</v>
      </c>
      <c r="M818" s="398">
        <v>0</v>
      </c>
      <c r="N818" s="164">
        <f t="shared" si="289"/>
        <v>4781.3599999999997</v>
      </c>
      <c r="O818" s="399">
        <f t="shared" si="297"/>
        <v>0</v>
      </c>
      <c r="P818" s="392">
        <f t="shared" si="311"/>
        <v>0</v>
      </c>
      <c r="Q818" s="164">
        <f t="shared" si="298"/>
        <v>0</v>
      </c>
      <c r="R818" s="164">
        <f t="shared" si="299"/>
        <v>0</v>
      </c>
      <c r="S818" s="164">
        <f t="shared" si="300"/>
        <v>0</v>
      </c>
      <c r="T818" s="164">
        <f t="shared" si="301"/>
        <v>0</v>
      </c>
      <c r="U818" s="164">
        <f t="shared" si="302"/>
        <v>0</v>
      </c>
      <c r="V818" s="393">
        <f t="shared" si="303"/>
        <v>4781.3599999999997</v>
      </c>
      <c r="W818" s="393">
        <f t="shared" si="304"/>
        <v>-4781.3599999999997</v>
      </c>
      <c r="Y818" s="393">
        <f t="shared" si="307"/>
        <v>134.52000000000001</v>
      </c>
      <c r="Z818" s="393">
        <f t="shared" si="308"/>
        <v>-134.52000000000001</v>
      </c>
      <c r="AD818" s="395">
        <f>IF(AH818&gt;AH817,AD817,IF(AD817&lt;MiscData!$F$1,EOMONTH(AD817,1),EOMONTH(AD817,-11)))</f>
        <v>41943</v>
      </c>
      <c r="AE818" s="389" t="str">
        <f t="shared" si="305"/>
        <v>20140101KUUM_410</v>
      </c>
      <c r="AF818" s="437" t="str">
        <f t="shared" si="306"/>
        <v>20140101RLS</v>
      </c>
      <c r="AG818" s="438"/>
      <c r="AH818" s="34">
        <f>IF(AH817=MiscData!$AB$91,1,AH817+1)</f>
        <v>25</v>
      </c>
      <c r="AI818" s="34">
        <f>IF(AD818&lt;=MiscData!$B$23,MiscData!$C$23,IF(AD818&lt;=MiscData!$B$24,MiscData!$C$24,MiscData!$C$25))</f>
        <v>20140101</v>
      </c>
      <c r="AK818" s="439" t="str">
        <f>VLOOKUP(AM818,MiscData!$AB$4:$ACB$113,2,FALSE)</f>
        <v>KUUM_410</v>
      </c>
      <c r="AL818" s="439" t="str">
        <f>VLOOKUP(AM818,MiscData!$AB$4:$AE$115,4,FALSE)</f>
        <v>RLS</v>
      </c>
      <c r="AM818" s="34">
        <f>IF(AM817=MiscData!$AB$91,1,AM817+1)</f>
        <v>25</v>
      </c>
    </row>
    <row r="819" spans="1:39">
      <c r="A819" s="389">
        <f t="shared" si="309"/>
        <v>818</v>
      </c>
      <c r="B819" s="395" t="str">
        <f t="shared" si="290"/>
        <v>Oct 2014</v>
      </c>
      <c r="C819" s="396" t="str">
        <f t="shared" si="291"/>
        <v>LS</v>
      </c>
      <c r="D819" s="396" t="str">
        <f t="shared" si="292"/>
        <v>KUUM_411</v>
      </c>
      <c r="E819" s="394">
        <f t="shared" si="293"/>
        <v>142</v>
      </c>
      <c r="F819" s="397">
        <v>0</v>
      </c>
      <c r="G819" s="394">
        <f t="shared" si="294"/>
        <v>0</v>
      </c>
      <c r="H819" s="394">
        <v>0</v>
      </c>
      <c r="I819" s="390">
        <f t="shared" si="295"/>
        <v>21.38</v>
      </c>
      <c r="J819" s="390">
        <f t="shared" si="296"/>
        <v>0.79999999999999716</v>
      </c>
      <c r="K819" s="391">
        <f t="shared" si="310"/>
        <v>3035.96</v>
      </c>
      <c r="L819" s="398">
        <v>0</v>
      </c>
      <c r="M819" s="398">
        <v>0</v>
      </c>
      <c r="N819" s="164">
        <f t="shared" si="289"/>
        <v>3035.96</v>
      </c>
      <c r="O819" s="399">
        <f t="shared" si="297"/>
        <v>0</v>
      </c>
      <c r="P819" s="392">
        <f t="shared" si="311"/>
        <v>0</v>
      </c>
      <c r="Q819" s="164">
        <f t="shared" si="298"/>
        <v>0</v>
      </c>
      <c r="R819" s="164">
        <f t="shared" si="299"/>
        <v>0</v>
      </c>
      <c r="S819" s="164">
        <f t="shared" si="300"/>
        <v>0</v>
      </c>
      <c r="T819" s="164">
        <f t="shared" si="301"/>
        <v>0</v>
      </c>
      <c r="U819" s="164">
        <f t="shared" si="302"/>
        <v>0</v>
      </c>
      <c r="V819" s="393">
        <f t="shared" si="303"/>
        <v>3035.96</v>
      </c>
      <c r="W819" s="393">
        <f t="shared" si="304"/>
        <v>-3035.96</v>
      </c>
      <c r="Y819" s="393">
        <f t="shared" si="307"/>
        <v>113.6</v>
      </c>
      <c r="Z819" s="393">
        <f t="shared" si="308"/>
        <v>-113.6</v>
      </c>
      <c r="AD819" s="395">
        <f>IF(AH819&gt;AH818,AD818,IF(AD818&lt;MiscData!$F$1,EOMONTH(AD818,1),EOMONTH(AD818,-11)))</f>
        <v>41943</v>
      </c>
      <c r="AE819" s="389" t="str">
        <f t="shared" si="305"/>
        <v>20140101KUUM_411</v>
      </c>
      <c r="AF819" s="437" t="str">
        <f t="shared" si="306"/>
        <v>20140101LS</v>
      </c>
      <c r="AG819" s="438"/>
      <c r="AH819" s="34">
        <f>IF(AH818=MiscData!$AB$91,1,AH818+1)</f>
        <v>26</v>
      </c>
      <c r="AI819" s="34">
        <f>IF(AD819&lt;=MiscData!$B$23,MiscData!$C$23,IF(AD819&lt;=MiscData!$B$24,MiscData!$C$24,MiscData!$C$25))</f>
        <v>20140101</v>
      </c>
      <c r="AK819" s="439" t="str">
        <f>VLOOKUP(AM819,MiscData!$AB$4:$ACB$113,2,FALSE)</f>
        <v>KUUM_411</v>
      </c>
      <c r="AL819" s="439" t="str">
        <f>VLOOKUP(AM819,MiscData!$AB$4:$AE$115,4,FALSE)</f>
        <v>LS</v>
      </c>
      <c r="AM819" s="34">
        <f>IF(AM818=MiscData!$AB$91,1,AM818+1)</f>
        <v>26</v>
      </c>
    </row>
    <row r="820" spans="1:39">
      <c r="A820" s="389">
        <f t="shared" si="309"/>
        <v>819</v>
      </c>
      <c r="B820" s="395" t="str">
        <f t="shared" si="290"/>
        <v>Oct 2014</v>
      </c>
      <c r="C820" s="396" t="str">
        <f t="shared" si="291"/>
        <v>RLS</v>
      </c>
      <c r="D820" s="396" t="str">
        <f t="shared" si="292"/>
        <v>KUUM_412</v>
      </c>
      <c r="E820" s="394">
        <f t="shared" si="293"/>
        <v>28</v>
      </c>
      <c r="F820" s="397">
        <v>0</v>
      </c>
      <c r="G820" s="394">
        <f t="shared" si="294"/>
        <v>0</v>
      </c>
      <c r="H820" s="394">
        <v>0</v>
      </c>
      <c r="I820" s="390">
        <f t="shared" si="295"/>
        <v>30.84</v>
      </c>
      <c r="J820" s="390">
        <f t="shared" si="296"/>
        <v>0.79999999999999716</v>
      </c>
      <c r="K820" s="391">
        <f t="shared" si="310"/>
        <v>863.52</v>
      </c>
      <c r="L820" s="398">
        <v>0</v>
      </c>
      <c r="M820" s="398">
        <v>0</v>
      </c>
      <c r="N820" s="164">
        <f t="shared" si="289"/>
        <v>863.52</v>
      </c>
      <c r="O820" s="399">
        <f t="shared" si="297"/>
        <v>0</v>
      </c>
      <c r="P820" s="392">
        <f t="shared" si="311"/>
        <v>0</v>
      </c>
      <c r="Q820" s="164">
        <f t="shared" si="298"/>
        <v>0</v>
      </c>
      <c r="R820" s="164">
        <f t="shared" si="299"/>
        <v>0</v>
      </c>
      <c r="S820" s="164">
        <f t="shared" si="300"/>
        <v>0</v>
      </c>
      <c r="T820" s="164">
        <f t="shared" si="301"/>
        <v>0</v>
      </c>
      <c r="U820" s="164">
        <f t="shared" si="302"/>
        <v>0</v>
      </c>
      <c r="V820" s="393">
        <f t="shared" si="303"/>
        <v>863.52</v>
      </c>
      <c r="W820" s="393">
        <f t="shared" si="304"/>
        <v>-863.52</v>
      </c>
      <c r="Y820" s="393">
        <f t="shared" si="307"/>
        <v>22.4</v>
      </c>
      <c r="Z820" s="393">
        <f t="shared" si="308"/>
        <v>-22.4</v>
      </c>
      <c r="AD820" s="395">
        <f>IF(AH820&gt;AH819,AD819,IF(AD819&lt;MiscData!$F$1,EOMONTH(AD819,1),EOMONTH(AD819,-11)))</f>
        <v>41943</v>
      </c>
      <c r="AE820" s="389" t="str">
        <f t="shared" si="305"/>
        <v>20140101KUUM_412</v>
      </c>
      <c r="AF820" s="437" t="str">
        <f t="shared" si="306"/>
        <v>20140101RLS</v>
      </c>
      <c r="AG820" s="438"/>
      <c r="AH820" s="34">
        <f>IF(AH819=MiscData!$AB$91,1,AH819+1)</f>
        <v>27</v>
      </c>
      <c r="AI820" s="34">
        <f>IF(AD820&lt;=MiscData!$B$23,MiscData!$C$23,IF(AD820&lt;=MiscData!$B$24,MiscData!$C$24,MiscData!$C$25))</f>
        <v>20140101</v>
      </c>
      <c r="AK820" s="439" t="str">
        <f>VLOOKUP(AM820,MiscData!$AB$4:$ACB$113,2,FALSE)</f>
        <v>KUUM_412</v>
      </c>
      <c r="AL820" s="439" t="str">
        <f>VLOOKUP(AM820,MiscData!$AB$4:$AE$115,4,FALSE)</f>
        <v>RLS</v>
      </c>
      <c r="AM820" s="34">
        <f>IF(AM819=MiscData!$AB$91,1,AM819+1)</f>
        <v>27</v>
      </c>
    </row>
    <row r="821" spans="1:39">
      <c r="A821" s="389">
        <f t="shared" si="309"/>
        <v>820</v>
      </c>
      <c r="B821" s="395" t="str">
        <f t="shared" si="290"/>
        <v>Oct 2014</v>
      </c>
      <c r="C821" s="396" t="str">
        <f t="shared" si="291"/>
        <v>RLS</v>
      </c>
      <c r="D821" s="396" t="str">
        <f t="shared" si="292"/>
        <v>KUUM_413</v>
      </c>
      <c r="E821" s="394">
        <f t="shared" si="293"/>
        <v>95</v>
      </c>
      <c r="F821" s="397">
        <v>0</v>
      </c>
      <c r="G821" s="394">
        <f t="shared" si="294"/>
        <v>0</v>
      </c>
      <c r="H821" s="394">
        <v>0</v>
      </c>
      <c r="I821" s="390">
        <f t="shared" si="295"/>
        <v>31.22</v>
      </c>
      <c r="J821" s="390">
        <f t="shared" si="296"/>
        <v>1.129999999999999</v>
      </c>
      <c r="K821" s="391">
        <f t="shared" si="310"/>
        <v>2965.9</v>
      </c>
      <c r="L821" s="398">
        <v>0</v>
      </c>
      <c r="M821" s="398">
        <v>0</v>
      </c>
      <c r="N821" s="164">
        <f t="shared" si="289"/>
        <v>2965.9</v>
      </c>
      <c r="O821" s="399">
        <f t="shared" si="297"/>
        <v>0</v>
      </c>
      <c r="P821" s="392">
        <f t="shared" si="311"/>
        <v>0</v>
      </c>
      <c r="Q821" s="164">
        <f t="shared" si="298"/>
        <v>0</v>
      </c>
      <c r="R821" s="164">
        <f t="shared" si="299"/>
        <v>0</v>
      </c>
      <c r="S821" s="164">
        <f t="shared" si="300"/>
        <v>0</v>
      </c>
      <c r="T821" s="164">
        <f t="shared" si="301"/>
        <v>0</v>
      </c>
      <c r="U821" s="164">
        <f t="shared" si="302"/>
        <v>0</v>
      </c>
      <c r="V821" s="393">
        <f t="shared" si="303"/>
        <v>2965.9</v>
      </c>
      <c r="W821" s="393">
        <f t="shared" si="304"/>
        <v>-2965.9</v>
      </c>
      <c r="Y821" s="393">
        <f t="shared" si="307"/>
        <v>107.35</v>
      </c>
      <c r="Z821" s="393">
        <f t="shared" si="308"/>
        <v>-107.35</v>
      </c>
      <c r="AD821" s="395">
        <f>IF(AH821&gt;AH820,AD820,IF(AD820&lt;MiscData!$F$1,EOMONTH(AD820,1),EOMONTH(AD820,-11)))</f>
        <v>41943</v>
      </c>
      <c r="AE821" s="389" t="str">
        <f t="shared" si="305"/>
        <v>20140101KUUM_413</v>
      </c>
      <c r="AF821" s="437" t="str">
        <f t="shared" si="306"/>
        <v>20140101RLS</v>
      </c>
      <c r="AG821" s="438"/>
      <c r="AH821" s="34">
        <f>IF(AH820=MiscData!$AB$91,1,AH820+1)</f>
        <v>28</v>
      </c>
      <c r="AI821" s="34">
        <f>IF(AD821&lt;=MiscData!$B$23,MiscData!$C$23,IF(AD821&lt;=MiscData!$B$24,MiscData!$C$24,MiscData!$C$25))</f>
        <v>20140101</v>
      </c>
      <c r="AK821" s="439" t="str">
        <f>VLOOKUP(AM821,MiscData!$AB$4:$ACB$113,2,FALSE)</f>
        <v>KUUM_413</v>
      </c>
      <c r="AL821" s="439" t="str">
        <f>VLOOKUP(AM821,MiscData!$AB$4:$AE$115,4,FALSE)</f>
        <v>RLS</v>
      </c>
      <c r="AM821" s="34">
        <f>IF(AM820=MiscData!$AB$91,1,AM820+1)</f>
        <v>28</v>
      </c>
    </row>
    <row r="822" spans="1:39">
      <c r="A822" s="389">
        <f t="shared" si="309"/>
        <v>821</v>
      </c>
      <c r="B822" s="395" t="str">
        <f t="shared" si="290"/>
        <v>Oct 2014</v>
      </c>
      <c r="C822" s="396" t="str">
        <f t="shared" si="291"/>
        <v>LS</v>
      </c>
      <c r="D822" s="396" t="str">
        <f t="shared" si="292"/>
        <v>KUUM_414</v>
      </c>
      <c r="E822" s="394">
        <f t="shared" si="293"/>
        <v>21</v>
      </c>
      <c r="F822" s="397">
        <v>0</v>
      </c>
      <c r="G822" s="394">
        <f t="shared" si="294"/>
        <v>0</v>
      </c>
      <c r="H822" s="394">
        <v>0</v>
      </c>
      <c r="I822" s="390">
        <f t="shared" si="295"/>
        <v>30.84</v>
      </c>
      <c r="J822" s="390">
        <f t="shared" si="296"/>
        <v>0.79999999999999716</v>
      </c>
      <c r="K822" s="391">
        <f t="shared" si="310"/>
        <v>647.64</v>
      </c>
      <c r="L822" s="398">
        <v>0</v>
      </c>
      <c r="M822" s="398">
        <v>0</v>
      </c>
      <c r="N822" s="164">
        <f t="shared" si="289"/>
        <v>647.64</v>
      </c>
      <c r="O822" s="399">
        <f t="shared" si="297"/>
        <v>0</v>
      </c>
      <c r="P822" s="392">
        <f t="shared" si="311"/>
        <v>0</v>
      </c>
      <c r="Q822" s="164">
        <f t="shared" si="298"/>
        <v>0</v>
      </c>
      <c r="R822" s="164">
        <f t="shared" si="299"/>
        <v>0</v>
      </c>
      <c r="S822" s="164">
        <f t="shared" si="300"/>
        <v>0</v>
      </c>
      <c r="T822" s="164">
        <f t="shared" si="301"/>
        <v>0</v>
      </c>
      <c r="U822" s="164">
        <f t="shared" si="302"/>
        <v>0</v>
      </c>
      <c r="V822" s="393">
        <f t="shared" si="303"/>
        <v>647.64</v>
      </c>
      <c r="W822" s="393">
        <f t="shared" si="304"/>
        <v>-647.64</v>
      </c>
      <c r="Y822" s="393">
        <f t="shared" si="307"/>
        <v>16.8</v>
      </c>
      <c r="Z822" s="393">
        <f t="shared" si="308"/>
        <v>-16.8</v>
      </c>
      <c r="AD822" s="395">
        <f>IF(AH822&gt;AH821,AD821,IF(AD821&lt;MiscData!$F$1,EOMONTH(AD821,1),EOMONTH(AD821,-11)))</f>
        <v>41943</v>
      </c>
      <c r="AE822" s="389" t="str">
        <f t="shared" si="305"/>
        <v>20140101KUUM_414</v>
      </c>
      <c r="AF822" s="437" t="str">
        <f t="shared" si="306"/>
        <v>20140101LS</v>
      </c>
      <c r="AG822" s="438"/>
      <c r="AH822" s="34">
        <f>IF(AH821=MiscData!$AB$91,1,AH821+1)</f>
        <v>29</v>
      </c>
      <c r="AI822" s="34">
        <f>IF(AD822&lt;=MiscData!$B$23,MiscData!$C$23,IF(AD822&lt;=MiscData!$B$24,MiscData!$C$24,MiscData!$C$25))</f>
        <v>20140101</v>
      </c>
      <c r="AK822" s="439" t="str">
        <f>VLOOKUP(AM822,MiscData!$AB$4:$ACB$113,2,FALSE)</f>
        <v>KUUM_414</v>
      </c>
      <c r="AL822" s="439" t="str">
        <f>VLOOKUP(AM822,MiscData!$AB$4:$AE$115,4,FALSE)</f>
        <v>LS</v>
      </c>
      <c r="AM822" s="34">
        <f>IF(AM821=MiscData!$AB$91,1,AM821+1)</f>
        <v>29</v>
      </c>
    </row>
    <row r="823" spans="1:39">
      <c r="A823" s="389">
        <f t="shared" si="309"/>
        <v>822</v>
      </c>
      <c r="B823" s="395" t="str">
        <f t="shared" si="290"/>
        <v>Oct 2014</v>
      </c>
      <c r="C823" s="396" t="str">
        <f t="shared" si="291"/>
        <v>LS</v>
      </c>
      <c r="D823" s="396" t="str">
        <f t="shared" si="292"/>
        <v>KUUM_415</v>
      </c>
      <c r="E823" s="394">
        <f t="shared" si="293"/>
        <v>10</v>
      </c>
      <c r="F823" s="397">
        <v>0</v>
      </c>
      <c r="G823" s="394">
        <f t="shared" si="294"/>
        <v>0</v>
      </c>
      <c r="H823" s="394">
        <v>0</v>
      </c>
      <c r="I823" s="390">
        <f t="shared" si="295"/>
        <v>31.22</v>
      </c>
      <c r="J823" s="390">
        <f t="shared" si="296"/>
        <v>1.129999999999999</v>
      </c>
      <c r="K823" s="391">
        <f t="shared" si="310"/>
        <v>312.2</v>
      </c>
      <c r="L823" s="398">
        <v>0</v>
      </c>
      <c r="M823" s="398">
        <v>0</v>
      </c>
      <c r="N823" s="164">
        <f t="shared" si="289"/>
        <v>312.2</v>
      </c>
      <c r="O823" s="399">
        <f t="shared" si="297"/>
        <v>0</v>
      </c>
      <c r="P823" s="392">
        <f t="shared" si="311"/>
        <v>0</v>
      </c>
      <c r="Q823" s="164">
        <f t="shared" si="298"/>
        <v>0</v>
      </c>
      <c r="R823" s="164">
        <f t="shared" si="299"/>
        <v>0</v>
      </c>
      <c r="S823" s="164">
        <f t="shared" si="300"/>
        <v>0</v>
      </c>
      <c r="T823" s="164">
        <f t="shared" si="301"/>
        <v>0</v>
      </c>
      <c r="U823" s="164">
        <f t="shared" si="302"/>
        <v>0</v>
      </c>
      <c r="V823" s="393">
        <f t="shared" si="303"/>
        <v>312.2</v>
      </c>
      <c r="W823" s="393">
        <f t="shared" si="304"/>
        <v>-312.2</v>
      </c>
      <c r="Y823" s="393">
        <f t="shared" si="307"/>
        <v>11.3</v>
      </c>
      <c r="Z823" s="393">
        <f t="shared" si="308"/>
        <v>-11.3</v>
      </c>
      <c r="AD823" s="395">
        <f>IF(AH823&gt;AH822,AD822,IF(AD822&lt;MiscData!$F$1,EOMONTH(AD822,1),EOMONTH(AD822,-11)))</f>
        <v>41943</v>
      </c>
      <c r="AE823" s="389" t="str">
        <f t="shared" si="305"/>
        <v>20140101KUUM_415</v>
      </c>
      <c r="AF823" s="437" t="str">
        <f t="shared" si="306"/>
        <v>20140101LS</v>
      </c>
      <c r="AG823" s="438"/>
      <c r="AH823" s="34">
        <f>IF(AH822=MiscData!$AB$91,1,AH822+1)</f>
        <v>30</v>
      </c>
      <c r="AI823" s="34">
        <f>IF(AD823&lt;=MiscData!$B$23,MiscData!$C$23,IF(AD823&lt;=MiscData!$B$24,MiscData!$C$24,MiscData!$C$25))</f>
        <v>20140101</v>
      </c>
      <c r="AK823" s="439" t="str">
        <f>VLOOKUP(AM823,MiscData!$AB$4:$ACB$113,2,FALSE)</f>
        <v>KUUM_415</v>
      </c>
      <c r="AL823" s="439" t="str">
        <f>VLOOKUP(AM823,MiscData!$AB$4:$AE$115,4,FALSE)</f>
        <v>LS</v>
      </c>
      <c r="AM823" s="34">
        <f>IF(AM822=MiscData!$AB$91,1,AM822+1)</f>
        <v>30</v>
      </c>
    </row>
    <row r="824" spans="1:39">
      <c r="A824" s="389">
        <f t="shared" si="309"/>
        <v>823</v>
      </c>
      <c r="B824" s="395" t="str">
        <f t="shared" si="290"/>
        <v>Oct 2014</v>
      </c>
      <c r="C824" s="396" t="str">
        <f t="shared" si="291"/>
        <v>LS</v>
      </c>
      <c r="D824" s="396" t="str">
        <f t="shared" si="292"/>
        <v>KUUM_420</v>
      </c>
      <c r="E824" s="394">
        <f t="shared" si="293"/>
        <v>468</v>
      </c>
      <c r="F824" s="397">
        <v>0</v>
      </c>
      <c r="G824" s="394">
        <f t="shared" si="294"/>
        <v>0</v>
      </c>
      <c r="H824" s="394">
        <v>0</v>
      </c>
      <c r="I824" s="390">
        <f t="shared" si="295"/>
        <v>15.360000000000001</v>
      </c>
      <c r="J824" s="390">
        <f t="shared" si="296"/>
        <v>1.1300000000000008</v>
      </c>
      <c r="K824" s="391">
        <f t="shared" si="310"/>
        <v>7188.48</v>
      </c>
      <c r="L824" s="398">
        <v>0</v>
      </c>
      <c r="M824" s="398">
        <v>0</v>
      </c>
      <c r="N824" s="164">
        <f t="shared" ref="N824:N887" si="312">SUM(K824:M824)</f>
        <v>7188.48</v>
      </c>
      <c r="O824" s="399">
        <f t="shared" si="297"/>
        <v>0</v>
      </c>
      <c r="P824" s="392">
        <f t="shared" si="311"/>
        <v>0</v>
      </c>
      <c r="Q824" s="164">
        <f t="shared" si="298"/>
        <v>0</v>
      </c>
      <c r="R824" s="164">
        <f t="shared" si="299"/>
        <v>0</v>
      </c>
      <c r="S824" s="164">
        <f t="shared" si="300"/>
        <v>0</v>
      </c>
      <c r="T824" s="164">
        <f t="shared" si="301"/>
        <v>0</v>
      </c>
      <c r="U824" s="164">
        <f t="shared" si="302"/>
        <v>0</v>
      </c>
      <c r="V824" s="393">
        <f t="shared" si="303"/>
        <v>7188.48</v>
      </c>
      <c r="W824" s="393">
        <f t="shared" si="304"/>
        <v>-7188.48</v>
      </c>
      <c r="Y824" s="393">
        <f t="shared" si="307"/>
        <v>528.84</v>
      </c>
      <c r="Z824" s="393">
        <f t="shared" si="308"/>
        <v>-528.84</v>
      </c>
      <c r="AD824" s="395">
        <f>IF(AH824&gt;AH823,AD823,IF(AD823&lt;MiscData!$F$1,EOMONTH(AD823,1),EOMONTH(AD823,-11)))</f>
        <v>41943</v>
      </c>
      <c r="AE824" s="389" t="str">
        <f t="shared" si="305"/>
        <v>20140101KUUM_420</v>
      </c>
      <c r="AF824" s="437" t="str">
        <f t="shared" si="306"/>
        <v>20140101LS</v>
      </c>
      <c r="AG824" s="438"/>
      <c r="AH824" s="34">
        <f>IF(AH823=MiscData!$AB$91,1,AH823+1)</f>
        <v>31</v>
      </c>
      <c r="AI824" s="34">
        <f>IF(AD824&lt;=MiscData!$B$23,MiscData!$C$23,IF(AD824&lt;=MiscData!$B$24,MiscData!$C$24,MiscData!$C$25))</f>
        <v>20140101</v>
      </c>
      <c r="AK824" s="439" t="str">
        <f>VLOOKUP(AM824,MiscData!$AB$4:$ACB$113,2,FALSE)</f>
        <v>KUUM_420</v>
      </c>
      <c r="AL824" s="439" t="str">
        <f>VLOOKUP(AM824,MiscData!$AB$4:$AE$115,4,FALSE)</f>
        <v>LS</v>
      </c>
      <c r="AM824" s="34">
        <f>IF(AM823=MiscData!$AB$91,1,AM823+1)</f>
        <v>31</v>
      </c>
    </row>
    <row r="825" spans="1:39">
      <c r="A825" s="389">
        <f t="shared" si="309"/>
        <v>824</v>
      </c>
      <c r="B825" s="395" t="str">
        <f t="shared" si="290"/>
        <v>Oct 2014</v>
      </c>
      <c r="C825" s="396" t="str">
        <f t="shared" si="291"/>
        <v>RLS</v>
      </c>
      <c r="D825" s="396" t="str">
        <f t="shared" si="292"/>
        <v>KUUM_421</v>
      </c>
      <c r="E825" s="394">
        <f t="shared" si="293"/>
        <v>5</v>
      </c>
      <c r="F825" s="397">
        <v>0</v>
      </c>
      <c r="G825" s="394">
        <f t="shared" si="294"/>
        <v>0</v>
      </c>
      <c r="H825" s="394">
        <v>0</v>
      </c>
      <c r="I825" s="390">
        <f t="shared" si="295"/>
        <v>3.39</v>
      </c>
      <c r="J825" s="390">
        <f t="shared" si="296"/>
        <v>0.98999999999999977</v>
      </c>
      <c r="K825" s="391">
        <f t="shared" si="310"/>
        <v>16.95</v>
      </c>
      <c r="L825" s="398">
        <v>0</v>
      </c>
      <c r="M825" s="398">
        <v>0</v>
      </c>
      <c r="N825" s="164">
        <f t="shared" si="312"/>
        <v>16.95</v>
      </c>
      <c r="O825" s="399">
        <f t="shared" si="297"/>
        <v>0</v>
      </c>
      <c r="P825" s="392">
        <f t="shared" si="311"/>
        <v>0</v>
      </c>
      <c r="Q825" s="164">
        <f t="shared" si="298"/>
        <v>0</v>
      </c>
      <c r="R825" s="164">
        <f t="shared" si="299"/>
        <v>0</v>
      </c>
      <c r="S825" s="164">
        <f t="shared" si="300"/>
        <v>0</v>
      </c>
      <c r="T825" s="164">
        <f t="shared" si="301"/>
        <v>0</v>
      </c>
      <c r="U825" s="164">
        <f t="shared" si="302"/>
        <v>0</v>
      </c>
      <c r="V825" s="393">
        <f t="shared" si="303"/>
        <v>16.95</v>
      </c>
      <c r="W825" s="393">
        <f t="shared" si="304"/>
        <v>-16.95</v>
      </c>
      <c r="Y825" s="393">
        <f t="shared" si="307"/>
        <v>4.95</v>
      </c>
      <c r="Z825" s="393">
        <f t="shared" si="308"/>
        <v>-4.95</v>
      </c>
      <c r="AD825" s="395">
        <f>IF(AH825&gt;AH824,AD824,IF(AD824&lt;MiscData!$F$1,EOMONTH(AD824,1),EOMONTH(AD824,-11)))</f>
        <v>41943</v>
      </c>
      <c r="AE825" s="389" t="str">
        <f t="shared" si="305"/>
        <v>20140101KUUM_421</v>
      </c>
      <c r="AF825" s="437" t="str">
        <f t="shared" si="306"/>
        <v>20140101RLS</v>
      </c>
      <c r="AG825" s="438"/>
      <c r="AH825" s="34">
        <f>IF(AH824=MiscData!$AB$91,1,AH824+1)</f>
        <v>32</v>
      </c>
      <c r="AI825" s="34">
        <f>IF(AD825&lt;=MiscData!$B$23,MiscData!$C$23,IF(AD825&lt;=MiscData!$B$24,MiscData!$C$24,MiscData!$C$25))</f>
        <v>20140101</v>
      </c>
      <c r="AK825" s="439" t="str">
        <f>VLOOKUP(AM825,MiscData!$AB$4:$ACB$113,2,FALSE)</f>
        <v>KUUM_421</v>
      </c>
      <c r="AL825" s="439" t="str">
        <f>VLOOKUP(AM825,MiscData!$AB$4:$AE$115,4,FALSE)</f>
        <v>RLS</v>
      </c>
      <c r="AM825" s="34">
        <f>IF(AM824=MiscData!$AB$91,1,AM824+1)</f>
        <v>32</v>
      </c>
    </row>
    <row r="826" spans="1:39">
      <c r="A826" s="389">
        <f t="shared" si="309"/>
        <v>825</v>
      </c>
      <c r="B826" s="395" t="str">
        <f t="shared" ref="B826:B889" si="313">TEXT(AD826,"mmm yyyy")</f>
        <v>Oct 2014</v>
      </c>
      <c r="C826" s="396" t="str">
        <f t="shared" ref="C826:C889" si="314">AL826</f>
        <v>RLS</v>
      </c>
      <c r="D826" s="396" t="str">
        <f t="shared" ref="D826:D889" si="315">AK826</f>
        <v>KUUM_422</v>
      </c>
      <c r="E826" s="394">
        <f t="shared" ref="E826:E889" si="316">SUMIFS(_1055_Light_Count,_1055_RevMonth,$B826,_1055_RateCategory,$D826)</f>
        <v>676</v>
      </c>
      <c r="F826" s="397">
        <v>0</v>
      </c>
      <c r="G826" s="394">
        <f t="shared" ref="G826:G888" si="317">SUMIFS(_SBR_KWH,_SBR_Revenue_Month,$B826,_SBR_Rate_Category,$D826)</f>
        <v>0</v>
      </c>
      <c r="H826" s="394">
        <v>0</v>
      </c>
      <c r="I826" s="390">
        <f t="shared" ref="I826:I889" si="318">SUMIF(_Lights_Tariff_Category,$AE826,_Lights_Rates)</f>
        <v>4.5400000000000009</v>
      </c>
      <c r="J826" s="390">
        <f t="shared" ref="J826:J889" si="319">SUMIF(_Lights_Tariff_Category,$AE826,_Rates_Lights_BaseFAC)</f>
        <v>1.9400000000000004</v>
      </c>
      <c r="K826" s="391">
        <f t="shared" si="310"/>
        <v>3069.04</v>
      </c>
      <c r="L826" s="398">
        <v>0</v>
      </c>
      <c r="M826" s="398">
        <v>0</v>
      </c>
      <c r="N826" s="164">
        <f t="shared" si="312"/>
        <v>3069.04</v>
      </c>
      <c r="O826" s="399">
        <f t="shared" ref="O826:O889" si="320">U826-SUM(Q826:T826)</f>
        <v>0</v>
      </c>
      <c r="P826" s="392">
        <f t="shared" si="311"/>
        <v>0</v>
      </c>
      <c r="Q826" s="164">
        <f t="shared" ref="Q826:Q889" si="321">SUMIFS(_SBR_FAC,_SBR_Revenue_Month,$B826,_SBR_Rate_Category,$D826)</f>
        <v>0</v>
      </c>
      <c r="R826" s="164">
        <f t="shared" ref="R826:R889" si="322">SUMIFS(_SBR_DSM,_SBR_Revenue_Month,$B826,_SBR_Rate_Category,$D826)</f>
        <v>0</v>
      </c>
      <c r="S826" s="164">
        <f t="shared" ref="S826:S889" si="323">SUMIFS(_SBR_ECR,_SBR_Revenue_Month,$B826,_SBR_Rate_Category,$D826)</f>
        <v>0</v>
      </c>
      <c r="T826" s="164">
        <f t="shared" ref="T826:T889" si="324">SUMIFS(_SBR_MSR,_SBR_Revenue_Month,$B826,_SBR_Rate_Category,$D826)</f>
        <v>0</v>
      </c>
      <c r="U826" s="164">
        <f t="shared" ref="U826:U889" si="325">SUMIFS(_SBR_Revenue_Actual,_SBR_Revenue_Month,$B826,_SBR_Rate_Category,$D826)</f>
        <v>0</v>
      </c>
      <c r="V826" s="393">
        <f t="shared" ref="V826:V889" si="326">SUM(N826,Q826:T826)</f>
        <v>3069.04</v>
      </c>
      <c r="W826" s="393">
        <f t="shared" ref="W826:W889" si="327">U826-V826</f>
        <v>-3069.04</v>
      </c>
      <c r="Y826" s="393">
        <f t="shared" si="307"/>
        <v>1311.44</v>
      </c>
      <c r="Z826" s="393">
        <f t="shared" si="308"/>
        <v>-1311.44</v>
      </c>
      <c r="AD826" s="395">
        <f>IF(AH826&gt;AH825,AD825,IF(AD825&lt;MiscData!$F$1,EOMONTH(AD825,1),EOMONTH(AD825,-11)))</f>
        <v>41943</v>
      </c>
      <c r="AE826" s="389" t="str">
        <f t="shared" ref="AE826:AE889" si="328">CONCATENATE(AI826&amp;AK826)</f>
        <v>20140101KUUM_422</v>
      </c>
      <c r="AF826" s="437" t="str">
        <f t="shared" ref="AF826:AF889" si="329">CONCATENATE(AI826&amp;AL826)</f>
        <v>20140101RLS</v>
      </c>
      <c r="AG826" s="438"/>
      <c r="AH826" s="34">
        <f>IF(AH825=MiscData!$AB$91,1,AH825+1)</f>
        <v>33</v>
      </c>
      <c r="AI826" s="34">
        <f>IF(AD826&lt;=MiscData!$B$23,MiscData!$C$23,IF(AD826&lt;=MiscData!$B$24,MiscData!$C$24,MiscData!$C$25))</f>
        <v>20140101</v>
      </c>
      <c r="AK826" s="439" t="str">
        <f>VLOOKUP(AM826,MiscData!$AB$4:$ACB$113,2,FALSE)</f>
        <v>KUUM_422</v>
      </c>
      <c r="AL826" s="439" t="str">
        <f>VLOOKUP(AM826,MiscData!$AB$4:$AE$115,4,FALSE)</f>
        <v>RLS</v>
      </c>
      <c r="AM826" s="34">
        <f>IF(AM825=MiscData!$AB$91,1,AM825+1)</f>
        <v>33</v>
      </c>
    </row>
    <row r="827" spans="1:39">
      <c r="A827" s="389">
        <f t="shared" si="309"/>
        <v>826</v>
      </c>
      <c r="B827" s="395" t="str">
        <f t="shared" si="313"/>
        <v>Oct 2014</v>
      </c>
      <c r="C827" s="396" t="str">
        <f t="shared" si="314"/>
        <v>RLS</v>
      </c>
      <c r="D827" s="396" t="str">
        <f t="shared" si="315"/>
        <v>KUUM_424</v>
      </c>
      <c r="E827" s="394">
        <f t="shared" si="316"/>
        <v>120</v>
      </c>
      <c r="F827" s="397">
        <v>0</v>
      </c>
      <c r="G827" s="394">
        <f t="shared" si="317"/>
        <v>0</v>
      </c>
      <c r="H827" s="394">
        <v>0</v>
      </c>
      <c r="I827" s="390">
        <f t="shared" si="318"/>
        <v>6.78</v>
      </c>
      <c r="J827" s="390">
        <f t="shared" si="319"/>
        <v>0.69999999999999929</v>
      </c>
      <c r="K827" s="391">
        <f t="shared" si="310"/>
        <v>813.6</v>
      </c>
      <c r="L827" s="398">
        <v>0</v>
      </c>
      <c r="M827" s="398">
        <v>0</v>
      </c>
      <c r="N827" s="164">
        <f t="shared" si="312"/>
        <v>813.6</v>
      </c>
      <c r="O827" s="399">
        <f t="shared" si="320"/>
        <v>0</v>
      </c>
      <c r="P827" s="392">
        <f t="shared" si="311"/>
        <v>0</v>
      </c>
      <c r="Q827" s="164">
        <f t="shared" si="321"/>
        <v>0</v>
      </c>
      <c r="R827" s="164">
        <f t="shared" si="322"/>
        <v>0</v>
      </c>
      <c r="S827" s="164">
        <f t="shared" si="323"/>
        <v>0</v>
      </c>
      <c r="T827" s="164">
        <f t="shared" si="324"/>
        <v>0</v>
      </c>
      <c r="U827" s="164">
        <f t="shared" si="325"/>
        <v>0</v>
      </c>
      <c r="V827" s="393">
        <f t="shared" si="326"/>
        <v>813.6</v>
      </c>
      <c r="W827" s="393">
        <f t="shared" si="327"/>
        <v>-813.6</v>
      </c>
      <c r="Y827" s="393">
        <f t="shared" ref="Y827:Y890" si="330">ROUND(E827*J827,2)</f>
        <v>84</v>
      </c>
      <c r="Z827" s="393">
        <f t="shared" ref="Z827:Z890" si="331">O827-Y827</f>
        <v>-84</v>
      </c>
      <c r="AD827" s="395">
        <f>IF(AH827&gt;AH826,AD826,IF(AD826&lt;MiscData!$F$1,EOMONTH(AD826,1),EOMONTH(AD826,-11)))</f>
        <v>41943</v>
      </c>
      <c r="AE827" s="389" t="str">
        <f t="shared" si="328"/>
        <v>20140101KUUM_424</v>
      </c>
      <c r="AF827" s="437" t="str">
        <f t="shared" si="329"/>
        <v>20140101RLS</v>
      </c>
      <c r="AG827" s="438"/>
      <c r="AH827" s="34">
        <f>IF(AH826=MiscData!$AB$91,1,AH826+1)</f>
        <v>34</v>
      </c>
      <c r="AI827" s="34">
        <f>IF(AD827&lt;=MiscData!$B$23,MiscData!$C$23,IF(AD827&lt;=MiscData!$B$24,MiscData!$C$24,MiscData!$C$25))</f>
        <v>20140101</v>
      </c>
      <c r="AK827" s="439" t="str">
        <f>VLOOKUP(AM827,MiscData!$AB$4:$ACB$113,2,FALSE)</f>
        <v>KUUM_424</v>
      </c>
      <c r="AL827" s="439" t="str">
        <f>VLOOKUP(AM827,MiscData!$AB$4:$AE$115,4,FALSE)</f>
        <v>RLS</v>
      </c>
      <c r="AM827" s="34">
        <f>IF(AM826=MiscData!$AB$91,1,AM826+1)</f>
        <v>34</v>
      </c>
    </row>
    <row r="828" spans="1:39">
      <c r="A828" s="389">
        <f t="shared" ref="A828:A891" si="332">A827+1</f>
        <v>827</v>
      </c>
      <c r="B828" s="395" t="str">
        <f t="shared" si="313"/>
        <v>Oct 2014</v>
      </c>
      <c r="C828" s="396" t="str">
        <f t="shared" si="314"/>
        <v>RLS</v>
      </c>
      <c r="D828" s="396" t="str">
        <f t="shared" si="315"/>
        <v>KUUM_425</v>
      </c>
      <c r="E828" s="394">
        <f t="shared" si="316"/>
        <v>2</v>
      </c>
      <c r="F828" s="397">
        <v>0</v>
      </c>
      <c r="G828" s="394">
        <f t="shared" si="317"/>
        <v>0</v>
      </c>
      <c r="H828" s="394">
        <v>0</v>
      </c>
      <c r="I828" s="390">
        <f t="shared" si="318"/>
        <v>9.06</v>
      </c>
      <c r="J828" s="390">
        <f t="shared" si="319"/>
        <v>4.3000000000000007</v>
      </c>
      <c r="K828" s="391">
        <f t="shared" si="310"/>
        <v>18.12</v>
      </c>
      <c r="L828" s="398">
        <v>0</v>
      </c>
      <c r="M828" s="398">
        <v>0</v>
      </c>
      <c r="N828" s="164">
        <f t="shared" si="312"/>
        <v>18.12</v>
      </c>
      <c r="O828" s="399">
        <f t="shared" si="320"/>
        <v>0</v>
      </c>
      <c r="P828" s="392">
        <f t="shared" si="311"/>
        <v>0</v>
      </c>
      <c r="Q828" s="164">
        <f t="shared" si="321"/>
        <v>0</v>
      </c>
      <c r="R828" s="164">
        <f t="shared" si="322"/>
        <v>0</v>
      </c>
      <c r="S828" s="164">
        <f t="shared" si="323"/>
        <v>0</v>
      </c>
      <c r="T828" s="164">
        <f t="shared" si="324"/>
        <v>0</v>
      </c>
      <c r="U828" s="164">
        <f t="shared" si="325"/>
        <v>0</v>
      </c>
      <c r="V828" s="393">
        <f t="shared" si="326"/>
        <v>18.12</v>
      </c>
      <c r="W828" s="393">
        <f t="shared" si="327"/>
        <v>-18.12</v>
      </c>
      <c r="Y828" s="393">
        <f t="shared" si="330"/>
        <v>8.6</v>
      </c>
      <c r="Z828" s="393">
        <f t="shared" si="331"/>
        <v>-8.6</v>
      </c>
      <c r="AD828" s="395">
        <f>IF(AH828&gt;AH827,AD827,IF(AD827&lt;MiscData!$F$1,EOMONTH(AD827,1),EOMONTH(AD827,-11)))</f>
        <v>41943</v>
      </c>
      <c r="AE828" s="389" t="str">
        <f t="shared" si="328"/>
        <v>20140101KUUM_425</v>
      </c>
      <c r="AF828" s="437" t="str">
        <f t="shared" si="329"/>
        <v>20140101RLS</v>
      </c>
      <c r="AG828" s="438"/>
      <c r="AH828" s="34">
        <f>IF(AH827=MiscData!$AB$91,1,AH827+1)</f>
        <v>35</v>
      </c>
      <c r="AI828" s="34">
        <f>IF(AD828&lt;=MiscData!$B$23,MiscData!$C$23,IF(AD828&lt;=MiscData!$B$24,MiscData!$C$24,MiscData!$C$25))</f>
        <v>20140101</v>
      </c>
      <c r="AK828" s="439" t="str">
        <f>VLOOKUP(AM828,MiscData!$AB$4:$ACB$113,2,FALSE)</f>
        <v>KUUM_425</v>
      </c>
      <c r="AL828" s="439" t="str">
        <f>VLOOKUP(AM828,MiscData!$AB$4:$AE$115,4,FALSE)</f>
        <v>RLS</v>
      </c>
      <c r="AM828" s="34">
        <f>IF(AM827=MiscData!$AB$91,1,AM827+1)</f>
        <v>35</v>
      </c>
    </row>
    <row r="829" spans="1:39">
      <c r="A829" s="389">
        <f t="shared" si="332"/>
        <v>828</v>
      </c>
      <c r="B829" s="395" t="str">
        <f t="shared" si="313"/>
        <v>Oct 2014</v>
      </c>
      <c r="C829" s="396" t="str">
        <f t="shared" si="314"/>
        <v>RLS</v>
      </c>
      <c r="D829" s="396" t="str">
        <f t="shared" si="315"/>
        <v>KUUM_426</v>
      </c>
      <c r="E829" s="394">
        <f t="shared" si="316"/>
        <v>162</v>
      </c>
      <c r="F829" s="397">
        <v>0</v>
      </c>
      <c r="G829" s="394">
        <f t="shared" si="317"/>
        <v>0</v>
      </c>
      <c r="H829" s="394">
        <v>0</v>
      </c>
      <c r="I829" s="390">
        <f t="shared" si="318"/>
        <v>7.4399999999999995</v>
      </c>
      <c r="J829" s="390">
        <f t="shared" si="319"/>
        <v>0.79999999999999982</v>
      </c>
      <c r="K829" s="391">
        <f t="shared" si="310"/>
        <v>1205.28</v>
      </c>
      <c r="L829" s="398">
        <v>0</v>
      </c>
      <c r="M829" s="398">
        <v>0</v>
      </c>
      <c r="N829" s="164">
        <f t="shared" si="312"/>
        <v>1205.28</v>
      </c>
      <c r="O829" s="399">
        <f t="shared" si="320"/>
        <v>0</v>
      </c>
      <c r="P829" s="392">
        <f t="shared" si="311"/>
        <v>0</v>
      </c>
      <c r="Q829" s="164">
        <f t="shared" si="321"/>
        <v>0</v>
      </c>
      <c r="R829" s="164">
        <f t="shared" si="322"/>
        <v>0</v>
      </c>
      <c r="S829" s="164">
        <f t="shared" si="323"/>
        <v>0</v>
      </c>
      <c r="T829" s="164">
        <f t="shared" si="324"/>
        <v>0</v>
      </c>
      <c r="U829" s="164">
        <f t="shared" si="325"/>
        <v>0</v>
      </c>
      <c r="V829" s="393">
        <f t="shared" si="326"/>
        <v>1205.28</v>
      </c>
      <c r="W829" s="393">
        <f t="shared" si="327"/>
        <v>-1205.28</v>
      </c>
      <c r="Y829" s="393">
        <f t="shared" si="330"/>
        <v>129.6</v>
      </c>
      <c r="Z829" s="393">
        <f t="shared" si="331"/>
        <v>-129.6</v>
      </c>
      <c r="AD829" s="395">
        <f>IF(AH829&gt;AH828,AD828,IF(AD828&lt;MiscData!$F$1,EOMONTH(AD828,1),EOMONTH(AD828,-11)))</f>
        <v>41943</v>
      </c>
      <c r="AE829" s="389" t="str">
        <f t="shared" si="328"/>
        <v>20140101KUUM_426</v>
      </c>
      <c r="AF829" s="437" t="str">
        <f t="shared" si="329"/>
        <v>20140101RLS</v>
      </c>
      <c r="AG829" s="438"/>
      <c r="AH829" s="34">
        <f>IF(AH828=MiscData!$AB$91,1,AH828+1)</f>
        <v>36</v>
      </c>
      <c r="AI829" s="34">
        <f>IF(AD829&lt;=MiscData!$B$23,MiscData!$C$23,IF(AD829&lt;=MiscData!$B$24,MiscData!$C$24,MiscData!$C$25))</f>
        <v>20140101</v>
      </c>
      <c r="AK829" s="439" t="str">
        <f>VLOOKUP(AM829,MiscData!$AB$4:$ACB$113,2,FALSE)</f>
        <v>KUUM_426</v>
      </c>
      <c r="AL829" s="439" t="str">
        <f>VLOOKUP(AM829,MiscData!$AB$4:$AE$115,4,FALSE)</f>
        <v>RLS</v>
      </c>
      <c r="AM829" s="34">
        <f>IF(AM828=MiscData!$AB$91,1,AM828+1)</f>
        <v>36</v>
      </c>
    </row>
    <row r="830" spans="1:39">
      <c r="A830" s="389">
        <f t="shared" si="332"/>
        <v>829</v>
      </c>
      <c r="B830" s="395" t="str">
        <f t="shared" si="313"/>
        <v>Oct 2014</v>
      </c>
      <c r="C830" s="396" t="str">
        <f t="shared" si="314"/>
        <v>LS</v>
      </c>
      <c r="D830" s="396" t="str">
        <f t="shared" si="315"/>
        <v>KUUM_428</v>
      </c>
      <c r="E830" s="394">
        <f t="shared" si="316"/>
        <v>34920</v>
      </c>
      <c r="F830" s="397">
        <v>0</v>
      </c>
      <c r="G830" s="394">
        <f t="shared" si="317"/>
        <v>0</v>
      </c>
      <c r="H830" s="394">
        <v>0</v>
      </c>
      <c r="I830" s="390">
        <f t="shared" si="318"/>
        <v>7.84</v>
      </c>
      <c r="J830" s="390">
        <f t="shared" si="319"/>
        <v>1.1299999999999999</v>
      </c>
      <c r="K830" s="391">
        <f t="shared" si="310"/>
        <v>273772.79999999999</v>
      </c>
      <c r="L830" s="398">
        <v>0</v>
      </c>
      <c r="M830" s="398">
        <v>0</v>
      </c>
      <c r="N830" s="164">
        <f t="shared" si="312"/>
        <v>273772.79999999999</v>
      </c>
      <c r="O830" s="399">
        <f t="shared" si="320"/>
        <v>0</v>
      </c>
      <c r="P830" s="392">
        <f t="shared" si="311"/>
        <v>0</v>
      </c>
      <c r="Q830" s="164">
        <f t="shared" si="321"/>
        <v>0</v>
      </c>
      <c r="R830" s="164">
        <f t="shared" si="322"/>
        <v>0</v>
      </c>
      <c r="S830" s="164">
        <f t="shared" si="323"/>
        <v>0</v>
      </c>
      <c r="T830" s="164">
        <f t="shared" si="324"/>
        <v>0</v>
      </c>
      <c r="U830" s="164">
        <f t="shared" si="325"/>
        <v>0</v>
      </c>
      <c r="V830" s="393">
        <f t="shared" si="326"/>
        <v>273772.79999999999</v>
      </c>
      <c r="W830" s="393">
        <f t="shared" si="327"/>
        <v>-273772.79999999999</v>
      </c>
      <c r="Y830" s="393">
        <f t="shared" si="330"/>
        <v>39459.599999999999</v>
      </c>
      <c r="Z830" s="393">
        <f t="shared" si="331"/>
        <v>-39459.599999999999</v>
      </c>
      <c r="AD830" s="395">
        <f>IF(AH830&gt;AH829,AD829,IF(AD829&lt;MiscData!$F$1,EOMONTH(AD829,1),EOMONTH(AD829,-11)))</f>
        <v>41943</v>
      </c>
      <c r="AE830" s="389" t="str">
        <f t="shared" si="328"/>
        <v>20140101KUUM_428</v>
      </c>
      <c r="AF830" s="437" t="str">
        <f t="shared" si="329"/>
        <v>20140101LS</v>
      </c>
      <c r="AG830" s="438"/>
      <c r="AH830" s="34">
        <f>IF(AH829=MiscData!$AB$91,1,AH829+1)</f>
        <v>37</v>
      </c>
      <c r="AI830" s="34">
        <f>IF(AD830&lt;=MiscData!$B$23,MiscData!$C$23,IF(AD830&lt;=MiscData!$B$24,MiscData!$C$24,MiscData!$C$25))</f>
        <v>20140101</v>
      </c>
      <c r="AK830" s="439" t="str">
        <f>VLOOKUP(AM830,MiscData!$AB$4:$ACB$113,2,FALSE)</f>
        <v>KUUM_428</v>
      </c>
      <c r="AL830" s="439" t="str">
        <f>VLOOKUP(AM830,MiscData!$AB$4:$AE$115,4,FALSE)</f>
        <v>LS</v>
      </c>
      <c r="AM830" s="34">
        <f>IF(AM829=MiscData!$AB$91,1,AM829+1)</f>
        <v>37</v>
      </c>
    </row>
    <row r="831" spans="1:39">
      <c r="A831" s="389">
        <f t="shared" si="332"/>
        <v>830</v>
      </c>
      <c r="B831" s="395" t="str">
        <f t="shared" si="313"/>
        <v>Oct 2014</v>
      </c>
      <c r="C831" s="396" t="str">
        <f t="shared" si="314"/>
        <v>LS</v>
      </c>
      <c r="D831" s="396" t="str">
        <f t="shared" si="315"/>
        <v>KUUM_429</v>
      </c>
      <c r="E831" s="394">
        <f t="shared" si="316"/>
        <v>0</v>
      </c>
      <c r="F831" s="397">
        <v>0</v>
      </c>
      <c r="G831" s="394">
        <f t="shared" si="317"/>
        <v>0</v>
      </c>
      <c r="H831" s="394">
        <v>0</v>
      </c>
      <c r="I831" s="390">
        <f t="shared" si="318"/>
        <v>0</v>
      </c>
      <c r="J831" s="390">
        <f t="shared" si="319"/>
        <v>0</v>
      </c>
      <c r="K831" s="391">
        <f t="shared" si="310"/>
        <v>0</v>
      </c>
      <c r="L831" s="398">
        <v>0</v>
      </c>
      <c r="M831" s="398">
        <v>0</v>
      </c>
      <c r="N831" s="164">
        <f t="shared" si="312"/>
        <v>0</v>
      </c>
      <c r="O831" s="399">
        <f t="shared" si="320"/>
        <v>0</v>
      </c>
      <c r="P831" s="392">
        <f t="shared" si="311"/>
        <v>1</v>
      </c>
      <c r="Q831" s="164">
        <f t="shared" si="321"/>
        <v>0</v>
      </c>
      <c r="R831" s="164">
        <f t="shared" si="322"/>
        <v>0</v>
      </c>
      <c r="S831" s="164">
        <f t="shared" si="323"/>
        <v>0</v>
      </c>
      <c r="T831" s="164">
        <f t="shared" si="324"/>
        <v>0</v>
      </c>
      <c r="U831" s="164">
        <f t="shared" si="325"/>
        <v>0</v>
      </c>
      <c r="V831" s="393">
        <f t="shared" si="326"/>
        <v>0</v>
      </c>
      <c r="W831" s="393">
        <f t="shared" si="327"/>
        <v>0</v>
      </c>
      <c r="Y831" s="393">
        <f t="shared" si="330"/>
        <v>0</v>
      </c>
      <c r="Z831" s="393">
        <f t="shared" si="331"/>
        <v>0</v>
      </c>
      <c r="AD831" s="395">
        <f>IF(AH831&gt;AH830,AD830,IF(AD830&lt;MiscData!$F$1,EOMONTH(AD830,1),EOMONTH(AD830,-11)))</f>
        <v>41943</v>
      </c>
      <c r="AE831" s="389" t="str">
        <f t="shared" si="328"/>
        <v>20140101KUUM_429</v>
      </c>
      <c r="AF831" s="437" t="str">
        <f t="shared" si="329"/>
        <v>20140101LS</v>
      </c>
      <c r="AG831" s="438"/>
      <c r="AH831" s="34">
        <f>IF(AH830=MiscData!$AB$91,1,AH830+1)</f>
        <v>38</v>
      </c>
      <c r="AI831" s="34">
        <f>IF(AD831&lt;=MiscData!$B$23,MiscData!$C$23,IF(AD831&lt;=MiscData!$B$24,MiscData!$C$24,MiscData!$C$25))</f>
        <v>20140101</v>
      </c>
      <c r="AK831" s="439" t="str">
        <f>VLOOKUP(AM831,MiscData!$AB$4:$ACB$113,2,FALSE)</f>
        <v>KUUM_429</v>
      </c>
      <c r="AL831" s="439" t="str">
        <f>VLOOKUP(AM831,MiscData!$AB$4:$AE$115,4,FALSE)</f>
        <v>LS</v>
      </c>
      <c r="AM831" s="34">
        <f>IF(AM830=MiscData!$AB$91,1,AM830+1)</f>
        <v>38</v>
      </c>
    </row>
    <row r="832" spans="1:39">
      <c r="A832" s="389">
        <f t="shared" si="332"/>
        <v>831</v>
      </c>
      <c r="B832" s="395" t="str">
        <f t="shared" si="313"/>
        <v>Oct 2014</v>
      </c>
      <c r="C832" s="396" t="str">
        <f t="shared" si="314"/>
        <v>LS</v>
      </c>
      <c r="D832" s="396" t="str">
        <f t="shared" si="315"/>
        <v>KUUM_430</v>
      </c>
      <c r="E832" s="394">
        <f t="shared" si="316"/>
        <v>1146</v>
      </c>
      <c r="F832" s="397">
        <v>0</v>
      </c>
      <c r="G832" s="394">
        <f t="shared" si="317"/>
        <v>0</v>
      </c>
      <c r="H832" s="394">
        <v>0</v>
      </c>
      <c r="I832" s="390">
        <f t="shared" si="318"/>
        <v>22</v>
      </c>
      <c r="J832" s="390">
        <f t="shared" si="319"/>
        <v>1.129999999999999</v>
      </c>
      <c r="K832" s="391">
        <f t="shared" si="310"/>
        <v>25212</v>
      </c>
      <c r="L832" s="398">
        <v>0</v>
      </c>
      <c r="M832" s="398">
        <v>0</v>
      </c>
      <c r="N832" s="164">
        <f t="shared" si="312"/>
        <v>25212</v>
      </c>
      <c r="O832" s="399">
        <f t="shared" si="320"/>
        <v>0</v>
      </c>
      <c r="P832" s="392">
        <f t="shared" si="311"/>
        <v>0</v>
      </c>
      <c r="Q832" s="164">
        <f t="shared" si="321"/>
        <v>0</v>
      </c>
      <c r="R832" s="164">
        <f t="shared" si="322"/>
        <v>0</v>
      </c>
      <c r="S832" s="164">
        <f t="shared" si="323"/>
        <v>0</v>
      </c>
      <c r="T832" s="164">
        <f t="shared" si="324"/>
        <v>0</v>
      </c>
      <c r="U832" s="164">
        <f t="shared" si="325"/>
        <v>0</v>
      </c>
      <c r="V832" s="393">
        <f t="shared" si="326"/>
        <v>25212</v>
      </c>
      <c r="W832" s="393">
        <f t="shared" si="327"/>
        <v>-25212</v>
      </c>
      <c r="Y832" s="393">
        <f t="shared" si="330"/>
        <v>1294.98</v>
      </c>
      <c r="Z832" s="393">
        <f t="shared" si="331"/>
        <v>-1294.98</v>
      </c>
      <c r="AD832" s="395">
        <f>IF(AH832&gt;AH831,AD831,IF(AD831&lt;MiscData!$F$1,EOMONTH(AD831,1),EOMONTH(AD831,-11)))</f>
        <v>41943</v>
      </c>
      <c r="AE832" s="389" t="str">
        <f t="shared" si="328"/>
        <v>20140101KUUM_430</v>
      </c>
      <c r="AF832" s="437" t="str">
        <f t="shared" si="329"/>
        <v>20140101LS</v>
      </c>
      <c r="AG832" s="438"/>
      <c r="AH832" s="34">
        <f>IF(AH831=MiscData!$AB$91,1,AH831+1)</f>
        <v>39</v>
      </c>
      <c r="AI832" s="34">
        <f>IF(AD832&lt;=MiscData!$B$23,MiscData!$C$23,IF(AD832&lt;=MiscData!$B$24,MiscData!$C$24,MiscData!$C$25))</f>
        <v>20140101</v>
      </c>
      <c r="AK832" s="439" t="str">
        <f>VLOOKUP(AM832,MiscData!$AB$4:$ACB$113,2,FALSE)</f>
        <v>KUUM_430</v>
      </c>
      <c r="AL832" s="439" t="str">
        <f>VLOOKUP(AM832,MiscData!$AB$4:$AE$115,4,FALSE)</f>
        <v>LS</v>
      </c>
      <c r="AM832" s="34">
        <f>IF(AM831=MiscData!$AB$91,1,AM831+1)</f>
        <v>39</v>
      </c>
    </row>
    <row r="833" spans="1:39">
      <c r="A833" s="389">
        <f t="shared" si="332"/>
        <v>832</v>
      </c>
      <c r="B833" s="395" t="str">
        <f t="shared" si="313"/>
        <v>Oct 2014</v>
      </c>
      <c r="C833" s="396" t="str">
        <f t="shared" si="314"/>
        <v>RLS</v>
      </c>
      <c r="D833" s="396" t="str">
        <f t="shared" si="315"/>
        <v>KUUM_434</v>
      </c>
      <c r="E833" s="394">
        <f t="shared" si="316"/>
        <v>0</v>
      </c>
      <c r="F833" s="397">
        <v>0</v>
      </c>
      <c r="G833" s="394">
        <f t="shared" si="317"/>
        <v>0</v>
      </c>
      <c r="H833" s="394">
        <v>0</v>
      </c>
      <c r="I833" s="390">
        <f t="shared" si="318"/>
        <v>7.74</v>
      </c>
      <c r="J833" s="390">
        <f t="shared" si="319"/>
        <v>0.69999999999999929</v>
      </c>
      <c r="K833" s="391">
        <f t="shared" si="310"/>
        <v>0</v>
      </c>
      <c r="L833" s="398">
        <v>0</v>
      </c>
      <c r="M833" s="398">
        <v>0</v>
      </c>
      <c r="N833" s="164">
        <f t="shared" si="312"/>
        <v>0</v>
      </c>
      <c r="O833" s="399">
        <f t="shared" si="320"/>
        <v>0</v>
      </c>
      <c r="P833" s="392">
        <f t="shared" si="311"/>
        <v>1</v>
      </c>
      <c r="Q833" s="164">
        <f t="shared" si="321"/>
        <v>0</v>
      </c>
      <c r="R833" s="164">
        <f t="shared" si="322"/>
        <v>0</v>
      </c>
      <c r="S833" s="164">
        <f t="shared" si="323"/>
        <v>0</v>
      </c>
      <c r="T833" s="164">
        <f t="shared" si="324"/>
        <v>0</v>
      </c>
      <c r="U833" s="164">
        <f t="shared" si="325"/>
        <v>0</v>
      </c>
      <c r="V833" s="393">
        <f t="shared" si="326"/>
        <v>0</v>
      </c>
      <c r="W833" s="393">
        <f t="shared" si="327"/>
        <v>0</v>
      </c>
      <c r="Y833" s="393">
        <f t="shared" si="330"/>
        <v>0</v>
      </c>
      <c r="Z833" s="393">
        <f t="shared" si="331"/>
        <v>0</v>
      </c>
      <c r="AD833" s="395">
        <f>IF(AH833&gt;AH832,AD832,IF(AD832&lt;MiscData!$F$1,EOMONTH(AD832,1),EOMONTH(AD832,-11)))</f>
        <v>41943</v>
      </c>
      <c r="AE833" s="389" t="str">
        <f t="shared" si="328"/>
        <v>20140101KUUM_434</v>
      </c>
      <c r="AF833" s="437" t="str">
        <f t="shared" si="329"/>
        <v>20140101RLS</v>
      </c>
      <c r="AG833" s="438"/>
      <c r="AH833" s="34">
        <f>IF(AH832=MiscData!$AB$91,1,AH832+1)</f>
        <v>40</v>
      </c>
      <c r="AI833" s="34">
        <f>IF(AD833&lt;=MiscData!$B$23,MiscData!$C$23,IF(AD833&lt;=MiscData!$B$24,MiscData!$C$24,MiscData!$C$25))</f>
        <v>20140101</v>
      </c>
      <c r="AK833" s="439" t="str">
        <f>VLOOKUP(AM833,MiscData!$AB$4:$ACB$113,2,FALSE)</f>
        <v>KUUM_434</v>
      </c>
      <c r="AL833" s="439" t="str">
        <f>VLOOKUP(AM833,MiscData!$AB$4:$AE$115,4,FALSE)</f>
        <v>RLS</v>
      </c>
      <c r="AM833" s="34">
        <f>IF(AM832=MiscData!$AB$91,1,AM832+1)</f>
        <v>40</v>
      </c>
    </row>
    <row r="834" spans="1:39">
      <c r="A834" s="389">
        <f t="shared" si="332"/>
        <v>833</v>
      </c>
      <c r="B834" s="395" t="str">
        <f t="shared" si="313"/>
        <v>Oct 2014</v>
      </c>
      <c r="C834" s="396" t="str">
        <f t="shared" si="314"/>
        <v>RLS</v>
      </c>
      <c r="D834" s="396" t="str">
        <f t="shared" si="315"/>
        <v>KUUM_440</v>
      </c>
      <c r="E834" s="394">
        <f t="shared" si="316"/>
        <v>2</v>
      </c>
      <c r="F834" s="397">
        <v>0</v>
      </c>
      <c r="G834" s="394">
        <f t="shared" si="317"/>
        <v>0</v>
      </c>
      <c r="H834" s="394">
        <v>0</v>
      </c>
      <c r="I834" s="390">
        <f t="shared" si="318"/>
        <v>13.610000000000001</v>
      </c>
      <c r="J834" s="390">
        <f t="shared" si="319"/>
        <v>0.57000000000000028</v>
      </c>
      <c r="K834" s="391">
        <f t="shared" si="310"/>
        <v>27.22</v>
      </c>
      <c r="L834" s="398">
        <v>0</v>
      </c>
      <c r="M834" s="398">
        <v>0</v>
      </c>
      <c r="N834" s="164">
        <f t="shared" si="312"/>
        <v>27.22</v>
      </c>
      <c r="O834" s="399">
        <f t="shared" si="320"/>
        <v>0</v>
      </c>
      <c r="P834" s="392">
        <f t="shared" si="311"/>
        <v>0</v>
      </c>
      <c r="Q834" s="164">
        <f t="shared" si="321"/>
        <v>0</v>
      </c>
      <c r="R834" s="164">
        <f t="shared" si="322"/>
        <v>0</v>
      </c>
      <c r="S834" s="164">
        <f t="shared" si="323"/>
        <v>0</v>
      </c>
      <c r="T834" s="164">
        <f t="shared" si="324"/>
        <v>0</v>
      </c>
      <c r="U834" s="164">
        <f t="shared" si="325"/>
        <v>0</v>
      </c>
      <c r="V834" s="393">
        <f t="shared" si="326"/>
        <v>27.22</v>
      </c>
      <c r="W834" s="393">
        <f t="shared" si="327"/>
        <v>-27.22</v>
      </c>
      <c r="Y834" s="393">
        <f t="shared" si="330"/>
        <v>1.1399999999999999</v>
      </c>
      <c r="Z834" s="393">
        <f t="shared" si="331"/>
        <v>-1.1399999999999999</v>
      </c>
      <c r="AD834" s="395">
        <f>IF(AH834&gt;AH833,AD833,IF(AD833&lt;MiscData!$F$1,EOMONTH(AD833,1),EOMONTH(AD833,-11)))</f>
        <v>41943</v>
      </c>
      <c r="AE834" s="389" t="str">
        <f t="shared" si="328"/>
        <v>20140101KUUM_440</v>
      </c>
      <c r="AF834" s="437" t="str">
        <f t="shared" si="329"/>
        <v>20140101RLS</v>
      </c>
      <c r="AG834" s="438"/>
      <c r="AH834" s="34">
        <f>IF(AH833=MiscData!$AB$91,1,AH833+1)</f>
        <v>41</v>
      </c>
      <c r="AI834" s="34">
        <f>IF(AD834&lt;=MiscData!$B$23,MiscData!$C$23,IF(AD834&lt;=MiscData!$B$24,MiscData!$C$24,MiscData!$C$25))</f>
        <v>20140101</v>
      </c>
      <c r="AK834" s="439" t="str">
        <f>VLOOKUP(AM834,MiscData!$AB$4:$ACB$113,2,FALSE)</f>
        <v>KUUM_440</v>
      </c>
      <c r="AL834" s="439" t="str">
        <f>VLOOKUP(AM834,MiscData!$AB$4:$AE$115,4,FALSE)</f>
        <v>RLS</v>
      </c>
      <c r="AM834" s="34">
        <f>IF(AM833=MiscData!$AB$91,1,AM833+1)</f>
        <v>41</v>
      </c>
    </row>
    <row r="835" spans="1:39">
      <c r="A835" s="389">
        <f t="shared" si="332"/>
        <v>834</v>
      </c>
      <c r="B835" s="395" t="str">
        <f t="shared" si="313"/>
        <v>Oct 2014</v>
      </c>
      <c r="C835" s="396" t="str">
        <f t="shared" si="314"/>
        <v>RLS</v>
      </c>
      <c r="D835" s="396" t="str">
        <f t="shared" si="315"/>
        <v>KUUM_446</v>
      </c>
      <c r="E835" s="394">
        <f t="shared" si="316"/>
        <v>1070</v>
      </c>
      <c r="F835" s="397">
        <v>0</v>
      </c>
      <c r="G835" s="394">
        <f t="shared" si="317"/>
        <v>0</v>
      </c>
      <c r="H835" s="394">
        <v>0</v>
      </c>
      <c r="I835" s="390">
        <f t="shared" si="318"/>
        <v>9.5600000000000023</v>
      </c>
      <c r="J835" s="390">
        <f t="shared" si="319"/>
        <v>1.9900000000000002</v>
      </c>
      <c r="K835" s="391">
        <f t="shared" ref="K835:K898" si="333">ROUND(($E835+$F835)*$I835,2)</f>
        <v>10229.200000000001</v>
      </c>
      <c r="L835" s="398">
        <v>0</v>
      </c>
      <c r="M835" s="398">
        <v>0</v>
      </c>
      <c r="N835" s="164">
        <f t="shared" si="312"/>
        <v>10229.200000000001</v>
      </c>
      <c r="O835" s="399">
        <f t="shared" si="320"/>
        <v>0</v>
      </c>
      <c r="P835" s="392">
        <f t="shared" ref="P835:P898" si="334">IF(AND(N835=0,O835=0),1,IF(N835=0,0,ROUND(O835/N835,6)))</f>
        <v>0</v>
      </c>
      <c r="Q835" s="164">
        <f t="shared" si="321"/>
        <v>0</v>
      </c>
      <c r="R835" s="164">
        <f t="shared" si="322"/>
        <v>0</v>
      </c>
      <c r="S835" s="164">
        <f t="shared" si="323"/>
        <v>0</v>
      </c>
      <c r="T835" s="164">
        <f t="shared" si="324"/>
        <v>0</v>
      </c>
      <c r="U835" s="164">
        <f t="shared" si="325"/>
        <v>0</v>
      </c>
      <c r="V835" s="393">
        <f t="shared" si="326"/>
        <v>10229.200000000001</v>
      </c>
      <c r="W835" s="393">
        <f t="shared" si="327"/>
        <v>-10229.200000000001</v>
      </c>
      <c r="Y835" s="393">
        <f t="shared" si="330"/>
        <v>2129.3000000000002</v>
      </c>
      <c r="Z835" s="393">
        <f t="shared" si="331"/>
        <v>-2129.3000000000002</v>
      </c>
      <c r="AD835" s="395">
        <f>IF(AH835&gt;AH834,AD834,IF(AD834&lt;MiscData!$F$1,EOMONTH(AD834,1),EOMONTH(AD834,-11)))</f>
        <v>41943</v>
      </c>
      <c r="AE835" s="389" t="str">
        <f t="shared" si="328"/>
        <v>20140101KUUM_446</v>
      </c>
      <c r="AF835" s="437" t="str">
        <f t="shared" si="329"/>
        <v>20140101RLS</v>
      </c>
      <c r="AG835" s="438"/>
      <c r="AH835" s="34">
        <f>IF(AH834=MiscData!$AB$91,1,AH834+1)</f>
        <v>42</v>
      </c>
      <c r="AI835" s="34">
        <f>IF(AD835&lt;=MiscData!$B$23,MiscData!$C$23,IF(AD835&lt;=MiscData!$B$24,MiscData!$C$24,MiscData!$C$25))</f>
        <v>20140101</v>
      </c>
      <c r="AK835" s="439" t="str">
        <f>VLOOKUP(AM835,MiscData!$AB$4:$ACB$113,2,FALSE)</f>
        <v>KUUM_446</v>
      </c>
      <c r="AL835" s="439" t="str">
        <f>VLOOKUP(AM835,MiscData!$AB$4:$AE$115,4,FALSE)</f>
        <v>RLS</v>
      </c>
      <c r="AM835" s="34">
        <f>IF(AM834=MiscData!$AB$91,1,AM834+1)</f>
        <v>42</v>
      </c>
    </row>
    <row r="836" spans="1:39">
      <c r="A836" s="389">
        <f t="shared" si="332"/>
        <v>835</v>
      </c>
      <c r="B836" s="395" t="str">
        <f t="shared" si="313"/>
        <v>Oct 2014</v>
      </c>
      <c r="C836" s="396" t="str">
        <f t="shared" si="314"/>
        <v>RLS</v>
      </c>
      <c r="D836" s="396" t="str">
        <f t="shared" si="315"/>
        <v>KUUM_447</v>
      </c>
      <c r="E836" s="394">
        <f t="shared" si="316"/>
        <v>734</v>
      </c>
      <c r="F836" s="397">
        <v>0</v>
      </c>
      <c r="G836" s="394">
        <f t="shared" si="317"/>
        <v>0</v>
      </c>
      <c r="H836" s="394">
        <v>0</v>
      </c>
      <c r="I836" s="390">
        <f t="shared" si="318"/>
        <v>11.32</v>
      </c>
      <c r="J836" s="390">
        <f t="shared" si="319"/>
        <v>2.8400000000000016</v>
      </c>
      <c r="K836" s="391">
        <f t="shared" si="333"/>
        <v>8308.8799999999992</v>
      </c>
      <c r="L836" s="398">
        <v>0</v>
      </c>
      <c r="M836" s="398">
        <v>0</v>
      </c>
      <c r="N836" s="164">
        <f t="shared" si="312"/>
        <v>8308.8799999999992</v>
      </c>
      <c r="O836" s="399">
        <f t="shared" si="320"/>
        <v>0</v>
      </c>
      <c r="P836" s="392">
        <f t="shared" si="334"/>
        <v>0</v>
      </c>
      <c r="Q836" s="164">
        <f t="shared" si="321"/>
        <v>0</v>
      </c>
      <c r="R836" s="164">
        <f t="shared" si="322"/>
        <v>0</v>
      </c>
      <c r="S836" s="164">
        <f t="shared" si="323"/>
        <v>0</v>
      </c>
      <c r="T836" s="164">
        <f t="shared" si="324"/>
        <v>0</v>
      </c>
      <c r="U836" s="164">
        <f t="shared" si="325"/>
        <v>0</v>
      </c>
      <c r="V836" s="393">
        <f t="shared" si="326"/>
        <v>8308.8799999999992</v>
      </c>
      <c r="W836" s="393">
        <f t="shared" si="327"/>
        <v>-8308.8799999999992</v>
      </c>
      <c r="Y836" s="393">
        <f t="shared" si="330"/>
        <v>2084.56</v>
      </c>
      <c r="Z836" s="393">
        <f t="shared" si="331"/>
        <v>-2084.56</v>
      </c>
      <c r="AD836" s="395">
        <f>IF(AH836&gt;AH835,AD835,IF(AD835&lt;MiscData!$F$1,EOMONTH(AD835,1),EOMONTH(AD835,-11)))</f>
        <v>41943</v>
      </c>
      <c r="AE836" s="389" t="str">
        <f t="shared" si="328"/>
        <v>20140101KUUM_447</v>
      </c>
      <c r="AF836" s="437" t="str">
        <f t="shared" si="329"/>
        <v>20140101RLS</v>
      </c>
      <c r="AG836" s="438"/>
      <c r="AH836" s="34">
        <f>IF(AH835=MiscData!$AB$91,1,AH835+1)</f>
        <v>43</v>
      </c>
      <c r="AI836" s="34">
        <f>IF(AD836&lt;=MiscData!$B$23,MiscData!$C$23,IF(AD836&lt;=MiscData!$B$24,MiscData!$C$24,MiscData!$C$25))</f>
        <v>20140101</v>
      </c>
      <c r="AK836" s="439" t="str">
        <f>VLOOKUP(AM836,MiscData!$AB$4:$ACB$113,2,FALSE)</f>
        <v>KUUM_447</v>
      </c>
      <c r="AL836" s="439" t="str">
        <f>VLOOKUP(AM836,MiscData!$AB$4:$AE$115,4,FALSE)</f>
        <v>RLS</v>
      </c>
      <c r="AM836" s="34">
        <f>IF(AM835=MiscData!$AB$91,1,AM835+1)</f>
        <v>43</v>
      </c>
    </row>
    <row r="837" spans="1:39">
      <c r="A837" s="389">
        <f t="shared" si="332"/>
        <v>836</v>
      </c>
      <c r="B837" s="395" t="str">
        <f t="shared" si="313"/>
        <v>Oct 2014</v>
      </c>
      <c r="C837" s="396" t="str">
        <f t="shared" si="314"/>
        <v>RLS</v>
      </c>
      <c r="D837" s="396" t="str">
        <f t="shared" si="315"/>
        <v>KUUM_448</v>
      </c>
      <c r="E837" s="394">
        <f t="shared" si="316"/>
        <v>1606</v>
      </c>
      <c r="F837" s="397">
        <v>0</v>
      </c>
      <c r="G837" s="394">
        <f t="shared" si="317"/>
        <v>0</v>
      </c>
      <c r="H837" s="394">
        <v>0</v>
      </c>
      <c r="I837" s="390">
        <f t="shared" si="318"/>
        <v>12.809999999999999</v>
      </c>
      <c r="J837" s="390">
        <f t="shared" si="319"/>
        <v>4.37</v>
      </c>
      <c r="K837" s="391">
        <f t="shared" si="333"/>
        <v>20572.86</v>
      </c>
      <c r="L837" s="398">
        <v>0</v>
      </c>
      <c r="M837" s="398">
        <v>0</v>
      </c>
      <c r="N837" s="164">
        <f t="shared" si="312"/>
        <v>20572.86</v>
      </c>
      <c r="O837" s="399">
        <f t="shared" si="320"/>
        <v>0</v>
      </c>
      <c r="P837" s="392">
        <f t="shared" si="334"/>
        <v>0</v>
      </c>
      <c r="Q837" s="164">
        <f t="shared" si="321"/>
        <v>0</v>
      </c>
      <c r="R837" s="164">
        <f t="shared" si="322"/>
        <v>0</v>
      </c>
      <c r="S837" s="164">
        <f t="shared" si="323"/>
        <v>0</v>
      </c>
      <c r="T837" s="164">
        <f t="shared" si="324"/>
        <v>0</v>
      </c>
      <c r="U837" s="164">
        <f t="shared" si="325"/>
        <v>0</v>
      </c>
      <c r="V837" s="393">
        <f t="shared" si="326"/>
        <v>20572.86</v>
      </c>
      <c r="W837" s="393">
        <f t="shared" si="327"/>
        <v>-20572.86</v>
      </c>
      <c r="Y837" s="393">
        <f t="shared" si="330"/>
        <v>7018.22</v>
      </c>
      <c r="Z837" s="393">
        <f t="shared" si="331"/>
        <v>-7018.22</v>
      </c>
      <c r="AD837" s="395">
        <f>IF(AH837&gt;AH836,AD836,IF(AD836&lt;MiscData!$F$1,EOMONTH(AD836,1),EOMONTH(AD836,-11)))</f>
        <v>41943</v>
      </c>
      <c r="AE837" s="389" t="str">
        <f t="shared" si="328"/>
        <v>20140101KUUM_448</v>
      </c>
      <c r="AF837" s="437" t="str">
        <f t="shared" si="329"/>
        <v>20140101RLS</v>
      </c>
      <c r="AG837" s="438"/>
      <c r="AH837" s="34">
        <f>IF(AH836=MiscData!$AB$91,1,AH836+1)</f>
        <v>44</v>
      </c>
      <c r="AI837" s="34">
        <f>IF(AD837&lt;=MiscData!$B$23,MiscData!$C$23,IF(AD837&lt;=MiscData!$B$24,MiscData!$C$24,MiscData!$C$25))</f>
        <v>20140101</v>
      </c>
      <c r="AK837" s="439" t="str">
        <f>VLOOKUP(AM837,MiscData!$AB$4:$ACB$113,2,FALSE)</f>
        <v>KUUM_448</v>
      </c>
      <c r="AL837" s="439" t="str">
        <f>VLOOKUP(AM837,MiscData!$AB$4:$AE$115,4,FALSE)</f>
        <v>RLS</v>
      </c>
      <c r="AM837" s="34">
        <f>IF(AM836=MiscData!$AB$91,1,AM836+1)</f>
        <v>44</v>
      </c>
    </row>
    <row r="838" spans="1:39">
      <c r="A838" s="389">
        <f t="shared" si="332"/>
        <v>837</v>
      </c>
      <c r="B838" s="395" t="str">
        <f t="shared" si="313"/>
        <v>Oct 2014</v>
      </c>
      <c r="C838" s="396" t="str">
        <f t="shared" si="314"/>
        <v>LS</v>
      </c>
      <c r="D838" s="396" t="str">
        <f t="shared" si="315"/>
        <v>KUUM_450</v>
      </c>
      <c r="E838" s="394">
        <f t="shared" si="316"/>
        <v>614</v>
      </c>
      <c r="F838" s="397">
        <v>0</v>
      </c>
      <c r="G838" s="394">
        <f t="shared" si="317"/>
        <v>0</v>
      </c>
      <c r="H838" s="394">
        <v>0</v>
      </c>
      <c r="I838" s="390">
        <f t="shared" si="318"/>
        <v>14.25</v>
      </c>
      <c r="J838" s="390">
        <f t="shared" si="319"/>
        <v>1.9699999999999989</v>
      </c>
      <c r="K838" s="391">
        <f t="shared" si="333"/>
        <v>8749.5</v>
      </c>
      <c r="L838" s="398">
        <v>0</v>
      </c>
      <c r="M838" s="398">
        <v>0</v>
      </c>
      <c r="N838" s="164">
        <f t="shared" si="312"/>
        <v>8749.5</v>
      </c>
      <c r="O838" s="399">
        <f t="shared" si="320"/>
        <v>0</v>
      </c>
      <c r="P838" s="392">
        <f t="shared" si="334"/>
        <v>0</v>
      </c>
      <c r="Q838" s="164">
        <f t="shared" si="321"/>
        <v>0</v>
      </c>
      <c r="R838" s="164">
        <f t="shared" si="322"/>
        <v>0</v>
      </c>
      <c r="S838" s="164">
        <f t="shared" si="323"/>
        <v>0</v>
      </c>
      <c r="T838" s="164">
        <f t="shared" si="324"/>
        <v>0</v>
      </c>
      <c r="U838" s="164">
        <f t="shared" si="325"/>
        <v>0</v>
      </c>
      <c r="V838" s="393">
        <f t="shared" si="326"/>
        <v>8749.5</v>
      </c>
      <c r="W838" s="393">
        <f t="shared" si="327"/>
        <v>-8749.5</v>
      </c>
      <c r="Y838" s="393">
        <f t="shared" si="330"/>
        <v>1209.58</v>
      </c>
      <c r="Z838" s="393">
        <f t="shared" si="331"/>
        <v>-1209.58</v>
      </c>
      <c r="AD838" s="395">
        <f>IF(AH838&gt;AH837,AD837,IF(AD837&lt;MiscData!$F$1,EOMONTH(AD837,1),EOMONTH(AD837,-11)))</f>
        <v>41943</v>
      </c>
      <c r="AE838" s="389" t="str">
        <f t="shared" si="328"/>
        <v>20140101KUUM_450</v>
      </c>
      <c r="AF838" s="437" t="str">
        <f t="shared" si="329"/>
        <v>20140101LS</v>
      </c>
      <c r="AG838" s="438"/>
      <c r="AH838" s="34">
        <f>IF(AH837=MiscData!$AB$91,1,AH837+1)</f>
        <v>45</v>
      </c>
      <c r="AI838" s="34">
        <f>IF(AD838&lt;=MiscData!$B$23,MiscData!$C$23,IF(AD838&lt;=MiscData!$B$24,MiscData!$C$24,MiscData!$C$25))</f>
        <v>20140101</v>
      </c>
      <c r="AK838" s="439" t="str">
        <f>VLOOKUP(AM838,MiscData!$AB$4:$ACB$113,2,FALSE)</f>
        <v>KUUM_450</v>
      </c>
      <c r="AL838" s="439" t="str">
        <f>VLOOKUP(AM838,MiscData!$AB$4:$AE$115,4,FALSE)</f>
        <v>LS</v>
      </c>
      <c r="AM838" s="34">
        <f>IF(AM837=MiscData!$AB$91,1,AM837+1)</f>
        <v>45</v>
      </c>
    </row>
    <row r="839" spans="1:39">
      <c r="A839" s="389">
        <f t="shared" si="332"/>
        <v>838</v>
      </c>
      <c r="B839" s="395" t="str">
        <f t="shared" si="313"/>
        <v>Oct 2014</v>
      </c>
      <c r="C839" s="396" t="str">
        <f t="shared" si="314"/>
        <v>LS</v>
      </c>
      <c r="D839" s="396" t="str">
        <f t="shared" si="315"/>
        <v>KUUM_451</v>
      </c>
      <c r="E839" s="394">
        <f t="shared" si="316"/>
        <v>5012</v>
      </c>
      <c r="F839" s="397">
        <v>0</v>
      </c>
      <c r="G839" s="394">
        <f t="shared" si="317"/>
        <v>0</v>
      </c>
      <c r="H839" s="394">
        <v>0</v>
      </c>
      <c r="I839" s="390">
        <f t="shared" si="318"/>
        <v>20.200000000000003</v>
      </c>
      <c r="J839" s="390">
        <f t="shared" si="319"/>
        <v>4.2900000000000027</v>
      </c>
      <c r="K839" s="391">
        <f t="shared" si="333"/>
        <v>101242.4</v>
      </c>
      <c r="L839" s="398">
        <v>0</v>
      </c>
      <c r="M839" s="398">
        <v>0</v>
      </c>
      <c r="N839" s="164">
        <f t="shared" si="312"/>
        <v>101242.4</v>
      </c>
      <c r="O839" s="399">
        <f t="shared" si="320"/>
        <v>0</v>
      </c>
      <c r="P839" s="392">
        <f t="shared" si="334"/>
        <v>0</v>
      </c>
      <c r="Q839" s="164">
        <f t="shared" si="321"/>
        <v>0</v>
      </c>
      <c r="R839" s="164">
        <f t="shared" si="322"/>
        <v>0</v>
      </c>
      <c r="S839" s="164">
        <f t="shared" si="323"/>
        <v>0</v>
      </c>
      <c r="T839" s="164">
        <f t="shared" si="324"/>
        <v>0</v>
      </c>
      <c r="U839" s="164">
        <f t="shared" si="325"/>
        <v>0</v>
      </c>
      <c r="V839" s="393">
        <f t="shared" si="326"/>
        <v>101242.4</v>
      </c>
      <c r="W839" s="393">
        <f t="shared" si="327"/>
        <v>-101242.4</v>
      </c>
      <c r="Y839" s="393">
        <f t="shared" si="330"/>
        <v>21501.48</v>
      </c>
      <c r="Z839" s="393">
        <f t="shared" si="331"/>
        <v>-21501.48</v>
      </c>
      <c r="AD839" s="395">
        <f>IF(AH839&gt;AH838,AD838,IF(AD838&lt;MiscData!$F$1,EOMONTH(AD838,1),EOMONTH(AD838,-11)))</f>
        <v>41943</v>
      </c>
      <c r="AE839" s="389" t="str">
        <f t="shared" si="328"/>
        <v>20140101KUUM_451</v>
      </c>
      <c r="AF839" s="437" t="str">
        <f t="shared" si="329"/>
        <v>20140101LS</v>
      </c>
      <c r="AG839" s="438"/>
      <c r="AH839" s="34">
        <f>IF(AH838=MiscData!$AB$91,1,AH838+1)</f>
        <v>46</v>
      </c>
      <c r="AI839" s="34">
        <f>IF(AD839&lt;=MiscData!$B$23,MiscData!$C$23,IF(AD839&lt;=MiscData!$B$24,MiscData!$C$24,MiscData!$C$25))</f>
        <v>20140101</v>
      </c>
      <c r="AK839" s="439" t="str">
        <f>VLOOKUP(AM839,MiscData!$AB$4:$ACB$113,2,FALSE)</f>
        <v>KUUM_451</v>
      </c>
      <c r="AL839" s="439" t="str">
        <f>VLOOKUP(AM839,MiscData!$AB$4:$AE$115,4,FALSE)</f>
        <v>LS</v>
      </c>
      <c r="AM839" s="34">
        <f>IF(AM838=MiscData!$AB$91,1,AM838+1)</f>
        <v>46</v>
      </c>
    </row>
    <row r="840" spans="1:39">
      <c r="A840" s="389">
        <f t="shared" si="332"/>
        <v>839</v>
      </c>
      <c r="B840" s="395" t="str">
        <f t="shared" si="313"/>
        <v>Oct 2014</v>
      </c>
      <c r="C840" s="396" t="str">
        <f t="shared" si="314"/>
        <v>LS</v>
      </c>
      <c r="D840" s="396" t="str">
        <f t="shared" si="315"/>
        <v>KUUM_452</v>
      </c>
      <c r="E840" s="394">
        <f t="shared" si="316"/>
        <v>1038</v>
      </c>
      <c r="F840" s="397">
        <v>0</v>
      </c>
      <c r="G840" s="394">
        <f t="shared" si="317"/>
        <v>0</v>
      </c>
      <c r="H840" s="394">
        <v>0</v>
      </c>
      <c r="I840" s="390">
        <f t="shared" si="318"/>
        <v>42.350000000000009</v>
      </c>
      <c r="J840" s="390">
        <f t="shared" si="319"/>
        <v>10.410000000000004</v>
      </c>
      <c r="K840" s="391">
        <f t="shared" si="333"/>
        <v>43959.3</v>
      </c>
      <c r="L840" s="398">
        <v>0</v>
      </c>
      <c r="M840" s="398">
        <v>0</v>
      </c>
      <c r="N840" s="164">
        <f t="shared" si="312"/>
        <v>43959.3</v>
      </c>
      <c r="O840" s="399">
        <f t="shared" si="320"/>
        <v>0</v>
      </c>
      <c r="P840" s="392">
        <f t="shared" si="334"/>
        <v>0</v>
      </c>
      <c r="Q840" s="164">
        <f t="shared" si="321"/>
        <v>0</v>
      </c>
      <c r="R840" s="164">
        <f t="shared" si="322"/>
        <v>0</v>
      </c>
      <c r="S840" s="164">
        <f t="shared" si="323"/>
        <v>0</v>
      </c>
      <c r="T840" s="164">
        <f t="shared" si="324"/>
        <v>0</v>
      </c>
      <c r="U840" s="164">
        <f t="shared" si="325"/>
        <v>0</v>
      </c>
      <c r="V840" s="393">
        <f t="shared" si="326"/>
        <v>43959.3</v>
      </c>
      <c r="W840" s="393">
        <f t="shared" si="327"/>
        <v>-43959.3</v>
      </c>
      <c r="Y840" s="393">
        <f t="shared" si="330"/>
        <v>10805.58</v>
      </c>
      <c r="Z840" s="393">
        <f t="shared" si="331"/>
        <v>-10805.58</v>
      </c>
      <c r="AD840" s="395">
        <f>IF(AH840&gt;AH839,AD839,IF(AD839&lt;MiscData!$F$1,EOMONTH(AD839,1),EOMONTH(AD839,-11)))</f>
        <v>41943</v>
      </c>
      <c r="AE840" s="389" t="str">
        <f t="shared" si="328"/>
        <v>20140101KUUM_452</v>
      </c>
      <c r="AF840" s="437" t="str">
        <f t="shared" si="329"/>
        <v>20140101LS</v>
      </c>
      <c r="AG840" s="438"/>
      <c r="AH840" s="34">
        <f>IF(AH839=MiscData!$AB$91,1,AH839+1)</f>
        <v>47</v>
      </c>
      <c r="AI840" s="34">
        <f>IF(AD840&lt;=MiscData!$B$23,MiscData!$C$23,IF(AD840&lt;=MiscData!$B$24,MiscData!$C$24,MiscData!$C$25))</f>
        <v>20140101</v>
      </c>
      <c r="AK840" s="439" t="str">
        <f>VLOOKUP(AM840,MiscData!$AB$4:$ACB$113,2,FALSE)</f>
        <v>KUUM_452</v>
      </c>
      <c r="AL840" s="439" t="str">
        <f>VLOOKUP(AM840,MiscData!$AB$4:$AE$115,4,FALSE)</f>
        <v>LS</v>
      </c>
      <c r="AM840" s="34">
        <f>IF(AM839=MiscData!$AB$91,1,AM839+1)</f>
        <v>47</v>
      </c>
    </row>
    <row r="841" spans="1:39">
      <c r="A841" s="389">
        <f t="shared" si="332"/>
        <v>840</v>
      </c>
      <c r="B841" s="395" t="str">
        <f t="shared" si="313"/>
        <v>Oct 2014</v>
      </c>
      <c r="C841" s="396" t="str">
        <f t="shared" si="314"/>
        <v>RLS</v>
      </c>
      <c r="D841" s="396" t="str">
        <f t="shared" si="315"/>
        <v>KUUM_454</v>
      </c>
      <c r="E841" s="394">
        <f t="shared" si="316"/>
        <v>124</v>
      </c>
      <c r="F841" s="397">
        <v>0</v>
      </c>
      <c r="G841" s="394">
        <f t="shared" si="317"/>
        <v>0</v>
      </c>
      <c r="H841" s="394">
        <v>0</v>
      </c>
      <c r="I841" s="390">
        <f t="shared" si="318"/>
        <v>18.649999999999999</v>
      </c>
      <c r="J841" s="390">
        <f t="shared" si="319"/>
        <v>1.9699999999999989</v>
      </c>
      <c r="K841" s="391">
        <f t="shared" si="333"/>
        <v>2312.6</v>
      </c>
      <c r="L841" s="398">
        <v>0</v>
      </c>
      <c r="M841" s="398">
        <v>0</v>
      </c>
      <c r="N841" s="164">
        <f t="shared" si="312"/>
        <v>2312.6</v>
      </c>
      <c r="O841" s="399">
        <f t="shared" si="320"/>
        <v>0</v>
      </c>
      <c r="P841" s="392">
        <f t="shared" si="334"/>
        <v>0</v>
      </c>
      <c r="Q841" s="164">
        <f t="shared" si="321"/>
        <v>0</v>
      </c>
      <c r="R841" s="164">
        <f t="shared" si="322"/>
        <v>0</v>
      </c>
      <c r="S841" s="164">
        <f t="shared" si="323"/>
        <v>0</v>
      </c>
      <c r="T841" s="164">
        <f t="shared" si="324"/>
        <v>0</v>
      </c>
      <c r="U841" s="164">
        <f t="shared" si="325"/>
        <v>0</v>
      </c>
      <c r="V841" s="393">
        <f t="shared" si="326"/>
        <v>2312.6</v>
      </c>
      <c r="W841" s="393">
        <f t="shared" si="327"/>
        <v>-2312.6</v>
      </c>
      <c r="Y841" s="393">
        <f t="shared" si="330"/>
        <v>244.28</v>
      </c>
      <c r="Z841" s="393">
        <f t="shared" si="331"/>
        <v>-244.28</v>
      </c>
      <c r="AD841" s="395">
        <f>IF(AH841&gt;AH840,AD840,IF(AD840&lt;MiscData!$F$1,EOMONTH(AD840,1),EOMONTH(AD840,-11)))</f>
        <v>41943</v>
      </c>
      <c r="AE841" s="389" t="str">
        <f t="shared" si="328"/>
        <v>20140101KUUM_454</v>
      </c>
      <c r="AF841" s="437" t="str">
        <f t="shared" si="329"/>
        <v>20140101RLS</v>
      </c>
      <c r="AG841" s="438"/>
      <c r="AH841" s="34">
        <f>IF(AH840=MiscData!$AB$91,1,AH840+1)</f>
        <v>48</v>
      </c>
      <c r="AI841" s="34">
        <f>IF(AD841&lt;=MiscData!$B$23,MiscData!$C$23,IF(AD841&lt;=MiscData!$B$24,MiscData!$C$24,MiscData!$C$25))</f>
        <v>20140101</v>
      </c>
      <c r="AK841" s="439" t="str">
        <f>VLOOKUP(AM841,MiscData!$AB$4:$ACB$113,2,FALSE)</f>
        <v>KUUM_454</v>
      </c>
      <c r="AL841" s="439" t="str">
        <f>VLOOKUP(AM841,MiscData!$AB$4:$AE$115,4,FALSE)</f>
        <v>RLS</v>
      </c>
      <c r="AM841" s="34">
        <f>IF(AM840=MiscData!$AB$91,1,AM840+1)</f>
        <v>48</v>
      </c>
    </row>
    <row r="842" spans="1:39">
      <c r="A842" s="389">
        <f t="shared" si="332"/>
        <v>841</v>
      </c>
      <c r="B842" s="395" t="str">
        <f t="shared" si="313"/>
        <v>Oct 2014</v>
      </c>
      <c r="C842" s="396" t="str">
        <f t="shared" si="314"/>
        <v>RLS</v>
      </c>
      <c r="D842" s="396" t="str">
        <f t="shared" si="315"/>
        <v>KUUM_455</v>
      </c>
      <c r="E842" s="394">
        <f t="shared" si="316"/>
        <v>1027</v>
      </c>
      <c r="F842" s="397">
        <v>0</v>
      </c>
      <c r="G842" s="394">
        <f t="shared" si="317"/>
        <v>0</v>
      </c>
      <c r="H842" s="394">
        <v>0</v>
      </c>
      <c r="I842" s="390">
        <f t="shared" si="318"/>
        <v>24.59</v>
      </c>
      <c r="J842" s="390">
        <f t="shared" si="319"/>
        <v>4.2899999999999991</v>
      </c>
      <c r="K842" s="391">
        <f t="shared" si="333"/>
        <v>25253.93</v>
      </c>
      <c r="L842" s="398">
        <v>0</v>
      </c>
      <c r="M842" s="398">
        <v>0</v>
      </c>
      <c r="N842" s="164">
        <f t="shared" si="312"/>
        <v>25253.93</v>
      </c>
      <c r="O842" s="399">
        <f t="shared" si="320"/>
        <v>0</v>
      </c>
      <c r="P842" s="392">
        <f t="shared" si="334"/>
        <v>0</v>
      </c>
      <c r="Q842" s="164">
        <f t="shared" si="321"/>
        <v>0</v>
      </c>
      <c r="R842" s="164">
        <f t="shared" si="322"/>
        <v>0</v>
      </c>
      <c r="S842" s="164">
        <f t="shared" si="323"/>
        <v>0</v>
      </c>
      <c r="T842" s="164">
        <f t="shared" si="324"/>
        <v>0</v>
      </c>
      <c r="U842" s="164">
        <f t="shared" si="325"/>
        <v>0</v>
      </c>
      <c r="V842" s="393">
        <f t="shared" si="326"/>
        <v>25253.93</v>
      </c>
      <c r="W842" s="393">
        <f t="shared" si="327"/>
        <v>-25253.93</v>
      </c>
      <c r="Y842" s="393">
        <f t="shared" si="330"/>
        <v>4405.83</v>
      </c>
      <c r="Z842" s="393">
        <f t="shared" si="331"/>
        <v>-4405.83</v>
      </c>
      <c r="AD842" s="395">
        <f>IF(AH842&gt;AH841,AD841,IF(AD841&lt;MiscData!$F$1,EOMONTH(AD841,1),EOMONTH(AD841,-11)))</f>
        <v>41943</v>
      </c>
      <c r="AE842" s="389" t="str">
        <f t="shared" si="328"/>
        <v>20140101KUUM_455</v>
      </c>
      <c r="AF842" s="437" t="str">
        <f t="shared" si="329"/>
        <v>20140101RLS</v>
      </c>
      <c r="AG842" s="438"/>
      <c r="AH842" s="34">
        <f>IF(AH841=MiscData!$AB$91,1,AH841+1)</f>
        <v>49</v>
      </c>
      <c r="AI842" s="34">
        <f>IF(AD842&lt;=MiscData!$B$23,MiscData!$C$23,IF(AD842&lt;=MiscData!$B$24,MiscData!$C$24,MiscData!$C$25))</f>
        <v>20140101</v>
      </c>
      <c r="AK842" s="439" t="str">
        <f>VLOOKUP(AM842,MiscData!$AB$4:$ACB$113,2,FALSE)</f>
        <v>KUUM_455</v>
      </c>
      <c r="AL842" s="439" t="str">
        <f>VLOOKUP(AM842,MiscData!$AB$4:$AE$115,4,FALSE)</f>
        <v>RLS</v>
      </c>
      <c r="AM842" s="34">
        <f>IF(AM841=MiscData!$AB$91,1,AM841+1)</f>
        <v>49</v>
      </c>
    </row>
    <row r="843" spans="1:39">
      <c r="A843" s="389">
        <f t="shared" si="332"/>
        <v>842</v>
      </c>
      <c r="B843" s="395" t="str">
        <f t="shared" si="313"/>
        <v>Oct 2014</v>
      </c>
      <c r="C843" s="396" t="str">
        <f t="shared" si="314"/>
        <v>RLS</v>
      </c>
      <c r="D843" s="396" t="str">
        <f t="shared" si="315"/>
        <v>KUUM_456</v>
      </c>
      <c r="E843" s="394">
        <f t="shared" si="316"/>
        <v>126</v>
      </c>
      <c r="F843" s="397">
        <v>0</v>
      </c>
      <c r="G843" s="394">
        <f t="shared" si="317"/>
        <v>0</v>
      </c>
      <c r="H843" s="394">
        <v>0</v>
      </c>
      <c r="I843" s="390">
        <f t="shared" si="318"/>
        <v>11.870000000000001</v>
      </c>
      <c r="J843" s="390">
        <f t="shared" si="319"/>
        <v>1.9900000000000002</v>
      </c>
      <c r="K843" s="391">
        <f t="shared" si="333"/>
        <v>1495.62</v>
      </c>
      <c r="L843" s="398">
        <v>0</v>
      </c>
      <c r="M843" s="398">
        <v>0</v>
      </c>
      <c r="N843" s="164">
        <f t="shared" si="312"/>
        <v>1495.62</v>
      </c>
      <c r="O843" s="399">
        <f t="shared" si="320"/>
        <v>0</v>
      </c>
      <c r="P843" s="392">
        <f t="shared" si="334"/>
        <v>0</v>
      </c>
      <c r="Q843" s="164">
        <f t="shared" si="321"/>
        <v>0</v>
      </c>
      <c r="R843" s="164">
        <f t="shared" si="322"/>
        <v>0</v>
      </c>
      <c r="S843" s="164">
        <f t="shared" si="323"/>
        <v>0</v>
      </c>
      <c r="T843" s="164">
        <f t="shared" si="324"/>
        <v>0</v>
      </c>
      <c r="U843" s="164">
        <f t="shared" si="325"/>
        <v>0</v>
      </c>
      <c r="V843" s="393">
        <f t="shared" si="326"/>
        <v>1495.62</v>
      </c>
      <c r="W843" s="393">
        <f t="shared" si="327"/>
        <v>-1495.62</v>
      </c>
      <c r="Y843" s="393">
        <f t="shared" si="330"/>
        <v>250.74</v>
      </c>
      <c r="Z843" s="393">
        <f t="shared" si="331"/>
        <v>-250.74</v>
      </c>
      <c r="AD843" s="395">
        <f>IF(AH843&gt;AH842,AD842,IF(AD842&lt;MiscData!$F$1,EOMONTH(AD842,1),EOMONTH(AD842,-11)))</f>
        <v>41943</v>
      </c>
      <c r="AE843" s="389" t="str">
        <f t="shared" si="328"/>
        <v>20140101KUUM_456</v>
      </c>
      <c r="AF843" s="437" t="str">
        <f t="shared" si="329"/>
        <v>20140101RLS</v>
      </c>
      <c r="AG843" s="438"/>
      <c r="AH843" s="34">
        <f>IF(AH842=MiscData!$AB$91,1,AH842+1)</f>
        <v>50</v>
      </c>
      <c r="AI843" s="34">
        <f>IF(AD843&lt;=MiscData!$B$23,MiscData!$C$23,IF(AD843&lt;=MiscData!$B$24,MiscData!$C$24,MiscData!$C$25))</f>
        <v>20140101</v>
      </c>
      <c r="AK843" s="439" t="str">
        <f>VLOOKUP(AM843,MiscData!$AB$4:$ACB$113,2,FALSE)</f>
        <v>KUUM_456</v>
      </c>
      <c r="AL843" s="439" t="str">
        <f>VLOOKUP(AM843,MiscData!$AB$4:$AE$115,4,FALSE)</f>
        <v>RLS</v>
      </c>
      <c r="AM843" s="34">
        <f>IF(AM842=MiscData!$AB$91,1,AM842+1)</f>
        <v>50</v>
      </c>
    </row>
    <row r="844" spans="1:39">
      <c r="A844" s="389">
        <f t="shared" si="332"/>
        <v>843</v>
      </c>
      <c r="B844" s="395" t="str">
        <f t="shared" si="313"/>
        <v>Oct 2014</v>
      </c>
      <c r="C844" s="396" t="str">
        <f t="shared" si="314"/>
        <v>RLS</v>
      </c>
      <c r="D844" s="396" t="str">
        <f t="shared" si="315"/>
        <v>KUUM_457</v>
      </c>
      <c r="E844" s="394">
        <f t="shared" si="316"/>
        <v>402</v>
      </c>
      <c r="F844" s="397">
        <v>0</v>
      </c>
      <c r="G844" s="394">
        <f t="shared" si="317"/>
        <v>0</v>
      </c>
      <c r="H844" s="394">
        <v>0</v>
      </c>
      <c r="I844" s="390">
        <f t="shared" si="318"/>
        <v>13.360000000000001</v>
      </c>
      <c r="J844" s="390">
        <f t="shared" si="319"/>
        <v>2.84</v>
      </c>
      <c r="K844" s="391">
        <f t="shared" si="333"/>
        <v>5370.72</v>
      </c>
      <c r="L844" s="398">
        <v>0</v>
      </c>
      <c r="M844" s="398">
        <v>0</v>
      </c>
      <c r="N844" s="164">
        <f t="shared" si="312"/>
        <v>5370.72</v>
      </c>
      <c r="O844" s="399">
        <f t="shared" si="320"/>
        <v>0</v>
      </c>
      <c r="P844" s="392">
        <f t="shared" si="334"/>
        <v>0</v>
      </c>
      <c r="Q844" s="164">
        <f t="shared" si="321"/>
        <v>0</v>
      </c>
      <c r="R844" s="164">
        <f t="shared" si="322"/>
        <v>0</v>
      </c>
      <c r="S844" s="164">
        <f t="shared" si="323"/>
        <v>0</v>
      </c>
      <c r="T844" s="164">
        <f t="shared" si="324"/>
        <v>0</v>
      </c>
      <c r="U844" s="164">
        <f t="shared" si="325"/>
        <v>0</v>
      </c>
      <c r="V844" s="393">
        <f t="shared" si="326"/>
        <v>5370.72</v>
      </c>
      <c r="W844" s="393">
        <f t="shared" si="327"/>
        <v>-5370.72</v>
      </c>
      <c r="Y844" s="393">
        <f t="shared" si="330"/>
        <v>1141.68</v>
      </c>
      <c r="Z844" s="393">
        <f t="shared" si="331"/>
        <v>-1141.68</v>
      </c>
      <c r="AD844" s="395">
        <f>IF(AH844&gt;AH843,AD843,IF(AD843&lt;MiscData!$F$1,EOMONTH(AD843,1),EOMONTH(AD843,-11)))</f>
        <v>41943</v>
      </c>
      <c r="AE844" s="389" t="str">
        <f t="shared" si="328"/>
        <v>20140101KUUM_457</v>
      </c>
      <c r="AF844" s="437" t="str">
        <f t="shared" si="329"/>
        <v>20140101RLS</v>
      </c>
      <c r="AG844" s="438"/>
      <c r="AH844" s="34">
        <f>IF(AH843=MiscData!$AB$91,1,AH843+1)</f>
        <v>51</v>
      </c>
      <c r="AI844" s="34">
        <f>IF(AD844&lt;=MiscData!$B$23,MiscData!$C$23,IF(AD844&lt;=MiscData!$B$24,MiscData!$C$24,MiscData!$C$25))</f>
        <v>20140101</v>
      </c>
      <c r="AK844" s="439" t="str">
        <f>VLOOKUP(AM844,MiscData!$AB$4:$ACB$113,2,FALSE)</f>
        <v>KUUM_457</v>
      </c>
      <c r="AL844" s="439" t="str">
        <f>VLOOKUP(AM844,MiscData!$AB$4:$AE$115,4,FALSE)</f>
        <v>RLS</v>
      </c>
      <c r="AM844" s="34">
        <f>IF(AM843=MiscData!$AB$91,1,AM843+1)</f>
        <v>51</v>
      </c>
    </row>
    <row r="845" spans="1:39">
      <c r="A845" s="389">
        <f t="shared" si="332"/>
        <v>844</v>
      </c>
      <c r="B845" s="395" t="str">
        <f t="shared" si="313"/>
        <v>Oct 2014</v>
      </c>
      <c r="C845" s="396" t="str">
        <f t="shared" si="314"/>
        <v>RLS</v>
      </c>
      <c r="D845" s="396" t="str">
        <f t="shared" si="315"/>
        <v>KUUM_458</v>
      </c>
      <c r="E845" s="394">
        <f t="shared" si="316"/>
        <v>1593</v>
      </c>
      <c r="F845" s="397">
        <v>0</v>
      </c>
      <c r="G845" s="394">
        <f t="shared" si="317"/>
        <v>0</v>
      </c>
      <c r="H845" s="394">
        <v>0</v>
      </c>
      <c r="I845" s="390">
        <f t="shared" si="318"/>
        <v>15.079999999999998</v>
      </c>
      <c r="J845" s="390">
        <f t="shared" si="319"/>
        <v>4.3699999999999992</v>
      </c>
      <c r="K845" s="391">
        <f t="shared" si="333"/>
        <v>24022.44</v>
      </c>
      <c r="L845" s="398">
        <v>0</v>
      </c>
      <c r="M845" s="398">
        <v>0</v>
      </c>
      <c r="N845" s="164">
        <f t="shared" si="312"/>
        <v>24022.44</v>
      </c>
      <c r="O845" s="399">
        <f t="shared" si="320"/>
        <v>0</v>
      </c>
      <c r="P845" s="392">
        <f t="shared" si="334"/>
        <v>0</v>
      </c>
      <c r="Q845" s="164">
        <f t="shared" si="321"/>
        <v>0</v>
      </c>
      <c r="R845" s="164">
        <f t="shared" si="322"/>
        <v>0</v>
      </c>
      <c r="S845" s="164">
        <f t="shared" si="323"/>
        <v>0</v>
      </c>
      <c r="T845" s="164">
        <f t="shared" si="324"/>
        <v>0</v>
      </c>
      <c r="U845" s="164">
        <f t="shared" si="325"/>
        <v>0</v>
      </c>
      <c r="V845" s="393">
        <f t="shared" si="326"/>
        <v>24022.44</v>
      </c>
      <c r="W845" s="393">
        <f t="shared" si="327"/>
        <v>-24022.44</v>
      </c>
      <c r="Y845" s="393">
        <f t="shared" si="330"/>
        <v>6961.41</v>
      </c>
      <c r="Z845" s="393">
        <f t="shared" si="331"/>
        <v>-6961.41</v>
      </c>
      <c r="AD845" s="395">
        <f>IF(AH845&gt;AH844,AD844,IF(AD844&lt;MiscData!$F$1,EOMONTH(AD844,1),EOMONTH(AD844,-11)))</f>
        <v>41943</v>
      </c>
      <c r="AE845" s="389" t="str">
        <f t="shared" si="328"/>
        <v>20140101KUUM_458</v>
      </c>
      <c r="AF845" s="437" t="str">
        <f t="shared" si="329"/>
        <v>20140101RLS</v>
      </c>
      <c r="AG845" s="438"/>
      <c r="AH845" s="34">
        <f>IF(AH844=MiscData!$AB$91,1,AH844+1)</f>
        <v>52</v>
      </c>
      <c r="AI845" s="34">
        <f>IF(AD845&lt;=MiscData!$B$23,MiscData!$C$23,IF(AD845&lt;=MiscData!$B$24,MiscData!$C$24,MiscData!$C$25))</f>
        <v>20140101</v>
      </c>
      <c r="AK845" s="439" t="str">
        <f>VLOOKUP(AM845,MiscData!$AB$4:$ACB$113,2,FALSE)</f>
        <v>KUUM_458</v>
      </c>
      <c r="AL845" s="439" t="str">
        <f>VLOOKUP(AM845,MiscData!$AB$4:$AE$115,4,FALSE)</f>
        <v>RLS</v>
      </c>
      <c r="AM845" s="34">
        <f>IF(AM844=MiscData!$AB$91,1,AM844+1)</f>
        <v>52</v>
      </c>
    </row>
    <row r="846" spans="1:39">
      <c r="A846" s="389">
        <f t="shared" si="332"/>
        <v>845</v>
      </c>
      <c r="B846" s="395" t="str">
        <f t="shared" si="313"/>
        <v>Oct 2014</v>
      </c>
      <c r="C846" s="396" t="str">
        <f t="shared" si="314"/>
        <v>RLS</v>
      </c>
      <c r="D846" s="396" t="str">
        <f t="shared" si="315"/>
        <v>KUUM_459</v>
      </c>
      <c r="E846" s="394">
        <f t="shared" si="316"/>
        <v>246</v>
      </c>
      <c r="F846" s="397">
        <v>0</v>
      </c>
      <c r="G846" s="394">
        <f t="shared" si="317"/>
        <v>0</v>
      </c>
      <c r="H846" s="394">
        <v>0</v>
      </c>
      <c r="I846" s="390">
        <f t="shared" si="318"/>
        <v>46.740000000000009</v>
      </c>
      <c r="J846" s="390">
        <f t="shared" si="319"/>
        <v>10.410000000000004</v>
      </c>
      <c r="K846" s="391">
        <f t="shared" si="333"/>
        <v>11498.04</v>
      </c>
      <c r="L846" s="398">
        <v>0</v>
      </c>
      <c r="M846" s="398">
        <v>0</v>
      </c>
      <c r="N846" s="164">
        <f t="shared" si="312"/>
        <v>11498.04</v>
      </c>
      <c r="O846" s="399">
        <f t="shared" si="320"/>
        <v>0</v>
      </c>
      <c r="P846" s="392">
        <f t="shared" si="334"/>
        <v>0</v>
      </c>
      <c r="Q846" s="164">
        <f t="shared" si="321"/>
        <v>0</v>
      </c>
      <c r="R846" s="164">
        <f t="shared" si="322"/>
        <v>0</v>
      </c>
      <c r="S846" s="164">
        <f t="shared" si="323"/>
        <v>0</v>
      </c>
      <c r="T846" s="164">
        <f t="shared" si="324"/>
        <v>0</v>
      </c>
      <c r="U846" s="164">
        <f t="shared" si="325"/>
        <v>0</v>
      </c>
      <c r="V846" s="393">
        <f t="shared" si="326"/>
        <v>11498.04</v>
      </c>
      <c r="W846" s="393">
        <f t="shared" si="327"/>
        <v>-11498.04</v>
      </c>
      <c r="Y846" s="393">
        <f t="shared" si="330"/>
        <v>2560.86</v>
      </c>
      <c r="Z846" s="393">
        <f t="shared" si="331"/>
        <v>-2560.86</v>
      </c>
      <c r="AD846" s="395">
        <f>IF(AH846&gt;AH845,AD845,IF(AD845&lt;MiscData!$F$1,EOMONTH(AD845,1),EOMONTH(AD845,-11)))</f>
        <v>41943</v>
      </c>
      <c r="AE846" s="389" t="str">
        <f t="shared" si="328"/>
        <v>20140101KUUM_459</v>
      </c>
      <c r="AF846" s="437" t="str">
        <f t="shared" si="329"/>
        <v>20140101RLS</v>
      </c>
      <c r="AG846" s="438"/>
      <c r="AH846" s="34">
        <f>IF(AH845=MiscData!$AB$91,1,AH845+1)</f>
        <v>53</v>
      </c>
      <c r="AI846" s="34">
        <f>IF(AD846&lt;=MiscData!$B$23,MiscData!$C$23,IF(AD846&lt;=MiscData!$B$24,MiscData!$C$24,MiscData!$C$25))</f>
        <v>20140101</v>
      </c>
      <c r="AK846" s="439" t="str">
        <f>VLOOKUP(AM846,MiscData!$AB$4:$ACB$113,2,FALSE)</f>
        <v>KUUM_459</v>
      </c>
      <c r="AL846" s="439" t="str">
        <f>VLOOKUP(AM846,MiscData!$AB$4:$AE$115,4,FALSE)</f>
        <v>RLS</v>
      </c>
      <c r="AM846" s="34">
        <f>IF(AM845=MiscData!$AB$91,1,AM845+1)</f>
        <v>53</v>
      </c>
    </row>
    <row r="847" spans="1:39">
      <c r="A847" s="389">
        <f t="shared" si="332"/>
        <v>846</v>
      </c>
      <c r="B847" s="395" t="str">
        <f t="shared" si="313"/>
        <v>Oct 2014</v>
      </c>
      <c r="C847" s="396" t="str">
        <f t="shared" si="314"/>
        <v>RLS</v>
      </c>
      <c r="D847" s="396" t="str">
        <f t="shared" si="315"/>
        <v>KUUM_460</v>
      </c>
      <c r="E847" s="394">
        <f t="shared" si="316"/>
        <v>-249</v>
      </c>
      <c r="F847" s="397">
        <v>0</v>
      </c>
      <c r="G847" s="394">
        <f t="shared" si="317"/>
        <v>0</v>
      </c>
      <c r="H847" s="394">
        <v>0</v>
      </c>
      <c r="I847" s="390">
        <f t="shared" si="318"/>
        <v>27.15</v>
      </c>
      <c r="J847" s="390">
        <f t="shared" si="319"/>
        <v>1.9699999999999989</v>
      </c>
      <c r="K847" s="391">
        <f t="shared" si="333"/>
        <v>-6760.35</v>
      </c>
      <c r="L847" s="398">
        <v>0</v>
      </c>
      <c r="M847" s="398">
        <v>0</v>
      </c>
      <c r="N847" s="164">
        <f t="shared" si="312"/>
        <v>-6760.35</v>
      </c>
      <c r="O847" s="399">
        <f t="shared" si="320"/>
        <v>0</v>
      </c>
      <c r="P847" s="392">
        <f t="shared" si="334"/>
        <v>0</v>
      </c>
      <c r="Q847" s="164">
        <f t="shared" si="321"/>
        <v>0</v>
      </c>
      <c r="R847" s="164">
        <f t="shared" si="322"/>
        <v>0</v>
      </c>
      <c r="S847" s="164">
        <f t="shared" si="323"/>
        <v>0</v>
      </c>
      <c r="T847" s="164">
        <f t="shared" si="324"/>
        <v>0</v>
      </c>
      <c r="U847" s="164">
        <f t="shared" si="325"/>
        <v>0</v>
      </c>
      <c r="V847" s="393">
        <f t="shared" si="326"/>
        <v>-6760.35</v>
      </c>
      <c r="W847" s="393">
        <f t="shared" si="327"/>
        <v>6760.35</v>
      </c>
      <c r="Y847" s="393">
        <f t="shared" si="330"/>
        <v>-490.53</v>
      </c>
      <c r="Z847" s="393">
        <f t="shared" si="331"/>
        <v>490.53</v>
      </c>
      <c r="AD847" s="395">
        <f>IF(AH847&gt;AH846,AD846,IF(AD846&lt;MiscData!$F$1,EOMONTH(AD846,1),EOMONTH(AD846,-11)))</f>
        <v>41943</v>
      </c>
      <c r="AE847" s="389" t="str">
        <f t="shared" si="328"/>
        <v>20140101KUUM_460</v>
      </c>
      <c r="AF847" s="437" t="str">
        <f t="shared" si="329"/>
        <v>20140101RLS</v>
      </c>
      <c r="AG847" s="438"/>
      <c r="AH847" s="34">
        <f>IF(AH846=MiscData!$AB$91,1,AH846+1)</f>
        <v>54</v>
      </c>
      <c r="AI847" s="34">
        <f>IF(AD847&lt;=MiscData!$B$23,MiscData!$C$23,IF(AD847&lt;=MiscData!$B$24,MiscData!$C$24,MiscData!$C$25))</f>
        <v>20140101</v>
      </c>
      <c r="AK847" s="439" t="str">
        <f>VLOOKUP(AM847,MiscData!$AB$4:$ACB$113,2,FALSE)</f>
        <v>KUUM_460</v>
      </c>
      <c r="AL847" s="439" t="str">
        <f>VLOOKUP(AM847,MiscData!$AB$4:$AE$115,4,FALSE)</f>
        <v>RLS</v>
      </c>
      <c r="AM847" s="34">
        <f>IF(AM846=MiscData!$AB$91,1,AM846+1)</f>
        <v>54</v>
      </c>
    </row>
    <row r="848" spans="1:39">
      <c r="A848" s="389">
        <f t="shared" si="332"/>
        <v>847</v>
      </c>
      <c r="B848" s="395" t="str">
        <f t="shared" si="313"/>
        <v>Oct 2014</v>
      </c>
      <c r="C848" s="396" t="str">
        <f t="shared" si="314"/>
        <v>RLS</v>
      </c>
      <c r="D848" s="396" t="str">
        <f t="shared" si="315"/>
        <v>KUUM_461</v>
      </c>
      <c r="E848" s="394">
        <f t="shared" si="316"/>
        <v>6467</v>
      </c>
      <c r="F848" s="397">
        <v>0</v>
      </c>
      <c r="G848" s="394">
        <f t="shared" si="317"/>
        <v>0</v>
      </c>
      <c r="H848" s="394">
        <v>0</v>
      </c>
      <c r="I848" s="390">
        <f t="shared" si="318"/>
        <v>7.54</v>
      </c>
      <c r="J848" s="390">
        <f t="shared" si="319"/>
        <v>0.57000000000000028</v>
      </c>
      <c r="K848" s="391">
        <f t="shared" si="333"/>
        <v>48761.18</v>
      </c>
      <c r="L848" s="398">
        <v>0</v>
      </c>
      <c r="M848" s="398">
        <v>0</v>
      </c>
      <c r="N848" s="164">
        <f t="shared" si="312"/>
        <v>48761.18</v>
      </c>
      <c r="O848" s="399">
        <f t="shared" si="320"/>
        <v>0</v>
      </c>
      <c r="P848" s="392">
        <f t="shared" si="334"/>
        <v>0</v>
      </c>
      <c r="Q848" s="164">
        <f t="shared" si="321"/>
        <v>0</v>
      </c>
      <c r="R848" s="164">
        <f t="shared" si="322"/>
        <v>0</v>
      </c>
      <c r="S848" s="164">
        <f t="shared" si="323"/>
        <v>0</v>
      </c>
      <c r="T848" s="164">
        <f t="shared" si="324"/>
        <v>0</v>
      </c>
      <c r="U848" s="164">
        <f t="shared" si="325"/>
        <v>0</v>
      </c>
      <c r="V848" s="393">
        <f t="shared" si="326"/>
        <v>48761.18</v>
      </c>
      <c r="W848" s="393">
        <f t="shared" si="327"/>
        <v>-48761.18</v>
      </c>
      <c r="Y848" s="393">
        <f t="shared" si="330"/>
        <v>3686.19</v>
      </c>
      <c r="Z848" s="393">
        <f t="shared" si="331"/>
        <v>-3686.19</v>
      </c>
      <c r="AD848" s="395">
        <f>IF(AH848&gt;AH847,AD847,IF(AD847&lt;MiscData!$F$1,EOMONTH(AD847,1),EOMONTH(AD847,-11)))</f>
        <v>41943</v>
      </c>
      <c r="AE848" s="389" t="str">
        <f t="shared" si="328"/>
        <v>20140101KUUM_461</v>
      </c>
      <c r="AF848" s="437" t="str">
        <f t="shared" si="329"/>
        <v>20140101RLS</v>
      </c>
      <c r="AG848" s="438"/>
      <c r="AH848" s="34">
        <f>IF(AH847=MiscData!$AB$91,1,AH847+1)</f>
        <v>55</v>
      </c>
      <c r="AI848" s="34">
        <f>IF(AD848&lt;=MiscData!$B$23,MiscData!$C$23,IF(AD848&lt;=MiscData!$B$24,MiscData!$C$24,MiscData!$C$25))</f>
        <v>20140101</v>
      </c>
      <c r="AK848" s="439" t="str">
        <f>VLOOKUP(AM848,MiscData!$AB$4:$ACB$113,2,FALSE)</f>
        <v>KUUM_461</v>
      </c>
      <c r="AL848" s="439" t="str">
        <f>VLOOKUP(AM848,MiscData!$AB$4:$AE$115,4,FALSE)</f>
        <v>RLS</v>
      </c>
      <c r="AM848" s="34">
        <f>IF(AM847=MiscData!$AB$91,1,AM847+1)</f>
        <v>55</v>
      </c>
    </row>
    <row r="849" spans="1:39">
      <c r="A849" s="389">
        <f t="shared" si="332"/>
        <v>848</v>
      </c>
      <c r="B849" s="395" t="str">
        <f t="shared" si="313"/>
        <v>Oct 2014</v>
      </c>
      <c r="C849" s="396" t="str">
        <f t="shared" si="314"/>
        <v>LS</v>
      </c>
      <c r="D849" s="396" t="str">
        <f t="shared" si="315"/>
        <v>KUUM_462</v>
      </c>
      <c r="E849" s="394">
        <f t="shared" si="316"/>
        <v>9866</v>
      </c>
      <c r="F849" s="397">
        <v>0</v>
      </c>
      <c r="G849" s="394">
        <f t="shared" si="317"/>
        <v>0</v>
      </c>
      <c r="H849" s="394">
        <v>0</v>
      </c>
      <c r="I849" s="390">
        <f t="shared" si="318"/>
        <v>8.66</v>
      </c>
      <c r="J849" s="390">
        <f t="shared" si="319"/>
        <v>0.79999999999999893</v>
      </c>
      <c r="K849" s="391">
        <f t="shared" si="333"/>
        <v>85439.56</v>
      </c>
      <c r="L849" s="398">
        <v>0</v>
      </c>
      <c r="M849" s="398">
        <v>0</v>
      </c>
      <c r="N849" s="164">
        <f t="shared" si="312"/>
        <v>85439.56</v>
      </c>
      <c r="O849" s="399">
        <f t="shared" si="320"/>
        <v>0</v>
      </c>
      <c r="P849" s="392">
        <f t="shared" si="334"/>
        <v>0</v>
      </c>
      <c r="Q849" s="164">
        <f t="shared" si="321"/>
        <v>0</v>
      </c>
      <c r="R849" s="164">
        <f t="shared" si="322"/>
        <v>0</v>
      </c>
      <c r="S849" s="164">
        <f t="shared" si="323"/>
        <v>0</v>
      </c>
      <c r="T849" s="164">
        <f t="shared" si="324"/>
        <v>0</v>
      </c>
      <c r="U849" s="164">
        <f t="shared" si="325"/>
        <v>0</v>
      </c>
      <c r="V849" s="393">
        <f t="shared" si="326"/>
        <v>85439.56</v>
      </c>
      <c r="W849" s="393">
        <f t="shared" si="327"/>
        <v>-85439.56</v>
      </c>
      <c r="Y849" s="393">
        <f t="shared" si="330"/>
        <v>7892.8</v>
      </c>
      <c r="Z849" s="393">
        <f t="shared" si="331"/>
        <v>-7892.8</v>
      </c>
      <c r="AD849" s="395">
        <f>IF(AH849&gt;AH848,AD848,IF(AD848&lt;MiscData!$F$1,EOMONTH(AD848,1),EOMONTH(AD848,-11)))</f>
        <v>41943</v>
      </c>
      <c r="AE849" s="389" t="str">
        <f t="shared" si="328"/>
        <v>20140101KUUM_462</v>
      </c>
      <c r="AF849" s="437" t="str">
        <f t="shared" si="329"/>
        <v>20140101LS</v>
      </c>
      <c r="AG849" s="438"/>
      <c r="AH849" s="34">
        <f>IF(AH848=MiscData!$AB$91,1,AH848+1)</f>
        <v>56</v>
      </c>
      <c r="AI849" s="34">
        <f>IF(AD849&lt;=MiscData!$B$23,MiscData!$C$23,IF(AD849&lt;=MiscData!$B$24,MiscData!$C$24,MiscData!$C$25))</f>
        <v>20140101</v>
      </c>
      <c r="AK849" s="439" t="str">
        <f>VLOOKUP(AM849,MiscData!$AB$4:$ACB$113,2,FALSE)</f>
        <v>KUUM_462</v>
      </c>
      <c r="AL849" s="439" t="str">
        <f>VLOOKUP(AM849,MiscData!$AB$4:$AE$115,4,FALSE)</f>
        <v>LS</v>
      </c>
      <c r="AM849" s="34">
        <f>IF(AM848=MiscData!$AB$91,1,AM848+1)</f>
        <v>56</v>
      </c>
    </row>
    <row r="850" spans="1:39">
      <c r="A850" s="389">
        <f t="shared" si="332"/>
        <v>849</v>
      </c>
      <c r="B850" s="395" t="str">
        <f t="shared" si="313"/>
        <v>Oct 2014</v>
      </c>
      <c r="C850" s="396" t="str">
        <f t="shared" si="314"/>
        <v>LS</v>
      </c>
      <c r="D850" s="396" t="str">
        <f t="shared" si="315"/>
        <v>KUUM_463</v>
      </c>
      <c r="E850" s="394">
        <f t="shared" si="316"/>
        <v>20336</v>
      </c>
      <c r="F850" s="397">
        <v>0</v>
      </c>
      <c r="G850" s="394">
        <f t="shared" si="317"/>
        <v>0</v>
      </c>
      <c r="H850" s="394">
        <v>0</v>
      </c>
      <c r="I850" s="390">
        <f t="shared" si="318"/>
        <v>9.14</v>
      </c>
      <c r="J850" s="390">
        <f t="shared" si="319"/>
        <v>1.1299999999999999</v>
      </c>
      <c r="K850" s="391">
        <f t="shared" si="333"/>
        <v>185871.04</v>
      </c>
      <c r="L850" s="398">
        <v>0</v>
      </c>
      <c r="M850" s="398">
        <v>0</v>
      </c>
      <c r="N850" s="164">
        <f t="shared" si="312"/>
        <v>185871.04</v>
      </c>
      <c r="O850" s="399">
        <f t="shared" si="320"/>
        <v>0</v>
      </c>
      <c r="P850" s="392">
        <f t="shared" si="334"/>
        <v>0</v>
      </c>
      <c r="Q850" s="164">
        <f t="shared" si="321"/>
        <v>0</v>
      </c>
      <c r="R850" s="164">
        <f t="shared" si="322"/>
        <v>0</v>
      </c>
      <c r="S850" s="164">
        <f t="shared" si="323"/>
        <v>0</v>
      </c>
      <c r="T850" s="164">
        <f t="shared" si="324"/>
        <v>0</v>
      </c>
      <c r="U850" s="164">
        <f t="shared" si="325"/>
        <v>0</v>
      </c>
      <c r="V850" s="393">
        <f t="shared" si="326"/>
        <v>185871.04</v>
      </c>
      <c r="W850" s="393">
        <f t="shared" si="327"/>
        <v>-185871.04</v>
      </c>
      <c r="Y850" s="393">
        <f t="shared" si="330"/>
        <v>22979.68</v>
      </c>
      <c r="Z850" s="393">
        <f t="shared" si="331"/>
        <v>-22979.68</v>
      </c>
      <c r="AD850" s="395">
        <f>IF(AH850&gt;AH849,AD849,IF(AD849&lt;MiscData!$F$1,EOMONTH(AD849,1),EOMONTH(AD849,-11)))</f>
        <v>41943</v>
      </c>
      <c r="AE850" s="389" t="str">
        <f t="shared" si="328"/>
        <v>20140101KUUM_463</v>
      </c>
      <c r="AF850" s="437" t="str">
        <f t="shared" si="329"/>
        <v>20140101LS</v>
      </c>
      <c r="AG850" s="438"/>
      <c r="AH850" s="34">
        <f>IF(AH849=MiscData!$AB$91,1,AH849+1)</f>
        <v>57</v>
      </c>
      <c r="AI850" s="34">
        <f>IF(AD850&lt;=MiscData!$B$23,MiscData!$C$23,IF(AD850&lt;=MiscData!$B$24,MiscData!$C$24,MiscData!$C$25))</f>
        <v>20140101</v>
      </c>
      <c r="AK850" s="439" t="str">
        <f>VLOOKUP(AM850,MiscData!$AB$4:$ACB$113,2,FALSE)</f>
        <v>KUUM_463</v>
      </c>
      <c r="AL850" s="439" t="str">
        <f>VLOOKUP(AM850,MiscData!$AB$4:$AE$115,4,FALSE)</f>
        <v>LS</v>
      </c>
      <c r="AM850" s="34">
        <f>IF(AM849=MiscData!$AB$91,1,AM849+1)</f>
        <v>57</v>
      </c>
    </row>
    <row r="851" spans="1:39">
      <c r="A851" s="389">
        <f t="shared" si="332"/>
        <v>850</v>
      </c>
      <c r="B851" s="395" t="str">
        <f t="shared" si="313"/>
        <v>Oct 2014</v>
      </c>
      <c r="C851" s="396" t="str">
        <f t="shared" si="314"/>
        <v>LS</v>
      </c>
      <c r="D851" s="396" t="str">
        <f t="shared" si="315"/>
        <v>KUUM_464</v>
      </c>
      <c r="E851" s="394">
        <f t="shared" si="316"/>
        <v>7722</v>
      </c>
      <c r="F851" s="397">
        <v>0</v>
      </c>
      <c r="G851" s="394">
        <f t="shared" si="317"/>
        <v>0</v>
      </c>
      <c r="H851" s="394">
        <v>0</v>
      </c>
      <c r="I851" s="390">
        <f t="shared" si="318"/>
        <v>14.25</v>
      </c>
      <c r="J851" s="390">
        <f t="shared" si="319"/>
        <v>2.33</v>
      </c>
      <c r="K851" s="391">
        <f t="shared" si="333"/>
        <v>110038.5</v>
      </c>
      <c r="L851" s="398">
        <v>0</v>
      </c>
      <c r="M851" s="398">
        <v>0</v>
      </c>
      <c r="N851" s="164">
        <f t="shared" si="312"/>
        <v>110038.5</v>
      </c>
      <c r="O851" s="399">
        <f t="shared" si="320"/>
        <v>0</v>
      </c>
      <c r="P851" s="392">
        <f t="shared" si="334"/>
        <v>0</v>
      </c>
      <c r="Q851" s="164">
        <f t="shared" si="321"/>
        <v>0</v>
      </c>
      <c r="R851" s="164">
        <f t="shared" si="322"/>
        <v>0</v>
      </c>
      <c r="S851" s="164">
        <f t="shared" si="323"/>
        <v>0</v>
      </c>
      <c r="T851" s="164">
        <f t="shared" si="324"/>
        <v>0</v>
      </c>
      <c r="U851" s="164">
        <f t="shared" si="325"/>
        <v>0</v>
      </c>
      <c r="V851" s="393">
        <f t="shared" si="326"/>
        <v>110038.5</v>
      </c>
      <c r="W851" s="393">
        <f t="shared" si="327"/>
        <v>-110038.5</v>
      </c>
      <c r="Y851" s="393">
        <f t="shared" si="330"/>
        <v>17992.259999999998</v>
      </c>
      <c r="Z851" s="393">
        <f t="shared" si="331"/>
        <v>-17992.259999999998</v>
      </c>
      <c r="AD851" s="395">
        <f>IF(AH851&gt;AH850,AD850,IF(AD850&lt;MiscData!$F$1,EOMONTH(AD850,1),EOMONTH(AD850,-11)))</f>
        <v>41943</v>
      </c>
      <c r="AE851" s="389" t="str">
        <f t="shared" si="328"/>
        <v>20140101KUUM_464</v>
      </c>
      <c r="AF851" s="437" t="str">
        <f t="shared" si="329"/>
        <v>20140101LS</v>
      </c>
      <c r="AG851" s="438"/>
      <c r="AH851" s="34">
        <f>IF(AH850=MiscData!$AB$91,1,AH850+1)</f>
        <v>58</v>
      </c>
      <c r="AI851" s="34">
        <f>IF(AD851&lt;=MiscData!$B$23,MiscData!$C$23,IF(AD851&lt;=MiscData!$B$24,MiscData!$C$24,MiscData!$C$25))</f>
        <v>20140101</v>
      </c>
      <c r="AK851" s="439" t="str">
        <f>VLOOKUP(AM851,MiscData!$AB$4:$ACB$113,2,FALSE)</f>
        <v>KUUM_464</v>
      </c>
      <c r="AL851" s="439" t="str">
        <f>VLOOKUP(AM851,MiscData!$AB$4:$AE$115,4,FALSE)</f>
        <v>LS</v>
      </c>
      <c r="AM851" s="34">
        <f>IF(AM850=MiscData!$AB$91,1,AM850+1)</f>
        <v>58</v>
      </c>
    </row>
    <row r="852" spans="1:39">
      <c r="A852" s="389">
        <f t="shared" si="332"/>
        <v>851</v>
      </c>
      <c r="B852" s="395" t="str">
        <f t="shared" si="313"/>
        <v>Oct 2014</v>
      </c>
      <c r="C852" s="396" t="str">
        <f t="shared" si="314"/>
        <v>LS</v>
      </c>
      <c r="D852" s="396" t="str">
        <f t="shared" si="315"/>
        <v>KUUM_465</v>
      </c>
      <c r="E852" s="394">
        <f t="shared" si="316"/>
        <v>2855</v>
      </c>
      <c r="F852" s="397">
        <v>0</v>
      </c>
      <c r="G852" s="394">
        <f t="shared" si="317"/>
        <v>0</v>
      </c>
      <c r="H852" s="394">
        <v>0</v>
      </c>
      <c r="I852" s="390">
        <f t="shared" si="318"/>
        <v>22.84</v>
      </c>
      <c r="J852" s="390">
        <f t="shared" si="319"/>
        <v>4.5299999999999976</v>
      </c>
      <c r="K852" s="391">
        <f t="shared" si="333"/>
        <v>65208.2</v>
      </c>
      <c r="L852" s="398">
        <v>0</v>
      </c>
      <c r="M852" s="398">
        <v>0</v>
      </c>
      <c r="N852" s="164">
        <f t="shared" si="312"/>
        <v>65208.2</v>
      </c>
      <c r="O852" s="399">
        <f t="shared" si="320"/>
        <v>0</v>
      </c>
      <c r="P852" s="392">
        <f t="shared" si="334"/>
        <v>0</v>
      </c>
      <c r="Q852" s="164">
        <f t="shared" si="321"/>
        <v>0</v>
      </c>
      <c r="R852" s="164">
        <f t="shared" si="322"/>
        <v>0</v>
      </c>
      <c r="S852" s="164">
        <f t="shared" si="323"/>
        <v>0</v>
      </c>
      <c r="T852" s="164">
        <f t="shared" si="324"/>
        <v>0</v>
      </c>
      <c r="U852" s="164">
        <f t="shared" si="325"/>
        <v>0</v>
      </c>
      <c r="V852" s="393">
        <f t="shared" si="326"/>
        <v>65208.2</v>
      </c>
      <c r="W852" s="393">
        <f t="shared" si="327"/>
        <v>-65208.2</v>
      </c>
      <c r="Y852" s="393">
        <f t="shared" si="330"/>
        <v>12933.15</v>
      </c>
      <c r="Z852" s="393">
        <f t="shared" si="331"/>
        <v>-12933.15</v>
      </c>
      <c r="AD852" s="395">
        <f>IF(AH852&gt;AH851,AD851,IF(AD851&lt;MiscData!$F$1,EOMONTH(AD851,1),EOMONTH(AD851,-11)))</f>
        <v>41943</v>
      </c>
      <c r="AE852" s="389" t="str">
        <f t="shared" si="328"/>
        <v>20140101KUUM_465</v>
      </c>
      <c r="AF852" s="437" t="str">
        <f t="shared" si="329"/>
        <v>20140101LS</v>
      </c>
      <c r="AG852" s="438"/>
      <c r="AH852" s="34">
        <f>IF(AH851=MiscData!$AB$91,1,AH851+1)</f>
        <v>59</v>
      </c>
      <c r="AI852" s="34">
        <f>IF(AD852&lt;=MiscData!$B$23,MiscData!$C$23,IF(AD852&lt;=MiscData!$B$24,MiscData!$C$24,MiscData!$C$25))</f>
        <v>20140101</v>
      </c>
      <c r="AK852" s="439" t="str">
        <f>VLOOKUP(AM852,MiscData!$AB$4:$ACB$113,2,FALSE)</f>
        <v>KUUM_465</v>
      </c>
      <c r="AL852" s="439" t="str">
        <f>VLOOKUP(AM852,MiscData!$AB$4:$AE$115,4,FALSE)</f>
        <v>LS</v>
      </c>
      <c r="AM852" s="34">
        <f>IF(AM851=MiscData!$AB$91,1,AM851+1)</f>
        <v>59</v>
      </c>
    </row>
    <row r="853" spans="1:39">
      <c r="A853" s="389">
        <f t="shared" si="332"/>
        <v>852</v>
      </c>
      <c r="B853" s="395" t="str">
        <f t="shared" si="313"/>
        <v>Oct 2014</v>
      </c>
      <c r="C853" s="396" t="str">
        <f t="shared" si="314"/>
        <v>RLS</v>
      </c>
      <c r="D853" s="396" t="str">
        <f t="shared" si="315"/>
        <v>KUUM_466</v>
      </c>
      <c r="E853" s="394">
        <f t="shared" si="316"/>
        <v>804</v>
      </c>
      <c r="F853" s="397">
        <v>0</v>
      </c>
      <c r="G853" s="394">
        <f t="shared" si="317"/>
        <v>0</v>
      </c>
      <c r="H853" s="394">
        <v>0</v>
      </c>
      <c r="I853" s="390">
        <f t="shared" si="318"/>
        <v>9.620000000000001</v>
      </c>
      <c r="J853" s="390">
        <f t="shared" si="319"/>
        <v>0.57000000000000028</v>
      </c>
      <c r="K853" s="391">
        <f t="shared" si="333"/>
        <v>7734.48</v>
      </c>
      <c r="L853" s="398">
        <v>0</v>
      </c>
      <c r="M853" s="398">
        <v>0</v>
      </c>
      <c r="N853" s="164">
        <f t="shared" si="312"/>
        <v>7734.48</v>
      </c>
      <c r="O853" s="399">
        <f t="shared" si="320"/>
        <v>0</v>
      </c>
      <c r="P853" s="392">
        <f t="shared" si="334"/>
        <v>0</v>
      </c>
      <c r="Q853" s="164">
        <f t="shared" si="321"/>
        <v>0</v>
      </c>
      <c r="R853" s="164">
        <f t="shared" si="322"/>
        <v>0</v>
      </c>
      <c r="S853" s="164">
        <f t="shared" si="323"/>
        <v>0</v>
      </c>
      <c r="T853" s="164">
        <f t="shared" si="324"/>
        <v>0</v>
      </c>
      <c r="U853" s="164">
        <f t="shared" si="325"/>
        <v>0</v>
      </c>
      <c r="V853" s="393">
        <f t="shared" si="326"/>
        <v>7734.48</v>
      </c>
      <c r="W853" s="393">
        <f t="shared" si="327"/>
        <v>-7734.48</v>
      </c>
      <c r="Y853" s="393">
        <f t="shared" si="330"/>
        <v>458.28</v>
      </c>
      <c r="Z853" s="393">
        <f t="shared" si="331"/>
        <v>-458.28</v>
      </c>
      <c r="AD853" s="395">
        <f>IF(AH853&gt;AH852,AD852,IF(AD852&lt;MiscData!$F$1,EOMONTH(AD852,1),EOMONTH(AD852,-11)))</f>
        <v>41943</v>
      </c>
      <c r="AE853" s="389" t="str">
        <f t="shared" si="328"/>
        <v>20140101KUUM_466</v>
      </c>
      <c r="AF853" s="437" t="str">
        <f t="shared" si="329"/>
        <v>20140101RLS</v>
      </c>
      <c r="AG853" s="438"/>
      <c r="AH853" s="34">
        <f>IF(AH852=MiscData!$AB$91,1,AH852+1)</f>
        <v>60</v>
      </c>
      <c r="AI853" s="34">
        <f>IF(AD853&lt;=MiscData!$B$23,MiscData!$C$23,IF(AD853&lt;=MiscData!$B$24,MiscData!$C$24,MiscData!$C$25))</f>
        <v>20140101</v>
      </c>
      <c r="AK853" s="439" t="str">
        <f>VLOOKUP(AM853,MiscData!$AB$4:$ACB$113,2,FALSE)</f>
        <v>KUUM_466</v>
      </c>
      <c r="AL853" s="439" t="str">
        <f>VLOOKUP(AM853,MiscData!$AB$4:$AE$115,4,FALSE)</f>
        <v>RLS</v>
      </c>
      <c r="AM853" s="34">
        <f>IF(AM852=MiscData!$AB$91,1,AM852+1)</f>
        <v>60</v>
      </c>
    </row>
    <row r="854" spans="1:39">
      <c r="A854" s="389">
        <f t="shared" si="332"/>
        <v>853</v>
      </c>
      <c r="B854" s="395" t="str">
        <f t="shared" si="313"/>
        <v>Oct 2014</v>
      </c>
      <c r="C854" s="396" t="str">
        <f t="shared" si="314"/>
        <v>LS</v>
      </c>
      <c r="D854" s="396" t="str">
        <f t="shared" si="315"/>
        <v>KUUM_467</v>
      </c>
      <c r="E854" s="394">
        <f t="shared" si="316"/>
        <v>1329</v>
      </c>
      <c r="F854" s="397">
        <v>0</v>
      </c>
      <c r="G854" s="394">
        <f t="shared" si="317"/>
        <v>0</v>
      </c>
      <c r="H854" s="394">
        <v>0</v>
      </c>
      <c r="I854" s="390">
        <f t="shared" si="318"/>
        <v>10.770000000000001</v>
      </c>
      <c r="J854" s="390">
        <f t="shared" si="319"/>
        <v>0.80000000000000071</v>
      </c>
      <c r="K854" s="391">
        <f t="shared" si="333"/>
        <v>14313.33</v>
      </c>
      <c r="L854" s="398">
        <v>0</v>
      </c>
      <c r="M854" s="398">
        <v>0</v>
      </c>
      <c r="N854" s="164">
        <f t="shared" si="312"/>
        <v>14313.33</v>
      </c>
      <c r="O854" s="399">
        <f t="shared" si="320"/>
        <v>0</v>
      </c>
      <c r="P854" s="392">
        <f t="shared" si="334"/>
        <v>0</v>
      </c>
      <c r="Q854" s="164">
        <f t="shared" si="321"/>
        <v>0</v>
      </c>
      <c r="R854" s="164">
        <f t="shared" si="322"/>
        <v>0</v>
      </c>
      <c r="S854" s="164">
        <f t="shared" si="323"/>
        <v>0</v>
      </c>
      <c r="T854" s="164">
        <f t="shared" si="324"/>
        <v>0</v>
      </c>
      <c r="U854" s="164">
        <f t="shared" si="325"/>
        <v>0</v>
      </c>
      <c r="V854" s="393">
        <f t="shared" si="326"/>
        <v>14313.33</v>
      </c>
      <c r="W854" s="393">
        <f t="shared" si="327"/>
        <v>-14313.33</v>
      </c>
      <c r="Y854" s="393">
        <f t="shared" si="330"/>
        <v>1063.2</v>
      </c>
      <c r="Z854" s="393">
        <f t="shared" si="331"/>
        <v>-1063.2</v>
      </c>
      <c r="AD854" s="395">
        <f>IF(AH854&gt;AH853,AD853,IF(AD853&lt;MiscData!$F$1,EOMONTH(AD853,1),EOMONTH(AD853,-11)))</f>
        <v>41943</v>
      </c>
      <c r="AE854" s="389" t="str">
        <f t="shared" si="328"/>
        <v>20140101KUUM_467</v>
      </c>
      <c r="AF854" s="437" t="str">
        <f t="shared" si="329"/>
        <v>20140101LS</v>
      </c>
      <c r="AG854" s="438"/>
      <c r="AH854" s="34">
        <f>IF(AH853=MiscData!$AB$91,1,AH853+1)</f>
        <v>61</v>
      </c>
      <c r="AI854" s="34">
        <f>IF(AD854&lt;=MiscData!$B$23,MiscData!$C$23,IF(AD854&lt;=MiscData!$B$24,MiscData!$C$24,MiscData!$C$25))</f>
        <v>20140101</v>
      </c>
      <c r="AK854" s="439" t="str">
        <f>VLOOKUP(AM854,MiscData!$AB$4:$ACB$113,2,FALSE)</f>
        <v>KUUM_467</v>
      </c>
      <c r="AL854" s="439" t="str">
        <f>VLOOKUP(AM854,MiscData!$AB$4:$AE$115,4,FALSE)</f>
        <v>LS</v>
      </c>
      <c r="AM854" s="34">
        <f>IF(AM853=MiscData!$AB$91,1,AM853+1)</f>
        <v>61</v>
      </c>
    </row>
    <row r="855" spans="1:39">
      <c r="A855" s="389">
        <f t="shared" si="332"/>
        <v>854</v>
      </c>
      <c r="B855" s="395" t="str">
        <f t="shared" si="313"/>
        <v>Oct 2014</v>
      </c>
      <c r="C855" s="396" t="str">
        <f t="shared" si="314"/>
        <v>LS</v>
      </c>
      <c r="D855" s="396" t="str">
        <f t="shared" si="315"/>
        <v>KUUM_468</v>
      </c>
      <c r="E855" s="394">
        <f t="shared" si="316"/>
        <v>3982</v>
      </c>
      <c r="F855" s="397">
        <v>0</v>
      </c>
      <c r="G855" s="394">
        <f t="shared" si="317"/>
        <v>0</v>
      </c>
      <c r="H855" s="394">
        <v>0</v>
      </c>
      <c r="I855" s="390">
        <f t="shared" si="318"/>
        <v>11.16</v>
      </c>
      <c r="J855" s="390">
        <f t="shared" si="319"/>
        <v>1.129999999999999</v>
      </c>
      <c r="K855" s="391">
        <f t="shared" si="333"/>
        <v>44439.12</v>
      </c>
      <c r="L855" s="398">
        <v>0</v>
      </c>
      <c r="M855" s="398">
        <v>0</v>
      </c>
      <c r="N855" s="164">
        <f t="shared" si="312"/>
        <v>44439.12</v>
      </c>
      <c r="O855" s="399">
        <f t="shared" si="320"/>
        <v>0</v>
      </c>
      <c r="P855" s="392">
        <f t="shared" si="334"/>
        <v>0</v>
      </c>
      <c r="Q855" s="164">
        <f t="shared" si="321"/>
        <v>0</v>
      </c>
      <c r="R855" s="164">
        <f t="shared" si="322"/>
        <v>0</v>
      </c>
      <c r="S855" s="164">
        <f t="shared" si="323"/>
        <v>0</v>
      </c>
      <c r="T855" s="164">
        <f t="shared" si="324"/>
        <v>0</v>
      </c>
      <c r="U855" s="164">
        <f t="shared" si="325"/>
        <v>0</v>
      </c>
      <c r="V855" s="393">
        <f t="shared" si="326"/>
        <v>44439.12</v>
      </c>
      <c r="W855" s="393">
        <f t="shared" si="327"/>
        <v>-44439.12</v>
      </c>
      <c r="Y855" s="393">
        <f t="shared" si="330"/>
        <v>4499.66</v>
      </c>
      <c r="Z855" s="393">
        <f t="shared" si="331"/>
        <v>-4499.66</v>
      </c>
      <c r="AD855" s="395">
        <f>IF(AH855&gt;AH854,AD854,IF(AD854&lt;MiscData!$F$1,EOMONTH(AD854,1),EOMONTH(AD854,-11)))</f>
        <v>41943</v>
      </c>
      <c r="AE855" s="389" t="str">
        <f t="shared" si="328"/>
        <v>20140101KUUM_468</v>
      </c>
      <c r="AF855" s="437" t="str">
        <f t="shared" si="329"/>
        <v>20140101LS</v>
      </c>
      <c r="AG855" s="438"/>
      <c r="AH855" s="34">
        <f>IF(AH854=MiscData!$AB$91,1,AH854+1)</f>
        <v>62</v>
      </c>
      <c r="AI855" s="34">
        <f>IF(AD855&lt;=MiscData!$B$23,MiscData!$C$23,IF(AD855&lt;=MiscData!$B$24,MiscData!$C$24,MiscData!$C$25))</f>
        <v>20140101</v>
      </c>
      <c r="AK855" s="439" t="str">
        <f>VLOOKUP(AM855,MiscData!$AB$4:$ACB$113,2,FALSE)</f>
        <v>KUUM_468</v>
      </c>
      <c r="AL855" s="439" t="str">
        <f>VLOOKUP(AM855,MiscData!$AB$4:$AE$115,4,FALSE)</f>
        <v>LS</v>
      </c>
      <c r="AM855" s="34">
        <f>IF(AM854=MiscData!$AB$91,1,AM854+1)</f>
        <v>62</v>
      </c>
    </row>
    <row r="856" spans="1:39">
      <c r="A856" s="389">
        <f t="shared" si="332"/>
        <v>855</v>
      </c>
      <c r="B856" s="395" t="str">
        <f t="shared" si="313"/>
        <v>Oct 2014</v>
      </c>
      <c r="C856" s="396" t="str">
        <f t="shared" si="314"/>
        <v>RLS</v>
      </c>
      <c r="D856" s="396" t="str">
        <f t="shared" si="315"/>
        <v>KUUM_469</v>
      </c>
      <c r="E856" s="394">
        <f t="shared" si="316"/>
        <v>291</v>
      </c>
      <c r="F856" s="397">
        <v>0</v>
      </c>
      <c r="G856" s="394">
        <f t="shared" si="317"/>
        <v>0</v>
      </c>
      <c r="H856" s="394">
        <v>0</v>
      </c>
      <c r="I856" s="390">
        <f t="shared" si="318"/>
        <v>33.100000000000009</v>
      </c>
      <c r="J856" s="390">
        <f t="shared" si="319"/>
        <v>4.2900000000000063</v>
      </c>
      <c r="K856" s="391">
        <f t="shared" si="333"/>
        <v>9632.1</v>
      </c>
      <c r="L856" s="398">
        <v>0</v>
      </c>
      <c r="M856" s="398">
        <v>0</v>
      </c>
      <c r="N856" s="164">
        <f t="shared" si="312"/>
        <v>9632.1</v>
      </c>
      <c r="O856" s="399">
        <f t="shared" si="320"/>
        <v>0</v>
      </c>
      <c r="P856" s="392">
        <f t="shared" si="334"/>
        <v>0</v>
      </c>
      <c r="Q856" s="164">
        <f t="shared" si="321"/>
        <v>0</v>
      </c>
      <c r="R856" s="164">
        <f t="shared" si="322"/>
        <v>0</v>
      </c>
      <c r="S856" s="164">
        <f t="shared" si="323"/>
        <v>0</v>
      </c>
      <c r="T856" s="164">
        <f t="shared" si="324"/>
        <v>0</v>
      </c>
      <c r="U856" s="164">
        <f t="shared" si="325"/>
        <v>0</v>
      </c>
      <c r="V856" s="393">
        <f t="shared" si="326"/>
        <v>9632.1</v>
      </c>
      <c r="W856" s="393">
        <f t="shared" si="327"/>
        <v>-9632.1</v>
      </c>
      <c r="Y856" s="393">
        <f t="shared" si="330"/>
        <v>1248.3900000000001</v>
      </c>
      <c r="Z856" s="393">
        <f t="shared" si="331"/>
        <v>-1248.3900000000001</v>
      </c>
      <c r="AD856" s="395">
        <f>IF(AH856&gt;AH855,AD855,IF(AD855&lt;MiscData!$F$1,EOMONTH(AD855,1),EOMONTH(AD855,-11)))</f>
        <v>41943</v>
      </c>
      <c r="AE856" s="389" t="str">
        <f t="shared" si="328"/>
        <v>20140101KUUM_469</v>
      </c>
      <c r="AF856" s="437" t="str">
        <f t="shared" si="329"/>
        <v>20140101RLS</v>
      </c>
      <c r="AG856" s="438"/>
      <c r="AH856" s="34">
        <f>IF(AH855=MiscData!$AB$91,1,AH855+1)</f>
        <v>63</v>
      </c>
      <c r="AI856" s="34">
        <f>IF(AD856&lt;=MiscData!$B$23,MiscData!$C$23,IF(AD856&lt;=MiscData!$B$24,MiscData!$C$24,MiscData!$C$25))</f>
        <v>20140101</v>
      </c>
      <c r="AK856" s="439" t="str">
        <f>VLOOKUP(AM856,MiscData!$AB$4:$ACB$113,2,FALSE)</f>
        <v>KUUM_469</v>
      </c>
      <c r="AL856" s="439" t="str">
        <f>VLOOKUP(AM856,MiscData!$AB$4:$AE$115,4,FALSE)</f>
        <v>RLS</v>
      </c>
      <c r="AM856" s="34">
        <f>IF(AM855=MiscData!$AB$91,1,AM855+1)</f>
        <v>63</v>
      </c>
    </row>
    <row r="857" spans="1:39">
      <c r="A857" s="389">
        <f t="shared" si="332"/>
        <v>856</v>
      </c>
      <c r="B857" s="395" t="str">
        <f t="shared" si="313"/>
        <v>Oct 2014</v>
      </c>
      <c r="C857" s="396" t="str">
        <f t="shared" si="314"/>
        <v>RLS</v>
      </c>
      <c r="D857" s="396" t="str">
        <f t="shared" si="315"/>
        <v>KUUM_470</v>
      </c>
      <c r="E857" s="394">
        <f t="shared" si="316"/>
        <v>-36</v>
      </c>
      <c r="F857" s="397">
        <v>0</v>
      </c>
      <c r="G857" s="394">
        <f t="shared" si="317"/>
        <v>0</v>
      </c>
      <c r="H857" s="394">
        <v>0</v>
      </c>
      <c r="I857" s="390">
        <f t="shared" si="318"/>
        <v>55.250000000000007</v>
      </c>
      <c r="J857" s="390">
        <f t="shared" si="319"/>
        <v>10.410000000000004</v>
      </c>
      <c r="K857" s="391">
        <f t="shared" si="333"/>
        <v>-1989</v>
      </c>
      <c r="L857" s="398">
        <v>0</v>
      </c>
      <c r="M857" s="398">
        <v>0</v>
      </c>
      <c r="N857" s="164">
        <f t="shared" si="312"/>
        <v>-1989</v>
      </c>
      <c r="O857" s="399">
        <f t="shared" si="320"/>
        <v>0</v>
      </c>
      <c r="P857" s="392">
        <f t="shared" si="334"/>
        <v>0</v>
      </c>
      <c r="Q857" s="164">
        <f t="shared" si="321"/>
        <v>0</v>
      </c>
      <c r="R857" s="164">
        <f t="shared" si="322"/>
        <v>0</v>
      </c>
      <c r="S857" s="164">
        <f t="shared" si="323"/>
        <v>0</v>
      </c>
      <c r="T857" s="164">
        <f t="shared" si="324"/>
        <v>0</v>
      </c>
      <c r="U857" s="164">
        <f t="shared" si="325"/>
        <v>0</v>
      </c>
      <c r="V857" s="393">
        <f t="shared" si="326"/>
        <v>-1989</v>
      </c>
      <c r="W857" s="393">
        <f t="shared" si="327"/>
        <v>1989</v>
      </c>
      <c r="Y857" s="393">
        <f t="shared" si="330"/>
        <v>-374.76</v>
      </c>
      <c r="Z857" s="393">
        <f t="shared" si="331"/>
        <v>374.76</v>
      </c>
      <c r="AD857" s="395">
        <f>IF(AH857&gt;AH856,AD856,IF(AD856&lt;MiscData!$F$1,EOMONTH(AD856,1),EOMONTH(AD856,-11)))</f>
        <v>41943</v>
      </c>
      <c r="AE857" s="389" t="str">
        <f t="shared" si="328"/>
        <v>20140101KUUM_470</v>
      </c>
      <c r="AF857" s="437" t="str">
        <f t="shared" si="329"/>
        <v>20140101RLS</v>
      </c>
      <c r="AG857" s="438"/>
      <c r="AH857" s="34">
        <f>IF(AH856=MiscData!$AB$91,1,AH856+1)</f>
        <v>64</v>
      </c>
      <c r="AI857" s="34">
        <f>IF(AD857&lt;=MiscData!$B$23,MiscData!$C$23,IF(AD857&lt;=MiscData!$B$24,MiscData!$C$24,MiscData!$C$25))</f>
        <v>20140101</v>
      </c>
      <c r="AK857" s="439" t="str">
        <f>VLOOKUP(AM857,MiscData!$AB$4:$ACB$113,2,FALSE)</f>
        <v>KUUM_470</v>
      </c>
      <c r="AL857" s="439" t="str">
        <f>VLOOKUP(AM857,MiscData!$AB$4:$AE$115,4,FALSE)</f>
        <v>RLS</v>
      </c>
      <c r="AM857" s="34">
        <f>IF(AM856=MiscData!$AB$91,1,AM856+1)</f>
        <v>64</v>
      </c>
    </row>
    <row r="858" spans="1:39">
      <c r="A858" s="389">
        <f t="shared" si="332"/>
        <v>857</v>
      </c>
      <c r="B858" s="395" t="str">
        <f t="shared" si="313"/>
        <v>Oct 2014</v>
      </c>
      <c r="C858" s="396" t="str">
        <f t="shared" si="314"/>
        <v>RLS</v>
      </c>
      <c r="D858" s="396" t="str">
        <f t="shared" si="315"/>
        <v>KUUM_471</v>
      </c>
      <c r="E858" s="394">
        <f t="shared" si="316"/>
        <v>3400</v>
      </c>
      <c r="F858" s="397">
        <v>0</v>
      </c>
      <c r="G858" s="394">
        <f t="shared" si="317"/>
        <v>0</v>
      </c>
      <c r="H858" s="394">
        <v>0</v>
      </c>
      <c r="I858" s="390">
        <f t="shared" si="318"/>
        <v>10.49</v>
      </c>
      <c r="J858" s="390">
        <f t="shared" si="319"/>
        <v>0.56999999999999851</v>
      </c>
      <c r="K858" s="391">
        <f t="shared" si="333"/>
        <v>35666</v>
      </c>
      <c r="L858" s="398">
        <v>0</v>
      </c>
      <c r="M858" s="398">
        <v>0</v>
      </c>
      <c r="N858" s="164">
        <f t="shared" si="312"/>
        <v>35666</v>
      </c>
      <c r="O858" s="399">
        <f t="shared" si="320"/>
        <v>0</v>
      </c>
      <c r="P858" s="392">
        <f t="shared" si="334"/>
        <v>0</v>
      </c>
      <c r="Q858" s="164">
        <f t="shared" si="321"/>
        <v>0</v>
      </c>
      <c r="R858" s="164">
        <f t="shared" si="322"/>
        <v>0</v>
      </c>
      <c r="S858" s="164">
        <f t="shared" si="323"/>
        <v>0</v>
      </c>
      <c r="T858" s="164">
        <f t="shared" si="324"/>
        <v>0</v>
      </c>
      <c r="U858" s="164">
        <f t="shared" si="325"/>
        <v>0</v>
      </c>
      <c r="V858" s="393">
        <f t="shared" si="326"/>
        <v>35666</v>
      </c>
      <c r="W858" s="393">
        <f t="shared" si="327"/>
        <v>-35666</v>
      </c>
      <c r="Y858" s="393">
        <f t="shared" si="330"/>
        <v>1938</v>
      </c>
      <c r="Z858" s="393">
        <f t="shared" si="331"/>
        <v>-1938</v>
      </c>
      <c r="AD858" s="395">
        <f>IF(AH858&gt;AH857,AD857,IF(AD857&lt;MiscData!$F$1,EOMONTH(AD857,1),EOMONTH(AD857,-11)))</f>
        <v>41943</v>
      </c>
      <c r="AE858" s="389" t="str">
        <f t="shared" si="328"/>
        <v>20140101KUUM_471</v>
      </c>
      <c r="AF858" s="437" t="str">
        <f t="shared" si="329"/>
        <v>20140101RLS</v>
      </c>
      <c r="AG858" s="438"/>
      <c r="AH858" s="34">
        <f>IF(AH857=MiscData!$AB$91,1,AH857+1)</f>
        <v>65</v>
      </c>
      <c r="AI858" s="34">
        <f>IF(AD858&lt;=MiscData!$B$23,MiscData!$C$23,IF(AD858&lt;=MiscData!$B$24,MiscData!$C$24,MiscData!$C$25))</f>
        <v>20140101</v>
      </c>
      <c r="AK858" s="439" t="str">
        <f>VLOOKUP(AM858,MiscData!$AB$4:$ACB$113,2,FALSE)</f>
        <v>KUUM_471</v>
      </c>
      <c r="AL858" s="439" t="str">
        <f>VLOOKUP(AM858,MiscData!$AB$4:$AE$115,4,FALSE)</f>
        <v>RLS</v>
      </c>
      <c r="AM858" s="34">
        <f>IF(AM857=MiscData!$AB$91,1,AM857+1)</f>
        <v>65</v>
      </c>
    </row>
    <row r="859" spans="1:39">
      <c r="A859" s="389">
        <f t="shared" si="332"/>
        <v>858</v>
      </c>
      <c r="B859" s="395" t="str">
        <f t="shared" si="313"/>
        <v>Oct 2014</v>
      </c>
      <c r="C859" s="396" t="str">
        <f t="shared" si="314"/>
        <v>LS</v>
      </c>
      <c r="D859" s="396" t="str">
        <f t="shared" si="315"/>
        <v>KUUM_472</v>
      </c>
      <c r="E859" s="394">
        <f t="shared" si="316"/>
        <v>8622</v>
      </c>
      <c r="F859" s="397">
        <v>0</v>
      </c>
      <c r="G859" s="394">
        <f t="shared" si="317"/>
        <v>0</v>
      </c>
      <c r="H859" s="394">
        <v>0</v>
      </c>
      <c r="I859" s="390">
        <f t="shared" si="318"/>
        <v>11.600000000000001</v>
      </c>
      <c r="J859" s="390">
        <f t="shared" si="319"/>
        <v>0.80000000000000071</v>
      </c>
      <c r="K859" s="391">
        <f t="shared" si="333"/>
        <v>100015.2</v>
      </c>
      <c r="L859" s="398">
        <v>0</v>
      </c>
      <c r="M859" s="398">
        <v>0</v>
      </c>
      <c r="N859" s="164">
        <f t="shared" si="312"/>
        <v>100015.2</v>
      </c>
      <c r="O859" s="399">
        <f t="shared" si="320"/>
        <v>0</v>
      </c>
      <c r="P859" s="392">
        <f t="shared" si="334"/>
        <v>0</v>
      </c>
      <c r="Q859" s="164">
        <f t="shared" si="321"/>
        <v>0</v>
      </c>
      <c r="R859" s="164">
        <f t="shared" si="322"/>
        <v>0</v>
      </c>
      <c r="S859" s="164">
        <f t="shared" si="323"/>
        <v>0</v>
      </c>
      <c r="T859" s="164">
        <f t="shared" si="324"/>
        <v>0</v>
      </c>
      <c r="U859" s="164">
        <f t="shared" si="325"/>
        <v>0</v>
      </c>
      <c r="V859" s="393">
        <f t="shared" si="326"/>
        <v>100015.2</v>
      </c>
      <c r="W859" s="393">
        <f t="shared" si="327"/>
        <v>-100015.2</v>
      </c>
      <c r="Y859" s="393">
        <f t="shared" si="330"/>
        <v>6897.6</v>
      </c>
      <c r="Z859" s="393">
        <f t="shared" si="331"/>
        <v>-6897.6</v>
      </c>
      <c r="AD859" s="395">
        <f>IF(AH859&gt;AH858,AD858,IF(AD858&lt;MiscData!$F$1,EOMONTH(AD858,1),EOMONTH(AD858,-11)))</f>
        <v>41943</v>
      </c>
      <c r="AE859" s="389" t="str">
        <f t="shared" si="328"/>
        <v>20140101KUUM_472</v>
      </c>
      <c r="AF859" s="437" t="str">
        <f t="shared" si="329"/>
        <v>20140101LS</v>
      </c>
      <c r="AG859" s="438"/>
      <c r="AH859" s="34">
        <f>IF(AH858=MiscData!$AB$91,1,AH858+1)</f>
        <v>66</v>
      </c>
      <c r="AI859" s="34">
        <f>IF(AD859&lt;=MiscData!$B$23,MiscData!$C$23,IF(AD859&lt;=MiscData!$B$24,MiscData!$C$24,MiscData!$C$25))</f>
        <v>20140101</v>
      </c>
      <c r="AK859" s="439" t="str">
        <f>VLOOKUP(AM859,MiscData!$AB$4:$ACB$113,2,FALSE)</f>
        <v>KUUM_472</v>
      </c>
      <c r="AL859" s="439" t="str">
        <f>VLOOKUP(AM859,MiscData!$AB$4:$AE$115,4,FALSE)</f>
        <v>LS</v>
      </c>
      <c r="AM859" s="34">
        <f>IF(AM858=MiscData!$AB$91,1,AM858+1)</f>
        <v>66</v>
      </c>
    </row>
    <row r="860" spans="1:39">
      <c r="A860" s="389">
        <f t="shared" si="332"/>
        <v>859</v>
      </c>
      <c r="B860" s="395" t="str">
        <f t="shared" si="313"/>
        <v>Oct 2014</v>
      </c>
      <c r="C860" s="396" t="str">
        <f t="shared" si="314"/>
        <v>LS</v>
      </c>
      <c r="D860" s="396" t="str">
        <f t="shared" si="315"/>
        <v>KUUM_473</v>
      </c>
      <c r="E860" s="394">
        <f t="shared" si="316"/>
        <v>3232</v>
      </c>
      <c r="F860" s="397">
        <v>0</v>
      </c>
      <c r="G860" s="394">
        <f t="shared" si="317"/>
        <v>0</v>
      </c>
      <c r="H860" s="394">
        <v>0</v>
      </c>
      <c r="I860" s="390">
        <f t="shared" si="318"/>
        <v>12.3</v>
      </c>
      <c r="J860" s="390">
        <f t="shared" si="319"/>
        <v>1.129999999999999</v>
      </c>
      <c r="K860" s="391">
        <f t="shared" si="333"/>
        <v>39753.599999999999</v>
      </c>
      <c r="L860" s="398">
        <v>0</v>
      </c>
      <c r="M860" s="398">
        <v>0</v>
      </c>
      <c r="N860" s="164">
        <f t="shared" si="312"/>
        <v>39753.599999999999</v>
      </c>
      <c r="O860" s="399">
        <f t="shared" si="320"/>
        <v>0</v>
      </c>
      <c r="P860" s="392">
        <f t="shared" si="334"/>
        <v>0</v>
      </c>
      <c r="Q860" s="164">
        <f t="shared" si="321"/>
        <v>0</v>
      </c>
      <c r="R860" s="164">
        <f t="shared" si="322"/>
        <v>0</v>
      </c>
      <c r="S860" s="164">
        <f t="shared" si="323"/>
        <v>0</v>
      </c>
      <c r="T860" s="164">
        <f t="shared" si="324"/>
        <v>0</v>
      </c>
      <c r="U860" s="164">
        <f t="shared" si="325"/>
        <v>0</v>
      </c>
      <c r="V860" s="393">
        <f t="shared" si="326"/>
        <v>39753.599999999999</v>
      </c>
      <c r="W860" s="393">
        <f t="shared" si="327"/>
        <v>-39753.599999999999</v>
      </c>
      <c r="Y860" s="393">
        <f t="shared" si="330"/>
        <v>3652.16</v>
      </c>
      <c r="Z860" s="393">
        <f t="shared" si="331"/>
        <v>-3652.16</v>
      </c>
      <c r="AD860" s="395">
        <f>IF(AH860&gt;AH859,AD859,IF(AD859&lt;MiscData!$F$1,EOMONTH(AD859,1),EOMONTH(AD859,-11)))</f>
        <v>41943</v>
      </c>
      <c r="AE860" s="389" t="str">
        <f t="shared" si="328"/>
        <v>20140101KUUM_473</v>
      </c>
      <c r="AF860" s="437" t="str">
        <f t="shared" si="329"/>
        <v>20140101LS</v>
      </c>
      <c r="AG860" s="438"/>
      <c r="AH860" s="34">
        <f>IF(AH859=MiscData!$AB$91,1,AH859+1)</f>
        <v>67</v>
      </c>
      <c r="AI860" s="34">
        <f>IF(AD860&lt;=MiscData!$B$23,MiscData!$C$23,IF(AD860&lt;=MiscData!$B$24,MiscData!$C$24,MiscData!$C$25))</f>
        <v>20140101</v>
      </c>
      <c r="AK860" s="439" t="str">
        <f>VLOOKUP(AM860,MiscData!$AB$4:$ACB$113,2,FALSE)</f>
        <v>KUUM_473</v>
      </c>
      <c r="AL860" s="439" t="str">
        <f>VLOOKUP(AM860,MiscData!$AB$4:$AE$115,4,FALSE)</f>
        <v>LS</v>
      </c>
      <c r="AM860" s="34">
        <f>IF(AM859=MiscData!$AB$91,1,AM859+1)</f>
        <v>67</v>
      </c>
    </row>
    <row r="861" spans="1:39">
      <c r="A861" s="389">
        <f t="shared" si="332"/>
        <v>860</v>
      </c>
      <c r="B861" s="395" t="str">
        <f t="shared" si="313"/>
        <v>Oct 2014</v>
      </c>
      <c r="C861" s="396" t="str">
        <f t="shared" si="314"/>
        <v>LS</v>
      </c>
      <c r="D861" s="396" t="str">
        <f t="shared" si="315"/>
        <v>KUUM_474</v>
      </c>
      <c r="E861" s="394">
        <f t="shared" si="316"/>
        <v>5196</v>
      </c>
      <c r="F861" s="397">
        <v>0</v>
      </c>
      <c r="G861" s="394">
        <f t="shared" si="317"/>
        <v>0</v>
      </c>
      <c r="H861" s="394">
        <v>0</v>
      </c>
      <c r="I861" s="390">
        <f t="shared" si="318"/>
        <v>17.41</v>
      </c>
      <c r="J861" s="390">
        <f t="shared" si="319"/>
        <v>2.33</v>
      </c>
      <c r="K861" s="391">
        <f t="shared" si="333"/>
        <v>90462.36</v>
      </c>
      <c r="L861" s="398">
        <v>0</v>
      </c>
      <c r="M861" s="398">
        <v>0</v>
      </c>
      <c r="N861" s="164">
        <f t="shared" si="312"/>
        <v>90462.36</v>
      </c>
      <c r="O861" s="399">
        <f t="shared" si="320"/>
        <v>0</v>
      </c>
      <c r="P861" s="392">
        <f t="shared" si="334"/>
        <v>0</v>
      </c>
      <c r="Q861" s="164">
        <f t="shared" si="321"/>
        <v>0</v>
      </c>
      <c r="R861" s="164">
        <f t="shared" si="322"/>
        <v>0</v>
      </c>
      <c r="S861" s="164">
        <f t="shared" si="323"/>
        <v>0</v>
      </c>
      <c r="T861" s="164">
        <f t="shared" si="324"/>
        <v>0</v>
      </c>
      <c r="U861" s="164">
        <f t="shared" si="325"/>
        <v>0</v>
      </c>
      <c r="V861" s="393">
        <f t="shared" si="326"/>
        <v>90462.36</v>
      </c>
      <c r="W861" s="393">
        <f t="shared" si="327"/>
        <v>-90462.36</v>
      </c>
      <c r="Y861" s="393">
        <f t="shared" si="330"/>
        <v>12106.68</v>
      </c>
      <c r="Z861" s="393">
        <f t="shared" si="331"/>
        <v>-12106.68</v>
      </c>
      <c r="AD861" s="395">
        <f>IF(AH861&gt;AH860,AD860,IF(AD860&lt;MiscData!$F$1,EOMONTH(AD860,1),EOMONTH(AD860,-11)))</f>
        <v>41943</v>
      </c>
      <c r="AE861" s="389" t="str">
        <f t="shared" si="328"/>
        <v>20140101KUUM_474</v>
      </c>
      <c r="AF861" s="437" t="str">
        <f t="shared" si="329"/>
        <v>20140101LS</v>
      </c>
      <c r="AG861" s="438"/>
      <c r="AH861" s="34">
        <f>IF(AH860=MiscData!$AB$91,1,AH860+1)</f>
        <v>68</v>
      </c>
      <c r="AI861" s="34">
        <f>IF(AD861&lt;=MiscData!$B$23,MiscData!$C$23,IF(AD861&lt;=MiscData!$B$24,MiscData!$C$24,MiscData!$C$25))</f>
        <v>20140101</v>
      </c>
      <c r="AK861" s="439" t="str">
        <f>VLOOKUP(AM861,MiscData!$AB$4:$ACB$113,2,FALSE)</f>
        <v>KUUM_474</v>
      </c>
      <c r="AL861" s="439" t="str">
        <f>VLOOKUP(AM861,MiscData!$AB$4:$AE$115,4,FALSE)</f>
        <v>LS</v>
      </c>
      <c r="AM861" s="34">
        <f>IF(AM860=MiscData!$AB$91,1,AM860+1)</f>
        <v>68</v>
      </c>
    </row>
    <row r="862" spans="1:39">
      <c r="A862" s="389">
        <f t="shared" si="332"/>
        <v>861</v>
      </c>
      <c r="B862" s="395" t="str">
        <f t="shared" si="313"/>
        <v>Oct 2014</v>
      </c>
      <c r="C862" s="396" t="str">
        <f t="shared" si="314"/>
        <v>LS</v>
      </c>
      <c r="D862" s="396" t="str">
        <f t="shared" si="315"/>
        <v>KUUM_475</v>
      </c>
      <c r="E862" s="394">
        <f t="shared" si="316"/>
        <v>453</v>
      </c>
      <c r="F862" s="397">
        <v>0</v>
      </c>
      <c r="G862" s="394">
        <f t="shared" si="317"/>
        <v>0</v>
      </c>
      <c r="H862" s="394">
        <v>0</v>
      </c>
      <c r="I862" s="390">
        <f t="shared" si="318"/>
        <v>24.46</v>
      </c>
      <c r="J862" s="390">
        <f t="shared" si="319"/>
        <v>4.5300000000000011</v>
      </c>
      <c r="K862" s="391">
        <f t="shared" si="333"/>
        <v>11080.38</v>
      </c>
      <c r="L862" s="398">
        <v>0</v>
      </c>
      <c r="M862" s="398">
        <v>0</v>
      </c>
      <c r="N862" s="164">
        <f t="shared" si="312"/>
        <v>11080.38</v>
      </c>
      <c r="O862" s="399">
        <f t="shared" si="320"/>
        <v>0</v>
      </c>
      <c r="P862" s="392">
        <f t="shared" si="334"/>
        <v>0</v>
      </c>
      <c r="Q862" s="164">
        <f t="shared" si="321"/>
        <v>0</v>
      </c>
      <c r="R862" s="164">
        <f t="shared" si="322"/>
        <v>0</v>
      </c>
      <c r="S862" s="164">
        <f t="shared" si="323"/>
        <v>0</v>
      </c>
      <c r="T862" s="164">
        <f t="shared" si="324"/>
        <v>0</v>
      </c>
      <c r="U862" s="164">
        <f t="shared" si="325"/>
        <v>0</v>
      </c>
      <c r="V862" s="393">
        <f t="shared" si="326"/>
        <v>11080.38</v>
      </c>
      <c r="W862" s="393">
        <f t="shared" si="327"/>
        <v>-11080.38</v>
      </c>
      <c r="Y862" s="393">
        <f t="shared" si="330"/>
        <v>2052.09</v>
      </c>
      <c r="Z862" s="393">
        <f t="shared" si="331"/>
        <v>-2052.09</v>
      </c>
      <c r="AD862" s="395">
        <f>IF(AH862&gt;AH861,AD861,IF(AD861&lt;MiscData!$F$1,EOMONTH(AD861,1),EOMONTH(AD861,-11)))</f>
        <v>41943</v>
      </c>
      <c r="AE862" s="389" t="str">
        <f t="shared" si="328"/>
        <v>20140101KUUM_475</v>
      </c>
      <c r="AF862" s="437" t="str">
        <f t="shared" si="329"/>
        <v>20140101LS</v>
      </c>
      <c r="AG862" s="438"/>
      <c r="AH862" s="34">
        <f>IF(AH861=MiscData!$AB$91,1,AH861+1)</f>
        <v>69</v>
      </c>
      <c r="AI862" s="34">
        <f>IF(AD862&lt;=MiscData!$B$23,MiscData!$C$23,IF(AD862&lt;=MiscData!$B$24,MiscData!$C$24,MiscData!$C$25))</f>
        <v>20140101</v>
      </c>
      <c r="AK862" s="439" t="str">
        <f>VLOOKUP(AM862,MiscData!$AB$4:$ACB$113,2,FALSE)</f>
        <v>KUUM_475</v>
      </c>
      <c r="AL862" s="439" t="str">
        <f>VLOOKUP(AM862,MiscData!$AB$4:$AE$115,4,FALSE)</f>
        <v>LS</v>
      </c>
      <c r="AM862" s="34">
        <f>IF(AM861=MiscData!$AB$91,1,AM861+1)</f>
        <v>69</v>
      </c>
    </row>
    <row r="863" spans="1:39">
      <c r="A863" s="389">
        <f t="shared" si="332"/>
        <v>862</v>
      </c>
      <c r="B863" s="395" t="str">
        <f t="shared" si="313"/>
        <v>Oct 2014</v>
      </c>
      <c r="C863" s="396" t="str">
        <f t="shared" si="314"/>
        <v>LS</v>
      </c>
      <c r="D863" s="396" t="str">
        <f t="shared" si="315"/>
        <v>KUUM_476</v>
      </c>
      <c r="E863" s="394">
        <f t="shared" si="316"/>
        <v>4554</v>
      </c>
      <c r="F863" s="397">
        <v>0</v>
      </c>
      <c r="G863" s="394">
        <f t="shared" si="317"/>
        <v>0</v>
      </c>
      <c r="H863" s="394">
        <v>0</v>
      </c>
      <c r="I863" s="390">
        <f t="shared" si="318"/>
        <v>16.79</v>
      </c>
      <c r="J863" s="390">
        <f t="shared" si="319"/>
        <v>0.79999999999999893</v>
      </c>
      <c r="K863" s="391">
        <f t="shared" si="333"/>
        <v>76461.66</v>
      </c>
      <c r="L863" s="398">
        <v>0</v>
      </c>
      <c r="M863" s="398">
        <v>0</v>
      </c>
      <c r="N863" s="164">
        <f t="shared" si="312"/>
        <v>76461.66</v>
      </c>
      <c r="O863" s="399">
        <f t="shared" si="320"/>
        <v>0</v>
      </c>
      <c r="P863" s="392">
        <f t="shared" si="334"/>
        <v>0</v>
      </c>
      <c r="Q863" s="164">
        <f t="shared" si="321"/>
        <v>0</v>
      </c>
      <c r="R863" s="164">
        <f t="shared" si="322"/>
        <v>0</v>
      </c>
      <c r="S863" s="164">
        <f t="shared" si="323"/>
        <v>0</v>
      </c>
      <c r="T863" s="164">
        <f t="shared" si="324"/>
        <v>0</v>
      </c>
      <c r="U863" s="164">
        <f t="shared" si="325"/>
        <v>0</v>
      </c>
      <c r="V863" s="393">
        <f t="shared" si="326"/>
        <v>76461.66</v>
      </c>
      <c r="W863" s="393">
        <f t="shared" si="327"/>
        <v>-76461.66</v>
      </c>
      <c r="Y863" s="393">
        <f t="shared" si="330"/>
        <v>3643.2</v>
      </c>
      <c r="Z863" s="393">
        <f t="shared" si="331"/>
        <v>-3643.2</v>
      </c>
      <c r="AD863" s="395">
        <f>IF(AH863&gt;AH862,AD862,IF(AD862&lt;MiscData!$F$1,EOMONTH(AD862,1),EOMONTH(AD862,-11)))</f>
        <v>41943</v>
      </c>
      <c r="AE863" s="389" t="str">
        <f t="shared" si="328"/>
        <v>20140101KUUM_476</v>
      </c>
      <c r="AF863" s="437" t="str">
        <f t="shared" si="329"/>
        <v>20140101LS</v>
      </c>
      <c r="AG863" s="438"/>
      <c r="AH863" s="34">
        <f>IF(AH862=MiscData!$AB$91,1,AH862+1)</f>
        <v>70</v>
      </c>
      <c r="AI863" s="34">
        <f>IF(AD863&lt;=MiscData!$B$23,MiscData!$C$23,IF(AD863&lt;=MiscData!$B$24,MiscData!$C$24,MiscData!$C$25))</f>
        <v>20140101</v>
      </c>
      <c r="AK863" s="439" t="str">
        <f>VLOOKUP(AM863,MiscData!$AB$4:$ACB$113,2,FALSE)</f>
        <v>KUUM_476</v>
      </c>
      <c r="AL863" s="439" t="str">
        <f>VLOOKUP(AM863,MiscData!$AB$4:$AE$115,4,FALSE)</f>
        <v>LS</v>
      </c>
      <c r="AM863" s="34">
        <f>IF(AM862=MiscData!$AB$91,1,AM862+1)</f>
        <v>70</v>
      </c>
    </row>
    <row r="864" spans="1:39">
      <c r="A864" s="389">
        <f t="shared" si="332"/>
        <v>863</v>
      </c>
      <c r="B864" s="395" t="str">
        <f t="shared" si="313"/>
        <v>Oct 2014</v>
      </c>
      <c r="C864" s="396" t="str">
        <f t="shared" si="314"/>
        <v>LS</v>
      </c>
      <c r="D864" s="396" t="str">
        <f t="shared" si="315"/>
        <v>KUUM_477</v>
      </c>
      <c r="E864" s="394">
        <f t="shared" si="316"/>
        <v>1021</v>
      </c>
      <c r="F864" s="397">
        <v>0</v>
      </c>
      <c r="G864" s="394">
        <f t="shared" si="317"/>
        <v>0</v>
      </c>
      <c r="H864" s="394">
        <v>0</v>
      </c>
      <c r="I864" s="390">
        <f t="shared" si="318"/>
        <v>20.97</v>
      </c>
      <c r="J864" s="390">
        <f t="shared" si="319"/>
        <v>1.129999999999999</v>
      </c>
      <c r="K864" s="391">
        <f t="shared" si="333"/>
        <v>21410.37</v>
      </c>
      <c r="L864" s="398">
        <v>0</v>
      </c>
      <c r="M864" s="398">
        <v>0</v>
      </c>
      <c r="N864" s="164">
        <f t="shared" si="312"/>
        <v>21410.37</v>
      </c>
      <c r="O864" s="399">
        <f t="shared" si="320"/>
        <v>0</v>
      </c>
      <c r="P864" s="392">
        <f t="shared" si="334"/>
        <v>0</v>
      </c>
      <c r="Q864" s="164">
        <f t="shared" si="321"/>
        <v>0</v>
      </c>
      <c r="R864" s="164">
        <f t="shared" si="322"/>
        <v>0</v>
      </c>
      <c r="S864" s="164">
        <f t="shared" si="323"/>
        <v>0</v>
      </c>
      <c r="T864" s="164">
        <f t="shared" si="324"/>
        <v>0</v>
      </c>
      <c r="U864" s="164">
        <f t="shared" si="325"/>
        <v>0</v>
      </c>
      <c r="V864" s="393">
        <f t="shared" si="326"/>
        <v>21410.37</v>
      </c>
      <c r="W864" s="393">
        <f t="shared" si="327"/>
        <v>-21410.37</v>
      </c>
      <c r="Y864" s="393">
        <f t="shared" si="330"/>
        <v>1153.73</v>
      </c>
      <c r="Z864" s="393">
        <f t="shared" si="331"/>
        <v>-1153.73</v>
      </c>
      <c r="AD864" s="395">
        <f>IF(AH864&gt;AH863,AD863,IF(AD863&lt;MiscData!$F$1,EOMONTH(AD863,1),EOMONTH(AD863,-11)))</f>
        <v>41943</v>
      </c>
      <c r="AE864" s="389" t="str">
        <f t="shared" si="328"/>
        <v>20140101KUUM_477</v>
      </c>
      <c r="AF864" s="437" t="str">
        <f t="shared" si="329"/>
        <v>20140101LS</v>
      </c>
      <c r="AG864" s="438"/>
      <c r="AH864" s="34">
        <f>IF(AH863=MiscData!$AB$91,1,AH863+1)</f>
        <v>71</v>
      </c>
      <c r="AI864" s="34">
        <f>IF(AD864&lt;=MiscData!$B$23,MiscData!$C$23,IF(AD864&lt;=MiscData!$B$24,MiscData!$C$24,MiscData!$C$25))</f>
        <v>20140101</v>
      </c>
      <c r="AK864" s="439" t="str">
        <f>VLOOKUP(AM864,MiscData!$AB$4:$ACB$113,2,FALSE)</f>
        <v>KUUM_477</v>
      </c>
      <c r="AL864" s="439" t="str">
        <f>VLOOKUP(AM864,MiscData!$AB$4:$AE$115,4,FALSE)</f>
        <v>LS</v>
      </c>
      <c r="AM864" s="34">
        <f>IF(AM863=MiscData!$AB$91,1,AM863+1)</f>
        <v>71</v>
      </c>
    </row>
    <row r="865" spans="1:39">
      <c r="A865" s="389">
        <f t="shared" si="332"/>
        <v>864</v>
      </c>
      <c r="B865" s="395" t="str">
        <f t="shared" si="313"/>
        <v>Oct 2014</v>
      </c>
      <c r="C865" s="396" t="str">
        <f t="shared" si="314"/>
        <v>LS</v>
      </c>
      <c r="D865" s="396" t="str">
        <f t="shared" si="315"/>
        <v>KUUM_478</v>
      </c>
      <c r="E865" s="394">
        <f t="shared" si="316"/>
        <v>1391</v>
      </c>
      <c r="F865" s="397">
        <v>0</v>
      </c>
      <c r="G865" s="394">
        <f t="shared" si="317"/>
        <v>0</v>
      </c>
      <c r="H865" s="394">
        <v>0</v>
      </c>
      <c r="I865" s="390">
        <f t="shared" si="318"/>
        <v>26.86</v>
      </c>
      <c r="J865" s="390">
        <f t="shared" si="319"/>
        <v>2.3299999999999983</v>
      </c>
      <c r="K865" s="391">
        <f t="shared" si="333"/>
        <v>37362.26</v>
      </c>
      <c r="L865" s="398">
        <v>0</v>
      </c>
      <c r="M865" s="398">
        <v>0</v>
      </c>
      <c r="N865" s="164">
        <f t="shared" si="312"/>
        <v>37362.26</v>
      </c>
      <c r="O865" s="399">
        <f t="shared" si="320"/>
        <v>0</v>
      </c>
      <c r="P865" s="392">
        <f t="shared" si="334"/>
        <v>0</v>
      </c>
      <c r="Q865" s="164">
        <f t="shared" si="321"/>
        <v>0</v>
      </c>
      <c r="R865" s="164">
        <f t="shared" si="322"/>
        <v>0</v>
      </c>
      <c r="S865" s="164">
        <f t="shared" si="323"/>
        <v>0</v>
      </c>
      <c r="T865" s="164">
        <f t="shared" si="324"/>
        <v>0</v>
      </c>
      <c r="U865" s="164">
        <f t="shared" si="325"/>
        <v>0</v>
      </c>
      <c r="V865" s="393">
        <f t="shared" si="326"/>
        <v>37362.26</v>
      </c>
      <c r="W865" s="393">
        <f t="shared" si="327"/>
        <v>-37362.26</v>
      </c>
      <c r="Y865" s="393">
        <f t="shared" si="330"/>
        <v>3241.03</v>
      </c>
      <c r="Z865" s="393">
        <f t="shared" si="331"/>
        <v>-3241.03</v>
      </c>
      <c r="AD865" s="395">
        <f>IF(AH865&gt;AH864,AD864,IF(AD864&lt;MiscData!$F$1,EOMONTH(AD864,1),EOMONTH(AD864,-11)))</f>
        <v>41943</v>
      </c>
      <c r="AE865" s="389" t="str">
        <f t="shared" si="328"/>
        <v>20140101KUUM_478</v>
      </c>
      <c r="AF865" s="437" t="str">
        <f t="shared" si="329"/>
        <v>20140101LS</v>
      </c>
      <c r="AG865" s="438"/>
      <c r="AH865" s="34">
        <f>IF(AH864=MiscData!$AB$91,1,AH864+1)</f>
        <v>72</v>
      </c>
      <c r="AI865" s="34">
        <f>IF(AD865&lt;=MiscData!$B$23,MiscData!$C$23,IF(AD865&lt;=MiscData!$B$24,MiscData!$C$24,MiscData!$C$25))</f>
        <v>20140101</v>
      </c>
      <c r="AK865" s="439" t="str">
        <f>VLOOKUP(AM865,MiscData!$AB$4:$ACB$113,2,FALSE)</f>
        <v>KUUM_478</v>
      </c>
      <c r="AL865" s="439" t="str">
        <f>VLOOKUP(AM865,MiscData!$AB$4:$AE$115,4,FALSE)</f>
        <v>LS</v>
      </c>
      <c r="AM865" s="34">
        <f>IF(AM864=MiscData!$AB$91,1,AM864+1)</f>
        <v>72</v>
      </c>
    </row>
    <row r="866" spans="1:39">
      <c r="A866" s="389">
        <f t="shared" si="332"/>
        <v>865</v>
      </c>
      <c r="B866" s="395" t="str">
        <f t="shared" si="313"/>
        <v>Oct 2014</v>
      </c>
      <c r="C866" s="396" t="str">
        <f t="shared" si="314"/>
        <v>LS</v>
      </c>
      <c r="D866" s="396" t="str">
        <f t="shared" si="315"/>
        <v>KUUM_479</v>
      </c>
      <c r="E866" s="394">
        <f t="shared" si="316"/>
        <v>999</v>
      </c>
      <c r="F866" s="397">
        <v>0</v>
      </c>
      <c r="G866" s="394">
        <f t="shared" si="317"/>
        <v>0</v>
      </c>
      <c r="H866" s="394">
        <v>0</v>
      </c>
      <c r="I866" s="390">
        <f t="shared" si="318"/>
        <v>33.119999999999997</v>
      </c>
      <c r="J866" s="390">
        <f t="shared" si="319"/>
        <v>4.529999999999994</v>
      </c>
      <c r="K866" s="391">
        <f t="shared" si="333"/>
        <v>33086.879999999997</v>
      </c>
      <c r="L866" s="398">
        <v>0</v>
      </c>
      <c r="M866" s="398">
        <v>0</v>
      </c>
      <c r="N866" s="164">
        <f t="shared" si="312"/>
        <v>33086.879999999997</v>
      </c>
      <c r="O866" s="399">
        <f t="shared" si="320"/>
        <v>0</v>
      </c>
      <c r="P866" s="392">
        <f t="shared" si="334"/>
        <v>0</v>
      </c>
      <c r="Q866" s="164">
        <f t="shared" si="321"/>
        <v>0</v>
      </c>
      <c r="R866" s="164">
        <f t="shared" si="322"/>
        <v>0</v>
      </c>
      <c r="S866" s="164">
        <f t="shared" si="323"/>
        <v>0</v>
      </c>
      <c r="T866" s="164">
        <f t="shared" si="324"/>
        <v>0</v>
      </c>
      <c r="U866" s="164">
        <f t="shared" si="325"/>
        <v>0</v>
      </c>
      <c r="V866" s="393">
        <f t="shared" si="326"/>
        <v>33086.879999999997</v>
      </c>
      <c r="W866" s="393">
        <f t="shared" si="327"/>
        <v>-33086.879999999997</v>
      </c>
      <c r="Y866" s="393">
        <f t="shared" si="330"/>
        <v>4525.47</v>
      </c>
      <c r="Z866" s="393">
        <f t="shared" si="331"/>
        <v>-4525.47</v>
      </c>
      <c r="AD866" s="395">
        <f>IF(AH866&gt;AH865,AD865,IF(AD865&lt;MiscData!$F$1,EOMONTH(AD865,1),EOMONTH(AD865,-11)))</f>
        <v>41943</v>
      </c>
      <c r="AE866" s="389" t="str">
        <f t="shared" si="328"/>
        <v>20140101KUUM_479</v>
      </c>
      <c r="AF866" s="437" t="str">
        <f t="shared" si="329"/>
        <v>20140101LS</v>
      </c>
      <c r="AG866" s="438"/>
      <c r="AH866" s="34">
        <f>IF(AH865=MiscData!$AB$91,1,AH865+1)</f>
        <v>73</v>
      </c>
      <c r="AI866" s="34">
        <f>IF(AD866&lt;=MiscData!$B$23,MiscData!$C$23,IF(AD866&lt;=MiscData!$B$24,MiscData!$C$24,MiscData!$C$25))</f>
        <v>20140101</v>
      </c>
      <c r="AK866" s="439" t="str">
        <f>VLOOKUP(AM866,MiscData!$AB$4:$ACB$113,2,FALSE)</f>
        <v>KUUM_479</v>
      </c>
      <c r="AL866" s="439" t="str">
        <f>VLOOKUP(AM866,MiscData!$AB$4:$AE$115,4,FALSE)</f>
        <v>LS</v>
      </c>
      <c r="AM866" s="34">
        <f>IF(AM865=MiscData!$AB$91,1,AM865+1)</f>
        <v>73</v>
      </c>
    </row>
    <row r="867" spans="1:39">
      <c r="A867" s="389">
        <f t="shared" si="332"/>
        <v>866</v>
      </c>
      <c r="B867" s="395" t="str">
        <f t="shared" si="313"/>
        <v>Oct 2014</v>
      </c>
      <c r="C867" s="396" t="str">
        <f t="shared" si="314"/>
        <v>LS</v>
      </c>
      <c r="D867" s="396" t="str">
        <f t="shared" si="315"/>
        <v>KUUM_486</v>
      </c>
      <c r="E867" s="394">
        <f t="shared" si="316"/>
        <v>0</v>
      </c>
      <c r="F867" s="397">
        <v>0</v>
      </c>
      <c r="G867" s="394">
        <f t="shared" si="317"/>
        <v>0</v>
      </c>
      <c r="H867" s="394">
        <v>0</v>
      </c>
      <c r="I867" s="390">
        <f t="shared" si="318"/>
        <v>0</v>
      </c>
      <c r="J867" s="390">
        <f t="shared" si="319"/>
        <v>0</v>
      </c>
      <c r="K867" s="391">
        <f t="shared" si="333"/>
        <v>0</v>
      </c>
      <c r="L867" s="398">
        <v>0</v>
      </c>
      <c r="M867" s="398">
        <v>0</v>
      </c>
      <c r="N867" s="164">
        <f t="shared" si="312"/>
        <v>0</v>
      </c>
      <c r="O867" s="399">
        <f t="shared" si="320"/>
        <v>0</v>
      </c>
      <c r="P867" s="392">
        <f t="shared" si="334"/>
        <v>1</v>
      </c>
      <c r="Q867" s="164">
        <f t="shared" si="321"/>
        <v>0</v>
      </c>
      <c r="R867" s="164">
        <f t="shared" si="322"/>
        <v>0</v>
      </c>
      <c r="S867" s="164">
        <f t="shared" si="323"/>
        <v>0</v>
      </c>
      <c r="T867" s="164">
        <f t="shared" si="324"/>
        <v>0</v>
      </c>
      <c r="U867" s="164">
        <f t="shared" si="325"/>
        <v>0</v>
      </c>
      <c r="V867" s="393">
        <f t="shared" si="326"/>
        <v>0</v>
      </c>
      <c r="W867" s="393">
        <f t="shared" si="327"/>
        <v>0</v>
      </c>
      <c r="Y867" s="393">
        <f t="shared" si="330"/>
        <v>0</v>
      </c>
      <c r="Z867" s="393">
        <f t="shared" si="331"/>
        <v>0</v>
      </c>
      <c r="AD867" s="395">
        <f>IF(AH867&gt;AH866,AD866,IF(AD866&lt;MiscData!$F$1,EOMONTH(AD866,1),EOMONTH(AD866,-11)))</f>
        <v>41943</v>
      </c>
      <c r="AE867" s="389" t="str">
        <f t="shared" si="328"/>
        <v>20140101KUUM_486</v>
      </c>
      <c r="AF867" s="437" t="str">
        <f t="shared" si="329"/>
        <v>20140101LS</v>
      </c>
      <c r="AG867" s="438"/>
      <c r="AH867" s="34">
        <f>IF(AH866=MiscData!$AB$91,1,AH866+1)</f>
        <v>74</v>
      </c>
      <c r="AI867" s="34">
        <f>IF(AD867&lt;=MiscData!$B$23,MiscData!$C$23,IF(AD867&lt;=MiscData!$B$24,MiscData!$C$24,MiscData!$C$25))</f>
        <v>20140101</v>
      </c>
      <c r="AK867" s="439" t="str">
        <f>VLOOKUP(AM867,MiscData!$AB$4:$ACB$113,2,FALSE)</f>
        <v>KUUM_486</v>
      </c>
      <c r="AL867" s="439" t="str">
        <f>VLOOKUP(AM867,MiscData!$AB$4:$AE$115,4,FALSE)</f>
        <v>LS</v>
      </c>
      <c r="AM867" s="34">
        <f>IF(AM866=MiscData!$AB$91,1,AM866+1)</f>
        <v>74</v>
      </c>
    </row>
    <row r="868" spans="1:39">
      <c r="A868" s="389">
        <f t="shared" si="332"/>
        <v>867</v>
      </c>
      <c r="B868" s="395" t="str">
        <f t="shared" si="313"/>
        <v>Oct 2014</v>
      </c>
      <c r="C868" s="396" t="str">
        <f t="shared" si="314"/>
        <v>LS</v>
      </c>
      <c r="D868" s="396" t="str">
        <f t="shared" si="315"/>
        <v>KUUM_487</v>
      </c>
      <c r="E868" s="394">
        <f t="shared" si="316"/>
        <v>10672</v>
      </c>
      <c r="F868" s="397">
        <v>0</v>
      </c>
      <c r="G868" s="394">
        <f t="shared" si="317"/>
        <v>0</v>
      </c>
      <c r="H868" s="394">
        <v>0</v>
      </c>
      <c r="I868" s="390">
        <f t="shared" si="318"/>
        <v>9</v>
      </c>
      <c r="J868" s="390">
        <f t="shared" si="319"/>
        <v>1.1299999999999999</v>
      </c>
      <c r="K868" s="391">
        <f t="shared" si="333"/>
        <v>96048</v>
      </c>
      <c r="L868" s="398">
        <v>0</v>
      </c>
      <c r="M868" s="398">
        <v>0</v>
      </c>
      <c r="N868" s="164">
        <f t="shared" si="312"/>
        <v>96048</v>
      </c>
      <c r="O868" s="399">
        <f t="shared" si="320"/>
        <v>0</v>
      </c>
      <c r="P868" s="392">
        <f t="shared" si="334"/>
        <v>0</v>
      </c>
      <c r="Q868" s="164">
        <f t="shared" si="321"/>
        <v>0</v>
      </c>
      <c r="R868" s="164">
        <f t="shared" si="322"/>
        <v>0</v>
      </c>
      <c r="S868" s="164">
        <f t="shared" si="323"/>
        <v>0</v>
      </c>
      <c r="T868" s="164">
        <f t="shared" si="324"/>
        <v>0</v>
      </c>
      <c r="U868" s="164">
        <f t="shared" si="325"/>
        <v>0</v>
      </c>
      <c r="V868" s="393">
        <f t="shared" si="326"/>
        <v>96048</v>
      </c>
      <c r="W868" s="393">
        <f t="shared" si="327"/>
        <v>-96048</v>
      </c>
      <c r="Y868" s="393">
        <f t="shared" si="330"/>
        <v>12059.36</v>
      </c>
      <c r="Z868" s="393">
        <f t="shared" si="331"/>
        <v>-12059.36</v>
      </c>
      <c r="AD868" s="395">
        <f>IF(AH868&gt;AH867,AD867,IF(AD867&lt;MiscData!$F$1,EOMONTH(AD867,1),EOMONTH(AD867,-11)))</f>
        <v>41943</v>
      </c>
      <c r="AE868" s="389" t="str">
        <f t="shared" si="328"/>
        <v>20140101KUUM_487</v>
      </c>
      <c r="AF868" s="437" t="str">
        <f t="shared" si="329"/>
        <v>20140101LS</v>
      </c>
      <c r="AG868" s="438"/>
      <c r="AH868" s="34">
        <f>IF(AH867=MiscData!$AB$91,1,AH867+1)</f>
        <v>75</v>
      </c>
      <c r="AI868" s="34">
        <f>IF(AD868&lt;=MiscData!$B$23,MiscData!$C$23,IF(AD868&lt;=MiscData!$B$24,MiscData!$C$24,MiscData!$C$25))</f>
        <v>20140101</v>
      </c>
      <c r="AK868" s="439" t="str">
        <f>VLOOKUP(AM868,MiscData!$AB$4:$ACB$113,2,FALSE)</f>
        <v>KUUM_487</v>
      </c>
      <c r="AL868" s="439" t="str">
        <f>VLOOKUP(AM868,MiscData!$AB$4:$AE$115,4,FALSE)</f>
        <v>LS</v>
      </c>
      <c r="AM868" s="34">
        <f>IF(AM867=MiscData!$AB$91,1,AM867+1)</f>
        <v>75</v>
      </c>
    </row>
    <row r="869" spans="1:39">
      <c r="A869" s="389">
        <f t="shared" si="332"/>
        <v>868</v>
      </c>
      <c r="B869" s="395" t="str">
        <f t="shared" si="313"/>
        <v>Oct 2014</v>
      </c>
      <c r="C869" s="396" t="str">
        <f t="shared" si="314"/>
        <v>LS</v>
      </c>
      <c r="D869" s="396" t="str">
        <f t="shared" si="315"/>
        <v>KUUM_488</v>
      </c>
      <c r="E869" s="394">
        <f t="shared" si="316"/>
        <v>6331</v>
      </c>
      <c r="F869" s="397">
        <v>0</v>
      </c>
      <c r="G869" s="394">
        <f t="shared" si="317"/>
        <v>0</v>
      </c>
      <c r="H869" s="394">
        <v>0</v>
      </c>
      <c r="I869" s="390">
        <f t="shared" si="318"/>
        <v>13.639999999999999</v>
      </c>
      <c r="J869" s="390">
        <f t="shared" si="319"/>
        <v>2.33</v>
      </c>
      <c r="K869" s="391">
        <f t="shared" si="333"/>
        <v>86354.84</v>
      </c>
      <c r="L869" s="398">
        <v>0</v>
      </c>
      <c r="M869" s="398">
        <v>0</v>
      </c>
      <c r="N869" s="164">
        <f t="shared" si="312"/>
        <v>86354.84</v>
      </c>
      <c r="O869" s="399">
        <f t="shared" si="320"/>
        <v>0</v>
      </c>
      <c r="P869" s="392">
        <f t="shared" si="334"/>
        <v>0</v>
      </c>
      <c r="Q869" s="164">
        <f t="shared" si="321"/>
        <v>0</v>
      </c>
      <c r="R869" s="164">
        <f t="shared" si="322"/>
        <v>0</v>
      </c>
      <c r="S869" s="164">
        <f t="shared" si="323"/>
        <v>0</v>
      </c>
      <c r="T869" s="164">
        <f t="shared" si="324"/>
        <v>0</v>
      </c>
      <c r="U869" s="164">
        <f t="shared" si="325"/>
        <v>0</v>
      </c>
      <c r="V869" s="393">
        <f t="shared" si="326"/>
        <v>86354.84</v>
      </c>
      <c r="W869" s="393">
        <f t="shared" si="327"/>
        <v>-86354.84</v>
      </c>
      <c r="Y869" s="393">
        <f t="shared" si="330"/>
        <v>14751.23</v>
      </c>
      <c r="Z869" s="393">
        <f t="shared" si="331"/>
        <v>-14751.23</v>
      </c>
      <c r="AD869" s="395">
        <f>IF(AH869&gt;AH868,AD868,IF(AD868&lt;MiscData!$F$1,EOMONTH(AD868,1),EOMONTH(AD868,-11)))</f>
        <v>41943</v>
      </c>
      <c r="AE869" s="389" t="str">
        <f t="shared" si="328"/>
        <v>20140101KUUM_488</v>
      </c>
      <c r="AF869" s="437" t="str">
        <f t="shared" si="329"/>
        <v>20140101LS</v>
      </c>
      <c r="AG869" s="438"/>
      <c r="AH869" s="34">
        <f>IF(AH868=MiscData!$AB$91,1,AH868+1)</f>
        <v>76</v>
      </c>
      <c r="AI869" s="34">
        <f>IF(AD869&lt;=MiscData!$B$23,MiscData!$C$23,IF(AD869&lt;=MiscData!$B$24,MiscData!$C$24,MiscData!$C$25))</f>
        <v>20140101</v>
      </c>
      <c r="AK869" s="439" t="str">
        <f>VLOOKUP(AM869,MiscData!$AB$4:$ACB$113,2,FALSE)</f>
        <v>KUUM_488</v>
      </c>
      <c r="AL869" s="439" t="str">
        <f>VLOOKUP(AM869,MiscData!$AB$4:$AE$115,4,FALSE)</f>
        <v>LS</v>
      </c>
      <c r="AM869" s="34">
        <f>IF(AM868=MiscData!$AB$91,1,AM868+1)</f>
        <v>76</v>
      </c>
    </row>
    <row r="870" spans="1:39">
      <c r="A870" s="389">
        <f t="shared" si="332"/>
        <v>869</v>
      </c>
      <c r="B870" s="395" t="str">
        <f t="shared" si="313"/>
        <v>Oct 2014</v>
      </c>
      <c r="C870" s="396" t="str">
        <f t="shared" si="314"/>
        <v>LS</v>
      </c>
      <c r="D870" s="396" t="str">
        <f t="shared" si="315"/>
        <v>KUUM_489</v>
      </c>
      <c r="E870" s="394">
        <f t="shared" si="316"/>
        <v>8015</v>
      </c>
      <c r="F870" s="397">
        <v>0</v>
      </c>
      <c r="G870" s="394">
        <f t="shared" si="317"/>
        <v>0</v>
      </c>
      <c r="H870" s="394">
        <v>0</v>
      </c>
      <c r="I870" s="390">
        <f t="shared" si="318"/>
        <v>19.46</v>
      </c>
      <c r="J870" s="390">
        <f t="shared" si="319"/>
        <v>4.5300000000000011</v>
      </c>
      <c r="K870" s="391">
        <f t="shared" si="333"/>
        <v>155971.9</v>
      </c>
      <c r="L870" s="398">
        <v>0</v>
      </c>
      <c r="M870" s="398">
        <v>0</v>
      </c>
      <c r="N870" s="164">
        <f t="shared" si="312"/>
        <v>155971.9</v>
      </c>
      <c r="O870" s="399">
        <f t="shared" si="320"/>
        <v>0</v>
      </c>
      <c r="P870" s="392">
        <f t="shared" si="334"/>
        <v>0</v>
      </c>
      <c r="Q870" s="164">
        <f t="shared" si="321"/>
        <v>0</v>
      </c>
      <c r="R870" s="164">
        <f t="shared" si="322"/>
        <v>0</v>
      </c>
      <c r="S870" s="164">
        <f t="shared" si="323"/>
        <v>0</v>
      </c>
      <c r="T870" s="164">
        <f t="shared" si="324"/>
        <v>0</v>
      </c>
      <c r="U870" s="164">
        <f t="shared" si="325"/>
        <v>0</v>
      </c>
      <c r="V870" s="393">
        <f t="shared" si="326"/>
        <v>155971.9</v>
      </c>
      <c r="W870" s="393">
        <f t="shared" si="327"/>
        <v>-155971.9</v>
      </c>
      <c r="Y870" s="393">
        <f t="shared" si="330"/>
        <v>36307.949999999997</v>
      </c>
      <c r="Z870" s="393">
        <f t="shared" si="331"/>
        <v>-36307.949999999997</v>
      </c>
      <c r="AD870" s="395">
        <f>IF(AH870&gt;AH869,AD869,IF(AD869&lt;MiscData!$F$1,EOMONTH(AD869,1),EOMONTH(AD869,-11)))</f>
        <v>41943</v>
      </c>
      <c r="AE870" s="389" t="str">
        <f t="shared" si="328"/>
        <v>20140101KUUM_489</v>
      </c>
      <c r="AF870" s="437" t="str">
        <f t="shared" si="329"/>
        <v>20140101LS</v>
      </c>
      <c r="AG870" s="438"/>
      <c r="AH870" s="34">
        <f>IF(AH869=MiscData!$AB$91,1,AH869+1)</f>
        <v>77</v>
      </c>
      <c r="AI870" s="34">
        <f>IF(AD870&lt;=MiscData!$B$23,MiscData!$C$23,IF(AD870&lt;=MiscData!$B$24,MiscData!$C$24,MiscData!$C$25))</f>
        <v>20140101</v>
      </c>
      <c r="AK870" s="439" t="str">
        <f>VLOOKUP(AM870,MiscData!$AB$4:$ACB$113,2,FALSE)</f>
        <v>KUUM_489</v>
      </c>
      <c r="AL870" s="439" t="str">
        <f>VLOOKUP(AM870,MiscData!$AB$4:$AE$115,4,FALSE)</f>
        <v>LS</v>
      </c>
      <c r="AM870" s="34">
        <f>IF(AM869=MiscData!$AB$91,1,AM869+1)</f>
        <v>77</v>
      </c>
    </row>
    <row r="871" spans="1:39">
      <c r="A871" s="389">
        <f t="shared" si="332"/>
        <v>870</v>
      </c>
      <c r="B871" s="395" t="str">
        <f t="shared" si="313"/>
        <v>Oct 2014</v>
      </c>
      <c r="C871" s="396" t="str">
        <f t="shared" si="314"/>
        <v>LS</v>
      </c>
      <c r="D871" s="396" t="str">
        <f t="shared" si="315"/>
        <v>KUUM_490</v>
      </c>
      <c r="E871" s="394">
        <f t="shared" si="316"/>
        <v>56</v>
      </c>
      <c r="F871" s="397">
        <v>0</v>
      </c>
      <c r="G871" s="394">
        <f t="shared" si="317"/>
        <v>0</v>
      </c>
      <c r="H871" s="394">
        <v>0</v>
      </c>
      <c r="I871" s="390">
        <f t="shared" si="318"/>
        <v>15.47</v>
      </c>
      <c r="J871" s="390">
        <f t="shared" si="319"/>
        <v>1.9700000000000006</v>
      </c>
      <c r="K871" s="391">
        <f t="shared" si="333"/>
        <v>866.32</v>
      </c>
      <c r="L871" s="398">
        <v>0</v>
      </c>
      <c r="M871" s="398">
        <v>0</v>
      </c>
      <c r="N871" s="164">
        <f t="shared" si="312"/>
        <v>866.32</v>
      </c>
      <c r="O871" s="399">
        <f t="shared" si="320"/>
        <v>0</v>
      </c>
      <c r="P871" s="392">
        <f t="shared" si="334"/>
        <v>0</v>
      </c>
      <c r="Q871" s="164">
        <f t="shared" si="321"/>
        <v>0</v>
      </c>
      <c r="R871" s="164">
        <f t="shared" si="322"/>
        <v>0</v>
      </c>
      <c r="S871" s="164">
        <f t="shared" si="323"/>
        <v>0</v>
      </c>
      <c r="T871" s="164">
        <f t="shared" si="324"/>
        <v>0</v>
      </c>
      <c r="U871" s="164">
        <f t="shared" si="325"/>
        <v>0</v>
      </c>
      <c r="V871" s="393">
        <f t="shared" si="326"/>
        <v>866.32</v>
      </c>
      <c r="W871" s="393">
        <f t="shared" si="327"/>
        <v>-866.32</v>
      </c>
      <c r="Y871" s="393">
        <f t="shared" si="330"/>
        <v>110.32</v>
      </c>
      <c r="Z871" s="393">
        <f t="shared" si="331"/>
        <v>-110.32</v>
      </c>
      <c r="AD871" s="395">
        <f>IF(AH871&gt;AH870,AD870,IF(AD870&lt;MiscData!$F$1,EOMONTH(AD870,1),EOMONTH(AD870,-11)))</f>
        <v>41943</v>
      </c>
      <c r="AE871" s="389" t="str">
        <f t="shared" si="328"/>
        <v>20140101KUUM_490</v>
      </c>
      <c r="AF871" s="437" t="str">
        <f t="shared" si="329"/>
        <v>20140101LS</v>
      </c>
      <c r="AG871" s="438"/>
      <c r="AH871" s="34">
        <f>IF(AH870=MiscData!$AB$91,1,AH870+1)</f>
        <v>78</v>
      </c>
      <c r="AI871" s="34">
        <f>IF(AD871&lt;=MiscData!$B$23,MiscData!$C$23,IF(AD871&lt;=MiscData!$B$24,MiscData!$C$24,MiscData!$C$25))</f>
        <v>20140101</v>
      </c>
      <c r="AK871" s="439" t="str">
        <f>VLOOKUP(AM871,MiscData!$AB$4:$ACB$113,2,FALSE)</f>
        <v>KUUM_490</v>
      </c>
      <c r="AL871" s="439" t="str">
        <f>VLOOKUP(AM871,MiscData!$AB$4:$AE$115,4,FALSE)</f>
        <v>LS</v>
      </c>
      <c r="AM871" s="34">
        <f>IF(AM870=MiscData!$AB$91,1,AM870+1)</f>
        <v>78</v>
      </c>
    </row>
    <row r="872" spans="1:39">
      <c r="A872" s="389">
        <f t="shared" si="332"/>
        <v>871</v>
      </c>
      <c r="B872" s="395" t="str">
        <f t="shared" si="313"/>
        <v>Oct 2014</v>
      </c>
      <c r="C872" s="396" t="str">
        <f t="shared" si="314"/>
        <v>LS</v>
      </c>
      <c r="D872" s="396" t="str">
        <f t="shared" si="315"/>
        <v>KUUM_491</v>
      </c>
      <c r="E872" s="394">
        <f t="shared" si="316"/>
        <v>317</v>
      </c>
      <c r="F872" s="397">
        <v>0</v>
      </c>
      <c r="G872" s="394">
        <f t="shared" si="317"/>
        <v>0</v>
      </c>
      <c r="H872" s="394">
        <v>0</v>
      </c>
      <c r="I872" s="390">
        <f t="shared" si="318"/>
        <v>21.930000000000003</v>
      </c>
      <c r="J872" s="390">
        <f t="shared" si="319"/>
        <v>4.2900000000000027</v>
      </c>
      <c r="K872" s="391">
        <f t="shared" si="333"/>
        <v>6951.81</v>
      </c>
      <c r="L872" s="398">
        <v>0</v>
      </c>
      <c r="M872" s="398">
        <v>0</v>
      </c>
      <c r="N872" s="164">
        <f t="shared" si="312"/>
        <v>6951.81</v>
      </c>
      <c r="O872" s="399">
        <f t="shared" si="320"/>
        <v>0</v>
      </c>
      <c r="P872" s="392">
        <f t="shared" si="334"/>
        <v>0</v>
      </c>
      <c r="Q872" s="164">
        <f t="shared" si="321"/>
        <v>0</v>
      </c>
      <c r="R872" s="164">
        <f t="shared" si="322"/>
        <v>0</v>
      </c>
      <c r="S872" s="164">
        <f t="shared" si="323"/>
        <v>0</v>
      </c>
      <c r="T872" s="164">
        <f t="shared" si="324"/>
        <v>0</v>
      </c>
      <c r="U872" s="164">
        <f t="shared" si="325"/>
        <v>0</v>
      </c>
      <c r="V872" s="393">
        <f t="shared" si="326"/>
        <v>6951.81</v>
      </c>
      <c r="W872" s="393">
        <f t="shared" si="327"/>
        <v>-6951.81</v>
      </c>
      <c r="Y872" s="393">
        <f t="shared" si="330"/>
        <v>1359.93</v>
      </c>
      <c r="Z872" s="393">
        <f t="shared" si="331"/>
        <v>-1359.93</v>
      </c>
      <c r="AD872" s="395">
        <f>IF(AH872&gt;AH871,AD871,IF(AD871&lt;MiscData!$F$1,EOMONTH(AD871,1),EOMONTH(AD871,-11)))</f>
        <v>41943</v>
      </c>
      <c r="AE872" s="389" t="str">
        <f t="shared" si="328"/>
        <v>20140101KUUM_491</v>
      </c>
      <c r="AF872" s="437" t="str">
        <f t="shared" si="329"/>
        <v>20140101LS</v>
      </c>
      <c r="AG872" s="438"/>
      <c r="AH872" s="34">
        <f>IF(AH871=MiscData!$AB$91,1,AH871+1)</f>
        <v>79</v>
      </c>
      <c r="AI872" s="34">
        <f>IF(AD872&lt;=MiscData!$B$23,MiscData!$C$23,IF(AD872&lt;=MiscData!$B$24,MiscData!$C$24,MiscData!$C$25))</f>
        <v>20140101</v>
      </c>
      <c r="AK872" s="439" t="str">
        <f>VLOOKUP(AM872,MiscData!$AB$4:$ACB$113,2,FALSE)</f>
        <v>KUUM_491</v>
      </c>
      <c r="AL872" s="439" t="str">
        <f>VLOOKUP(AM872,MiscData!$AB$4:$AE$115,4,FALSE)</f>
        <v>LS</v>
      </c>
      <c r="AM872" s="34">
        <f>IF(AM871=MiscData!$AB$91,1,AM871+1)</f>
        <v>79</v>
      </c>
    </row>
    <row r="873" spans="1:39">
      <c r="A873" s="389">
        <f t="shared" si="332"/>
        <v>872</v>
      </c>
      <c r="B873" s="395" t="str">
        <f t="shared" si="313"/>
        <v>Oct 2014</v>
      </c>
      <c r="C873" s="396" t="str">
        <f t="shared" si="314"/>
        <v>LS</v>
      </c>
      <c r="D873" s="396" t="str">
        <f t="shared" si="315"/>
        <v>KUUM_492</v>
      </c>
      <c r="E873" s="394">
        <f t="shared" si="316"/>
        <v>2</v>
      </c>
      <c r="F873" s="397">
        <v>0</v>
      </c>
      <c r="G873" s="394">
        <f t="shared" si="317"/>
        <v>0</v>
      </c>
      <c r="H873" s="394">
        <v>0</v>
      </c>
      <c r="I873" s="390">
        <f t="shared" si="318"/>
        <v>15.370000000000001</v>
      </c>
      <c r="J873" s="390">
        <f t="shared" si="319"/>
        <v>0.80000000000000071</v>
      </c>
      <c r="K873" s="391">
        <f t="shared" si="333"/>
        <v>30.74</v>
      </c>
      <c r="L873" s="398">
        <v>0</v>
      </c>
      <c r="M873" s="398">
        <v>0</v>
      </c>
      <c r="N873" s="164">
        <f t="shared" si="312"/>
        <v>30.74</v>
      </c>
      <c r="O873" s="399">
        <f t="shared" si="320"/>
        <v>0</v>
      </c>
      <c r="P873" s="392">
        <f t="shared" si="334"/>
        <v>0</v>
      </c>
      <c r="Q873" s="164">
        <f t="shared" si="321"/>
        <v>0</v>
      </c>
      <c r="R873" s="164">
        <f t="shared" si="322"/>
        <v>0</v>
      </c>
      <c r="S873" s="164">
        <f t="shared" si="323"/>
        <v>0</v>
      </c>
      <c r="T873" s="164">
        <f t="shared" si="324"/>
        <v>0</v>
      </c>
      <c r="U873" s="164">
        <f t="shared" si="325"/>
        <v>0</v>
      </c>
      <c r="V873" s="393">
        <f t="shared" si="326"/>
        <v>30.74</v>
      </c>
      <c r="W873" s="393">
        <f t="shared" si="327"/>
        <v>-30.74</v>
      </c>
      <c r="Y873" s="393">
        <f t="shared" si="330"/>
        <v>1.6</v>
      </c>
      <c r="Z873" s="393">
        <f t="shared" si="331"/>
        <v>-1.6</v>
      </c>
      <c r="AD873" s="395">
        <f>IF(AH873&gt;AH872,AD872,IF(AD872&lt;MiscData!$F$1,EOMONTH(AD872,1),EOMONTH(AD872,-11)))</f>
        <v>41943</v>
      </c>
      <c r="AE873" s="389" t="str">
        <f t="shared" si="328"/>
        <v>20140101KUUM_492</v>
      </c>
      <c r="AF873" s="437" t="str">
        <f t="shared" si="329"/>
        <v>20140101LS</v>
      </c>
      <c r="AG873" s="438"/>
      <c r="AH873" s="34">
        <f>IF(AH872=MiscData!$AB$91,1,AH872+1)</f>
        <v>80</v>
      </c>
      <c r="AI873" s="34">
        <f>IF(AD873&lt;=MiscData!$B$23,MiscData!$C$23,IF(AD873&lt;=MiscData!$B$24,MiscData!$C$24,MiscData!$C$25))</f>
        <v>20140101</v>
      </c>
      <c r="AK873" s="439" t="str">
        <f>VLOOKUP(AM873,MiscData!$AB$4:$ACB$113,2,FALSE)</f>
        <v>KUUM_492</v>
      </c>
      <c r="AL873" s="439" t="str">
        <f>VLOOKUP(AM873,MiscData!$AB$4:$AE$115,4,FALSE)</f>
        <v>LS</v>
      </c>
      <c r="AM873" s="34">
        <f>IF(AM872=MiscData!$AB$91,1,AM872+1)</f>
        <v>80</v>
      </c>
    </row>
    <row r="874" spans="1:39">
      <c r="A874" s="389">
        <f t="shared" si="332"/>
        <v>873</v>
      </c>
      <c r="B874" s="395" t="str">
        <f t="shared" si="313"/>
        <v>Oct 2014</v>
      </c>
      <c r="C874" s="396" t="str">
        <f t="shared" si="314"/>
        <v>LS</v>
      </c>
      <c r="D874" s="396" t="str">
        <f t="shared" si="315"/>
        <v>KUUM_493</v>
      </c>
      <c r="E874" s="394">
        <f t="shared" si="316"/>
        <v>47</v>
      </c>
      <c r="F874" s="397">
        <v>0</v>
      </c>
      <c r="G874" s="394">
        <f t="shared" si="317"/>
        <v>0</v>
      </c>
      <c r="H874" s="394">
        <v>0</v>
      </c>
      <c r="I874" s="390">
        <f t="shared" si="318"/>
        <v>45.7</v>
      </c>
      <c r="J874" s="390">
        <f t="shared" si="319"/>
        <v>10.409999999999997</v>
      </c>
      <c r="K874" s="391">
        <f t="shared" si="333"/>
        <v>2147.9</v>
      </c>
      <c r="L874" s="398">
        <v>0</v>
      </c>
      <c r="M874" s="398">
        <v>0</v>
      </c>
      <c r="N874" s="164">
        <f t="shared" si="312"/>
        <v>2147.9</v>
      </c>
      <c r="O874" s="399">
        <f t="shared" si="320"/>
        <v>0</v>
      </c>
      <c r="P874" s="392">
        <f t="shared" si="334"/>
        <v>0</v>
      </c>
      <c r="Q874" s="164">
        <f t="shared" si="321"/>
        <v>0</v>
      </c>
      <c r="R874" s="164">
        <f t="shared" si="322"/>
        <v>0</v>
      </c>
      <c r="S874" s="164">
        <f t="shared" si="323"/>
        <v>0</v>
      </c>
      <c r="T874" s="164">
        <f t="shared" si="324"/>
        <v>0</v>
      </c>
      <c r="U874" s="164">
        <f t="shared" si="325"/>
        <v>0</v>
      </c>
      <c r="V874" s="393">
        <f t="shared" si="326"/>
        <v>2147.9</v>
      </c>
      <c r="W874" s="393">
        <f t="shared" si="327"/>
        <v>-2147.9</v>
      </c>
      <c r="Y874" s="393">
        <f t="shared" si="330"/>
        <v>489.27</v>
      </c>
      <c r="Z874" s="393">
        <f t="shared" si="331"/>
        <v>-489.27</v>
      </c>
      <c r="AD874" s="395">
        <f>IF(AH874&gt;AH873,AD873,IF(AD873&lt;MiscData!$F$1,EOMONTH(AD873,1),EOMONTH(AD873,-11)))</f>
        <v>41943</v>
      </c>
      <c r="AE874" s="389" t="str">
        <f t="shared" si="328"/>
        <v>20140101KUUM_493</v>
      </c>
      <c r="AF874" s="437" t="str">
        <f t="shared" si="329"/>
        <v>20140101LS</v>
      </c>
      <c r="AG874" s="438"/>
      <c r="AH874" s="34">
        <f>IF(AH873=MiscData!$AB$91,1,AH873+1)</f>
        <v>81</v>
      </c>
      <c r="AI874" s="34">
        <f>IF(AD874&lt;=MiscData!$B$23,MiscData!$C$23,IF(AD874&lt;=MiscData!$B$24,MiscData!$C$24,MiscData!$C$25))</f>
        <v>20140101</v>
      </c>
      <c r="AK874" s="439" t="str">
        <f>VLOOKUP(AM874,MiscData!$AB$4:$ACB$113,2,FALSE)</f>
        <v>KUUM_493</v>
      </c>
      <c r="AL874" s="439" t="str">
        <f>VLOOKUP(AM874,MiscData!$AB$4:$AE$115,4,FALSE)</f>
        <v>LS</v>
      </c>
      <c r="AM874" s="34">
        <f>IF(AM873=MiscData!$AB$91,1,AM873+1)</f>
        <v>81</v>
      </c>
    </row>
    <row r="875" spans="1:39">
      <c r="A875" s="389">
        <f t="shared" si="332"/>
        <v>874</v>
      </c>
      <c r="B875" s="395" t="str">
        <f t="shared" si="313"/>
        <v>Oct 2014</v>
      </c>
      <c r="C875" s="396" t="str">
        <f t="shared" si="314"/>
        <v>LS</v>
      </c>
      <c r="D875" s="396" t="str">
        <f t="shared" si="315"/>
        <v>KUUM_494</v>
      </c>
      <c r="E875" s="394">
        <f t="shared" si="316"/>
        <v>191</v>
      </c>
      <c r="F875" s="397">
        <v>0</v>
      </c>
      <c r="G875" s="394">
        <f t="shared" si="317"/>
        <v>0</v>
      </c>
      <c r="H875" s="394">
        <v>0</v>
      </c>
      <c r="I875" s="390">
        <f t="shared" si="318"/>
        <v>28.37</v>
      </c>
      <c r="J875" s="390">
        <f t="shared" si="319"/>
        <v>1.9699999999999989</v>
      </c>
      <c r="K875" s="391">
        <f t="shared" si="333"/>
        <v>5418.67</v>
      </c>
      <c r="L875" s="398">
        <v>0</v>
      </c>
      <c r="M875" s="398">
        <v>0</v>
      </c>
      <c r="N875" s="164">
        <f t="shared" si="312"/>
        <v>5418.67</v>
      </c>
      <c r="O875" s="399">
        <f t="shared" si="320"/>
        <v>0</v>
      </c>
      <c r="P875" s="392">
        <f t="shared" si="334"/>
        <v>0</v>
      </c>
      <c r="Q875" s="164">
        <f t="shared" si="321"/>
        <v>0</v>
      </c>
      <c r="R875" s="164">
        <f t="shared" si="322"/>
        <v>0</v>
      </c>
      <c r="S875" s="164">
        <f>SUMIFS(_SBR_ECR,_SBR_Revenue_Month,$B875,_SBR_Rate_Category,$D875)</f>
        <v>0</v>
      </c>
      <c r="T875" s="164">
        <f t="shared" si="324"/>
        <v>0</v>
      </c>
      <c r="U875" s="164">
        <f t="shared" si="325"/>
        <v>0</v>
      </c>
      <c r="V875" s="393">
        <f t="shared" si="326"/>
        <v>5418.67</v>
      </c>
      <c r="W875" s="393">
        <f t="shared" si="327"/>
        <v>-5418.67</v>
      </c>
      <c r="Y875" s="393">
        <f t="shared" si="330"/>
        <v>376.27</v>
      </c>
      <c r="Z875" s="393">
        <f t="shared" si="331"/>
        <v>-376.27</v>
      </c>
      <c r="AD875" s="395">
        <f>IF(AH875&gt;AH874,AD874,IF(AD874&lt;MiscData!$F$1,EOMONTH(AD874,1),EOMONTH(AD874,-11)))</f>
        <v>41943</v>
      </c>
      <c r="AE875" s="389" t="str">
        <f t="shared" si="328"/>
        <v>20140101KUUM_494</v>
      </c>
      <c r="AF875" s="437" t="str">
        <f t="shared" si="329"/>
        <v>20140101LS</v>
      </c>
      <c r="AG875" s="438"/>
      <c r="AH875" s="34">
        <f>IF(AH874=MiscData!$AB$91,1,AH874+1)</f>
        <v>82</v>
      </c>
      <c r="AI875" s="34">
        <f>IF(AD875&lt;=MiscData!$B$23,MiscData!$C$23,IF(AD875&lt;=MiscData!$B$24,MiscData!$C$24,MiscData!$C$25))</f>
        <v>20140101</v>
      </c>
      <c r="AK875" s="439" t="str">
        <f>VLOOKUP(AM875,MiscData!$AB$4:$ACB$113,2,FALSE)</f>
        <v>KUUM_494</v>
      </c>
      <c r="AL875" s="439" t="str">
        <f>VLOOKUP(AM875,MiscData!$AB$4:$AE$115,4,FALSE)</f>
        <v>LS</v>
      </c>
      <c r="AM875" s="34">
        <f>IF(AM874=MiscData!$AB$91,1,AM874+1)</f>
        <v>82</v>
      </c>
    </row>
    <row r="876" spans="1:39">
      <c r="A876" s="389">
        <f t="shared" si="332"/>
        <v>875</v>
      </c>
      <c r="B876" s="395" t="str">
        <f t="shared" si="313"/>
        <v>Oct 2014</v>
      </c>
      <c r="C876" s="396" t="str">
        <f t="shared" si="314"/>
        <v>LS</v>
      </c>
      <c r="D876" s="396" t="str">
        <f t="shared" si="315"/>
        <v>KUUM_495</v>
      </c>
      <c r="E876" s="394">
        <f t="shared" si="316"/>
        <v>624</v>
      </c>
      <c r="F876" s="397">
        <v>0</v>
      </c>
      <c r="G876" s="394">
        <f t="shared" si="317"/>
        <v>0</v>
      </c>
      <c r="H876" s="394">
        <v>0</v>
      </c>
      <c r="I876" s="390">
        <f t="shared" si="318"/>
        <v>34.830000000000005</v>
      </c>
      <c r="J876" s="390">
        <f t="shared" si="319"/>
        <v>4.2899999999999991</v>
      </c>
      <c r="K876" s="391">
        <f t="shared" si="333"/>
        <v>21733.919999999998</v>
      </c>
      <c r="L876" s="398">
        <v>0</v>
      </c>
      <c r="M876" s="398">
        <v>0</v>
      </c>
      <c r="N876" s="164">
        <f t="shared" si="312"/>
        <v>21733.919999999998</v>
      </c>
      <c r="O876" s="399">
        <f t="shared" si="320"/>
        <v>0</v>
      </c>
      <c r="P876" s="392">
        <f t="shared" si="334"/>
        <v>0</v>
      </c>
      <c r="Q876" s="164">
        <f t="shared" si="321"/>
        <v>0</v>
      </c>
      <c r="R876" s="164">
        <f t="shared" si="322"/>
        <v>0</v>
      </c>
      <c r="S876" s="164">
        <f t="shared" si="323"/>
        <v>0</v>
      </c>
      <c r="T876" s="164">
        <f t="shared" si="324"/>
        <v>0</v>
      </c>
      <c r="U876" s="164">
        <f t="shared" si="325"/>
        <v>0</v>
      </c>
      <c r="V876" s="393">
        <f t="shared" si="326"/>
        <v>21733.919999999998</v>
      </c>
      <c r="W876" s="393">
        <f t="shared" si="327"/>
        <v>-21733.919999999998</v>
      </c>
      <c r="Y876" s="393">
        <f t="shared" si="330"/>
        <v>2676.96</v>
      </c>
      <c r="Z876" s="393">
        <f t="shared" si="331"/>
        <v>-2676.96</v>
      </c>
      <c r="AD876" s="395">
        <f>IF(AH876&gt;AH875,AD875,IF(AD875&lt;MiscData!$F$1,EOMONTH(AD875,1),EOMONTH(AD875,-11)))</f>
        <v>41943</v>
      </c>
      <c r="AE876" s="389" t="str">
        <f t="shared" si="328"/>
        <v>20140101KUUM_495</v>
      </c>
      <c r="AF876" s="437" t="str">
        <f t="shared" si="329"/>
        <v>20140101LS</v>
      </c>
      <c r="AG876" s="438"/>
      <c r="AH876" s="34">
        <f>IF(AH875=MiscData!$AB$91,1,AH875+1)</f>
        <v>83</v>
      </c>
      <c r="AI876" s="34">
        <f>IF(AD876&lt;=MiscData!$B$23,MiscData!$C$23,IF(AD876&lt;=MiscData!$B$24,MiscData!$C$24,MiscData!$C$25))</f>
        <v>20140101</v>
      </c>
      <c r="AK876" s="439" t="str">
        <f>VLOOKUP(AM876,MiscData!$AB$4:$ACB$113,2,FALSE)</f>
        <v>KUUM_495</v>
      </c>
      <c r="AL876" s="439" t="str">
        <f>VLOOKUP(AM876,MiscData!$AB$4:$AE$115,4,FALSE)</f>
        <v>LS</v>
      </c>
      <c r="AM876" s="34">
        <f>IF(AM875=MiscData!$AB$91,1,AM875+1)</f>
        <v>83</v>
      </c>
    </row>
    <row r="877" spans="1:39">
      <c r="A877" s="389">
        <f t="shared" si="332"/>
        <v>876</v>
      </c>
      <c r="B877" s="395" t="str">
        <f t="shared" si="313"/>
        <v>Oct 2014</v>
      </c>
      <c r="C877" s="396" t="str">
        <f t="shared" si="314"/>
        <v>LS</v>
      </c>
      <c r="D877" s="396" t="str">
        <f t="shared" si="315"/>
        <v>KUUM_496</v>
      </c>
      <c r="E877" s="394">
        <f t="shared" si="316"/>
        <v>159</v>
      </c>
      <c r="F877" s="397">
        <v>0</v>
      </c>
      <c r="G877" s="394">
        <f t="shared" si="317"/>
        <v>0</v>
      </c>
      <c r="H877" s="394">
        <v>0</v>
      </c>
      <c r="I877" s="390">
        <f t="shared" si="318"/>
        <v>58.59</v>
      </c>
      <c r="J877" s="390">
        <f t="shared" si="319"/>
        <v>10.409999999999997</v>
      </c>
      <c r="K877" s="391">
        <f t="shared" si="333"/>
        <v>9315.81</v>
      </c>
      <c r="L877" s="398">
        <v>0</v>
      </c>
      <c r="M877" s="398">
        <v>0</v>
      </c>
      <c r="N877" s="164">
        <f t="shared" si="312"/>
        <v>9315.81</v>
      </c>
      <c r="O877" s="399">
        <f t="shared" si="320"/>
        <v>0</v>
      </c>
      <c r="P877" s="392">
        <f t="shared" si="334"/>
        <v>0</v>
      </c>
      <c r="Q877" s="164">
        <f t="shared" si="321"/>
        <v>0</v>
      </c>
      <c r="R877" s="164">
        <f t="shared" si="322"/>
        <v>0</v>
      </c>
      <c r="S877" s="164">
        <f t="shared" si="323"/>
        <v>0</v>
      </c>
      <c r="T877" s="164">
        <f t="shared" si="324"/>
        <v>0</v>
      </c>
      <c r="U877" s="164">
        <f t="shared" si="325"/>
        <v>0</v>
      </c>
      <c r="V877" s="393">
        <f t="shared" si="326"/>
        <v>9315.81</v>
      </c>
      <c r="W877" s="393">
        <f t="shared" si="327"/>
        <v>-9315.81</v>
      </c>
      <c r="Y877" s="393">
        <f t="shared" si="330"/>
        <v>1655.19</v>
      </c>
      <c r="Z877" s="393">
        <f t="shared" si="331"/>
        <v>-1655.19</v>
      </c>
      <c r="AD877" s="395">
        <f>IF(AH877&gt;AH876,AD876,IF(AD876&lt;MiscData!$F$1,EOMONTH(AD876,1),EOMONTH(AD876,-11)))</f>
        <v>41943</v>
      </c>
      <c r="AE877" s="389" t="str">
        <f t="shared" si="328"/>
        <v>20140101KUUM_496</v>
      </c>
      <c r="AF877" s="437" t="str">
        <f t="shared" si="329"/>
        <v>20140101LS</v>
      </c>
      <c r="AG877" s="438"/>
      <c r="AH877" s="34">
        <f>IF(AH876=MiscData!$AB$91,1,AH876+1)</f>
        <v>84</v>
      </c>
      <c r="AI877" s="34">
        <f>IF(AD877&lt;=MiscData!$B$23,MiscData!$C$23,IF(AD877&lt;=MiscData!$B$24,MiscData!$C$24,MiscData!$C$25))</f>
        <v>20140101</v>
      </c>
      <c r="AK877" s="439" t="str">
        <f>VLOOKUP(AM877,MiscData!$AB$4:$ACB$113,2,FALSE)</f>
        <v>KUUM_496</v>
      </c>
      <c r="AL877" s="439" t="str">
        <f>VLOOKUP(AM877,MiscData!$AB$4:$AE$115,4,FALSE)</f>
        <v>LS</v>
      </c>
      <c r="AM877" s="34">
        <f>IF(AM876=MiscData!$AB$91,1,AM876+1)</f>
        <v>84</v>
      </c>
    </row>
    <row r="878" spans="1:39">
      <c r="A878" s="389">
        <f t="shared" si="332"/>
        <v>877</v>
      </c>
      <c r="B878" s="395" t="str">
        <f t="shared" si="313"/>
        <v>Oct 2014</v>
      </c>
      <c r="C878" s="396" t="str">
        <f t="shared" si="314"/>
        <v>LS</v>
      </c>
      <c r="D878" s="396" t="str">
        <f t="shared" si="315"/>
        <v>KUUM_497</v>
      </c>
      <c r="E878" s="394">
        <f t="shared" si="316"/>
        <v>7</v>
      </c>
      <c r="F878" s="397">
        <v>0</v>
      </c>
      <c r="G878" s="394">
        <f t="shared" si="317"/>
        <v>0</v>
      </c>
      <c r="H878" s="394">
        <v>0</v>
      </c>
      <c r="I878" s="390">
        <f t="shared" si="318"/>
        <v>15.35</v>
      </c>
      <c r="J878" s="390">
        <f t="shared" si="319"/>
        <v>1.1300000000000008</v>
      </c>
      <c r="K878" s="391">
        <f t="shared" si="333"/>
        <v>107.45</v>
      </c>
      <c r="L878" s="398">
        <v>0</v>
      </c>
      <c r="M878" s="398">
        <v>0</v>
      </c>
      <c r="N878" s="164">
        <f t="shared" si="312"/>
        <v>107.45</v>
      </c>
      <c r="O878" s="399">
        <f t="shared" si="320"/>
        <v>0</v>
      </c>
      <c r="P878" s="392">
        <f t="shared" si="334"/>
        <v>0</v>
      </c>
      <c r="Q878" s="164">
        <f t="shared" si="321"/>
        <v>0</v>
      </c>
      <c r="R878" s="164">
        <f t="shared" si="322"/>
        <v>0</v>
      </c>
      <c r="S878" s="164">
        <f t="shared" si="323"/>
        <v>0</v>
      </c>
      <c r="T878" s="164">
        <f t="shared" si="324"/>
        <v>0</v>
      </c>
      <c r="U878" s="164">
        <f t="shared" si="325"/>
        <v>0</v>
      </c>
      <c r="V878" s="393">
        <f t="shared" si="326"/>
        <v>107.45</v>
      </c>
      <c r="W878" s="393">
        <f t="shared" si="327"/>
        <v>-107.45</v>
      </c>
      <c r="Y878" s="393">
        <f t="shared" si="330"/>
        <v>7.91</v>
      </c>
      <c r="Z878" s="393">
        <f t="shared" si="331"/>
        <v>-7.91</v>
      </c>
      <c r="AD878" s="395">
        <f>IF(AH878&gt;AH877,AD877,IF(AD877&lt;MiscData!$F$1,EOMONTH(AD877,1),EOMONTH(AD877,-11)))</f>
        <v>41943</v>
      </c>
      <c r="AE878" s="389" t="str">
        <f t="shared" si="328"/>
        <v>20140101KUUM_497</v>
      </c>
      <c r="AF878" s="437" t="str">
        <f t="shared" si="329"/>
        <v>20140101LS</v>
      </c>
      <c r="AG878" s="438"/>
      <c r="AH878" s="34">
        <f>IF(AH877=MiscData!$AB$91,1,AH877+1)</f>
        <v>85</v>
      </c>
      <c r="AI878" s="34">
        <f>IF(AD878&lt;=MiscData!$B$23,MiscData!$C$23,IF(AD878&lt;=MiscData!$B$24,MiscData!$C$24,MiscData!$C$25))</f>
        <v>20140101</v>
      </c>
      <c r="AK878" s="439" t="str">
        <f>VLOOKUP(AM878,MiscData!$AB$4:$ACB$113,2,FALSE)</f>
        <v>KUUM_497</v>
      </c>
      <c r="AL878" s="439" t="str">
        <f>VLOOKUP(AM878,MiscData!$AB$4:$AE$115,4,FALSE)</f>
        <v>LS</v>
      </c>
      <c r="AM878" s="34">
        <f>IF(AM877=MiscData!$AB$91,1,AM877+1)</f>
        <v>85</v>
      </c>
    </row>
    <row r="879" spans="1:39">
      <c r="A879" s="389">
        <f t="shared" si="332"/>
        <v>878</v>
      </c>
      <c r="B879" s="395" t="str">
        <f t="shared" si="313"/>
        <v>Oct 2014</v>
      </c>
      <c r="C879" s="396" t="str">
        <f t="shared" si="314"/>
        <v>LS</v>
      </c>
      <c r="D879" s="396" t="str">
        <f t="shared" si="315"/>
        <v>KUUM_498</v>
      </c>
      <c r="E879" s="394">
        <f t="shared" si="316"/>
        <v>20</v>
      </c>
      <c r="F879" s="397">
        <v>0</v>
      </c>
      <c r="G879" s="394">
        <f t="shared" si="317"/>
        <v>0</v>
      </c>
      <c r="H879" s="394">
        <v>0</v>
      </c>
      <c r="I879" s="390">
        <f t="shared" si="318"/>
        <v>17.72</v>
      </c>
      <c r="J879" s="390">
        <f t="shared" si="319"/>
        <v>2.33</v>
      </c>
      <c r="K879" s="391">
        <f t="shared" si="333"/>
        <v>354.4</v>
      </c>
      <c r="L879" s="398">
        <v>0</v>
      </c>
      <c r="M879" s="398">
        <v>0</v>
      </c>
      <c r="N879" s="164">
        <f t="shared" si="312"/>
        <v>354.4</v>
      </c>
      <c r="O879" s="399">
        <f t="shared" si="320"/>
        <v>0</v>
      </c>
      <c r="P879" s="392">
        <f t="shared" si="334"/>
        <v>0</v>
      </c>
      <c r="Q879" s="164">
        <f t="shared" si="321"/>
        <v>0</v>
      </c>
      <c r="R879" s="164">
        <f t="shared" si="322"/>
        <v>0</v>
      </c>
      <c r="S879" s="164">
        <f t="shared" si="323"/>
        <v>0</v>
      </c>
      <c r="T879" s="164">
        <f t="shared" si="324"/>
        <v>0</v>
      </c>
      <c r="U879" s="164">
        <f t="shared" si="325"/>
        <v>0</v>
      </c>
      <c r="V879" s="393">
        <f t="shared" si="326"/>
        <v>354.4</v>
      </c>
      <c r="W879" s="393">
        <f t="shared" si="327"/>
        <v>-354.4</v>
      </c>
      <c r="Y879" s="393">
        <f t="shared" si="330"/>
        <v>46.6</v>
      </c>
      <c r="Z879" s="393">
        <f t="shared" si="331"/>
        <v>-46.6</v>
      </c>
      <c r="AD879" s="395">
        <f>IF(AH879&gt;AH878,AD878,IF(AD878&lt;MiscData!$F$1,EOMONTH(AD878,1),EOMONTH(AD878,-11)))</f>
        <v>41943</v>
      </c>
      <c r="AE879" s="389" t="str">
        <f t="shared" si="328"/>
        <v>20140101KUUM_498</v>
      </c>
      <c r="AF879" s="437" t="str">
        <f t="shared" si="329"/>
        <v>20140101LS</v>
      </c>
      <c r="AG879" s="438"/>
      <c r="AH879" s="34">
        <f>IF(AH878=MiscData!$AB$91,1,AH878+1)</f>
        <v>86</v>
      </c>
      <c r="AI879" s="34">
        <f>IF(AD879&lt;=MiscData!$B$23,MiscData!$C$23,IF(AD879&lt;=MiscData!$B$24,MiscData!$C$24,MiscData!$C$25))</f>
        <v>20140101</v>
      </c>
      <c r="AK879" s="439" t="str">
        <f>VLOOKUP(AM879,MiscData!$AB$4:$ACB$113,2,FALSE)</f>
        <v>KUUM_498</v>
      </c>
      <c r="AL879" s="439" t="str">
        <f>VLOOKUP(AM879,MiscData!$AB$4:$AE$115,4,FALSE)</f>
        <v>LS</v>
      </c>
      <c r="AM879" s="34">
        <f>IF(AM878=MiscData!$AB$91,1,AM878+1)</f>
        <v>86</v>
      </c>
    </row>
    <row r="880" spans="1:39">
      <c r="A880" s="389">
        <f t="shared" si="332"/>
        <v>879</v>
      </c>
      <c r="B880" s="395" t="str">
        <f t="shared" si="313"/>
        <v>Oct 2014</v>
      </c>
      <c r="C880" s="396" t="str">
        <f t="shared" si="314"/>
        <v>LS</v>
      </c>
      <c r="D880" s="396" t="str">
        <f t="shared" si="315"/>
        <v>KUUM_499</v>
      </c>
      <c r="E880" s="394">
        <f t="shared" si="316"/>
        <v>22</v>
      </c>
      <c r="F880" s="397">
        <v>0</v>
      </c>
      <c r="G880" s="394">
        <f t="shared" si="317"/>
        <v>0</v>
      </c>
      <c r="H880" s="394">
        <v>0</v>
      </c>
      <c r="I880" s="390">
        <f t="shared" si="318"/>
        <v>21.490000000000002</v>
      </c>
      <c r="J880" s="390">
        <f t="shared" si="319"/>
        <v>4.5300000000000011</v>
      </c>
      <c r="K880" s="391">
        <f t="shared" si="333"/>
        <v>472.78</v>
      </c>
      <c r="L880" s="398">
        <v>0</v>
      </c>
      <c r="M880" s="398">
        <v>0</v>
      </c>
      <c r="N880" s="164">
        <f t="shared" si="312"/>
        <v>472.78</v>
      </c>
      <c r="O880" s="399">
        <f t="shared" si="320"/>
        <v>0</v>
      </c>
      <c r="P880" s="392">
        <f t="shared" si="334"/>
        <v>0</v>
      </c>
      <c r="Q880" s="164">
        <f t="shared" si="321"/>
        <v>0</v>
      </c>
      <c r="R880" s="164">
        <f t="shared" si="322"/>
        <v>0</v>
      </c>
      <c r="S880" s="164">
        <f t="shared" si="323"/>
        <v>0</v>
      </c>
      <c r="T880" s="164">
        <f t="shared" si="324"/>
        <v>0</v>
      </c>
      <c r="U880" s="164">
        <f t="shared" si="325"/>
        <v>0</v>
      </c>
      <c r="V880" s="393">
        <f t="shared" si="326"/>
        <v>472.78</v>
      </c>
      <c r="W880" s="393">
        <f t="shared" si="327"/>
        <v>-472.78</v>
      </c>
      <c r="Y880" s="393">
        <f t="shared" si="330"/>
        <v>99.66</v>
      </c>
      <c r="Z880" s="393">
        <f t="shared" si="331"/>
        <v>-99.66</v>
      </c>
      <c r="AD880" s="395">
        <f>IF(AH880&gt;AH879,AD879,IF(AD879&lt;MiscData!$F$1,EOMONTH(AD879,1),EOMONTH(AD879,-11)))</f>
        <v>41943</v>
      </c>
      <c r="AE880" s="389" t="str">
        <f t="shared" si="328"/>
        <v>20140101KUUM_499</v>
      </c>
      <c r="AF880" s="437" t="str">
        <f t="shared" si="329"/>
        <v>20140101LS</v>
      </c>
      <c r="AG880" s="438"/>
      <c r="AH880" s="34">
        <f>IF(AH879=MiscData!$AB$91,1,AH879+1)</f>
        <v>87</v>
      </c>
      <c r="AI880" s="34">
        <f>IF(AD880&lt;=MiscData!$B$23,MiscData!$C$23,IF(AD880&lt;=MiscData!$B$24,MiscData!$C$24,MiscData!$C$25))</f>
        <v>20140101</v>
      </c>
      <c r="AK880" s="439" t="str">
        <f>VLOOKUP(AM880,MiscData!$AB$4:$ACB$113,2,FALSE)</f>
        <v>KUUM_499</v>
      </c>
      <c r="AL880" s="439" t="str">
        <f>VLOOKUP(AM880,MiscData!$AB$4:$AE$115,4,FALSE)</f>
        <v>LS</v>
      </c>
      <c r="AM880" s="34">
        <f>IF(AM879=MiscData!$AB$91,1,AM879+1)</f>
        <v>87</v>
      </c>
    </row>
    <row r="881" spans="1:39">
      <c r="A881" s="389">
        <f t="shared" si="332"/>
        <v>880</v>
      </c>
      <c r="B881" s="395" t="str">
        <f t="shared" si="313"/>
        <v>Oct 2014</v>
      </c>
      <c r="C881" s="396" t="str">
        <f t="shared" si="314"/>
        <v>ODL</v>
      </c>
      <c r="D881" s="396" t="str">
        <f t="shared" si="315"/>
        <v>ODL</v>
      </c>
      <c r="E881" s="394">
        <f t="shared" si="316"/>
        <v>0</v>
      </c>
      <c r="F881" s="397">
        <v>0</v>
      </c>
      <c r="G881" s="394">
        <f t="shared" si="317"/>
        <v>10491976</v>
      </c>
      <c r="H881" s="394">
        <v>0</v>
      </c>
      <c r="I881" s="390">
        <f t="shared" si="318"/>
        <v>0</v>
      </c>
      <c r="J881" s="390">
        <f t="shared" si="319"/>
        <v>0</v>
      </c>
      <c r="K881" s="391">
        <f t="shared" si="333"/>
        <v>0</v>
      </c>
      <c r="L881" s="398">
        <v>0</v>
      </c>
      <c r="M881" s="398">
        <v>0</v>
      </c>
      <c r="N881" s="164">
        <f t="shared" si="312"/>
        <v>0</v>
      </c>
      <c r="O881" s="399">
        <f t="shared" si="320"/>
        <v>2082944.25</v>
      </c>
      <c r="P881" s="392">
        <f t="shared" si="334"/>
        <v>0</v>
      </c>
      <c r="Q881" s="164">
        <f t="shared" si="321"/>
        <v>8074</v>
      </c>
      <c r="R881" s="164">
        <f t="shared" si="322"/>
        <v>0</v>
      </c>
      <c r="S881" s="164">
        <f t="shared" si="323"/>
        <v>39285</v>
      </c>
      <c r="T881" s="164">
        <f t="shared" si="324"/>
        <v>0</v>
      </c>
      <c r="U881" s="164">
        <f t="shared" si="325"/>
        <v>2130303.25</v>
      </c>
      <c r="V881" s="393">
        <f t="shared" si="326"/>
        <v>47359</v>
      </c>
      <c r="W881" s="393">
        <f t="shared" si="327"/>
        <v>2082944.25</v>
      </c>
      <c r="Y881" s="393">
        <f t="shared" si="330"/>
        <v>0</v>
      </c>
      <c r="Z881" s="393">
        <f t="shared" si="331"/>
        <v>2082944.25</v>
      </c>
      <c r="AD881" s="395">
        <f>IF(AH881&gt;AH880,AD880,IF(AD880&lt;MiscData!$F$1,EOMONTH(AD880,1),EOMONTH(AD880,-11)))</f>
        <v>41943</v>
      </c>
      <c r="AE881" s="389" t="str">
        <f t="shared" si="328"/>
        <v>20140101ODL</v>
      </c>
      <c r="AF881" s="437" t="str">
        <f t="shared" si="329"/>
        <v>20140101ODL</v>
      </c>
      <c r="AG881" s="438"/>
      <c r="AH881" s="34">
        <f>IF(AH880=MiscData!$AB$91,1,AH880+1)</f>
        <v>88</v>
      </c>
      <c r="AI881" s="34">
        <f>IF(AD881&lt;=MiscData!$B$23,MiscData!$C$23,IF(AD881&lt;=MiscData!$B$24,MiscData!$C$24,MiscData!$C$25))</f>
        <v>20140101</v>
      </c>
      <c r="AK881" s="439" t="str">
        <f>VLOOKUP(AM881,MiscData!$AB$4:$ACB$113,2,FALSE)</f>
        <v>ODL</v>
      </c>
      <c r="AL881" s="439" t="str">
        <f>VLOOKUP(AM881,MiscData!$AB$4:$AE$115,4,FALSE)</f>
        <v>ODL</v>
      </c>
      <c r="AM881" s="34">
        <f>IF(AM880=MiscData!$AB$91,1,AM880+1)</f>
        <v>88</v>
      </c>
    </row>
    <row r="882" spans="1:39">
      <c r="A882" s="389">
        <f t="shared" si="332"/>
        <v>881</v>
      </c>
      <c r="B882" s="395" t="str">
        <f t="shared" si="313"/>
        <v>Nov 2014</v>
      </c>
      <c r="C882" s="396" t="str">
        <f t="shared" si="314"/>
        <v>LS</v>
      </c>
      <c r="D882" s="396" t="str">
        <f t="shared" si="315"/>
        <v>KUUM_300</v>
      </c>
      <c r="E882" s="394">
        <f t="shared" si="316"/>
        <v>0</v>
      </c>
      <c r="F882" s="397">
        <v>0</v>
      </c>
      <c r="G882" s="394">
        <f t="shared" si="317"/>
        <v>0</v>
      </c>
      <c r="H882" s="394">
        <v>0</v>
      </c>
      <c r="I882" s="390">
        <f t="shared" si="318"/>
        <v>22.49</v>
      </c>
      <c r="J882" s="390">
        <f t="shared" si="319"/>
        <v>0.58000000000000185</v>
      </c>
      <c r="K882" s="391">
        <f t="shared" si="333"/>
        <v>0</v>
      </c>
      <c r="L882" s="398">
        <v>0</v>
      </c>
      <c r="M882" s="398">
        <v>0</v>
      </c>
      <c r="N882" s="164">
        <f t="shared" si="312"/>
        <v>0</v>
      </c>
      <c r="O882" s="399">
        <f t="shared" si="320"/>
        <v>0</v>
      </c>
      <c r="P882" s="392">
        <f t="shared" si="334"/>
        <v>1</v>
      </c>
      <c r="Q882" s="164">
        <f t="shared" si="321"/>
        <v>0</v>
      </c>
      <c r="R882" s="164">
        <f t="shared" si="322"/>
        <v>0</v>
      </c>
      <c r="S882" s="164">
        <f t="shared" si="323"/>
        <v>0</v>
      </c>
      <c r="T882" s="164">
        <f t="shared" si="324"/>
        <v>0</v>
      </c>
      <c r="U882" s="164">
        <f t="shared" si="325"/>
        <v>0</v>
      </c>
      <c r="V882" s="393">
        <f t="shared" si="326"/>
        <v>0</v>
      </c>
      <c r="W882" s="393">
        <f t="shared" si="327"/>
        <v>0</v>
      </c>
      <c r="Y882" s="393">
        <f t="shared" si="330"/>
        <v>0</v>
      </c>
      <c r="Z882" s="393">
        <f t="shared" si="331"/>
        <v>0</v>
      </c>
      <c r="AD882" s="395">
        <f>IF(AH882&gt;AH881,AD881,IF(AD881&lt;MiscData!$F$1,EOMONTH(AD881,1),EOMONTH(AD881,-11)))</f>
        <v>41973</v>
      </c>
      <c r="AE882" s="389" t="str">
        <f t="shared" si="328"/>
        <v>20140101KUUM_300</v>
      </c>
      <c r="AF882" s="437" t="str">
        <f t="shared" si="329"/>
        <v>20140101LS</v>
      </c>
      <c r="AG882" s="438"/>
      <c r="AH882" s="34">
        <f>IF(AH881=MiscData!$AB$91,1,AH881+1)</f>
        <v>1</v>
      </c>
      <c r="AI882" s="34">
        <f>IF(AD882&lt;=MiscData!$B$23,MiscData!$C$23,IF(AD882&lt;=MiscData!$B$24,MiscData!$C$24,MiscData!$C$25))</f>
        <v>20140101</v>
      </c>
      <c r="AK882" s="439" t="str">
        <f>VLOOKUP(AM882,MiscData!$AB$4:$ACB$113,2,FALSE)</f>
        <v>KUUM_300</v>
      </c>
      <c r="AL882" s="439" t="str">
        <f>VLOOKUP(AM882,MiscData!$AB$4:$AE$115,4,FALSE)</f>
        <v>LS</v>
      </c>
      <c r="AM882" s="34">
        <f>IF(AM881=MiscData!$AB$91,1,AM881+1)</f>
        <v>1</v>
      </c>
    </row>
    <row r="883" spans="1:39">
      <c r="A883" s="389">
        <f t="shared" si="332"/>
        <v>882</v>
      </c>
      <c r="B883" s="395" t="str">
        <f t="shared" si="313"/>
        <v>Nov 2014</v>
      </c>
      <c r="C883" s="396" t="str">
        <f t="shared" si="314"/>
        <v>LS</v>
      </c>
      <c r="D883" s="396" t="str">
        <f t="shared" si="315"/>
        <v>KUUM_301</v>
      </c>
      <c r="E883" s="394">
        <f t="shared" si="316"/>
        <v>0</v>
      </c>
      <c r="F883" s="397">
        <v>0</v>
      </c>
      <c r="G883" s="394">
        <f t="shared" si="317"/>
        <v>0</v>
      </c>
      <c r="H883" s="394">
        <v>0</v>
      </c>
      <c r="I883" s="390">
        <f t="shared" si="318"/>
        <v>23.5</v>
      </c>
      <c r="J883" s="390">
        <f t="shared" si="319"/>
        <v>1.129999999999999</v>
      </c>
      <c r="K883" s="391">
        <f t="shared" si="333"/>
        <v>0</v>
      </c>
      <c r="L883" s="398">
        <v>0</v>
      </c>
      <c r="M883" s="398">
        <v>0</v>
      </c>
      <c r="N883" s="164">
        <f t="shared" si="312"/>
        <v>0</v>
      </c>
      <c r="O883" s="399">
        <f t="shared" si="320"/>
        <v>0</v>
      </c>
      <c r="P883" s="392">
        <f t="shared" si="334"/>
        <v>1</v>
      </c>
      <c r="Q883" s="164">
        <f t="shared" si="321"/>
        <v>0</v>
      </c>
      <c r="R883" s="164">
        <f t="shared" si="322"/>
        <v>0</v>
      </c>
      <c r="S883" s="164">
        <f t="shared" si="323"/>
        <v>0</v>
      </c>
      <c r="T883" s="164">
        <f t="shared" si="324"/>
        <v>0</v>
      </c>
      <c r="U883" s="164">
        <f t="shared" si="325"/>
        <v>0</v>
      </c>
      <c r="V883" s="393">
        <f t="shared" si="326"/>
        <v>0</v>
      </c>
      <c r="W883" s="393">
        <f t="shared" si="327"/>
        <v>0</v>
      </c>
      <c r="Y883" s="393">
        <f t="shared" si="330"/>
        <v>0</v>
      </c>
      <c r="Z883" s="393">
        <f t="shared" si="331"/>
        <v>0</v>
      </c>
      <c r="AD883" s="395">
        <f>IF(AH883&gt;AH882,AD882,IF(AD882&lt;MiscData!$F$1,EOMONTH(AD882,1),EOMONTH(AD882,-11)))</f>
        <v>41973</v>
      </c>
      <c r="AE883" s="389" t="str">
        <f t="shared" si="328"/>
        <v>20140101KUUM_301</v>
      </c>
      <c r="AF883" s="437" t="str">
        <f t="shared" si="329"/>
        <v>20140101LS</v>
      </c>
      <c r="AG883" s="438"/>
      <c r="AH883" s="34">
        <f>IF(AH882=MiscData!$AB$91,1,AH882+1)</f>
        <v>2</v>
      </c>
      <c r="AI883" s="34">
        <f>IF(AD883&lt;=MiscData!$B$23,MiscData!$C$23,IF(AD883&lt;=MiscData!$B$24,MiscData!$C$24,MiscData!$C$25))</f>
        <v>20140101</v>
      </c>
      <c r="AK883" s="439" t="str">
        <f>VLOOKUP(AM883,MiscData!$AB$4:$ACB$113,2,FALSE)</f>
        <v>KUUM_301</v>
      </c>
      <c r="AL883" s="439" t="str">
        <f>VLOOKUP(AM883,MiscData!$AB$4:$AE$115,4,FALSE)</f>
        <v>LS</v>
      </c>
      <c r="AM883" s="34">
        <f>IF(AM882=MiscData!$AB$91,1,AM882+1)</f>
        <v>2</v>
      </c>
    </row>
    <row r="884" spans="1:39">
      <c r="A884" s="389">
        <f t="shared" si="332"/>
        <v>883</v>
      </c>
      <c r="B884" s="395" t="str">
        <f t="shared" si="313"/>
        <v>Nov 2014</v>
      </c>
      <c r="C884" s="396" t="str">
        <f t="shared" si="314"/>
        <v>LS</v>
      </c>
      <c r="D884" s="396" t="str">
        <f t="shared" si="315"/>
        <v>KUUM_360</v>
      </c>
      <c r="E884" s="394">
        <f t="shared" si="316"/>
        <v>172</v>
      </c>
      <c r="F884" s="397">
        <v>0</v>
      </c>
      <c r="G884" s="394">
        <f t="shared" si="317"/>
        <v>0</v>
      </c>
      <c r="H884" s="394">
        <v>0</v>
      </c>
      <c r="I884" s="390">
        <f t="shared" si="318"/>
        <v>55.33</v>
      </c>
      <c r="J884" s="390">
        <f t="shared" si="319"/>
        <v>1.75</v>
      </c>
      <c r="K884" s="391">
        <f t="shared" si="333"/>
        <v>9516.76</v>
      </c>
      <c r="L884" s="398">
        <v>0</v>
      </c>
      <c r="M884" s="398">
        <v>0</v>
      </c>
      <c r="N884" s="164">
        <f t="shared" si="312"/>
        <v>9516.76</v>
      </c>
      <c r="O884" s="399">
        <f t="shared" si="320"/>
        <v>0</v>
      </c>
      <c r="P884" s="392">
        <f t="shared" si="334"/>
        <v>0</v>
      </c>
      <c r="Q884" s="164">
        <f t="shared" si="321"/>
        <v>0</v>
      </c>
      <c r="R884" s="164">
        <f t="shared" si="322"/>
        <v>0</v>
      </c>
      <c r="S884" s="164">
        <f t="shared" si="323"/>
        <v>0</v>
      </c>
      <c r="T884" s="164">
        <f t="shared" si="324"/>
        <v>0</v>
      </c>
      <c r="U884" s="164">
        <f t="shared" si="325"/>
        <v>0</v>
      </c>
      <c r="V884" s="393">
        <f t="shared" si="326"/>
        <v>9516.76</v>
      </c>
      <c r="W884" s="393">
        <f t="shared" si="327"/>
        <v>-9516.76</v>
      </c>
      <c r="Y884" s="393">
        <f t="shared" si="330"/>
        <v>301</v>
      </c>
      <c r="Z884" s="393">
        <f t="shared" si="331"/>
        <v>-301</v>
      </c>
      <c r="AD884" s="395">
        <f>IF(AH884&gt;AH883,AD883,IF(AD883&lt;MiscData!$F$1,EOMONTH(AD883,1),EOMONTH(AD883,-11)))</f>
        <v>41973</v>
      </c>
      <c r="AE884" s="389" t="str">
        <f t="shared" si="328"/>
        <v>20140101KUUM_360</v>
      </c>
      <c r="AF884" s="437" t="str">
        <f t="shared" si="329"/>
        <v>20140101LS</v>
      </c>
      <c r="AG884" s="438"/>
      <c r="AH884" s="34">
        <f>IF(AH883=MiscData!$AB$91,1,AH883+1)</f>
        <v>3</v>
      </c>
      <c r="AI884" s="34">
        <f>IF(AD884&lt;=MiscData!$B$23,MiscData!$C$23,IF(AD884&lt;=MiscData!$B$24,MiscData!$C$24,MiscData!$C$25))</f>
        <v>20140101</v>
      </c>
      <c r="AK884" s="439" t="str">
        <f>VLOOKUP(AM884,MiscData!$AB$4:$ACB$113,2,FALSE)</f>
        <v>KUUM_360</v>
      </c>
      <c r="AL884" s="439" t="str">
        <f>VLOOKUP(AM884,MiscData!$AB$4:$AE$115,4,FALSE)</f>
        <v>LS</v>
      </c>
      <c r="AM884" s="34">
        <f>IF(AM883=MiscData!$AB$91,1,AM883+1)</f>
        <v>3</v>
      </c>
    </row>
    <row r="885" spans="1:39">
      <c r="A885" s="389">
        <f t="shared" si="332"/>
        <v>884</v>
      </c>
      <c r="B885" s="395" t="str">
        <f t="shared" si="313"/>
        <v>Nov 2014</v>
      </c>
      <c r="C885" s="396" t="str">
        <f t="shared" si="314"/>
        <v>LS</v>
      </c>
      <c r="D885" s="396" t="str">
        <f t="shared" si="315"/>
        <v>KUUM_361</v>
      </c>
      <c r="E885" s="394">
        <f t="shared" si="316"/>
        <v>26</v>
      </c>
      <c r="F885" s="397">
        <v>0</v>
      </c>
      <c r="G885" s="394">
        <f t="shared" si="317"/>
        <v>0</v>
      </c>
      <c r="H885" s="394">
        <v>0</v>
      </c>
      <c r="I885" s="390">
        <f t="shared" si="318"/>
        <v>83.16</v>
      </c>
      <c r="J885" s="390">
        <f t="shared" si="319"/>
        <v>1.75</v>
      </c>
      <c r="K885" s="391">
        <f t="shared" si="333"/>
        <v>2162.16</v>
      </c>
      <c r="L885" s="398">
        <v>0</v>
      </c>
      <c r="M885" s="398">
        <v>0</v>
      </c>
      <c r="N885" s="164">
        <f t="shared" si="312"/>
        <v>2162.16</v>
      </c>
      <c r="O885" s="399">
        <f t="shared" si="320"/>
        <v>0</v>
      </c>
      <c r="P885" s="392">
        <f t="shared" si="334"/>
        <v>0</v>
      </c>
      <c r="Q885" s="164">
        <f t="shared" si="321"/>
        <v>0</v>
      </c>
      <c r="R885" s="164">
        <f t="shared" si="322"/>
        <v>0</v>
      </c>
      <c r="S885" s="164">
        <f t="shared" si="323"/>
        <v>0</v>
      </c>
      <c r="T885" s="164">
        <f t="shared" si="324"/>
        <v>0</v>
      </c>
      <c r="U885" s="164">
        <f t="shared" si="325"/>
        <v>0</v>
      </c>
      <c r="V885" s="393">
        <f t="shared" si="326"/>
        <v>2162.16</v>
      </c>
      <c r="W885" s="393">
        <f t="shared" si="327"/>
        <v>-2162.16</v>
      </c>
      <c r="Y885" s="393">
        <f t="shared" si="330"/>
        <v>45.5</v>
      </c>
      <c r="Z885" s="393">
        <f t="shared" si="331"/>
        <v>-45.5</v>
      </c>
      <c r="AD885" s="395">
        <f>IF(AH885&gt;AH884,AD884,IF(AD884&lt;MiscData!$F$1,EOMONTH(AD884,1),EOMONTH(AD884,-11)))</f>
        <v>41973</v>
      </c>
      <c r="AE885" s="389" t="str">
        <f t="shared" si="328"/>
        <v>20140101KUUM_361</v>
      </c>
      <c r="AF885" s="437" t="str">
        <f t="shared" si="329"/>
        <v>20140101LS</v>
      </c>
      <c r="AG885" s="438"/>
      <c r="AH885" s="34">
        <f>IF(AH884=MiscData!$AB$91,1,AH884+1)</f>
        <v>4</v>
      </c>
      <c r="AI885" s="34">
        <f>IF(AD885&lt;=MiscData!$B$23,MiscData!$C$23,IF(AD885&lt;=MiscData!$B$24,MiscData!$C$24,MiscData!$C$25))</f>
        <v>20140101</v>
      </c>
      <c r="AK885" s="439" t="str">
        <f>VLOOKUP(AM885,MiscData!$AB$4:$ACB$113,2,FALSE)</f>
        <v>KUUM_361</v>
      </c>
      <c r="AL885" s="439" t="str">
        <f>VLOOKUP(AM885,MiscData!$AB$4:$AE$115,4,FALSE)</f>
        <v>LS</v>
      </c>
      <c r="AM885" s="34">
        <f>IF(AM884=MiscData!$AB$91,1,AM884+1)</f>
        <v>4</v>
      </c>
    </row>
    <row r="886" spans="1:39">
      <c r="A886" s="389">
        <f t="shared" si="332"/>
        <v>885</v>
      </c>
      <c r="B886" s="395" t="str">
        <f t="shared" si="313"/>
        <v>Nov 2014</v>
      </c>
      <c r="C886" s="396" t="str">
        <f t="shared" si="314"/>
        <v>LS</v>
      </c>
      <c r="D886" s="396" t="str">
        <f t="shared" si="315"/>
        <v>KUUM_362</v>
      </c>
      <c r="E886" s="394">
        <f t="shared" si="316"/>
        <v>44</v>
      </c>
      <c r="F886" s="397">
        <v>0</v>
      </c>
      <c r="G886" s="394">
        <f t="shared" si="317"/>
        <v>0</v>
      </c>
      <c r="H886" s="394">
        <v>0</v>
      </c>
      <c r="I886" s="390">
        <f t="shared" si="318"/>
        <v>59.78</v>
      </c>
      <c r="J886" s="390">
        <f t="shared" si="319"/>
        <v>1.75</v>
      </c>
      <c r="K886" s="391">
        <f t="shared" si="333"/>
        <v>2630.32</v>
      </c>
      <c r="L886" s="398">
        <v>0</v>
      </c>
      <c r="M886" s="398">
        <v>0</v>
      </c>
      <c r="N886" s="164">
        <f t="shared" si="312"/>
        <v>2630.32</v>
      </c>
      <c r="O886" s="399">
        <f t="shared" si="320"/>
        <v>0</v>
      </c>
      <c r="P886" s="392">
        <f t="shared" si="334"/>
        <v>0</v>
      </c>
      <c r="Q886" s="164">
        <f t="shared" si="321"/>
        <v>0</v>
      </c>
      <c r="R886" s="164">
        <f t="shared" si="322"/>
        <v>0</v>
      </c>
      <c r="S886" s="164">
        <f t="shared" si="323"/>
        <v>0</v>
      </c>
      <c r="T886" s="164">
        <f t="shared" si="324"/>
        <v>0</v>
      </c>
      <c r="U886" s="164">
        <f t="shared" si="325"/>
        <v>0</v>
      </c>
      <c r="V886" s="393">
        <f t="shared" si="326"/>
        <v>2630.32</v>
      </c>
      <c r="W886" s="393">
        <f t="shared" si="327"/>
        <v>-2630.32</v>
      </c>
      <c r="Y886" s="393">
        <f t="shared" si="330"/>
        <v>77</v>
      </c>
      <c r="Z886" s="393">
        <f t="shared" si="331"/>
        <v>-77</v>
      </c>
      <c r="AD886" s="395">
        <f>IF(AH886&gt;AH885,AD885,IF(AD885&lt;MiscData!$F$1,EOMONTH(AD885,1),EOMONTH(AD885,-11)))</f>
        <v>41973</v>
      </c>
      <c r="AE886" s="389" t="str">
        <f t="shared" si="328"/>
        <v>20140101KUUM_362</v>
      </c>
      <c r="AF886" s="437" t="str">
        <f t="shared" si="329"/>
        <v>20140101LS</v>
      </c>
      <c r="AG886" s="438"/>
      <c r="AH886" s="34">
        <f>IF(AH885=MiscData!$AB$91,1,AH885+1)</f>
        <v>5</v>
      </c>
      <c r="AI886" s="34">
        <f>IF(AD886&lt;=MiscData!$B$23,MiscData!$C$23,IF(AD886&lt;=MiscData!$B$24,MiscData!$C$24,MiscData!$C$25))</f>
        <v>20140101</v>
      </c>
      <c r="AK886" s="439" t="str">
        <f>VLOOKUP(AM886,MiscData!$AB$4:$ACB$113,2,FALSE)</f>
        <v>KUUM_362</v>
      </c>
      <c r="AL886" s="439" t="str">
        <f>VLOOKUP(AM886,MiscData!$AB$4:$AE$115,4,FALSE)</f>
        <v>LS</v>
      </c>
      <c r="AM886" s="34">
        <f>IF(AM885=MiscData!$AB$91,1,AM885+1)</f>
        <v>5</v>
      </c>
    </row>
    <row r="887" spans="1:39">
      <c r="A887" s="389">
        <f t="shared" si="332"/>
        <v>886</v>
      </c>
      <c r="B887" s="395" t="str">
        <f t="shared" si="313"/>
        <v>Nov 2014</v>
      </c>
      <c r="C887" s="396" t="str">
        <f t="shared" si="314"/>
        <v>LS</v>
      </c>
      <c r="D887" s="396" t="str">
        <f t="shared" si="315"/>
        <v>KUUM_363</v>
      </c>
      <c r="E887" s="394">
        <f t="shared" si="316"/>
        <v>5</v>
      </c>
      <c r="F887" s="397">
        <v>0</v>
      </c>
      <c r="G887" s="394">
        <f t="shared" si="317"/>
        <v>0</v>
      </c>
      <c r="H887" s="394">
        <v>0</v>
      </c>
      <c r="I887" s="390">
        <f t="shared" si="318"/>
        <v>61.75</v>
      </c>
      <c r="J887" s="390">
        <f t="shared" si="319"/>
        <v>1.75</v>
      </c>
      <c r="K887" s="391">
        <f t="shared" si="333"/>
        <v>308.75</v>
      </c>
      <c r="L887" s="398">
        <v>0</v>
      </c>
      <c r="M887" s="398">
        <v>0</v>
      </c>
      <c r="N887" s="164">
        <f t="shared" si="312"/>
        <v>308.75</v>
      </c>
      <c r="O887" s="399">
        <f t="shared" si="320"/>
        <v>0</v>
      </c>
      <c r="P887" s="392">
        <f t="shared" si="334"/>
        <v>0</v>
      </c>
      <c r="Q887" s="164">
        <f t="shared" si="321"/>
        <v>0</v>
      </c>
      <c r="R887" s="164">
        <f t="shared" si="322"/>
        <v>0</v>
      </c>
      <c r="S887" s="164">
        <f t="shared" si="323"/>
        <v>0</v>
      </c>
      <c r="T887" s="164">
        <f t="shared" si="324"/>
        <v>0</v>
      </c>
      <c r="U887" s="164">
        <f t="shared" si="325"/>
        <v>0</v>
      </c>
      <c r="V887" s="393">
        <f t="shared" si="326"/>
        <v>308.75</v>
      </c>
      <c r="W887" s="393">
        <f t="shared" si="327"/>
        <v>-308.75</v>
      </c>
      <c r="Y887" s="393">
        <f t="shared" si="330"/>
        <v>8.75</v>
      </c>
      <c r="Z887" s="393">
        <f t="shared" si="331"/>
        <v>-8.75</v>
      </c>
      <c r="AD887" s="395">
        <f>IF(AH887&gt;AH886,AD886,IF(AD886&lt;MiscData!$F$1,EOMONTH(AD886,1),EOMONTH(AD886,-11)))</f>
        <v>41973</v>
      </c>
      <c r="AE887" s="389" t="str">
        <f t="shared" si="328"/>
        <v>20140101KUUM_363</v>
      </c>
      <c r="AF887" s="437" t="str">
        <f t="shared" si="329"/>
        <v>20140101LS</v>
      </c>
      <c r="AG887" s="438"/>
      <c r="AH887" s="34">
        <f>IF(AH886=MiscData!$AB$91,1,AH886+1)</f>
        <v>6</v>
      </c>
      <c r="AI887" s="34">
        <f>IF(AD887&lt;=MiscData!$B$23,MiscData!$C$23,IF(AD887&lt;=MiscData!$B$24,MiscData!$C$24,MiscData!$C$25))</f>
        <v>20140101</v>
      </c>
      <c r="AK887" s="439" t="str">
        <f>VLOOKUP(AM887,MiscData!$AB$4:$ACB$113,2,FALSE)</f>
        <v>KUUM_363</v>
      </c>
      <c r="AL887" s="439" t="str">
        <f>VLOOKUP(AM887,MiscData!$AB$4:$AE$115,4,FALSE)</f>
        <v>LS</v>
      </c>
      <c r="AM887" s="34">
        <f>IF(AM886=MiscData!$AB$91,1,AM886+1)</f>
        <v>6</v>
      </c>
    </row>
    <row r="888" spans="1:39">
      <c r="A888" s="389">
        <f t="shared" si="332"/>
        <v>887</v>
      </c>
      <c r="B888" s="395" t="str">
        <f t="shared" si="313"/>
        <v>Nov 2014</v>
      </c>
      <c r="C888" s="396" t="str">
        <f t="shared" si="314"/>
        <v>LS</v>
      </c>
      <c r="D888" s="396" t="str">
        <f t="shared" si="315"/>
        <v>KUUM_364</v>
      </c>
      <c r="E888" s="394">
        <f t="shared" si="316"/>
        <v>1</v>
      </c>
      <c r="F888" s="397">
        <v>0</v>
      </c>
      <c r="G888" s="394">
        <f t="shared" si="317"/>
        <v>0</v>
      </c>
      <c r="H888" s="394">
        <v>0</v>
      </c>
      <c r="I888" s="390">
        <f t="shared" si="318"/>
        <v>63.11</v>
      </c>
      <c r="J888" s="390">
        <f t="shared" si="319"/>
        <v>1.75</v>
      </c>
      <c r="K888" s="391">
        <f t="shared" si="333"/>
        <v>63.11</v>
      </c>
      <c r="L888" s="398">
        <v>0</v>
      </c>
      <c r="M888" s="398">
        <v>0</v>
      </c>
      <c r="N888" s="164">
        <f t="shared" ref="N888:N951" si="335">SUM(K888:M888)</f>
        <v>63.11</v>
      </c>
      <c r="O888" s="399">
        <f t="shared" si="320"/>
        <v>0</v>
      </c>
      <c r="P888" s="392">
        <f t="shared" si="334"/>
        <v>0</v>
      </c>
      <c r="Q888" s="164">
        <f t="shared" si="321"/>
        <v>0</v>
      </c>
      <c r="R888" s="164">
        <f t="shared" si="322"/>
        <v>0</v>
      </c>
      <c r="S888" s="164">
        <f t="shared" si="323"/>
        <v>0</v>
      </c>
      <c r="T888" s="164">
        <f t="shared" si="324"/>
        <v>0</v>
      </c>
      <c r="U888" s="164">
        <f t="shared" si="325"/>
        <v>0</v>
      </c>
      <c r="V888" s="393">
        <f t="shared" si="326"/>
        <v>63.11</v>
      </c>
      <c r="W888" s="393">
        <f t="shared" si="327"/>
        <v>-63.11</v>
      </c>
      <c r="Y888" s="393">
        <f t="shared" si="330"/>
        <v>1.75</v>
      </c>
      <c r="Z888" s="393">
        <f t="shared" si="331"/>
        <v>-1.75</v>
      </c>
      <c r="AD888" s="395">
        <f>IF(AH888&gt;AH887,AD887,IF(AD887&lt;MiscData!$F$1,EOMONTH(AD887,1),EOMONTH(AD887,-11)))</f>
        <v>41973</v>
      </c>
      <c r="AE888" s="389" t="str">
        <f t="shared" si="328"/>
        <v>20140101KUUM_364</v>
      </c>
      <c r="AF888" s="437" t="str">
        <f t="shared" si="329"/>
        <v>20140101LS</v>
      </c>
      <c r="AG888" s="438"/>
      <c r="AH888" s="34">
        <f>IF(AH887=MiscData!$AB$91,1,AH887+1)</f>
        <v>7</v>
      </c>
      <c r="AI888" s="34">
        <f>IF(AD888&lt;=MiscData!$B$23,MiscData!$C$23,IF(AD888&lt;=MiscData!$B$24,MiscData!$C$24,MiscData!$C$25))</f>
        <v>20140101</v>
      </c>
      <c r="AK888" s="439" t="str">
        <f>VLOOKUP(AM888,MiscData!$AB$4:$ACB$113,2,FALSE)</f>
        <v>KUUM_364</v>
      </c>
      <c r="AL888" s="439" t="str">
        <f>VLOOKUP(AM888,MiscData!$AB$4:$AE$115,4,FALSE)</f>
        <v>LS</v>
      </c>
      <c r="AM888" s="34">
        <f>IF(AM887=MiscData!$AB$91,1,AM887+1)</f>
        <v>7</v>
      </c>
    </row>
    <row r="889" spans="1:39">
      <c r="A889" s="389">
        <f t="shared" si="332"/>
        <v>888</v>
      </c>
      <c r="B889" s="395" t="str">
        <f t="shared" si="313"/>
        <v>Nov 2014</v>
      </c>
      <c r="C889" s="396" t="str">
        <f t="shared" si="314"/>
        <v>LS</v>
      </c>
      <c r="D889" s="396" t="str">
        <f t="shared" si="315"/>
        <v>KUUM_365</v>
      </c>
      <c r="E889" s="394">
        <f t="shared" si="316"/>
        <v>5</v>
      </c>
      <c r="F889" s="397">
        <v>0</v>
      </c>
      <c r="G889" s="394">
        <f t="shared" ref="G889:G952" si="336">SUMIFS(_SBR_KWH,_SBR_Revenue_Month,$B889,_SBR_Rate_Category,$D889)</f>
        <v>0</v>
      </c>
      <c r="H889" s="394">
        <v>0</v>
      </c>
      <c r="I889" s="390">
        <f t="shared" si="318"/>
        <v>80.94</v>
      </c>
      <c r="J889" s="390">
        <f t="shared" si="319"/>
        <v>1.75</v>
      </c>
      <c r="K889" s="391">
        <f t="shared" si="333"/>
        <v>404.7</v>
      </c>
      <c r="L889" s="398">
        <v>0</v>
      </c>
      <c r="M889" s="398">
        <v>0</v>
      </c>
      <c r="N889" s="164">
        <f t="shared" si="335"/>
        <v>404.7</v>
      </c>
      <c r="O889" s="399">
        <f t="shared" si="320"/>
        <v>0</v>
      </c>
      <c r="P889" s="392">
        <f t="shared" si="334"/>
        <v>0</v>
      </c>
      <c r="Q889" s="164">
        <f t="shared" si="321"/>
        <v>0</v>
      </c>
      <c r="R889" s="164">
        <f t="shared" si="322"/>
        <v>0</v>
      </c>
      <c r="S889" s="164">
        <f t="shared" si="323"/>
        <v>0</v>
      </c>
      <c r="T889" s="164">
        <f t="shared" si="324"/>
        <v>0</v>
      </c>
      <c r="U889" s="164">
        <f t="shared" si="325"/>
        <v>0</v>
      </c>
      <c r="V889" s="393">
        <f t="shared" si="326"/>
        <v>404.7</v>
      </c>
      <c r="W889" s="393">
        <f t="shared" si="327"/>
        <v>-404.7</v>
      </c>
      <c r="Y889" s="393">
        <f t="shared" si="330"/>
        <v>8.75</v>
      </c>
      <c r="Z889" s="393">
        <f t="shared" si="331"/>
        <v>-8.75</v>
      </c>
      <c r="AD889" s="395">
        <f>IF(AH889&gt;AH888,AD888,IF(AD888&lt;MiscData!$F$1,EOMONTH(AD888,1),EOMONTH(AD888,-11)))</f>
        <v>41973</v>
      </c>
      <c r="AE889" s="389" t="str">
        <f t="shared" si="328"/>
        <v>20140101KUUM_365</v>
      </c>
      <c r="AF889" s="437" t="str">
        <f t="shared" si="329"/>
        <v>20140101LS</v>
      </c>
      <c r="AG889" s="438"/>
      <c r="AH889" s="34">
        <f>IF(AH888=MiscData!$AB$91,1,AH888+1)</f>
        <v>8</v>
      </c>
      <c r="AI889" s="34">
        <f>IF(AD889&lt;=MiscData!$B$23,MiscData!$C$23,IF(AD889&lt;=MiscData!$B$24,MiscData!$C$24,MiscData!$C$25))</f>
        <v>20140101</v>
      </c>
      <c r="AK889" s="439" t="str">
        <f>VLOOKUP(AM889,MiscData!$AB$4:$ACB$113,2,FALSE)</f>
        <v>KUUM_365</v>
      </c>
      <c r="AL889" s="439" t="str">
        <f>VLOOKUP(AM889,MiscData!$AB$4:$AE$115,4,FALSE)</f>
        <v>LS</v>
      </c>
      <c r="AM889" s="34">
        <f>IF(AM888=MiscData!$AB$91,1,AM888+1)</f>
        <v>8</v>
      </c>
    </row>
    <row r="890" spans="1:39">
      <c r="A890" s="389">
        <f t="shared" si="332"/>
        <v>889</v>
      </c>
      <c r="B890" s="395" t="str">
        <f t="shared" ref="B890:B953" si="337">TEXT(AD890,"mmm yyyy")</f>
        <v>Nov 2014</v>
      </c>
      <c r="C890" s="396" t="str">
        <f t="shared" ref="C890:C953" si="338">AL890</f>
        <v>LS</v>
      </c>
      <c r="D890" s="396" t="str">
        <f t="shared" ref="D890:D953" si="339">AK890</f>
        <v>KUUM_366</v>
      </c>
      <c r="E890" s="394">
        <f t="shared" ref="E890:E953" si="340">SUMIFS(_1055_Light_Count,_1055_RevMonth,$B890,_1055_RateCategory,$D890)</f>
        <v>10</v>
      </c>
      <c r="F890" s="397">
        <v>0</v>
      </c>
      <c r="G890" s="394">
        <f t="shared" si="336"/>
        <v>0</v>
      </c>
      <c r="H890" s="394">
        <v>0</v>
      </c>
      <c r="I890" s="390">
        <f t="shared" ref="I890:I953" si="341">SUMIF(_Lights_Tariff_Category,$AE890,_Lights_Rates)</f>
        <v>78.97</v>
      </c>
      <c r="J890" s="390">
        <f t="shared" ref="J890:J953" si="342">SUMIF(_Lights_Tariff_Category,$AE890,_Rates_Lights_BaseFAC)</f>
        <v>1.75</v>
      </c>
      <c r="K890" s="391">
        <f t="shared" si="333"/>
        <v>789.7</v>
      </c>
      <c r="L890" s="398">
        <v>0</v>
      </c>
      <c r="M890" s="398">
        <v>0</v>
      </c>
      <c r="N890" s="164">
        <f t="shared" si="335"/>
        <v>789.7</v>
      </c>
      <c r="O890" s="399">
        <f t="shared" ref="O890:O953" si="343">U890-SUM(Q890:T890)</f>
        <v>0</v>
      </c>
      <c r="P890" s="392">
        <f t="shared" si="334"/>
        <v>0</v>
      </c>
      <c r="Q890" s="164">
        <f t="shared" ref="Q890:Q953" si="344">SUMIFS(_SBR_FAC,_SBR_Revenue_Month,$B890,_SBR_Rate_Category,$D890)</f>
        <v>0</v>
      </c>
      <c r="R890" s="164">
        <f t="shared" ref="R890:R953" si="345">SUMIFS(_SBR_DSM,_SBR_Revenue_Month,$B890,_SBR_Rate_Category,$D890)</f>
        <v>0</v>
      </c>
      <c r="S890" s="164">
        <f t="shared" ref="S890:S953" si="346">SUMIFS(_SBR_ECR,_SBR_Revenue_Month,$B890,_SBR_Rate_Category,$D890)</f>
        <v>0</v>
      </c>
      <c r="T890" s="164">
        <f t="shared" ref="T890:T953" si="347">SUMIFS(_SBR_MSR,_SBR_Revenue_Month,$B890,_SBR_Rate_Category,$D890)</f>
        <v>0</v>
      </c>
      <c r="U890" s="164">
        <f t="shared" ref="U890:U953" si="348">SUMIFS(_SBR_Revenue_Actual,_SBR_Revenue_Month,$B890,_SBR_Rate_Category,$D890)</f>
        <v>0</v>
      </c>
      <c r="V890" s="393">
        <f t="shared" ref="V890:V953" si="349">SUM(N890,Q890:T890)</f>
        <v>789.7</v>
      </c>
      <c r="W890" s="393">
        <f t="shared" ref="W890:W953" si="350">U890-V890</f>
        <v>-789.7</v>
      </c>
      <c r="Y890" s="393">
        <f t="shared" si="330"/>
        <v>17.5</v>
      </c>
      <c r="Z890" s="393">
        <f t="shared" si="331"/>
        <v>-17.5</v>
      </c>
      <c r="AD890" s="395">
        <f>IF(AH890&gt;AH889,AD889,IF(AD889&lt;MiscData!$F$1,EOMONTH(AD889,1),EOMONTH(AD889,-11)))</f>
        <v>41973</v>
      </c>
      <c r="AE890" s="389" t="str">
        <f t="shared" ref="AE890:AE953" si="351">CONCATENATE(AI890&amp;AK890)</f>
        <v>20140101KUUM_366</v>
      </c>
      <c r="AF890" s="437" t="str">
        <f t="shared" ref="AF890:AF953" si="352">CONCATENATE(AI890&amp;AL890)</f>
        <v>20140101LS</v>
      </c>
      <c r="AG890" s="438"/>
      <c r="AH890" s="34">
        <f>IF(AH889=MiscData!$AB$91,1,AH889+1)</f>
        <v>9</v>
      </c>
      <c r="AI890" s="34">
        <f>IF(AD890&lt;=MiscData!$B$23,MiscData!$C$23,IF(AD890&lt;=MiscData!$B$24,MiscData!$C$24,MiscData!$C$25))</f>
        <v>20140101</v>
      </c>
      <c r="AK890" s="439" t="str">
        <f>VLOOKUP(AM890,MiscData!$AB$4:$ACB$113,2,FALSE)</f>
        <v>KUUM_366</v>
      </c>
      <c r="AL890" s="439" t="str">
        <f>VLOOKUP(AM890,MiscData!$AB$4:$AE$115,4,FALSE)</f>
        <v>LS</v>
      </c>
      <c r="AM890" s="34">
        <f>IF(AM889=MiscData!$AB$91,1,AM889+1)</f>
        <v>9</v>
      </c>
    </row>
    <row r="891" spans="1:39">
      <c r="A891" s="389">
        <f t="shared" si="332"/>
        <v>890</v>
      </c>
      <c r="B891" s="395" t="str">
        <f t="shared" si="337"/>
        <v>Nov 2014</v>
      </c>
      <c r="C891" s="396" t="str">
        <f t="shared" si="338"/>
        <v>LS</v>
      </c>
      <c r="D891" s="396" t="str">
        <f t="shared" si="339"/>
        <v>KUUM_367</v>
      </c>
      <c r="E891" s="394">
        <f t="shared" si="340"/>
        <v>24</v>
      </c>
      <c r="F891" s="397">
        <v>0</v>
      </c>
      <c r="G891" s="394">
        <f t="shared" si="336"/>
        <v>0</v>
      </c>
      <c r="H891" s="394">
        <v>0</v>
      </c>
      <c r="I891" s="390">
        <f t="shared" si="341"/>
        <v>61.230000000000004</v>
      </c>
      <c r="J891" s="390">
        <f t="shared" si="342"/>
        <v>1.75</v>
      </c>
      <c r="K891" s="391">
        <f t="shared" si="333"/>
        <v>1469.52</v>
      </c>
      <c r="L891" s="398">
        <v>0</v>
      </c>
      <c r="M891" s="398">
        <v>0</v>
      </c>
      <c r="N891" s="164">
        <f t="shared" si="335"/>
        <v>1469.52</v>
      </c>
      <c r="O891" s="399">
        <f t="shared" si="343"/>
        <v>0</v>
      </c>
      <c r="P891" s="392">
        <f t="shared" si="334"/>
        <v>0</v>
      </c>
      <c r="Q891" s="164">
        <f t="shared" si="344"/>
        <v>0</v>
      </c>
      <c r="R891" s="164">
        <f t="shared" si="345"/>
        <v>0</v>
      </c>
      <c r="S891" s="164">
        <f t="shared" si="346"/>
        <v>0</v>
      </c>
      <c r="T891" s="164">
        <f t="shared" si="347"/>
        <v>0</v>
      </c>
      <c r="U891" s="164">
        <f t="shared" si="348"/>
        <v>0</v>
      </c>
      <c r="V891" s="393">
        <f t="shared" si="349"/>
        <v>1469.52</v>
      </c>
      <c r="W891" s="393">
        <f t="shared" si="350"/>
        <v>-1469.52</v>
      </c>
      <c r="Y891" s="393">
        <f t="shared" ref="Y891:Y954" si="353">ROUND(E891*J891,2)</f>
        <v>42</v>
      </c>
      <c r="Z891" s="393">
        <f t="shared" ref="Z891:Z954" si="354">O891-Y891</f>
        <v>-42</v>
      </c>
      <c r="AD891" s="395">
        <f>IF(AH891&gt;AH890,AD890,IF(AD890&lt;MiscData!$F$1,EOMONTH(AD890,1),EOMONTH(AD890,-11)))</f>
        <v>41973</v>
      </c>
      <c r="AE891" s="389" t="str">
        <f t="shared" si="351"/>
        <v>20140101KUUM_367</v>
      </c>
      <c r="AF891" s="437" t="str">
        <f t="shared" si="352"/>
        <v>20140101LS</v>
      </c>
      <c r="AG891" s="438"/>
      <c r="AH891" s="34">
        <f>IF(AH890=MiscData!$AB$91,1,AH890+1)</f>
        <v>10</v>
      </c>
      <c r="AI891" s="34">
        <f>IF(AD891&lt;=MiscData!$B$23,MiscData!$C$23,IF(AD891&lt;=MiscData!$B$24,MiscData!$C$24,MiscData!$C$25))</f>
        <v>20140101</v>
      </c>
      <c r="AK891" s="439" t="str">
        <f>VLOOKUP(AM891,MiscData!$AB$4:$ACB$113,2,FALSE)</f>
        <v>KUUM_367</v>
      </c>
      <c r="AL891" s="439" t="str">
        <f>VLOOKUP(AM891,MiscData!$AB$4:$AE$115,4,FALSE)</f>
        <v>LS</v>
      </c>
      <c r="AM891" s="34">
        <f>IF(AM890=MiscData!$AB$91,1,AM890+1)</f>
        <v>10</v>
      </c>
    </row>
    <row r="892" spans="1:39">
      <c r="A892" s="389">
        <f t="shared" ref="A892:A955" si="355">A891+1</f>
        <v>891</v>
      </c>
      <c r="B892" s="395" t="str">
        <f t="shared" si="337"/>
        <v>Nov 2014</v>
      </c>
      <c r="C892" s="396" t="str">
        <f t="shared" si="338"/>
        <v>LS</v>
      </c>
      <c r="D892" s="396" t="str">
        <f t="shared" si="339"/>
        <v>KUUM_368</v>
      </c>
      <c r="E892" s="394">
        <f t="shared" si="340"/>
        <v>1</v>
      </c>
      <c r="F892" s="397">
        <v>0</v>
      </c>
      <c r="G892" s="394">
        <f t="shared" si="336"/>
        <v>0</v>
      </c>
      <c r="H892" s="394">
        <v>0</v>
      </c>
      <c r="I892" s="390">
        <f t="shared" si="341"/>
        <v>56.69</v>
      </c>
      <c r="J892" s="390">
        <f t="shared" si="342"/>
        <v>1.75</v>
      </c>
      <c r="K892" s="391">
        <f t="shared" si="333"/>
        <v>56.69</v>
      </c>
      <c r="L892" s="398">
        <v>0</v>
      </c>
      <c r="M892" s="398">
        <v>0</v>
      </c>
      <c r="N892" s="164">
        <f t="shared" si="335"/>
        <v>56.69</v>
      </c>
      <c r="O892" s="399">
        <f t="shared" si="343"/>
        <v>0</v>
      </c>
      <c r="P892" s="392">
        <f t="shared" si="334"/>
        <v>0</v>
      </c>
      <c r="Q892" s="164">
        <f t="shared" si="344"/>
        <v>0</v>
      </c>
      <c r="R892" s="164">
        <f t="shared" si="345"/>
        <v>0</v>
      </c>
      <c r="S892" s="164">
        <f t="shared" si="346"/>
        <v>0</v>
      </c>
      <c r="T892" s="164">
        <f t="shared" si="347"/>
        <v>0</v>
      </c>
      <c r="U892" s="164">
        <f t="shared" si="348"/>
        <v>0</v>
      </c>
      <c r="V892" s="393">
        <f t="shared" si="349"/>
        <v>56.69</v>
      </c>
      <c r="W892" s="393">
        <f t="shared" si="350"/>
        <v>-56.69</v>
      </c>
      <c r="Y892" s="393">
        <f t="shared" si="353"/>
        <v>1.75</v>
      </c>
      <c r="Z892" s="393">
        <f t="shared" si="354"/>
        <v>-1.75</v>
      </c>
      <c r="AD892" s="395">
        <f>IF(AH892&gt;AH891,AD891,IF(AD891&lt;MiscData!$F$1,EOMONTH(AD891,1),EOMONTH(AD891,-11)))</f>
        <v>41973</v>
      </c>
      <c r="AE892" s="389" t="str">
        <f t="shared" si="351"/>
        <v>20140101KUUM_368</v>
      </c>
      <c r="AF892" s="437" t="str">
        <f t="shared" si="352"/>
        <v>20140101LS</v>
      </c>
      <c r="AG892" s="438"/>
      <c r="AH892" s="34">
        <f>IF(AH891=MiscData!$AB$91,1,AH891+1)</f>
        <v>11</v>
      </c>
      <c r="AI892" s="34">
        <f>IF(AD892&lt;=MiscData!$B$23,MiscData!$C$23,IF(AD892&lt;=MiscData!$B$24,MiscData!$C$24,MiscData!$C$25))</f>
        <v>20140101</v>
      </c>
      <c r="AK892" s="439" t="str">
        <f>VLOOKUP(AM892,MiscData!$AB$4:$ACB$113,2,FALSE)</f>
        <v>KUUM_368</v>
      </c>
      <c r="AL892" s="439" t="str">
        <f>VLOOKUP(AM892,MiscData!$AB$4:$AE$115,4,FALSE)</f>
        <v>LS</v>
      </c>
      <c r="AM892" s="34">
        <f>IF(AM891=MiscData!$AB$91,1,AM891+1)</f>
        <v>11</v>
      </c>
    </row>
    <row r="893" spans="1:39">
      <c r="A893" s="389">
        <f t="shared" si="355"/>
        <v>892</v>
      </c>
      <c r="B893" s="395" t="str">
        <f t="shared" si="337"/>
        <v>Nov 2014</v>
      </c>
      <c r="C893" s="396" t="str">
        <f t="shared" si="338"/>
        <v>LS</v>
      </c>
      <c r="D893" s="396" t="str">
        <f t="shared" si="339"/>
        <v>KUUM_370</v>
      </c>
      <c r="E893" s="394">
        <f t="shared" si="340"/>
        <v>16</v>
      </c>
      <c r="F893" s="397">
        <v>0</v>
      </c>
      <c r="G893" s="394">
        <f t="shared" si="336"/>
        <v>0</v>
      </c>
      <c r="H893" s="394">
        <v>0</v>
      </c>
      <c r="I893" s="390">
        <f t="shared" si="341"/>
        <v>74.52</v>
      </c>
      <c r="J893" s="390">
        <f t="shared" si="342"/>
        <v>1.75</v>
      </c>
      <c r="K893" s="391">
        <f t="shared" si="333"/>
        <v>1192.32</v>
      </c>
      <c r="L893" s="398">
        <v>0</v>
      </c>
      <c r="M893" s="398">
        <v>0</v>
      </c>
      <c r="N893" s="164">
        <f t="shared" si="335"/>
        <v>1192.32</v>
      </c>
      <c r="O893" s="399">
        <f t="shared" si="343"/>
        <v>0</v>
      </c>
      <c r="P893" s="392">
        <f t="shared" si="334"/>
        <v>0</v>
      </c>
      <c r="Q893" s="164">
        <f t="shared" si="344"/>
        <v>0</v>
      </c>
      <c r="R893" s="164">
        <f t="shared" si="345"/>
        <v>0</v>
      </c>
      <c r="S893" s="164">
        <f t="shared" si="346"/>
        <v>0</v>
      </c>
      <c r="T893" s="164">
        <f t="shared" si="347"/>
        <v>0</v>
      </c>
      <c r="U893" s="164">
        <f t="shared" si="348"/>
        <v>0</v>
      </c>
      <c r="V893" s="393">
        <f t="shared" si="349"/>
        <v>1192.32</v>
      </c>
      <c r="W893" s="393">
        <f t="shared" si="350"/>
        <v>-1192.32</v>
      </c>
      <c r="Y893" s="393">
        <f t="shared" si="353"/>
        <v>28</v>
      </c>
      <c r="Z893" s="393">
        <f t="shared" si="354"/>
        <v>-28</v>
      </c>
      <c r="AD893" s="395">
        <f>IF(AH893&gt;AH892,AD892,IF(AD892&lt;MiscData!$F$1,EOMONTH(AD892,1),EOMONTH(AD892,-11)))</f>
        <v>41973</v>
      </c>
      <c r="AE893" s="389" t="str">
        <f t="shared" si="351"/>
        <v>20140101KUUM_370</v>
      </c>
      <c r="AF893" s="437" t="str">
        <f t="shared" si="352"/>
        <v>20140101LS</v>
      </c>
      <c r="AG893" s="438"/>
      <c r="AH893" s="34">
        <f>IF(AH892=MiscData!$AB$91,1,AH892+1)</f>
        <v>12</v>
      </c>
      <c r="AI893" s="34">
        <f>IF(AD893&lt;=MiscData!$B$23,MiscData!$C$23,IF(AD893&lt;=MiscData!$B$24,MiscData!$C$24,MiscData!$C$25))</f>
        <v>20140101</v>
      </c>
      <c r="AK893" s="439" t="str">
        <f>VLOOKUP(AM893,MiscData!$AB$4:$ACB$113,2,FALSE)</f>
        <v>KUUM_370</v>
      </c>
      <c r="AL893" s="439" t="str">
        <f>VLOOKUP(AM893,MiscData!$AB$4:$AE$115,4,FALSE)</f>
        <v>LS</v>
      </c>
      <c r="AM893" s="34">
        <f>IF(AM892=MiscData!$AB$91,1,AM892+1)</f>
        <v>12</v>
      </c>
    </row>
    <row r="894" spans="1:39">
      <c r="A894" s="389">
        <f t="shared" si="355"/>
        <v>893</v>
      </c>
      <c r="B894" s="395" t="str">
        <f t="shared" si="337"/>
        <v>Nov 2014</v>
      </c>
      <c r="C894" s="396" t="str">
        <f t="shared" si="338"/>
        <v>LS</v>
      </c>
      <c r="D894" s="396" t="str">
        <f t="shared" si="339"/>
        <v>KUUM_372</v>
      </c>
      <c r="E894" s="394">
        <f t="shared" si="340"/>
        <v>1</v>
      </c>
      <c r="F894" s="397">
        <v>0</v>
      </c>
      <c r="G894" s="394">
        <f t="shared" si="336"/>
        <v>0</v>
      </c>
      <c r="H894" s="394">
        <v>0</v>
      </c>
      <c r="I894" s="390">
        <f t="shared" si="341"/>
        <v>82.3</v>
      </c>
      <c r="J894" s="390">
        <f t="shared" si="342"/>
        <v>1.75</v>
      </c>
      <c r="K894" s="391">
        <f t="shared" si="333"/>
        <v>82.3</v>
      </c>
      <c r="L894" s="398">
        <v>0</v>
      </c>
      <c r="M894" s="398">
        <v>0</v>
      </c>
      <c r="N894" s="164">
        <f t="shared" si="335"/>
        <v>82.3</v>
      </c>
      <c r="O894" s="399">
        <f t="shared" si="343"/>
        <v>0</v>
      </c>
      <c r="P894" s="392">
        <f t="shared" si="334"/>
        <v>0</v>
      </c>
      <c r="Q894" s="164">
        <f t="shared" si="344"/>
        <v>0</v>
      </c>
      <c r="R894" s="164">
        <f t="shared" si="345"/>
        <v>0</v>
      </c>
      <c r="S894" s="164">
        <f t="shared" si="346"/>
        <v>0</v>
      </c>
      <c r="T894" s="164">
        <f t="shared" si="347"/>
        <v>0</v>
      </c>
      <c r="U894" s="164">
        <f t="shared" si="348"/>
        <v>0</v>
      </c>
      <c r="V894" s="393">
        <f t="shared" si="349"/>
        <v>82.3</v>
      </c>
      <c r="W894" s="393">
        <f t="shared" si="350"/>
        <v>-82.3</v>
      </c>
      <c r="Y894" s="393">
        <f t="shared" si="353"/>
        <v>1.75</v>
      </c>
      <c r="Z894" s="393">
        <f t="shared" si="354"/>
        <v>-1.75</v>
      </c>
      <c r="AD894" s="395">
        <f>IF(AH894&gt;AH893,AD893,IF(AD893&lt;MiscData!$F$1,EOMONTH(AD893,1),EOMONTH(AD893,-11)))</f>
        <v>41973</v>
      </c>
      <c r="AE894" s="389" t="str">
        <f t="shared" si="351"/>
        <v>20140101KUUM_372</v>
      </c>
      <c r="AF894" s="437" t="str">
        <f t="shared" si="352"/>
        <v>20140101LS</v>
      </c>
      <c r="AG894" s="438"/>
      <c r="AH894" s="34">
        <f>IF(AH893=MiscData!$AB$91,1,AH893+1)</f>
        <v>13</v>
      </c>
      <c r="AI894" s="34">
        <f>IF(AD894&lt;=MiscData!$B$23,MiscData!$C$23,IF(AD894&lt;=MiscData!$B$24,MiscData!$C$24,MiscData!$C$25))</f>
        <v>20140101</v>
      </c>
      <c r="AK894" s="439" t="str">
        <f>VLOOKUP(AM894,MiscData!$AB$4:$ACB$113,2,FALSE)</f>
        <v>KUUM_372</v>
      </c>
      <c r="AL894" s="439" t="str">
        <f>VLOOKUP(AM894,MiscData!$AB$4:$AE$115,4,FALSE)</f>
        <v>LS</v>
      </c>
      <c r="AM894" s="34">
        <f>IF(AM893=MiscData!$AB$91,1,AM893+1)</f>
        <v>13</v>
      </c>
    </row>
    <row r="895" spans="1:39">
      <c r="A895" s="389">
        <f t="shared" si="355"/>
        <v>894</v>
      </c>
      <c r="B895" s="395" t="str">
        <f t="shared" si="337"/>
        <v>Nov 2014</v>
      </c>
      <c r="C895" s="396" t="str">
        <f t="shared" si="338"/>
        <v>LS</v>
      </c>
      <c r="D895" s="396" t="str">
        <f t="shared" si="339"/>
        <v>KUUM_373</v>
      </c>
      <c r="E895" s="394">
        <f t="shared" si="340"/>
        <v>19</v>
      </c>
      <c r="F895" s="397">
        <v>0</v>
      </c>
      <c r="G895" s="394">
        <f t="shared" si="336"/>
        <v>0</v>
      </c>
      <c r="H895" s="394">
        <v>0</v>
      </c>
      <c r="I895" s="390">
        <f t="shared" si="341"/>
        <v>74.52</v>
      </c>
      <c r="J895" s="390">
        <f t="shared" si="342"/>
        <v>1.75</v>
      </c>
      <c r="K895" s="391">
        <f t="shared" si="333"/>
        <v>1415.88</v>
      </c>
      <c r="L895" s="398">
        <v>0</v>
      </c>
      <c r="M895" s="398">
        <v>0</v>
      </c>
      <c r="N895" s="164">
        <f t="shared" si="335"/>
        <v>1415.88</v>
      </c>
      <c r="O895" s="399">
        <f t="shared" si="343"/>
        <v>0</v>
      </c>
      <c r="P895" s="392">
        <f t="shared" si="334"/>
        <v>0</v>
      </c>
      <c r="Q895" s="164">
        <f t="shared" si="344"/>
        <v>0</v>
      </c>
      <c r="R895" s="164">
        <f t="shared" si="345"/>
        <v>0</v>
      </c>
      <c r="S895" s="164">
        <f t="shared" si="346"/>
        <v>0</v>
      </c>
      <c r="T895" s="164">
        <f t="shared" si="347"/>
        <v>0</v>
      </c>
      <c r="U895" s="164">
        <f t="shared" si="348"/>
        <v>0</v>
      </c>
      <c r="V895" s="393">
        <f t="shared" si="349"/>
        <v>1415.88</v>
      </c>
      <c r="W895" s="393">
        <f t="shared" si="350"/>
        <v>-1415.88</v>
      </c>
      <c r="Y895" s="393">
        <f t="shared" si="353"/>
        <v>33.25</v>
      </c>
      <c r="Z895" s="393">
        <f t="shared" si="354"/>
        <v>-33.25</v>
      </c>
      <c r="AD895" s="395">
        <f>IF(AH895&gt;AH894,AD894,IF(AD894&lt;MiscData!$F$1,EOMONTH(AD894,1),EOMONTH(AD894,-11)))</f>
        <v>41973</v>
      </c>
      <c r="AE895" s="389" t="str">
        <f t="shared" si="351"/>
        <v>20140101KUUM_373</v>
      </c>
      <c r="AF895" s="437" t="str">
        <f t="shared" si="352"/>
        <v>20140101LS</v>
      </c>
      <c r="AG895" s="438"/>
      <c r="AH895" s="34">
        <f>IF(AH894=MiscData!$AB$91,1,AH894+1)</f>
        <v>14</v>
      </c>
      <c r="AI895" s="34">
        <f>IF(AD895&lt;=MiscData!$B$23,MiscData!$C$23,IF(AD895&lt;=MiscData!$B$24,MiscData!$C$24,MiscData!$C$25))</f>
        <v>20140101</v>
      </c>
      <c r="AK895" s="439" t="str">
        <f>VLOOKUP(AM895,MiscData!$AB$4:$ACB$113,2,FALSE)</f>
        <v>KUUM_373</v>
      </c>
      <c r="AL895" s="439" t="str">
        <f>VLOOKUP(AM895,MiscData!$AB$4:$AE$115,4,FALSE)</f>
        <v>LS</v>
      </c>
      <c r="AM895" s="34">
        <f>IF(AM894=MiscData!$AB$91,1,AM894+1)</f>
        <v>14</v>
      </c>
    </row>
    <row r="896" spans="1:39">
      <c r="A896" s="389">
        <f t="shared" si="355"/>
        <v>895</v>
      </c>
      <c r="B896" s="395" t="str">
        <f t="shared" si="337"/>
        <v>Nov 2014</v>
      </c>
      <c r="C896" s="396" t="str">
        <f t="shared" si="338"/>
        <v>LS</v>
      </c>
      <c r="D896" s="396" t="str">
        <f t="shared" si="339"/>
        <v>KUUM_374</v>
      </c>
      <c r="E896" s="394">
        <f t="shared" si="340"/>
        <v>4</v>
      </c>
      <c r="F896" s="397">
        <v>0</v>
      </c>
      <c r="G896" s="394">
        <f t="shared" si="336"/>
        <v>0</v>
      </c>
      <c r="H896" s="394">
        <v>0</v>
      </c>
      <c r="I896" s="390">
        <f t="shared" si="341"/>
        <v>75.88</v>
      </c>
      <c r="J896" s="390">
        <f t="shared" si="342"/>
        <v>1.75</v>
      </c>
      <c r="K896" s="391">
        <f t="shared" si="333"/>
        <v>303.52</v>
      </c>
      <c r="L896" s="398">
        <v>0</v>
      </c>
      <c r="M896" s="398">
        <v>0</v>
      </c>
      <c r="N896" s="164">
        <f t="shared" si="335"/>
        <v>303.52</v>
      </c>
      <c r="O896" s="399">
        <f t="shared" si="343"/>
        <v>0</v>
      </c>
      <c r="P896" s="392">
        <f t="shared" si="334"/>
        <v>0</v>
      </c>
      <c r="Q896" s="164">
        <f t="shared" si="344"/>
        <v>0</v>
      </c>
      <c r="R896" s="164">
        <f t="shared" si="345"/>
        <v>0</v>
      </c>
      <c r="S896" s="164">
        <f t="shared" si="346"/>
        <v>0</v>
      </c>
      <c r="T896" s="164">
        <f t="shared" si="347"/>
        <v>0</v>
      </c>
      <c r="U896" s="164">
        <f t="shared" si="348"/>
        <v>0</v>
      </c>
      <c r="V896" s="393">
        <f t="shared" si="349"/>
        <v>303.52</v>
      </c>
      <c r="W896" s="393">
        <f t="shared" si="350"/>
        <v>-303.52</v>
      </c>
      <c r="Y896" s="393">
        <f t="shared" si="353"/>
        <v>7</v>
      </c>
      <c r="Z896" s="393">
        <f t="shared" si="354"/>
        <v>-7</v>
      </c>
      <c r="AD896" s="395">
        <f>IF(AH896&gt;AH895,AD895,IF(AD895&lt;MiscData!$F$1,EOMONTH(AD895,1),EOMONTH(AD895,-11)))</f>
        <v>41973</v>
      </c>
      <c r="AE896" s="389" t="str">
        <f t="shared" si="351"/>
        <v>20140101KUUM_374</v>
      </c>
      <c r="AF896" s="437" t="str">
        <f t="shared" si="352"/>
        <v>20140101LS</v>
      </c>
      <c r="AG896" s="438"/>
      <c r="AH896" s="34">
        <f>IF(AH895=MiscData!$AB$91,1,AH895+1)</f>
        <v>15</v>
      </c>
      <c r="AI896" s="34">
        <f>IF(AD896&lt;=MiscData!$B$23,MiscData!$C$23,IF(AD896&lt;=MiscData!$B$24,MiscData!$C$24,MiscData!$C$25))</f>
        <v>20140101</v>
      </c>
      <c r="AK896" s="439" t="str">
        <f>VLOOKUP(AM896,MiscData!$AB$4:$ACB$113,2,FALSE)</f>
        <v>KUUM_374</v>
      </c>
      <c r="AL896" s="439" t="str">
        <f>VLOOKUP(AM896,MiscData!$AB$4:$AE$115,4,FALSE)</f>
        <v>LS</v>
      </c>
      <c r="AM896" s="34">
        <f>IF(AM895=MiscData!$AB$91,1,AM895+1)</f>
        <v>15</v>
      </c>
    </row>
    <row r="897" spans="1:39">
      <c r="A897" s="389">
        <f t="shared" si="355"/>
        <v>896</v>
      </c>
      <c r="B897" s="395" t="str">
        <f t="shared" si="337"/>
        <v>Nov 2014</v>
      </c>
      <c r="C897" s="396" t="str">
        <f t="shared" si="338"/>
        <v>LS</v>
      </c>
      <c r="D897" s="396" t="str">
        <f t="shared" si="339"/>
        <v>KUUM_375</v>
      </c>
      <c r="E897" s="394">
        <f t="shared" si="340"/>
        <v>3</v>
      </c>
      <c r="F897" s="397">
        <v>0</v>
      </c>
      <c r="G897" s="394">
        <f t="shared" si="336"/>
        <v>0</v>
      </c>
      <c r="H897" s="394">
        <v>0</v>
      </c>
      <c r="I897" s="390">
        <f t="shared" si="341"/>
        <v>78.97</v>
      </c>
      <c r="J897" s="390">
        <f t="shared" si="342"/>
        <v>1.75</v>
      </c>
      <c r="K897" s="391">
        <f t="shared" si="333"/>
        <v>236.91</v>
      </c>
      <c r="L897" s="398">
        <v>0</v>
      </c>
      <c r="M897" s="398">
        <v>0</v>
      </c>
      <c r="N897" s="164">
        <f t="shared" si="335"/>
        <v>236.91</v>
      </c>
      <c r="O897" s="399">
        <f t="shared" si="343"/>
        <v>0</v>
      </c>
      <c r="P897" s="392">
        <f t="shared" si="334"/>
        <v>0</v>
      </c>
      <c r="Q897" s="164">
        <f t="shared" si="344"/>
        <v>0</v>
      </c>
      <c r="R897" s="164">
        <f t="shared" si="345"/>
        <v>0</v>
      </c>
      <c r="S897" s="164">
        <f t="shared" si="346"/>
        <v>0</v>
      </c>
      <c r="T897" s="164">
        <f t="shared" si="347"/>
        <v>0</v>
      </c>
      <c r="U897" s="164">
        <f t="shared" si="348"/>
        <v>0</v>
      </c>
      <c r="V897" s="393">
        <f t="shared" si="349"/>
        <v>236.91</v>
      </c>
      <c r="W897" s="393">
        <f t="shared" si="350"/>
        <v>-236.91</v>
      </c>
      <c r="Y897" s="393">
        <f t="shared" si="353"/>
        <v>5.25</v>
      </c>
      <c r="Z897" s="393">
        <f t="shared" si="354"/>
        <v>-5.25</v>
      </c>
      <c r="AD897" s="395">
        <f>IF(AH897&gt;AH896,AD896,IF(AD896&lt;MiscData!$F$1,EOMONTH(AD896,1),EOMONTH(AD896,-11)))</f>
        <v>41973</v>
      </c>
      <c r="AE897" s="389" t="str">
        <f t="shared" si="351"/>
        <v>20140101KUUM_375</v>
      </c>
      <c r="AF897" s="437" t="str">
        <f t="shared" si="352"/>
        <v>20140101LS</v>
      </c>
      <c r="AG897" s="438"/>
      <c r="AH897" s="34">
        <f>IF(AH896=MiscData!$AB$91,1,AH896+1)</f>
        <v>16</v>
      </c>
      <c r="AI897" s="34">
        <f>IF(AD897&lt;=MiscData!$B$23,MiscData!$C$23,IF(AD897&lt;=MiscData!$B$24,MiscData!$C$24,MiscData!$C$25))</f>
        <v>20140101</v>
      </c>
      <c r="AK897" s="439" t="str">
        <f>VLOOKUP(AM897,MiscData!$AB$4:$ACB$113,2,FALSE)</f>
        <v>KUUM_375</v>
      </c>
      <c r="AL897" s="439" t="str">
        <f>VLOOKUP(AM897,MiscData!$AB$4:$AE$115,4,FALSE)</f>
        <v>LS</v>
      </c>
      <c r="AM897" s="34">
        <f>IF(AM896=MiscData!$AB$91,1,AM896+1)</f>
        <v>16</v>
      </c>
    </row>
    <row r="898" spans="1:39">
      <c r="A898" s="389">
        <f t="shared" si="355"/>
        <v>897</v>
      </c>
      <c r="B898" s="395" t="str">
        <f t="shared" si="337"/>
        <v>Nov 2014</v>
      </c>
      <c r="C898" s="396" t="str">
        <f t="shared" si="338"/>
        <v>LS</v>
      </c>
      <c r="D898" s="396" t="str">
        <f t="shared" si="339"/>
        <v>KUUM_376</v>
      </c>
      <c r="E898" s="394">
        <f t="shared" si="340"/>
        <v>2</v>
      </c>
      <c r="F898" s="397">
        <v>0</v>
      </c>
      <c r="G898" s="394">
        <f t="shared" si="336"/>
        <v>0</v>
      </c>
      <c r="H898" s="394">
        <v>0</v>
      </c>
      <c r="I898" s="390">
        <f t="shared" si="341"/>
        <v>77.259999999999991</v>
      </c>
      <c r="J898" s="390">
        <f t="shared" si="342"/>
        <v>1.75</v>
      </c>
      <c r="K898" s="391">
        <f t="shared" si="333"/>
        <v>154.52000000000001</v>
      </c>
      <c r="L898" s="398">
        <v>0</v>
      </c>
      <c r="M898" s="398">
        <v>0</v>
      </c>
      <c r="N898" s="164">
        <f t="shared" si="335"/>
        <v>154.52000000000001</v>
      </c>
      <c r="O898" s="399">
        <f t="shared" si="343"/>
        <v>0</v>
      </c>
      <c r="P898" s="392">
        <f t="shared" si="334"/>
        <v>0</v>
      </c>
      <c r="Q898" s="164">
        <f t="shared" si="344"/>
        <v>0</v>
      </c>
      <c r="R898" s="164">
        <f t="shared" si="345"/>
        <v>0</v>
      </c>
      <c r="S898" s="164">
        <f t="shared" si="346"/>
        <v>0</v>
      </c>
      <c r="T898" s="164">
        <f t="shared" si="347"/>
        <v>0</v>
      </c>
      <c r="U898" s="164">
        <f t="shared" si="348"/>
        <v>0</v>
      </c>
      <c r="V898" s="393">
        <f t="shared" si="349"/>
        <v>154.52000000000001</v>
      </c>
      <c r="W898" s="393">
        <f t="shared" si="350"/>
        <v>-154.52000000000001</v>
      </c>
      <c r="Y898" s="393">
        <f t="shared" si="353"/>
        <v>3.5</v>
      </c>
      <c r="Z898" s="393">
        <f t="shared" si="354"/>
        <v>-3.5</v>
      </c>
      <c r="AD898" s="395">
        <f>IF(AH898&gt;AH897,AD897,IF(AD897&lt;MiscData!$F$1,EOMONTH(AD897,1),EOMONTH(AD897,-11)))</f>
        <v>41973</v>
      </c>
      <c r="AE898" s="389" t="str">
        <f t="shared" si="351"/>
        <v>20140101KUUM_376</v>
      </c>
      <c r="AF898" s="437" t="str">
        <f t="shared" si="352"/>
        <v>20140101LS</v>
      </c>
      <c r="AG898" s="438"/>
      <c r="AH898" s="34">
        <f>IF(AH897=MiscData!$AB$91,1,AH897+1)</f>
        <v>17</v>
      </c>
      <c r="AI898" s="34">
        <f>IF(AD898&lt;=MiscData!$B$23,MiscData!$C$23,IF(AD898&lt;=MiscData!$B$24,MiscData!$C$24,MiscData!$C$25))</f>
        <v>20140101</v>
      </c>
      <c r="AK898" s="439" t="str">
        <f>VLOOKUP(AM898,MiscData!$AB$4:$ACB$113,2,FALSE)</f>
        <v>KUUM_376</v>
      </c>
      <c r="AL898" s="439" t="str">
        <f>VLOOKUP(AM898,MiscData!$AB$4:$AE$115,4,FALSE)</f>
        <v>LS</v>
      </c>
      <c r="AM898" s="34">
        <f>IF(AM897=MiscData!$AB$91,1,AM897+1)</f>
        <v>17</v>
      </c>
    </row>
    <row r="899" spans="1:39">
      <c r="A899" s="389">
        <f t="shared" si="355"/>
        <v>898</v>
      </c>
      <c r="B899" s="395" t="str">
        <f t="shared" si="337"/>
        <v>Nov 2014</v>
      </c>
      <c r="C899" s="396" t="str">
        <f t="shared" si="338"/>
        <v>LS</v>
      </c>
      <c r="D899" s="396" t="str">
        <f t="shared" si="339"/>
        <v>KUUM_377</v>
      </c>
      <c r="E899" s="394">
        <f t="shared" si="340"/>
        <v>49</v>
      </c>
      <c r="F899" s="397">
        <v>0</v>
      </c>
      <c r="G899" s="394">
        <f t="shared" si="336"/>
        <v>0</v>
      </c>
      <c r="H899" s="394">
        <v>0</v>
      </c>
      <c r="I899" s="390">
        <f t="shared" si="341"/>
        <v>64.19</v>
      </c>
      <c r="J899" s="390">
        <f t="shared" si="342"/>
        <v>1.75</v>
      </c>
      <c r="K899" s="391">
        <f t="shared" ref="K899:K962" si="356">ROUND(($E899+$F899)*$I899,2)</f>
        <v>3145.31</v>
      </c>
      <c r="L899" s="398">
        <v>0</v>
      </c>
      <c r="M899" s="398">
        <v>0</v>
      </c>
      <c r="N899" s="164">
        <f t="shared" si="335"/>
        <v>3145.31</v>
      </c>
      <c r="O899" s="399">
        <f t="shared" si="343"/>
        <v>0</v>
      </c>
      <c r="P899" s="392">
        <f t="shared" ref="P899:P962" si="357">IF(AND(N899=0,O899=0),1,IF(N899=0,0,ROUND(O899/N899,6)))</f>
        <v>0</v>
      </c>
      <c r="Q899" s="164">
        <f t="shared" si="344"/>
        <v>0</v>
      </c>
      <c r="R899" s="164">
        <f t="shared" si="345"/>
        <v>0</v>
      </c>
      <c r="S899" s="164">
        <f t="shared" si="346"/>
        <v>0</v>
      </c>
      <c r="T899" s="164">
        <f t="shared" si="347"/>
        <v>0</v>
      </c>
      <c r="U899" s="164">
        <f t="shared" si="348"/>
        <v>0</v>
      </c>
      <c r="V899" s="393">
        <f t="shared" si="349"/>
        <v>3145.31</v>
      </c>
      <c r="W899" s="393">
        <f t="shared" si="350"/>
        <v>-3145.31</v>
      </c>
      <c r="Y899" s="393">
        <f t="shared" si="353"/>
        <v>85.75</v>
      </c>
      <c r="Z899" s="393">
        <f t="shared" si="354"/>
        <v>-85.75</v>
      </c>
      <c r="AD899" s="395">
        <f>IF(AH899&gt;AH898,AD898,IF(AD898&lt;MiscData!$F$1,EOMONTH(AD898,1),EOMONTH(AD898,-11)))</f>
        <v>41973</v>
      </c>
      <c r="AE899" s="389" t="str">
        <f t="shared" si="351"/>
        <v>20140101KUUM_377</v>
      </c>
      <c r="AF899" s="437" t="str">
        <f t="shared" si="352"/>
        <v>20140101LS</v>
      </c>
      <c r="AG899" s="438"/>
      <c r="AH899" s="34">
        <f>IF(AH898=MiscData!$AB$91,1,AH898+1)</f>
        <v>18</v>
      </c>
      <c r="AI899" s="34">
        <f>IF(AD899&lt;=MiscData!$B$23,MiscData!$C$23,IF(AD899&lt;=MiscData!$B$24,MiscData!$C$24,MiscData!$C$25))</f>
        <v>20140101</v>
      </c>
      <c r="AK899" s="439" t="str">
        <f>VLOOKUP(AM899,MiscData!$AB$4:$ACB$113,2,FALSE)</f>
        <v>KUUM_377</v>
      </c>
      <c r="AL899" s="439" t="str">
        <f>VLOOKUP(AM899,MiscData!$AB$4:$AE$115,4,FALSE)</f>
        <v>LS</v>
      </c>
      <c r="AM899" s="34">
        <f>IF(AM898=MiscData!$AB$91,1,AM898+1)</f>
        <v>18</v>
      </c>
    </row>
    <row r="900" spans="1:39">
      <c r="A900" s="389">
        <f t="shared" si="355"/>
        <v>899</v>
      </c>
      <c r="B900" s="395" t="str">
        <f t="shared" si="337"/>
        <v>Nov 2014</v>
      </c>
      <c r="C900" s="396" t="str">
        <f t="shared" si="338"/>
        <v>LS</v>
      </c>
      <c r="D900" s="396" t="str">
        <f t="shared" si="339"/>
        <v>KUUM_378</v>
      </c>
      <c r="E900" s="394">
        <f t="shared" si="340"/>
        <v>2</v>
      </c>
      <c r="F900" s="397">
        <v>0</v>
      </c>
      <c r="G900" s="394">
        <f t="shared" si="336"/>
        <v>0</v>
      </c>
      <c r="H900" s="394">
        <v>0</v>
      </c>
      <c r="I900" s="390">
        <f t="shared" si="341"/>
        <v>75.899999999999991</v>
      </c>
      <c r="J900" s="390">
        <f t="shared" si="342"/>
        <v>1.75</v>
      </c>
      <c r="K900" s="391">
        <f t="shared" si="356"/>
        <v>151.80000000000001</v>
      </c>
      <c r="L900" s="398">
        <v>0</v>
      </c>
      <c r="M900" s="398">
        <v>0</v>
      </c>
      <c r="N900" s="164">
        <f t="shared" si="335"/>
        <v>151.80000000000001</v>
      </c>
      <c r="O900" s="399">
        <f t="shared" si="343"/>
        <v>0</v>
      </c>
      <c r="P900" s="392">
        <f t="shared" si="357"/>
        <v>0</v>
      </c>
      <c r="Q900" s="164">
        <f t="shared" si="344"/>
        <v>0</v>
      </c>
      <c r="R900" s="164">
        <f t="shared" si="345"/>
        <v>0</v>
      </c>
      <c r="S900" s="164">
        <f t="shared" si="346"/>
        <v>0</v>
      </c>
      <c r="T900" s="164">
        <f t="shared" si="347"/>
        <v>0</v>
      </c>
      <c r="U900" s="164">
        <f t="shared" si="348"/>
        <v>0</v>
      </c>
      <c r="V900" s="393">
        <f t="shared" si="349"/>
        <v>151.80000000000001</v>
      </c>
      <c r="W900" s="393">
        <f t="shared" si="350"/>
        <v>-151.80000000000001</v>
      </c>
      <c r="Y900" s="393">
        <f t="shared" si="353"/>
        <v>3.5</v>
      </c>
      <c r="Z900" s="393">
        <f t="shared" si="354"/>
        <v>-3.5</v>
      </c>
      <c r="AD900" s="395">
        <f>IF(AH900&gt;AH899,AD899,IF(AD899&lt;MiscData!$F$1,EOMONTH(AD899,1),EOMONTH(AD899,-11)))</f>
        <v>41973</v>
      </c>
      <c r="AE900" s="389" t="str">
        <f t="shared" si="351"/>
        <v>20140101KUUM_378</v>
      </c>
      <c r="AF900" s="437" t="str">
        <f t="shared" si="352"/>
        <v>20140101LS</v>
      </c>
      <c r="AG900" s="438"/>
      <c r="AH900" s="34">
        <f>IF(AH899=MiscData!$AB$91,1,AH899+1)</f>
        <v>19</v>
      </c>
      <c r="AI900" s="34">
        <f>IF(AD900&lt;=MiscData!$B$23,MiscData!$C$23,IF(AD900&lt;=MiscData!$B$24,MiscData!$C$24,MiscData!$C$25))</f>
        <v>20140101</v>
      </c>
      <c r="AK900" s="439" t="str">
        <f>VLOOKUP(AM900,MiscData!$AB$4:$ACB$113,2,FALSE)</f>
        <v>KUUM_378</v>
      </c>
      <c r="AL900" s="439" t="str">
        <f>VLOOKUP(AM900,MiscData!$AB$4:$AE$115,4,FALSE)</f>
        <v>LS</v>
      </c>
      <c r="AM900" s="34">
        <f>IF(AM899=MiscData!$AB$91,1,AM899+1)</f>
        <v>19</v>
      </c>
    </row>
    <row r="901" spans="1:39">
      <c r="A901" s="389">
        <f t="shared" si="355"/>
        <v>900</v>
      </c>
      <c r="B901" s="395" t="str">
        <f t="shared" si="337"/>
        <v>Nov 2014</v>
      </c>
      <c r="C901" s="396" t="str">
        <f t="shared" si="338"/>
        <v>LS</v>
      </c>
      <c r="D901" s="396" t="str">
        <f t="shared" si="339"/>
        <v>KUUM_401</v>
      </c>
      <c r="E901" s="394">
        <f t="shared" si="340"/>
        <v>45</v>
      </c>
      <c r="F901" s="397">
        <v>0</v>
      </c>
      <c r="G901" s="394">
        <f t="shared" si="336"/>
        <v>0</v>
      </c>
      <c r="H901" s="394">
        <v>0</v>
      </c>
      <c r="I901" s="390">
        <f t="shared" si="341"/>
        <v>14.860000000000001</v>
      </c>
      <c r="J901" s="390">
        <f t="shared" si="342"/>
        <v>0.80000000000000071</v>
      </c>
      <c r="K901" s="391">
        <f t="shared" si="356"/>
        <v>668.7</v>
      </c>
      <c r="L901" s="398">
        <v>0</v>
      </c>
      <c r="M901" s="398">
        <v>0</v>
      </c>
      <c r="N901" s="164">
        <f t="shared" si="335"/>
        <v>668.7</v>
      </c>
      <c r="O901" s="399">
        <f t="shared" si="343"/>
        <v>0</v>
      </c>
      <c r="P901" s="392">
        <f t="shared" si="357"/>
        <v>0</v>
      </c>
      <c r="Q901" s="164">
        <f t="shared" si="344"/>
        <v>0</v>
      </c>
      <c r="R901" s="164">
        <f t="shared" si="345"/>
        <v>0</v>
      </c>
      <c r="S901" s="164">
        <f t="shared" si="346"/>
        <v>0</v>
      </c>
      <c r="T901" s="164">
        <f t="shared" si="347"/>
        <v>0</v>
      </c>
      <c r="U901" s="164">
        <f t="shared" si="348"/>
        <v>0</v>
      </c>
      <c r="V901" s="393">
        <f t="shared" si="349"/>
        <v>668.7</v>
      </c>
      <c r="W901" s="393">
        <f t="shared" si="350"/>
        <v>-668.7</v>
      </c>
      <c r="Y901" s="393">
        <f t="shared" si="353"/>
        <v>36</v>
      </c>
      <c r="Z901" s="393">
        <f t="shared" si="354"/>
        <v>-36</v>
      </c>
      <c r="AD901" s="395">
        <f>IF(AH901&gt;AH900,AD900,IF(AD900&lt;MiscData!$F$1,EOMONTH(AD900,1),EOMONTH(AD900,-11)))</f>
        <v>41973</v>
      </c>
      <c r="AE901" s="389" t="str">
        <f t="shared" si="351"/>
        <v>20140101KUUM_401</v>
      </c>
      <c r="AF901" s="437" t="str">
        <f t="shared" si="352"/>
        <v>20140101LS</v>
      </c>
      <c r="AG901" s="438"/>
      <c r="AH901" s="34">
        <f>IF(AH900=MiscData!$AB$91,1,AH900+1)</f>
        <v>20</v>
      </c>
      <c r="AI901" s="34">
        <f>IF(AD901&lt;=MiscData!$B$23,MiscData!$C$23,IF(AD901&lt;=MiscData!$B$24,MiscData!$C$24,MiscData!$C$25))</f>
        <v>20140101</v>
      </c>
      <c r="AK901" s="439" t="str">
        <f>VLOOKUP(AM901,MiscData!$AB$4:$ACB$113,2,FALSE)</f>
        <v>KUUM_401</v>
      </c>
      <c r="AL901" s="439" t="str">
        <f>VLOOKUP(AM901,MiscData!$AB$4:$AE$115,4,FALSE)</f>
        <v>LS</v>
      </c>
      <c r="AM901" s="34">
        <f>IF(AM900=MiscData!$AB$91,1,AM900+1)</f>
        <v>20</v>
      </c>
    </row>
    <row r="902" spans="1:39">
      <c r="A902" s="389">
        <f t="shared" si="355"/>
        <v>901</v>
      </c>
      <c r="B902" s="395" t="str">
        <f t="shared" si="337"/>
        <v>Nov 2014</v>
      </c>
      <c r="C902" s="396" t="str">
        <f t="shared" si="338"/>
        <v>RLS</v>
      </c>
      <c r="D902" s="396" t="str">
        <f t="shared" si="339"/>
        <v>KUUM_404</v>
      </c>
      <c r="E902" s="394">
        <f t="shared" si="340"/>
        <v>7082</v>
      </c>
      <c r="F902" s="397">
        <v>0</v>
      </c>
      <c r="G902" s="394">
        <f t="shared" si="336"/>
        <v>0</v>
      </c>
      <c r="H902" s="394">
        <v>0</v>
      </c>
      <c r="I902" s="390">
        <f t="shared" si="341"/>
        <v>10.570000000000002</v>
      </c>
      <c r="J902" s="390">
        <f t="shared" si="342"/>
        <v>1.9900000000000002</v>
      </c>
      <c r="K902" s="391">
        <f t="shared" si="356"/>
        <v>74856.740000000005</v>
      </c>
      <c r="L902" s="398">
        <v>0</v>
      </c>
      <c r="M902" s="398">
        <v>0</v>
      </c>
      <c r="N902" s="164">
        <f t="shared" si="335"/>
        <v>74856.740000000005</v>
      </c>
      <c r="O902" s="399">
        <f t="shared" si="343"/>
        <v>0</v>
      </c>
      <c r="P902" s="392">
        <f t="shared" si="357"/>
        <v>0</v>
      </c>
      <c r="Q902" s="164">
        <f t="shared" si="344"/>
        <v>0</v>
      </c>
      <c r="R902" s="164">
        <f t="shared" si="345"/>
        <v>0</v>
      </c>
      <c r="S902" s="164">
        <f t="shared" si="346"/>
        <v>0</v>
      </c>
      <c r="T902" s="164">
        <f t="shared" si="347"/>
        <v>0</v>
      </c>
      <c r="U902" s="164">
        <f t="shared" si="348"/>
        <v>0</v>
      </c>
      <c r="V902" s="393">
        <f t="shared" si="349"/>
        <v>74856.740000000005</v>
      </c>
      <c r="W902" s="393">
        <f t="shared" si="350"/>
        <v>-74856.740000000005</v>
      </c>
      <c r="Y902" s="393">
        <f t="shared" si="353"/>
        <v>14093.18</v>
      </c>
      <c r="Z902" s="393">
        <f t="shared" si="354"/>
        <v>-14093.18</v>
      </c>
      <c r="AD902" s="395">
        <f>IF(AH902&gt;AH901,AD901,IF(AD901&lt;MiscData!$F$1,EOMONTH(AD901,1),EOMONTH(AD901,-11)))</f>
        <v>41973</v>
      </c>
      <c r="AE902" s="389" t="str">
        <f t="shared" si="351"/>
        <v>20140101KUUM_404</v>
      </c>
      <c r="AF902" s="437" t="str">
        <f t="shared" si="352"/>
        <v>20140101RLS</v>
      </c>
      <c r="AG902" s="438"/>
      <c r="AH902" s="34">
        <f>IF(AH901=MiscData!$AB$91,1,AH901+1)</f>
        <v>21</v>
      </c>
      <c r="AI902" s="34">
        <f>IF(AD902&lt;=MiscData!$B$23,MiscData!$C$23,IF(AD902&lt;=MiscData!$B$24,MiscData!$C$24,MiscData!$C$25))</f>
        <v>20140101</v>
      </c>
      <c r="AK902" s="439" t="str">
        <f>VLOOKUP(AM902,MiscData!$AB$4:$ACB$113,2,FALSE)</f>
        <v>KUUM_404</v>
      </c>
      <c r="AL902" s="439" t="str">
        <f>VLOOKUP(AM902,MiscData!$AB$4:$AE$115,4,FALSE)</f>
        <v>RLS</v>
      </c>
      <c r="AM902" s="34">
        <f>IF(AM901=MiscData!$AB$91,1,AM901+1)</f>
        <v>21</v>
      </c>
    </row>
    <row r="903" spans="1:39">
      <c r="A903" s="389">
        <f t="shared" si="355"/>
        <v>902</v>
      </c>
      <c r="B903" s="395" t="str">
        <f t="shared" si="337"/>
        <v>Nov 2014</v>
      </c>
      <c r="C903" s="396" t="str">
        <f t="shared" si="338"/>
        <v>RLS</v>
      </c>
      <c r="D903" s="396" t="str">
        <f t="shared" si="339"/>
        <v>KUUM_405</v>
      </c>
      <c r="E903" s="394">
        <f t="shared" si="340"/>
        <v>0</v>
      </c>
      <c r="F903" s="397">
        <v>0</v>
      </c>
      <c r="G903" s="394">
        <f t="shared" si="336"/>
        <v>0</v>
      </c>
      <c r="H903" s="394">
        <v>0</v>
      </c>
      <c r="I903" s="390">
        <f t="shared" si="341"/>
        <v>0</v>
      </c>
      <c r="J903" s="390">
        <f t="shared" si="342"/>
        <v>0</v>
      </c>
      <c r="K903" s="391">
        <f t="shared" si="356"/>
        <v>0</v>
      </c>
      <c r="L903" s="398">
        <v>0</v>
      </c>
      <c r="M903" s="398">
        <v>0</v>
      </c>
      <c r="N903" s="164">
        <f t="shared" si="335"/>
        <v>0</v>
      </c>
      <c r="O903" s="399">
        <f t="shared" si="343"/>
        <v>0</v>
      </c>
      <c r="P903" s="392">
        <f t="shared" si="357"/>
        <v>1</v>
      </c>
      <c r="Q903" s="164">
        <f t="shared" si="344"/>
        <v>0</v>
      </c>
      <c r="R903" s="164">
        <f t="shared" si="345"/>
        <v>0</v>
      </c>
      <c r="S903" s="164">
        <f t="shared" si="346"/>
        <v>0</v>
      </c>
      <c r="T903" s="164">
        <f t="shared" si="347"/>
        <v>0</v>
      </c>
      <c r="U903" s="164">
        <f t="shared" si="348"/>
        <v>0</v>
      </c>
      <c r="V903" s="393">
        <f t="shared" si="349"/>
        <v>0</v>
      </c>
      <c r="W903" s="393">
        <f t="shared" si="350"/>
        <v>0</v>
      </c>
      <c r="Y903" s="393">
        <f t="shared" si="353"/>
        <v>0</v>
      </c>
      <c r="Z903" s="393">
        <f t="shared" si="354"/>
        <v>0</v>
      </c>
      <c r="AD903" s="395">
        <f>IF(AH903&gt;AH902,AD902,IF(AD902&lt;MiscData!$F$1,EOMONTH(AD902,1),EOMONTH(AD902,-11)))</f>
        <v>41973</v>
      </c>
      <c r="AE903" s="389" t="str">
        <f t="shared" si="351"/>
        <v>20140101KUUM_405</v>
      </c>
      <c r="AF903" s="437" t="str">
        <f t="shared" si="352"/>
        <v>20140101RLS</v>
      </c>
      <c r="AG903" s="438"/>
      <c r="AH903" s="34">
        <f>IF(AH902=MiscData!$AB$91,1,AH902+1)</f>
        <v>22</v>
      </c>
      <c r="AI903" s="34">
        <f>IF(AD903&lt;=MiscData!$B$23,MiscData!$C$23,IF(AD903&lt;=MiscData!$B$24,MiscData!$C$24,MiscData!$C$25))</f>
        <v>20140101</v>
      </c>
      <c r="AK903" s="439" t="str">
        <f>VLOOKUP(AM903,MiscData!$AB$4:$ACB$113,2,FALSE)</f>
        <v>KUUM_405</v>
      </c>
      <c r="AL903" s="439" t="str">
        <f>VLOOKUP(AM903,MiscData!$AB$4:$AE$115,4,FALSE)</f>
        <v>RLS</v>
      </c>
      <c r="AM903" s="34">
        <f>IF(AM902=MiscData!$AB$91,1,AM902+1)</f>
        <v>22</v>
      </c>
    </row>
    <row r="904" spans="1:39">
      <c r="A904" s="389">
        <f t="shared" si="355"/>
        <v>903</v>
      </c>
      <c r="B904" s="395" t="str">
        <f t="shared" si="337"/>
        <v>Nov 2014</v>
      </c>
      <c r="C904" s="396" t="str">
        <f t="shared" si="338"/>
        <v>LS</v>
      </c>
      <c r="D904" s="396" t="str">
        <f t="shared" si="339"/>
        <v>KUUM_407</v>
      </c>
      <c r="E904" s="394">
        <f t="shared" si="340"/>
        <v>0</v>
      </c>
      <c r="F904" s="397">
        <v>0</v>
      </c>
      <c r="G904" s="394">
        <f t="shared" si="336"/>
        <v>0</v>
      </c>
      <c r="H904" s="394">
        <v>0</v>
      </c>
      <c r="I904" s="390">
        <f t="shared" si="341"/>
        <v>0</v>
      </c>
      <c r="J904" s="390">
        <f t="shared" si="342"/>
        <v>0</v>
      </c>
      <c r="K904" s="391">
        <f t="shared" si="356"/>
        <v>0</v>
      </c>
      <c r="L904" s="398">
        <v>0</v>
      </c>
      <c r="M904" s="398">
        <v>0</v>
      </c>
      <c r="N904" s="164">
        <f t="shared" si="335"/>
        <v>0</v>
      </c>
      <c r="O904" s="399">
        <f t="shared" si="343"/>
        <v>0</v>
      </c>
      <c r="P904" s="392">
        <f t="shared" si="357"/>
        <v>1</v>
      </c>
      <c r="Q904" s="164">
        <f t="shared" si="344"/>
        <v>0</v>
      </c>
      <c r="R904" s="164">
        <f t="shared" si="345"/>
        <v>0</v>
      </c>
      <c r="S904" s="164">
        <f t="shared" si="346"/>
        <v>0</v>
      </c>
      <c r="T904" s="164">
        <f t="shared" si="347"/>
        <v>0</v>
      </c>
      <c r="U904" s="164">
        <f t="shared" si="348"/>
        <v>0</v>
      </c>
      <c r="V904" s="393">
        <f t="shared" si="349"/>
        <v>0</v>
      </c>
      <c r="W904" s="393">
        <f t="shared" si="350"/>
        <v>0</v>
      </c>
      <c r="Y904" s="393">
        <f t="shared" si="353"/>
        <v>0</v>
      </c>
      <c r="Z904" s="393">
        <f t="shared" si="354"/>
        <v>0</v>
      </c>
      <c r="AD904" s="395">
        <f>IF(AH904&gt;AH903,AD903,IF(AD903&lt;MiscData!$F$1,EOMONTH(AD903,1),EOMONTH(AD903,-11)))</f>
        <v>41973</v>
      </c>
      <c r="AE904" s="389" t="str">
        <f t="shared" si="351"/>
        <v>20140101KUUM_407</v>
      </c>
      <c r="AF904" s="437" t="str">
        <f t="shared" si="352"/>
        <v>20140101LS</v>
      </c>
      <c r="AG904" s="438"/>
      <c r="AH904" s="34">
        <f>IF(AH903=MiscData!$AB$91,1,AH903+1)</f>
        <v>23</v>
      </c>
      <c r="AI904" s="34">
        <f>IF(AD904&lt;=MiscData!$B$23,MiscData!$C$23,IF(AD904&lt;=MiscData!$B$24,MiscData!$C$24,MiscData!$C$25))</f>
        <v>20140101</v>
      </c>
      <c r="AK904" s="439" t="str">
        <f>VLOOKUP(AM904,MiscData!$AB$4:$ACB$113,2,FALSE)</f>
        <v>KUUM_407</v>
      </c>
      <c r="AL904" s="439" t="str">
        <f>VLOOKUP(AM904,MiscData!$AB$4:$AE$115,4,FALSE)</f>
        <v>LS</v>
      </c>
      <c r="AM904" s="34">
        <f>IF(AM903=MiscData!$AB$91,1,AM903+1)</f>
        <v>23</v>
      </c>
    </row>
    <row r="905" spans="1:39">
      <c r="A905" s="389">
        <f t="shared" si="355"/>
        <v>904</v>
      </c>
      <c r="B905" s="395" t="str">
        <f t="shared" si="337"/>
        <v>Nov 2014</v>
      </c>
      <c r="C905" s="396" t="str">
        <f t="shared" si="338"/>
        <v>RLS</v>
      </c>
      <c r="D905" s="396" t="str">
        <f t="shared" si="339"/>
        <v>KUUM_409</v>
      </c>
      <c r="E905" s="394">
        <f t="shared" si="340"/>
        <v>133</v>
      </c>
      <c r="F905" s="397">
        <v>0</v>
      </c>
      <c r="G905" s="394">
        <f t="shared" si="336"/>
        <v>0</v>
      </c>
      <c r="H905" s="394">
        <v>0</v>
      </c>
      <c r="I905" s="390">
        <f t="shared" si="341"/>
        <v>11.71</v>
      </c>
      <c r="J905" s="390">
        <f t="shared" si="342"/>
        <v>4.5299999999999994</v>
      </c>
      <c r="K905" s="391">
        <f t="shared" si="356"/>
        <v>1557.43</v>
      </c>
      <c r="L905" s="398">
        <v>0</v>
      </c>
      <c r="M905" s="398">
        <v>0</v>
      </c>
      <c r="N905" s="164">
        <f t="shared" si="335"/>
        <v>1557.43</v>
      </c>
      <c r="O905" s="399">
        <f t="shared" si="343"/>
        <v>0</v>
      </c>
      <c r="P905" s="392">
        <f t="shared" si="357"/>
        <v>0</v>
      </c>
      <c r="Q905" s="164">
        <f t="shared" si="344"/>
        <v>0</v>
      </c>
      <c r="R905" s="164">
        <f t="shared" si="345"/>
        <v>0</v>
      </c>
      <c r="S905" s="164">
        <f t="shared" si="346"/>
        <v>0</v>
      </c>
      <c r="T905" s="164">
        <f t="shared" si="347"/>
        <v>0</v>
      </c>
      <c r="U905" s="164">
        <f t="shared" si="348"/>
        <v>0</v>
      </c>
      <c r="V905" s="393">
        <f t="shared" si="349"/>
        <v>1557.43</v>
      </c>
      <c r="W905" s="393">
        <f t="shared" si="350"/>
        <v>-1557.43</v>
      </c>
      <c r="Y905" s="393">
        <f t="shared" si="353"/>
        <v>602.49</v>
      </c>
      <c r="Z905" s="393">
        <f t="shared" si="354"/>
        <v>-602.49</v>
      </c>
      <c r="AD905" s="395">
        <f>IF(AH905&gt;AH904,AD904,IF(AD904&lt;MiscData!$F$1,EOMONTH(AD904,1),EOMONTH(AD904,-11)))</f>
        <v>41973</v>
      </c>
      <c r="AE905" s="389" t="str">
        <f t="shared" si="351"/>
        <v>20140101KUUM_409</v>
      </c>
      <c r="AF905" s="437" t="str">
        <f t="shared" si="352"/>
        <v>20140101RLS</v>
      </c>
      <c r="AG905" s="438"/>
      <c r="AH905" s="34">
        <f>IF(AH904=MiscData!$AB$91,1,AH904+1)</f>
        <v>24</v>
      </c>
      <c r="AI905" s="34">
        <f>IF(AD905&lt;=MiscData!$B$23,MiscData!$C$23,IF(AD905&lt;=MiscData!$B$24,MiscData!$C$24,MiscData!$C$25))</f>
        <v>20140101</v>
      </c>
      <c r="AK905" s="439" t="str">
        <f>VLOOKUP(AM905,MiscData!$AB$4:$ACB$113,2,FALSE)</f>
        <v>KUUM_409</v>
      </c>
      <c r="AL905" s="439" t="str">
        <f>VLOOKUP(AM905,MiscData!$AB$4:$AE$115,4,FALSE)</f>
        <v>RLS</v>
      </c>
      <c r="AM905" s="34">
        <f>IF(AM904=MiscData!$AB$91,1,AM904+1)</f>
        <v>24</v>
      </c>
    </row>
    <row r="906" spans="1:39">
      <c r="A906" s="389">
        <f t="shared" si="355"/>
        <v>905</v>
      </c>
      <c r="B906" s="395" t="str">
        <f t="shared" si="337"/>
        <v>Nov 2014</v>
      </c>
      <c r="C906" s="396" t="str">
        <f t="shared" si="338"/>
        <v>RLS</v>
      </c>
      <c r="D906" s="396" t="str">
        <f t="shared" si="339"/>
        <v>KUUM_410</v>
      </c>
      <c r="E906" s="394">
        <f t="shared" si="340"/>
        <v>236</v>
      </c>
      <c r="F906" s="397">
        <v>0</v>
      </c>
      <c r="G906" s="394">
        <f t="shared" si="336"/>
        <v>0</v>
      </c>
      <c r="H906" s="394">
        <v>0</v>
      </c>
      <c r="I906" s="390">
        <f t="shared" si="341"/>
        <v>20.259999999999998</v>
      </c>
      <c r="J906" s="390">
        <f t="shared" si="342"/>
        <v>0.57000000000000028</v>
      </c>
      <c r="K906" s="391">
        <f t="shared" si="356"/>
        <v>4781.3599999999997</v>
      </c>
      <c r="L906" s="398">
        <v>0</v>
      </c>
      <c r="M906" s="398">
        <v>0</v>
      </c>
      <c r="N906" s="164">
        <f t="shared" si="335"/>
        <v>4781.3599999999997</v>
      </c>
      <c r="O906" s="399">
        <f t="shared" si="343"/>
        <v>0</v>
      </c>
      <c r="P906" s="392">
        <f t="shared" si="357"/>
        <v>0</v>
      </c>
      <c r="Q906" s="164">
        <f t="shared" si="344"/>
        <v>0</v>
      </c>
      <c r="R906" s="164">
        <f t="shared" si="345"/>
        <v>0</v>
      </c>
      <c r="S906" s="164">
        <f t="shared" si="346"/>
        <v>0</v>
      </c>
      <c r="T906" s="164">
        <f t="shared" si="347"/>
        <v>0</v>
      </c>
      <c r="U906" s="164">
        <f t="shared" si="348"/>
        <v>0</v>
      </c>
      <c r="V906" s="393">
        <f t="shared" si="349"/>
        <v>4781.3599999999997</v>
      </c>
      <c r="W906" s="393">
        <f t="shared" si="350"/>
        <v>-4781.3599999999997</v>
      </c>
      <c r="Y906" s="393">
        <f t="shared" si="353"/>
        <v>134.52000000000001</v>
      </c>
      <c r="Z906" s="393">
        <f t="shared" si="354"/>
        <v>-134.52000000000001</v>
      </c>
      <c r="AD906" s="395">
        <f>IF(AH906&gt;AH905,AD905,IF(AD905&lt;MiscData!$F$1,EOMONTH(AD905,1),EOMONTH(AD905,-11)))</f>
        <v>41973</v>
      </c>
      <c r="AE906" s="389" t="str">
        <f t="shared" si="351"/>
        <v>20140101KUUM_410</v>
      </c>
      <c r="AF906" s="437" t="str">
        <f t="shared" si="352"/>
        <v>20140101RLS</v>
      </c>
      <c r="AG906" s="438"/>
      <c r="AH906" s="34">
        <f>IF(AH905=MiscData!$AB$91,1,AH905+1)</f>
        <v>25</v>
      </c>
      <c r="AI906" s="34">
        <f>IF(AD906&lt;=MiscData!$B$23,MiscData!$C$23,IF(AD906&lt;=MiscData!$B$24,MiscData!$C$24,MiscData!$C$25))</f>
        <v>20140101</v>
      </c>
      <c r="AK906" s="439" t="str">
        <f>VLOOKUP(AM906,MiscData!$AB$4:$ACB$113,2,FALSE)</f>
        <v>KUUM_410</v>
      </c>
      <c r="AL906" s="439" t="str">
        <f>VLOOKUP(AM906,MiscData!$AB$4:$AE$115,4,FALSE)</f>
        <v>RLS</v>
      </c>
      <c r="AM906" s="34">
        <f>IF(AM905=MiscData!$AB$91,1,AM905+1)</f>
        <v>25</v>
      </c>
    </row>
    <row r="907" spans="1:39">
      <c r="A907" s="389">
        <f t="shared" si="355"/>
        <v>906</v>
      </c>
      <c r="B907" s="395" t="str">
        <f t="shared" si="337"/>
        <v>Nov 2014</v>
      </c>
      <c r="C907" s="396" t="str">
        <f t="shared" si="338"/>
        <v>LS</v>
      </c>
      <c r="D907" s="396" t="str">
        <f t="shared" si="339"/>
        <v>KUUM_411</v>
      </c>
      <c r="E907" s="394">
        <f t="shared" si="340"/>
        <v>142</v>
      </c>
      <c r="F907" s="397">
        <v>0</v>
      </c>
      <c r="G907" s="394">
        <f t="shared" si="336"/>
        <v>0</v>
      </c>
      <c r="H907" s="394">
        <v>0</v>
      </c>
      <c r="I907" s="390">
        <f t="shared" si="341"/>
        <v>21.38</v>
      </c>
      <c r="J907" s="390">
        <f t="shared" si="342"/>
        <v>0.79999999999999716</v>
      </c>
      <c r="K907" s="391">
        <f t="shared" si="356"/>
        <v>3035.96</v>
      </c>
      <c r="L907" s="398">
        <v>0</v>
      </c>
      <c r="M907" s="398">
        <v>0</v>
      </c>
      <c r="N907" s="164">
        <f t="shared" si="335"/>
        <v>3035.96</v>
      </c>
      <c r="O907" s="399">
        <f t="shared" si="343"/>
        <v>0</v>
      </c>
      <c r="P907" s="392">
        <f t="shared" si="357"/>
        <v>0</v>
      </c>
      <c r="Q907" s="164">
        <f t="shared" si="344"/>
        <v>0</v>
      </c>
      <c r="R907" s="164">
        <f t="shared" si="345"/>
        <v>0</v>
      </c>
      <c r="S907" s="164">
        <f t="shared" si="346"/>
        <v>0</v>
      </c>
      <c r="T907" s="164">
        <f t="shared" si="347"/>
        <v>0</v>
      </c>
      <c r="U907" s="164">
        <f t="shared" si="348"/>
        <v>0</v>
      </c>
      <c r="V907" s="393">
        <f t="shared" si="349"/>
        <v>3035.96</v>
      </c>
      <c r="W907" s="393">
        <f t="shared" si="350"/>
        <v>-3035.96</v>
      </c>
      <c r="Y907" s="393">
        <f t="shared" si="353"/>
        <v>113.6</v>
      </c>
      <c r="Z907" s="393">
        <f t="shared" si="354"/>
        <v>-113.6</v>
      </c>
      <c r="AD907" s="395">
        <f>IF(AH907&gt;AH906,AD906,IF(AD906&lt;MiscData!$F$1,EOMONTH(AD906,1),EOMONTH(AD906,-11)))</f>
        <v>41973</v>
      </c>
      <c r="AE907" s="389" t="str">
        <f t="shared" si="351"/>
        <v>20140101KUUM_411</v>
      </c>
      <c r="AF907" s="437" t="str">
        <f t="shared" si="352"/>
        <v>20140101LS</v>
      </c>
      <c r="AG907" s="438"/>
      <c r="AH907" s="34">
        <f>IF(AH906=MiscData!$AB$91,1,AH906+1)</f>
        <v>26</v>
      </c>
      <c r="AI907" s="34">
        <f>IF(AD907&lt;=MiscData!$B$23,MiscData!$C$23,IF(AD907&lt;=MiscData!$B$24,MiscData!$C$24,MiscData!$C$25))</f>
        <v>20140101</v>
      </c>
      <c r="AK907" s="439" t="str">
        <f>VLOOKUP(AM907,MiscData!$AB$4:$ACB$113,2,FALSE)</f>
        <v>KUUM_411</v>
      </c>
      <c r="AL907" s="439" t="str">
        <f>VLOOKUP(AM907,MiscData!$AB$4:$AE$115,4,FALSE)</f>
        <v>LS</v>
      </c>
      <c r="AM907" s="34">
        <f>IF(AM906=MiscData!$AB$91,1,AM906+1)</f>
        <v>26</v>
      </c>
    </row>
    <row r="908" spans="1:39">
      <c r="A908" s="389">
        <f t="shared" si="355"/>
        <v>907</v>
      </c>
      <c r="B908" s="395" t="str">
        <f t="shared" si="337"/>
        <v>Nov 2014</v>
      </c>
      <c r="C908" s="396" t="str">
        <f t="shared" si="338"/>
        <v>RLS</v>
      </c>
      <c r="D908" s="396" t="str">
        <f t="shared" si="339"/>
        <v>KUUM_412</v>
      </c>
      <c r="E908" s="394">
        <f t="shared" si="340"/>
        <v>28</v>
      </c>
      <c r="F908" s="397">
        <v>0</v>
      </c>
      <c r="G908" s="394">
        <f t="shared" si="336"/>
        <v>0</v>
      </c>
      <c r="H908" s="394">
        <v>0</v>
      </c>
      <c r="I908" s="390">
        <f t="shared" si="341"/>
        <v>30.84</v>
      </c>
      <c r="J908" s="390">
        <f t="shared" si="342"/>
        <v>0.79999999999999716</v>
      </c>
      <c r="K908" s="391">
        <f t="shared" si="356"/>
        <v>863.52</v>
      </c>
      <c r="L908" s="398">
        <v>0</v>
      </c>
      <c r="M908" s="398">
        <v>0</v>
      </c>
      <c r="N908" s="164">
        <f t="shared" si="335"/>
        <v>863.52</v>
      </c>
      <c r="O908" s="399">
        <f t="shared" si="343"/>
        <v>0</v>
      </c>
      <c r="P908" s="392">
        <f t="shared" si="357"/>
        <v>0</v>
      </c>
      <c r="Q908" s="164">
        <f t="shared" si="344"/>
        <v>0</v>
      </c>
      <c r="R908" s="164">
        <f t="shared" si="345"/>
        <v>0</v>
      </c>
      <c r="S908" s="164">
        <f t="shared" si="346"/>
        <v>0</v>
      </c>
      <c r="T908" s="164">
        <f t="shared" si="347"/>
        <v>0</v>
      </c>
      <c r="U908" s="164">
        <f t="shared" si="348"/>
        <v>0</v>
      </c>
      <c r="V908" s="393">
        <f t="shared" si="349"/>
        <v>863.52</v>
      </c>
      <c r="W908" s="393">
        <f t="shared" si="350"/>
        <v>-863.52</v>
      </c>
      <c r="Y908" s="393">
        <f t="shared" si="353"/>
        <v>22.4</v>
      </c>
      <c r="Z908" s="393">
        <f t="shared" si="354"/>
        <v>-22.4</v>
      </c>
      <c r="AD908" s="395">
        <f>IF(AH908&gt;AH907,AD907,IF(AD907&lt;MiscData!$F$1,EOMONTH(AD907,1),EOMONTH(AD907,-11)))</f>
        <v>41973</v>
      </c>
      <c r="AE908" s="389" t="str">
        <f t="shared" si="351"/>
        <v>20140101KUUM_412</v>
      </c>
      <c r="AF908" s="437" t="str">
        <f t="shared" si="352"/>
        <v>20140101RLS</v>
      </c>
      <c r="AG908" s="438"/>
      <c r="AH908" s="34">
        <f>IF(AH907=MiscData!$AB$91,1,AH907+1)</f>
        <v>27</v>
      </c>
      <c r="AI908" s="34">
        <f>IF(AD908&lt;=MiscData!$B$23,MiscData!$C$23,IF(AD908&lt;=MiscData!$B$24,MiscData!$C$24,MiscData!$C$25))</f>
        <v>20140101</v>
      </c>
      <c r="AK908" s="439" t="str">
        <f>VLOOKUP(AM908,MiscData!$AB$4:$ACB$113,2,FALSE)</f>
        <v>KUUM_412</v>
      </c>
      <c r="AL908" s="439" t="str">
        <f>VLOOKUP(AM908,MiscData!$AB$4:$AE$115,4,FALSE)</f>
        <v>RLS</v>
      </c>
      <c r="AM908" s="34">
        <f>IF(AM907=MiscData!$AB$91,1,AM907+1)</f>
        <v>27</v>
      </c>
    </row>
    <row r="909" spans="1:39">
      <c r="A909" s="389">
        <f t="shared" si="355"/>
        <v>908</v>
      </c>
      <c r="B909" s="395" t="str">
        <f t="shared" si="337"/>
        <v>Nov 2014</v>
      </c>
      <c r="C909" s="396" t="str">
        <f t="shared" si="338"/>
        <v>RLS</v>
      </c>
      <c r="D909" s="396" t="str">
        <f t="shared" si="339"/>
        <v>KUUM_413</v>
      </c>
      <c r="E909" s="394">
        <f t="shared" si="340"/>
        <v>95</v>
      </c>
      <c r="F909" s="397">
        <v>0</v>
      </c>
      <c r="G909" s="394">
        <f t="shared" si="336"/>
        <v>0</v>
      </c>
      <c r="H909" s="394">
        <v>0</v>
      </c>
      <c r="I909" s="390">
        <f t="shared" si="341"/>
        <v>31.22</v>
      </c>
      <c r="J909" s="390">
        <f t="shared" si="342"/>
        <v>1.129999999999999</v>
      </c>
      <c r="K909" s="391">
        <f t="shared" si="356"/>
        <v>2965.9</v>
      </c>
      <c r="L909" s="398">
        <v>0</v>
      </c>
      <c r="M909" s="398">
        <v>0</v>
      </c>
      <c r="N909" s="164">
        <f t="shared" si="335"/>
        <v>2965.9</v>
      </c>
      <c r="O909" s="399">
        <f t="shared" si="343"/>
        <v>0</v>
      </c>
      <c r="P909" s="392">
        <f t="shared" si="357"/>
        <v>0</v>
      </c>
      <c r="Q909" s="164">
        <f t="shared" si="344"/>
        <v>0</v>
      </c>
      <c r="R909" s="164">
        <f t="shared" si="345"/>
        <v>0</v>
      </c>
      <c r="S909" s="164">
        <f t="shared" si="346"/>
        <v>0</v>
      </c>
      <c r="T909" s="164">
        <f t="shared" si="347"/>
        <v>0</v>
      </c>
      <c r="U909" s="164">
        <f t="shared" si="348"/>
        <v>0</v>
      </c>
      <c r="V909" s="393">
        <f t="shared" si="349"/>
        <v>2965.9</v>
      </c>
      <c r="W909" s="393">
        <f t="shared" si="350"/>
        <v>-2965.9</v>
      </c>
      <c r="Y909" s="393">
        <f t="shared" si="353"/>
        <v>107.35</v>
      </c>
      <c r="Z909" s="393">
        <f t="shared" si="354"/>
        <v>-107.35</v>
      </c>
      <c r="AD909" s="395">
        <f>IF(AH909&gt;AH908,AD908,IF(AD908&lt;MiscData!$F$1,EOMONTH(AD908,1),EOMONTH(AD908,-11)))</f>
        <v>41973</v>
      </c>
      <c r="AE909" s="389" t="str">
        <f t="shared" si="351"/>
        <v>20140101KUUM_413</v>
      </c>
      <c r="AF909" s="437" t="str">
        <f t="shared" si="352"/>
        <v>20140101RLS</v>
      </c>
      <c r="AG909" s="438"/>
      <c r="AH909" s="34">
        <f>IF(AH908=MiscData!$AB$91,1,AH908+1)</f>
        <v>28</v>
      </c>
      <c r="AI909" s="34">
        <f>IF(AD909&lt;=MiscData!$B$23,MiscData!$C$23,IF(AD909&lt;=MiscData!$B$24,MiscData!$C$24,MiscData!$C$25))</f>
        <v>20140101</v>
      </c>
      <c r="AK909" s="439" t="str">
        <f>VLOOKUP(AM909,MiscData!$AB$4:$ACB$113,2,FALSE)</f>
        <v>KUUM_413</v>
      </c>
      <c r="AL909" s="439" t="str">
        <f>VLOOKUP(AM909,MiscData!$AB$4:$AE$115,4,FALSE)</f>
        <v>RLS</v>
      </c>
      <c r="AM909" s="34">
        <f>IF(AM908=MiscData!$AB$91,1,AM908+1)</f>
        <v>28</v>
      </c>
    </row>
    <row r="910" spans="1:39">
      <c r="A910" s="389">
        <f t="shared" si="355"/>
        <v>909</v>
      </c>
      <c r="B910" s="395" t="str">
        <f t="shared" si="337"/>
        <v>Nov 2014</v>
      </c>
      <c r="C910" s="396" t="str">
        <f t="shared" si="338"/>
        <v>LS</v>
      </c>
      <c r="D910" s="396" t="str">
        <f t="shared" si="339"/>
        <v>KUUM_414</v>
      </c>
      <c r="E910" s="394">
        <f t="shared" si="340"/>
        <v>21</v>
      </c>
      <c r="F910" s="397">
        <v>0</v>
      </c>
      <c r="G910" s="394">
        <f t="shared" si="336"/>
        <v>0</v>
      </c>
      <c r="H910" s="394">
        <v>0</v>
      </c>
      <c r="I910" s="390">
        <f t="shared" si="341"/>
        <v>30.84</v>
      </c>
      <c r="J910" s="390">
        <f t="shared" si="342"/>
        <v>0.79999999999999716</v>
      </c>
      <c r="K910" s="391">
        <f t="shared" si="356"/>
        <v>647.64</v>
      </c>
      <c r="L910" s="398">
        <v>0</v>
      </c>
      <c r="M910" s="398">
        <v>0</v>
      </c>
      <c r="N910" s="164">
        <f t="shared" si="335"/>
        <v>647.64</v>
      </c>
      <c r="O910" s="399">
        <f t="shared" si="343"/>
        <v>0</v>
      </c>
      <c r="P910" s="392">
        <f t="shared" si="357"/>
        <v>0</v>
      </c>
      <c r="Q910" s="164">
        <f t="shared" si="344"/>
        <v>0</v>
      </c>
      <c r="R910" s="164">
        <f t="shared" si="345"/>
        <v>0</v>
      </c>
      <c r="S910" s="164">
        <f t="shared" si="346"/>
        <v>0</v>
      </c>
      <c r="T910" s="164">
        <f t="shared" si="347"/>
        <v>0</v>
      </c>
      <c r="U910" s="164">
        <f t="shared" si="348"/>
        <v>0</v>
      </c>
      <c r="V910" s="393">
        <f t="shared" si="349"/>
        <v>647.64</v>
      </c>
      <c r="W910" s="393">
        <f t="shared" si="350"/>
        <v>-647.64</v>
      </c>
      <c r="Y910" s="393">
        <f t="shared" si="353"/>
        <v>16.8</v>
      </c>
      <c r="Z910" s="393">
        <f t="shared" si="354"/>
        <v>-16.8</v>
      </c>
      <c r="AD910" s="395">
        <f>IF(AH910&gt;AH909,AD909,IF(AD909&lt;MiscData!$F$1,EOMONTH(AD909,1),EOMONTH(AD909,-11)))</f>
        <v>41973</v>
      </c>
      <c r="AE910" s="389" t="str">
        <f t="shared" si="351"/>
        <v>20140101KUUM_414</v>
      </c>
      <c r="AF910" s="437" t="str">
        <f t="shared" si="352"/>
        <v>20140101LS</v>
      </c>
      <c r="AG910" s="438"/>
      <c r="AH910" s="34">
        <f>IF(AH909=MiscData!$AB$91,1,AH909+1)</f>
        <v>29</v>
      </c>
      <c r="AI910" s="34">
        <f>IF(AD910&lt;=MiscData!$B$23,MiscData!$C$23,IF(AD910&lt;=MiscData!$B$24,MiscData!$C$24,MiscData!$C$25))</f>
        <v>20140101</v>
      </c>
      <c r="AK910" s="439" t="str">
        <f>VLOOKUP(AM910,MiscData!$AB$4:$ACB$113,2,FALSE)</f>
        <v>KUUM_414</v>
      </c>
      <c r="AL910" s="439" t="str">
        <f>VLOOKUP(AM910,MiscData!$AB$4:$AE$115,4,FALSE)</f>
        <v>LS</v>
      </c>
      <c r="AM910" s="34">
        <f>IF(AM909=MiscData!$AB$91,1,AM909+1)</f>
        <v>29</v>
      </c>
    </row>
    <row r="911" spans="1:39">
      <c r="A911" s="389">
        <f t="shared" si="355"/>
        <v>910</v>
      </c>
      <c r="B911" s="395" t="str">
        <f t="shared" si="337"/>
        <v>Nov 2014</v>
      </c>
      <c r="C911" s="396" t="str">
        <f t="shared" si="338"/>
        <v>LS</v>
      </c>
      <c r="D911" s="396" t="str">
        <f t="shared" si="339"/>
        <v>KUUM_415</v>
      </c>
      <c r="E911" s="394">
        <f t="shared" si="340"/>
        <v>10</v>
      </c>
      <c r="F911" s="397">
        <v>0</v>
      </c>
      <c r="G911" s="394">
        <f t="shared" si="336"/>
        <v>0</v>
      </c>
      <c r="H911" s="394">
        <v>0</v>
      </c>
      <c r="I911" s="390">
        <f t="shared" si="341"/>
        <v>31.22</v>
      </c>
      <c r="J911" s="390">
        <f t="shared" si="342"/>
        <v>1.129999999999999</v>
      </c>
      <c r="K911" s="391">
        <f t="shared" si="356"/>
        <v>312.2</v>
      </c>
      <c r="L911" s="398">
        <v>0</v>
      </c>
      <c r="M911" s="398">
        <v>0</v>
      </c>
      <c r="N911" s="164">
        <f t="shared" si="335"/>
        <v>312.2</v>
      </c>
      <c r="O911" s="399">
        <f t="shared" si="343"/>
        <v>0</v>
      </c>
      <c r="P911" s="392">
        <f t="shared" si="357"/>
        <v>0</v>
      </c>
      <c r="Q911" s="164">
        <f t="shared" si="344"/>
        <v>0</v>
      </c>
      <c r="R911" s="164">
        <f t="shared" si="345"/>
        <v>0</v>
      </c>
      <c r="S911" s="164">
        <f t="shared" si="346"/>
        <v>0</v>
      </c>
      <c r="T911" s="164">
        <f t="shared" si="347"/>
        <v>0</v>
      </c>
      <c r="U911" s="164">
        <f t="shared" si="348"/>
        <v>0</v>
      </c>
      <c r="V911" s="393">
        <f t="shared" si="349"/>
        <v>312.2</v>
      </c>
      <c r="W911" s="393">
        <f t="shared" si="350"/>
        <v>-312.2</v>
      </c>
      <c r="Y911" s="393">
        <f t="shared" si="353"/>
        <v>11.3</v>
      </c>
      <c r="Z911" s="393">
        <f t="shared" si="354"/>
        <v>-11.3</v>
      </c>
      <c r="AD911" s="395">
        <f>IF(AH911&gt;AH910,AD910,IF(AD910&lt;MiscData!$F$1,EOMONTH(AD910,1),EOMONTH(AD910,-11)))</f>
        <v>41973</v>
      </c>
      <c r="AE911" s="389" t="str">
        <f t="shared" si="351"/>
        <v>20140101KUUM_415</v>
      </c>
      <c r="AF911" s="437" t="str">
        <f t="shared" si="352"/>
        <v>20140101LS</v>
      </c>
      <c r="AG911" s="438"/>
      <c r="AH911" s="34">
        <f>IF(AH910=MiscData!$AB$91,1,AH910+1)</f>
        <v>30</v>
      </c>
      <c r="AI911" s="34">
        <f>IF(AD911&lt;=MiscData!$B$23,MiscData!$C$23,IF(AD911&lt;=MiscData!$B$24,MiscData!$C$24,MiscData!$C$25))</f>
        <v>20140101</v>
      </c>
      <c r="AK911" s="439" t="str">
        <f>VLOOKUP(AM911,MiscData!$AB$4:$ACB$113,2,FALSE)</f>
        <v>KUUM_415</v>
      </c>
      <c r="AL911" s="439" t="str">
        <f>VLOOKUP(AM911,MiscData!$AB$4:$AE$115,4,FALSE)</f>
        <v>LS</v>
      </c>
      <c r="AM911" s="34">
        <f>IF(AM910=MiscData!$AB$91,1,AM910+1)</f>
        <v>30</v>
      </c>
    </row>
    <row r="912" spans="1:39">
      <c r="A912" s="389">
        <f t="shared" si="355"/>
        <v>911</v>
      </c>
      <c r="B912" s="395" t="str">
        <f t="shared" si="337"/>
        <v>Nov 2014</v>
      </c>
      <c r="C912" s="396" t="str">
        <f t="shared" si="338"/>
        <v>LS</v>
      </c>
      <c r="D912" s="396" t="str">
        <f t="shared" si="339"/>
        <v>KUUM_420</v>
      </c>
      <c r="E912" s="394">
        <f t="shared" si="340"/>
        <v>449</v>
      </c>
      <c r="F912" s="397">
        <v>0</v>
      </c>
      <c r="G912" s="394">
        <f t="shared" si="336"/>
        <v>0</v>
      </c>
      <c r="H912" s="394">
        <v>0</v>
      </c>
      <c r="I912" s="390">
        <f t="shared" si="341"/>
        <v>15.360000000000001</v>
      </c>
      <c r="J912" s="390">
        <f t="shared" si="342"/>
        <v>1.1300000000000008</v>
      </c>
      <c r="K912" s="391">
        <f t="shared" si="356"/>
        <v>6896.64</v>
      </c>
      <c r="L912" s="398">
        <v>0</v>
      </c>
      <c r="M912" s="398">
        <v>0</v>
      </c>
      <c r="N912" s="164">
        <f t="shared" si="335"/>
        <v>6896.64</v>
      </c>
      <c r="O912" s="399">
        <f t="shared" si="343"/>
        <v>0</v>
      </c>
      <c r="P912" s="392">
        <f t="shared" si="357"/>
        <v>0</v>
      </c>
      <c r="Q912" s="164">
        <f t="shared" si="344"/>
        <v>0</v>
      </c>
      <c r="R912" s="164">
        <f t="shared" si="345"/>
        <v>0</v>
      </c>
      <c r="S912" s="164">
        <f t="shared" si="346"/>
        <v>0</v>
      </c>
      <c r="T912" s="164">
        <f t="shared" si="347"/>
        <v>0</v>
      </c>
      <c r="U912" s="164">
        <f t="shared" si="348"/>
        <v>0</v>
      </c>
      <c r="V912" s="393">
        <f t="shared" si="349"/>
        <v>6896.64</v>
      </c>
      <c r="W912" s="393">
        <f t="shared" si="350"/>
        <v>-6896.64</v>
      </c>
      <c r="Y912" s="393">
        <f t="shared" si="353"/>
        <v>507.37</v>
      </c>
      <c r="Z912" s="393">
        <f t="shared" si="354"/>
        <v>-507.37</v>
      </c>
      <c r="AD912" s="395">
        <f>IF(AH912&gt;AH911,AD911,IF(AD911&lt;MiscData!$F$1,EOMONTH(AD911,1),EOMONTH(AD911,-11)))</f>
        <v>41973</v>
      </c>
      <c r="AE912" s="389" t="str">
        <f t="shared" si="351"/>
        <v>20140101KUUM_420</v>
      </c>
      <c r="AF912" s="437" t="str">
        <f t="shared" si="352"/>
        <v>20140101LS</v>
      </c>
      <c r="AG912" s="438"/>
      <c r="AH912" s="34">
        <f>IF(AH911=MiscData!$AB$91,1,AH911+1)</f>
        <v>31</v>
      </c>
      <c r="AI912" s="34">
        <f>IF(AD912&lt;=MiscData!$B$23,MiscData!$C$23,IF(AD912&lt;=MiscData!$B$24,MiscData!$C$24,MiscData!$C$25))</f>
        <v>20140101</v>
      </c>
      <c r="AK912" s="439" t="str">
        <f>VLOOKUP(AM912,MiscData!$AB$4:$ACB$113,2,FALSE)</f>
        <v>KUUM_420</v>
      </c>
      <c r="AL912" s="439" t="str">
        <f>VLOOKUP(AM912,MiscData!$AB$4:$AE$115,4,FALSE)</f>
        <v>LS</v>
      </c>
      <c r="AM912" s="34">
        <f>IF(AM911=MiscData!$AB$91,1,AM911+1)</f>
        <v>31</v>
      </c>
    </row>
    <row r="913" spans="1:39">
      <c r="A913" s="389">
        <f t="shared" si="355"/>
        <v>912</v>
      </c>
      <c r="B913" s="395" t="str">
        <f t="shared" si="337"/>
        <v>Nov 2014</v>
      </c>
      <c r="C913" s="396" t="str">
        <f t="shared" si="338"/>
        <v>RLS</v>
      </c>
      <c r="D913" s="396" t="str">
        <f t="shared" si="339"/>
        <v>KUUM_421</v>
      </c>
      <c r="E913" s="394">
        <f t="shared" si="340"/>
        <v>5</v>
      </c>
      <c r="F913" s="397">
        <v>0</v>
      </c>
      <c r="G913" s="394">
        <f t="shared" si="336"/>
        <v>0</v>
      </c>
      <c r="H913" s="394">
        <v>0</v>
      </c>
      <c r="I913" s="390">
        <f t="shared" si="341"/>
        <v>3.39</v>
      </c>
      <c r="J913" s="390">
        <f t="shared" si="342"/>
        <v>0.98999999999999977</v>
      </c>
      <c r="K913" s="391">
        <f t="shared" si="356"/>
        <v>16.95</v>
      </c>
      <c r="L913" s="398">
        <v>0</v>
      </c>
      <c r="M913" s="398">
        <v>0</v>
      </c>
      <c r="N913" s="164">
        <f t="shared" si="335"/>
        <v>16.95</v>
      </c>
      <c r="O913" s="399">
        <f t="shared" si="343"/>
        <v>0</v>
      </c>
      <c r="P913" s="392">
        <f t="shared" si="357"/>
        <v>0</v>
      </c>
      <c r="Q913" s="164">
        <f t="shared" si="344"/>
        <v>0</v>
      </c>
      <c r="R913" s="164">
        <f t="shared" si="345"/>
        <v>0</v>
      </c>
      <c r="S913" s="164">
        <f t="shared" si="346"/>
        <v>0</v>
      </c>
      <c r="T913" s="164">
        <f t="shared" si="347"/>
        <v>0</v>
      </c>
      <c r="U913" s="164">
        <f t="shared" si="348"/>
        <v>0</v>
      </c>
      <c r="V913" s="393">
        <f t="shared" si="349"/>
        <v>16.95</v>
      </c>
      <c r="W913" s="393">
        <f t="shared" si="350"/>
        <v>-16.95</v>
      </c>
      <c r="Y913" s="393">
        <f t="shared" si="353"/>
        <v>4.95</v>
      </c>
      <c r="Z913" s="393">
        <f t="shared" si="354"/>
        <v>-4.95</v>
      </c>
      <c r="AD913" s="395">
        <f>IF(AH913&gt;AH912,AD912,IF(AD912&lt;MiscData!$F$1,EOMONTH(AD912,1),EOMONTH(AD912,-11)))</f>
        <v>41973</v>
      </c>
      <c r="AE913" s="389" t="str">
        <f t="shared" si="351"/>
        <v>20140101KUUM_421</v>
      </c>
      <c r="AF913" s="437" t="str">
        <f t="shared" si="352"/>
        <v>20140101RLS</v>
      </c>
      <c r="AG913" s="438"/>
      <c r="AH913" s="34">
        <f>IF(AH912=MiscData!$AB$91,1,AH912+1)</f>
        <v>32</v>
      </c>
      <c r="AI913" s="34">
        <f>IF(AD913&lt;=MiscData!$B$23,MiscData!$C$23,IF(AD913&lt;=MiscData!$B$24,MiscData!$C$24,MiscData!$C$25))</f>
        <v>20140101</v>
      </c>
      <c r="AK913" s="439" t="str">
        <f>VLOOKUP(AM913,MiscData!$AB$4:$ACB$113,2,FALSE)</f>
        <v>KUUM_421</v>
      </c>
      <c r="AL913" s="439" t="str">
        <f>VLOOKUP(AM913,MiscData!$AB$4:$AE$115,4,FALSE)</f>
        <v>RLS</v>
      </c>
      <c r="AM913" s="34">
        <f>IF(AM912=MiscData!$AB$91,1,AM912+1)</f>
        <v>32</v>
      </c>
    </row>
    <row r="914" spans="1:39">
      <c r="A914" s="389">
        <f t="shared" si="355"/>
        <v>913</v>
      </c>
      <c r="B914" s="395" t="str">
        <f t="shared" si="337"/>
        <v>Nov 2014</v>
      </c>
      <c r="C914" s="396" t="str">
        <f t="shared" si="338"/>
        <v>RLS</v>
      </c>
      <c r="D914" s="396" t="str">
        <f t="shared" si="339"/>
        <v>KUUM_422</v>
      </c>
      <c r="E914" s="394">
        <f t="shared" si="340"/>
        <v>676</v>
      </c>
      <c r="F914" s="397">
        <v>0</v>
      </c>
      <c r="G914" s="394">
        <f t="shared" si="336"/>
        <v>0</v>
      </c>
      <c r="H914" s="394">
        <v>0</v>
      </c>
      <c r="I914" s="390">
        <f t="shared" si="341"/>
        <v>4.5400000000000009</v>
      </c>
      <c r="J914" s="390">
        <f t="shared" si="342"/>
        <v>1.9400000000000004</v>
      </c>
      <c r="K914" s="391">
        <f t="shared" si="356"/>
        <v>3069.04</v>
      </c>
      <c r="L914" s="398">
        <v>0</v>
      </c>
      <c r="M914" s="398">
        <v>0</v>
      </c>
      <c r="N914" s="164">
        <f t="shared" si="335"/>
        <v>3069.04</v>
      </c>
      <c r="O914" s="399">
        <f t="shared" si="343"/>
        <v>0</v>
      </c>
      <c r="P914" s="392">
        <f t="shared" si="357"/>
        <v>0</v>
      </c>
      <c r="Q914" s="164">
        <f t="shared" si="344"/>
        <v>0</v>
      </c>
      <c r="R914" s="164">
        <f t="shared" si="345"/>
        <v>0</v>
      </c>
      <c r="S914" s="164">
        <f t="shared" si="346"/>
        <v>0</v>
      </c>
      <c r="T914" s="164">
        <f t="shared" si="347"/>
        <v>0</v>
      </c>
      <c r="U914" s="164">
        <f t="shared" si="348"/>
        <v>0</v>
      </c>
      <c r="V914" s="393">
        <f t="shared" si="349"/>
        <v>3069.04</v>
      </c>
      <c r="W914" s="393">
        <f t="shared" si="350"/>
        <v>-3069.04</v>
      </c>
      <c r="Y914" s="393">
        <f t="shared" si="353"/>
        <v>1311.44</v>
      </c>
      <c r="Z914" s="393">
        <f t="shared" si="354"/>
        <v>-1311.44</v>
      </c>
      <c r="AD914" s="395">
        <f>IF(AH914&gt;AH913,AD913,IF(AD913&lt;MiscData!$F$1,EOMONTH(AD913,1),EOMONTH(AD913,-11)))</f>
        <v>41973</v>
      </c>
      <c r="AE914" s="389" t="str">
        <f t="shared" si="351"/>
        <v>20140101KUUM_422</v>
      </c>
      <c r="AF914" s="437" t="str">
        <f t="shared" si="352"/>
        <v>20140101RLS</v>
      </c>
      <c r="AG914" s="438"/>
      <c r="AH914" s="34">
        <f>IF(AH913=MiscData!$AB$91,1,AH913+1)</f>
        <v>33</v>
      </c>
      <c r="AI914" s="34">
        <f>IF(AD914&lt;=MiscData!$B$23,MiscData!$C$23,IF(AD914&lt;=MiscData!$B$24,MiscData!$C$24,MiscData!$C$25))</f>
        <v>20140101</v>
      </c>
      <c r="AK914" s="439" t="str">
        <f>VLOOKUP(AM914,MiscData!$AB$4:$ACB$113,2,FALSE)</f>
        <v>KUUM_422</v>
      </c>
      <c r="AL914" s="439" t="str">
        <f>VLOOKUP(AM914,MiscData!$AB$4:$AE$115,4,FALSE)</f>
        <v>RLS</v>
      </c>
      <c r="AM914" s="34">
        <f>IF(AM913=MiscData!$AB$91,1,AM913+1)</f>
        <v>33</v>
      </c>
    </row>
    <row r="915" spans="1:39">
      <c r="A915" s="389">
        <f t="shared" si="355"/>
        <v>914</v>
      </c>
      <c r="B915" s="395" t="str">
        <f t="shared" si="337"/>
        <v>Nov 2014</v>
      </c>
      <c r="C915" s="396" t="str">
        <f t="shared" si="338"/>
        <v>RLS</v>
      </c>
      <c r="D915" s="396" t="str">
        <f t="shared" si="339"/>
        <v>KUUM_424</v>
      </c>
      <c r="E915" s="394">
        <f t="shared" si="340"/>
        <v>113</v>
      </c>
      <c r="F915" s="397">
        <v>0</v>
      </c>
      <c r="G915" s="394">
        <f t="shared" si="336"/>
        <v>0</v>
      </c>
      <c r="H915" s="394">
        <v>0</v>
      </c>
      <c r="I915" s="390">
        <f t="shared" si="341"/>
        <v>6.78</v>
      </c>
      <c r="J915" s="390">
        <f t="shared" si="342"/>
        <v>0.69999999999999929</v>
      </c>
      <c r="K915" s="391">
        <f t="shared" si="356"/>
        <v>766.14</v>
      </c>
      <c r="L915" s="398">
        <v>0</v>
      </c>
      <c r="M915" s="398">
        <v>0</v>
      </c>
      <c r="N915" s="164">
        <f t="shared" si="335"/>
        <v>766.14</v>
      </c>
      <c r="O915" s="399">
        <f t="shared" si="343"/>
        <v>0</v>
      </c>
      <c r="P915" s="392">
        <f t="shared" si="357"/>
        <v>0</v>
      </c>
      <c r="Q915" s="164">
        <f t="shared" si="344"/>
        <v>0</v>
      </c>
      <c r="R915" s="164">
        <f t="shared" si="345"/>
        <v>0</v>
      </c>
      <c r="S915" s="164">
        <f t="shared" si="346"/>
        <v>0</v>
      </c>
      <c r="T915" s="164">
        <f t="shared" si="347"/>
        <v>0</v>
      </c>
      <c r="U915" s="164">
        <f t="shared" si="348"/>
        <v>0</v>
      </c>
      <c r="V915" s="393">
        <f t="shared" si="349"/>
        <v>766.14</v>
      </c>
      <c r="W915" s="393">
        <f t="shared" si="350"/>
        <v>-766.14</v>
      </c>
      <c r="Y915" s="393">
        <f t="shared" si="353"/>
        <v>79.099999999999994</v>
      </c>
      <c r="Z915" s="393">
        <f t="shared" si="354"/>
        <v>-79.099999999999994</v>
      </c>
      <c r="AD915" s="395">
        <f>IF(AH915&gt;AH914,AD914,IF(AD914&lt;MiscData!$F$1,EOMONTH(AD914,1),EOMONTH(AD914,-11)))</f>
        <v>41973</v>
      </c>
      <c r="AE915" s="389" t="str">
        <f t="shared" si="351"/>
        <v>20140101KUUM_424</v>
      </c>
      <c r="AF915" s="437" t="str">
        <f t="shared" si="352"/>
        <v>20140101RLS</v>
      </c>
      <c r="AG915" s="438"/>
      <c r="AH915" s="34">
        <f>IF(AH914=MiscData!$AB$91,1,AH914+1)</f>
        <v>34</v>
      </c>
      <c r="AI915" s="34">
        <f>IF(AD915&lt;=MiscData!$B$23,MiscData!$C$23,IF(AD915&lt;=MiscData!$B$24,MiscData!$C$24,MiscData!$C$25))</f>
        <v>20140101</v>
      </c>
      <c r="AK915" s="439" t="str">
        <f>VLOOKUP(AM915,MiscData!$AB$4:$ACB$113,2,FALSE)</f>
        <v>KUUM_424</v>
      </c>
      <c r="AL915" s="439" t="str">
        <f>VLOOKUP(AM915,MiscData!$AB$4:$AE$115,4,FALSE)</f>
        <v>RLS</v>
      </c>
      <c r="AM915" s="34">
        <f>IF(AM914=MiscData!$AB$91,1,AM914+1)</f>
        <v>34</v>
      </c>
    </row>
    <row r="916" spans="1:39">
      <c r="A916" s="389">
        <f t="shared" si="355"/>
        <v>915</v>
      </c>
      <c r="B916" s="395" t="str">
        <f t="shared" si="337"/>
        <v>Nov 2014</v>
      </c>
      <c r="C916" s="396" t="str">
        <f t="shared" si="338"/>
        <v>RLS</v>
      </c>
      <c r="D916" s="396" t="str">
        <f t="shared" si="339"/>
        <v>KUUM_425</v>
      </c>
      <c r="E916" s="394">
        <f t="shared" si="340"/>
        <v>2</v>
      </c>
      <c r="F916" s="397">
        <v>0</v>
      </c>
      <c r="G916" s="394">
        <f t="shared" si="336"/>
        <v>0</v>
      </c>
      <c r="H916" s="394">
        <v>0</v>
      </c>
      <c r="I916" s="390">
        <f t="shared" si="341"/>
        <v>9.06</v>
      </c>
      <c r="J916" s="390">
        <f t="shared" si="342"/>
        <v>4.3000000000000007</v>
      </c>
      <c r="K916" s="391">
        <f t="shared" si="356"/>
        <v>18.12</v>
      </c>
      <c r="L916" s="398">
        <v>0</v>
      </c>
      <c r="M916" s="398">
        <v>0</v>
      </c>
      <c r="N916" s="164">
        <f t="shared" si="335"/>
        <v>18.12</v>
      </c>
      <c r="O916" s="399">
        <f t="shared" si="343"/>
        <v>0</v>
      </c>
      <c r="P916" s="392">
        <f t="shared" si="357"/>
        <v>0</v>
      </c>
      <c r="Q916" s="164">
        <f t="shared" si="344"/>
        <v>0</v>
      </c>
      <c r="R916" s="164">
        <f t="shared" si="345"/>
        <v>0</v>
      </c>
      <c r="S916" s="164">
        <f t="shared" si="346"/>
        <v>0</v>
      </c>
      <c r="T916" s="164">
        <f t="shared" si="347"/>
        <v>0</v>
      </c>
      <c r="U916" s="164">
        <f t="shared" si="348"/>
        <v>0</v>
      </c>
      <c r="V916" s="393">
        <f t="shared" si="349"/>
        <v>18.12</v>
      </c>
      <c r="W916" s="393">
        <f t="shared" si="350"/>
        <v>-18.12</v>
      </c>
      <c r="Y916" s="393">
        <f t="shared" si="353"/>
        <v>8.6</v>
      </c>
      <c r="Z916" s="393">
        <f t="shared" si="354"/>
        <v>-8.6</v>
      </c>
      <c r="AD916" s="395">
        <f>IF(AH916&gt;AH915,AD915,IF(AD915&lt;MiscData!$F$1,EOMONTH(AD915,1),EOMONTH(AD915,-11)))</f>
        <v>41973</v>
      </c>
      <c r="AE916" s="389" t="str">
        <f t="shared" si="351"/>
        <v>20140101KUUM_425</v>
      </c>
      <c r="AF916" s="437" t="str">
        <f t="shared" si="352"/>
        <v>20140101RLS</v>
      </c>
      <c r="AG916" s="438"/>
      <c r="AH916" s="34">
        <f>IF(AH915=MiscData!$AB$91,1,AH915+1)</f>
        <v>35</v>
      </c>
      <c r="AI916" s="34">
        <f>IF(AD916&lt;=MiscData!$B$23,MiscData!$C$23,IF(AD916&lt;=MiscData!$B$24,MiscData!$C$24,MiscData!$C$25))</f>
        <v>20140101</v>
      </c>
      <c r="AK916" s="439" t="str">
        <f>VLOOKUP(AM916,MiscData!$AB$4:$ACB$113,2,FALSE)</f>
        <v>KUUM_425</v>
      </c>
      <c r="AL916" s="439" t="str">
        <f>VLOOKUP(AM916,MiscData!$AB$4:$AE$115,4,FALSE)</f>
        <v>RLS</v>
      </c>
      <c r="AM916" s="34">
        <f>IF(AM915=MiscData!$AB$91,1,AM915+1)</f>
        <v>35</v>
      </c>
    </row>
    <row r="917" spans="1:39">
      <c r="A917" s="389">
        <f t="shared" si="355"/>
        <v>916</v>
      </c>
      <c r="B917" s="395" t="str">
        <f t="shared" si="337"/>
        <v>Nov 2014</v>
      </c>
      <c r="C917" s="396" t="str">
        <f t="shared" si="338"/>
        <v>RLS</v>
      </c>
      <c r="D917" s="396" t="str">
        <f t="shared" si="339"/>
        <v>KUUM_426</v>
      </c>
      <c r="E917" s="394">
        <f t="shared" si="340"/>
        <v>162</v>
      </c>
      <c r="F917" s="397">
        <v>0</v>
      </c>
      <c r="G917" s="394">
        <f t="shared" si="336"/>
        <v>0</v>
      </c>
      <c r="H917" s="394">
        <v>0</v>
      </c>
      <c r="I917" s="390">
        <f t="shared" si="341"/>
        <v>7.4399999999999995</v>
      </c>
      <c r="J917" s="390">
        <f t="shared" si="342"/>
        <v>0.79999999999999982</v>
      </c>
      <c r="K917" s="391">
        <f t="shared" si="356"/>
        <v>1205.28</v>
      </c>
      <c r="L917" s="398">
        <v>0</v>
      </c>
      <c r="M917" s="398">
        <v>0</v>
      </c>
      <c r="N917" s="164">
        <f t="shared" si="335"/>
        <v>1205.28</v>
      </c>
      <c r="O917" s="399">
        <f t="shared" si="343"/>
        <v>0</v>
      </c>
      <c r="P917" s="392">
        <f t="shared" si="357"/>
        <v>0</v>
      </c>
      <c r="Q917" s="164">
        <f t="shared" si="344"/>
        <v>0</v>
      </c>
      <c r="R917" s="164">
        <f t="shared" si="345"/>
        <v>0</v>
      </c>
      <c r="S917" s="164">
        <f t="shared" si="346"/>
        <v>0</v>
      </c>
      <c r="T917" s="164">
        <f t="shared" si="347"/>
        <v>0</v>
      </c>
      <c r="U917" s="164">
        <f t="shared" si="348"/>
        <v>0</v>
      </c>
      <c r="V917" s="393">
        <f t="shared" si="349"/>
        <v>1205.28</v>
      </c>
      <c r="W917" s="393">
        <f t="shared" si="350"/>
        <v>-1205.28</v>
      </c>
      <c r="Y917" s="393">
        <f t="shared" si="353"/>
        <v>129.6</v>
      </c>
      <c r="Z917" s="393">
        <f t="shared" si="354"/>
        <v>-129.6</v>
      </c>
      <c r="AD917" s="395">
        <f>IF(AH917&gt;AH916,AD916,IF(AD916&lt;MiscData!$F$1,EOMONTH(AD916,1),EOMONTH(AD916,-11)))</f>
        <v>41973</v>
      </c>
      <c r="AE917" s="389" t="str">
        <f t="shared" si="351"/>
        <v>20140101KUUM_426</v>
      </c>
      <c r="AF917" s="437" t="str">
        <f t="shared" si="352"/>
        <v>20140101RLS</v>
      </c>
      <c r="AG917" s="438"/>
      <c r="AH917" s="34">
        <f>IF(AH916=MiscData!$AB$91,1,AH916+1)</f>
        <v>36</v>
      </c>
      <c r="AI917" s="34">
        <f>IF(AD917&lt;=MiscData!$B$23,MiscData!$C$23,IF(AD917&lt;=MiscData!$B$24,MiscData!$C$24,MiscData!$C$25))</f>
        <v>20140101</v>
      </c>
      <c r="AK917" s="439" t="str">
        <f>VLOOKUP(AM917,MiscData!$AB$4:$ACB$113,2,FALSE)</f>
        <v>KUUM_426</v>
      </c>
      <c r="AL917" s="439" t="str">
        <f>VLOOKUP(AM917,MiscData!$AB$4:$AE$115,4,FALSE)</f>
        <v>RLS</v>
      </c>
      <c r="AM917" s="34">
        <f>IF(AM916=MiscData!$AB$91,1,AM916+1)</f>
        <v>36</v>
      </c>
    </row>
    <row r="918" spans="1:39">
      <c r="A918" s="389">
        <f t="shared" si="355"/>
        <v>917</v>
      </c>
      <c r="B918" s="395" t="str">
        <f t="shared" si="337"/>
        <v>Nov 2014</v>
      </c>
      <c r="C918" s="396" t="str">
        <f t="shared" si="338"/>
        <v>LS</v>
      </c>
      <c r="D918" s="396" t="str">
        <f t="shared" si="339"/>
        <v>KUUM_428</v>
      </c>
      <c r="E918" s="394">
        <f t="shared" si="340"/>
        <v>34807</v>
      </c>
      <c r="F918" s="397">
        <v>0</v>
      </c>
      <c r="G918" s="394">
        <f t="shared" si="336"/>
        <v>0</v>
      </c>
      <c r="H918" s="394">
        <v>0</v>
      </c>
      <c r="I918" s="390">
        <f t="shared" si="341"/>
        <v>7.84</v>
      </c>
      <c r="J918" s="390">
        <f t="shared" si="342"/>
        <v>1.1299999999999999</v>
      </c>
      <c r="K918" s="391">
        <f t="shared" si="356"/>
        <v>272886.88</v>
      </c>
      <c r="L918" s="398">
        <v>0</v>
      </c>
      <c r="M918" s="398">
        <v>0</v>
      </c>
      <c r="N918" s="164">
        <f t="shared" si="335"/>
        <v>272886.88</v>
      </c>
      <c r="O918" s="399">
        <f t="shared" si="343"/>
        <v>0</v>
      </c>
      <c r="P918" s="392">
        <f t="shared" si="357"/>
        <v>0</v>
      </c>
      <c r="Q918" s="164">
        <f t="shared" si="344"/>
        <v>0</v>
      </c>
      <c r="R918" s="164">
        <f t="shared" si="345"/>
        <v>0</v>
      </c>
      <c r="S918" s="164">
        <f t="shared" si="346"/>
        <v>0</v>
      </c>
      <c r="T918" s="164">
        <f t="shared" si="347"/>
        <v>0</v>
      </c>
      <c r="U918" s="164">
        <f t="shared" si="348"/>
        <v>0</v>
      </c>
      <c r="V918" s="393">
        <f t="shared" si="349"/>
        <v>272886.88</v>
      </c>
      <c r="W918" s="393">
        <f t="shared" si="350"/>
        <v>-272886.88</v>
      </c>
      <c r="Y918" s="393">
        <f t="shared" si="353"/>
        <v>39331.910000000003</v>
      </c>
      <c r="Z918" s="393">
        <f t="shared" si="354"/>
        <v>-39331.910000000003</v>
      </c>
      <c r="AD918" s="395">
        <f>IF(AH918&gt;AH917,AD917,IF(AD917&lt;MiscData!$F$1,EOMONTH(AD917,1),EOMONTH(AD917,-11)))</f>
        <v>41973</v>
      </c>
      <c r="AE918" s="389" t="str">
        <f t="shared" si="351"/>
        <v>20140101KUUM_428</v>
      </c>
      <c r="AF918" s="437" t="str">
        <f t="shared" si="352"/>
        <v>20140101LS</v>
      </c>
      <c r="AG918" s="438"/>
      <c r="AH918" s="34">
        <f>IF(AH917=MiscData!$AB$91,1,AH917+1)</f>
        <v>37</v>
      </c>
      <c r="AI918" s="34">
        <f>IF(AD918&lt;=MiscData!$B$23,MiscData!$C$23,IF(AD918&lt;=MiscData!$B$24,MiscData!$C$24,MiscData!$C$25))</f>
        <v>20140101</v>
      </c>
      <c r="AK918" s="439" t="str">
        <f>VLOOKUP(AM918,MiscData!$AB$4:$ACB$113,2,FALSE)</f>
        <v>KUUM_428</v>
      </c>
      <c r="AL918" s="439" t="str">
        <f>VLOOKUP(AM918,MiscData!$AB$4:$AE$115,4,FALSE)</f>
        <v>LS</v>
      </c>
      <c r="AM918" s="34">
        <f>IF(AM917=MiscData!$AB$91,1,AM917+1)</f>
        <v>37</v>
      </c>
    </row>
    <row r="919" spans="1:39">
      <c r="A919" s="389">
        <f t="shared" si="355"/>
        <v>918</v>
      </c>
      <c r="B919" s="395" t="str">
        <f t="shared" si="337"/>
        <v>Nov 2014</v>
      </c>
      <c r="C919" s="396" t="str">
        <f t="shared" si="338"/>
        <v>LS</v>
      </c>
      <c r="D919" s="396" t="str">
        <f t="shared" si="339"/>
        <v>KUUM_429</v>
      </c>
      <c r="E919" s="394">
        <f t="shared" si="340"/>
        <v>0</v>
      </c>
      <c r="F919" s="397">
        <v>0</v>
      </c>
      <c r="G919" s="394">
        <f t="shared" si="336"/>
        <v>0</v>
      </c>
      <c r="H919" s="394">
        <v>0</v>
      </c>
      <c r="I919" s="390">
        <f t="shared" si="341"/>
        <v>0</v>
      </c>
      <c r="J919" s="390">
        <f t="shared" si="342"/>
        <v>0</v>
      </c>
      <c r="K919" s="391">
        <f t="shared" si="356"/>
        <v>0</v>
      </c>
      <c r="L919" s="398">
        <v>0</v>
      </c>
      <c r="M919" s="398">
        <v>0</v>
      </c>
      <c r="N919" s="164">
        <f t="shared" si="335"/>
        <v>0</v>
      </c>
      <c r="O919" s="399">
        <f t="shared" si="343"/>
        <v>0</v>
      </c>
      <c r="P919" s="392">
        <f t="shared" si="357"/>
        <v>1</v>
      </c>
      <c r="Q919" s="164">
        <f t="shared" si="344"/>
        <v>0</v>
      </c>
      <c r="R919" s="164">
        <f t="shared" si="345"/>
        <v>0</v>
      </c>
      <c r="S919" s="164">
        <f t="shared" si="346"/>
        <v>0</v>
      </c>
      <c r="T919" s="164">
        <f t="shared" si="347"/>
        <v>0</v>
      </c>
      <c r="U919" s="164">
        <f t="shared" si="348"/>
        <v>0</v>
      </c>
      <c r="V919" s="393">
        <f t="shared" si="349"/>
        <v>0</v>
      </c>
      <c r="W919" s="393">
        <f t="shared" si="350"/>
        <v>0</v>
      </c>
      <c r="Y919" s="393">
        <f t="shared" si="353"/>
        <v>0</v>
      </c>
      <c r="Z919" s="393">
        <f t="shared" si="354"/>
        <v>0</v>
      </c>
      <c r="AD919" s="395">
        <f>IF(AH919&gt;AH918,AD918,IF(AD918&lt;MiscData!$F$1,EOMONTH(AD918,1),EOMONTH(AD918,-11)))</f>
        <v>41973</v>
      </c>
      <c r="AE919" s="389" t="str">
        <f t="shared" si="351"/>
        <v>20140101KUUM_429</v>
      </c>
      <c r="AF919" s="437" t="str">
        <f t="shared" si="352"/>
        <v>20140101LS</v>
      </c>
      <c r="AG919" s="438"/>
      <c r="AH919" s="34">
        <f>IF(AH918=MiscData!$AB$91,1,AH918+1)</f>
        <v>38</v>
      </c>
      <c r="AI919" s="34">
        <f>IF(AD919&lt;=MiscData!$B$23,MiscData!$C$23,IF(AD919&lt;=MiscData!$B$24,MiscData!$C$24,MiscData!$C$25))</f>
        <v>20140101</v>
      </c>
      <c r="AK919" s="439" t="str">
        <f>VLOOKUP(AM919,MiscData!$AB$4:$ACB$113,2,FALSE)</f>
        <v>KUUM_429</v>
      </c>
      <c r="AL919" s="439" t="str">
        <f>VLOOKUP(AM919,MiscData!$AB$4:$AE$115,4,FALSE)</f>
        <v>LS</v>
      </c>
      <c r="AM919" s="34">
        <f>IF(AM918=MiscData!$AB$91,1,AM918+1)</f>
        <v>38</v>
      </c>
    </row>
    <row r="920" spans="1:39">
      <c r="A920" s="389">
        <f t="shared" si="355"/>
        <v>919</v>
      </c>
      <c r="B920" s="395" t="str">
        <f t="shared" si="337"/>
        <v>Nov 2014</v>
      </c>
      <c r="C920" s="396" t="str">
        <f t="shared" si="338"/>
        <v>LS</v>
      </c>
      <c r="D920" s="396" t="str">
        <f t="shared" si="339"/>
        <v>KUUM_430</v>
      </c>
      <c r="E920" s="394">
        <f t="shared" si="340"/>
        <v>1089</v>
      </c>
      <c r="F920" s="397">
        <v>0</v>
      </c>
      <c r="G920" s="394">
        <f t="shared" si="336"/>
        <v>0</v>
      </c>
      <c r="H920" s="394">
        <v>0</v>
      </c>
      <c r="I920" s="390">
        <f t="shared" si="341"/>
        <v>22</v>
      </c>
      <c r="J920" s="390">
        <f t="shared" si="342"/>
        <v>1.129999999999999</v>
      </c>
      <c r="K920" s="391">
        <f t="shared" si="356"/>
        <v>23958</v>
      </c>
      <c r="L920" s="398">
        <v>0</v>
      </c>
      <c r="M920" s="398">
        <v>0</v>
      </c>
      <c r="N920" s="164">
        <f t="shared" si="335"/>
        <v>23958</v>
      </c>
      <c r="O920" s="399">
        <f t="shared" si="343"/>
        <v>0</v>
      </c>
      <c r="P920" s="392">
        <f t="shared" si="357"/>
        <v>0</v>
      </c>
      <c r="Q920" s="164">
        <f t="shared" si="344"/>
        <v>0</v>
      </c>
      <c r="R920" s="164">
        <f t="shared" si="345"/>
        <v>0</v>
      </c>
      <c r="S920" s="164">
        <f t="shared" si="346"/>
        <v>0</v>
      </c>
      <c r="T920" s="164">
        <f t="shared" si="347"/>
        <v>0</v>
      </c>
      <c r="U920" s="164">
        <f t="shared" si="348"/>
        <v>0</v>
      </c>
      <c r="V920" s="393">
        <f t="shared" si="349"/>
        <v>23958</v>
      </c>
      <c r="W920" s="393">
        <f t="shared" si="350"/>
        <v>-23958</v>
      </c>
      <c r="Y920" s="393">
        <f t="shared" si="353"/>
        <v>1230.57</v>
      </c>
      <c r="Z920" s="393">
        <f t="shared" si="354"/>
        <v>-1230.57</v>
      </c>
      <c r="AD920" s="395">
        <f>IF(AH920&gt;AH919,AD919,IF(AD919&lt;MiscData!$F$1,EOMONTH(AD919,1),EOMONTH(AD919,-11)))</f>
        <v>41973</v>
      </c>
      <c r="AE920" s="389" t="str">
        <f t="shared" si="351"/>
        <v>20140101KUUM_430</v>
      </c>
      <c r="AF920" s="437" t="str">
        <f t="shared" si="352"/>
        <v>20140101LS</v>
      </c>
      <c r="AG920" s="438"/>
      <c r="AH920" s="34">
        <f>IF(AH919=MiscData!$AB$91,1,AH919+1)</f>
        <v>39</v>
      </c>
      <c r="AI920" s="34">
        <f>IF(AD920&lt;=MiscData!$B$23,MiscData!$C$23,IF(AD920&lt;=MiscData!$B$24,MiscData!$C$24,MiscData!$C$25))</f>
        <v>20140101</v>
      </c>
      <c r="AK920" s="439" t="str">
        <f>VLOOKUP(AM920,MiscData!$AB$4:$ACB$113,2,FALSE)</f>
        <v>KUUM_430</v>
      </c>
      <c r="AL920" s="439" t="str">
        <f>VLOOKUP(AM920,MiscData!$AB$4:$AE$115,4,FALSE)</f>
        <v>LS</v>
      </c>
      <c r="AM920" s="34">
        <f>IF(AM919=MiscData!$AB$91,1,AM919+1)</f>
        <v>39</v>
      </c>
    </row>
    <row r="921" spans="1:39">
      <c r="A921" s="389">
        <f t="shared" si="355"/>
        <v>920</v>
      </c>
      <c r="B921" s="395" t="str">
        <f t="shared" si="337"/>
        <v>Nov 2014</v>
      </c>
      <c r="C921" s="396" t="str">
        <f t="shared" si="338"/>
        <v>RLS</v>
      </c>
      <c r="D921" s="396" t="str">
        <f t="shared" si="339"/>
        <v>KUUM_434</v>
      </c>
      <c r="E921" s="394">
        <f t="shared" si="340"/>
        <v>8</v>
      </c>
      <c r="F921" s="397">
        <v>0</v>
      </c>
      <c r="G921" s="394">
        <f t="shared" si="336"/>
        <v>0</v>
      </c>
      <c r="H921" s="394">
        <v>0</v>
      </c>
      <c r="I921" s="390">
        <f t="shared" si="341"/>
        <v>7.74</v>
      </c>
      <c r="J921" s="390">
        <f t="shared" si="342"/>
        <v>0.69999999999999929</v>
      </c>
      <c r="K921" s="391">
        <f t="shared" si="356"/>
        <v>61.92</v>
      </c>
      <c r="L921" s="398">
        <v>0</v>
      </c>
      <c r="M921" s="398">
        <v>0</v>
      </c>
      <c r="N921" s="164">
        <f t="shared" si="335"/>
        <v>61.92</v>
      </c>
      <c r="O921" s="399">
        <f t="shared" si="343"/>
        <v>0</v>
      </c>
      <c r="P921" s="392">
        <f t="shared" si="357"/>
        <v>0</v>
      </c>
      <c r="Q921" s="164">
        <f t="shared" si="344"/>
        <v>0</v>
      </c>
      <c r="R921" s="164">
        <f t="shared" si="345"/>
        <v>0</v>
      </c>
      <c r="S921" s="164">
        <f t="shared" si="346"/>
        <v>0</v>
      </c>
      <c r="T921" s="164">
        <f t="shared" si="347"/>
        <v>0</v>
      </c>
      <c r="U921" s="164">
        <f t="shared" si="348"/>
        <v>0</v>
      </c>
      <c r="V921" s="393">
        <f t="shared" si="349"/>
        <v>61.92</v>
      </c>
      <c r="W921" s="393">
        <f t="shared" si="350"/>
        <v>-61.92</v>
      </c>
      <c r="Y921" s="393">
        <f t="shared" si="353"/>
        <v>5.6</v>
      </c>
      <c r="Z921" s="393">
        <f t="shared" si="354"/>
        <v>-5.6</v>
      </c>
      <c r="AD921" s="395">
        <f>IF(AH921&gt;AH920,AD920,IF(AD920&lt;MiscData!$F$1,EOMONTH(AD920,1),EOMONTH(AD920,-11)))</f>
        <v>41973</v>
      </c>
      <c r="AE921" s="389" t="str">
        <f t="shared" si="351"/>
        <v>20140101KUUM_434</v>
      </c>
      <c r="AF921" s="437" t="str">
        <f t="shared" si="352"/>
        <v>20140101RLS</v>
      </c>
      <c r="AG921" s="438"/>
      <c r="AH921" s="34">
        <f>IF(AH920=MiscData!$AB$91,1,AH920+1)</f>
        <v>40</v>
      </c>
      <c r="AI921" s="34">
        <f>IF(AD921&lt;=MiscData!$B$23,MiscData!$C$23,IF(AD921&lt;=MiscData!$B$24,MiscData!$C$24,MiscData!$C$25))</f>
        <v>20140101</v>
      </c>
      <c r="AK921" s="439" t="str">
        <f>VLOOKUP(AM921,MiscData!$AB$4:$ACB$113,2,FALSE)</f>
        <v>KUUM_434</v>
      </c>
      <c r="AL921" s="439" t="str">
        <f>VLOOKUP(AM921,MiscData!$AB$4:$AE$115,4,FALSE)</f>
        <v>RLS</v>
      </c>
      <c r="AM921" s="34">
        <f>IF(AM920=MiscData!$AB$91,1,AM920+1)</f>
        <v>40</v>
      </c>
    </row>
    <row r="922" spans="1:39">
      <c r="A922" s="389">
        <f t="shared" si="355"/>
        <v>921</v>
      </c>
      <c r="B922" s="395" t="str">
        <f t="shared" si="337"/>
        <v>Nov 2014</v>
      </c>
      <c r="C922" s="396" t="str">
        <f t="shared" si="338"/>
        <v>RLS</v>
      </c>
      <c r="D922" s="396" t="str">
        <f t="shared" si="339"/>
        <v>KUUM_440</v>
      </c>
      <c r="E922" s="394">
        <f t="shared" si="340"/>
        <v>2</v>
      </c>
      <c r="F922" s="397">
        <v>0</v>
      </c>
      <c r="G922" s="394">
        <f t="shared" si="336"/>
        <v>0</v>
      </c>
      <c r="H922" s="394">
        <v>0</v>
      </c>
      <c r="I922" s="390">
        <f t="shared" si="341"/>
        <v>13.610000000000001</v>
      </c>
      <c r="J922" s="390">
        <f t="shared" si="342"/>
        <v>0.57000000000000028</v>
      </c>
      <c r="K922" s="391">
        <f t="shared" si="356"/>
        <v>27.22</v>
      </c>
      <c r="L922" s="398">
        <v>0</v>
      </c>
      <c r="M922" s="398">
        <v>0</v>
      </c>
      <c r="N922" s="164">
        <f t="shared" si="335"/>
        <v>27.22</v>
      </c>
      <c r="O922" s="399">
        <f t="shared" si="343"/>
        <v>0</v>
      </c>
      <c r="P922" s="392">
        <f t="shared" si="357"/>
        <v>0</v>
      </c>
      <c r="Q922" s="164">
        <f t="shared" si="344"/>
        <v>0</v>
      </c>
      <c r="R922" s="164">
        <f t="shared" si="345"/>
        <v>0</v>
      </c>
      <c r="S922" s="164">
        <f t="shared" si="346"/>
        <v>0</v>
      </c>
      <c r="T922" s="164">
        <f t="shared" si="347"/>
        <v>0</v>
      </c>
      <c r="U922" s="164">
        <f t="shared" si="348"/>
        <v>0</v>
      </c>
      <c r="V922" s="393">
        <f t="shared" si="349"/>
        <v>27.22</v>
      </c>
      <c r="W922" s="393">
        <f t="shared" si="350"/>
        <v>-27.22</v>
      </c>
      <c r="Y922" s="393">
        <f t="shared" si="353"/>
        <v>1.1399999999999999</v>
      </c>
      <c r="Z922" s="393">
        <f t="shared" si="354"/>
        <v>-1.1399999999999999</v>
      </c>
      <c r="AD922" s="395">
        <f>IF(AH922&gt;AH921,AD921,IF(AD921&lt;MiscData!$F$1,EOMONTH(AD921,1),EOMONTH(AD921,-11)))</f>
        <v>41973</v>
      </c>
      <c r="AE922" s="389" t="str">
        <f t="shared" si="351"/>
        <v>20140101KUUM_440</v>
      </c>
      <c r="AF922" s="437" t="str">
        <f t="shared" si="352"/>
        <v>20140101RLS</v>
      </c>
      <c r="AG922" s="438"/>
      <c r="AH922" s="34">
        <f>IF(AH921=MiscData!$AB$91,1,AH921+1)</f>
        <v>41</v>
      </c>
      <c r="AI922" s="34">
        <f>IF(AD922&lt;=MiscData!$B$23,MiscData!$C$23,IF(AD922&lt;=MiscData!$B$24,MiscData!$C$24,MiscData!$C$25))</f>
        <v>20140101</v>
      </c>
      <c r="AK922" s="439" t="str">
        <f>VLOOKUP(AM922,MiscData!$AB$4:$ACB$113,2,FALSE)</f>
        <v>KUUM_440</v>
      </c>
      <c r="AL922" s="439" t="str">
        <f>VLOOKUP(AM922,MiscData!$AB$4:$AE$115,4,FALSE)</f>
        <v>RLS</v>
      </c>
      <c r="AM922" s="34">
        <f>IF(AM921=MiscData!$AB$91,1,AM921+1)</f>
        <v>41</v>
      </c>
    </row>
    <row r="923" spans="1:39">
      <c r="A923" s="389">
        <f t="shared" si="355"/>
        <v>922</v>
      </c>
      <c r="B923" s="395" t="str">
        <f t="shared" si="337"/>
        <v>Nov 2014</v>
      </c>
      <c r="C923" s="396" t="str">
        <f t="shared" si="338"/>
        <v>RLS</v>
      </c>
      <c r="D923" s="396" t="str">
        <f t="shared" si="339"/>
        <v>KUUM_446</v>
      </c>
      <c r="E923" s="394">
        <f t="shared" si="340"/>
        <v>1035</v>
      </c>
      <c r="F923" s="397">
        <v>0</v>
      </c>
      <c r="G923" s="394">
        <f t="shared" si="336"/>
        <v>0</v>
      </c>
      <c r="H923" s="394">
        <v>0</v>
      </c>
      <c r="I923" s="390">
        <f t="shared" si="341"/>
        <v>9.5600000000000023</v>
      </c>
      <c r="J923" s="390">
        <f t="shared" si="342"/>
        <v>1.9900000000000002</v>
      </c>
      <c r="K923" s="391">
        <f t="shared" si="356"/>
        <v>9894.6</v>
      </c>
      <c r="L923" s="398">
        <v>0</v>
      </c>
      <c r="M923" s="398">
        <v>0</v>
      </c>
      <c r="N923" s="164">
        <f t="shared" si="335"/>
        <v>9894.6</v>
      </c>
      <c r="O923" s="399">
        <f t="shared" si="343"/>
        <v>0</v>
      </c>
      <c r="P923" s="392">
        <f t="shared" si="357"/>
        <v>0</v>
      </c>
      <c r="Q923" s="164">
        <f t="shared" si="344"/>
        <v>0</v>
      </c>
      <c r="R923" s="164">
        <f t="shared" si="345"/>
        <v>0</v>
      </c>
      <c r="S923" s="164">
        <f t="shared" si="346"/>
        <v>0</v>
      </c>
      <c r="T923" s="164">
        <f t="shared" si="347"/>
        <v>0</v>
      </c>
      <c r="U923" s="164">
        <f t="shared" si="348"/>
        <v>0</v>
      </c>
      <c r="V923" s="393">
        <f t="shared" si="349"/>
        <v>9894.6</v>
      </c>
      <c r="W923" s="393">
        <f t="shared" si="350"/>
        <v>-9894.6</v>
      </c>
      <c r="Y923" s="393">
        <f t="shared" si="353"/>
        <v>2059.65</v>
      </c>
      <c r="Z923" s="393">
        <f t="shared" si="354"/>
        <v>-2059.65</v>
      </c>
      <c r="AD923" s="395">
        <f>IF(AH923&gt;AH922,AD922,IF(AD922&lt;MiscData!$F$1,EOMONTH(AD922,1),EOMONTH(AD922,-11)))</f>
        <v>41973</v>
      </c>
      <c r="AE923" s="389" t="str">
        <f t="shared" si="351"/>
        <v>20140101KUUM_446</v>
      </c>
      <c r="AF923" s="437" t="str">
        <f t="shared" si="352"/>
        <v>20140101RLS</v>
      </c>
      <c r="AG923" s="438"/>
      <c r="AH923" s="34">
        <f>IF(AH922=MiscData!$AB$91,1,AH922+1)</f>
        <v>42</v>
      </c>
      <c r="AI923" s="34">
        <f>IF(AD923&lt;=MiscData!$B$23,MiscData!$C$23,IF(AD923&lt;=MiscData!$B$24,MiscData!$C$24,MiscData!$C$25))</f>
        <v>20140101</v>
      </c>
      <c r="AK923" s="439" t="str">
        <f>VLOOKUP(AM923,MiscData!$AB$4:$ACB$113,2,FALSE)</f>
        <v>KUUM_446</v>
      </c>
      <c r="AL923" s="439" t="str">
        <f>VLOOKUP(AM923,MiscData!$AB$4:$AE$115,4,FALSE)</f>
        <v>RLS</v>
      </c>
      <c r="AM923" s="34">
        <f>IF(AM922=MiscData!$AB$91,1,AM922+1)</f>
        <v>42</v>
      </c>
    </row>
    <row r="924" spans="1:39">
      <c r="A924" s="389">
        <f t="shared" si="355"/>
        <v>923</v>
      </c>
      <c r="B924" s="395" t="str">
        <f t="shared" si="337"/>
        <v>Nov 2014</v>
      </c>
      <c r="C924" s="396" t="str">
        <f t="shared" si="338"/>
        <v>RLS</v>
      </c>
      <c r="D924" s="396" t="str">
        <f t="shared" si="339"/>
        <v>KUUM_447</v>
      </c>
      <c r="E924" s="394">
        <f t="shared" si="340"/>
        <v>728</v>
      </c>
      <c r="F924" s="397">
        <v>0</v>
      </c>
      <c r="G924" s="394">
        <f t="shared" si="336"/>
        <v>0</v>
      </c>
      <c r="H924" s="394">
        <v>0</v>
      </c>
      <c r="I924" s="390">
        <f t="shared" si="341"/>
        <v>11.32</v>
      </c>
      <c r="J924" s="390">
        <f t="shared" si="342"/>
        <v>2.8400000000000016</v>
      </c>
      <c r="K924" s="391">
        <f t="shared" si="356"/>
        <v>8240.9599999999991</v>
      </c>
      <c r="L924" s="398">
        <v>0</v>
      </c>
      <c r="M924" s="398">
        <v>0</v>
      </c>
      <c r="N924" s="164">
        <f t="shared" si="335"/>
        <v>8240.9599999999991</v>
      </c>
      <c r="O924" s="399">
        <f t="shared" si="343"/>
        <v>0</v>
      </c>
      <c r="P924" s="392">
        <f t="shared" si="357"/>
        <v>0</v>
      </c>
      <c r="Q924" s="164">
        <f t="shared" si="344"/>
        <v>0</v>
      </c>
      <c r="R924" s="164">
        <f t="shared" si="345"/>
        <v>0</v>
      </c>
      <c r="S924" s="164">
        <f t="shared" si="346"/>
        <v>0</v>
      </c>
      <c r="T924" s="164">
        <f t="shared" si="347"/>
        <v>0</v>
      </c>
      <c r="U924" s="164">
        <f t="shared" si="348"/>
        <v>0</v>
      </c>
      <c r="V924" s="393">
        <f t="shared" si="349"/>
        <v>8240.9599999999991</v>
      </c>
      <c r="W924" s="393">
        <f t="shared" si="350"/>
        <v>-8240.9599999999991</v>
      </c>
      <c r="Y924" s="393">
        <f t="shared" si="353"/>
        <v>2067.52</v>
      </c>
      <c r="Z924" s="393">
        <f t="shared" si="354"/>
        <v>-2067.52</v>
      </c>
      <c r="AD924" s="395">
        <f>IF(AH924&gt;AH923,AD923,IF(AD923&lt;MiscData!$F$1,EOMONTH(AD923,1),EOMONTH(AD923,-11)))</f>
        <v>41973</v>
      </c>
      <c r="AE924" s="389" t="str">
        <f t="shared" si="351"/>
        <v>20140101KUUM_447</v>
      </c>
      <c r="AF924" s="437" t="str">
        <f t="shared" si="352"/>
        <v>20140101RLS</v>
      </c>
      <c r="AG924" s="438"/>
      <c r="AH924" s="34">
        <f>IF(AH923=MiscData!$AB$91,1,AH923+1)</f>
        <v>43</v>
      </c>
      <c r="AI924" s="34">
        <f>IF(AD924&lt;=MiscData!$B$23,MiscData!$C$23,IF(AD924&lt;=MiscData!$B$24,MiscData!$C$24,MiscData!$C$25))</f>
        <v>20140101</v>
      </c>
      <c r="AK924" s="439" t="str">
        <f>VLOOKUP(AM924,MiscData!$AB$4:$ACB$113,2,FALSE)</f>
        <v>KUUM_447</v>
      </c>
      <c r="AL924" s="439" t="str">
        <f>VLOOKUP(AM924,MiscData!$AB$4:$AE$115,4,FALSE)</f>
        <v>RLS</v>
      </c>
      <c r="AM924" s="34">
        <f>IF(AM923=MiscData!$AB$91,1,AM923+1)</f>
        <v>43</v>
      </c>
    </row>
    <row r="925" spans="1:39">
      <c r="A925" s="389">
        <f t="shared" si="355"/>
        <v>924</v>
      </c>
      <c r="B925" s="395" t="str">
        <f t="shared" si="337"/>
        <v>Nov 2014</v>
      </c>
      <c r="C925" s="396" t="str">
        <f t="shared" si="338"/>
        <v>RLS</v>
      </c>
      <c r="D925" s="396" t="str">
        <f t="shared" si="339"/>
        <v>KUUM_448</v>
      </c>
      <c r="E925" s="394">
        <f t="shared" si="340"/>
        <v>1364</v>
      </c>
      <c r="F925" s="397">
        <v>0</v>
      </c>
      <c r="G925" s="394">
        <f t="shared" si="336"/>
        <v>0</v>
      </c>
      <c r="H925" s="394">
        <v>0</v>
      </c>
      <c r="I925" s="390">
        <f t="shared" si="341"/>
        <v>12.809999999999999</v>
      </c>
      <c r="J925" s="390">
        <f t="shared" si="342"/>
        <v>4.37</v>
      </c>
      <c r="K925" s="391">
        <f t="shared" si="356"/>
        <v>17472.84</v>
      </c>
      <c r="L925" s="398">
        <v>0</v>
      </c>
      <c r="M925" s="398">
        <v>0</v>
      </c>
      <c r="N925" s="164">
        <f t="shared" si="335"/>
        <v>17472.84</v>
      </c>
      <c r="O925" s="399">
        <f t="shared" si="343"/>
        <v>0</v>
      </c>
      <c r="P925" s="392">
        <f t="shared" si="357"/>
        <v>0</v>
      </c>
      <c r="Q925" s="164">
        <f t="shared" si="344"/>
        <v>0</v>
      </c>
      <c r="R925" s="164">
        <f t="shared" si="345"/>
        <v>0</v>
      </c>
      <c r="S925" s="164">
        <f t="shared" si="346"/>
        <v>0</v>
      </c>
      <c r="T925" s="164">
        <f t="shared" si="347"/>
        <v>0</v>
      </c>
      <c r="U925" s="164">
        <f t="shared" si="348"/>
        <v>0</v>
      </c>
      <c r="V925" s="393">
        <f t="shared" si="349"/>
        <v>17472.84</v>
      </c>
      <c r="W925" s="393">
        <f t="shared" si="350"/>
        <v>-17472.84</v>
      </c>
      <c r="Y925" s="393">
        <f t="shared" si="353"/>
        <v>5960.68</v>
      </c>
      <c r="Z925" s="393">
        <f t="shared" si="354"/>
        <v>-5960.68</v>
      </c>
      <c r="AD925" s="395">
        <f>IF(AH925&gt;AH924,AD924,IF(AD924&lt;MiscData!$F$1,EOMONTH(AD924,1),EOMONTH(AD924,-11)))</f>
        <v>41973</v>
      </c>
      <c r="AE925" s="389" t="str">
        <f t="shared" si="351"/>
        <v>20140101KUUM_448</v>
      </c>
      <c r="AF925" s="437" t="str">
        <f t="shared" si="352"/>
        <v>20140101RLS</v>
      </c>
      <c r="AG925" s="438"/>
      <c r="AH925" s="34">
        <f>IF(AH924=MiscData!$AB$91,1,AH924+1)</f>
        <v>44</v>
      </c>
      <c r="AI925" s="34">
        <f>IF(AD925&lt;=MiscData!$B$23,MiscData!$C$23,IF(AD925&lt;=MiscData!$B$24,MiscData!$C$24,MiscData!$C$25))</f>
        <v>20140101</v>
      </c>
      <c r="AK925" s="439" t="str">
        <f>VLOOKUP(AM925,MiscData!$AB$4:$ACB$113,2,FALSE)</f>
        <v>KUUM_448</v>
      </c>
      <c r="AL925" s="439" t="str">
        <f>VLOOKUP(AM925,MiscData!$AB$4:$AE$115,4,FALSE)</f>
        <v>RLS</v>
      </c>
      <c r="AM925" s="34">
        <f>IF(AM924=MiscData!$AB$91,1,AM924+1)</f>
        <v>44</v>
      </c>
    </row>
    <row r="926" spans="1:39">
      <c r="A926" s="389">
        <f t="shared" si="355"/>
        <v>925</v>
      </c>
      <c r="B926" s="395" t="str">
        <f t="shared" si="337"/>
        <v>Nov 2014</v>
      </c>
      <c r="C926" s="396" t="str">
        <f t="shared" si="338"/>
        <v>LS</v>
      </c>
      <c r="D926" s="396" t="str">
        <f t="shared" si="339"/>
        <v>KUUM_450</v>
      </c>
      <c r="E926" s="394">
        <f t="shared" si="340"/>
        <v>612</v>
      </c>
      <c r="F926" s="397">
        <v>0</v>
      </c>
      <c r="G926" s="394">
        <f t="shared" si="336"/>
        <v>0</v>
      </c>
      <c r="H926" s="394">
        <v>0</v>
      </c>
      <c r="I926" s="390">
        <f t="shared" si="341"/>
        <v>14.25</v>
      </c>
      <c r="J926" s="390">
        <f t="shared" si="342"/>
        <v>1.9699999999999989</v>
      </c>
      <c r="K926" s="391">
        <f t="shared" si="356"/>
        <v>8721</v>
      </c>
      <c r="L926" s="398">
        <v>0</v>
      </c>
      <c r="M926" s="398">
        <v>0</v>
      </c>
      <c r="N926" s="164">
        <f t="shared" si="335"/>
        <v>8721</v>
      </c>
      <c r="O926" s="399">
        <f t="shared" si="343"/>
        <v>0</v>
      </c>
      <c r="P926" s="392">
        <f t="shared" si="357"/>
        <v>0</v>
      </c>
      <c r="Q926" s="164">
        <f t="shared" si="344"/>
        <v>0</v>
      </c>
      <c r="R926" s="164">
        <f t="shared" si="345"/>
        <v>0</v>
      </c>
      <c r="S926" s="164">
        <f t="shared" si="346"/>
        <v>0</v>
      </c>
      <c r="T926" s="164">
        <f t="shared" si="347"/>
        <v>0</v>
      </c>
      <c r="U926" s="164">
        <f t="shared" si="348"/>
        <v>0</v>
      </c>
      <c r="V926" s="393">
        <f t="shared" si="349"/>
        <v>8721</v>
      </c>
      <c r="W926" s="393">
        <f t="shared" si="350"/>
        <v>-8721</v>
      </c>
      <c r="Y926" s="393">
        <f t="shared" si="353"/>
        <v>1205.6400000000001</v>
      </c>
      <c r="Z926" s="393">
        <f t="shared" si="354"/>
        <v>-1205.6400000000001</v>
      </c>
      <c r="AD926" s="395">
        <f>IF(AH926&gt;AH925,AD925,IF(AD925&lt;MiscData!$F$1,EOMONTH(AD925,1),EOMONTH(AD925,-11)))</f>
        <v>41973</v>
      </c>
      <c r="AE926" s="389" t="str">
        <f t="shared" si="351"/>
        <v>20140101KUUM_450</v>
      </c>
      <c r="AF926" s="437" t="str">
        <f t="shared" si="352"/>
        <v>20140101LS</v>
      </c>
      <c r="AG926" s="438"/>
      <c r="AH926" s="34">
        <f>IF(AH925=MiscData!$AB$91,1,AH925+1)</f>
        <v>45</v>
      </c>
      <c r="AI926" s="34">
        <f>IF(AD926&lt;=MiscData!$B$23,MiscData!$C$23,IF(AD926&lt;=MiscData!$B$24,MiscData!$C$24,MiscData!$C$25))</f>
        <v>20140101</v>
      </c>
      <c r="AK926" s="439" t="str">
        <f>VLOOKUP(AM926,MiscData!$AB$4:$ACB$113,2,FALSE)</f>
        <v>KUUM_450</v>
      </c>
      <c r="AL926" s="439" t="str">
        <f>VLOOKUP(AM926,MiscData!$AB$4:$AE$115,4,FALSE)</f>
        <v>LS</v>
      </c>
      <c r="AM926" s="34">
        <f>IF(AM925=MiscData!$AB$91,1,AM925+1)</f>
        <v>45</v>
      </c>
    </row>
    <row r="927" spans="1:39">
      <c r="A927" s="389">
        <f t="shared" si="355"/>
        <v>926</v>
      </c>
      <c r="B927" s="395" t="str">
        <f t="shared" si="337"/>
        <v>Nov 2014</v>
      </c>
      <c r="C927" s="396" t="str">
        <f t="shared" si="338"/>
        <v>LS</v>
      </c>
      <c r="D927" s="396" t="str">
        <f t="shared" si="339"/>
        <v>KUUM_451</v>
      </c>
      <c r="E927" s="394">
        <f t="shared" si="340"/>
        <v>4820</v>
      </c>
      <c r="F927" s="397">
        <v>0</v>
      </c>
      <c r="G927" s="394">
        <f t="shared" si="336"/>
        <v>0</v>
      </c>
      <c r="H927" s="394">
        <v>0</v>
      </c>
      <c r="I927" s="390">
        <f t="shared" si="341"/>
        <v>20.200000000000003</v>
      </c>
      <c r="J927" s="390">
        <f t="shared" si="342"/>
        <v>4.2900000000000027</v>
      </c>
      <c r="K927" s="391">
        <f t="shared" si="356"/>
        <v>97364</v>
      </c>
      <c r="L927" s="398">
        <v>0</v>
      </c>
      <c r="M927" s="398">
        <v>0</v>
      </c>
      <c r="N927" s="164">
        <f t="shared" si="335"/>
        <v>97364</v>
      </c>
      <c r="O927" s="399">
        <f t="shared" si="343"/>
        <v>0</v>
      </c>
      <c r="P927" s="392">
        <f t="shared" si="357"/>
        <v>0</v>
      </c>
      <c r="Q927" s="164">
        <f t="shared" si="344"/>
        <v>0</v>
      </c>
      <c r="R927" s="164">
        <f t="shared" si="345"/>
        <v>0</v>
      </c>
      <c r="S927" s="164">
        <f t="shared" si="346"/>
        <v>0</v>
      </c>
      <c r="T927" s="164">
        <f t="shared" si="347"/>
        <v>0</v>
      </c>
      <c r="U927" s="164">
        <f t="shared" si="348"/>
        <v>0</v>
      </c>
      <c r="V927" s="393">
        <f t="shared" si="349"/>
        <v>97364</v>
      </c>
      <c r="W927" s="393">
        <f t="shared" si="350"/>
        <v>-97364</v>
      </c>
      <c r="Y927" s="393">
        <f t="shared" si="353"/>
        <v>20677.8</v>
      </c>
      <c r="Z927" s="393">
        <f t="shared" si="354"/>
        <v>-20677.8</v>
      </c>
      <c r="AD927" s="395">
        <f>IF(AH927&gt;AH926,AD926,IF(AD926&lt;MiscData!$F$1,EOMONTH(AD926,1),EOMONTH(AD926,-11)))</f>
        <v>41973</v>
      </c>
      <c r="AE927" s="389" t="str">
        <f t="shared" si="351"/>
        <v>20140101KUUM_451</v>
      </c>
      <c r="AF927" s="437" t="str">
        <f t="shared" si="352"/>
        <v>20140101LS</v>
      </c>
      <c r="AG927" s="438"/>
      <c r="AH927" s="34">
        <f>IF(AH926=MiscData!$AB$91,1,AH926+1)</f>
        <v>46</v>
      </c>
      <c r="AI927" s="34">
        <f>IF(AD927&lt;=MiscData!$B$23,MiscData!$C$23,IF(AD927&lt;=MiscData!$B$24,MiscData!$C$24,MiscData!$C$25))</f>
        <v>20140101</v>
      </c>
      <c r="AK927" s="439" t="str">
        <f>VLOOKUP(AM927,MiscData!$AB$4:$ACB$113,2,FALSE)</f>
        <v>KUUM_451</v>
      </c>
      <c r="AL927" s="439" t="str">
        <f>VLOOKUP(AM927,MiscData!$AB$4:$AE$115,4,FALSE)</f>
        <v>LS</v>
      </c>
      <c r="AM927" s="34">
        <f>IF(AM926=MiscData!$AB$91,1,AM926+1)</f>
        <v>46</v>
      </c>
    </row>
    <row r="928" spans="1:39">
      <c r="A928" s="389">
        <f t="shared" si="355"/>
        <v>927</v>
      </c>
      <c r="B928" s="395" t="str">
        <f t="shared" si="337"/>
        <v>Nov 2014</v>
      </c>
      <c r="C928" s="396" t="str">
        <f t="shared" si="338"/>
        <v>LS</v>
      </c>
      <c r="D928" s="396" t="str">
        <f t="shared" si="339"/>
        <v>KUUM_452</v>
      </c>
      <c r="E928" s="394">
        <f t="shared" si="340"/>
        <v>1013</v>
      </c>
      <c r="F928" s="397">
        <v>0</v>
      </c>
      <c r="G928" s="394">
        <f t="shared" si="336"/>
        <v>0</v>
      </c>
      <c r="H928" s="394">
        <v>0</v>
      </c>
      <c r="I928" s="390">
        <f t="shared" si="341"/>
        <v>42.350000000000009</v>
      </c>
      <c r="J928" s="390">
        <f t="shared" si="342"/>
        <v>10.410000000000004</v>
      </c>
      <c r="K928" s="391">
        <f t="shared" si="356"/>
        <v>42900.55</v>
      </c>
      <c r="L928" s="398">
        <v>0</v>
      </c>
      <c r="M928" s="398">
        <v>0</v>
      </c>
      <c r="N928" s="164">
        <f t="shared" si="335"/>
        <v>42900.55</v>
      </c>
      <c r="O928" s="399">
        <f t="shared" si="343"/>
        <v>0</v>
      </c>
      <c r="P928" s="392">
        <f t="shared" si="357"/>
        <v>0</v>
      </c>
      <c r="Q928" s="164">
        <f t="shared" si="344"/>
        <v>0</v>
      </c>
      <c r="R928" s="164">
        <f t="shared" si="345"/>
        <v>0</v>
      </c>
      <c r="S928" s="164">
        <f t="shared" si="346"/>
        <v>0</v>
      </c>
      <c r="T928" s="164">
        <f t="shared" si="347"/>
        <v>0</v>
      </c>
      <c r="U928" s="164">
        <f t="shared" si="348"/>
        <v>0</v>
      </c>
      <c r="V928" s="393">
        <f t="shared" si="349"/>
        <v>42900.55</v>
      </c>
      <c r="W928" s="393">
        <f t="shared" si="350"/>
        <v>-42900.55</v>
      </c>
      <c r="Y928" s="393">
        <f t="shared" si="353"/>
        <v>10545.33</v>
      </c>
      <c r="Z928" s="393">
        <f t="shared" si="354"/>
        <v>-10545.33</v>
      </c>
      <c r="AD928" s="395">
        <f>IF(AH928&gt;AH927,AD927,IF(AD927&lt;MiscData!$F$1,EOMONTH(AD927,1),EOMONTH(AD927,-11)))</f>
        <v>41973</v>
      </c>
      <c r="AE928" s="389" t="str">
        <f t="shared" si="351"/>
        <v>20140101KUUM_452</v>
      </c>
      <c r="AF928" s="437" t="str">
        <f t="shared" si="352"/>
        <v>20140101LS</v>
      </c>
      <c r="AG928" s="438"/>
      <c r="AH928" s="34">
        <f>IF(AH927=MiscData!$AB$91,1,AH927+1)</f>
        <v>47</v>
      </c>
      <c r="AI928" s="34">
        <f>IF(AD928&lt;=MiscData!$B$23,MiscData!$C$23,IF(AD928&lt;=MiscData!$B$24,MiscData!$C$24,MiscData!$C$25))</f>
        <v>20140101</v>
      </c>
      <c r="AK928" s="439" t="str">
        <f>VLOOKUP(AM928,MiscData!$AB$4:$ACB$113,2,FALSE)</f>
        <v>KUUM_452</v>
      </c>
      <c r="AL928" s="439" t="str">
        <f>VLOOKUP(AM928,MiscData!$AB$4:$AE$115,4,FALSE)</f>
        <v>LS</v>
      </c>
      <c r="AM928" s="34">
        <f>IF(AM927=MiscData!$AB$91,1,AM927+1)</f>
        <v>47</v>
      </c>
    </row>
    <row r="929" spans="1:39">
      <c r="A929" s="389">
        <f t="shared" si="355"/>
        <v>928</v>
      </c>
      <c r="B929" s="395" t="str">
        <f t="shared" si="337"/>
        <v>Nov 2014</v>
      </c>
      <c r="C929" s="396" t="str">
        <f t="shared" si="338"/>
        <v>RLS</v>
      </c>
      <c r="D929" s="396" t="str">
        <f t="shared" si="339"/>
        <v>KUUM_454</v>
      </c>
      <c r="E929" s="394">
        <f t="shared" si="340"/>
        <v>146</v>
      </c>
      <c r="F929" s="397">
        <v>0</v>
      </c>
      <c r="G929" s="394">
        <f t="shared" si="336"/>
        <v>0</v>
      </c>
      <c r="H929" s="394">
        <v>0</v>
      </c>
      <c r="I929" s="390">
        <f t="shared" si="341"/>
        <v>18.649999999999999</v>
      </c>
      <c r="J929" s="390">
        <f t="shared" si="342"/>
        <v>1.9699999999999989</v>
      </c>
      <c r="K929" s="391">
        <f t="shared" si="356"/>
        <v>2722.9</v>
      </c>
      <c r="L929" s="398">
        <v>0</v>
      </c>
      <c r="M929" s="398">
        <v>0</v>
      </c>
      <c r="N929" s="164">
        <f t="shared" si="335"/>
        <v>2722.9</v>
      </c>
      <c r="O929" s="399">
        <f t="shared" si="343"/>
        <v>0</v>
      </c>
      <c r="P929" s="392">
        <f t="shared" si="357"/>
        <v>0</v>
      </c>
      <c r="Q929" s="164">
        <f t="shared" si="344"/>
        <v>0</v>
      </c>
      <c r="R929" s="164">
        <f t="shared" si="345"/>
        <v>0</v>
      </c>
      <c r="S929" s="164">
        <f t="shared" si="346"/>
        <v>0</v>
      </c>
      <c r="T929" s="164">
        <f t="shared" si="347"/>
        <v>0</v>
      </c>
      <c r="U929" s="164">
        <f t="shared" si="348"/>
        <v>0</v>
      </c>
      <c r="V929" s="393">
        <f t="shared" si="349"/>
        <v>2722.9</v>
      </c>
      <c r="W929" s="393">
        <f t="shared" si="350"/>
        <v>-2722.9</v>
      </c>
      <c r="Y929" s="393">
        <f t="shared" si="353"/>
        <v>287.62</v>
      </c>
      <c r="Z929" s="393">
        <f t="shared" si="354"/>
        <v>-287.62</v>
      </c>
      <c r="AD929" s="395">
        <f>IF(AH929&gt;AH928,AD928,IF(AD928&lt;MiscData!$F$1,EOMONTH(AD928,1),EOMONTH(AD928,-11)))</f>
        <v>41973</v>
      </c>
      <c r="AE929" s="389" t="str">
        <f t="shared" si="351"/>
        <v>20140101KUUM_454</v>
      </c>
      <c r="AF929" s="437" t="str">
        <f t="shared" si="352"/>
        <v>20140101RLS</v>
      </c>
      <c r="AG929" s="438"/>
      <c r="AH929" s="34">
        <f>IF(AH928=MiscData!$AB$91,1,AH928+1)</f>
        <v>48</v>
      </c>
      <c r="AI929" s="34">
        <f>IF(AD929&lt;=MiscData!$B$23,MiscData!$C$23,IF(AD929&lt;=MiscData!$B$24,MiscData!$C$24,MiscData!$C$25))</f>
        <v>20140101</v>
      </c>
      <c r="AK929" s="439" t="str">
        <f>VLOOKUP(AM929,MiscData!$AB$4:$ACB$113,2,FALSE)</f>
        <v>KUUM_454</v>
      </c>
      <c r="AL929" s="439" t="str">
        <f>VLOOKUP(AM929,MiscData!$AB$4:$AE$115,4,FALSE)</f>
        <v>RLS</v>
      </c>
      <c r="AM929" s="34">
        <f>IF(AM928=MiscData!$AB$91,1,AM928+1)</f>
        <v>48</v>
      </c>
    </row>
    <row r="930" spans="1:39">
      <c r="A930" s="389">
        <f t="shared" si="355"/>
        <v>929</v>
      </c>
      <c r="B930" s="395" t="str">
        <f t="shared" si="337"/>
        <v>Nov 2014</v>
      </c>
      <c r="C930" s="396" t="str">
        <f t="shared" si="338"/>
        <v>RLS</v>
      </c>
      <c r="D930" s="396" t="str">
        <f t="shared" si="339"/>
        <v>KUUM_455</v>
      </c>
      <c r="E930" s="394">
        <f t="shared" si="340"/>
        <v>979</v>
      </c>
      <c r="F930" s="397">
        <v>0</v>
      </c>
      <c r="G930" s="394">
        <f t="shared" si="336"/>
        <v>0</v>
      </c>
      <c r="H930" s="394">
        <v>0</v>
      </c>
      <c r="I930" s="390">
        <f t="shared" si="341"/>
        <v>24.59</v>
      </c>
      <c r="J930" s="390">
        <f t="shared" si="342"/>
        <v>4.2899999999999991</v>
      </c>
      <c r="K930" s="391">
        <f t="shared" si="356"/>
        <v>24073.61</v>
      </c>
      <c r="L930" s="398">
        <v>0</v>
      </c>
      <c r="M930" s="398">
        <v>0</v>
      </c>
      <c r="N930" s="164">
        <f t="shared" si="335"/>
        <v>24073.61</v>
      </c>
      <c r="O930" s="399">
        <f t="shared" si="343"/>
        <v>0</v>
      </c>
      <c r="P930" s="392">
        <f t="shared" si="357"/>
        <v>0</v>
      </c>
      <c r="Q930" s="164">
        <f t="shared" si="344"/>
        <v>0</v>
      </c>
      <c r="R930" s="164">
        <f t="shared" si="345"/>
        <v>0</v>
      </c>
      <c r="S930" s="164">
        <f t="shared" si="346"/>
        <v>0</v>
      </c>
      <c r="T930" s="164">
        <f t="shared" si="347"/>
        <v>0</v>
      </c>
      <c r="U930" s="164">
        <f t="shared" si="348"/>
        <v>0</v>
      </c>
      <c r="V930" s="393">
        <f t="shared" si="349"/>
        <v>24073.61</v>
      </c>
      <c r="W930" s="393">
        <f t="shared" si="350"/>
        <v>-24073.61</v>
      </c>
      <c r="Y930" s="393">
        <f t="shared" si="353"/>
        <v>4199.91</v>
      </c>
      <c r="Z930" s="393">
        <f t="shared" si="354"/>
        <v>-4199.91</v>
      </c>
      <c r="AD930" s="395">
        <f>IF(AH930&gt;AH929,AD929,IF(AD929&lt;MiscData!$F$1,EOMONTH(AD929,1),EOMONTH(AD929,-11)))</f>
        <v>41973</v>
      </c>
      <c r="AE930" s="389" t="str">
        <f t="shared" si="351"/>
        <v>20140101KUUM_455</v>
      </c>
      <c r="AF930" s="437" t="str">
        <f t="shared" si="352"/>
        <v>20140101RLS</v>
      </c>
      <c r="AG930" s="438"/>
      <c r="AH930" s="34">
        <f>IF(AH929=MiscData!$AB$91,1,AH929+1)</f>
        <v>49</v>
      </c>
      <c r="AI930" s="34">
        <f>IF(AD930&lt;=MiscData!$B$23,MiscData!$C$23,IF(AD930&lt;=MiscData!$B$24,MiscData!$C$24,MiscData!$C$25))</f>
        <v>20140101</v>
      </c>
      <c r="AK930" s="439" t="str">
        <f>VLOOKUP(AM930,MiscData!$AB$4:$ACB$113,2,FALSE)</f>
        <v>KUUM_455</v>
      </c>
      <c r="AL930" s="439" t="str">
        <f>VLOOKUP(AM930,MiscData!$AB$4:$AE$115,4,FALSE)</f>
        <v>RLS</v>
      </c>
      <c r="AM930" s="34">
        <f>IF(AM929=MiscData!$AB$91,1,AM929+1)</f>
        <v>49</v>
      </c>
    </row>
    <row r="931" spans="1:39">
      <c r="A931" s="389">
        <f t="shared" si="355"/>
        <v>930</v>
      </c>
      <c r="B931" s="395" t="str">
        <f t="shared" si="337"/>
        <v>Nov 2014</v>
      </c>
      <c r="C931" s="396" t="str">
        <f t="shared" si="338"/>
        <v>RLS</v>
      </c>
      <c r="D931" s="396" t="str">
        <f t="shared" si="339"/>
        <v>KUUM_456</v>
      </c>
      <c r="E931" s="394">
        <f t="shared" si="340"/>
        <v>136</v>
      </c>
      <c r="F931" s="397">
        <v>0</v>
      </c>
      <c r="G931" s="394">
        <f t="shared" si="336"/>
        <v>0</v>
      </c>
      <c r="H931" s="394">
        <v>0</v>
      </c>
      <c r="I931" s="390">
        <f t="shared" si="341"/>
        <v>11.870000000000001</v>
      </c>
      <c r="J931" s="390">
        <f t="shared" si="342"/>
        <v>1.9900000000000002</v>
      </c>
      <c r="K931" s="391">
        <f t="shared" si="356"/>
        <v>1614.32</v>
      </c>
      <c r="L931" s="398">
        <v>0</v>
      </c>
      <c r="M931" s="398">
        <v>0</v>
      </c>
      <c r="N931" s="164">
        <f t="shared" si="335"/>
        <v>1614.32</v>
      </c>
      <c r="O931" s="399">
        <f t="shared" si="343"/>
        <v>0</v>
      </c>
      <c r="P931" s="392">
        <f t="shared" si="357"/>
        <v>0</v>
      </c>
      <c r="Q931" s="164">
        <f t="shared" si="344"/>
        <v>0</v>
      </c>
      <c r="R931" s="164">
        <f t="shared" si="345"/>
        <v>0</v>
      </c>
      <c r="S931" s="164">
        <f t="shared" si="346"/>
        <v>0</v>
      </c>
      <c r="T931" s="164">
        <f t="shared" si="347"/>
        <v>0</v>
      </c>
      <c r="U931" s="164">
        <f t="shared" si="348"/>
        <v>0</v>
      </c>
      <c r="V931" s="393">
        <f t="shared" si="349"/>
        <v>1614.32</v>
      </c>
      <c r="W931" s="393">
        <f t="shared" si="350"/>
        <v>-1614.32</v>
      </c>
      <c r="Y931" s="393">
        <f t="shared" si="353"/>
        <v>270.64</v>
      </c>
      <c r="Z931" s="393">
        <f t="shared" si="354"/>
        <v>-270.64</v>
      </c>
      <c r="AD931" s="395">
        <f>IF(AH931&gt;AH930,AD930,IF(AD930&lt;MiscData!$F$1,EOMONTH(AD930,1),EOMONTH(AD930,-11)))</f>
        <v>41973</v>
      </c>
      <c r="AE931" s="389" t="str">
        <f t="shared" si="351"/>
        <v>20140101KUUM_456</v>
      </c>
      <c r="AF931" s="437" t="str">
        <f t="shared" si="352"/>
        <v>20140101RLS</v>
      </c>
      <c r="AG931" s="438"/>
      <c r="AH931" s="34">
        <f>IF(AH930=MiscData!$AB$91,1,AH930+1)</f>
        <v>50</v>
      </c>
      <c r="AI931" s="34">
        <f>IF(AD931&lt;=MiscData!$B$23,MiscData!$C$23,IF(AD931&lt;=MiscData!$B$24,MiscData!$C$24,MiscData!$C$25))</f>
        <v>20140101</v>
      </c>
      <c r="AK931" s="439" t="str">
        <f>VLOOKUP(AM931,MiscData!$AB$4:$ACB$113,2,FALSE)</f>
        <v>KUUM_456</v>
      </c>
      <c r="AL931" s="439" t="str">
        <f>VLOOKUP(AM931,MiscData!$AB$4:$AE$115,4,FALSE)</f>
        <v>RLS</v>
      </c>
      <c r="AM931" s="34">
        <f>IF(AM930=MiscData!$AB$91,1,AM930+1)</f>
        <v>50</v>
      </c>
    </row>
    <row r="932" spans="1:39">
      <c r="A932" s="389">
        <f t="shared" si="355"/>
        <v>931</v>
      </c>
      <c r="B932" s="395" t="str">
        <f t="shared" si="337"/>
        <v>Nov 2014</v>
      </c>
      <c r="C932" s="396" t="str">
        <f t="shared" si="338"/>
        <v>RLS</v>
      </c>
      <c r="D932" s="396" t="str">
        <f t="shared" si="339"/>
        <v>KUUM_457</v>
      </c>
      <c r="E932" s="394">
        <f t="shared" si="340"/>
        <v>441</v>
      </c>
      <c r="F932" s="397">
        <v>0</v>
      </c>
      <c r="G932" s="394">
        <f t="shared" si="336"/>
        <v>0</v>
      </c>
      <c r="H932" s="394">
        <v>0</v>
      </c>
      <c r="I932" s="390">
        <f t="shared" si="341"/>
        <v>13.360000000000001</v>
      </c>
      <c r="J932" s="390">
        <f t="shared" si="342"/>
        <v>2.84</v>
      </c>
      <c r="K932" s="391">
        <f t="shared" si="356"/>
        <v>5891.76</v>
      </c>
      <c r="L932" s="398">
        <v>0</v>
      </c>
      <c r="M932" s="398">
        <v>0</v>
      </c>
      <c r="N932" s="164">
        <f t="shared" si="335"/>
        <v>5891.76</v>
      </c>
      <c r="O932" s="399">
        <f t="shared" si="343"/>
        <v>0</v>
      </c>
      <c r="P932" s="392">
        <f t="shared" si="357"/>
        <v>0</v>
      </c>
      <c r="Q932" s="164">
        <f t="shared" si="344"/>
        <v>0</v>
      </c>
      <c r="R932" s="164">
        <f t="shared" si="345"/>
        <v>0</v>
      </c>
      <c r="S932" s="164">
        <f t="shared" si="346"/>
        <v>0</v>
      </c>
      <c r="T932" s="164">
        <f t="shared" si="347"/>
        <v>0</v>
      </c>
      <c r="U932" s="164">
        <f t="shared" si="348"/>
        <v>0</v>
      </c>
      <c r="V932" s="393">
        <f t="shared" si="349"/>
        <v>5891.76</v>
      </c>
      <c r="W932" s="393">
        <f t="shared" si="350"/>
        <v>-5891.76</v>
      </c>
      <c r="Y932" s="393">
        <f t="shared" si="353"/>
        <v>1252.44</v>
      </c>
      <c r="Z932" s="393">
        <f t="shared" si="354"/>
        <v>-1252.44</v>
      </c>
      <c r="AD932" s="395">
        <f>IF(AH932&gt;AH931,AD931,IF(AD931&lt;MiscData!$F$1,EOMONTH(AD931,1),EOMONTH(AD931,-11)))</f>
        <v>41973</v>
      </c>
      <c r="AE932" s="389" t="str">
        <f t="shared" si="351"/>
        <v>20140101KUUM_457</v>
      </c>
      <c r="AF932" s="437" t="str">
        <f t="shared" si="352"/>
        <v>20140101RLS</v>
      </c>
      <c r="AG932" s="438"/>
      <c r="AH932" s="34">
        <f>IF(AH931=MiscData!$AB$91,1,AH931+1)</f>
        <v>51</v>
      </c>
      <c r="AI932" s="34">
        <f>IF(AD932&lt;=MiscData!$B$23,MiscData!$C$23,IF(AD932&lt;=MiscData!$B$24,MiscData!$C$24,MiscData!$C$25))</f>
        <v>20140101</v>
      </c>
      <c r="AK932" s="439" t="str">
        <f>VLOOKUP(AM932,MiscData!$AB$4:$ACB$113,2,FALSE)</f>
        <v>KUUM_457</v>
      </c>
      <c r="AL932" s="439" t="str">
        <f>VLOOKUP(AM932,MiscData!$AB$4:$AE$115,4,FALSE)</f>
        <v>RLS</v>
      </c>
      <c r="AM932" s="34">
        <f>IF(AM931=MiscData!$AB$91,1,AM931+1)</f>
        <v>51</v>
      </c>
    </row>
    <row r="933" spans="1:39">
      <c r="A933" s="389">
        <f t="shared" si="355"/>
        <v>932</v>
      </c>
      <c r="B933" s="395" t="str">
        <f t="shared" si="337"/>
        <v>Nov 2014</v>
      </c>
      <c r="C933" s="396" t="str">
        <f t="shared" si="338"/>
        <v>RLS</v>
      </c>
      <c r="D933" s="396" t="str">
        <f t="shared" si="339"/>
        <v>KUUM_458</v>
      </c>
      <c r="E933" s="394">
        <f t="shared" si="340"/>
        <v>1355</v>
      </c>
      <c r="F933" s="397">
        <v>0</v>
      </c>
      <c r="G933" s="394">
        <f t="shared" si="336"/>
        <v>0</v>
      </c>
      <c r="H933" s="394">
        <v>0</v>
      </c>
      <c r="I933" s="390">
        <f t="shared" si="341"/>
        <v>15.079999999999998</v>
      </c>
      <c r="J933" s="390">
        <f t="shared" si="342"/>
        <v>4.3699999999999992</v>
      </c>
      <c r="K933" s="391">
        <f t="shared" si="356"/>
        <v>20433.400000000001</v>
      </c>
      <c r="L933" s="398">
        <v>0</v>
      </c>
      <c r="M933" s="398">
        <v>0</v>
      </c>
      <c r="N933" s="164">
        <f t="shared" si="335"/>
        <v>20433.400000000001</v>
      </c>
      <c r="O933" s="399">
        <f t="shared" si="343"/>
        <v>0</v>
      </c>
      <c r="P933" s="392">
        <f t="shared" si="357"/>
        <v>0</v>
      </c>
      <c r="Q933" s="164">
        <f t="shared" si="344"/>
        <v>0</v>
      </c>
      <c r="R933" s="164">
        <f t="shared" si="345"/>
        <v>0</v>
      </c>
      <c r="S933" s="164">
        <f t="shared" si="346"/>
        <v>0</v>
      </c>
      <c r="T933" s="164">
        <f t="shared" si="347"/>
        <v>0</v>
      </c>
      <c r="U933" s="164">
        <f t="shared" si="348"/>
        <v>0</v>
      </c>
      <c r="V933" s="393">
        <f t="shared" si="349"/>
        <v>20433.400000000001</v>
      </c>
      <c r="W933" s="393">
        <f t="shared" si="350"/>
        <v>-20433.400000000001</v>
      </c>
      <c r="Y933" s="393">
        <f t="shared" si="353"/>
        <v>5921.35</v>
      </c>
      <c r="Z933" s="393">
        <f t="shared" si="354"/>
        <v>-5921.35</v>
      </c>
      <c r="AD933" s="395">
        <f>IF(AH933&gt;AH932,AD932,IF(AD932&lt;MiscData!$F$1,EOMONTH(AD932,1),EOMONTH(AD932,-11)))</f>
        <v>41973</v>
      </c>
      <c r="AE933" s="389" t="str">
        <f t="shared" si="351"/>
        <v>20140101KUUM_458</v>
      </c>
      <c r="AF933" s="437" t="str">
        <f t="shared" si="352"/>
        <v>20140101RLS</v>
      </c>
      <c r="AG933" s="438"/>
      <c r="AH933" s="34">
        <f>IF(AH932=MiscData!$AB$91,1,AH932+1)</f>
        <v>52</v>
      </c>
      <c r="AI933" s="34">
        <f>IF(AD933&lt;=MiscData!$B$23,MiscData!$C$23,IF(AD933&lt;=MiscData!$B$24,MiscData!$C$24,MiscData!$C$25))</f>
        <v>20140101</v>
      </c>
      <c r="AK933" s="439" t="str">
        <f>VLOOKUP(AM933,MiscData!$AB$4:$ACB$113,2,FALSE)</f>
        <v>KUUM_458</v>
      </c>
      <c r="AL933" s="439" t="str">
        <f>VLOOKUP(AM933,MiscData!$AB$4:$AE$115,4,FALSE)</f>
        <v>RLS</v>
      </c>
      <c r="AM933" s="34">
        <f>IF(AM932=MiscData!$AB$91,1,AM932+1)</f>
        <v>52</v>
      </c>
    </row>
    <row r="934" spans="1:39">
      <c r="A934" s="389">
        <f t="shared" si="355"/>
        <v>933</v>
      </c>
      <c r="B934" s="395" t="str">
        <f t="shared" si="337"/>
        <v>Nov 2014</v>
      </c>
      <c r="C934" s="396" t="str">
        <f t="shared" si="338"/>
        <v>RLS</v>
      </c>
      <c r="D934" s="396" t="str">
        <f t="shared" si="339"/>
        <v>KUUM_459</v>
      </c>
      <c r="E934" s="394">
        <f t="shared" si="340"/>
        <v>226</v>
      </c>
      <c r="F934" s="397">
        <v>0</v>
      </c>
      <c r="G934" s="394">
        <f t="shared" si="336"/>
        <v>0</v>
      </c>
      <c r="H934" s="394">
        <v>0</v>
      </c>
      <c r="I934" s="390">
        <f t="shared" si="341"/>
        <v>46.740000000000009</v>
      </c>
      <c r="J934" s="390">
        <f t="shared" si="342"/>
        <v>10.410000000000004</v>
      </c>
      <c r="K934" s="391">
        <f t="shared" si="356"/>
        <v>10563.24</v>
      </c>
      <c r="L934" s="398">
        <v>0</v>
      </c>
      <c r="M934" s="398">
        <v>0</v>
      </c>
      <c r="N934" s="164">
        <f t="shared" si="335"/>
        <v>10563.24</v>
      </c>
      <c r="O934" s="399">
        <f t="shared" si="343"/>
        <v>0</v>
      </c>
      <c r="P934" s="392">
        <f t="shared" si="357"/>
        <v>0</v>
      </c>
      <c r="Q934" s="164">
        <f t="shared" si="344"/>
        <v>0</v>
      </c>
      <c r="R934" s="164">
        <f t="shared" si="345"/>
        <v>0</v>
      </c>
      <c r="S934" s="164">
        <f t="shared" si="346"/>
        <v>0</v>
      </c>
      <c r="T934" s="164">
        <f t="shared" si="347"/>
        <v>0</v>
      </c>
      <c r="U934" s="164">
        <f t="shared" si="348"/>
        <v>0</v>
      </c>
      <c r="V934" s="393">
        <f t="shared" si="349"/>
        <v>10563.24</v>
      </c>
      <c r="W934" s="393">
        <f t="shared" si="350"/>
        <v>-10563.24</v>
      </c>
      <c r="Y934" s="393">
        <f t="shared" si="353"/>
        <v>2352.66</v>
      </c>
      <c r="Z934" s="393">
        <f t="shared" si="354"/>
        <v>-2352.66</v>
      </c>
      <c r="AD934" s="395">
        <f>IF(AH934&gt;AH933,AD933,IF(AD933&lt;MiscData!$F$1,EOMONTH(AD933,1),EOMONTH(AD933,-11)))</f>
        <v>41973</v>
      </c>
      <c r="AE934" s="389" t="str">
        <f t="shared" si="351"/>
        <v>20140101KUUM_459</v>
      </c>
      <c r="AF934" s="437" t="str">
        <f t="shared" si="352"/>
        <v>20140101RLS</v>
      </c>
      <c r="AG934" s="438"/>
      <c r="AH934" s="34">
        <f>IF(AH933=MiscData!$AB$91,1,AH933+1)</f>
        <v>53</v>
      </c>
      <c r="AI934" s="34">
        <f>IF(AD934&lt;=MiscData!$B$23,MiscData!$C$23,IF(AD934&lt;=MiscData!$B$24,MiscData!$C$24,MiscData!$C$25))</f>
        <v>20140101</v>
      </c>
      <c r="AK934" s="439" t="str">
        <f>VLOOKUP(AM934,MiscData!$AB$4:$ACB$113,2,FALSE)</f>
        <v>KUUM_459</v>
      </c>
      <c r="AL934" s="439" t="str">
        <f>VLOOKUP(AM934,MiscData!$AB$4:$AE$115,4,FALSE)</f>
        <v>RLS</v>
      </c>
      <c r="AM934" s="34">
        <f>IF(AM933=MiscData!$AB$91,1,AM933+1)</f>
        <v>53</v>
      </c>
    </row>
    <row r="935" spans="1:39">
      <c r="A935" s="389">
        <f t="shared" si="355"/>
        <v>934</v>
      </c>
      <c r="B935" s="395" t="str">
        <f t="shared" si="337"/>
        <v>Nov 2014</v>
      </c>
      <c r="C935" s="396" t="str">
        <f t="shared" si="338"/>
        <v>RLS</v>
      </c>
      <c r="D935" s="396" t="str">
        <f t="shared" si="339"/>
        <v>KUUM_460</v>
      </c>
      <c r="E935" s="394">
        <f t="shared" si="340"/>
        <v>26</v>
      </c>
      <c r="F935" s="397">
        <v>0</v>
      </c>
      <c r="G935" s="394">
        <f t="shared" si="336"/>
        <v>0</v>
      </c>
      <c r="H935" s="394">
        <v>0</v>
      </c>
      <c r="I935" s="390">
        <f t="shared" si="341"/>
        <v>27.15</v>
      </c>
      <c r="J935" s="390">
        <f t="shared" si="342"/>
        <v>1.9699999999999989</v>
      </c>
      <c r="K935" s="391">
        <f t="shared" si="356"/>
        <v>705.9</v>
      </c>
      <c r="L935" s="398">
        <v>0</v>
      </c>
      <c r="M935" s="398">
        <v>0</v>
      </c>
      <c r="N935" s="164">
        <f t="shared" si="335"/>
        <v>705.9</v>
      </c>
      <c r="O935" s="399">
        <f t="shared" si="343"/>
        <v>0</v>
      </c>
      <c r="P935" s="392">
        <f t="shared" si="357"/>
        <v>0</v>
      </c>
      <c r="Q935" s="164">
        <f t="shared" si="344"/>
        <v>0</v>
      </c>
      <c r="R935" s="164">
        <f t="shared" si="345"/>
        <v>0</v>
      </c>
      <c r="S935" s="164">
        <f t="shared" si="346"/>
        <v>0</v>
      </c>
      <c r="T935" s="164">
        <f t="shared" si="347"/>
        <v>0</v>
      </c>
      <c r="U935" s="164">
        <f t="shared" si="348"/>
        <v>0</v>
      </c>
      <c r="V935" s="393">
        <f t="shared" si="349"/>
        <v>705.9</v>
      </c>
      <c r="W935" s="393">
        <f t="shared" si="350"/>
        <v>-705.9</v>
      </c>
      <c r="Y935" s="393">
        <f t="shared" si="353"/>
        <v>51.22</v>
      </c>
      <c r="Z935" s="393">
        <f t="shared" si="354"/>
        <v>-51.22</v>
      </c>
      <c r="AD935" s="395">
        <f>IF(AH935&gt;AH934,AD934,IF(AD934&lt;MiscData!$F$1,EOMONTH(AD934,1),EOMONTH(AD934,-11)))</f>
        <v>41973</v>
      </c>
      <c r="AE935" s="389" t="str">
        <f t="shared" si="351"/>
        <v>20140101KUUM_460</v>
      </c>
      <c r="AF935" s="437" t="str">
        <f t="shared" si="352"/>
        <v>20140101RLS</v>
      </c>
      <c r="AG935" s="438"/>
      <c r="AH935" s="34">
        <f>IF(AH934=MiscData!$AB$91,1,AH934+1)</f>
        <v>54</v>
      </c>
      <c r="AI935" s="34">
        <f>IF(AD935&lt;=MiscData!$B$23,MiscData!$C$23,IF(AD935&lt;=MiscData!$B$24,MiscData!$C$24,MiscData!$C$25))</f>
        <v>20140101</v>
      </c>
      <c r="AK935" s="439" t="str">
        <f>VLOOKUP(AM935,MiscData!$AB$4:$ACB$113,2,FALSE)</f>
        <v>KUUM_460</v>
      </c>
      <c r="AL935" s="439" t="str">
        <f>VLOOKUP(AM935,MiscData!$AB$4:$AE$115,4,FALSE)</f>
        <v>RLS</v>
      </c>
      <c r="AM935" s="34">
        <f>IF(AM934=MiscData!$AB$91,1,AM934+1)</f>
        <v>54</v>
      </c>
    </row>
    <row r="936" spans="1:39">
      <c r="A936" s="389">
        <f t="shared" si="355"/>
        <v>935</v>
      </c>
      <c r="B936" s="395" t="str">
        <f t="shared" si="337"/>
        <v>Nov 2014</v>
      </c>
      <c r="C936" s="396" t="str">
        <f t="shared" si="338"/>
        <v>RLS</v>
      </c>
      <c r="D936" s="396" t="str">
        <f t="shared" si="339"/>
        <v>KUUM_461</v>
      </c>
      <c r="E936" s="394">
        <f t="shared" si="340"/>
        <v>6649</v>
      </c>
      <c r="F936" s="397">
        <v>0</v>
      </c>
      <c r="G936" s="394">
        <f t="shared" si="336"/>
        <v>0</v>
      </c>
      <c r="H936" s="394">
        <v>0</v>
      </c>
      <c r="I936" s="390">
        <f t="shared" si="341"/>
        <v>7.54</v>
      </c>
      <c r="J936" s="390">
        <f t="shared" si="342"/>
        <v>0.57000000000000028</v>
      </c>
      <c r="K936" s="391">
        <f t="shared" si="356"/>
        <v>50133.46</v>
      </c>
      <c r="L936" s="398">
        <v>0</v>
      </c>
      <c r="M936" s="398">
        <v>0</v>
      </c>
      <c r="N936" s="164">
        <f t="shared" si="335"/>
        <v>50133.46</v>
      </c>
      <c r="O936" s="399">
        <f t="shared" si="343"/>
        <v>0</v>
      </c>
      <c r="P936" s="392">
        <f t="shared" si="357"/>
        <v>0</v>
      </c>
      <c r="Q936" s="164">
        <f t="shared" si="344"/>
        <v>0</v>
      </c>
      <c r="R936" s="164">
        <f t="shared" si="345"/>
        <v>0</v>
      </c>
      <c r="S936" s="164">
        <f t="shared" si="346"/>
        <v>0</v>
      </c>
      <c r="T936" s="164">
        <f t="shared" si="347"/>
        <v>0</v>
      </c>
      <c r="U936" s="164">
        <f t="shared" si="348"/>
        <v>0</v>
      </c>
      <c r="V936" s="393">
        <f t="shared" si="349"/>
        <v>50133.46</v>
      </c>
      <c r="W936" s="393">
        <f t="shared" si="350"/>
        <v>-50133.46</v>
      </c>
      <c r="Y936" s="393">
        <f t="shared" si="353"/>
        <v>3789.93</v>
      </c>
      <c r="Z936" s="393">
        <f t="shared" si="354"/>
        <v>-3789.93</v>
      </c>
      <c r="AD936" s="395">
        <f>IF(AH936&gt;AH935,AD935,IF(AD935&lt;MiscData!$F$1,EOMONTH(AD935,1),EOMONTH(AD935,-11)))</f>
        <v>41973</v>
      </c>
      <c r="AE936" s="389" t="str">
        <f t="shared" si="351"/>
        <v>20140101KUUM_461</v>
      </c>
      <c r="AF936" s="437" t="str">
        <f t="shared" si="352"/>
        <v>20140101RLS</v>
      </c>
      <c r="AG936" s="438"/>
      <c r="AH936" s="34">
        <f>IF(AH935=MiscData!$AB$91,1,AH935+1)</f>
        <v>55</v>
      </c>
      <c r="AI936" s="34">
        <f>IF(AD936&lt;=MiscData!$B$23,MiscData!$C$23,IF(AD936&lt;=MiscData!$B$24,MiscData!$C$24,MiscData!$C$25))</f>
        <v>20140101</v>
      </c>
      <c r="AK936" s="439" t="str">
        <f>VLOOKUP(AM936,MiscData!$AB$4:$ACB$113,2,FALSE)</f>
        <v>KUUM_461</v>
      </c>
      <c r="AL936" s="439" t="str">
        <f>VLOOKUP(AM936,MiscData!$AB$4:$AE$115,4,FALSE)</f>
        <v>RLS</v>
      </c>
      <c r="AM936" s="34">
        <f>IF(AM935=MiscData!$AB$91,1,AM935+1)</f>
        <v>55</v>
      </c>
    </row>
    <row r="937" spans="1:39">
      <c r="A937" s="389">
        <f t="shared" si="355"/>
        <v>936</v>
      </c>
      <c r="B937" s="395" t="str">
        <f t="shared" si="337"/>
        <v>Nov 2014</v>
      </c>
      <c r="C937" s="396" t="str">
        <f t="shared" si="338"/>
        <v>LS</v>
      </c>
      <c r="D937" s="396" t="str">
        <f t="shared" si="339"/>
        <v>KUUM_462</v>
      </c>
      <c r="E937" s="394">
        <f t="shared" si="340"/>
        <v>6814</v>
      </c>
      <c r="F937" s="397">
        <v>0</v>
      </c>
      <c r="G937" s="394">
        <f t="shared" si="336"/>
        <v>0</v>
      </c>
      <c r="H937" s="394">
        <v>0</v>
      </c>
      <c r="I937" s="390">
        <f t="shared" si="341"/>
        <v>8.66</v>
      </c>
      <c r="J937" s="390">
        <f t="shared" si="342"/>
        <v>0.79999999999999893</v>
      </c>
      <c r="K937" s="391">
        <f t="shared" si="356"/>
        <v>59009.24</v>
      </c>
      <c r="L937" s="398">
        <v>0</v>
      </c>
      <c r="M937" s="398">
        <v>0</v>
      </c>
      <c r="N937" s="164">
        <f t="shared" si="335"/>
        <v>59009.24</v>
      </c>
      <c r="O937" s="399">
        <f t="shared" si="343"/>
        <v>0</v>
      </c>
      <c r="P937" s="392">
        <f t="shared" si="357"/>
        <v>0</v>
      </c>
      <c r="Q937" s="164">
        <f t="shared" si="344"/>
        <v>0</v>
      </c>
      <c r="R937" s="164">
        <f t="shared" si="345"/>
        <v>0</v>
      </c>
      <c r="S937" s="164">
        <f t="shared" si="346"/>
        <v>0</v>
      </c>
      <c r="T937" s="164">
        <f t="shared" si="347"/>
        <v>0</v>
      </c>
      <c r="U937" s="164">
        <f t="shared" si="348"/>
        <v>0</v>
      </c>
      <c r="V937" s="393">
        <f t="shared" si="349"/>
        <v>59009.24</v>
      </c>
      <c r="W937" s="393">
        <f t="shared" si="350"/>
        <v>-59009.24</v>
      </c>
      <c r="Y937" s="393">
        <f t="shared" si="353"/>
        <v>5451.2</v>
      </c>
      <c r="Z937" s="393">
        <f t="shared" si="354"/>
        <v>-5451.2</v>
      </c>
      <c r="AD937" s="395">
        <f>IF(AH937&gt;AH936,AD936,IF(AD936&lt;MiscData!$F$1,EOMONTH(AD936,1),EOMONTH(AD936,-11)))</f>
        <v>41973</v>
      </c>
      <c r="AE937" s="389" t="str">
        <f t="shared" si="351"/>
        <v>20140101KUUM_462</v>
      </c>
      <c r="AF937" s="437" t="str">
        <f t="shared" si="352"/>
        <v>20140101LS</v>
      </c>
      <c r="AG937" s="438"/>
      <c r="AH937" s="34">
        <f>IF(AH936=MiscData!$AB$91,1,AH936+1)</f>
        <v>56</v>
      </c>
      <c r="AI937" s="34">
        <f>IF(AD937&lt;=MiscData!$B$23,MiscData!$C$23,IF(AD937&lt;=MiscData!$B$24,MiscData!$C$24,MiscData!$C$25))</f>
        <v>20140101</v>
      </c>
      <c r="AK937" s="439" t="str">
        <f>VLOOKUP(AM937,MiscData!$AB$4:$ACB$113,2,FALSE)</f>
        <v>KUUM_462</v>
      </c>
      <c r="AL937" s="439" t="str">
        <f>VLOOKUP(AM937,MiscData!$AB$4:$AE$115,4,FALSE)</f>
        <v>LS</v>
      </c>
      <c r="AM937" s="34">
        <f>IF(AM936=MiscData!$AB$91,1,AM936+1)</f>
        <v>56</v>
      </c>
    </row>
    <row r="938" spans="1:39">
      <c r="A938" s="389">
        <f t="shared" si="355"/>
        <v>937</v>
      </c>
      <c r="B938" s="395" t="str">
        <f t="shared" si="337"/>
        <v>Nov 2014</v>
      </c>
      <c r="C938" s="396" t="str">
        <f t="shared" si="338"/>
        <v>LS</v>
      </c>
      <c r="D938" s="396" t="str">
        <f t="shared" si="339"/>
        <v>KUUM_463</v>
      </c>
      <c r="E938" s="394">
        <f t="shared" si="340"/>
        <v>19654</v>
      </c>
      <c r="F938" s="397">
        <v>0</v>
      </c>
      <c r="G938" s="394">
        <f t="shared" si="336"/>
        <v>0</v>
      </c>
      <c r="H938" s="394">
        <v>0</v>
      </c>
      <c r="I938" s="390">
        <f t="shared" si="341"/>
        <v>9.14</v>
      </c>
      <c r="J938" s="390">
        <f t="shared" si="342"/>
        <v>1.1299999999999999</v>
      </c>
      <c r="K938" s="391">
        <f t="shared" si="356"/>
        <v>179637.56</v>
      </c>
      <c r="L938" s="398">
        <v>0</v>
      </c>
      <c r="M938" s="398">
        <v>0</v>
      </c>
      <c r="N938" s="164">
        <f t="shared" si="335"/>
        <v>179637.56</v>
      </c>
      <c r="O938" s="399">
        <f t="shared" si="343"/>
        <v>0</v>
      </c>
      <c r="P938" s="392">
        <f t="shared" si="357"/>
        <v>0</v>
      </c>
      <c r="Q938" s="164">
        <f t="shared" si="344"/>
        <v>0</v>
      </c>
      <c r="R938" s="164">
        <f t="shared" si="345"/>
        <v>0</v>
      </c>
      <c r="S938" s="164">
        <f t="shared" si="346"/>
        <v>0</v>
      </c>
      <c r="T938" s="164">
        <f t="shared" si="347"/>
        <v>0</v>
      </c>
      <c r="U938" s="164">
        <f t="shared" si="348"/>
        <v>0</v>
      </c>
      <c r="V938" s="393">
        <f t="shared" si="349"/>
        <v>179637.56</v>
      </c>
      <c r="W938" s="393">
        <f t="shared" si="350"/>
        <v>-179637.56</v>
      </c>
      <c r="Y938" s="393">
        <f t="shared" si="353"/>
        <v>22209.02</v>
      </c>
      <c r="Z938" s="393">
        <f t="shared" si="354"/>
        <v>-22209.02</v>
      </c>
      <c r="AD938" s="395">
        <f>IF(AH938&gt;AH937,AD937,IF(AD937&lt;MiscData!$F$1,EOMONTH(AD937,1),EOMONTH(AD937,-11)))</f>
        <v>41973</v>
      </c>
      <c r="AE938" s="389" t="str">
        <f t="shared" si="351"/>
        <v>20140101KUUM_463</v>
      </c>
      <c r="AF938" s="437" t="str">
        <f t="shared" si="352"/>
        <v>20140101LS</v>
      </c>
      <c r="AG938" s="438"/>
      <c r="AH938" s="34">
        <f>IF(AH937=MiscData!$AB$91,1,AH937+1)</f>
        <v>57</v>
      </c>
      <c r="AI938" s="34">
        <f>IF(AD938&lt;=MiscData!$B$23,MiscData!$C$23,IF(AD938&lt;=MiscData!$B$24,MiscData!$C$24,MiscData!$C$25))</f>
        <v>20140101</v>
      </c>
      <c r="AK938" s="439" t="str">
        <f>VLOOKUP(AM938,MiscData!$AB$4:$ACB$113,2,FALSE)</f>
        <v>KUUM_463</v>
      </c>
      <c r="AL938" s="439" t="str">
        <f>VLOOKUP(AM938,MiscData!$AB$4:$AE$115,4,FALSE)</f>
        <v>LS</v>
      </c>
      <c r="AM938" s="34">
        <f>IF(AM937=MiscData!$AB$91,1,AM937+1)</f>
        <v>57</v>
      </c>
    </row>
    <row r="939" spans="1:39">
      <c r="A939" s="389">
        <f t="shared" si="355"/>
        <v>938</v>
      </c>
      <c r="B939" s="395" t="str">
        <f t="shared" si="337"/>
        <v>Nov 2014</v>
      </c>
      <c r="C939" s="396" t="str">
        <f t="shared" si="338"/>
        <v>LS</v>
      </c>
      <c r="D939" s="396" t="str">
        <f t="shared" si="339"/>
        <v>KUUM_464</v>
      </c>
      <c r="E939" s="394">
        <f t="shared" si="340"/>
        <v>7025</v>
      </c>
      <c r="F939" s="397">
        <v>0</v>
      </c>
      <c r="G939" s="394">
        <f t="shared" si="336"/>
        <v>0</v>
      </c>
      <c r="H939" s="394">
        <v>0</v>
      </c>
      <c r="I939" s="390">
        <f t="shared" si="341"/>
        <v>14.25</v>
      </c>
      <c r="J939" s="390">
        <f t="shared" si="342"/>
        <v>2.33</v>
      </c>
      <c r="K939" s="391">
        <f t="shared" si="356"/>
        <v>100106.25</v>
      </c>
      <c r="L939" s="398">
        <v>0</v>
      </c>
      <c r="M939" s="398">
        <v>0</v>
      </c>
      <c r="N939" s="164">
        <f t="shared" si="335"/>
        <v>100106.25</v>
      </c>
      <c r="O939" s="399">
        <f t="shared" si="343"/>
        <v>0</v>
      </c>
      <c r="P939" s="392">
        <f t="shared" si="357"/>
        <v>0</v>
      </c>
      <c r="Q939" s="164">
        <f t="shared" si="344"/>
        <v>0</v>
      </c>
      <c r="R939" s="164">
        <f t="shared" si="345"/>
        <v>0</v>
      </c>
      <c r="S939" s="164">
        <f t="shared" si="346"/>
        <v>0</v>
      </c>
      <c r="T939" s="164">
        <f t="shared" si="347"/>
        <v>0</v>
      </c>
      <c r="U939" s="164">
        <f t="shared" si="348"/>
        <v>0</v>
      </c>
      <c r="V939" s="393">
        <f t="shared" si="349"/>
        <v>100106.25</v>
      </c>
      <c r="W939" s="393">
        <f t="shared" si="350"/>
        <v>-100106.25</v>
      </c>
      <c r="Y939" s="393">
        <f t="shared" si="353"/>
        <v>16368.25</v>
      </c>
      <c r="Z939" s="393">
        <f t="shared" si="354"/>
        <v>-16368.25</v>
      </c>
      <c r="AD939" s="395">
        <f>IF(AH939&gt;AH938,AD938,IF(AD938&lt;MiscData!$F$1,EOMONTH(AD938,1),EOMONTH(AD938,-11)))</f>
        <v>41973</v>
      </c>
      <c r="AE939" s="389" t="str">
        <f t="shared" si="351"/>
        <v>20140101KUUM_464</v>
      </c>
      <c r="AF939" s="437" t="str">
        <f t="shared" si="352"/>
        <v>20140101LS</v>
      </c>
      <c r="AG939" s="438"/>
      <c r="AH939" s="34">
        <f>IF(AH938=MiscData!$AB$91,1,AH938+1)</f>
        <v>58</v>
      </c>
      <c r="AI939" s="34">
        <f>IF(AD939&lt;=MiscData!$B$23,MiscData!$C$23,IF(AD939&lt;=MiscData!$B$24,MiscData!$C$24,MiscData!$C$25))</f>
        <v>20140101</v>
      </c>
      <c r="AK939" s="439" t="str">
        <f>VLOOKUP(AM939,MiscData!$AB$4:$ACB$113,2,FALSE)</f>
        <v>KUUM_464</v>
      </c>
      <c r="AL939" s="439" t="str">
        <f>VLOOKUP(AM939,MiscData!$AB$4:$AE$115,4,FALSE)</f>
        <v>LS</v>
      </c>
      <c r="AM939" s="34">
        <f>IF(AM938=MiscData!$AB$91,1,AM938+1)</f>
        <v>58</v>
      </c>
    </row>
    <row r="940" spans="1:39">
      <c r="A940" s="389">
        <f t="shared" si="355"/>
        <v>939</v>
      </c>
      <c r="B940" s="395" t="str">
        <f t="shared" si="337"/>
        <v>Nov 2014</v>
      </c>
      <c r="C940" s="396" t="str">
        <f t="shared" si="338"/>
        <v>LS</v>
      </c>
      <c r="D940" s="396" t="str">
        <f t="shared" si="339"/>
        <v>KUUM_465</v>
      </c>
      <c r="E940" s="394">
        <f t="shared" si="340"/>
        <v>2645</v>
      </c>
      <c r="F940" s="397">
        <v>0</v>
      </c>
      <c r="G940" s="394">
        <f t="shared" si="336"/>
        <v>0</v>
      </c>
      <c r="H940" s="394">
        <v>0</v>
      </c>
      <c r="I940" s="390">
        <f t="shared" si="341"/>
        <v>22.84</v>
      </c>
      <c r="J940" s="390">
        <f t="shared" si="342"/>
        <v>4.5299999999999976</v>
      </c>
      <c r="K940" s="391">
        <f t="shared" si="356"/>
        <v>60411.8</v>
      </c>
      <c r="L940" s="398">
        <v>0</v>
      </c>
      <c r="M940" s="398">
        <v>0</v>
      </c>
      <c r="N940" s="164">
        <f t="shared" si="335"/>
        <v>60411.8</v>
      </c>
      <c r="O940" s="399">
        <f t="shared" si="343"/>
        <v>0</v>
      </c>
      <c r="P940" s="392">
        <f t="shared" si="357"/>
        <v>0</v>
      </c>
      <c r="Q940" s="164">
        <f t="shared" si="344"/>
        <v>0</v>
      </c>
      <c r="R940" s="164">
        <f t="shared" si="345"/>
        <v>0</v>
      </c>
      <c r="S940" s="164">
        <f t="shared" si="346"/>
        <v>0</v>
      </c>
      <c r="T940" s="164">
        <f t="shared" si="347"/>
        <v>0</v>
      </c>
      <c r="U940" s="164">
        <f t="shared" si="348"/>
        <v>0</v>
      </c>
      <c r="V940" s="393">
        <f t="shared" si="349"/>
        <v>60411.8</v>
      </c>
      <c r="W940" s="393">
        <f t="shared" si="350"/>
        <v>-60411.8</v>
      </c>
      <c r="Y940" s="393">
        <f t="shared" si="353"/>
        <v>11981.85</v>
      </c>
      <c r="Z940" s="393">
        <f t="shared" si="354"/>
        <v>-11981.85</v>
      </c>
      <c r="AD940" s="395">
        <f>IF(AH940&gt;AH939,AD939,IF(AD939&lt;MiscData!$F$1,EOMONTH(AD939,1),EOMONTH(AD939,-11)))</f>
        <v>41973</v>
      </c>
      <c r="AE940" s="389" t="str">
        <f t="shared" si="351"/>
        <v>20140101KUUM_465</v>
      </c>
      <c r="AF940" s="437" t="str">
        <f t="shared" si="352"/>
        <v>20140101LS</v>
      </c>
      <c r="AG940" s="438"/>
      <c r="AH940" s="34">
        <f>IF(AH939=MiscData!$AB$91,1,AH939+1)</f>
        <v>59</v>
      </c>
      <c r="AI940" s="34">
        <f>IF(AD940&lt;=MiscData!$B$23,MiscData!$C$23,IF(AD940&lt;=MiscData!$B$24,MiscData!$C$24,MiscData!$C$25))</f>
        <v>20140101</v>
      </c>
      <c r="AK940" s="439" t="str">
        <f>VLOOKUP(AM940,MiscData!$AB$4:$ACB$113,2,FALSE)</f>
        <v>KUUM_465</v>
      </c>
      <c r="AL940" s="439" t="str">
        <f>VLOOKUP(AM940,MiscData!$AB$4:$AE$115,4,FALSE)</f>
        <v>LS</v>
      </c>
      <c r="AM940" s="34">
        <f>IF(AM939=MiscData!$AB$91,1,AM939+1)</f>
        <v>59</v>
      </c>
    </row>
    <row r="941" spans="1:39">
      <c r="A941" s="389">
        <f t="shared" si="355"/>
        <v>940</v>
      </c>
      <c r="B941" s="395" t="str">
        <f t="shared" si="337"/>
        <v>Nov 2014</v>
      </c>
      <c r="C941" s="396" t="str">
        <f t="shared" si="338"/>
        <v>RLS</v>
      </c>
      <c r="D941" s="396" t="str">
        <f t="shared" si="339"/>
        <v>KUUM_466</v>
      </c>
      <c r="E941" s="394">
        <f t="shared" si="340"/>
        <v>829</v>
      </c>
      <c r="F941" s="397">
        <v>0</v>
      </c>
      <c r="G941" s="394">
        <f t="shared" si="336"/>
        <v>0</v>
      </c>
      <c r="H941" s="394">
        <v>0</v>
      </c>
      <c r="I941" s="390">
        <f t="shared" si="341"/>
        <v>9.620000000000001</v>
      </c>
      <c r="J941" s="390">
        <f t="shared" si="342"/>
        <v>0.57000000000000028</v>
      </c>
      <c r="K941" s="391">
        <f t="shared" si="356"/>
        <v>7974.98</v>
      </c>
      <c r="L941" s="398">
        <v>0</v>
      </c>
      <c r="M941" s="398">
        <v>0</v>
      </c>
      <c r="N941" s="164">
        <f t="shared" si="335"/>
        <v>7974.98</v>
      </c>
      <c r="O941" s="399">
        <f t="shared" si="343"/>
        <v>0</v>
      </c>
      <c r="P941" s="392">
        <f t="shared" si="357"/>
        <v>0</v>
      </c>
      <c r="Q941" s="164">
        <f t="shared" si="344"/>
        <v>0</v>
      </c>
      <c r="R941" s="164">
        <f t="shared" si="345"/>
        <v>0</v>
      </c>
      <c r="S941" s="164">
        <f t="shared" si="346"/>
        <v>0</v>
      </c>
      <c r="T941" s="164">
        <f t="shared" si="347"/>
        <v>0</v>
      </c>
      <c r="U941" s="164">
        <f t="shared" si="348"/>
        <v>0</v>
      </c>
      <c r="V941" s="393">
        <f t="shared" si="349"/>
        <v>7974.98</v>
      </c>
      <c r="W941" s="393">
        <f t="shared" si="350"/>
        <v>-7974.98</v>
      </c>
      <c r="Y941" s="393">
        <f t="shared" si="353"/>
        <v>472.53</v>
      </c>
      <c r="Z941" s="393">
        <f t="shared" si="354"/>
        <v>-472.53</v>
      </c>
      <c r="AD941" s="395">
        <f>IF(AH941&gt;AH940,AD940,IF(AD940&lt;MiscData!$F$1,EOMONTH(AD940,1),EOMONTH(AD940,-11)))</f>
        <v>41973</v>
      </c>
      <c r="AE941" s="389" t="str">
        <f t="shared" si="351"/>
        <v>20140101KUUM_466</v>
      </c>
      <c r="AF941" s="437" t="str">
        <f t="shared" si="352"/>
        <v>20140101RLS</v>
      </c>
      <c r="AG941" s="438"/>
      <c r="AH941" s="34">
        <f>IF(AH940=MiscData!$AB$91,1,AH940+1)</f>
        <v>60</v>
      </c>
      <c r="AI941" s="34">
        <f>IF(AD941&lt;=MiscData!$B$23,MiscData!$C$23,IF(AD941&lt;=MiscData!$B$24,MiscData!$C$24,MiscData!$C$25))</f>
        <v>20140101</v>
      </c>
      <c r="AK941" s="439" t="str">
        <f>VLOOKUP(AM941,MiscData!$AB$4:$ACB$113,2,FALSE)</f>
        <v>KUUM_466</v>
      </c>
      <c r="AL941" s="439" t="str">
        <f>VLOOKUP(AM941,MiscData!$AB$4:$AE$115,4,FALSE)</f>
        <v>RLS</v>
      </c>
      <c r="AM941" s="34">
        <f>IF(AM940=MiscData!$AB$91,1,AM940+1)</f>
        <v>60</v>
      </c>
    </row>
    <row r="942" spans="1:39">
      <c r="A942" s="389">
        <f t="shared" si="355"/>
        <v>941</v>
      </c>
      <c r="B942" s="395" t="str">
        <f t="shared" si="337"/>
        <v>Nov 2014</v>
      </c>
      <c r="C942" s="396" t="str">
        <f t="shared" si="338"/>
        <v>LS</v>
      </c>
      <c r="D942" s="396" t="str">
        <f t="shared" si="339"/>
        <v>KUUM_467</v>
      </c>
      <c r="E942" s="394">
        <f t="shared" si="340"/>
        <v>1213</v>
      </c>
      <c r="F942" s="397">
        <v>0</v>
      </c>
      <c r="G942" s="394">
        <f t="shared" si="336"/>
        <v>0</v>
      </c>
      <c r="H942" s="394">
        <v>0</v>
      </c>
      <c r="I942" s="390">
        <f t="shared" si="341"/>
        <v>10.770000000000001</v>
      </c>
      <c r="J942" s="390">
        <f t="shared" si="342"/>
        <v>0.80000000000000071</v>
      </c>
      <c r="K942" s="391">
        <f t="shared" si="356"/>
        <v>13064.01</v>
      </c>
      <c r="L942" s="398">
        <v>0</v>
      </c>
      <c r="M942" s="398">
        <v>0</v>
      </c>
      <c r="N942" s="164">
        <f t="shared" si="335"/>
        <v>13064.01</v>
      </c>
      <c r="O942" s="399">
        <f t="shared" si="343"/>
        <v>0</v>
      </c>
      <c r="P942" s="392">
        <f t="shared" si="357"/>
        <v>0</v>
      </c>
      <c r="Q942" s="164">
        <f t="shared" si="344"/>
        <v>0</v>
      </c>
      <c r="R942" s="164">
        <f t="shared" si="345"/>
        <v>0</v>
      </c>
      <c r="S942" s="164">
        <f t="shared" si="346"/>
        <v>0</v>
      </c>
      <c r="T942" s="164">
        <f t="shared" si="347"/>
        <v>0</v>
      </c>
      <c r="U942" s="164">
        <f t="shared" si="348"/>
        <v>0</v>
      </c>
      <c r="V942" s="393">
        <f t="shared" si="349"/>
        <v>13064.01</v>
      </c>
      <c r="W942" s="393">
        <f t="shared" si="350"/>
        <v>-13064.01</v>
      </c>
      <c r="Y942" s="393">
        <f t="shared" si="353"/>
        <v>970.4</v>
      </c>
      <c r="Z942" s="393">
        <f t="shared" si="354"/>
        <v>-970.4</v>
      </c>
      <c r="AD942" s="395">
        <f>IF(AH942&gt;AH941,AD941,IF(AD941&lt;MiscData!$F$1,EOMONTH(AD941,1),EOMONTH(AD941,-11)))</f>
        <v>41973</v>
      </c>
      <c r="AE942" s="389" t="str">
        <f t="shared" si="351"/>
        <v>20140101KUUM_467</v>
      </c>
      <c r="AF942" s="437" t="str">
        <f t="shared" si="352"/>
        <v>20140101LS</v>
      </c>
      <c r="AG942" s="438"/>
      <c r="AH942" s="34">
        <f>IF(AH941=MiscData!$AB$91,1,AH941+1)</f>
        <v>61</v>
      </c>
      <c r="AI942" s="34">
        <f>IF(AD942&lt;=MiscData!$B$23,MiscData!$C$23,IF(AD942&lt;=MiscData!$B$24,MiscData!$C$24,MiscData!$C$25))</f>
        <v>20140101</v>
      </c>
      <c r="AK942" s="439" t="str">
        <f>VLOOKUP(AM942,MiscData!$AB$4:$ACB$113,2,FALSE)</f>
        <v>KUUM_467</v>
      </c>
      <c r="AL942" s="439" t="str">
        <f>VLOOKUP(AM942,MiscData!$AB$4:$AE$115,4,FALSE)</f>
        <v>LS</v>
      </c>
      <c r="AM942" s="34">
        <f>IF(AM941=MiscData!$AB$91,1,AM941+1)</f>
        <v>61</v>
      </c>
    </row>
    <row r="943" spans="1:39">
      <c r="A943" s="389">
        <f t="shared" si="355"/>
        <v>942</v>
      </c>
      <c r="B943" s="395" t="str">
        <f t="shared" si="337"/>
        <v>Nov 2014</v>
      </c>
      <c r="C943" s="396" t="str">
        <f t="shared" si="338"/>
        <v>LS</v>
      </c>
      <c r="D943" s="396" t="str">
        <f t="shared" si="339"/>
        <v>KUUM_468</v>
      </c>
      <c r="E943" s="394">
        <f t="shared" si="340"/>
        <v>3824</v>
      </c>
      <c r="F943" s="397">
        <v>0</v>
      </c>
      <c r="G943" s="394">
        <f t="shared" si="336"/>
        <v>0</v>
      </c>
      <c r="H943" s="394">
        <v>0</v>
      </c>
      <c r="I943" s="390">
        <f t="shared" si="341"/>
        <v>11.16</v>
      </c>
      <c r="J943" s="390">
        <f t="shared" si="342"/>
        <v>1.129999999999999</v>
      </c>
      <c r="K943" s="391">
        <f t="shared" si="356"/>
        <v>42675.839999999997</v>
      </c>
      <c r="L943" s="398">
        <v>0</v>
      </c>
      <c r="M943" s="398">
        <v>0</v>
      </c>
      <c r="N943" s="164">
        <f t="shared" si="335"/>
        <v>42675.839999999997</v>
      </c>
      <c r="O943" s="399">
        <f t="shared" si="343"/>
        <v>0</v>
      </c>
      <c r="P943" s="392">
        <f t="shared" si="357"/>
        <v>0</v>
      </c>
      <c r="Q943" s="164">
        <f t="shared" si="344"/>
        <v>0</v>
      </c>
      <c r="R943" s="164">
        <f t="shared" si="345"/>
        <v>0</v>
      </c>
      <c r="S943" s="164">
        <f t="shared" si="346"/>
        <v>0</v>
      </c>
      <c r="T943" s="164">
        <f t="shared" si="347"/>
        <v>0</v>
      </c>
      <c r="U943" s="164">
        <f t="shared" si="348"/>
        <v>0</v>
      </c>
      <c r="V943" s="393">
        <f t="shared" si="349"/>
        <v>42675.839999999997</v>
      </c>
      <c r="W943" s="393">
        <f t="shared" si="350"/>
        <v>-42675.839999999997</v>
      </c>
      <c r="Y943" s="393">
        <f t="shared" si="353"/>
        <v>4321.12</v>
      </c>
      <c r="Z943" s="393">
        <f t="shared" si="354"/>
        <v>-4321.12</v>
      </c>
      <c r="AD943" s="395">
        <f>IF(AH943&gt;AH942,AD942,IF(AD942&lt;MiscData!$F$1,EOMONTH(AD942,1),EOMONTH(AD942,-11)))</f>
        <v>41973</v>
      </c>
      <c r="AE943" s="389" t="str">
        <f t="shared" si="351"/>
        <v>20140101KUUM_468</v>
      </c>
      <c r="AF943" s="437" t="str">
        <f t="shared" si="352"/>
        <v>20140101LS</v>
      </c>
      <c r="AG943" s="438"/>
      <c r="AH943" s="34">
        <f>IF(AH942=MiscData!$AB$91,1,AH942+1)</f>
        <v>62</v>
      </c>
      <c r="AI943" s="34">
        <f>IF(AD943&lt;=MiscData!$B$23,MiscData!$C$23,IF(AD943&lt;=MiscData!$B$24,MiscData!$C$24,MiscData!$C$25))</f>
        <v>20140101</v>
      </c>
      <c r="AK943" s="439" t="str">
        <f>VLOOKUP(AM943,MiscData!$AB$4:$ACB$113,2,FALSE)</f>
        <v>KUUM_468</v>
      </c>
      <c r="AL943" s="439" t="str">
        <f>VLOOKUP(AM943,MiscData!$AB$4:$AE$115,4,FALSE)</f>
        <v>LS</v>
      </c>
      <c r="AM943" s="34">
        <f>IF(AM942=MiscData!$AB$91,1,AM942+1)</f>
        <v>62</v>
      </c>
    </row>
    <row r="944" spans="1:39">
      <c r="A944" s="389">
        <f t="shared" si="355"/>
        <v>943</v>
      </c>
      <c r="B944" s="395" t="str">
        <f t="shared" si="337"/>
        <v>Nov 2014</v>
      </c>
      <c r="C944" s="396" t="str">
        <f t="shared" si="338"/>
        <v>RLS</v>
      </c>
      <c r="D944" s="396" t="str">
        <f t="shared" si="339"/>
        <v>KUUM_469</v>
      </c>
      <c r="E944" s="394">
        <f t="shared" si="340"/>
        <v>284</v>
      </c>
      <c r="F944" s="397">
        <v>0</v>
      </c>
      <c r="G944" s="394">
        <f t="shared" si="336"/>
        <v>0</v>
      </c>
      <c r="H944" s="394">
        <v>0</v>
      </c>
      <c r="I944" s="390">
        <f t="shared" si="341"/>
        <v>33.100000000000009</v>
      </c>
      <c r="J944" s="390">
        <f t="shared" si="342"/>
        <v>4.2900000000000063</v>
      </c>
      <c r="K944" s="391">
        <f t="shared" si="356"/>
        <v>9400.4</v>
      </c>
      <c r="L944" s="398">
        <v>0</v>
      </c>
      <c r="M944" s="398">
        <v>0</v>
      </c>
      <c r="N944" s="164">
        <f t="shared" si="335"/>
        <v>9400.4</v>
      </c>
      <c r="O944" s="399">
        <f t="shared" si="343"/>
        <v>0</v>
      </c>
      <c r="P944" s="392">
        <f t="shared" si="357"/>
        <v>0</v>
      </c>
      <c r="Q944" s="164">
        <f t="shared" si="344"/>
        <v>0</v>
      </c>
      <c r="R944" s="164">
        <f t="shared" si="345"/>
        <v>0</v>
      </c>
      <c r="S944" s="164">
        <f t="shared" si="346"/>
        <v>0</v>
      </c>
      <c r="T944" s="164">
        <f t="shared" si="347"/>
        <v>0</v>
      </c>
      <c r="U944" s="164">
        <f t="shared" si="348"/>
        <v>0</v>
      </c>
      <c r="V944" s="393">
        <f t="shared" si="349"/>
        <v>9400.4</v>
      </c>
      <c r="W944" s="393">
        <f t="shared" si="350"/>
        <v>-9400.4</v>
      </c>
      <c r="Y944" s="393">
        <f t="shared" si="353"/>
        <v>1218.3599999999999</v>
      </c>
      <c r="Z944" s="393">
        <f t="shared" si="354"/>
        <v>-1218.3599999999999</v>
      </c>
      <c r="AD944" s="395">
        <f>IF(AH944&gt;AH943,AD943,IF(AD943&lt;MiscData!$F$1,EOMONTH(AD943,1),EOMONTH(AD943,-11)))</f>
        <v>41973</v>
      </c>
      <c r="AE944" s="389" t="str">
        <f t="shared" si="351"/>
        <v>20140101KUUM_469</v>
      </c>
      <c r="AF944" s="437" t="str">
        <f t="shared" si="352"/>
        <v>20140101RLS</v>
      </c>
      <c r="AG944" s="438"/>
      <c r="AH944" s="34">
        <f>IF(AH943=MiscData!$AB$91,1,AH943+1)</f>
        <v>63</v>
      </c>
      <c r="AI944" s="34">
        <f>IF(AD944&lt;=MiscData!$B$23,MiscData!$C$23,IF(AD944&lt;=MiscData!$B$24,MiscData!$C$24,MiscData!$C$25))</f>
        <v>20140101</v>
      </c>
      <c r="AK944" s="439" t="str">
        <f>VLOOKUP(AM944,MiscData!$AB$4:$ACB$113,2,FALSE)</f>
        <v>KUUM_469</v>
      </c>
      <c r="AL944" s="439" t="str">
        <f>VLOOKUP(AM944,MiscData!$AB$4:$AE$115,4,FALSE)</f>
        <v>RLS</v>
      </c>
      <c r="AM944" s="34">
        <f>IF(AM943=MiscData!$AB$91,1,AM943+1)</f>
        <v>63</v>
      </c>
    </row>
    <row r="945" spans="1:39">
      <c r="A945" s="389">
        <f t="shared" si="355"/>
        <v>944</v>
      </c>
      <c r="B945" s="395" t="str">
        <f t="shared" si="337"/>
        <v>Nov 2014</v>
      </c>
      <c r="C945" s="396" t="str">
        <f t="shared" si="338"/>
        <v>RLS</v>
      </c>
      <c r="D945" s="396" t="str">
        <f t="shared" si="339"/>
        <v>KUUM_470</v>
      </c>
      <c r="E945" s="394">
        <f t="shared" si="340"/>
        <v>63</v>
      </c>
      <c r="F945" s="397">
        <v>0</v>
      </c>
      <c r="G945" s="394">
        <f t="shared" si="336"/>
        <v>0</v>
      </c>
      <c r="H945" s="394">
        <v>0</v>
      </c>
      <c r="I945" s="390">
        <f t="shared" si="341"/>
        <v>55.250000000000007</v>
      </c>
      <c r="J945" s="390">
        <f t="shared" si="342"/>
        <v>10.410000000000004</v>
      </c>
      <c r="K945" s="391">
        <f t="shared" si="356"/>
        <v>3480.75</v>
      </c>
      <c r="L945" s="398">
        <v>0</v>
      </c>
      <c r="M945" s="398">
        <v>0</v>
      </c>
      <c r="N945" s="164">
        <f t="shared" si="335"/>
        <v>3480.75</v>
      </c>
      <c r="O945" s="399">
        <f t="shared" si="343"/>
        <v>0</v>
      </c>
      <c r="P945" s="392">
        <f t="shared" si="357"/>
        <v>0</v>
      </c>
      <c r="Q945" s="164">
        <f t="shared" si="344"/>
        <v>0</v>
      </c>
      <c r="R945" s="164">
        <f t="shared" si="345"/>
        <v>0</v>
      </c>
      <c r="S945" s="164">
        <f t="shared" si="346"/>
        <v>0</v>
      </c>
      <c r="T945" s="164">
        <f t="shared" si="347"/>
        <v>0</v>
      </c>
      <c r="U945" s="164">
        <f t="shared" si="348"/>
        <v>0</v>
      </c>
      <c r="V945" s="393">
        <f t="shared" si="349"/>
        <v>3480.75</v>
      </c>
      <c r="W945" s="393">
        <f t="shared" si="350"/>
        <v>-3480.75</v>
      </c>
      <c r="Y945" s="393">
        <f t="shared" si="353"/>
        <v>655.83</v>
      </c>
      <c r="Z945" s="393">
        <f t="shared" si="354"/>
        <v>-655.83</v>
      </c>
      <c r="AD945" s="395">
        <f>IF(AH945&gt;AH944,AD944,IF(AD944&lt;MiscData!$F$1,EOMONTH(AD944,1),EOMONTH(AD944,-11)))</f>
        <v>41973</v>
      </c>
      <c r="AE945" s="389" t="str">
        <f t="shared" si="351"/>
        <v>20140101KUUM_470</v>
      </c>
      <c r="AF945" s="437" t="str">
        <f t="shared" si="352"/>
        <v>20140101RLS</v>
      </c>
      <c r="AG945" s="438"/>
      <c r="AH945" s="34">
        <f>IF(AH944=MiscData!$AB$91,1,AH944+1)</f>
        <v>64</v>
      </c>
      <c r="AI945" s="34">
        <f>IF(AD945&lt;=MiscData!$B$23,MiscData!$C$23,IF(AD945&lt;=MiscData!$B$24,MiscData!$C$24,MiscData!$C$25))</f>
        <v>20140101</v>
      </c>
      <c r="AK945" s="439" t="str">
        <f>VLOOKUP(AM945,MiscData!$AB$4:$ACB$113,2,FALSE)</f>
        <v>KUUM_470</v>
      </c>
      <c r="AL945" s="439" t="str">
        <f>VLOOKUP(AM945,MiscData!$AB$4:$AE$115,4,FALSE)</f>
        <v>RLS</v>
      </c>
      <c r="AM945" s="34">
        <f>IF(AM944=MiscData!$AB$91,1,AM944+1)</f>
        <v>64</v>
      </c>
    </row>
    <row r="946" spans="1:39">
      <c r="A946" s="389">
        <f t="shared" si="355"/>
        <v>945</v>
      </c>
      <c r="B946" s="395" t="str">
        <f t="shared" si="337"/>
        <v>Nov 2014</v>
      </c>
      <c r="C946" s="396" t="str">
        <f t="shared" si="338"/>
        <v>RLS</v>
      </c>
      <c r="D946" s="396" t="str">
        <f t="shared" si="339"/>
        <v>KUUM_471</v>
      </c>
      <c r="E946" s="394">
        <f t="shared" si="340"/>
        <v>3585</v>
      </c>
      <c r="F946" s="397">
        <v>0</v>
      </c>
      <c r="G946" s="394">
        <f t="shared" si="336"/>
        <v>0</v>
      </c>
      <c r="H946" s="394">
        <v>0</v>
      </c>
      <c r="I946" s="390">
        <f t="shared" si="341"/>
        <v>10.49</v>
      </c>
      <c r="J946" s="390">
        <f t="shared" si="342"/>
        <v>0.56999999999999851</v>
      </c>
      <c r="K946" s="391">
        <f t="shared" si="356"/>
        <v>37606.65</v>
      </c>
      <c r="L946" s="398">
        <v>0</v>
      </c>
      <c r="M946" s="398">
        <v>0</v>
      </c>
      <c r="N946" s="164">
        <f t="shared" si="335"/>
        <v>37606.65</v>
      </c>
      <c r="O946" s="399">
        <f t="shared" si="343"/>
        <v>0</v>
      </c>
      <c r="P946" s="392">
        <f t="shared" si="357"/>
        <v>0</v>
      </c>
      <c r="Q946" s="164">
        <f t="shared" si="344"/>
        <v>0</v>
      </c>
      <c r="R946" s="164">
        <f t="shared" si="345"/>
        <v>0</v>
      </c>
      <c r="S946" s="164">
        <f t="shared" si="346"/>
        <v>0</v>
      </c>
      <c r="T946" s="164">
        <f t="shared" si="347"/>
        <v>0</v>
      </c>
      <c r="U946" s="164">
        <f t="shared" si="348"/>
        <v>0</v>
      </c>
      <c r="V946" s="393">
        <f t="shared" si="349"/>
        <v>37606.65</v>
      </c>
      <c r="W946" s="393">
        <f t="shared" si="350"/>
        <v>-37606.65</v>
      </c>
      <c r="Y946" s="393">
        <f t="shared" si="353"/>
        <v>2043.45</v>
      </c>
      <c r="Z946" s="393">
        <f t="shared" si="354"/>
        <v>-2043.45</v>
      </c>
      <c r="AD946" s="395">
        <f>IF(AH946&gt;AH945,AD945,IF(AD945&lt;MiscData!$F$1,EOMONTH(AD945,1),EOMONTH(AD945,-11)))</f>
        <v>41973</v>
      </c>
      <c r="AE946" s="389" t="str">
        <f t="shared" si="351"/>
        <v>20140101KUUM_471</v>
      </c>
      <c r="AF946" s="437" t="str">
        <f t="shared" si="352"/>
        <v>20140101RLS</v>
      </c>
      <c r="AG946" s="438"/>
      <c r="AH946" s="34">
        <f>IF(AH945=MiscData!$AB$91,1,AH945+1)</f>
        <v>65</v>
      </c>
      <c r="AI946" s="34">
        <f>IF(AD946&lt;=MiscData!$B$23,MiscData!$C$23,IF(AD946&lt;=MiscData!$B$24,MiscData!$C$24,MiscData!$C$25))</f>
        <v>20140101</v>
      </c>
      <c r="AK946" s="439" t="str">
        <f>VLOOKUP(AM946,MiscData!$AB$4:$ACB$113,2,FALSE)</f>
        <v>KUUM_471</v>
      </c>
      <c r="AL946" s="439" t="str">
        <f>VLOOKUP(AM946,MiscData!$AB$4:$AE$115,4,FALSE)</f>
        <v>RLS</v>
      </c>
      <c r="AM946" s="34">
        <f>IF(AM945=MiscData!$AB$91,1,AM945+1)</f>
        <v>65</v>
      </c>
    </row>
    <row r="947" spans="1:39">
      <c r="A947" s="389">
        <f t="shared" si="355"/>
        <v>946</v>
      </c>
      <c r="B947" s="395" t="str">
        <f t="shared" si="337"/>
        <v>Nov 2014</v>
      </c>
      <c r="C947" s="396" t="str">
        <f t="shared" si="338"/>
        <v>LS</v>
      </c>
      <c r="D947" s="396" t="str">
        <f t="shared" si="339"/>
        <v>KUUM_472</v>
      </c>
      <c r="E947" s="394">
        <f t="shared" si="340"/>
        <v>8389</v>
      </c>
      <c r="F947" s="397">
        <v>0</v>
      </c>
      <c r="G947" s="394">
        <f t="shared" si="336"/>
        <v>0</v>
      </c>
      <c r="H947" s="394">
        <v>0</v>
      </c>
      <c r="I947" s="390">
        <f t="shared" si="341"/>
        <v>11.600000000000001</v>
      </c>
      <c r="J947" s="390">
        <f t="shared" si="342"/>
        <v>0.80000000000000071</v>
      </c>
      <c r="K947" s="391">
        <f t="shared" si="356"/>
        <v>97312.4</v>
      </c>
      <c r="L947" s="398">
        <v>0</v>
      </c>
      <c r="M947" s="398">
        <v>0</v>
      </c>
      <c r="N947" s="164">
        <f t="shared" si="335"/>
        <v>97312.4</v>
      </c>
      <c r="O947" s="399">
        <f t="shared" si="343"/>
        <v>0</v>
      </c>
      <c r="P947" s="392">
        <f t="shared" si="357"/>
        <v>0</v>
      </c>
      <c r="Q947" s="164">
        <f t="shared" si="344"/>
        <v>0</v>
      </c>
      <c r="R947" s="164">
        <f t="shared" si="345"/>
        <v>0</v>
      </c>
      <c r="S947" s="164">
        <f t="shared" si="346"/>
        <v>0</v>
      </c>
      <c r="T947" s="164">
        <f t="shared" si="347"/>
        <v>0</v>
      </c>
      <c r="U947" s="164">
        <f t="shared" si="348"/>
        <v>0</v>
      </c>
      <c r="V947" s="393">
        <f t="shared" si="349"/>
        <v>97312.4</v>
      </c>
      <c r="W947" s="393">
        <f t="shared" si="350"/>
        <v>-97312.4</v>
      </c>
      <c r="Y947" s="393">
        <f t="shared" si="353"/>
        <v>6711.2</v>
      </c>
      <c r="Z947" s="393">
        <f t="shared" si="354"/>
        <v>-6711.2</v>
      </c>
      <c r="AD947" s="395">
        <f>IF(AH947&gt;AH946,AD946,IF(AD946&lt;MiscData!$F$1,EOMONTH(AD946,1),EOMONTH(AD946,-11)))</f>
        <v>41973</v>
      </c>
      <c r="AE947" s="389" t="str">
        <f t="shared" si="351"/>
        <v>20140101KUUM_472</v>
      </c>
      <c r="AF947" s="437" t="str">
        <f t="shared" si="352"/>
        <v>20140101LS</v>
      </c>
      <c r="AG947" s="438"/>
      <c r="AH947" s="34">
        <f>IF(AH946=MiscData!$AB$91,1,AH946+1)</f>
        <v>66</v>
      </c>
      <c r="AI947" s="34">
        <f>IF(AD947&lt;=MiscData!$B$23,MiscData!$C$23,IF(AD947&lt;=MiscData!$B$24,MiscData!$C$24,MiscData!$C$25))</f>
        <v>20140101</v>
      </c>
      <c r="AK947" s="439" t="str">
        <f>VLOOKUP(AM947,MiscData!$AB$4:$ACB$113,2,FALSE)</f>
        <v>KUUM_472</v>
      </c>
      <c r="AL947" s="439" t="str">
        <f>VLOOKUP(AM947,MiscData!$AB$4:$AE$115,4,FALSE)</f>
        <v>LS</v>
      </c>
      <c r="AM947" s="34">
        <f>IF(AM946=MiscData!$AB$91,1,AM946+1)</f>
        <v>66</v>
      </c>
    </row>
    <row r="948" spans="1:39">
      <c r="A948" s="389">
        <f t="shared" si="355"/>
        <v>947</v>
      </c>
      <c r="B948" s="395" t="str">
        <f t="shared" si="337"/>
        <v>Nov 2014</v>
      </c>
      <c r="C948" s="396" t="str">
        <f t="shared" si="338"/>
        <v>LS</v>
      </c>
      <c r="D948" s="396" t="str">
        <f t="shared" si="339"/>
        <v>KUUM_473</v>
      </c>
      <c r="E948" s="394">
        <f t="shared" si="340"/>
        <v>3296</v>
      </c>
      <c r="F948" s="397">
        <v>0</v>
      </c>
      <c r="G948" s="394">
        <f t="shared" si="336"/>
        <v>0</v>
      </c>
      <c r="H948" s="394">
        <v>0</v>
      </c>
      <c r="I948" s="390">
        <f t="shared" si="341"/>
        <v>12.3</v>
      </c>
      <c r="J948" s="390">
        <f t="shared" si="342"/>
        <v>1.129999999999999</v>
      </c>
      <c r="K948" s="391">
        <f t="shared" si="356"/>
        <v>40540.800000000003</v>
      </c>
      <c r="L948" s="398">
        <v>0</v>
      </c>
      <c r="M948" s="398">
        <v>0</v>
      </c>
      <c r="N948" s="164">
        <f t="shared" si="335"/>
        <v>40540.800000000003</v>
      </c>
      <c r="O948" s="399">
        <f t="shared" si="343"/>
        <v>0</v>
      </c>
      <c r="P948" s="392">
        <f t="shared" si="357"/>
        <v>0</v>
      </c>
      <c r="Q948" s="164">
        <f t="shared" si="344"/>
        <v>0</v>
      </c>
      <c r="R948" s="164">
        <f t="shared" si="345"/>
        <v>0</v>
      </c>
      <c r="S948" s="164">
        <f t="shared" si="346"/>
        <v>0</v>
      </c>
      <c r="T948" s="164">
        <f t="shared" si="347"/>
        <v>0</v>
      </c>
      <c r="U948" s="164">
        <f t="shared" si="348"/>
        <v>0</v>
      </c>
      <c r="V948" s="393">
        <f t="shared" si="349"/>
        <v>40540.800000000003</v>
      </c>
      <c r="W948" s="393">
        <f t="shared" si="350"/>
        <v>-40540.800000000003</v>
      </c>
      <c r="Y948" s="393">
        <f t="shared" si="353"/>
        <v>3724.48</v>
      </c>
      <c r="Z948" s="393">
        <f t="shared" si="354"/>
        <v>-3724.48</v>
      </c>
      <c r="AD948" s="395">
        <f>IF(AH948&gt;AH947,AD947,IF(AD947&lt;MiscData!$F$1,EOMONTH(AD947,1),EOMONTH(AD947,-11)))</f>
        <v>41973</v>
      </c>
      <c r="AE948" s="389" t="str">
        <f t="shared" si="351"/>
        <v>20140101KUUM_473</v>
      </c>
      <c r="AF948" s="437" t="str">
        <f t="shared" si="352"/>
        <v>20140101LS</v>
      </c>
      <c r="AG948" s="438"/>
      <c r="AH948" s="34">
        <f>IF(AH947=MiscData!$AB$91,1,AH947+1)</f>
        <v>67</v>
      </c>
      <c r="AI948" s="34">
        <f>IF(AD948&lt;=MiscData!$B$23,MiscData!$C$23,IF(AD948&lt;=MiscData!$B$24,MiscData!$C$24,MiscData!$C$25))</f>
        <v>20140101</v>
      </c>
      <c r="AK948" s="439" t="str">
        <f>VLOOKUP(AM948,MiscData!$AB$4:$ACB$113,2,FALSE)</f>
        <v>KUUM_473</v>
      </c>
      <c r="AL948" s="439" t="str">
        <f>VLOOKUP(AM948,MiscData!$AB$4:$AE$115,4,FALSE)</f>
        <v>LS</v>
      </c>
      <c r="AM948" s="34">
        <f>IF(AM947=MiscData!$AB$91,1,AM947+1)</f>
        <v>67</v>
      </c>
    </row>
    <row r="949" spans="1:39">
      <c r="A949" s="389">
        <f t="shared" si="355"/>
        <v>948</v>
      </c>
      <c r="B949" s="395" t="str">
        <f t="shared" si="337"/>
        <v>Nov 2014</v>
      </c>
      <c r="C949" s="396" t="str">
        <f t="shared" si="338"/>
        <v>LS</v>
      </c>
      <c r="D949" s="396" t="str">
        <f t="shared" si="339"/>
        <v>KUUM_474</v>
      </c>
      <c r="E949" s="394">
        <f t="shared" si="340"/>
        <v>4927</v>
      </c>
      <c r="F949" s="397">
        <v>0</v>
      </c>
      <c r="G949" s="394">
        <f t="shared" si="336"/>
        <v>0</v>
      </c>
      <c r="H949" s="394">
        <v>0</v>
      </c>
      <c r="I949" s="390">
        <f t="shared" si="341"/>
        <v>17.41</v>
      </c>
      <c r="J949" s="390">
        <f t="shared" si="342"/>
        <v>2.33</v>
      </c>
      <c r="K949" s="391">
        <f t="shared" si="356"/>
        <v>85779.07</v>
      </c>
      <c r="L949" s="398">
        <v>0</v>
      </c>
      <c r="M949" s="398">
        <v>0</v>
      </c>
      <c r="N949" s="164">
        <f t="shared" si="335"/>
        <v>85779.07</v>
      </c>
      <c r="O949" s="399">
        <f t="shared" si="343"/>
        <v>0</v>
      </c>
      <c r="P949" s="392">
        <f t="shared" si="357"/>
        <v>0</v>
      </c>
      <c r="Q949" s="164">
        <f t="shared" si="344"/>
        <v>0</v>
      </c>
      <c r="R949" s="164">
        <f t="shared" si="345"/>
        <v>0</v>
      </c>
      <c r="S949" s="164">
        <f t="shared" si="346"/>
        <v>0</v>
      </c>
      <c r="T949" s="164">
        <f t="shared" si="347"/>
        <v>0</v>
      </c>
      <c r="U949" s="164">
        <f t="shared" si="348"/>
        <v>0</v>
      </c>
      <c r="V949" s="393">
        <f t="shared" si="349"/>
        <v>85779.07</v>
      </c>
      <c r="W949" s="393">
        <f t="shared" si="350"/>
        <v>-85779.07</v>
      </c>
      <c r="Y949" s="393">
        <f t="shared" si="353"/>
        <v>11479.91</v>
      </c>
      <c r="Z949" s="393">
        <f t="shared" si="354"/>
        <v>-11479.91</v>
      </c>
      <c r="AD949" s="395">
        <f>IF(AH949&gt;AH948,AD948,IF(AD948&lt;MiscData!$F$1,EOMONTH(AD948,1),EOMONTH(AD948,-11)))</f>
        <v>41973</v>
      </c>
      <c r="AE949" s="389" t="str">
        <f t="shared" si="351"/>
        <v>20140101KUUM_474</v>
      </c>
      <c r="AF949" s="437" t="str">
        <f t="shared" si="352"/>
        <v>20140101LS</v>
      </c>
      <c r="AG949" s="438"/>
      <c r="AH949" s="34">
        <f>IF(AH948=MiscData!$AB$91,1,AH948+1)</f>
        <v>68</v>
      </c>
      <c r="AI949" s="34">
        <f>IF(AD949&lt;=MiscData!$B$23,MiscData!$C$23,IF(AD949&lt;=MiscData!$B$24,MiscData!$C$24,MiscData!$C$25))</f>
        <v>20140101</v>
      </c>
      <c r="AK949" s="439" t="str">
        <f>VLOOKUP(AM949,MiscData!$AB$4:$ACB$113,2,FALSE)</f>
        <v>KUUM_474</v>
      </c>
      <c r="AL949" s="439" t="str">
        <f>VLOOKUP(AM949,MiscData!$AB$4:$AE$115,4,FALSE)</f>
        <v>LS</v>
      </c>
      <c r="AM949" s="34">
        <f>IF(AM948=MiscData!$AB$91,1,AM948+1)</f>
        <v>68</v>
      </c>
    </row>
    <row r="950" spans="1:39">
      <c r="A950" s="389">
        <f t="shared" si="355"/>
        <v>949</v>
      </c>
      <c r="B950" s="395" t="str">
        <f t="shared" si="337"/>
        <v>Nov 2014</v>
      </c>
      <c r="C950" s="396" t="str">
        <f t="shared" si="338"/>
        <v>LS</v>
      </c>
      <c r="D950" s="396" t="str">
        <f t="shared" si="339"/>
        <v>KUUM_475</v>
      </c>
      <c r="E950" s="394">
        <f t="shared" si="340"/>
        <v>466</v>
      </c>
      <c r="F950" s="397">
        <v>0</v>
      </c>
      <c r="G950" s="394">
        <f t="shared" si="336"/>
        <v>0</v>
      </c>
      <c r="H950" s="394">
        <v>0</v>
      </c>
      <c r="I950" s="390">
        <f t="shared" si="341"/>
        <v>24.46</v>
      </c>
      <c r="J950" s="390">
        <f t="shared" si="342"/>
        <v>4.5300000000000011</v>
      </c>
      <c r="K950" s="391">
        <f t="shared" si="356"/>
        <v>11398.36</v>
      </c>
      <c r="L950" s="398">
        <v>0</v>
      </c>
      <c r="M950" s="398">
        <v>0</v>
      </c>
      <c r="N950" s="164">
        <f t="shared" si="335"/>
        <v>11398.36</v>
      </c>
      <c r="O950" s="399">
        <f t="shared" si="343"/>
        <v>0</v>
      </c>
      <c r="P950" s="392">
        <f t="shared" si="357"/>
        <v>0</v>
      </c>
      <c r="Q950" s="164">
        <f t="shared" si="344"/>
        <v>0</v>
      </c>
      <c r="R950" s="164">
        <f t="shared" si="345"/>
        <v>0</v>
      </c>
      <c r="S950" s="164">
        <f t="shared" si="346"/>
        <v>0</v>
      </c>
      <c r="T950" s="164">
        <f t="shared" si="347"/>
        <v>0</v>
      </c>
      <c r="U950" s="164">
        <f t="shared" si="348"/>
        <v>0</v>
      </c>
      <c r="V950" s="393">
        <f t="shared" si="349"/>
        <v>11398.36</v>
      </c>
      <c r="W950" s="393">
        <f t="shared" si="350"/>
        <v>-11398.36</v>
      </c>
      <c r="Y950" s="393">
        <f t="shared" si="353"/>
        <v>2110.98</v>
      </c>
      <c r="Z950" s="393">
        <f t="shared" si="354"/>
        <v>-2110.98</v>
      </c>
      <c r="AD950" s="395">
        <f>IF(AH950&gt;AH949,AD949,IF(AD949&lt;MiscData!$F$1,EOMONTH(AD949,1),EOMONTH(AD949,-11)))</f>
        <v>41973</v>
      </c>
      <c r="AE950" s="389" t="str">
        <f t="shared" si="351"/>
        <v>20140101KUUM_475</v>
      </c>
      <c r="AF950" s="437" t="str">
        <f t="shared" si="352"/>
        <v>20140101LS</v>
      </c>
      <c r="AG950" s="438"/>
      <c r="AH950" s="34">
        <f>IF(AH949=MiscData!$AB$91,1,AH949+1)</f>
        <v>69</v>
      </c>
      <c r="AI950" s="34">
        <f>IF(AD950&lt;=MiscData!$B$23,MiscData!$C$23,IF(AD950&lt;=MiscData!$B$24,MiscData!$C$24,MiscData!$C$25))</f>
        <v>20140101</v>
      </c>
      <c r="AK950" s="439" t="str">
        <f>VLOOKUP(AM950,MiscData!$AB$4:$ACB$113,2,FALSE)</f>
        <v>KUUM_475</v>
      </c>
      <c r="AL950" s="439" t="str">
        <f>VLOOKUP(AM950,MiscData!$AB$4:$AE$115,4,FALSE)</f>
        <v>LS</v>
      </c>
      <c r="AM950" s="34">
        <f>IF(AM949=MiscData!$AB$91,1,AM949+1)</f>
        <v>69</v>
      </c>
    </row>
    <row r="951" spans="1:39">
      <c r="A951" s="389">
        <f t="shared" si="355"/>
        <v>950</v>
      </c>
      <c r="B951" s="395" t="str">
        <f t="shared" si="337"/>
        <v>Nov 2014</v>
      </c>
      <c r="C951" s="396" t="str">
        <f t="shared" si="338"/>
        <v>LS</v>
      </c>
      <c r="D951" s="396" t="str">
        <f t="shared" si="339"/>
        <v>KUUM_476</v>
      </c>
      <c r="E951" s="394">
        <f t="shared" si="340"/>
        <v>4462</v>
      </c>
      <c r="F951" s="397">
        <v>0</v>
      </c>
      <c r="G951" s="394">
        <f t="shared" si="336"/>
        <v>0</v>
      </c>
      <c r="H951" s="394">
        <v>0</v>
      </c>
      <c r="I951" s="390">
        <f t="shared" si="341"/>
        <v>16.79</v>
      </c>
      <c r="J951" s="390">
        <f t="shared" si="342"/>
        <v>0.79999999999999893</v>
      </c>
      <c r="K951" s="391">
        <f t="shared" si="356"/>
        <v>74916.98</v>
      </c>
      <c r="L951" s="398">
        <v>0</v>
      </c>
      <c r="M951" s="398">
        <v>0</v>
      </c>
      <c r="N951" s="164">
        <f t="shared" si="335"/>
        <v>74916.98</v>
      </c>
      <c r="O951" s="399">
        <f t="shared" si="343"/>
        <v>0</v>
      </c>
      <c r="P951" s="392">
        <f t="shared" si="357"/>
        <v>0</v>
      </c>
      <c r="Q951" s="164">
        <f t="shared" si="344"/>
        <v>0</v>
      </c>
      <c r="R951" s="164">
        <f t="shared" si="345"/>
        <v>0</v>
      </c>
      <c r="S951" s="164">
        <f t="shared" si="346"/>
        <v>0</v>
      </c>
      <c r="T951" s="164">
        <f t="shared" si="347"/>
        <v>0</v>
      </c>
      <c r="U951" s="164">
        <f t="shared" si="348"/>
        <v>0</v>
      </c>
      <c r="V951" s="393">
        <f t="shared" si="349"/>
        <v>74916.98</v>
      </c>
      <c r="W951" s="393">
        <f t="shared" si="350"/>
        <v>-74916.98</v>
      </c>
      <c r="Y951" s="393">
        <f t="shared" si="353"/>
        <v>3569.6</v>
      </c>
      <c r="Z951" s="393">
        <f t="shared" si="354"/>
        <v>-3569.6</v>
      </c>
      <c r="AD951" s="395">
        <f>IF(AH951&gt;AH950,AD950,IF(AD950&lt;MiscData!$F$1,EOMONTH(AD950,1),EOMONTH(AD950,-11)))</f>
        <v>41973</v>
      </c>
      <c r="AE951" s="389" t="str">
        <f t="shared" si="351"/>
        <v>20140101KUUM_476</v>
      </c>
      <c r="AF951" s="437" t="str">
        <f t="shared" si="352"/>
        <v>20140101LS</v>
      </c>
      <c r="AG951" s="438"/>
      <c r="AH951" s="34">
        <f>IF(AH950=MiscData!$AB$91,1,AH950+1)</f>
        <v>70</v>
      </c>
      <c r="AI951" s="34">
        <f>IF(AD951&lt;=MiscData!$B$23,MiscData!$C$23,IF(AD951&lt;=MiscData!$B$24,MiscData!$C$24,MiscData!$C$25))</f>
        <v>20140101</v>
      </c>
      <c r="AK951" s="439" t="str">
        <f>VLOOKUP(AM951,MiscData!$AB$4:$ACB$113,2,FALSE)</f>
        <v>KUUM_476</v>
      </c>
      <c r="AL951" s="439" t="str">
        <f>VLOOKUP(AM951,MiscData!$AB$4:$AE$115,4,FALSE)</f>
        <v>LS</v>
      </c>
      <c r="AM951" s="34">
        <f>IF(AM950=MiscData!$AB$91,1,AM950+1)</f>
        <v>70</v>
      </c>
    </row>
    <row r="952" spans="1:39">
      <c r="A952" s="389">
        <f t="shared" si="355"/>
        <v>951</v>
      </c>
      <c r="B952" s="395" t="str">
        <f t="shared" si="337"/>
        <v>Nov 2014</v>
      </c>
      <c r="C952" s="396" t="str">
        <f t="shared" si="338"/>
        <v>LS</v>
      </c>
      <c r="D952" s="396" t="str">
        <f t="shared" si="339"/>
        <v>KUUM_477</v>
      </c>
      <c r="E952" s="394">
        <f t="shared" si="340"/>
        <v>1034</v>
      </c>
      <c r="F952" s="397">
        <v>0</v>
      </c>
      <c r="G952" s="394">
        <f t="shared" si="336"/>
        <v>0</v>
      </c>
      <c r="H952" s="394">
        <v>0</v>
      </c>
      <c r="I952" s="390">
        <f t="shared" si="341"/>
        <v>20.97</v>
      </c>
      <c r="J952" s="390">
        <f t="shared" si="342"/>
        <v>1.129999999999999</v>
      </c>
      <c r="K952" s="391">
        <f t="shared" si="356"/>
        <v>21682.98</v>
      </c>
      <c r="L952" s="398">
        <v>0</v>
      </c>
      <c r="M952" s="398">
        <v>0</v>
      </c>
      <c r="N952" s="164">
        <f t="shared" ref="N952:N1015" si="358">SUM(K952:M952)</f>
        <v>21682.98</v>
      </c>
      <c r="O952" s="399">
        <f t="shared" si="343"/>
        <v>0</v>
      </c>
      <c r="P952" s="392">
        <f t="shared" si="357"/>
        <v>0</v>
      </c>
      <c r="Q952" s="164">
        <f t="shared" si="344"/>
        <v>0</v>
      </c>
      <c r="R952" s="164">
        <f t="shared" si="345"/>
        <v>0</v>
      </c>
      <c r="S952" s="164">
        <f t="shared" si="346"/>
        <v>0</v>
      </c>
      <c r="T952" s="164">
        <f t="shared" si="347"/>
        <v>0</v>
      </c>
      <c r="U952" s="164">
        <f t="shared" si="348"/>
        <v>0</v>
      </c>
      <c r="V952" s="393">
        <f t="shared" si="349"/>
        <v>21682.98</v>
      </c>
      <c r="W952" s="393">
        <f t="shared" si="350"/>
        <v>-21682.98</v>
      </c>
      <c r="Y952" s="393">
        <f t="shared" si="353"/>
        <v>1168.42</v>
      </c>
      <c r="Z952" s="393">
        <f t="shared" si="354"/>
        <v>-1168.42</v>
      </c>
      <c r="AD952" s="395">
        <f>IF(AH952&gt;AH951,AD951,IF(AD951&lt;MiscData!$F$1,EOMONTH(AD951,1),EOMONTH(AD951,-11)))</f>
        <v>41973</v>
      </c>
      <c r="AE952" s="389" t="str">
        <f t="shared" si="351"/>
        <v>20140101KUUM_477</v>
      </c>
      <c r="AF952" s="437" t="str">
        <f t="shared" si="352"/>
        <v>20140101LS</v>
      </c>
      <c r="AG952" s="438"/>
      <c r="AH952" s="34">
        <f>IF(AH951=MiscData!$AB$91,1,AH951+1)</f>
        <v>71</v>
      </c>
      <c r="AI952" s="34">
        <f>IF(AD952&lt;=MiscData!$B$23,MiscData!$C$23,IF(AD952&lt;=MiscData!$B$24,MiscData!$C$24,MiscData!$C$25))</f>
        <v>20140101</v>
      </c>
      <c r="AK952" s="439" t="str">
        <f>VLOOKUP(AM952,MiscData!$AB$4:$ACB$113,2,FALSE)</f>
        <v>KUUM_477</v>
      </c>
      <c r="AL952" s="439" t="str">
        <f>VLOOKUP(AM952,MiscData!$AB$4:$AE$115,4,FALSE)</f>
        <v>LS</v>
      </c>
      <c r="AM952" s="34">
        <f>IF(AM951=MiscData!$AB$91,1,AM951+1)</f>
        <v>71</v>
      </c>
    </row>
    <row r="953" spans="1:39">
      <c r="A953" s="389">
        <f t="shared" si="355"/>
        <v>952</v>
      </c>
      <c r="B953" s="395" t="str">
        <f t="shared" si="337"/>
        <v>Nov 2014</v>
      </c>
      <c r="C953" s="396" t="str">
        <f t="shared" si="338"/>
        <v>LS</v>
      </c>
      <c r="D953" s="396" t="str">
        <f t="shared" si="339"/>
        <v>KUUM_478</v>
      </c>
      <c r="E953" s="394">
        <f t="shared" si="340"/>
        <v>1369</v>
      </c>
      <c r="F953" s="397">
        <v>0</v>
      </c>
      <c r="G953" s="394">
        <f t="shared" ref="G953:G1016" si="359">SUMIFS(_SBR_KWH,_SBR_Revenue_Month,$B953,_SBR_Rate_Category,$D953)</f>
        <v>0</v>
      </c>
      <c r="H953" s="394">
        <v>0</v>
      </c>
      <c r="I953" s="390">
        <f t="shared" si="341"/>
        <v>26.86</v>
      </c>
      <c r="J953" s="390">
        <f t="shared" si="342"/>
        <v>2.3299999999999983</v>
      </c>
      <c r="K953" s="391">
        <f t="shared" si="356"/>
        <v>36771.339999999997</v>
      </c>
      <c r="L953" s="398">
        <v>0</v>
      </c>
      <c r="M953" s="398">
        <v>0</v>
      </c>
      <c r="N953" s="164">
        <f t="shared" si="358"/>
        <v>36771.339999999997</v>
      </c>
      <c r="O953" s="399">
        <f t="shared" si="343"/>
        <v>0</v>
      </c>
      <c r="P953" s="392">
        <f t="shared" si="357"/>
        <v>0</v>
      </c>
      <c r="Q953" s="164">
        <f t="shared" si="344"/>
        <v>0</v>
      </c>
      <c r="R953" s="164">
        <f t="shared" si="345"/>
        <v>0</v>
      </c>
      <c r="S953" s="164">
        <f t="shared" si="346"/>
        <v>0</v>
      </c>
      <c r="T953" s="164">
        <f t="shared" si="347"/>
        <v>0</v>
      </c>
      <c r="U953" s="164">
        <f t="shared" si="348"/>
        <v>0</v>
      </c>
      <c r="V953" s="393">
        <f t="shared" si="349"/>
        <v>36771.339999999997</v>
      </c>
      <c r="W953" s="393">
        <f t="shared" si="350"/>
        <v>-36771.339999999997</v>
      </c>
      <c r="Y953" s="393">
        <f t="shared" si="353"/>
        <v>3189.77</v>
      </c>
      <c r="Z953" s="393">
        <f t="shared" si="354"/>
        <v>-3189.77</v>
      </c>
      <c r="AD953" s="395">
        <f>IF(AH953&gt;AH952,AD952,IF(AD952&lt;MiscData!$F$1,EOMONTH(AD952,1),EOMONTH(AD952,-11)))</f>
        <v>41973</v>
      </c>
      <c r="AE953" s="389" t="str">
        <f t="shared" si="351"/>
        <v>20140101KUUM_478</v>
      </c>
      <c r="AF953" s="437" t="str">
        <f t="shared" si="352"/>
        <v>20140101LS</v>
      </c>
      <c r="AG953" s="438"/>
      <c r="AH953" s="34">
        <f>IF(AH952=MiscData!$AB$91,1,AH952+1)</f>
        <v>72</v>
      </c>
      <c r="AI953" s="34">
        <f>IF(AD953&lt;=MiscData!$B$23,MiscData!$C$23,IF(AD953&lt;=MiscData!$B$24,MiscData!$C$24,MiscData!$C$25))</f>
        <v>20140101</v>
      </c>
      <c r="AK953" s="439" t="str">
        <f>VLOOKUP(AM953,MiscData!$AB$4:$ACB$113,2,FALSE)</f>
        <v>KUUM_478</v>
      </c>
      <c r="AL953" s="439" t="str">
        <f>VLOOKUP(AM953,MiscData!$AB$4:$AE$115,4,FALSE)</f>
        <v>LS</v>
      </c>
      <c r="AM953" s="34">
        <f>IF(AM952=MiscData!$AB$91,1,AM952+1)</f>
        <v>72</v>
      </c>
    </row>
    <row r="954" spans="1:39">
      <c r="A954" s="389">
        <f t="shared" si="355"/>
        <v>953</v>
      </c>
      <c r="B954" s="395" t="str">
        <f t="shared" ref="B954:B1017" si="360">TEXT(AD954,"mmm yyyy")</f>
        <v>Nov 2014</v>
      </c>
      <c r="C954" s="396" t="str">
        <f t="shared" ref="C954:C1017" si="361">AL954</f>
        <v>LS</v>
      </c>
      <c r="D954" s="396" t="str">
        <f t="shared" ref="D954:D1017" si="362">AK954</f>
        <v>KUUM_479</v>
      </c>
      <c r="E954" s="394">
        <f t="shared" ref="E954:E1017" si="363">SUMIFS(_1055_Light_Count,_1055_RevMonth,$B954,_1055_RateCategory,$D954)</f>
        <v>917</v>
      </c>
      <c r="F954" s="397">
        <v>0</v>
      </c>
      <c r="G954" s="394">
        <f t="shared" si="359"/>
        <v>0</v>
      </c>
      <c r="H954" s="394">
        <v>0</v>
      </c>
      <c r="I954" s="390">
        <f t="shared" ref="I954:I1017" si="364">SUMIF(_Lights_Tariff_Category,$AE954,_Lights_Rates)</f>
        <v>33.119999999999997</v>
      </c>
      <c r="J954" s="390">
        <f t="shared" ref="J954:J1017" si="365">SUMIF(_Lights_Tariff_Category,$AE954,_Rates_Lights_BaseFAC)</f>
        <v>4.529999999999994</v>
      </c>
      <c r="K954" s="391">
        <f t="shared" si="356"/>
        <v>30371.040000000001</v>
      </c>
      <c r="L954" s="398">
        <v>0</v>
      </c>
      <c r="M954" s="398">
        <v>0</v>
      </c>
      <c r="N954" s="164">
        <f t="shared" si="358"/>
        <v>30371.040000000001</v>
      </c>
      <c r="O954" s="399">
        <f t="shared" ref="O954:O1017" si="366">U954-SUM(Q954:T954)</f>
        <v>0</v>
      </c>
      <c r="P954" s="392">
        <f t="shared" si="357"/>
        <v>0</v>
      </c>
      <c r="Q954" s="164">
        <f t="shared" ref="Q954:Q1017" si="367">SUMIFS(_SBR_FAC,_SBR_Revenue_Month,$B954,_SBR_Rate_Category,$D954)</f>
        <v>0</v>
      </c>
      <c r="R954" s="164">
        <f t="shared" ref="R954:R1017" si="368">SUMIFS(_SBR_DSM,_SBR_Revenue_Month,$B954,_SBR_Rate_Category,$D954)</f>
        <v>0</v>
      </c>
      <c r="S954" s="164">
        <f t="shared" ref="S954:S1017" si="369">SUMIFS(_SBR_ECR,_SBR_Revenue_Month,$B954,_SBR_Rate_Category,$D954)</f>
        <v>0</v>
      </c>
      <c r="T954" s="164">
        <f t="shared" ref="T954:T1017" si="370">SUMIFS(_SBR_MSR,_SBR_Revenue_Month,$B954,_SBR_Rate_Category,$D954)</f>
        <v>0</v>
      </c>
      <c r="U954" s="164">
        <f t="shared" ref="U954:U1017" si="371">SUMIFS(_SBR_Revenue_Actual,_SBR_Revenue_Month,$B954,_SBR_Rate_Category,$D954)</f>
        <v>0</v>
      </c>
      <c r="V954" s="393">
        <f t="shared" ref="V954:V1017" si="372">SUM(N954,Q954:T954)</f>
        <v>30371.040000000001</v>
      </c>
      <c r="W954" s="393">
        <f t="shared" ref="W954:W1017" si="373">U954-V954</f>
        <v>-30371.040000000001</v>
      </c>
      <c r="Y954" s="393">
        <f t="shared" si="353"/>
        <v>4154.01</v>
      </c>
      <c r="Z954" s="393">
        <f t="shared" si="354"/>
        <v>-4154.01</v>
      </c>
      <c r="AD954" s="395">
        <f>IF(AH954&gt;AH953,AD953,IF(AD953&lt;MiscData!$F$1,EOMONTH(AD953,1),EOMONTH(AD953,-11)))</f>
        <v>41973</v>
      </c>
      <c r="AE954" s="389" t="str">
        <f t="shared" ref="AE954:AE1017" si="374">CONCATENATE(AI954&amp;AK954)</f>
        <v>20140101KUUM_479</v>
      </c>
      <c r="AF954" s="437" t="str">
        <f t="shared" ref="AF954:AF1017" si="375">CONCATENATE(AI954&amp;AL954)</f>
        <v>20140101LS</v>
      </c>
      <c r="AG954" s="438"/>
      <c r="AH954" s="34">
        <f>IF(AH953=MiscData!$AB$91,1,AH953+1)</f>
        <v>73</v>
      </c>
      <c r="AI954" s="34">
        <f>IF(AD954&lt;=MiscData!$B$23,MiscData!$C$23,IF(AD954&lt;=MiscData!$B$24,MiscData!$C$24,MiscData!$C$25))</f>
        <v>20140101</v>
      </c>
      <c r="AK954" s="439" t="str">
        <f>VLOOKUP(AM954,MiscData!$AB$4:$ACB$113,2,FALSE)</f>
        <v>KUUM_479</v>
      </c>
      <c r="AL954" s="439" t="str">
        <f>VLOOKUP(AM954,MiscData!$AB$4:$AE$115,4,FALSE)</f>
        <v>LS</v>
      </c>
      <c r="AM954" s="34">
        <f>IF(AM953=MiscData!$AB$91,1,AM953+1)</f>
        <v>73</v>
      </c>
    </row>
    <row r="955" spans="1:39">
      <c r="A955" s="389">
        <f t="shared" si="355"/>
        <v>954</v>
      </c>
      <c r="B955" s="395" t="str">
        <f t="shared" si="360"/>
        <v>Nov 2014</v>
      </c>
      <c r="C955" s="396" t="str">
        <f t="shared" si="361"/>
        <v>LS</v>
      </c>
      <c r="D955" s="396" t="str">
        <f t="shared" si="362"/>
        <v>KUUM_486</v>
      </c>
      <c r="E955" s="394">
        <f t="shared" si="363"/>
        <v>0</v>
      </c>
      <c r="F955" s="397">
        <v>0</v>
      </c>
      <c r="G955" s="394">
        <f t="shared" si="359"/>
        <v>0</v>
      </c>
      <c r="H955" s="394">
        <v>0</v>
      </c>
      <c r="I955" s="390">
        <f t="shared" si="364"/>
        <v>0</v>
      </c>
      <c r="J955" s="390">
        <f t="shared" si="365"/>
        <v>0</v>
      </c>
      <c r="K955" s="391">
        <f t="shared" si="356"/>
        <v>0</v>
      </c>
      <c r="L955" s="398">
        <v>0</v>
      </c>
      <c r="M955" s="398">
        <v>0</v>
      </c>
      <c r="N955" s="164">
        <f t="shared" si="358"/>
        <v>0</v>
      </c>
      <c r="O955" s="399">
        <f t="shared" si="366"/>
        <v>0</v>
      </c>
      <c r="P955" s="392">
        <f t="shared" si="357"/>
        <v>1</v>
      </c>
      <c r="Q955" s="164">
        <f t="shared" si="367"/>
        <v>0</v>
      </c>
      <c r="R955" s="164">
        <f t="shared" si="368"/>
        <v>0</v>
      </c>
      <c r="S955" s="164">
        <f t="shared" si="369"/>
        <v>0</v>
      </c>
      <c r="T955" s="164">
        <f t="shared" si="370"/>
        <v>0</v>
      </c>
      <c r="U955" s="164">
        <f t="shared" si="371"/>
        <v>0</v>
      </c>
      <c r="V955" s="393">
        <f t="shared" si="372"/>
        <v>0</v>
      </c>
      <c r="W955" s="393">
        <f t="shared" si="373"/>
        <v>0</v>
      </c>
      <c r="Y955" s="393">
        <f t="shared" ref="Y955:Y1018" si="376">ROUND(E955*J955,2)</f>
        <v>0</v>
      </c>
      <c r="Z955" s="393">
        <f t="shared" ref="Z955:Z1018" si="377">O955-Y955</f>
        <v>0</v>
      </c>
      <c r="AD955" s="395">
        <f>IF(AH955&gt;AH954,AD954,IF(AD954&lt;MiscData!$F$1,EOMONTH(AD954,1),EOMONTH(AD954,-11)))</f>
        <v>41973</v>
      </c>
      <c r="AE955" s="389" t="str">
        <f t="shared" si="374"/>
        <v>20140101KUUM_486</v>
      </c>
      <c r="AF955" s="437" t="str">
        <f t="shared" si="375"/>
        <v>20140101LS</v>
      </c>
      <c r="AG955" s="438"/>
      <c r="AH955" s="34">
        <f>IF(AH954=MiscData!$AB$91,1,AH954+1)</f>
        <v>74</v>
      </c>
      <c r="AI955" s="34">
        <f>IF(AD955&lt;=MiscData!$B$23,MiscData!$C$23,IF(AD955&lt;=MiscData!$B$24,MiscData!$C$24,MiscData!$C$25))</f>
        <v>20140101</v>
      </c>
      <c r="AK955" s="439" t="str">
        <f>VLOOKUP(AM955,MiscData!$AB$4:$ACB$113,2,FALSE)</f>
        <v>KUUM_486</v>
      </c>
      <c r="AL955" s="439" t="str">
        <f>VLOOKUP(AM955,MiscData!$AB$4:$AE$115,4,FALSE)</f>
        <v>LS</v>
      </c>
      <c r="AM955" s="34">
        <f>IF(AM954=MiscData!$AB$91,1,AM954+1)</f>
        <v>74</v>
      </c>
    </row>
    <row r="956" spans="1:39">
      <c r="A956" s="389">
        <f t="shared" ref="A956:A1019" si="378">A955+1</f>
        <v>955</v>
      </c>
      <c r="B956" s="395" t="str">
        <f t="shared" si="360"/>
        <v>Nov 2014</v>
      </c>
      <c r="C956" s="396" t="str">
        <f t="shared" si="361"/>
        <v>LS</v>
      </c>
      <c r="D956" s="396" t="str">
        <f t="shared" si="362"/>
        <v>KUUM_487</v>
      </c>
      <c r="E956" s="394">
        <f t="shared" si="363"/>
        <v>10654</v>
      </c>
      <c r="F956" s="397">
        <v>0</v>
      </c>
      <c r="G956" s="394">
        <f t="shared" si="359"/>
        <v>0</v>
      </c>
      <c r="H956" s="394">
        <v>0</v>
      </c>
      <c r="I956" s="390">
        <f t="shared" si="364"/>
        <v>9</v>
      </c>
      <c r="J956" s="390">
        <f t="shared" si="365"/>
        <v>1.1299999999999999</v>
      </c>
      <c r="K956" s="391">
        <f t="shared" si="356"/>
        <v>95886</v>
      </c>
      <c r="L956" s="398">
        <v>0</v>
      </c>
      <c r="M956" s="398">
        <v>0</v>
      </c>
      <c r="N956" s="164">
        <f t="shared" si="358"/>
        <v>95886</v>
      </c>
      <c r="O956" s="399">
        <f t="shared" si="366"/>
        <v>0</v>
      </c>
      <c r="P956" s="392">
        <f t="shared" si="357"/>
        <v>0</v>
      </c>
      <c r="Q956" s="164">
        <f t="shared" si="367"/>
        <v>0</v>
      </c>
      <c r="R956" s="164">
        <f t="shared" si="368"/>
        <v>0</v>
      </c>
      <c r="S956" s="164">
        <f t="shared" si="369"/>
        <v>0</v>
      </c>
      <c r="T956" s="164">
        <f t="shared" si="370"/>
        <v>0</v>
      </c>
      <c r="U956" s="164">
        <f t="shared" si="371"/>
        <v>0</v>
      </c>
      <c r="V956" s="393">
        <f t="shared" si="372"/>
        <v>95886</v>
      </c>
      <c r="W956" s="393">
        <f t="shared" si="373"/>
        <v>-95886</v>
      </c>
      <c r="Y956" s="393">
        <f t="shared" si="376"/>
        <v>12039.02</v>
      </c>
      <c r="Z956" s="393">
        <f t="shared" si="377"/>
        <v>-12039.02</v>
      </c>
      <c r="AD956" s="395">
        <f>IF(AH956&gt;AH955,AD955,IF(AD955&lt;MiscData!$F$1,EOMONTH(AD955,1),EOMONTH(AD955,-11)))</f>
        <v>41973</v>
      </c>
      <c r="AE956" s="389" t="str">
        <f t="shared" si="374"/>
        <v>20140101KUUM_487</v>
      </c>
      <c r="AF956" s="437" t="str">
        <f t="shared" si="375"/>
        <v>20140101LS</v>
      </c>
      <c r="AG956" s="438"/>
      <c r="AH956" s="34">
        <f>IF(AH955=MiscData!$AB$91,1,AH955+1)</f>
        <v>75</v>
      </c>
      <c r="AI956" s="34">
        <f>IF(AD956&lt;=MiscData!$B$23,MiscData!$C$23,IF(AD956&lt;=MiscData!$B$24,MiscData!$C$24,MiscData!$C$25))</f>
        <v>20140101</v>
      </c>
      <c r="AK956" s="439" t="str">
        <f>VLOOKUP(AM956,MiscData!$AB$4:$ACB$113,2,FALSE)</f>
        <v>KUUM_487</v>
      </c>
      <c r="AL956" s="439" t="str">
        <f>VLOOKUP(AM956,MiscData!$AB$4:$AE$115,4,FALSE)</f>
        <v>LS</v>
      </c>
      <c r="AM956" s="34">
        <f>IF(AM955=MiscData!$AB$91,1,AM955+1)</f>
        <v>75</v>
      </c>
    </row>
    <row r="957" spans="1:39">
      <c r="A957" s="389">
        <f t="shared" si="378"/>
        <v>956</v>
      </c>
      <c r="B957" s="395" t="str">
        <f t="shared" si="360"/>
        <v>Nov 2014</v>
      </c>
      <c r="C957" s="396" t="str">
        <f t="shared" si="361"/>
        <v>LS</v>
      </c>
      <c r="D957" s="396" t="str">
        <f t="shared" si="362"/>
        <v>KUUM_488</v>
      </c>
      <c r="E957" s="394">
        <f t="shared" si="363"/>
        <v>6274</v>
      </c>
      <c r="F957" s="397">
        <v>0</v>
      </c>
      <c r="G957" s="394">
        <f t="shared" si="359"/>
        <v>0</v>
      </c>
      <c r="H957" s="394">
        <v>0</v>
      </c>
      <c r="I957" s="390">
        <f t="shared" si="364"/>
        <v>13.639999999999999</v>
      </c>
      <c r="J957" s="390">
        <f t="shared" si="365"/>
        <v>2.33</v>
      </c>
      <c r="K957" s="391">
        <f t="shared" si="356"/>
        <v>85577.36</v>
      </c>
      <c r="L957" s="398">
        <v>0</v>
      </c>
      <c r="M957" s="398">
        <v>0</v>
      </c>
      <c r="N957" s="164">
        <f t="shared" si="358"/>
        <v>85577.36</v>
      </c>
      <c r="O957" s="399">
        <f t="shared" si="366"/>
        <v>0</v>
      </c>
      <c r="P957" s="392">
        <f t="shared" si="357"/>
        <v>0</v>
      </c>
      <c r="Q957" s="164">
        <f t="shared" si="367"/>
        <v>0</v>
      </c>
      <c r="R957" s="164">
        <f t="shared" si="368"/>
        <v>0</v>
      </c>
      <c r="S957" s="164">
        <f t="shared" si="369"/>
        <v>0</v>
      </c>
      <c r="T957" s="164">
        <f t="shared" si="370"/>
        <v>0</v>
      </c>
      <c r="U957" s="164">
        <f t="shared" si="371"/>
        <v>0</v>
      </c>
      <c r="V957" s="393">
        <f t="shared" si="372"/>
        <v>85577.36</v>
      </c>
      <c r="W957" s="393">
        <f t="shared" si="373"/>
        <v>-85577.36</v>
      </c>
      <c r="Y957" s="393">
        <f t="shared" si="376"/>
        <v>14618.42</v>
      </c>
      <c r="Z957" s="393">
        <f t="shared" si="377"/>
        <v>-14618.42</v>
      </c>
      <c r="AD957" s="395">
        <f>IF(AH957&gt;AH956,AD956,IF(AD956&lt;MiscData!$F$1,EOMONTH(AD956,1),EOMONTH(AD956,-11)))</f>
        <v>41973</v>
      </c>
      <c r="AE957" s="389" t="str">
        <f t="shared" si="374"/>
        <v>20140101KUUM_488</v>
      </c>
      <c r="AF957" s="437" t="str">
        <f t="shared" si="375"/>
        <v>20140101LS</v>
      </c>
      <c r="AG957" s="438"/>
      <c r="AH957" s="34">
        <f>IF(AH956=MiscData!$AB$91,1,AH956+1)</f>
        <v>76</v>
      </c>
      <c r="AI957" s="34">
        <f>IF(AD957&lt;=MiscData!$B$23,MiscData!$C$23,IF(AD957&lt;=MiscData!$B$24,MiscData!$C$24,MiscData!$C$25))</f>
        <v>20140101</v>
      </c>
      <c r="AK957" s="439" t="str">
        <f>VLOOKUP(AM957,MiscData!$AB$4:$ACB$113,2,FALSE)</f>
        <v>KUUM_488</v>
      </c>
      <c r="AL957" s="439" t="str">
        <f>VLOOKUP(AM957,MiscData!$AB$4:$AE$115,4,FALSE)</f>
        <v>LS</v>
      </c>
      <c r="AM957" s="34">
        <f>IF(AM956=MiscData!$AB$91,1,AM956+1)</f>
        <v>76</v>
      </c>
    </row>
    <row r="958" spans="1:39">
      <c r="A958" s="389">
        <f t="shared" si="378"/>
        <v>957</v>
      </c>
      <c r="B958" s="395" t="str">
        <f t="shared" si="360"/>
        <v>Nov 2014</v>
      </c>
      <c r="C958" s="396" t="str">
        <f t="shared" si="361"/>
        <v>LS</v>
      </c>
      <c r="D958" s="396" t="str">
        <f t="shared" si="362"/>
        <v>KUUM_489</v>
      </c>
      <c r="E958" s="394">
        <f t="shared" si="363"/>
        <v>7885</v>
      </c>
      <c r="F958" s="397">
        <v>0</v>
      </c>
      <c r="G958" s="394">
        <f t="shared" si="359"/>
        <v>0</v>
      </c>
      <c r="H958" s="394"/>
      <c r="I958" s="390">
        <f t="shared" si="364"/>
        <v>19.46</v>
      </c>
      <c r="J958" s="390">
        <f t="shared" si="365"/>
        <v>4.5300000000000011</v>
      </c>
      <c r="K958" s="391">
        <f t="shared" si="356"/>
        <v>153442.1</v>
      </c>
      <c r="L958" s="398">
        <v>0</v>
      </c>
      <c r="M958" s="398">
        <v>0</v>
      </c>
      <c r="N958" s="164">
        <f t="shared" si="358"/>
        <v>153442.1</v>
      </c>
      <c r="O958" s="399">
        <f t="shared" si="366"/>
        <v>0</v>
      </c>
      <c r="P958" s="392">
        <f t="shared" si="357"/>
        <v>0</v>
      </c>
      <c r="Q958" s="164">
        <f t="shared" si="367"/>
        <v>0</v>
      </c>
      <c r="R958" s="164">
        <f t="shared" si="368"/>
        <v>0</v>
      </c>
      <c r="S958" s="164">
        <f t="shared" si="369"/>
        <v>0</v>
      </c>
      <c r="T958" s="164">
        <f t="shared" si="370"/>
        <v>0</v>
      </c>
      <c r="U958" s="164">
        <f t="shared" si="371"/>
        <v>0</v>
      </c>
      <c r="V958" s="393">
        <f t="shared" si="372"/>
        <v>153442.1</v>
      </c>
      <c r="W958" s="393">
        <f t="shared" si="373"/>
        <v>-153442.1</v>
      </c>
      <c r="Y958" s="393">
        <f t="shared" si="376"/>
        <v>35719.050000000003</v>
      </c>
      <c r="Z958" s="393">
        <f t="shared" si="377"/>
        <v>-35719.050000000003</v>
      </c>
      <c r="AD958" s="395">
        <f>IF(AH958&gt;AH957,AD957,IF(AD957&lt;MiscData!$F$1,EOMONTH(AD957,1),EOMONTH(AD957,-11)))</f>
        <v>41973</v>
      </c>
      <c r="AE958" s="389" t="str">
        <f t="shared" si="374"/>
        <v>20140101KUUM_489</v>
      </c>
      <c r="AF958" s="437" t="str">
        <f t="shared" si="375"/>
        <v>20140101LS</v>
      </c>
      <c r="AG958" s="438"/>
      <c r="AH958" s="34">
        <f>IF(AH957=MiscData!$AB$91,1,AH957+1)</f>
        <v>77</v>
      </c>
      <c r="AI958" s="34">
        <f>IF(AD958&lt;=MiscData!$B$23,MiscData!$C$23,IF(AD958&lt;=MiscData!$B$24,MiscData!$C$24,MiscData!$C$25))</f>
        <v>20140101</v>
      </c>
      <c r="AK958" s="439" t="str">
        <f>VLOOKUP(AM958,MiscData!$AB$4:$ACB$113,2,FALSE)</f>
        <v>KUUM_489</v>
      </c>
      <c r="AL958" s="439" t="str">
        <f>VLOOKUP(AM958,MiscData!$AB$4:$AE$115,4,FALSE)</f>
        <v>LS</v>
      </c>
      <c r="AM958" s="34">
        <f>IF(AM957=MiscData!$AB$91,1,AM957+1)</f>
        <v>77</v>
      </c>
    </row>
    <row r="959" spans="1:39">
      <c r="A959" s="389">
        <f t="shared" si="378"/>
        <v>958</v>
      </c>
      <c r="B959" s="395" t="str">
        <f t="shared" si="360"/>
        <v>Nov 2014</v>
      </c>
      <c r="C959" s="396" t="str">
        <f t="shared" si="361"/>
        <v>LS</v>
      </c>
      <c r="D959" s="396" t="str">
        <f t="shared" si="362"/>
        <v>KUUM_490</v>
      </c>
      <c r="E959" s="394">
        <f t="shared" si="363"/>
        <v>56</v>
      </c>
      <c r="F959" s="397">
        <v>0</v>
      </c>
      <c r="G959" s="394">
        <f t="shared" si="359"/>
        <v>0</v>
      </c>
      <c r="H959" s="394">
        <v>0</v>
      </c>
      <c r="I959" s="390">
        <f t="shared" si="364"/>
        <v>15.47</v>
      </c>
      <c r="J959" s="390">
        <f t="shared" si="365"/>
        <v>1.9700000000000006</v>
      </c>
      <c r="K959" s="391">
        <f t="shared" si="356"/>
        <v>866.32</v>
      </c>
      <c r="L959" s="398">
        <v>0</v>
      </c>
      <c r="M959" s="398">
        <v>0</v>
      </c>
      <c r="N959" s="164">
        <f t="shared" si="358"/>
        <v>866.32</v>
      </c>
      <c r="O959" s="399">
        <f t="shared" si="366"/>
        <v>0</v>
      </c>
      <c r="P959" s="392">
        <f t="shared" si="357"/>
        <v>0</v>
      </c>
      <c r="Q959" s="164">
        <f t="shared" si="367"/>
        <v>0</v>
      </c>
      <c r="R959" s="164">
        <f t="shared" si="368"/>
        <v>0</v>
      </c>
      <c r="S959" s="164">
        <f t="shared" si="369"/>
        <v>0</v>
      </c>
      <c r="T959" s="164">
        <f t="shared" si="370"/>
        <v>0</v>
      </c>
      <c r="U959" s="164">
        <f t="shared" si="371"/>
        <v>0</v>
      </c>
      <c r="V959" s="393">
        <f t="shared" si="372"/>
        <v>866.32</v>
      </c>
      <c r="W959" s="393">
        <f t="shared" si="373"/>
        <v>-866.32</v>
      </c>
      <c r="Y959" s="393">
        <f t="shared" si="376"/>
        <v>110.32</v>
      </c>
      <c r="Z959" s="393">
        <f t="shared" si="377"/>
        <v>-110.32</v>
      </c>
      <c r="AD959" s="395">
        <f>IF(AH959&gt;AH958,AD958,IF(AD958&lt;MiscData!$F$1,EOMONTH(AD958,1),EOMONTH(AD958,-11)))</f>
        <v>41973</v>
      </c>
      <c r="AE959" s="389" t="str">
        <f t="shared" si="374"/>
        <v>20140101KUUM_490</v>
      </c>
      <c r="AF959" s="437" t="str">
        <f t="shared" si="375"/>
        <v>20140101LS</v>
      </c>
      <c r="AG959" s="438"/>
      <c r="AH959" s="34">
        <f>IF(AH958=MiscData!$AB$91,1,AH958+1)</f>
        <v>78</v>
      </c>
      <c r="AI959" s="34">
        <f>IF(AD959&lt;=MiscData!$B$23,MiscData!$C$23,IF(AD959&lt;=MiscData!$B$24,MiscData!$C$24,MiscData!$C$25))</f>
        <v>20140101</v>
      </c>
      <c r="AK959" s="439" t="str">
        <f>VLOOKUP(AM959,MiscData!$AB$4:$ACB$113,2,FALSE)</f>
        <v>KUUM_490</v>
      </c>
      <c r="AL959" s="439" t="str">
        <f>VLOOKUP(AM959,MiscData!$AB$4:$AE$115,4,FALSE)</f>
        <v>LS</v>
      </c>
      <c r="AM959" s="34">
        <f>IF(AM958=MiscData!$AB$91,1,AM958+1)</f>
        <v>78</v>
      </c>
    </row>
    <row r="960" spans="1:39">
      <c r="A960" s="389">
        <f t="shared" si="378"/>
        <v>959</v>
      </c>
      <c r="B960" s="395" t="str">
        <f t="shared" si="360"/>
        <v>Nov 2014</v>
      </c>
      <c r="C960" s="396" t="str">
        <f t="shared" si="361"/>
        <v>LS</v>
      </c>
      <c r="D960" s="396" t="str">
        <f t="shared" si="362"/>
        <v>KUUM_491</v>
      </c>
      <c r="E960" s="394">
        <f t="shared" si="363"/>
        <v>287</v>
      </c>
      <c r="F960" s="397">
        <v>0</v>
      </c>
      <c r="G960" s="394">
        <f t="shared" si="359"/>
        <v>0</v>
      </c>
      <c r="H960" s="394">
        <v>0</v>
      </c>
      <c r="I960" s="390">
        <f t="shared" si="364"/>
        <v>21.930000000000003</v>
      </c>
      <c r="J960" s="390">
        <f t="shared" si="365"/>
        <v>4.2900000000000027</v>
      </c>
      <c r="K960" s="391">
        <f t="shared" si="356"/>
        <v>6293.91</v>
      </c>
      <c r="L960" s="398">
        <v>0</v>
      </c>
      <c r="M960" s="398">
        <v>0</v>
      </c>
      <c r="N960" s="164">
        <f t="shared" si="358"/>
        <v>6293.91</v>
      </c>
      <c r="O960" s="399">
        <f t="shared" si="366"/>
        <v>0</v>
      </c>
      <c r="P960" s="392">
        <f t="shared" si="357"/>
        <v>0</v>
      </c>
      <c r="Q960" s="164">
        <f t="shared" si="367"/>
        <v>0</v>
      </c>
      <c r="R960" s="164">
        <f t="shared" si="368"/>
        <v>0</v>
      </c>
      <c r="S960" s="164">
        <f t="shared" si="369"/>
        <v>0</v>
      </c>
      <c r="T960" s="164">
        <f t="shared" si="370"/>
        <v>0</v>
      </c>
      <c r="U960" s="164">
        <f t="shared" si="371"/>
        <v>0</v>
      </c>
      <c r="V960" s="393">
        <f t="shared" si="372"/>
        <v>6293.91</v>
      </c>
      <c r="W960" s="393">
        <f t="shared" si="373"/>
        <v>-6293.91</v>
      </c>
      <c r="Y960" s="393">
        <f t="shared" si="376"/>
        <v>1231.23</v>
      </c>
      <c r="Z960" s="393">
        <f t="shared" si="377"/>
        <v>-1231.23</v>
      </c>
      <c r="AD960" s="395">
        <f>IF(AH960&gt;AH959,AD959,IF(AD959&lt;MiscData!$F$1,EOMONTH(AD959,1),EOMONTH(AD959,-11)))</f>
        <v>41973</v>
      </c>
      <c r="AE960" s="389" t="str">
        <f t="shared" si="374"/>
        <v>20140101KUUM_491</v>
      </c>
      <c r="AF960" s="437" t="str">
        <f t="shared" si="375"/>
        <v>20140101LS</v>
      </c>
      <c r="AG960" s="438"/>
      <c r="AH960" s="34">
        <f>IF(AH959=MiscData!$AB$91,1,AH959+1)</f>
        <v>79</v>
      </c>
      <c r="AI960" s="34">
        <f>IF(AD960&lt;=MiscData!$B$23,MiscData!$C$23,IF(AD960&lt;=MiscData!$B$24,MiscData!$C$24,MiscData!$C$25))</f>
        <v>20140101</v>
      </c>
      <c r="AK960" s="439" t="str">
        <f>VLOOKUP(AM960,MiscData!$AB$4:$ACB$113,2,FALSE)</f>
        <v>KUUM_491</v>
      </c>
      <c r="AL960" s="439" t="str">
        <f>VLOOKUP(AM960,MiscData!$AB$4:$AE$115,4,FALSE)</f>
        <v>LS</v>
      </c>
      <c r="AM960" s="34">
        <f>IF(AM959=MiscData!$AB$91,1,AM959+1)</f>
        <v>79</v>
      </c>
    </row>
    <row r="961" spans="1:39">
      <c r="A961" s="389">
        <f t="shared" si="378"/>
        <v>960</v>
      </c>
      <c r="B961" s="395" t="str">
        <f t="shared" si="360"/>
        <v>Nov 2014</v>
      </c>
      <c r="C961" s="396" t="str">
        <f t="shared" si="361"/>
        <v>LS</v>
      </c>
      <c r="D961" s="396" t="str">
        <f t="shared" si="362"/>
        <v>KUUM_492</v>
      </c>
      <c r="E961" s="394">
        <f t="shared" si="363"/>
        <v>2</v>
      </c>
      <c r="F961" s="397">
        <v>0</v>
      </c>
      <c r="G961" s="394">
        <f t="shared" si="359"/>
        <v>0</v>
      </c>
      <c r="H961" s="394">
        <v>0</v>
      </c>
      <c r="I961" s="390">
        <f t="shared" si="364"/>
        <v>15.370000000000001</v>
      </c>
      <c r="J961" s="390">
        <f t="shared" si="365"/>
        <v>0.80000000000000071</v>
      </c>
      <c r="K961" s="391">
        <f t="shared" si="356"/>
        <v>30.74</v>
      </c>
      <c r="L961" s="398">
        <v>0</v>
      </c>
      <c r="M961" s="398">
        <v>0</v>
      </c>
      <c r="N961" s="164">
        <f t="shared" si="358"/>
        <v>30.74</v>
      </c>
      <c r="O961" s="399">
        <f t="shared" si="366"/>
        <v>0</v>
      </c>
      <c r="P961" s="392">
        <f t="shared" si="357"/>
        <v>0</v>
      </c>
      <c r="Q961" s="164">
        <f t="shared" si="367"/>
        <v>0</v>
      </c>
      <c r="R961" s="164">
        <f t="shared" si="368"/>
        <v>0</v>
      </c>
      <c r="S961" s="164">
        <f t="shared" si="369"/>
        <v>0</v>
      </c>
      <c r="T961" s="164">
        <f t="shared" si="370"/>
        <v>0</v>
      </c>
      <c r="U961" s="164">
        <f t="shared" si="371"/>
        <v>0</v>
      </c>
      <c r="V961" s="393">
        <f t="shared" si="372"/>
        <v>30.74</v>
      </c>
      <c r="W961" s="393">
        <f t="shared" si="373"/>
        <v>-30.74</v>
      </c>
      <c r="Y961" s="393">
        <f t="shared" si="376"/>
        <v>1.6</v>
      </c>
      <c r="Z961" s="393">
        <f t="shared" si="377"/>
        <v>-1.6</v>
      </c>
      <c r="AD961" s="395">
        <f>IF(AH961&gt;AH960,AD960,IF(AD960&lt;MiscData!$F$1,EOMONTH(AD960,1),EOMONTH(AD960,-11)))</f>
        <v>41973</v>
      </c>
      <c r="AE961" s="389" t="str">
        <f t="shared" si="374"/>
        <v>20140101KUUM_492</v>
      </c>
      <c r="AF961" s="437" t="str">
        <f t="shared" si="375"/>
        <v>20140101LS</v>
      </c>
      <c r="AG961" s="438"/>
      <c r="AH961" s="34">
        <f>IF(AH960=MiscData!$AB$91,1,AH960+1)</f>
        <v>80</v>
      </c>
      <c r="AI961" s="34">
        <f>IF(AD961&lt;=MiscData!$B$23,MiscData!$C$23,IF(AD961&lt;=MiscData!$B$24,MiscData!$C$24,MiscData!$C$25))</f>
        <v>20140101</v>
      </c>
      <c r="AK961" s="439" t="str">
        <f>VLOOKUP(AM961,MiscData!$AB$4:$ACB$113,2,FALSE)</f>
        <v>KUUM_492</v>
      </c>
      <c r="AL961" s="439" t="str">
        <f>VLOOKUP(AM961,MiscData!$AB$4:$AE$115,4,FALSE)</f>
        <v>LS</v>
      </c>
      <c r="AM961" s="34">
        <f>IF(AM960=MiscData!$AB$91,1,AM960+1)</f>
        <v>80</v>
      </c>
    </row>
    <row r="962" spans="1:39">
      <c r="A962" s="389">
        <f t="shared" si="378"/>
        <v>961</v>
      </c>
      <c r="B962" s="395" t="str">
        <f t="shared" si="360"/>
        <v>Nov 2014</v>
      </c>
      <c r="C962" s="396" t="str">
        <f t="shared" si="361"/>
        <v>LS</v>
      </c>
      <c r="D962" s="396" t="str">
        <f t="shared" si="362"/>
        <v>KUUM_493</v>
      </c>
      <c r="E962" s="394">
        <f t="shared" si="363"/>
        <v>45</v>
      </c>
      <c r="F962" s="397">
        <v>0</v>
      </c>
      <c r="G962" s="394">
        <f t="shared" si="359"/>
        <v>0</v>
      </c>
      <c r="H962" s="394">
        <v>0</v>
      </c>
      <c r="I962" s="390">
        <f t="shared" si="364"/>
        <v>45.7</v>
      </c>
      <c r="J962" s="390">
        <f t="shared" si="365"/>
        <v>10.409999999999997</v>
      </c>
      <c r="K962" s="391">
        <f t="shared" si="356"/>
        <v>2056.5</v>
      </c>
      <c r="L962" s="398">
        <v>0</v>
      </c>
      <c r="M962" s="398">
        <v>0</v>
      </c>
      <c r="N962" s="164">
        <f t="shared" si="358"/>
        <v>2056.5</v>
      </c>
      <c r="O962" s="399">
        <f t="shared" si="366"/>
        <v>0</v>
      </c>
      <c r="P962" s="392">
        <f t="shared" si="357"/>
        <v>0</v>
      </c>
      <c r="Q962" s="164">
        <f t="shared" si="367"/>
        <v>0</v>
      </c>
      <c r="R962" s="164">
        <f t="shared" si="368"/>
        <v>0</v>
      </c>
      <c r="S962" s="164">
        <f t="shared" si="369"/>
        <v>0</v>
      </c>
      <c r="T962" s="164">
        <f t="shared" si="370"/>
        <v>0</v>
      </c>
      <c r="U962" s="164">
        <f t="shared" si="371"/>
        <v>0</v>
      </c>
      <c r="V962" s="393">
        <f t="shared" si="372"/>
        <v>2056.5</v>
      </c>
      <c r="W962" s="393">
        <f t="shared" si="373"/>
        <v>-2056.5</v>
      </c>
      <c r="Y962" s="393">
        <f t="shared" si="376"/>
        <v>468.45</v>
      </c>
      <c r="Z962" s="393">
        <f t="shared" si="377"/>
        <v>-468.45</v>
      </c>
      <c r="AD962" s="395">
        <f>IF(AH962&gt;AH961,AD961,IF(AD961&lt;MiscData!$F$1,EOMONTH(AD961,1),EOMONTH(AD961,-11)))</f>
        <v>41973</v>
      </c>
      <c r="AE962" s="389" t="str">
        <f t="shared" si="374"/>
        <v>20140101KUUM_493</v>
      </c>
      <c r="AF962" s="437" t="str">
        <f t="shared" si="375"/>
        <v>20140101LS</v>
      </c>
      <c r="AG962" s="438"/>
      <c r="AH962" s="34">
        <f>IF(AH961=MiscData!$AB$91,1,AH961+1)</f>
        <v>81</v>
      </c>
      <c r="AI962" s="34">
        <f>IF(AD962&lt;=MiscData!$B$23,MiscData!$C$23,IF(AD962&lt;=MiscData!$B$24,MiscData!$C$24,MiscData!$C$25))</f>
        <v>20140101</v>
      </c>
      <c r="AK962" s="439" t="str">
        <f>VLOOKUP(AM962,MiscData!$AB$4:$ACB$113,2,FALSE)</f>
        <v>KUUM_493</v>
      </c>
      <c r="AL962" s="439" t="str">
        <f>VLOOKUP(AM962,MiscData!$AB$4:$AE$115,4,FALSE)</f>
        <v>LS</v>
      </c>
      <c r="AM962" s="34">
        <f>IF(AM961=MiscData!$AB$91,1,AM961+1)</f>
        <v>81</v>
      </c>
    </row>
    <row r="963" spans="1:39">
      <c r="A963" s="389">
        <f t="shared" si="378"/>
        <v>962</v>
      </c>
      <c r="B963" s="395" t="str">
        <f t="shared" si="360"/>
        <v>Nov 2014</v>
      </c>
      <c r="C963" s="396" t="str">
        <f t="shared" si="361"/>
        <v>LS</v>
      </c>
      <c r="D963" s="396" t="str">
        <f t="shared" si="362"/>
        <v>KUUM_494</v>
      </c>
      <c r="E963" s="394">
        <f t="shared" si="363"/>
        <v>191</v>
      </c>
      <c r="F963" s="397">
        <v>0</v>
      </c>
      <c r="G963" s="394">
        <f t="shared" si="359"/>
        <v>0</v>
      </c>
      <c r="H963" s="394">
        <v>0</v>
      </c>
      <c r="I963" s="390">
        <f t="shared" si="364"/>
        <v>28.37</v>
      </c>
      <c r="J963" s="390">
        <f t="shared" si="365"/>
        <v>1.9699999999999989</v>
      </c>
      <c r="K963" s="391">
        <f t="shared" ref="K963:K1026" si="379">ROUND(($E963+$F963)*$I963,2)</f>
        <v>5418.67</v>
      </c>
      <c r="L963" s="398">
        <v>0</v>
      </c>
      <c r="M963" s="398">
        <v>0</v>
      </c>
      <c r="N963" s="164">
        <f t="shared" si="358"/>
        <v>5418.67</v>
      </c>
      <c r="O963" s="399">
        <f t="shared" si="366"/>
        <v>0</v>
      </c>
      <c r="P963" s="392">
        <f t="shared" ref="P963:P1026" si="380">IF(AND(N963=0,O963=0),1,IF(N963=0,0,ROUND(O963/N963,6)))</f>
        <v>0</v>
      </c>
      <c r="Q963" s="164">
        <f t="shared" si="367"/>
        <v>0</v>
      </c>
      <c r="R963" s="164">
        <f t="shared" si="368"/>
        <v>0</v>
      </c>
      <c r="S963" s="164">
        <f t="shared" si="369"/>
        <v>0</v>
      </c>
      <c r="T963" s="164">
        <f t="shared" si="370"/>
        <v>0</v>
      </c>
      <c r="U963" s="164">
        <f t="shared" si="371"/>
        <v>0</v>
      </c>
      <c r="V963" s="393">
        <f t="shared" si="372"/>
        <v>5418.67</v>
      </c>
      <c r="W963" s="393">
        <f t="shared" si="373"/>
        <v>-5418.67</v>
      </c>
      <c r="Y963" s="393">
        <f t="shared" si="376"/>
        <v>376.27</v>
      </c>
      <c r="Z963" s="393">
        <f t="shared" si="377"/>
        <v>-376.27</v>
      </c>
      <c r="AD963" s="395">
        <f>IF(AH963&gt;AH962,AD962,IF(AD962&lt;MiscData!$F$1,EOMONTH(AD962,1),EOMONTH(AD962,-11)))</f>
        <v>41973</v>
      </c>
      <c r="AE963" s="389" t="str">
        <f t="shared" si="374"/>
        <v>20140101KUUM_494</v>
      </c>
      <c r="AF963" s="437" t="str">
        <f t="shared" si="375"/>
        <v>20140101LS</v>
      </c>
      <c r="AG963" s="438"/>
      <c r="AH963" s="34">
        <f>IF(AH962=MiscData!$AB$91,1,AH962+1)</f>
        <v>82</v>
      </c>
      <c r="AI963" s="34">
        <f>IF(AD963&lt;=MiscData!$B$23,MiscData!$C$23,IF(AD963&lt;=MiscData!$B$24,MiscData!$C$24,MiscData!$C$25))</f>
        <v>20140101</v>
      </c>
      <c r="AK963" s="439" t="str">
        <f>VLOOKUP(AM963,MiscData!$AB$4:$ACB$113,2,FALSE)</f>
        <v>KUUM_494</v>
      </c>
      <c r="AL963" s="439" t="str">
        <f>VLOOKUP(AM963,MiscData!$AB$4:$AE$115,4,FALSE)</f>
        <v>LS</v>
      </c>
      <c r="AM963" s="34">
        <f>IF(AM962=MiscData!$AB$91,1,AM962+1)</f>
        <v>82</v>
      </c>
    </row>
    <row r="964" spans="1:39">
      <c r="A964" s="389">
        <f t="shared" si="378"/>
        <v>963</v>
      </c>
      <c r="B964" s="395" t="str">
        <f t="shared" si="360"/>
        <v>Nov 2014</v>
      </c>
      <c r="C964" s="396" t="str">
        <f t="shared" si="361"/>
        <v>LS</v>
      </c>
      <c r="D964" s="396" t="str">
        <f t="shared" si="362"/>
        <v>KUUM_495</v>
      </c>
      <c r="E964" s="394">
        <f t="shared" si="363"/>
        <v>593</v>
      </c>
      <c r="F964" s="397">
        <v>0</v>
      </c>
      <c r="G964" s="394">
        <f t="shared" si="359"/>
        <v>0</v>
      </c>
      <c r="H964" s="394">
        <v>0</v>
      </c>
      <c r="I964" s="390">
        <f t="shared" si="364"/>
        <v>34.830000000000005</v>
      </c>
      <c r="J964" s="390">
        <f t="shared" si="365"/>
        <v>4.2899999999999991</v>
      </c>
      <c r="K964" s="391">
        <f t="shared" si="379"/>
        <v>20654.189999999999</v>
      </c>
      <c r="L964" s="398">
        <v>0</v>
      </c>
      <c r="M964" s="398">
        <v>0</v>
      </c>
      <c r="N964" s="164">
        <f t="shared" si="358"/>
        <v>20654.189999999999</v>
      </c>
      <c r="O964" s="399">
        <f t="shared" si="366"/>
        <v>0</v>
      </c>
      <c r="P964" s="392">
        <f t="shared" si="380"/>
        <v>0</v>
      </c>
      <c r="Q964" s="164">
        <f t="shared" si="367"/>
        <v>0</v>
      </c>
      <c r="R964" s="164">
        <f t="shared" si="368"/>
        <v>0</v>
      </c>
      <c r="S964" s="164">
        <f t="shared" si="369"/>
        <v>0</v>
      </c>
      <c r="T964" s="164">
        <f t="shared" si="370"/>
        <v>0</v>
      </c>
      <c r="U964" s="164">
        <f t="shared" si="371"/>
        <v>0</v>
      </c>
      <c r="V964" s="393">
        <f t="shared" si="372"/>
        <v>20654.189999999999</v>
      </c>
      <c r="W964" s="393">
        <f t="shared" si="373"/>
        <v>-20654.189999999999</v>
      </c>
      <c r="Y964" s="393">
        <f t="shared" si="376"/>
        <v>2543.9699999999998</v>
      </c>
      <c r="Z964" s="393">
        <f t="shared" si="377"/>
        <v>-2543.9699999999998</v>
      </c>
      <c r="AD964" s="395">
        <f>IF(AH964&gt;AH963,AD963,IF(AD963&lt;MiscData!$F$1,EOMONTH(AD963,1),EOMONTH(AD963,-11)))</f>
        <v>41973</v>
      </c>
      <c r="AE964" s="389" t="str">
        <f t="shared" si="374"/>
        <v>20140101KUUM_495</v>
      </c>
      <c r="AF964" s="437" t="str">
        <f t="shared" si="375"/>
        <v>20140101LS</v>
      </c>
      <c r="AG964" s="438"/>
      <c r="AH964" s="34">
        <f>IF(AH963=MiscData!$AB$91,1,AH963+1)</f>
        <v>83</v>
      </c>
      <c r="AI964" s="34">
        <f>IF(AD964&lt;=MiscData!$B$23,MiscData!$C$23,IF(AD964&lt;=MiscData!$B$24,MiscData!$C$24,MiscData!$C$25))</f>
        <v>20140101</v>
      </c>
      <c r="AK964" s="439" t="str">
        <f>VLOOKUP(AM964,MiscData!$AB$4:$ACB$113,2,FALSE)</f>
        <v>KUUM_495</v>
      </c>
      <c r="AL964" s="439" t="str">
        <f>VLOOKUP(AM964,MiscData!$AB$4:$AE$115,4,FALSE)</f>
        <v>LS</v>
      </c>
      <c r="AM964" s="34">
        <f>IF(AM963=MiscData!$AB$91,1,AM963+1)</f>
        <v>83</v>
      </c>
    </row>
    <row r="965" spans="1:39">
      <c r="A965" s="389">
        <f t="shared" si="378"/>
        <v>964</v>
      </c>
      <c r="B965" s="395" t="str">
        <f t="shared" si="360"/>
        <v>Nov 2014</v>
      </c>
      <c r="C965" s="396" t="str">
        <f t="shared" si="361"/>
        <v>LS</v>
      </c>
      <c r="D965" s="396" t="str">
        <f t="shared" si="362"/>
        <v>KUUM_496</v>
      </c>
      <c r="E965" s="394">
        <f t="shared" si="363"/>
        <v>159</v>
      </c>
      <c r="F965" s="397">
        <v>0</v>
      </c>
      <c r="G965" s="394">
        <f t="shared" si="359"/>
        <v>0</v>
      </c>
      <c r="H965" s="394">
        <v>0</v>
      </c>
      <c r="I965" s="390">
        <f t="shared" si="364"/>
        <v>58.59</v>
      </c>
      <c r="J965" s="390">
        <f t="shared" si="365"/>
        <v>10.409999999999997</v>
      </c>
      <c r="K965" s="391">
        <f t="shared" si="379"/>
        <v>9315.81</v>
      </c>
      <c r="L965" s="398">
        <v>0</v>
      </c>
      <c r="M965" s="398">
        <v>0</v>
      </c>
      <c r="N965" s="164">
        <f t="shared" si="358"/>
        <v>9315.81</v>
      </c>
      <c r="O965" s="399">
        <f t="shared" si="366"/>
        <v>0</v>
      </c>
      <c r="P965" s="392">
        <f t="shared" si="380"/>
        <v>0</v>
      </c>
      <c r="Q965" s="164">
        <f t="shared" si="367"/>
        <v>0</v>
      </c>
      <c r="R965" s="164">
        <f t="shared" si="368"/>
        <v>0</v>
      </c>
      <c r="S965" s="164">
        <f t="shared" si="369"/>
        <v>0</v>
      </c>
      <c r="T965" s="164">
        <f t="shared" si="370"/>
        <v>0</v>
      </c>
      <c r="U965" s="164">
        <f t="shared" si="371"/>
        <v>0</v>
      </c>
      <c r="V965" s="393">
        <f t="shared" si="372"/>
        <v>9315.81</v>
      </c>
      <c r="W965" s="393">
        <f t="shared" si="373"/>
        <v>-9315.81</v>
      </c>
      <c r="Y965" s="393">
        <f t="shared" si="376"/>
        <v>1655.19</v>
      </c>
      <c r="Z965" s="393">
        <f t="shared" si="377"/>
        <v>-1655.19</v>
      </c>
      <c r="AD965" s="395">
        <f>IF(AH965&gt;AH964,AD964,IF(AD964&lt;MiscData!$F$1,EOMONTH(AD964,1),EOMONTH(AD964,-11)))</f>
        <v>41973</v>
      </c>
      <c r="AE965" s="389" t="str">
        <f t="shared" si="374"/>
        <v>20140101KUUM_496</v>
      </c>
      <c r="AF965" s="437" t="str">
        <f t="shared" si="375"/>
        <v>20140101LS</v>
      </c>
      <c r="AG965" s="438"/>
      <c r="AH965" s="34">
        <f>IF(AH964=MiscData!$AB$91,1,AH964+1)</f>
        <v>84</v>
      </c>
      <c r="AI965" s="34">
        <f>IF(AD965&lt;=MiscData!$B$23,MiscData!$C$23,IF(AD965&lt;=MiscData!$B$24,MiscData!$C$24,MiscData!$C$25))</f>
        <v>20140101</v>
      </c>
      <c r="AK965" s="439" t="str">
        <f>VLOOKUP(AM965,MiscData!$AB$4:$ACB$113,2,FALSE)</f>
        <v>KUUM_496</v>
      </c>
      <c r="AL965" s="439" t="str">
        <f>VLOOKUP(AM965,MiscData!$AB$4:$AE$115,4,FALSE)</f>
        <v>LS</v>
      </c>
      <c r="AM965" s="34">
        <f>IF(AM964=MiscData!$AB$91,1,AM964+1)</f>
        <v>84</v>
      </c>
    </row>
    <row r="966" spans="1:39">
      <c r="A966" s="389">
        <f t="shared" si="378"/>
        <v>965</v>
      </c>
      <c r="B966" s="395" t="str">
        <f t="shared" si="360"/>
        <v>Nov 2014</v>
      </c>
      <c r="C966" s="396" t="str">
        <f t="shared" si="361"/>
        <v>LS</v>
      </c>
      <c r="D966" s="396" t="str">
        <f t="shared" si="362"/>
        <v>KUUM_497</v>
      </c>
      <c r="E966" s="394">
        <f t="shared" si="363"/>
        <v>8</v>
      </c>
      <c r="F966" s="397">
        <v>0</v>
      </c>
      <c r="G966" s="394">
        <f t="shared" si="359"/>
        <v>0</v>
      </c>
      <c r="H966" s="394">
        <v>0</v>
      </c>
      <c r="I966" s="390">
        <f t="shared" si="364"/>
        <v>15.35</v>
      </c>
      <c r="J966" s="390">
        <f t="shared" si="365"/>
        <v>1.1300000000000008</v>
      </c>
      <c r="K966" s="391">
        <f t="shared" si="379"/>
        <v>122.8</v>
      </c>
      <c r="L966" s="398">
        <v>0</v>
      </c>
      <c r="M966" s="398">
        <v>0</v>
      </c>
      <c r="N966" s="164">
        <f t="shared" si="358"/>
        <v>122.8</v>
      </c>
      <c r="O966" s="399">
        <f t="shared" si="366"/>
        <v>0</v>
      </c>
      <c r="P966" s="392">
        <f t="shared" si="380"/>
        <v>0</v>
      </c>
      <c r="Q966" s="164">
        <f t="shared" si="367"/>
        <v>0</v>
      </c>
      <c r="R966" s="164">
        <f t="shared" si="368"/>
        <v>0</v>
      </c>
      <c r="S966" s="164">
        <f t="shared" si="369"/>
        <v>0</v>
      </c>
      <c r="T966" s="164">
        <f t="shared" si="370"/>
        <v>0</v>
      </c>
      <c r="U966" s="164">
        <f t="shared" si="371"/>
        <v>0</v>
      </c>
      <c r="V966" s="393">
        <f t="shared" si="372"/>
        <v>122.8</v>
      </c>
      <c r="W966" s="393">
        <f t="shared" si="373"/>
        <v>-122.8</v>
      </c>
      <c r="Y966" s="393">
        <f t="shared" si="376"/>
        <v>9.0399999999999991</v>
      </c>
      <c r="Z966" s="393">
        <f t="shared" si="377"/>
        <v>-9.0399999999999991</v>
      </c>
      <c r="AD966" s="395">
        <f>IF(AH966&gt;AH965,AD965,IF(AD965&lt;MiscData!$F$1,EOMONTH(AD965,1),EOMONTH(AD965,-11)))</f>
        <v>41973</v>
      </c>
      <c r="AE966" s="389" t="str">
        <f t="shared" si="374"/>
        <v>20140101KUUM_497</v>
      </c>
      <c r="AF966" s="437" t="str">
        <f t="shared" si="375"/>
        <v>20140101LS</v>
      </c>
      <c r="AG966" s="438"/>
      <c r="AH966" s="34">
        <f>IF(AH965=MiscData!$AB$91,1,AH965+1)</f>
        <v>85</v>
      </c>
      <c r="AI966" s="34">
        <f>IF(AD966&lt;=MiscData!$B$23,MiscData!$C$23,IF(AD966&lt;=MiscData!$B$24,MiscData!$C$24,MiscData!$C$25))</f>
        <v>20140101</v>
      </c>
      <c r="AK966" s="439" t="str">
        <f>VLOOKUP(AM966,MiscData!$AB$4:$ACB$113,2,FALSE)</f>
        <v>KUUM_497</v>
      </c>
      <c r="AL966" s="439" t="str">
        <f>VLOOKUP(AM966,MiscData!$AB$4:$AE$115,4,FALSE)</f>
        <v>LS</v>
      </c>
      <c r="AM966" s="34">
        <f>IF(AM965=MiscData!$AB$91,1,AM965+1)</f>
        <v>85</v>
      </c>
    </row>
    <row r="967" spans="1:39">
      <c r="A967" s="389">
        <f t="shared" si="378"/>
        <v>966</v>
      </c>
      <c r="B967" s="395" t="str">
        <f t="shared" si="360"/>
        <v>Nov 2014</v>
      </c>
      <c r="C967" s="396" t="str">
        <f t="shared" si="361"/>
        <v>LS</v>
      </c>
      <c r="D967" s="396" t="str">
        <f t="shared" si="362"/>
        <v>KUUM_498</v>
      </c>
      <c r="E967" s="394">
        <f t="shared" si="363"/>
        <v>20</v>
      </c>
      <c r="F967" s="397">
        <v>0</v>
      </c>
      <c r="G967" s="394">
        <f t="shared" si="359"/>
        <v>0</v>
      </c>
      <c r="H967" s="394">
        <v>0</v>
      </c>
      <c r="I967" s="390">
        <f t="shared" si="364"/>
        <v>17.72</v>
      </c>
      <c r="J967" s="390">
        <f t="shared" si="365"/>
        <v>2.33</v>
      </c>
      <c r="K967" s="391">
        <f t="shared" si="379"/>
        <v>354.4</v>
      </c>
      <c r="L967" s="398">
        <v>0</v>
      </c>
      <c r="M967" s="398">
        <v>0</v>
      </c>
      <c r="N967" s="164">
        <f t="shared" si="358"/>
        <v>354.4</v>
      </c>
      <c r="O967" s="399">
        <f t="shared" si="366"/>
        <v>0</v>
      </c>
      <c r="P967" s="392">
        <f t="shared" si="380"/>
        <v>0</v>
      </c>
      <c r="Q967" s="164">
        <f t="shared" si="367"/>
        <v>0</v>
      </c>
      <c r="R967" s="164">
        <f t="shared" si="368"/>
        <v>0</v>
      </c>
      <c r="S967" s="164">
        <f t="shared" si="369"/>
        <v>0</v>
      </c>
      <c r="T967" s="164">
        <f t="shared" si="370"/>
        <v>0</v>
      </c>
      <c r="U967" s="164">
        <f t="shared" si="371"/>
        <v>0</v>
      </c>
      <c r="V967" s="393">
        <f t="shared" si="372"/>
        <v>354.4</v>
      </c>
      <c r="W967" s="393">
        <f t="shared" si="373"/>
        <v>-354.4</v>
      </c>
      <c r="Y967" s="393">
        <f t="shared" si="376"/>
        <v>46.6</v>
      </c>
      <c r="Z967" s="393">
        <f t="shared" si="377"/>
        <v>-46.6</v>
      </c>
      <c r="AD967" s="395">
        <f>IF(AH967&gt;AH966,AD966,IF(AD966&lt;MiscData!$F$1,EOMONTH(AD966,1),EOMONTH(AD966,-11)))</f>
        <v>41973</v>
      </c>
      <c r="AE967" s="389" t="str">
        <f t="shared" si="374"/>
        <v>20140101KUUM_498</v>
      </c>
      <c r="AF967" s="437" t="str">
        <f t="shared" si="375"/>
        <v>20140101LS</v>
      </c>
      <c r="AG967" s="438"/>
      <c r="AH967" s="34">
        <f>IF(AH966=MiscData!$AB$91,1,AH966+1)</f>
        <v>86</v>
      </c>
      <c r="AI967" s="34">
        <f>IF(AD967&lt;=MiscData!$B$23,MiscData!$C$23,IF(AD967&lt;=MiscData!$B$24,MiscData!$C$24,MiscData!$C$25))</f>
        <v>20140101</v>
      </c>
      <c r="AK967" s="439" t="str">
        <f>VLOOKUP(AM967,MiscData!$AB$4:$ACB$113,2,FALSE)</f>
        <v>KUUM_498</v>
      </c>
      <c r="AL967" s="439" t="str">
        <f>VLOOKUP(AM967,MiscData!$AB$4:$AE$115,4,FALSE)</f>
        <v>LS</v>
      </c>
      <c r="AM967" s="34">
        <f>IF(AM966=MiscData!$AB$91,1,AM966+1)</f>
        <v>86</v>
      </c>
    </row>
    <row r="968" spans="1:39">
      <c r="A968" s="389">
        <f t="shared" si="378"/>
        <v>967</v>
      </c>
      <c r="B968" s="395" t="str">
        <f t="shared" si="360"/>
        <v>Nov 2014</v>
      </c>
      <c r="C968" s="396" t="str">
        <f t="shared" si="361"/>
        <v>LS</v>
      </c>
      <c r="D968" s="396" t="str">
        <f t="shared" si="362"/>
        <v>KUUM_499</v>
      </c>
      <c r="E968" s="394">
        <f t="shared" si="363"/>
        <v>23</v>
      </c>
      <c r="F968" s="397">
        <v>0</v>
      </c>
      <c r="G968" s="394">
        <f t="shared" si="359"/>
        <v>0</v>
      </c>
      <c r="H968" s="394">
        <v>0</v>
      </c>
      <c r="I968" s="390">
        <f t="shared" si="364"/>
        <v>21.490000000000002</v>
      </c>
      <c r="J968" s="390">
        <f t="shared" si="365"/>
        <v>4.5300000000000011</v>
      </c>
      <c r="K968" s="391">
        <f t="shared" si="379"/>
        <v>494.27</v>
      </c>
      <c r="L968" s="398">
        <v>0</v>
      </c>
      <c r="M968" s="398">
        <v>0</v>
      </c>
      <c r="N968" s="164">
        <f t="shared" si="358"/>
        <v>494.27</v>
      </c>
      <c r="O968" s="399">
        <f t="shared" si="366"/>
        <v>0</v>
      </c>
      <c r="P968" s="392">
        <f t="shared" si="380"/>
        <v>0</v>
      </c>
      <c r="Q968" s="164">
        <f t="shared" si="367"/>
        <v>0</v>
      </c>
      <c r="R968" s="164">
        <f t="shared" si="368"/>
        <v>0</v>
      </c>
      <c r="S968" s="164">
        <f t="shared" si="369"/>
        <v>0</v>
      </c>
      <c r="T968" s="164">
        <f t="shared" si="370"/>
        <v>0</v>
      </c>
      <c r="U968" s="164">
        <f t="shared" si="371"/>
        <v>0</v>
      </c>
      <c r="V968" s="393">
        <f t="shared" si="372"/>
        <v>494.27</v>
      </c>
      <c r="W968" s="393">
        <f t="shared" si="373"/>
        <v>-494.27</v>
      </c>
      <c r="Y968" s="393">
        <f t="shared" si="376"/>
        <v>104.19</v>
      </c>
      <c r="Z968" s="393">
        <f t="shared" si="377"/>
        <v>-104.19</v>
      </c>
      <c r="AD968" s="395">
        <f>IF(AH968&gt;AH967,AD967,IF(AD967&lt;MiscData!$F$1,EOMONTH(AD967,1),EOMONTH(AD967,-11)))</f>
        <v>41973</v>
      </c>
      <c r="AE968" s="389" t="str">
        <f t="shared" si="374"/>
        <v>20140101KUUM_499</v>
      </c>
      <c r="AF968" s="437" t="str">
        <f t="shared" si="375"/>
        <v>20140101LS</v>
      </c>
      <c r="AG968" s="438"/>
      <c r="AH968" s="34">
        <f>IF(AH967=MiscData!$AB$91,1,AH967+1)</f>
        <v>87</v>
      </c>
      <c r="AI968" s="34">
        <f>IF(AD968&lt;=MiscData!$B$23,MiscData!$C$23,IF(AD968&lt;=MiscData!$B$24,MiscData!$C$24,MiscData!$C$25))</f>
        <v>20140101</v>
      </c>
      <c r="AK968" s="439" t="str">
        <f>VLOOKUP(AM968,MiscData!$AB$4:$ACB$113,2,FALSE)</f>
        <v>KUUM_499</v>
      </c>
      <c r="AL968" s="439" t="str">
        <f>VLOOKUP(AM968,MiscData!$AB$4:$AE$115,4,FALSE)</f>
        <v>LS</v>
      </c>
      <c r="AM968" s="34">
        <f>IF(AM967=MiscData!$AB$91,1,AM967+1)</f>
        <v>87</v>
      </c>
    </row>
    <row r="969" spans="1:39">
      <c r="A969" s="389">
        <f t="shared" si="378"/>
        <v>968</v>
      </c>
      <c r="B969" s="395" t="str">
        <f t="shared" si="360"/>
        <v>Nov 2014</v>
      </c>
      <c r="C969" s="396" t="str">
        <f t="shared" si="361"/>
        <v>ODL</v>
      </c>
      <c r="D969" s="396" t="str">
        <f t="shared" si="362"/>
        <v>ODL</v>
      </c>
      <c r="E969" s="394">
        <f t="shared" si="363"/>
        <v>0</v>
      </c>
      <c r="F969" s="397">
        <v>0</v>
      </c>
      <c r="G969" s="394">
        <f t="shared" si="359"/>
        <v>10215241</v>
      </c>
      <c r="H969" s="394">
        <v>0</v>
      </c>
      <c r="I969" s="390">
        <f t="shared" si="364"/>
        <v>0</v>
      </c>
      <c r="J969" s="390">
        <f t="shared" si="365"/>
        <v>0</v>
      </c>
      <c r="K969" s="391">
        <f t="shared" si="379"/>
        <v>0</v>
      </c>
      <c r="L969" s="398">
        <v>0</v>
      </c>
      <c r="M969" s="398">
        <v>0</v>
      </c>
      <c r="N969" s="164">
        <f t="shared" si="358"/>
        <v>0</v>
      </c>
      <c r="O969" s="399">
        <f t="shared" si="366"/>
        <v>2016066.25</v>
      </c>
      <c r="P969" s="392">
        <f t="shared" si="380"/>
        <v>0</v>
      </c>
      <c r="Q969" s="164">
        <f t="shared" si="367"/>
        <v>25023</v>
      </c>
      <c r="R969" s="164">
        <f t="shared" si="368"/>
        <v>0</v>
      </c>
      <c r="S969" s="164">
        <f t="shared" si="369"/>
        <v>39503</v>
      </c>
      <c r="T969" s="164">
        <f t="shared" si="370"/>
        <v>0</v>
      </c>
      <c r="U969" s="164">
        <f t="shared" si="371"/>
        <v>2080592.25</v>
      </c>
      <c r="V969" s="393">
        <f t="shared" si="372"/>
        <v>64526</v>
      </c>
      <c r="W969" s="393">
        <f t="shared" si="373"/>
        <v>2016066.25</v>
      </c>
      <c r="Y969" s="393">
        <f t="shared" si="376"/>
        <v>0</v>
      </c>
      <c r="Z969" s="393">
        <f t="shared" si="377"/>
        <v>2016066.25</v>
      </c>
      <c r="AD969" s="395">
        <f>IF(AH969&gt;AH968,AD968,IF(AD968&lt;MiscData!$F$1,EOMONTH(AD968,1),EOMONTH(AD968,-11)))</f>
        <v>41973</v>
      </c>
      <c r="AE969" s="389" t="str">
        <f t="shared" si="374"/>
        <v>20140101ODL</v>
      </c>
      <c r="AF969" s="437" t="str">
        <f t="shared" si="375"/>
        <v>20140101ODL</v>
      </c>
      <c r="AG969" s="438"/>
      <c r="AH969" s="34">
        <f>IF(AH968=MiscData!$AB$91,1,AH968+1)</f>
        <v>88</v>
      </c>
      <c r="AI969" s="34">
        <f>IF(AD969&lt;=MiscData!$B$23,MiscData!$C$23,IF(AD969&lt;=MiscData!$B$24,MiscData!$C$24,MiscData!$C$25))</f>
        <v>20140101</v>
      </c>
      <c r="AK969" s="439" t="str">
        <f>VLOOKUP(AM969,MiscData!$AB$4:$ACB$113,2,FALSE)</f>
        <v>ODL</v>
      </c>
      <c r="AL969" s="439" t="str">
        <f>VLOOKUP(AM969,MiscData!$AB$4:$AE$115,4,FALSE)</f>
        <v>ODL</v>
      </c>
      <c r="AM969" s="34">
        <f>IF(AM968=MiscData!$AB$91,1,AM968+1)</f>
        <v>88</v>
      </c>
    </row>
    <row r="970" spans="1:39">
      <c r="A970" s="389">
        <f t="shared" si="378"/>
        <v>969</v>
      </c>
      <c r="B970" s="395" t="str">
        <f t="shared" si="360"/>
        <v>Dec 2014</v>
      </c>
      <c r="C970" s="396" t="str">
        <f t="shared" si="361"/>
        <v>LS</v>
      </c>
      <c r="D970" s="396" t="str">
        <f t="shared" si="362"/>
        <v>KUUM_300</v>
      </c>
      <c r="E970" s="394">
        <f t="shared" si="363"/>
        <v>0</v>
      </c>
      <c r="F970" s="397">
        <v>0</v>
      </c>
      <c r="G970" s="394">
        <f t="shared" si="359"/>
        <v>0</v>
      </c>
      <c r="H970" s="394">
        <v>0</v>
      </c>
      <c r="I970" s="390">
        <f t="shared" si="364"/>
        <v>22.49</v>
      </c>
      <c r="J970" s="390">
        <f t="shared" si="365"/>
        <v>0.58000000000000185</v>
      </c>
      <c r="K970" s="391">
        <f t="shared" si="379"/>
        <v>0</v>
      </c>
      <c r="L970" s="398">
        <v>0</v>
      </c>
      <c r="M970" s="398">
        <v>0</v>
      </c>
      <c r="N970" s="164">
        <f t="shared" si="358"/>
        <v>0</v>
      </c>
      <c r="O970" s="399">
        <f t="shared" si="366"/>
        <v>0</v>
      </c>
      <c r="P970" s="392">
        <f t="shared" si="380"/>
        <v>1</v>
      </c>
      <c r="Q970" s="164">
        <f t="shared" si="367"/>
        <v>0</v>
      </c>
      <c r="R970" s="164">
        <f t="shared" si="368"/>
        <v>0</v>
      </c>
      <c r="S970" s="164">
        <f t="shared" si="369"/>
        <v>0</v>
      </c>
      <c r="T970" s="164">
        <f t="shared" si="370"/>
        <v>0</v>
      </c>
      <c r="U970" s="164">
        <f t="shared" si="371"/>
        <v>0</v>
      </c>
      <c r="V970" s="393">
        <f t="shared" si="372"/>
        <v>0</v>
      </c>
      <c r="W970" s="393">
        <f t="shared" si="373"/>
        <v>0</v>
      </c>
      <c r="Y970" s="393">
        <f t="shared" si="376"/>
        <v>0</v>
      </c>
      <c r="Z970" s="393">
        <f t="shared" si="377"/>
        <v>0</v>
      </c>
      <c r="AD970" s="395">
        <f>IF(AH970&gt;AH969,AD969,IF(AD969&lt;MiscData!$F$1,EOMONTH(AD969,1),EOMONTH(AD969,-11)))</f>
        <v>42004</v>
      </c>
      <c r="AE970" s="389" t="str">
        <f t="shared" si="374"/>
        <v>20140101KUUM_300</v>
      </c>
      <c r="AF970" s="437" t="str">
        <f t="shared" si="375"/>
        <v>20140101LS</v>
      </c>
      <c r="AG970" s="438"/>
      <c r="AH970" s="34">
        <f>IF(AH969=MiscData!$AB$91,1,AH969+1)</f>
        <v>1</v>
      </c>
      <c r="AI970" s="34">
        <f>IF(AD970&lt;=MiscData!$B$23,MiscData!$C$23,IF(AD970&lt;=MiscData!$B$24,MiscData!$C$24,MiscData!$C$25))</f>
        <v>20140101</v>
      </c>
      <c r="AK970" s="439" t="str">
        <f>VLOOKUP(AM970,MiscData!$AB$4:$ACB$113,2,FALSE)</f>
        <v>KUUM_300</v>
      </c>
      <c r="AL970" s="439" t="str">
        <f>VLOOKUP(AM970,MiscData!$AB$4:$AE$115,4,FALSE)</f>
        <v>LS</v>
      </c>
      <c r="AM970" s="34">
        <f>IF(AM969=MiscData!$AB$91,1,AM969+1)</f>
        <v>1</v>
      </c>
    </row>
    <row r="971" spans="1:39">
      <c r="A971" s="389">
        <f t="shared" si="378"/>
        <v>970</v>
      </c>
      <c r="B971" s="395" t="str">
        <f t="shared" si="360"/>
        <v>Dec 2014</v>
      </c>
      <c r="C971" s="396" t="str">
        <f t="shared" si="361"/>
        <v>LS</v>
      </c>
      <c r="D971" s="396" t="str">
        <f t="shared" si="362"/>
        <v>KUUM_301</v>
      </c>
      <c r="E971" s="394">
        <f t="shared" si="363"/>
        <v>0</v>
      </c>
      <c r="F971" s="397">
        <v>0</v>
      </c>
      <c r="G971" s="394">
        <f t="shared" si="359"/>
        <v>0</v>
      </c>
      <c r="H971" s="394">
        <v>0</v>
      </c>
      <c r="I971" s="390">
        <f t="shared" si="364"/>
        <v>23.5</v>
      </c>
      <c r="J971" s="390">
        <f t="shared" si="365"/>
        <v>1.129999999999999</v>
      </c>
      <c r="K971" s="391">
        <f t="shared" si="379"/>
        <v>0</v>
      </c>
      <c r="L971" s="398">
        <v>0</v>
      </c>
      <c r="M971" s="398">
        <v>0</v>
      </c>
      <c r="N971" s="164">
        <f t="shared" si="358"/>
        <v>0</v>
      </c>
      <c r="O971" s="399">
        <f t="shared" si="366"/>
        <v>0</v>
      </c>
      <c r="P971" s="392">
        <f t="shared" si="380"/>
        <v>1</v>
      </c>
      <c r="Q971" s="164">
        <f t="shared" si="367"/>
        <v>0</v>
      </c>
      <c r="R971" s="164">
        <f t="shared" si="368"/>
        <v>0</v>
      </c>
      <c r="S971" s="164">
        <f t="shared" si="369"/>
        <v>0</v>
      </c>
      <c r="T971" s="164">
        <f t="shared" si="370"/>
        <v>0</v>
      </c>
      <c r="U971" s="164">
        <f t="shared" si="371"/>
        <v>0</v>
      </c>
      <c r="V971" s="393">
        <f t="shared" si="372"/>
        <v>0</v>
      </c>
      <c r="W971" s="393">
        <f t="shared" si="373"/>
        <v>0</v>
      </c>
      <c r="Y971" s="393">
        <f t="shared" si="376"/>
        <v>0</v>
      </c>
      <c r="Z971" s="393">
        <f t="shared" si="377"/>
        <v>0</v>
      </c>
      <c r="AD971" s="395">
        <f>IF(AH971&gt;AH970,AD970,IF(AD970&lt;MiscData!$F$1,EOMONTH(AD970,1),EOMONTH(AD970,-11)))</f>
        <v>42004</v>
      </c>
      <c r="AE971" s="389" t="str">
        <f t="shared" si="374"/>
        <v>20140101KUUM_301</v>
      </c>
      <c r="AF971" s="437" t="str">
        <f t="shared" si="375"/>
        <v>20140101LS</v>
      </c>
      <c r="AG971" s="438"/>
      <c r="AH971" s="34">
        <f>IF(AH970=MiscData!$AB$91,1,AH970+1)</f>
        <v>2</v>
      </c>
      <c r="AI971" s="34">
        <f>IF(AD971&lt;=MiscData!$B$23,MiscData!$C$23,IF(AD971&lt;=MiscData!$B$24,MiscData!$C$24,MiscData!$C$25))</f>
        <v>20140101</v>
      </c>
      <c r="AK971" s="439" t="str">
        <f>VLOOKUP(AM971,MiscData!$AB$4:$ACB$113,2,FALSE)</f>
        <v>KUUM_301</v>
      </c>
      <c r="AL971" s="439" t="str">
        <f>VLOOKUP(AM971,MiscData!$AB$4:$AE$115,4,FALSE)</f>
        <v>LS</v>
      </c>
      <c r="AM971" s="34">
        <f>IF(AM970=MiscData!$AB$91,1,AM970+1)</f>
        <v>2</v>
      </c>
    </row>
    <row r="972" spans="1:39">
      <c r="A972" s="389">
        <f t="shared" si="378"/>
        <v>971</v>
      </c>
      <c r="B972" s="395" t="str">
        <f t="shared" si="360"/>
        <v>Dec 2014</v>
      </c>
      <c r="C972" s="396" t="str">
        <f t="shared" si="361"/>
        <v>LS</v>
      </c>
      <c r="D972" s="396" t="str">
        <f t="shared" si="362"/>
        <v>KUUM_360</v>
      </c>
      <c r="E972" s="394">
        <f t="shared" si="363"/>
        <v>172</v>
      </c>
      <c r="F972" s="397">
        <v>0</v>
      </c>
      <c r="G972" s="394">
        <f t="shared" si="359"/>
        <v>0</v>
      </c>
      <c r="H972" s="394">
        <v>0</v>
      </c>
      <c r="I972" s="390">
        <f t="shared" si="364"/>
        <v>55.33</v>
      </c>
      <c r="J972" s="390">
        <f t="shared" si="365"/>
        <v>1.75</v>
      </c>
      <c r="K972" s="391">
        <f t="shared" si="379"/>
        <v>9516.76</v>
      </c>
      <c r="L972" s="398">
        <v>0</v>
      </c>
      <c r="M972" s="398">
        <v>0</v>
      </c>
      <c r="N972" s="164">
        <f t="shared" si="358"/>
        <v>9516.76</v>
      </c>
      <c r="O972" s="399">
        <f t="shared" si="366"/>
        <v>0</v>
      </c>
      <c r="P972" s="392">
        <f t="shared" si="380"/>
        <v>0</v>
      </c>
      <c r="Q972" s="164">
        <f t="shared" si="367"/>
        <v>0</v>
      </c>
      <c r="R972" s="164">
        <f t="shared" si="368"/>
        <v>0</v>
      </c>
      <c r="S972" s="164">
        <f t="shared" si="369"/>
        <v>0</v>
      </c>
      <c r="T972" s="164">
        <f t="shared" si="370"/>
        <v>0</v>
      </c>
      <c r="U972" s="164">
        <f t="shared" si="371"/>
        <v>0</v>
      </c>
      <c r="V972" s="393">
        <f t="shared" si="372"/>
        <v>9516.76</v>
      </c>
      <c r="W972" s="393">
        <f t="shared" si="373"/>
        <v>-9516.76</v>
      </c>
      <c r="Y972" s="393">
        <f t="shared" si="376"/>
        <v>301</v>
      </c>
      <c r="Z972" s="393">
        <f t="shared" si="377"/>
        <v>-301</v>
      </c>
      <c r="AD972" s="395">
        <f>IF(AH972&gt;AH971,AD971,IF(AD971&lt;MiscData!$F$1,EOMONTH(AD971,1),EOMONTH(AD971,-11)))</f>
        <v>42004</v>
      </c>
      <c r="AE972" s="389" t="str">
        <f t="shared" si="374"/>
        <v>20140101KUUM_360</v>
      </c>
      <c r="AF972" s="437" t="str">
        <f t="shared" si="375"/>
        <v>20140101LS</v>
      </c>
      <c r="AG972" s="438"/>
      <c r="AH972" s="34">
        <f>IF(AH971=MiscData!$AB$91,1,AH971+1)</f>
        <v>3</v>
      </c>
      <c r="AI972" s="34">
        <f>IF(AD972&lt;=MiscData!$B$23,MiscData!$C$23,IF(AD972&lt;=MiscData!$B$24,MiscData!$C$24,MiscData!$C$25))</f>
        <v>20140101</v>
      </c>
      <c r="AK972" s="439" t="str">
        <f>VLOOKUP(AM972,MiscData!$AB$4:$ACB$113,2,FALSE)</f>
        <v>KUUM_360</v>
      </c>
      <c r="AL972" s="439" t="str">
        <f>VLOOKUP(AM972,MiscData!$AB$4:$AE$115,4,FALSE)</f>
        <v>LS</v>
      </c>
      <c r="AM972" s="34">
        <f>IF(AM971=MiscData!$AB$91,1,AM971+1)</f>
        <v>3</v>
      </c>
    </row>
    <row r="973" spans="1:39">
      <c r="A973" s="389">
        <f t="shared" si="378"/>
        <v>972</v>
      </c>
      <c r="B973" s="395" t="str">
        <f t="shared" si="360"/>
        <v>Dec 2014</v>
      </c>
      <c r="C973" s="396" t="str">
        <f t="shared" si="361"/>
        <v>LS</v>
      </c>
      <c r="D973" s="396" t="str">
        <f t="shared" si="362"/>
        <v>KUUM_361</v>
      </c>
      <c r="E973" s="394">
        <f t="shared" si="363"/>
        <v>26</v>
      </c>
      <c r="F973" s="397">
        <v>0</v>
      </c>
      <c r="G973" s="394">
        <f t="shared" si="359"/>
        <v>0</v>
      </c>
      <c r="H973" s="394">
        <v>0</v>
      </c>
      <c r="I973" s="390">
        <f t="shared" si="364"/>
        <v>83.16</v>
      </c>
      <c r="J973" s="390">
        <f t="shared" si="365"/>
        <v>1.75</v>
      </c>
      <c r="K973" s="391">
        <f t="shared" si="379"/>
        <v>2162.16</v>
      </c>
      <c r="L973" s="398">
        <v>0</v>
      </c>
      <c r="M973" s="398">
        <v>0</v>
      </c>
      <c r="N973" s="164">
        <f t="shared" si="358"/>
        <v>2162.16</v>
      </c>
      <c r="O973" s="399">
        <f t="shared" si="366"/>
        <v>0</v>
      </c>
      <c r="P973" s="392">
        <f t="shared" si="380"/>
        <v>0</v>
      </c>
      <c r="Q973" s="164">
        <f t="shared" si="367"/>
        <v>0</v>
      </c>
      <c r="R973" s="164">
        <f t="shared" si="368"/>
        <v>0</v>
      </c>
      <c r="S973" s="164">
        <f t="shared" si="369"/>
        <v>0</v>
      </c>
      <c r="T973" s="164">
        <f t="shared" si="370"/>
        <v>0</v>
      </c>
      <c r="U973" s="164">
        <f t="shared" si="371"/>
        <v>0</v>
      </c>
      <c r="V973" s="393">
        <f t="shared" si="372"/>
        <v>2162.16</v>
      </c>
      <c r="W973" s="393">
        <f t="shared" si="373"/>
        <v>-2162.16</v>
      </c>
      <c r="Y973" s="393">
        <f t="shared" si="376"/>
        <v>45.5</v>
      </c>
      <c r="Z973" s="393">
        <f t="shared" si="377"/>
        <v>-45.5</v>
      </c>
      <c r="AD973" s="395">
        <f>IF(AH973&gt;AH972,AD972,IF(AD972&lt;MiscData!$F$1,EOMONTH(AD972,1),EOMONTH(AD972,-11)))</f>
        <v>42004</v>
      </c>
      <c r="AE973" s="389" t="str">
        <f t="shared" si="374"/>
        <v>20140101KUUM_361</v>
      </c>
      <c r="AF973" s="437" t="str">
        <f t="shared" si="375"/>
        <v>20140101LS</v>
      </c>
      <c r="AG973" s="438"/>
      <c r="AH973" s="34">
        <f>IF(AH972=MiscData!$AB$91,1,AH972+1)</f>
        <v>4</v>
      </c>
      <c r="AI973" s="34">
        <f>IF(AD973&lt;=MiscData!$B$23,MiscData!$C$23,IF(AD973&lt;=MiscData!$B$24,MiscData!$C$24,MiscData!$C$25))</f>
        <v>20140101</v>
      </c>
      <c r="AK973" s="439" t="str">
        <f>VLOOKUP(AM973,MiscData!$AB$4:$ACB$113,2,FALSE)</f>
        <v>KUUM_361</v>
      </c>
      <c r="AL973" s="439" t="str">
        <f>VLOOKUP(AM973,MiscData!$AB$4:$AE$115,4,FALSE)</f>
        <v>LS</v>
      </c>
      <c r="AM973" s="34">
        <f>IF(AM972=MiscData!$AB$91,1,AM972+1)</f>
        <v>4</v>
      </c>
    </row>
    <row r="974" spans="1:39">
      <c r="A974" s="389">
        <f t="shared" si="378"/>
        <v>973</v>
      </c>
      <c r="B974" s="395" t="str">
        <f t="shared" si="360"/>
        <v>Dec 2014</v>
      </c>
      <c r="C974" s="396" t="str">
        <f t="shared" si="361"/>
        <v>LS</v>
      </c>
      <c r="D974" s="396" t="str">
        <f t="shared" si="362"/>
        <v>KUUM_362</v>
      </c>
      <c r="E974" s="394">
        <f t="shared" si="363"/>
        <v>44</v>
      </c>
      <c r="F974" s="397">
        <v>0</v>
      </c>
      <c r="G974" s="394">
        <f t="shared" si="359"/>
        <v>0</v>
      </c>
      <c r="H974" s="394">
        <v>0</v>
      </c>
      <c r="I974" s="390">
        <f t="shared" si="364"/>
        <v>59.78</v>
      </c>
      <c r="J974" s="390">
        <f t="shared" si="365"/>
        <v>1.75</v>
      </c>
      <c r="K974" s="391">
        <f t="shared" si="379"/>
        <v>2630.32</v>
      </c>
      <c r="L974" s="398">
        <v>0</v>
      </c>
      <c r="M974" s="398">
        <v>0</v>
      </c>
      <c r="N974" s="164">
        <f t="shared" si="358"/>
        <v>2630.32</v>
      </c>
      <c r="O974" s="399">
        <f t="shared" si="366"/>
        <v>0</v>
      </c>
      <c r="P974" s="392">
        <f t="shared" si="380"/>
        <v>0</v>
      </c>
      <c r="Q974" s="164">
        <f t="shared" si="367"/>
        <v>0</v>
      </c>
      <c r="R974" s="164">
        <f t="shared" si="368"/>
        <v>0</v>
      </c>
      <c r="S974" s="164">
        <f t="shared" si="369"/>
        <v>0</v>
      </c>
      <c r="T974" s="164">
        <f t="shared" si="370"/>
        <v>0</v>
      </c>
      <c r="U974" s="164">
        <f t="shared" si="371"/>
        <v>0</v>
      </c>
      <c r="V974" s="393">
        <f t="shared" si="372"/>
        <v>2630.32</v>
      </c>
      <c r="W974" s="393">
        <f t="shared" si="373"/>
        <v>-2630.32</v>
      </c>
      <c r="Y974" s="393">
        <f t="shared" si="376"/>
        <v>77</v>
      </c>
      <c r="Z974" s="393">
        <f t="shared" si="377"/>
        <v>-77</v>
      </c>
      <c r="AD974" s="395">
        <f>IF(AH974&gt;AH973,AD973,IF(AD973&lt;MiscData!$F$1,EOMONTH(AD973,1),EOMONTH(AD973,-11)))</f>
        <v>42004</v>
      </c>
      <c r="AE974" s="389" t="str">
        <f t="shared" si="374"/>
        <v>20140101KUUM_362</v>
      </c>
      <c r="AF974" s="437" t="str">
        <f t="shared" si="375"/>
        <v>20140101LS</v>
      </c>
      <c r="AG974" s="438"/>
      <c r="AH974" s="34">
        <f>IF(AH973=MiscData!$AB$91,1,AH973+1)</f>
        <v>5</v>
      </c>
      <c r="AI974" s="34">
        <f>IF(AD974&lt;=MiscData!$B$23,MiscData!$C$23,IF(AD974&lt;=MiscData!$B$24,MiscData!$C$24,MiscData!$C$25))</f>
        <v>20140101</v>
      </c>
      <c r="AK974" s="439" t="str">
        <f>VLOOKUP(AM974,MiscData!$AB$4:$ACB$113,2,FALSE)</f>
        <v>KUUM_362</v>
      </c>
      <c r="AL974" s="439" t="str">
        <f>VLOOKUP(AM974,MiscData!$AB$4:$AE$115,4,FALSE)</f>
        <v>LS</v>
      </c>
      <c r="AM974" s="34">
        <f>IF(AM973=MiscData!$AB$91,1,AM973+1)</f>
        <v>5</v>
      </c>
    </row>
    <row r="975" spans="1:39">
      <c r="A975" s="389">
        <f t="shared" si="378"/>
        <v>974</v>
      </c>
      <c r="B975" s="395" t="str">
        <f t="shared" si="360"/>
        <v>Dec 2014</v>
      </c>
      <c r="C975" s="396" t="str">
        <f t="shared" si="361"/>
        <v>LS</v>
      </c>
      <c r="D975" s="396" t="str">
        <f t="shared" si="362"/>
        <v>KUUM_363</v>
      </c>
      <c r="E975" s="394">
        <f t="shared" si="363"/>
        <v>5</v>
      </c>
      <c r="F975" s="397">
        <v>0</v>
      </c>
      <c r="G975" s="394">
        <f t="shared" si="359"/>
        <v>0</v>
      </c>
      <c r="H975" s="394">
        <v>0</v>
      </c>
      <c r="I975" s="390">
        <f t="shared" si="364"/>
        <v>61.75</v>
      </c>
      <c r="J975" s="390">
        <f t="shared" si="365"/>
        <v>1.75</v>
      </c>
      <c r="K975" s="391">
        <f t="shared" si="379"/>
        <v>308.75</v>
      </c>
      <c r="L975" s="398">
        <v>0</v>
      </c>
      <c r="M975" s="398">
        <v>0</v>
      </c>
      <c r="N975" s="164">
        <f t="shared" si="358"/>
        <v>308.75</v>
      </c>
      <c r="O975" s="399">
        <f t="shared" si="366"/>
        <v>0</v>
      </c>
      <c r="P975" s="392">
        <f t="shared" si="380"/>
        <v>0</v>
      </c>
      <c r="Q975" s="164">
        <f t="shared" si="367"/>
        <v>0</v>
      </c>
      <c r="R975" s="164">
        <f t="shared" si="368"/>
        <v>0</v>
      </c>
      <c r="S975" s="164">
        <f t="shared" si="369"/>
        <v>0</v>
      </c>
      <c r="T975" s="164">
        <f t="shared" si="370"/>
        <v>0</v>
      </c>
      <c r="U975" s="164">
        <f t="shared" si="371"/>
        <v>0</v>
      </c>
      <c r="V975" s="393">
        <f t="shared" si="372"/>
        <v>308.75</v>
      </c>
      <c r="W975" s="393">
        <f t="shared" si="373"/>
        <v>-308.75</v>
      </c>
      <c r="Y975" s="393">
        <f t="shared" si="376"/>
        <v>8.75</v>
      </c>
      <c r="Z975" s="393">
        <f t="shared" si="377"/>
        <v>-8.75</v>
      </c>
      <c r="AD975" s="395">
        <f>IF(AH975&gt;AH974,AD974,IF(AD974&lt;MiscData!$F$1,EOMONTH(AD974,1),EOMONTH(AD974,-11)))</f>
        <v>42004</v>
      </c>
      <c r="AE975" s="389" t="str">
        <f t="shared" si="374"/>
        <v>20140101KUUM_363</v>
      </c>
      <c r="AF975" s="437" t="str">
        <f t="shared" si="375"/>
        <v>20140101LS</v>
      </c>
      <c r="AG975" s="438"/>
      <c r="AH975" s="34">
        <f>IF(AH974=MiscData!$AB$91,1,AH974+1)</f>
        <v>6</v>
      </c>
      <c r="AI975" s="34">
        <f>IF(AD975&lt;=MiscData!$B$23,MiscData!$C$23,IF(AD975&lt;=MiscData!$B$24,MiscData!$C$24,MiscData!$C$25))</f>
        <v>20140101</v>
      </c>
      <c r="AK975" s="439" t="str">
        <f>VLOOKUP(AM975,MiscData!$AB$4:$ACB$113,2,FALSE)</f>
        <v>KUUM_363</v>
      </c>
      <c r="AL975" s="439" t="str">
        <f>VLOOKUP(AM975,MiscData!$AB$4:$AE$115,4,FALSE)</f>
        <v>LS</v>
      </c>
      <c r="AM975" s="34">
        <f>IF(AM974=MiscData!$AB$91,1,AM974+1)</f>
        <v>6</v>
      </c>
    </row>
    <row r="976" spans="1:39">
      <c r="A976" s="389">
        <f t="shared" si="378"/>
        <v>975</v>
      </c>
      <c r="B976" s="395" t="str">
        <f t="shared" si="360"/>
        <v>Dec 2014</v>
      </c>
      <c r="C976" s="396" t="str">
        <f t="shared" si="361"/>
        <v>LS</v>
      </c>
      <c r="D976" s="396" t="str">
        <f t="shared" si="362"/>
        <v>KUUM_364</v>
      </c>
      <c r="E976" s="394">
        <f t="shared" si="363"/>
        <v>1</v>
      </c>
      <c r="F976" s="397">
        <v>0</v>
      </c>
      <c r="G976" s="394">
        <f t="shared" si="359"/>
        <v>0</v>
      </c>
      <c r="H976" s="394">
        <v>0</v>
      </c>
      <c r="I976" s="390">
        <f t="shared" si="364"/>
        <v>63.11</v>
      </c>
      <c r="J976" s="390">
        <f t="shared" si="365"/>
        <v>1.75</v>
      </c>
      <c r="K976" s="391">
        <f t="shared" si="379"/>
        <v>63.11</v>
      </c>
      <c r="L976" s="398">
        <v>0</v>
      </c>
      <c r="M976" s="398">
        <v>0</v>
      </c>
      <c r="N976" s="164">
        <f t="shared" si="358"/>
        <v>63.11</v>
      </c>
      <c r="O976" s="399">
        <f t="shared" si="366"/>
        <v>0</v>
      </c>
      <c r="P976" s="392">
        <f t="shared" si="380"/>
        <v>0</v>
      </c>
      <c r="Q976" s="164">
        <f t="shared" si="367"/>
        <v>0</v>
      </c>
      <c r="R976" s="164">
        <f t="shared" si="368"/>
        <v>0</v>
      </c>
      <c r="S976" s="164">
        <f t="shared" si="369"/>
        <v>0</v>
      </c>
      <c r="T976" s="164">
        <f t="shared" si="370"/>
        <v>0</v>
      </c>
      <c r="U976" s="164">
        <f t="shared" si="371"/>
        <v>0</v>
      </c>
      <c r="V976" s="393">
        <f t="shared" si="372"/>
        <v>63.11</v>
      </c>
      <c r="W976" s="393">
        <f t="shared" si="373"/>
        <v>-63.11</v>
      </c>
      <c r="Y976" s="393">
        <f t="shared" si="376"/>
        <v>1.75</v>
      </c>
      <c r="Z976" s="393">
        <f t="shared" si="377"/>
        <v>-1.75</v>
      </c>
      <c r="AD976" s="395">
        <f>IF(AH976&gt;AH975,AD975,IF(AD975&lt;MiscData!$F$1,EOMONTH(AD975,1),EOMONTH(AD975,-11)))</f>
        <v>42004</v>
      </c>
      <c r="AE976" s="389" t="str">
        <f t="shared" si="374"/>
        <v>20140101KUUM_364</v>
      </c>
      <c r="AF976" s="437" t="str">
        <f t="shared" si="375"/>
        <v>20140101LS</v>
      </c>
      <c r="AG976" s="438"/>
      <c r="AH976" s="34">
        <f>IF(AH975=MiscData!$AB$91,1,AH975+1)</f>
        <v>7</v>
      </c>
      <c r="AI976" s="34">
        <f>IF(AD976&lt;=MiscData!$B$23,MiscData!$C$23,IF(AD976&lt;=MiscData!$B$24,MiscData!$C$24,MiscData!$C$25))</f>
        <v>20140101</v>
      </c>
      <c r="AK976" s="439" t="str">
        <f>VLOOKUP(AM976,MiscData!$AB$4:$ACB$113,2,FALSE)</f>
        <v>KUUM_364</v>
      </c>
      <c r="AL976" s="439" t="str">
        <f>VLOOKUP(AM976,MiscData!$AB$4:$AE$115,4,FALSE)</f>
        <v>LS</v>
      </c>
      <c r="AM976" s="34">
        <f>IF(AM975=MiscData!$AB$91,1,AM975+1)</f>
        <v>7</v>
      </c>
    </row>
    <row r="977" spans="1:39">
      <c r="A977" s="389">
        <f t="shared" si="378"/>
        <v>976</v>
      </c>
      <c r="B977" s="395" t="str">
        <f t="shared" si="360"/>
        <v>Dec 2014</v>
      </c>
      <c r="C977" s="396" t="str">
        <f t="shared" si="361"/>
        <v>LS</v>
      </c>
      <c r="D977" s="396" t="str">
        <f t="shared" si="362"/>
        <v>KUUM_365</v>
      </c>
      <c r="E977" s="394">
        <f t="shared" si="363"/>
        <v>5</v>
      </c>
      <c r="F977" s="397">
        <v>0</v>
      </c>
      <c r="G977" s="394">
        <f t="shared" si="359"/>
        <v>0</v>
      </c>
      <c r="H977" s="394">
        <v>0</v>
      </c>
      <c r="I977" s="390">
        <f t="shared" si="364"/>
        <v>80.94</v>
      </c>
      <c r="J977" s="390">
        <f t="shared" si="365"/>
        <v>1.75</v>
      </c>
      <c r="K977" s="391">
        <f t="shared" si="379"/>
        <v>404.7</v>
      </c>
      <c r="L977" s="398">
        <v>0</v>
      </c>
      <c r="M977" s="398">
        <v>0</v>
      </c>
      <c r="N977" s="164">
        <f t="shared" si="358"/>
        <v>404.7</v>
      </c>
      <c r="O977" s="399">
        <f t="shared" si="366"/>
        <v>0</v>
      </c>
      <c r="P977" s="392">
        <f t="shared" si="380"/>
        <v>0</v>
      </c>
      <c r="Q977" s="164">
        <f t="shared" si="367"/>
        <v>0</v>
      </c>
      <c r="R977" s="164">
        <f t="shared" si="368"/>
        <v>0</v>
      </c>
      <c r="S977" s="164">
        <f t="shared" si="369"/>
        <v>0</v>
      </c>
      <c r="T977" s="164">
        <f t="shared" si="370"/>
        <v>0</v>
      </c>
      <c r="U977" s="164">
        <f t="shared" si="371"/>
        <v>0</v>
      </c>
      <c r="V977" s="393">
        <f t="shared" si="372"/>
        <v>404.7</v>
      </c>
      <c r="W977" s="393">
        <f t="shared" si="373"/>
        <v>-404.7</v>
      </c>
      <c r="Y977" s="393">
        <f t="shared" si="376"/>
        <v>8.75</v>
      </c>
      <c r="Z977" s="393">
        <f t="shared" si="377"/>
        <v>-8.75</v>
      </c>
      <c r="AD977" s="395">
        <f>IF(AH977&gt;AH976,AD976,IF(AD976&lt;MiscData!$F$1,EOMONTH(AD976,1),EOMONTH(AD976,-11)))</f>
        <v>42004</v>
      </c>
      <c r="AE977" s="389" t="str">
        <f t="shared" si="374"/>
        <v>20140101KUUM_365</v>
      </c>
      <c r="AF977" s="437" t="str">
        <f t="shared" si="375"/>
        <v>20140101LS</v>
      </c>
      <c r="AG977" s="438"/>
      <c r="AH977" s="34">
        <f>IF(AH976=MiscData!$AB$91,1,AH976+1)</f>
        <v>8</v>
      </c>
      <c r="AI977" s="34">
        <f>IF(AD977&lt;=MiscData!$B$23,MiscData!$C$23,IF(AD977&lt;=MiscData!$B$24,MiscData!$C$24,MiscData!$C$25))</f>
        <v>20140101</v>
      </c>
      <c r="AK977" s="439" t="str">
        <f>VLOOKUP(AM977,MiscData!$AB$4:$ACB$113,2,FALSE)</f>
        <v>KUUM_365</v>
      </c>
      <c r="AL977" s="439" t="str">
        <f>VLOOKUP(AM977,MiscData!$AB$4:$AE$115,4,FALSE)</f>
        <v>LS</v>
      </c>
      <c r="AM977" s="34">
        <f>IF(AM976=MiscData!$AB$91,1,AM976+1)</f>
        <v>8</v>
      </c>
    </row>
    <row r="978" spans="1:39">
      <c r="A978" s="389">
        <f t="shared" si="378"/>
        <v>977</v>
      </c>
      <c r="B978" s="395" t="str">
        <f t="shared" si="360"/>
        <v>Dec 2014</v>
      </c>
      <c r="C978" s="396" t="str">
        <f t="shared" si="361"/>
        <v>LS</v>
      </c>
      <c r="D978" s="396" t="str">
        <f t="shared" si="362"/>
        <v>KUUM_366</v>
      </c>
      <c r="E978" s="394">
        <f t="shared" si="363"/>
        <v>10</v>
      </c>
      <c r="F978" s="397">
        <v>0</v>
      </c>
      <c r="G978" s="394">
        <f t="shared" si="359"/>
        <v>0</v>
      </c>
      <c r="H978" s="394">
        <v>0</v>
      </c>
      <c r="I978" s="390">
        <f t="shared" si="364"/>
        <v>78.97</v>
      </c>
      <c r="J978" s="390">
        <f t="shared" si="365"/>
        <v>1.75</v>
      </c>
      <c r="K978" s="391">
        <f t="shared" si="379"/>
        <v>789.7</v>
      </c>
      <c r="L978" s="398">
        <v>0</v>
      </c>
      <c r="M978" s="398">
        <v>0</v>
      </c>
      <c r="N978" s="164">
        <f t="shared" si="358"/>
        <v>789.7</v>
      </c>
      <c r="O978" s="399">
        <f t="shared" si="366"/>
        <v>0</v>
      </c>
      <c r="P978" s="392">
        <f t="shared" si="380"/>
        <v>0</v>
      </c>
      <c r="Q978" s="164">
        <f t="shared" si="367"/>
        <v>0</v>
      </c>
      <c r="R978" s="164">
        <f t="shared" si="368"/>
        <v>0</v>
      </c>
      <c r="S978" s="164">
        <f t="shared" si="369"/>
        <v>0</v>
      </c>
      <c r="T978" s="164">
        <f t="shared" si="370"/>
        <v>0</v>
      </c>
      <c r="U978" s="164">
        <f t="shared" si="371"/>
        <v>0</v>
      </c>
      <c r="V978" s="393">
        <f t="shared" si="372"/>
        <v>789.7</v>
      </c>
      <c r="W978" s="393">
        <f t="shared" si="373"/>
        <v>-789.7</v>
      </c>
      <c r="Y978" s="393">
        <f t="shared" si="376"/>
        <v>17.5</v>
      </c>
      <c r="Z978" s="393">
        <f t="shared" si="377"/>
        <v>-17.5</v>
      </c>
      <c r="AD978" s="395">
        <f>IF(AH978&gt;AH977,AD977,IF(AD977&lt;MiscData!$F$1,EOMONTH(AD977,1),EOMONTH(AD977,-11)))</f>
        <v>42004</v>
      </c>
      <c r="AE978" s="389" t="str">
        <f t="shared" si="374"/>
        <v>20140101KUUM_366</v>
      </c>
      <c r="AF978" s="437" t="str">
        <f t="shared" si="375"/>
        <v>20140101LS</v>
      </c>
      <c r="AG978" s="438"/>
      <c r="AH978" s="34">
        <f>IF(AH977=MiscData!$AB$91,1,AH977+1)</f>
        <v>9</v>
      </c>
      <c r="AI978" s="34">
        <f>IF(AD978&lt;=MiscData!$B$23,MiscData!$C$23,IF(AD978&lt;=MiscData!$B$24,MiscData!$C$24,MiscData!$C$25))</f>
        <v>20140101</v>
      </c>
      <c r="AK978" s="439" t="str">
        <f>VLOOKUP(AM978,MiscData!$AB$4:$ACB$113,2,FALSE)</f>
        <v>KUUM_366</v>
      </c>
      <c r="AL978" s="439" t="str">
        <f>VLOOKUP(AM978,MiscData!$AB$4:$AE$115,4,FALSE)</f>
        <v>LS</v>
      </c>
      <c r="AM978" s="34">
        <f>IF(AM977=MiscData!$AB$91,1,AM977+1)</f>
        <v>9</v>
      </c>
    </row>
    <row r="979" spans="1:39">
      <c r="A979" s="389">
        <f t="shared" si="378"/>
        <v>978</v>
      </c>
      <c r="B979" s="395" t="str">
        <f t="shared" si="360"/>
        <v>Dec 2014</v>
      </c>
      <c r="C979" s="396" t="str">
        <f t="shared" si="361"/>
        <v>LS</v>
      </c>
      <c r="D979" s="396" t="str">
        <f t="shared" si="362"/>
        <v>KUUM_367</v>
      </c>
      <c r="E979" s="394">
        <f t="shared" si="363"/>
        <v>24</v>
      </c>
      <c r="F979" s="397">
        <v>0</v>
      </c>
      <c r="G979" s="394">
        <f t="shared" si="359"/>
        <v>0</v>
      </c>
      <c r="H979" s="394">
        <v>0</v>
      </c>
      <c r="I979" s="390">
        <f t="shared" si="364"/>
        <v>61.230000000000004</v>
      </c>
      <c r="J979" s="390">
        <f t="shared" si="365"/>
        <v>1.75</v>
      </c>
      <c r="K979" s="391">
        <f t="shared" si="379"/>
        <v>1469.52</v>
      </c>
      <c r="L979" s="398">
        <v>0</v>
      </c>
      <c r="M979" s="398">
        <v>0</v>
      </c>
      <c r="N979" s="164">
        <f t="shared" si="358"/>
        <v>1469.52</v>
      </c>
      <c r="O979" s="399">
        <f t="shared" si="366"/>
        <v>0</v>
      </c>
      <c r="P979" s="392">
        <f t="shared" si="380"/>
        <v>0</v>
      </c>
      <c r="Q979" s="164">
        <f t="shared" si="367"/>
        <v>0</v>
      </c>
      <c r="R979" s="164">
        <f t="shared" si="368"/>
        <v>0</v>
      </c>
      <c r="S979" s="164">
        <f t="shared" si="369"/>
        <v>0</v>
      </c>
      <c r="T979" s="164">
        <f t="shared" si="370"/>
        <v>0</v>
      </c>
      <c r="U979" s="164">
        <f t="shared" si="371"/>
        <v>0</v>
      </c>
      <c r="V979" s="393">
        <f t="shared" si="372"/>
        <v>1469.52</v>
      </c>
      <c r="W979" s="393">
        <f t="shared" si="373"/>
        <v>-1469.52</v>
      </c>
      <c r="Y979" s="393">
        <f t="shared" si="376"/>
        <v>42</v>
      </c>
      <c r="Z979" s="393">
        <f t="shared" si="377"/>
        <v>-42</v>
      </c>
      <c r="AD979" s="395">
        <f>IF(AH979&gt;AH978,AD978,IF(AD978&lt;MiscData!$F$1,EOMONTH(AD978,1),EOMONTH(AD978,-11)))</f>
        <v>42004</v>
      </c>
      <c r="AE979" s="389" t="str">
        <f t="shared" si="374"/>
        <v>20140101KUUM_367</v>
      </c>
      <c r="AF979" s="437" t="str">
        <f t="shared" si="375"/>
        <v>20140101LS</v>
      </c>
      <c r="AG979" s="438"/>
      <c r="AH979" s="34">
        <f>IF(AH978=MiscData!$AB$91,1,AH978+1)</f>
        <v>10</v>
      </c>
      <c r="AI979" s="34">
        <f>IF(AD979&lt;=MiscData!$B$23,MiscData!$C$23,IF(AD979&lt;=MiscData!$B$24,MiscData!$C$24,MiscData!$C$25))</f>
        <v>20140101</v>
      </c>
      <c r="AK979" s="439" t="str">
        <f>VLOOKUP(AM979,MiscData!$AB$4:$ACB$113,2,FALSE)</f>
        <v>KUUM_367</v>
      </c>
      <c r="AL979" s="439" t="str">
        <f>VLOOKUP(AM979,MiscData!$AB$4:$AE$115,4,FALSE)</f>
        <v>LS</v>
      </c>
      <c r="AM979" s="34">
        <f>IF(AM978=MiscData!$AB$91,1,AM978+1)</f>
        <v>10</v>
      </c>
    </row>
    <row r="980" spans="1:39">
      <c r="A980" s="389">
        <f t="shared" si="378"/>
        <v>979</v>
      </c>
      <c r="B980" s="395" t="str">
        <f t="shared" si="360"/>
        <v>Dec 2014</v>
      </c>
      <c r="C980" s="396" t="str">
        <f t="shared" si="361"/>
        <v>LS</v>
      </c>
      <c r="D980" s="396" t="str">
        <f t="shared" si="362"/>
        <v>KUUM_368</v>
      </c>
      <c r="E980" s="394">
        <f t="shared" si="363"/>
        <v>1</v>
      </c>
      <c r="F980" s="397">
        <v>0</v>
      </c>
      <c r="G980" s="394">
        <f t="shared" si="359"/>
        <v>0</v>
      </c>
      <c r="H980" s="394">
        <v>0</v>
      </c>
      <c r="I980" s="390">
        <f t="shared" si="364"/>
        <v>56.69</v>
      </c>
      <c r="J980" s="390">
        <f t="shared" si="365"/>
        <v>1.75</v>
      </c>
      <c r="K980" s="391">
        <f t="shared" si="379"/>
        <v>56.69</v>
      </c>
      <c r="L980" s="398">
        <v>0</v>
      </c>
      <c r="M980" s="398">
        <v>0</v>
      </c>
      <c r="N980" s="164">
        <f t="shared" si="358"/>
        <v>56.69</v>
      </c>
      <c r="O980" s="399">
        <f t="shared" si="366"/>
        <v>0</v>
      </c>
      <c r="P980" s="392">
        <f t="shared" si="380"/>
        <v>0</v>
      </c>
      <c r="Q980" s="164">
        <f t="shared" si="367"/>
        <v>0</v>
      </c>
      <c r="R980" s="164">
        <f t="shared" si="368"/>
        <v>0</v>
      </c>
      <c r="S980" s="164">
        <f t="shared" si="369"/>
        <v>0</v>
      </c>
      <c r="T980" s="164">
        <f t="shared" si="370"/>
        <v>0</v>
      </c>
      <c r="U980" s="164">
        <f t="shared" si="371"/>
        <v>0</v>
      </c>
      <c r="V980" s="393">
        <f t="shared" si="372"/>
        <v>56.69</v>
      </c>
      <c r="W980" s="393">
        <f t="shared" si="373"/>
        <v>-56.69</v>
      </c>
      <c r="Y980" s="393">
        <f t="shared" si="376"/>
        <v>1.75</v>
      </c>
      <c r="Z980" s="393">
        <f t="shared" si="377"/>
        <v>-1.75</v>
      </c>
      <c r="AD980" s="395">
        <f>IF(AH980&gt;AH979,AD979,IF(AD979&lt;MiscData!$F$1,EOMONTH(AD979,1),EOMONTH(AD979,-11)))</f>
        <v>42004</v>
      </c>
      <c r="AE980" s="389" t="str">
        <f t="shared" si="374"/>
        <v>20140101KUUM_368</v>
      </c>
      <c r="AF980" s="437" t="str">
        <f t="shared" si="375"/>
        <v>20140101LS</v>
      </c>
      <c r="AG980" s="438"/>
      <c r="AH980" s="34">
        <f>IF(AH979=MiscData!$AB$91,1,AH979+1)</f>
        <v>11</v>
      </c>
      <c r="AI980" s="34">
        <f>IF(AD980&lt;=MiscData!$B$23,MiscData!$C$23,IF(AD980&lt;=MiscData!$B$24,MiscData!$C$24,MiscData!$C$25))</f>
        <v>20140101</v>
      </c>
      <c r="AK980" s="439" t="str">
        <f>VLOOKUP(AM980,MiscData!$AB$4:$ACB$113,2,FALSE)</f>
        <v>KUUM_368</v>
      </c>
      <c r="AL980" s="439" t="str">
        <f>VLOOKUP(AM980,MiscData!$AB$4:$AE$115,4,FALSE)</f>
        <v>LS</v>
      </c>
      <c r="AM980" s="34">
        <f>IF(AM979=MiscData!$AB$91,1,AM979+1)</f>
        <v>11</v>
      </c>
    </row>
    <row r="981" spans="1:39">
      <c r="A981" s="389">
        <f t="shared" si="378"/>
        <v>980</v>
      </c>
      <c r="B981" s="395" t="str">
        <f t="shared" si="360"/>
        <v>Dec 2014</v>
      </c>
      <c r="C981" s="396" t="str">
        <f t="shared" si="361"/>
        <v>LS</v>
      </c>
      <c r="D981" s="396" t="str">
        <f t="shared" si="362"/>
        <v>KUUM_370</v>
      </c>
      <c r="E981" s="394">
        <f t="shared" si="363"/>
        <v>16</v>
      </c>
      <c r="F981" s="397">
        <v>0</v>
      </c>
      <c r="G981" s="394">
        <f t="shared" si="359"/>
        <v>0</v>
      </c>
      <c r="H981" s="394">
        <v>0</v>
      </c>
      <c r="I981" s="390">
        <f t="shared" si="364"/>
        <v>74.52</v>
      </c>
      <c r="J981" s="390">
        <f t="shared" si="365"/>
        <v>1.75</v>
      </c>
      <c r="K981" s="391">
        <f t="shared" si="379"/>
        <v>1192.32</v>
      </c>
      <c r="L981" s="398">
        <v>0</v>
      </c>
      <c r="M981" s="398">
        <v>0</v>
      </c>
      <c r="N981" s="164">
        <f t="shared" si="358"/>
        <v>1192.32</v>
      </c>
      <c r="O981" s="399">
        <f t="shared" si="366"/>
        <v>0</v>
      </c>
      <c r="P981" s="392">
        <f t="shared" si="380"/>
        <v>0</v>
      </c>
      <c r="Q981" s="164">
        <f t="shared" si="367"/>
        <v>0</v>
      </c>
      <c r="R981" s="164">
        <f t="shared" si="368"/>
        <v>0</v>
      </c>
      <c r="S981" s="164">
        <f t="shared" si="369"/>
        <v>0</v>
      </c>
      <c r="T981" s="164">
        <f t="shared" si="370"/>
        <v>0</v>
      </c>
      <c r="U981" s="164">
        <f t="shared" si="371"/>
        <v>0</v>
      </c>
      <c r="V981" s="393">
        <f t="shared" si="372"/>
        <v>1192.32</v>
      </c>
      <c r="W981" s="393">
        <f t="shared" si="373"/>
        <v>-1192.32</v>
      </c>
      <c r="Y981" s="393">
        <f t="shared" si="376"/>
        <v>28</v>
      </c>
      <c r="Z981" s="393">
        <f t="shared" si="377"/>
        <v>-28</v>
      </c>
      <c r="AD981" s="395">
        <f>IF(AH981&gt;AH980,AD980,IF(AD980&lt;MiscData!$F$1,EOMONTH(AD980,1),EOMONTH(AD980,-11)))</f>
        <v>42004</v>
      </c>
      <c r="AE981" s="389" t="str">
        <f t="shared" si="374"/>
        <v>20140101KUUM_370</v>
      </c>
      <c r="AF981" s="437" t="str">
        <f t="shared" si="375"/>
        <v>20140101LS</v>
      </c>
      <c r="AG981" s="438"/>
      <c r="AH981" s="34">
        <f>IF(AH980=MiscData!$AB$91,1,AH980+1)</f>
        <v>12</v>
      </c>
      <c r="AI981" s="34">
        <f>IF(AD981&lt;=MiscData!$B$23,MiscData!$C$23,IF(AD981&lt;=MiscData!$B$24,MiscData!$C$24,MiscData!$C$25))</f>
        <v>20140101</v>
      </c>
      <c r="AK981" s="439" t="str">
        <f>VLOOKUP(AM981,MiscData!$AB$4:$ACB$113,2,FALSE)</f>
        <v>KUUM_370</v>
      </c>
      <c r="AL981" s="439" t="str">
        <f>VLOOKUP(AM981,MiscData!$AB$4:$AE$115,4,FALSE)</f>
        <v>LS</v>
      </c>
      <c r="AM981" s="34">
        <f>IF(AM980=MiscData!$AB$91,1,AM980+1)</f>
        <v>12</v>
      </c>
    </row>
    <row r="982" spans="1:39">
      <c r="A982" s="389">
        <f t="shared" si="378"/>
        <v>981</v>
      </c>
      <c r="B982" s="395" t="str">
        <f t="shared" si="360"/>
        <v>Dec 2014</v>
      </c>
      <c r="C982" s="396" t="str">
        <f t="shared" si="361"/>
        <v>LS</v>
      </c>
      <c r="D982" s="396" t="str">
        <f t="shared" si="362"/>
        <v>KUUM_372</v>
      </c>
      <c r="E982" s="394">
        <f t="shared" si="363"/>
        <v>1</v>
      </c>
      <c r="F982" s="397">
        <v>0</v>
      </c>
      <c r="G982" s="394">
        <f t="shared" si="359"/>
        <v>0</v>
      </c>
      <c r="H982" s="394">
        <v>0</v>
      </c>
      <c r="I982" s="390">
        <f t="shared" si="364"/>
        <v>82.3</v>
      </c>
      <c r="J982" s="390">
        <f t="shared" si="365"/>
        <v>1.75</v>
      </c>
      <c r="K982" s="391">
        <f t="shared" si="379"/>
        <v>82.3</v>
      </c>
      <c r="L982" s="398">
        <v>0</v>
      </c>
      <c r="M982" s="398">
        <v>0</v>
      </c>
      <c r="N982" s="164">
        <f t="shared" si="358"/>
        <v>82.3</v>
      </c>
      <c r="O982" s="399">
        <f t="shared" si="366"/>
        <v>0</v>
      </c>
      <c r="P982" s="392">
        <f t="shared" si="380"/>
        <v>0</v>
      </c>
      <c r="Q982" s="164">
        <f t="shared" si="367"/>
        <v>0</v>
      </c>
      <c r="R982" s="164">
        <f t="shared" si="368"/>
        <v>0</v>
      </c>
      <c r="S982" s="164">
        <f t="shared" si="369"/>
        <v>0</v>
      </c>
      <c r="T982" s="164">
        <f t="shared" si="370"/>
        <v>0</v>
      </c>
      <c r="U982" s="164">
        <f t="shared" si="371"/>
        <v>0</v>
      </c>
      <c r="V982" s="393">
        <f t="shared" si="372"/>
        <v>82.3</v>
      </c>
      <c r="W982" s="393">
        <f t="shared" si="373"/>
        <v>-82.3</v>
      </c>
      <c r="Y982" s="393">
        <f t="shared" si="376"/>
        <v>1.75</v>
      </c>
      <c r="Z982" s="393">
        <f t="shared" si="377"/>
        <v>-1.75</v>
      </c>
      <c r="AD982" s="395">
        <f>IF(AH982&gt;AH981,AD981,IF(AD981&lt;MiscData!$F$1,EOMONTH(AD981,1),EOMONTH(AD981,-11)))</f>
        <v>42004</v>
      </c>
      <c r="AE982" s="389" t="str">
        <f t="shared" si="374"/>
        <v>20140101KUUM_372</v>
      </c>
      <c r="AF982" s="437" t="str">
        <f t="shared" si="375"/>
        <v>20140101LS</v>
      </c>
      <c r="AG982" s="438"/>
      <c r="AH982" s="34">
        <f>IF(AH981=MiscData!$AB$91,1,AH981+1)</f>
        <v>13</v>
      </c>
      <c r="AI982" s="34">
        <f>IF(AD982&lt;=MiscData!$B$23,MiscData!$C$23,IF(AD982&lt;=MiscData!$B$24,MiscData!$C$24,MiscData!$C$25))</f>
        <v>20140101</v>
      </c>
      <c r="AK982" s="439" t="str">
        <f>VLOOKUP(AM982,MiscData!$AB$4:$ACB$113,2,FALSE)</f>
        <v>KUUM_372</v>
      </c>
      <c r="AL982" s="439" t="str">
        <f>VLOOKUP(AM982,MiscData!$AB$4:$AE$115,4,FALSE)</f>
        <v>LS</v>
      </c>
      <c r="AM982" s="34">
        <f>IF(AM981=MiscData!$AB$91,1,AM981+1)</f>
        <v>13</v>
      </c>
    </row>
    <row r="983" spans="1:39">
      <c r="A983" s="389">
        <f t="shared" si="378"/>
        <v>982</v>
      </c>
      <c r="B983" s="395" t="str">
        <f t="shared" si="360"/>
        <v>Dec 2014</v>
      </c>
      <c r="C983" s="396" t="str">
        <f t="shared" si="361"/>
        <v>LS</v>
      </c>
      <c r="D983" s="396" t="str">
        <f t="shared" si="362"/>
        <v>KUUM_373</v>
      </c>
      <c r="E983" s="394">
        <f t="shared" si="363"/>
        <v>19</v>
      </c>
      <c r="F983" s="397">
        <v>0</v>
      </c>
      <c r="G983" s="394">
        <f t="shared" si="359"/>
        <v>0</v>
      </c>
      <c r="H983" s="394">
        <v>0</v>
      </c>
      <c r="I983" s="390">
        <f t="shared" si="364"/>
        <v>74.52</v>
      </c>
      <c r="J983" s="390">
        <f t="shared" si="365"/>
        <v>1.75</v>
      </c>
      <c r="K983" s="391">
        <f t="shared" si="379"/>
        <v>1415.88</v>
      </c>
      <c r="L983" s="398">
        <v>0</v>
      </c>
      <c r="M983" s="398">
        <v>0</v>
      </c>
      <c r="N983" s="164">
        <f t="shared" si="358"/>
        <v>1415.88</v>
      </c>
      <c r="O983" s="399">
        <f t="shared" si="366"/>
        <v>0</v>
      </c>
      <c r="P983" s="392">
        <f t="shared" si="380"/>
        <v>0</v>
      </c>
      <c r="Q983" s="164">
        <f t="shared" si="367"/>
        <v>0</v>
      </c>
      <c r="R983" s="164">
        <f t="shared" si="368"/>
        <v>0</v>
      </c>
      <c r="S983" s="164">
        <f t="shared" si="369"/>
        <v>0</v>
      </c>
      <c r="T983" s="164">
        <f t="shared" si="370"/>
        <v>0</v>
      </c>
      <c r="U983" s="164">
        <f t="shared" si="371"/>
        <v>0</v>
      </c>
      <c r="V983" s="393">
        <f t="shared" si="372"/>
        <v>1415.88</v>
      </c>
      <c r="W983" s="393">
        <f t="shared" si="373"/>
        <v>-1415.88</v>
      </c>
      <c r="Y983" s="393">
        <f t="shared" si="376"/>
        <v>33.25</v>
      </c>
      <c r="Z983" s="393">
        <f t="shared" si="377"/>
        <v>-33.25</v>
      </c>
      <c r="AD983" s="395">
        <f>IF(AH983&gt;AH982,AD982,IF(AD982&lt;MiscData!$F$1,EOMONTH(AD982,1),EOMONTH(AD982,-11)))</f>
        <v>42004</v>
      </c>
      <c r="AE983" s="389" t="str">
        <f t="shared" si="374"/>
        <v>20140101KUUM_373</v>
      </c>
      <c r="AF983" s="437" t="str">
        <f t="shared" si="375"/>
        <v>20140101LS</v>
      </c>
      <c r="AG983" s="438"/>
      <c r="AH983" s="34">
        <f>IF(AH982=MiscData!$AB$91,1,AH982+1)</f>
        <v>14</v>
      </c>
      <c r="AI983" s="34">
        <f>IF(AD983&lt;=MiscData!$B$23,MiscData!$C$23,IF(AD983&lt;=MiscData!$B$24,MiscData!$C$24,MiscData!$C$25))</f>
        <v>20140101</v>
      </c>
      <c r="AK983" s="439" t="str">
        <f>VLOOKUP(AM983,MiscData!$AB$4:$ACB$113,2,FALSE)</f>
        <v>KUUM_373</v>
      </c>
      <c r="AL983" s="439" t="str">
        <f>VLOOKUP(AM983,MiscData!$AB$4:$AE$115,4,FALSE)</f>
        <v>LS</v>
      </c>
      <c r="AM983" s="34">
        <f>IF(AM982=MiscData!$AB$91,1,AM982+1)</f>
        <v>14</v>
      </c>
    </row>
    <row r="984" spans="1:39">
      <c r="A984" s="389">
        <f t="shared" si="378"/>
        <v>983</v>
      </c>
      <c r="B984" s="395" t="str">
        <f t="shared" si="360"/>
        <v>Dec 2014</v>
      </c>
      <c r="C984" s="396" t="str">
        <f t="shared" si="361"/>
        <v>LS</v>
      </c>
      <c r="D984" s="396" t="str">
        <f t="shared" si="362"/>
        <v>KUUM_374</v>
      </c>
      <c r="E984" s="394">
        <f t="shared" si="363"/>
        <v>4</v>
      </c>
      <c r="F984" s="397">
        <v>0</v>
      </c>
      <c r="G984" s="394">
        <f t="shared" si="359"/>
        <v>0</v>
      </c>
      <c r="H984" s="394">
        <v>0</v>
      </c>
      <c r="I984" s="390">
        <f t="shared" si="364"/>
        <v>75.88</v>
      </c>
      <c r="J984" s="390">
        <f t="shared" si="365"/>
        <v>1.75</v>
      </c>
      <c r="K984" s="391">
        <f t="shared" si="379"/>
        <v>303.52</v>
      </c>
      <c r="L984" s="398">
        <v>0</v>
      </c>
      <c r="M984" s="398">
        <v>0</v>
      </c>
      <c r="N984" s="164">
        <f t="shared" si="358"/>
        <v>303.52</v>
      </c>
      <c r="O984" s="399">
        <f t="shared" si="366"/>
        <v>0</v>
      </c>
      <c r="P984" s="392">
        <f t="shared" si="380"/>
        <v>0</v>
      </c>
      <c r="Q984" s="164">
        <f t="shared" si="367"/>
        <v>0</v>
      </c>
      <c r="R984" s="164">
        <f t="shared" si="368"/>
        <v>0</v>
      </c>
      <c r="S984" s="164">
        <f t="shared" si="369"/>
        <v>0</v>
      </c>
      <c r="T984" s="164">
        <f t="shared" si="370"/>
        <v>0</v>
      </c>
      <c r="U984" s="164">
        <f t="shared" si="371"/>
        <v>0</v>
      </c>
      <c r="V984" s="393">
        <f t="shared" si="372"/>
        <v>303.52</v>
      </c>
      <c r="W984" s="393">
        <f t="shared" si="373"/>
        <v>-303.52</v>
      </c>
      <c r="Y984" s="393">
        <f t="shared" si="376"/>
        <v>7</v>
      </c>
      <c r="Z984" s="393">
        <f t="shared" si="377"/>
        <v>-7</v>
      </c>
      <c r="AD984" s="395">
        <f>IF(AH984&gt;AH983,AD983,IF(AD983&lt;MiscData!$F$1,EOMONTH(AD983,1),EOMONTH(AD983,-11)))</f>
        <v>42004</v>
      </c>
      <c r="AE984" s="389" t="str">
        <f t="shared" si="374"/>
        <v>20140101KUUM_374</v>
      </c>
      <c r="AF984" s="437" t="str">
        <f t="shared" si="375"/>
        <v>20140101LS</v>
      </c>
      <c r="AG984" s="438"/>
      <c r="AH984" s="34">
        <f>IF(AH983=MiscData!$AB$91,1,AH983+1)</f>
        <v>15</v>
      </c>
      <c r="AI984" s="34">
        <f>IF(AD984&lt;=MiscData!$B$23,MiscData!$C$23,IF(AD984&lt;=MiscData!$B$24,MiscData!$C$24,MiscData!$C$25))</f>
        <v>20140101</v>
      </c>
      <c r="AK984" s="439" t="str">
        <f>VLOOKUP(AM984,MiscData!$AB$4:$ACB$113,2,FALSE)</f>
        <v>KUUM_374</v>
      </c>
      <c r="AL984" s="439" t="str">
        <f>VLOOKUP(AM984,MiscData!$AB$4:$AE$115,4,FALSE)</f>
        <v>LS</v>
      </c>
      <c r="AM984" s="34">
        <f>IF(AM983=MiscData!$AB$91,1,AM983+1)</f>
        <v>15</v>
      </c>
    </row>
    <row r="985" spans="1:39">
      <c r="A985" s="389">
        <f t="shared" si="378"/>
        <v>984</v>
      </c>
      <c r="B985" s="395" t="str">
        <f t="shared" si="360"/>
        <v>Dec 2014</v>
      </c>
      <c r="C985" s="396" t="str">
        <f t="shared" si="361"/>
        <v>LS</v>
      </c>
      <c r="D985" s="396" t="str">
        <f t="shared" si="362"/>
        <v>KUUM_375</v>
      </c>
      <c r="E985" s="394">
        <f t="shared" si="363"/>
        <v>3</v>
      </c>
      <c r="F985" s="397">
        <v>0</v>
      </c>
      <c r="G985" s="394">
        <f t="shared" si="359"/>
        <v>0</v>
      </c>
      <c r="H985" s="394">
        <v>0</v>
      </c>
      <c r="I985" s="390">
        <f t="shared" si="364"/>
        <v>78.97</v>
      </c>
      <c r="J985" s="390">
        <f t="shared" si="365"/>
        <v>1.75</v>
      </c>
      <c r="K985" s="391">
        <f t="shared" si="379"/>
        <v>236.91</v>
      </c>
      <c r="L985" s="398">
        <v>0</v>
      </c>
      <c r="M985" s="398">
        <v>0</v>
      </c>
      <c r="N985" s="164">
        <f t="shared" si="358"/>
        <v>236.91</v>
      </c>
      <c r="O985" s="399">
        <f t="shared" si="366"/>
        <v>0</v>
      </c>
      <c r="P985" s="392">
        <f t="shared" si="380"/>
        <v>0</v>
      </c>
      <c r="Q985" s="164">
        <f t="shared" si="367"/>
        <v>0</v>
      </c>
      <c r="R985" s="164">
        <f t="shared" si="368"/>
        <v>0</v>
      </c>
      <c r="S985" s="164">
        <f t="shared" si="369"/>
        <v>0</v>
      </c>
      <c r="T985" s="164">
        <f t="shared" si="370"/>
        <v>0</v>
      </c>
      <c r="U985" s="164">
        <f t="shared" si="371"/>
        <v>0</v>
      </c>
      <c r="V985" s="393">
        <f t="shared" si="372"/>
        <v>236.91</v>
      </c>
      <c r="W985" s="393">
        <f t="shared" si="373"/>
        <v>-236.91</v>
      </c>
      <c r="Y985" s="393">
        <f t="shared" si="376"/>
        <v>5.25</v>
      </c>
      <c r="Z985" s="393">
        <f t="shared" si="377"/>
        <v>-5.25</v>
      </c>
      <c r="AD985" s="395">
        <f>IF(AH985&gt;AH984,AD984,IF(AD984&lt;MiscData!$F$1,EOMONTH(AD984,1),EOMONTH(AD984,-11)))</f>
        <v>42004</v>
      </c>
      <c r="AE985" s="389" t="str">
        <f t="shared" si="374"/>
        <v>20140101KUUM_375</v>
      </c>
      <c r="AF985" s="437" t="str">
        <f t="shared" si="375"/>
        <v>20140101LS</v>
      </c>
      <c r="AG985" s="438"/>
      <c r="AH985" s="34">
        <f>IF(AH984=MiscData!$AB$91,1,AH984+1)</f>
        <v>16</v>
      </c>
      <c r="AI985" s="34">
        <f>IF(AD985&lt;=MiscData!$B$23,MiscData!$C$23,IF(AD985&lt;=MiscData!$B$24,MiscData!$C$24,MiscData!$C$25))</f>
        <v>20140101</v>
      </c>
      <c r="AK985" s="439" t="str">
        <f>VLOOKUP(AM985,MiscData!$AB$4:$ACB$113,2,FALSE)</f>
        <v>KUUM_375</v>
      </c>
      <c r="AL985" s="439" t="str">
        <f>VLOOKUP(AM985,MiscData!$AB$4:$AE$115,4,FALSE)</f>
        <v>LS</v>
      </c>
      <c r="AM985" s="34">
        <f>IF(AM984=MiscData!$AB$91,1,AM984+1)</f>
        <v>16</v>
      </c>
    </row>
    <row r="986" spans="1:39">
      <c r="A986" s="389">
        <f t="shared" si="378"/>
        <v>985</v>
      </c>
      <c r="B986" s="395" t="str">
        <f t="shared" si="360"/>
        <v>Dec 2014</v>
      </c>
      <c r="C986" s="396" t="str">
        <f t="shared" si="361"/>
        <v>LS</v>
      </c>
      <c r="D986" s="396" t="str">
        <f t="shared" si="362"/>
        <v>KUUM_376</v>
      </c>
      <c r="E986" s="394">
        <f t="shared" si="363"/>
        <v>2</v>
      </c>
      <c r="F986" s="397">
        <v>0</v>
      </c>
      <c r="G986" s="394">
        <f t="shared" si="359"/>
        <v>0</v>
      </c>
      <c r="H986" s="394">
        <v>0</v>
      </c>
      <c r="I986" s="390">
        <f t="shared" si="364"/>
        <v>77.259999999999991</v>
      </c>
      <c r="J986" s="390">
        <f t="shared" si="365"/>
        <v>1.75</v>
      </c>
      <c r="K986" s="391">
        <f t="shared" si="379"/>
        <v>154.52000000000001</v>
      </c>
      <c r="L986" s="398">
        <v>0</v>
      </c>
      <c r="M986" s="398">
        <v>0</v>
      </c>
      <c r="N986" s="164">
        <f t="shared" si="358"/>
        <v>154.52000000000001</v>
      </c>
      <c r="O986" s="399">
        <f t="shared" si="366"/>
        <v>0</v>
      </c>
      <c r="P986" s="392">
        <f t="shared" si="380"/>
        <v>0</v>
      </c>
      <c r="Q986" s="164">
        <f t="shared" si="367"/>
        <v>0</v>
      </c>
      <c r="R986" s="164">
        <f t="shared" si="368"/>
        <v>0</v>
      </c>
      <c r="S986" s="164">
        <f t="shared" si="369"/>
        <v>0</v>
      </c>
      <c r="T986" s="164">
        <f t="shared" si="370"/>
        <v>0</v>
      </c>
      <c r="U986" s="164">
        <f t="shared" si="371"/>
        <v>0</v>
      </c>
      <c r="V986" s="393">
        <f t="shared" si="372"/>
        <v>154.52000000000001</v>
      </c>
      <c r="W986" s="393">
        <f t="shared" si="373"/>
        <v>-154.52000000000001</v>
      </c>
      <c r="Y986" s="393">
        <f t="shared" si="376"/>
        <v>3.5</v>
      </c>
      <c r="Z986" s="393">
        <f t="shared" si="377"/>
        <v>-3.5</v>
      </c>
      <c r="AD986" s="395">
        <f>IF(AH986&gt;AH985,AD985,IF(AD985&lt;MiscData!$F$1,EOMONTH(AD985,1),EOMONTH(AD985,-11)))</f>
        <v>42004</v>
      </c>
      <c r="AE986" s="389" t="str">
        <f t="shared" si="374"/>
        <v>20140101KUUM_376</v>
      </c>
      <c r="AF986" s="437" t="str">
        <f t="shared" si="375"/>
        <v>20140101LS</v>
      </c>
      <c r="AG986" s="438"/>
      <c r="AH986" s="34">
        <f>IF(AH985=MiscData!$AB$91,1,AH985+1)</f>
        <v>17</v>
      </c>
      <c r="AI986" s="34">
        <f>IF(AD986&lt;=MiscData!$B$23,MiscData!$C$23,IF(AD986&lt;=MiscData!$B$24,MiscData!$C$24,MiscData!$C$25))</f>
        <v>20140101</v>
      </c>
      <c r="AK986" s="439" t="str">
        <f>VLOOKUP(AM986,MiscData!$AB$4:$ACB$113,2,FALSE)</f>
        <v>KUUM_376</v>
      </c>
      <c r="AL986" s="439" t="str">
        <f>VLOOKUP(AM986,MiscData!$AB$4:$AE$115,4,FALSE)</f>
        <v>LS</v>
      </c>
      <c r="AM986" s="34">
        <f>IF(AM985=MiscData!$AB$91,1,AM985+1)</f>
        <v>17</v>
      </c>
    </row>
    <row r="987" spans="1:39">
      <c r="A987" s="389">
        <f t="shared" si="378"/>
        <v>986</v>
      </c>
      <c r="B987" s="395" t="str">
        <f t="shared" si="360"/>
        <v>Dec 2014</v>
      </c>
      <c r="C987" s="396" t="str">
        <f t="shared" si="361"/>
        <v>LS</v>
      </c>
      <c r="D987" s="396" t="str">
        <f t="shared" si="362"/>
        <v>KUUM_377</v>
      </c>
      <c r="E987" s="394">
        <f t="shared" si="363"/>
        <v>52</v>
      </c>
      <c r="F987" s="397">
        <v>0</v>
      </c>
      <c r="G987" s="394">
        <f t="shared" si="359"/>
        <v>0</v>
      </c>
      <c r="H987" s="394">
        <v>0</v>
      </c>
      <c r="I987" s="390">
        <f t="shared" si="364"/>
        <v>64.19</v>
      </c>
      <c r="J987" s="390">
        <f t="shared" si="365"/>
        <v>1.75</v>
      </c>
      <c r="K987" s="391">
        <f t="shared" si="379"/>
        <v>3337.88</v>
      </c>
      <c r="L987" s="398">
        <v>0</v>
      </c>
      <c r="M987" s="398">
        <v>0</v>
      </c>
      <c r="N987" s="164">
        <f t="shared" si="358"/>
        <v>3337.88</v>
      </c>
      <c r="O987" s="399">
        <f t="shared" si="366"/>
        <v>0</v>
      </c>
      <c r="P987" s="392">
        <f t="shared" si="380"/>
        <v>0</v>
      </c>
      <c r="Q987" s="164">
        <f t="shared" si="367"/>
        <v>0</v>
      </c>
      <c r="R987" s="164">
        <f t="shared" si="368"/>
        <v>0</v>
      </c>
      <c r="S987" s="164">
        <f t="shared" si="369"/>
        <v>0</v>
      </c>
      <c r="T987" s="164">
        <f t="shared" si="370"/>
        <v>0</v>
      </c>
      <c r="U987" s="164">
        <f t="shared" si="371"/>
        <v>0</v>
      </c>
      <c r="V987" s="393">
        <f t="shared" si="372"/>
        <v>3337.88</v>
      </c>
      <c r="W987" s="393">
        <f t="shared" si="373"/>
        <v>-3337.88</v>
      </c>
      <c r="Y987" s="393">
        <f t="shared" si="376"/>
        <v>91</v>
      </c>
      <c r="Z987" s="393">
        <f t="shared" si="377"/>
        <v>-91</v>
      </c>
      <c r="AD987" s="395">
        <f>IF(AH987&gt;AH986,AD986,IF(AD986&lt;MiscData!$F$1,EOMONTH(AD986,1),EOMONTH(AD986,-11)))</f>
        <v>42004</v>
      </c>
      <c r="AE987" s="389" t="str">
        <f t="shared" si="374"/>
        <v>20140101KUUM_377</v>
      </c>
      <c r="AF987" s="437" t="str">
        <f t="shared" si="375"/>
        <v>20140101LS</v>
      </c>
      <c r="AG987" s="438"/>
      <c r="AH987" s="34">
        <f>IF(AH986=MiscData!$AB$91,1,AH986+1)</f>
        <v>18</v>
      </c>
      <c r="AI987" s="34">
        <f>IF(AD987&lt;=MiscData!$B$23,MiscData!$C$23,IF(AD987&lt;=MiscData!$B$24,MiscData!$C$24,MiscData!$C$25))</f>
        <v>20140101</v>
      </c>
      <c r="AK987" s="439" t="str">
        <f>VLOOKUP(AM987,MiscData!$AB$4:$ACB$113,2,FALSE)</f>
        <v>KUUM_377</v>
      </c>
      <c r="AL987" s="439" t="str">
        <f>VLOOKUP(AM987,MiscData!$AB$4:$AE$115,4,FALSE)</f>
        <v>LS</v>
      </c>
      <c r="AM987" s="34">
        <f>IF(AM986=MiscData!$AB$91,1,AM986+1)</f>
        <v>18</v>
      </c>
    </row>
    <row r="988" spans="1:39">
      <c r="A988" s="389">
        <f t="shared" si="378"/>
        <v>987</v>
      </c>
      <c r="B988" s="395" t="str">
        <f t="shared" si="360"/>
        <v>Dec 2014</v>
      </c>
      <c r="C988" s="396" t="str">
        <f t="shared" si="361"/>
        <v>LS</v>
      </c>
      <c r="D988" s="396" t="str">
        <f t="shared" si="362"/>
        <v>KUUM_378</v>
      </c>
      <c r="E988" s="394">
        <f t="shared" si="363"/>
        <v>2</v>
      </c>
      <c r="F988" s="397">
        <v>0</v>
      </c>
      <c r="G988" s="394">
        <f t="shared" si="359"/>
        <v>0</v>
      </c>
      <c r="H988" s="394">
        <v>0</v>
      </c>
      <c r="I988" s="390">
        <f t="shared" si="364"/>
        <v>75.899999999999991</v>
      </c>
      <c r="J988" s="390">
        <f t="shared" si="365"/>
        <v>1.75</v>
      </c>
      <c r="K988" s="391">
        <f t="shared" si="379"/>
        <v>151.80000000000001</v>
      </c>
      <c r="L988" s="398">
        <v>0</v>
      </c>
      <c r="M988" s="398">
        <v>0</v>
      </c>
      <c r="N988" s="164">
        <f t="shared" si="358"/>
        <v>151.80000000000001</v>
      </c>
      <c r="O988" s="399">
        <f t="shared" si="366"/>
        <v>0</v>
      </c>
      <c r="P988" s="392">
        <f t="shared" si="380"/>
        <v>0</v>
      </c>
      <c r="Q988" s="164">
        <f t="shared" si="367"/>
        <v>0</v>
      </c>
      <c r="R988" s="164">
        <f t="shared" si="368"/>
        <v>0</v>
      </c>
      <c r="S988" s="164">
        <f t="shared" si="369"/>
        <v>0</v>
      </c>
      <c r="T988" s="164">
        <f t="shared" si="370"/>
        <v>0</v>
      </c>
      <c r="U988" s="164">
        <f t="shared" si="371"/>
        <v>0</v>
      </c>
      <c r="V988" s="393">
        <f t="shared" si="372"/>
        <v>151.80000000000001</v>
      </c>
      <c r="W988" s="393">
        <f t="shared" si="373"/>
        <v>-151.80000000000001</v>
      </c>
      <c r="Y988" s="393">
        <f t="shared" si="376"/>
        <v>3.5</v>
      </c>
      <c r="Z988" s="393">
        <f t="shared" si="377"/>
        <v>-3.5</v>
      </c>
      <c r="AD988" s="395">
        <f>IF(AH988&gt;AH987,AD987,IF(AD987&lt;MiscData!$F$1,EOMONTH(AD987,1),EOMONTH(AD987,-11)))</f>
        <v>42004</v>
      </c>
      <c r="AE988" s="389" t="str">
        <f t="shared" si="374"/>
        <v>20140101KUUM_378</v>
      </c>
      <c r="AF988" s="437" t="str">
        <f t="shared" si="375"/>
        <v>20140101LS</v>
      </c>
      <c r="AG988" s="438"/>
      <c r="AH988" s="34">
        <f>IF(AH987=MiscData!$AB$91,1,AH987+1)</f>
        <v>19</v>
      </c>
      <c r="AI988" s="34">
        <f>IF(AD988&lt;=MiscData!$B$23,MiscData!$C$23,IF(AD988&lt;=MiscData!$B$24,MiscData!$C$24,MiscData!$C$25))</f>
        <v>20140101</v>
      </c>
      <c r="AK988" s="439" t="str">
        <f>VLOOKUP(AM988,MiscData!$AB$4:$ACB$113,2,FALSE)</f>
        <v>KUUM_378</v>
      </c>
      <c r="AL988" s="439" t="str">
        <f>VLOOKUP(AM988,MiscData!$AB$4:$AE$115,4,FALSE)</f>
        <v>LS</v>
      </c>
      <c r="AM988" s="34">
        <f>IF(AM987=MiscData!$AB$91,1,AM987+1)</f>
        <v>19</v>
      </c>
    </row>
    <row r="989" spans="1:39">
      <c r="A989" s="389">
        <f t="shared" si="378"/>
        <v>988</v>
      </c>
      <c r="B989" s="395" t="str">
        <f t="shared" si="360"/>
        <v>Dec 2014</v>
      </c>
      <c r="C989" s="396" t="str">
        <f t="shared" si="361"/>
        <v>LS</v>
      </c>
      <c r="D989" s="396" t="str">
        <f t="shared" si="362"/>
        <v>KUUM_401</v>
      </c>
      <c r="E989" s="394">
        <f t="shared" si="363"/>
        <v>51</v>
      </c>
      <c r="F989" s="397">
        <v>0</v>
      </c>
      <c r="G989" s="394">
        <f t="shared" si="359"/>
        <v>0</v>
      </c>
      <c r="H989" s="394">
        <v>0</v>
      </c>
      <c r="I989" s="390">
        <f t="shared" si="364"/>
        <v>14.860000000000001</v>
      </c>
      <c r="J989" s="390">
        <f t="shared" si="365"/>
        <v>0.80000000000000071</v>
      </c>
      <c r="K989" s="391">
        <f t="shared" si="379"/>
        <v>757.86</v>
      </c>
      <c r="L989" s="398">
        <v>0</v>
      </c>
      <c r="M989" s="398">
        <v>0</v>
      </c>
      <c r="N989" s="164">
        <f t="shared" si="358"/>
        <v>757.86</v>
      </c>
      <c r="O989" s="399">
        <f t="shared" si="366"/>
        <v>0</v>
      </c>
      <c r="P989" s="392">
        <f t="shared" si="380"/>
        <v>0</v>
      </c>
      <c r="Q989" s="164">
        <f t="shared" si="367"/>
        <v>0</v>
      </c>
      <c r="R989" s="164">
        <f t="shared" si="368"/>
        <v>0</v>
      </c>
      <c r="S989" s="164">
        <f t="shared" si="369"/>
        <v>0</v>
      </c>
      <c r="T989" s="164">
        <f t="shared" si="370"/>
        <v>0</v>
      </c>
      <c r="U989" s="164">
        <f t="shared" si="371"/>
        <v>0</v>
      </c>
      <c r="V989" s="393">
        <f t="shared" si="372"/>
        <v>757.86</v>
      </c>
      <c r="W989" s="393">
        <f t="shared" si="373"/>
        <v>-757.86</v>
      </c>
      <c r="Y989" s="393">
        <f t="shared" si="376"/>
        <v>40.799999999999997</v>
      </c>
      <c r="Z989" s="393">
        <f t="shared" si="377"/>
        <v>-40.799999999999997</v>
      </c>
      <c r="AD989" s="395">
        <f>IF(AH989&gt;AH988,AD988,IF(AD988&lt;MiscData!$F$1,EOMONTH(AD988,1),EOMONTH(AD988,-11)))</f>
        <v>42004</v>
      </c>
      <c r="AE989" s="389" t="str">
        <f t="shared" si="374"/>
        <v>20140101KUUM_401</v>
      </c>
      <c r="AF989" s="437" t="str">
        <f t="shared" si="375"/>
        <v>20140101LS</v>
      </c>
      <c r="AG989" s="438"/>
      <c r="AH989" s="34">
        <f>IF(AH988=MiscData!$AB$91,1,AH988+1)</f>
        <v>20</v>
      </c>
      <c r="AI989" s="34">
        <f>IF(AD989&lt;=MiscData!$B$23,MiscData!$C$23,IF(AD989&lt;=MiscData!$B$24,MiscData!$C$24,MiscData!$C$25))</f>
        <v>20140101</v>
      </c>
      <c r="AK989" s="439" t="str">
        <f>VLOOKUP(AM989,MiscData!$AB$4:$ACB$113,2,FALSE)</f>
        <v>KUUM_401</v>
      </c>
      <c r="AL989" s="439" t="str">
        <f>VLOOKUP(AM989,MiscData!$AB$4:$AE$115,4,FALSE)</f>
        <v>LS</v>
      </c>
      <c r="AM989" s="34">
        <f>IF(AM988=MiscData!$AB$91,1,AM988+1)</f>
        <v>20</v>
      </c>
    </row>
    <row r="990" spans="1:39">
      <c r="A990" s="389">
        <f t="shared" si="378"/>
        <v>989</v>
      </c>
      <c r="B990" s="395" t="str">
        <f t="shared" si="360"/>
        <v>Dec 2014</v>
      </c>
      <c r="C990" s="396" t="str">
        <f t="shared" si="361"/>
        <v>RLS</v>
      </c>
      <c r="D990" s="396" t="str">
        <f t="shared" si="362"/>
        <v>KUUM_404</v>
      </c>
      <c r="E990" s="394">
        <f t="shared" si="363"/>
        <v>7056</v>
      </c>
      <c r="F990" s="397">
        <v>0</v>
      </c>
      <c r="G990" s="394">
        <f t="shared" si="359"/>
        <v>0</v>
      </c>
      <c r="H990" s="394">
        <v>0</v>
      </c>
      <c r="I990" s="390">
        <f t="shared" si="364"/>
        <v>10.570000000000002</v>
      </c>
      <c r="J990" s="390">
        <f t="shared" si="365"/>
        <v>1.9900000000000002</v>
      </c>
      <c r="K990" s="391">
        <f t="shared" si="379"/>
        <v>74581.919999999998</v>
      </c>
      <c r="L990" s="398">
        <v>0</v>
      </c>
      <c r="M990" s="398">
        <v>0</v>
      </c>
      <c r="N990" s="164">
        <f t="shared" si="358"/>
        <v>74581.919999999998</v>
      </c>
      <c r="O990" s="399">
        <f t="shared" si="366"/>
        <v>0</v>
      </c>
      <c r="P990" s="392">
        <f t="shared" si="380"/>
        <v>0</v>
      </c>
      <c r="Q990" s="164">
        <f t="shared" si="367"/>
        <v>0</v>
      </c>
      <c r="R990" s="164">
        <f t="shared" si="368"/>
        <v>0</v>
      </c>
      <c r="S990" s="164">
        <f t="shared" si="369"/>
        <v>0</v>
      </c>
      <c r="T990" s="164">
        <f t="shared" si="370"/>
        <v>0</v>
      </c>
      <c r="U990" s="164">
        <f t="shared" si="371"/>
        <v>0</v>
      </c>
      <c r="V990" s="393">
        <f t="shared" si="372"/>
        <v>74581.919999999998</v>
      </c>
      <c r="W990" s="393">
        <f t="shared" si="373"/>
        <v>-74581.919999999998</v>
      </c>
      <c r="Y990" s="393">
        <f t="shared" si="376"/>
        <v>14041.44</v>
      </c>
      <c r="Z990" s="393">
        <f t="shared" si="377"/>
        <v>-14041.44</v>
      </c>
      <c r="AD990" s="395">
        <f>IF(AH990&gt;AH989,AD989,IF(AD989&lt;MiscData!$F$1,EOMONTH(AD989,1),EOMONTH(AD989,-11)))</f>
        <v>42004</v>
      </c>
      <c r="AE990" s="389" t="str">
        <f t="shared" si="374"/>
        <v>20140101KUUM_404</v>
      </c>
      <c r="AF990" s="437" t="str">
        <f t="shared" si="375"/>
        <v>20140101RLS</v>
      </c>
      <c r="AG990" s="438"/>
      <c r="AH990" s="34">
        <f>IF(AH989=MiscData!$AB$91,1,AH989+1)</f>
        <v>21</v>
      </c>
      <c r="AI990" s="34">
        <f>IF(AD990&lt;=MiscData!$B$23,MiscData!$C$23,IF(AD990&lt;=MiscData!$B$24,MiscData!$C$24,MiscData!$C$25))</f>
        <v>20140101</v>
      </c>
      <c r="AK990" s="439" t="str">
        <f>VLOOKUP(AM990,MiscData!$AB$4:$ACB$113,2,FALSE)</f>
        <v>KUUM_404</v>
      </c>
      <c r="AL990" s="439" t="str">
        <f>VLOOKUP(AM990,MiscData!$AB$4:$AE$115,4,FALSE)</f>
        <v>RLS</v>
      </c>
      <c r="AM990" s="34">
        <f>IF(AM989=MiscData!$AB$91,1,AM989+1)</f>
        <v>21</v>
      </c>
    </row>
    <row r="991" spans="1:39">
      <c r="A991" s="389">
        <f t="shared" si="378"/>
        <v>990</v>
      </c>
      <c r="B991" s="395" t="str">
        <f t="shared" si="360"/>
        <v>Dec 2014</v>
      </c>
      <c r="C991" s="396" t="str">
        <f t="shared" si="361"/>
        <v>RLS</v>
      </c>
      <c r="D991" s="396" t="str">
        <f t="shared" si="362"/>
        <v>KUUM_405</v>
      </c>
      <c r="E991" s="394">
        <f t="shared" si="363"/>
        <v>0</v>
      </c>
      <c r="F991" s="397">
        <v>0</v>
      </c>
      <c r="G991" s="394">
        <f t="shared" si="359"/>
        <v>0</v>
      </c>
      <c r="H991" s="394">
        <v>0</v>
      </c>
      <c r="I991" s="390">
        <f t="shared" si="364"/>
        <v>0</v>
      </c>
      <c r="J991" s="390">
        <f t="shared" si="365"/>
        <v>0</v>
      </c>
      <c r="K991" s="391">
        <f t="shared" si="379"/>
        <v>0</v>
      </c>
      <c r="L991" s="398">
        <v>0</v>
      </c>
      <c r="M991" s="398">
        <v>0</v>
      </c>
      <c r="N991" s="164">
        <f t="shared" si="358"/>
        <v>0</v>
      </c>
      <c r="O991" s="399">
        <f t="shared" si="366"/>
        <v>0</v>
      </c>
      <c r="P991" s="392">
        <f t="shared" si="380"/>
        <v>1</v>
      </c>
      <c r="Q991" s="164">
        <f t="shared" si="367"/>
        <v>0</v>
      </c>
      <c r="R991" s="164">
        <f t="shared" si="368"/>
        <v>0</v>
      </c>
      <c r="S991" s="164">
        <f t="shared" si="369"/>
        <v>0</v>
      </c>
      <c r="T991" s="164">
        <f t="shared" si="370"/>
        <v>0</v>
      </c>
      <c r="U991" s="164">
        <f t="shared" si="371"/>
        <v>0</v>
      </c>
      <c r="V991" s="393">
        <f t="shared" si="372"/>
        <v>0</v>
      </c>
      <c r="W991" s="393">
        <f t="shared" si="373"/>
        <v>0</v>
      </c>
      <c r="Y991" s="393">
        <f t="shared" si="376"/>
        <v>0</v>
      </c>
      <c r="Z991" s="393">
        <f t="shared" si="377"/>
        <v>0</v>
      </c>
      <c r="AD991" s="395">
        <f>IF(AH991&gt;AH990,AD990,IF(AD990&lt;MiscData!$F$1,EOMONTH(AD990,1),EOMONTH(AD990,-11)))</f>
        <v>42004</v>
      </c>
      <c r="AE991" s="389" t="str">
        <f t="shared" si="374"/>
        <v>20140101KUUM_405</v>
      </c>
      <c r="AF991" s="437" t="str">
        <f t="shared" si="375"/>
        <v>20140101RLS</v>
      </c>
      <c r="AG991" s="438"/>
      <c r="AH991" s="34">
        <f>IF(AH990=MiscData!$AB$91,1,AH990+1)</f>
        <v>22</v>
      </c>
      <c r="AI991" s="34">
        <f>IF(AD991&lt;=MiscData!$B$23,MiscData!$C$23,IF(AD991&lt;=MiscData!$B$24,MiscData!$C$24,MiscData!$C$25))</f>
        <v>20140101</v>
      </c>
      <c r="AK991" s="439" t="str">
        <f>VLOOKUP(AM991,MiscData!$AB$4:$ACB$113,2,FALSE)</f>
        <v>KUUM_405</v>
      </c>
      <c r="AL991" s="439" t="str">
        <f>VLOOKUP(AM991,MiscData!$AB$4:$AE$115,4,FALSE)</f>
        <v>RLS</v>
      </c>
      <c r="AM991" s="34">
        <f>IF(AM990=MiscData!$AB$91,1,AM990+1)</f>
        <v>22</v>
      </c>
    </row>
    <row r="992" spans="1:39">
      <c r="A992" s="389">
        <f t="shared" si="378"/>
        <v>991</v>
      </c>
      <c r="B992" s="395" t="str">
        <f t="shared" si="360"/>
        <v>Dec 2014</v>
      </c>
      <c r="C992" s="396" t="str">
        <f t="shared" si="361"/>
        <v>LS</v>
      </c>
      <c r="D992" s="396" t="str">
        <f t="shared" si="362"/>
        <v>KUUM_407</v>
      </c>
      <c r="E992" s="394">
        <f t="shared" si="363"/>
        <v>0</v>
      </c>
      <c r="F992" s="397">
        <v>0</v>
      </c>
      <c r="G992" s="394">
        <f t="shared" si="359"/>
        <v>0</v>
      </c>
      <c r="H992" s="394">
        <v>0</v>
      </c>
      <c r="I992" s="390">
        <f t="shared" si="364"/>
        <v>0</v>
      </c>
      <c r="J992" s="390">
        <f t="shared" si="365"/>
        <v>0</v>
      </c>
      <c r="K992" s="391">
        <f t="shared" si="379"/>
        <v>0</v>
      </c>
      <c r="L992" s="398">
        <v>0</v>
      </c>
      <c r="M992" s="398">
        <v>0</v>
      </c>
      <c r="N992" s="164">
        <f t="shared" si="358"/>
        <v>0</v>
      </c>
      <c r="O992" s="399">
        <f t="shared" si="366"/>
        <v>0</v>
      </c>
      <c r="P992" s="392">
        <f t="shared" si="380"/>
        <v>1</v>
      </c>
      <c r="Q992" s="164">
        <f t="shared" si="367"/>
        <v>0</v>
      </c>
      <c r="R992" s="164">
        <f t="shared" si="368"/>
        <v>0</v>
      </c>
      <c r="S992" s="164">
        <f t="shared" si="369"/>
        <v>0</v>
      </c>
      <c r="T992" s="164">
        <f t="shared" si="370"/>
        <v>0</v>
      </c>
      <c r="U992" s="164">
        <f t="shared" si="371"/>
        <v>0</v>
      </c>
      <c r="V992" s="393">
        <f t="shared" si="372"/>
        <v>0</v>
      </c>
      <c r="W992" s="393">
        <f t="shared" si="373"/>
        <v>0</v>
      </c>
      <c r="Y992" s="393">
        <f t="shared" si="376"/>
        <v>0</v>
      </c>
      <c r="Z992" s="393">
        <f t="shared" si="377"/>
        <v>0</v>
      </c>
      <c r="AD992" s="395">
        <f>IF(AH992&gt;AH991,AD991,IF(AD991&lt;MiscData!$F$1,EOMONTH(AD991,1),EOMONTH(AD991,-11)))</f>
        <v>42004</v>
      </c>
      <c r="AE992" s="389" t="str">
        <f t="shared" si="374"/>
        <v>20140101KUUM_407</v>
      </c>
      <c r="AF992" s="437" t="str">
        <f t="shared" si="375"/>
        <v>20140101LS</v>
      </c>
      <c r="AG992" s="438"/>
      <c r="AH992" s="34">
        <f>IF(AH991=MiscData!$AB$91,1,AH991+1)</f>
        <v>23</v>
      </c>
      <c r="AI992" s="34">
        <f>IF(AD992&lt;=MiscData!$B$23,MiscData!$C$23,IF(AD992&lt;=MiscData!$B$24,MiscData!$C$24,MiscData!$C$25))</f>
        <v>20140101</v>
      </c>
      <c r="AK992" s="439" t="str">
        <f>VLOOKUP(AM992,MiscData!$AB$4:$ACB$113,2,FALSE)</f>
        <v>KUUM_407</v>
      </c>
      <c r="AL992" s="439" t="str">
        <f>VLOOKUP(AM992,MiscData!$AB$4:$AE$115,4,FALSE)</f>
        <v>LS</v>
      </c>
      <c r="AM992" s="34">
        <f>IF(AM991=MiscData!$AB$91,1,AM991+1)</f>
        <v>23</v>
      </c>
    </row>
    <row r="993" spans="1:39">
      <c r="A993" s="389">
        <f t="shared" si="378"/>
        <v>992</v>
      </c>
      <c r="B993" s="395" t="str">
        <f t="shared" si="360"/>
        <v>Dec 2014</v>
      </c>
      <c r="C993" s="396" t="str">
        <f t="shared" si="361"/>
        <v>RLS</v>
      </c>
      <c r="D993" s="396" t="str">
        <f t="shared" si="362"/>
        <v>KUUM_409</v>
      </c>
      <c r="E993" s="394">
        <f t="shared" si="363"/>
        <v>130</v>
      </c>
      <c r="F993" s="397">
        <v>0</v>
      </c>
      <c r="G993" s="394">
        <f t="shared" si="359"/>
        <v>0</v>
      </c>
      <c r="H993" s="394">
        <v>0</v>
      </c>
      <c r="I993" s="390">
        <f t="shared" si="364"/>
        <v>11.71</v>
      </c>
      <c r="J993" s="390">
        <f t="shared" si="365"/>
        <v>4.5299999999999994</v>
      </c>
      <c r="K993" s="391">
        <f t="shared" si="379"/>
        <v>1522.3</v>
      </c>
      <c r="L993" s="398">
        <v>0</v>
      </c>
      <c r="M993" s="398">
        <v>0</v>
      </c>
      <c r="N993" s="164">
        <f t="shared" si="358"/>
        <v>1522.3</v>
      </c>
      <c r="O993" s="399">
        <f t="shared" si="366"/>
        <v>0</v>
      </c>
      <c r="P993" s="392">
        <f t="shared" si="380"/>
        <v>0</v>
      </c>
      <c r="Q993" s="164">
        <f t="shared" si="367"/>
        <v>0</v>
      </c>
      <c r="R993" s="164">
        <f t="shared" si="368"/>
        <v>0</v>
      </c>
      <c r="S993" s="164">
        <f t="shared" si="369"/>
        <v>0</v>
      </c>
      <c r="T993" s="164">
        <f t="shared" si="370"/>
        <v>0</v>
      </c>
      <c r="U993" s="164">
        <f t="shared" si="371"/>
        <v>0</v>
      </c>
      <c r="V993" s="393">
        <f t="shared" si="372"/>
        <v>1522.3</v>
      </c>
      <c r="W993" s="393">
        <f t="shared" si="373"/>
        <v>-1522.3</v>
      </c>
      <c r="Y993" s="393">
        <f t="shared" si="376"/>
        <v>588.9</v>
      </c>
      <c r="Z993" s="393">
        <f t="shared" si="377"/>
        <v>-588.9</v>
      </c>
      <c r="AD993" s="395">
        <f>IF(AH993&gt;AH992,AD992,IF(AD992&lt;MiscData!$F$1,EOMONTH(AD992,1),EOMONTH(AD992,-11)))</f>
        <v>42004</v>
      </c>
      <c r="AE993" s="389" t="str">
        <f t="shared" si="374"/>
        <v>20140101KUUM_409</v>
      </c>
      <c r="AF993" s="437" t="str">
        <f t="shared" si="375"/>
        <v>20140101RLS</v>
      </c>
      <c r="AG993" s="438"/>
      <c r="AH993" s="34">
        <f>IF(AH992=MiscData!$AB$91,1,AH992+1)</f>
        <v>24</v>
      </c>
      <c r="AI993" s="34">
        <f>IF(AD993&lt;=MiscData!$B$23,MiscData!$C$23,IF(AD993&lt;=MiscData!$B$24,MiscData!$C$24,MiscData!$C$25))</f>
        <v>20140101</v>
      </c>
      <c r="AK993" s="439" t="str">
        <f>VLOOKUP(AM993,MiscData!$AB$4:$ACB$113,2,FALSE)</f>
        <v>KUUM_409</v>
      </c>
      <c r="AL993" s="439" t="str">
        <f>VLOOKUP(AM993,MiscData!$AB$4:$AE$115,4,FALSE)</f>
        <v>RLS</v>
      </c>
      <c r="AM993" s="34">
        <f>IF(AM992=MiscData!$AB$91,1,AM992+1)</f>
        <v>24</v>
      </c>
    </row>
    <row r="994" spans="1:39">
      <c r="A994" s="389">
        <f t="shared" si="378"/>
        <v>993</v>
      </c>
      <c r="B994" s="395" t="str">
        <f t="shared" si="360"/>
        <v>Dec 2014</v>
      </c>
      <c r="C994" s="396" t="str">
        <f t="shared" si="361"/>
        <v>RLS</v>
      </c>
      <c r="D994" s="396" t="str">
        <f t="shared" si="362"/>
        <v>KUUM_410</v>
      </c>
      <c r="E994" s="394">
        <f t="shared" si="363"/>
        <v>236</v>
      </c>
      <c r="F994" s="397">
        <v>0</v>
      </c>
      <c r="G994" s="394">
        <f t="shared" si="359"/>
        <v>0</v>
      </c>
      <c r="H994" s="394">
        <v>0</v>
      </c>
      <c r="I994" s="390">
        <f t="shared" si="364"/>
        <v>20.259999999999998</v>
      </c>
      <c r="J994" s="390">
        <f t="shared" si="365"/>
        <v>0.57000000000000028</v>
      </c>
      <c r="K994" s="391">
        <f t="shared" si="379"/>
        <v>4781.3599999999997</v>
      </c>
      <c r="L994" s="398">
        <v>0</v>
      </c>
      <c r="M994" s="398">
        <v>0</v>
      </c>
      <c r="N994" s="164">
        <f t="shared" si="358"/>
        <v>4781.3599999999997</v>
      </c>
      <c r="O994" s="399">
        <f t="shared" si="366"/>
        <v>0</v>
      </c>
      <c r="P994" s="392">
        <f t="shared" si="380"/>
        <v>0</v>
      </c>
      <c r="Q994" s="164">
        <f t="shared" si="367"/>
        <v>0</v>
      </c>
      <c r="R994" s="164">
        <f t="shared" si="368"/>
        <v>0</v>
      </c>
      <c r="S994" s="164">
        <f t="shared" si="369"/>
        <v>0</v>
      </c>
      <c r="T994" s="164">
        <f t="shared" si="370"/>
        <v>0</v>
      </c>
      <c r="U994" s="164">
        <f t="shared" si="371"/>
        <v>0</v>
      </c>
      <c r="V994" s="393">
        <f t="shared" si="372"/>
        <v>4781.3599999999997</v>
      </c>
      <c r="W994" s="393">
        <f t="shared" si="373"/>
        <v>-4781.3599999999997</v>
      </c>
      <c r="Y994" s="393">
        <f t="shared" si="376"/>
        <v>134.52000000000001</v>
      </c>
      <c r="Z994" s="393">
        <f t="shared" si="377"/>
        <v>-134.52000000000001</v>
      </c>
      <c r="AD994" s="395">
        <f>IF(AH994&gt;AH993,AD993,IF(AD993&lt;MiscData!$F$1,EOMONTH(AD993,1),EOMONTH(AD993,-11)))</f>
        <v>42004</v>
      </c>
      <c r="AE994" s="389" t="str">
        <f t="shared" si="374"/>
        <v>20140101KUUM_410</v>
      </c>
      <c r="AF994" s="437" t="str">
        <f t="shared" si="375"/>
        <v>20140101RLS</v>
      </c>
      <c r="AG994" s="438"/>
      <c r="AH994" s="34">
        <f>IF(AH993=MiscData!$AB$91,1,AH993+1)</f>
        <v>25</v>
      </c>
      <c r="AI994" s="34">
        <f>IF(AD994&lt;=MiscData!$B$23,MiscData!$C$23,IF(AD994&lt;=MiscData!$B$24,MiscData!$C$24,MiscData!$C$25))</f>
        <v>20140101</v>
      </c>
      <c r="AK994" s="439" t="str">
        <f>VLOOKUP(AM994,MiscData!$AB$4:$ACB$113,2,FALSE)</f>
        <v>KUUM_410</v>
      </c>
      <c r="AL994" s="439" t="str">
        <f>VLOOKUP(AM994,MiscData!$AB$4:$AE$115,4,FALSE)</f>
        <v>RLS</v>
      </c>
      <c r="AM994" s="34">
        <f>IF(AM993=MiscData!$AB$91,1,AM993+1)</f>
        <v>25</v>
      </c>
    </row>
    <row r="995" spans="1:39">
      <c r="A995" s="389">
        <f t="shared" si="378"/>
        <v>994</v>
      </c>
      <c r="B995" s="395" t="str">
        <f t="shared" si="360"/>
        <v>Dec 2014</v>
      </c>
      <c r="C995" s="396" t="str">
        <f t="shared" si="361"/>
        <v>LS</v>
      </c>
      <c r="D995" s="396" t="str">
        <f t="shared" si="362"/>
        <v>KUUM_411</v>
      </c>
      <c r="E995" s="394">
        <f t="shared" si="363"/>
        <v>142</v>
      </c>
      <c r="F995" s="397">
        <v>0</v>
      </c>
      <c r="G995" s="394">
        <f t="shared" si="359"/>
        <v>0</v>
      </c>
      <c r="H995" s="394">
        <v>0</v>
      </c>
      <c r="I995" s="390">
        <f t="shared" si="364"/>
        <v>21.38</v>
      </c>
      <c r="J995" s="390">
        <f t="shared" si="365"/>
        <v>0.79999999999999716</v>
      </c>
      <c r="K995" s="391">
        <f t="shared" si="379"/>
        <v>3035.96</v>
      </c>
      <c r="L995" s="398">
        <v>0</v>
      </c>
      <c r="M995" s="398">
        <v>0</v>
      </c>
      <c r="N995" s="164">
        <f t="shared" si="358"/>
        <v>3035.96</v>
      </c>
      <c r="O995" s="399">
        <f t="shared" si="366"/>
        <v>0</v>
      </c>
      <c r="P995" s="392">
        <f t="shared" si="380"/>
        <v>0</v>
      </c>
      <c r="Q995" s="164">
        <f t="shared" si="367"/>
        <v>0</v>
      </c>
      <c r="R995" s="164">
        <f t="shared" si="368"/>
        <v>0</v>
      </c>
      <c r="S995" s="164">
        <f t="shared" si="369"/>
        <v>0</v>
      </c>
      <c r="T995" s="164">
        <f t="shared" si="370"/>
        <v>0</v>
      </c>
      <c r="U995" s="164">
        <f t="shared" si="371"/>
        <v>0</v>
      </c>
      <c r="V995" s="393">
        <f t="shared" si="372"/>
        <v>3035.96</v>
      </c>
      <c r="W995" s="393">
        <f t="shared" si="373"/>
        <v>-3035.96</v>
      </c>
      <c r="Y995" s="393">
        <f t="shared" si="376"/>
        <v>113.6</v>
      </c>
      <c r="Z995" s="393">
        <f t="shared" si="377"/>
        <v>-113.6</v>
      </c>
      <c r="AD995" s="395">
        <f>IF(AH995&gt;AH994,AD994,IF(AD994&lt;MiscData!$F$1,EOMONTH(AD994,1),EOMONTH(AD994,-11)))</f>
        <v>42004</v>
      </c>
      <c r="AE995" s="389" t="str">
        <f t="shared" si="374"/>
        <v>20140101KUUM_411</v>
      </c>
      <c r="AF995" s="437" t="str">
        <f t="shared" si="375"/>
        <v>20140101LS</v>
      </c>
      <c r="AG995" s="438"/>
      <c r="AH995" s="34">
        <f>IF(AH994=MiscData!$AB$91,1,AH994+1)</f>
        <v>26</v>
      </c>
      <c r="AI995" s="34">
        <f>IF(AD995&lt;=MiscData!$B$23,MiscData!$C$23,IF(AD995&lt;=MiscData!$B$24,MiscData!$C$24,MiscData!$C$25))</f>
        <v>20140101</v>
      </c>
      <c r="AK995" s="439" t="str">
        <f>VLOOKUP(AM995,MiscData!$AB$4:$ACB$113,2,FALSE)</f>
        <v>KUUM_411</v>
      </c>
      <c r="AL995" s="439" t="str">
        <f>VLOOKUP(AM995,MiscData!$AB$4:$AE$115,4,FALSE)</f>
        <v>LS</v>
      </c>
      <c r="AM995" s="34">
        <f>IF(AM994=MiscData!$AB$91,1,AM994+1)</f>
        <v>26</v>
      </c>
    </row>
    <row r="996" spans="1:39">
      <c r="A996" s="389">
        <f t="shared" si="378"/>
        <v>995</v>
      </c>
      <c r="B996" s="395" t="str">
        <f t="shared" si="360"/>
        <v>Dec 2014</v>
      </c>
      <c r="C996" s="396" t="str">
        <f t="shared" si="361"/>
        <v>RLS</v>
      </c>
      <c r="D996" s="396" t="str">
        <f t="shared" si="362"/>
        <v>KUUM_412</v>
      </c>
      <c r="E996" s="394">
        <f t="shared" si="363"/>
        <v>28</v>
      </c>
      <c r="F996" s="397">
        <v>0</v>
      </c>
      <c r="G996" s="394">
        <f t="shared" si="359"/>
        <v>0</v>
      </c>
      <c r="H996" s="394">
        <v>0</v>
      </c>
      <c r="I996" s="390">
        <f t="shared" si="364"/>
        <v>30.84</v>
      </c>
      <c r="J996" s="390">
        <f t="shared" si="365"/>
        <v>0.79999999999999716</v>
      </c>
      <c r="K996" s="391">
        <f t="shared" si="379"/>
        <v>863.52</v>
      </c>
      <c r="L996" s="398">
        <v>0</v>
      </c>
      <c r="M996" s="398">
        <v>0</v>
      </c>
      <c r="N996" s="164">
        <f t="shared" si="358"/>
        <v>863.52</v>
      </c>
      <c r="O996" s="399">
        <f t="shared" si="366"/>
        <v>0</v>
      </c>
      <c r="P996" s="392">
        <f t="shared" si="380"/>
        <v>0</v>
      </c>
      <c r="Q996" s="164">
        <f t="shared" si="367"/>
        <v>0</v>
      </c>
      <c r="R996" s="164">
        <f t="shared" si="368"/>
        <v>0</v>
      </c>
      <c r="S996" s="164">
        <f t="shared" si="369"/>
        <v>0</v>
      </c>
      <c r="T996" s="164">
        <f t="shared" si="370"/>
        <v>0</v>
      </c>
      <c r="U996" s="164">
        <f t="shared" si="371"/>
        <v>0</v>
      </c>
      <c r="V996" s="393">
        <f t="shared" si="372"/>
        <v>863.52</v>
      </c>
      <c r="W996" s="393">
        <f t="shared" si="373"/>
        <v>-863.52</v>
      </c>
      <c r="Y996" s="393">
        <f t="shared" si="376"/>
        <v>22.4</v>
      </c>
      <c r="Z996" s="393">
        <f t="shared" si="377"/>
        <v>-22.4</v>
      </c>
      <c r="AD996" s="395">
        <f>IF(AH996&gt;AH995,AD995,IF(AD995&lt;MiscData!$F$1,EOMONTH(AD995,1),EOMONTH(AD995,-11)))</f>
        <v>42004</v>
      </c>
      <c r="AE996" s="389" t="str">
        <f t="shared" si="374"/>
        <v>20140101KUUM_412</v>
      </c>
      <c r="AF996" s="437" t="str">
        <f t="shared" si="375"/>
        <v>20140101RLS</v>
      </c>
      <c r="AG996" s="438"/>
      <c r="AH996" s="34">
        <f>IF(AH995=MiscData!$AB$91,1,AH995+1)</f>
        <v>27</v>
      </c>
      <c r="AI996" s="34">
        <f>IF(AD996&lt;=MiscData!$B$23,MiscData!$C$23,IF(AD996&lt;=MiscData!$B$24,MiscData!$C$24,MiscData!$C$25))</f>
        <v>20140101</v>
      </c>
      <c r="AK996" s="439" t="str">
        <f>VLOOKUP(AM996,MiscData!$AB$4:$ACB$113,2,FALSE)</f>
        <v>KUUM_412</v>
      </c>
      <c r="AL996" s="439" t="str">
        <f>VLOOKUP(AM996,MiscData!$AB$4:$AE$115,4,FALSE)</f>
        <v>RLS</v>
      </c>
      <c r="AM996" s="34">
        <f>IF(AM995=MiscData!$AB$91,1,AM995+1)</f>
        <v>27</v>
      </c>
    </row>
    <row r="997" spans="1:39">
      <c r="A997" s="389">
        <f t="shared" si="378"/>
        <v>996</v>
      </c>
      <c r="B997" s="395" t="str">
        <f t="shared" si="360"/>
        <v>Dec 2014</v>
      </c>
      <c r="C997" s="396" t="str">
        <f t="shared" si="361"/>
        <v>RLS</v>
      </c>
      <c r="D997" s="396" t="str">
        <f t="shared" si="362"/>
        <v>KUUM_413</v>
      </c>
      <c r="E997" s="394">
        <f t="shared" si="363"/>
        <v>97</v>
      </c>
      <c r="F997" s="397">
        <v>0</v>
      </c>
      <c r="G997" s="394">
        <f t="shared" si="359"/>
        <v>0</v>
      </c>
      <c r="H997" s="394">
        <v>0</v>
      </c>
      <c r="I997" s="390">
        <f t="shared" si="364"/>
        <v>31.22</v>
      </c>
      <c r="J997" s="390">
        <f t="shared" si="365"/>
        <v>1.129999999999999</v>
      </c>
      <c r="K997" s="391">
        <f t="shared" si="379"/>
        <v>3028.34</v>
      </c>
      <c r="L997" s="398">
        <v>0</v>
      </c>
      <c r="M997" s="398">
        <v>0</v>
      </c>
      <c r="N997" s="164">
        <f t="shared" si="358"/>
        <v>3028.34</v>
      </c>
      <c r="O997" s="399">
        <f t="shared" si="366"/>
        <v>0</v>
      </c>
      <c r="P997" s="392">
        <f t="shared" si="380"/>
        <v>0</v>
      </c>
      <c r="Q997" s="164">
        <f t="shared" si="367"/>
        <v>0</v>
      </c>
      <c r="R997" s="164">
        <f t="shared" si="368"/>
        <v>0</v>
      </c>
      <c r="S997" s="164">
        <f t="shared" si="369"/>
        <v>0</v>
      </c>
      <c r="T997" s="164">
        <f t="shared" si="370"/>
        <v>0</v>
      </c>
      <c r="U997" s="164">
        <f t="shared" si="371"/>
        <v>0</v>
      </c>
      <c r="V997" s="393">
        <f t="shared" si="372"/>
        <v>3028.34</v>
      </c>
      <c r="W997" s="393">
        <f t="shared" si="373"/>
        <v>-3028.34</v>
      </c>
      <c r="Y997" s="393">
        <f t="shared" si="376"/>
        <v>109.61</v>
      </c>
      <c r="Z997" s="393">
        <f t="shared" si="377"/>
        <v>-109.61</v>
      </c>
      <c r="AD997" s="395">
        <f>IF(AH997&gt;AH996,AD996,IF(AD996&lt;MiscData!$F$1,EOMONTH(AD996,1),EOMONTH(AD996,-11)))</f>
        <v>42004</v>
      </c>
      <c r="AE997" s="389" t="str">
        <f t="shared" si="374"/>
        <v>20140101KUUM_413</v>
      </c>
      <c r="AF997" s="437" t="str">
        <f t="shared" si="375"/>
        <v>20140101RLS</v>
      </c>
      <c r="AG997" s="438"/>
      <c r="AH997" s="34">
        <f>IF(AH996=MiscData!$AB$91,1,AH996+1)</f>
        <v>28</v>
      </c>
      <c r="AI997" s="34">
        <f>IF(AD997&lt;=MiscData!$B$23,MiscData!$C$23,IF(AD997&lt;=MiscData!$B$24,MiscData!$C$24,MiscData!$C$25))</f>
        <v>20140101</v>
      </c>
      <c r="AK997" s="439" t="str">
        <f>VLOOKUP(AM997,MiscData!$AB$4:$ACB$113,2,FALSE)</f>
        <v>KUUM_413</v>
      </c>
      <c r="AL997" s="439" t="str">
        <f>VLOOKUP(AM997,MiscData!$AB$4:$AE$115,4,FALSE)</f>
        <v>RLS</v>
      </c>
      <c r="AM997" s="34">
        <f>IF(AM996=MiscData!$AB$91,1,AM996+1)</f>
        <v>28</v>
      </c>
    </row>
    <row r="998" spans="1:39">
      <c r="A998" s="389">
        <f t="shared" si="378"/>
        <v>997</v>
      </c>
      <c r="B998" s="395" t="str">
        <f t="shared" si="360"/>
        <v>Dec 2014</v>
      </c>
      <c r="C998" s="396" t="str">
        <f t="shared" si="361"/>
        <v>LS</v>
      </c>
      <c r="D998" s="396" t="str">
        <f t="shared" si="362"/>
        <v>KUUM_414</v>
      </c>
      <c r="E998" s="394">
        <f t="shared" si="363"/>
        <v>21</v>
      </c>
      <c r="F998" s="397">
        <v>0</v>
      </c>
      <c r="G998" s="394">
        <f t="shared" si="359"/>
        <v>0</v>
      </c>
      <c r="H998" s="394">
        <v>0</v>
      </c>
      <c r="I998" s="390">
        <f t="shared" si="364"/>
        <v>30.84</v>
      </c>
      <c r="J998" s="390">
        <f t="shared" si="365"/>
        <v>0.79999999999999716</v>
      </c>
      <c r="K998" s="391">
        <f t="shared" si="379"/>
        <v>647.64</v>
      </c>
      <c r="L998" s="398">
        <v>0</v>
      </c>
      <c r="M998" s="398">
        <v>0</v>
      </c>
      <c r="N998" s="164">
        <f t="shared" si="358"/>
        <v>647.64</v>
      </c>
      <c r="O998" s="399">
        <f t="shared" si="366"/>
        <v>0</v>
      </c>
      <c r="P998" s="392">
        <f t="shared" si="380"/>
        <v>0</v>
      </c>
      <c r="Q998" s="164">
        <f t="shared" si="367"/>
        <v>0</v>
      </c>
      <c r="R998" s="164">
        <f t="shared" si="368"/>
        <v>0</v>
      </c>
      <c r="S998" s="164">
        <f t="shared" si="369"/>
        <v>0</v>
      </c>
      <c r="T998" s="164">
        <f t="shared" si="370"/>
        <v>0</v>
      </c>
      <c r="U998" s="164">
        <f t="shared" si="371"/>
        <v>0</v>
      </c>
      <c r="V998" s="393">
        <f t="shared" si="372"/>
        <v>647.64</v>
      </c>
      <c r="W998" s="393">
        <f t="shared" si="373"/>
        <v>-647.64</v>
      </c>
      <c r="Y998" s="393">
        <f t="shared" si="376"/>
        <v>16.8</v>
      </c>
      <c r="Z998" s="393">
        <f t="shared" si="377"/>
        <v>-16.8</v>
      </c>
      <c r="AD998" s="395">
        <f>IF(AH998&gt;AH997,AD997,IF(AD997&lt;MiscData!$F$1,EOMONTH(AD997,1),EOMONTH(AD997,-11)))</f>
        <v>42004</v>
      </c>
      <c r="AE998" s="389" t="str">
        <f t="shared" si="374"/>
        <v>20140101KUUM_414</v>
      </c>
      <c r="AF998" s="437" t="str">
        <f t="shared" si="375"/>
        <v>20140101LS</v>
      </c>
      <c r="AG998" s="438"/>
      <c r="AH998" s="34">
        <f>IF(AH997=MiscData!$AB$91,1,AH997+1)</f>
        <v>29</v>
      </c>
      <c r="AI998" s="34">
        <f>IF(AD998&lt;=MiscData!$B$23,MiscData!$C$23,IF(AD998&lt;=MiscData!$B$24,MiscData!$C$24,MiscData!$C$25))</f>
        <v>20140101</v>
      </c>
      <c r="AK998" s="439" t="str">
        <f>VLOOKUP(AM998,MiscData!$AB$4:$ACB$113,2,FALSE)</f>
        <v>KUUM_414</v>
      </c>
      <c r="AL998" s="439" t="str">
        <f>VLOOKUP(AM998,MiscData!$AB$4:$AE$115,4,FALSE)</f>
        <v>LS</v>
      </c>
      <c r="AM998" s="34">
        <f>IF(AM997=MiscData!$AB$91,1,AM997+1)</f>
        <v>29</v>
      </c>
    </row>
    <row r="999" spans="1:39">
      <c r="A999" s="389">
        <f t="shared" si="378"/>
        <v>998</v>
      </c>
      <c r="B999" s="395" t="str">
        <f t="shared" si="360"/>
        <v>Dec 2014</v>
      </c>
      <c r="C999" s="396" t="str">
        <f t="shared" si="361"/>
        <v>LS</v>
      </c>
      <c r="D999" s="396" t="str">
        <f t="shared" si="362"/>
        <v>KUUM_415</v>
      </c>
      <c r="E999" s="394">
        <f t="shared" si="363"/>
        <v>10</v>
      </c>
      <c r="F999" s="397">
        <v>0</v>
      </c>
      <c r="G999" s="394">
        <f t="shared" si="359"/>
        <v>0</v>
      </c>
      <c r="H999" s="394">
        <v>0</v>
      </c>
      <c r="I999" s="390">
        <f t="shared" si="364"/>
        <v>31.22</v>
      </c>
      <c r="J999" s="390">
        <f t="shared" si="365"/>
        <v>1.129999999999999</v>
      </c>
      <c r="K999" s="391">
        <f t="shared" si="379"/>
        <v>312.2</v>
      </c>
      <c r="L999" s="398">
        <v>0</v>
      </c>
      <c r="M999" s="398">
        <v>0</v>
      </c>
      <c r="N999" s="164">
        <f t="shared" si="358"/>
        <v>312.2</v>
      </c>
      <c r="O999" s="399">
        <f t="shared" si="366"/>
        <v>0</v>
      </c>
      <c r="P999" s="392">
        <f t="shared" si="380"/>
        <v>0</v>
      </c>
      <c r="Q999" s="164">
        <f t="shared" si="367"/>
        <v>0</v>
      </c>
      <c r="R999" s="164">
        <f t="shared" si="368"/>
        <v>0</v>
      </c>
      <c r="S999" s="164">
        <f t="shared" si="369"/>
        <v>0</v>
      </c>
      <c r="T999" s="164">
        <f t="shared" si="370"/>
        <v>0</v>
      </c>
      <c r="U999" s="164">
        <f t="shared" si="371"/>
        <v>0</v>
      </c>
      <c r="V999" s="393">
        <f t="shared" si="372"/>
        <v>312.2</v>
      </c>
      <c r="W999" s="393">
        <f t="shared" si="373"/>
        <v>-312.2</v>
      </c>
      <c r="Y999" s="393">
        <f t="shared" si="376"/>
        <v>11.3</v>
      </c>
      <c r="Z999" s="393">
        <f t="shared" si="377"/>
        <v>-11.3</v>
      </c>
      <c r="AD999" s="395">
        <f>IF(AH999&gt;AH998,AD998,IF(AD998&lt;MiscData!$F$1,EOMONTH(AD998,1),EOMONTH(AD998,-11)))</f>
        <v>42004</v>
      </c>
      <c r="AE999" s="389" t="str">
        <f t="shared" si="374"/>
        <v>20140101KUUM_415</v>
      </c>
      <c r="AF999" s="437" t="str">
        <f t="shared" si="375"/>
        <v>20140101LS</v>
      </c>
      <c r="AG999" s="438"/>
      <c r="AH999" s="34">
        <f>IF(AH998=MiscData!$AB$91,1,AH998+1)</f>
        <v>30</v>
      </c>
      <c r="AI999" s="34">
        <f>IF(AD999&lt;=MiscData!$B$23,MiscData!$C$23,IF(AD999&lt;=MiscData!$B$24,MiscData!$C$24,MiscData!$C$25))</f>
        <v>20140101</v>
      </c>
      <c r="AK999" s="439" t="str">
        <f>VLOOKUP(AM999,MiscData!$AB$4:$ACB$113,2,FALSE)</f>
        <v>KUUM_415</v>
      </c>
      <c r="AL999" s="439" t="str">
        <f>VLOOKUP(AM999,MiscData!$AB$4:$AE$115,4,FALSE)</f>
        <v>LS</v>
      </c>
      <c r="AM999" s="34">
        <f>IF(AM998=MiscData!$AB$91,1,AM998+1)</f>
        <v>30</v>
      </c>
    </row>
    <row r="1000" spans="1:39">
      <c r="A1000" s="389">
        <f t="shared" si="378"/>
        <v>999</v>
      </c>
      <c r="B1000" s="395" t="str">
        <f t="shared" si="360"/>
        <v>Dec 2014</v>
      </c>
      <c r="C1000" s="396" t="str">
        <f t="shared" si="361"/>
        <v>LS</v>
      </c>
      <c r="D1000" s="396" t="str">
        <f t="shared" si="362"/>
        <v>KUUM_420</v>
      </c>
      <c r="E1000" s="394">
        <f t="shared" si="363"/>
        <v>459</v>
      </c>
      <c r="F1000" s="397">
        <v>0</v>
      </c>
      <c r="G1000" s="394">
        <f t="shared" si="359"/>
        <v>0</v>
      </c>
      <c r="H1000" s="394">
        <v>0</v>
      </c>
      <c r="I1000" s="390">
        <f t="shared" si="364"/>
        <v>15.360000000000001</v>
      </c>
      <c r="J1000" s="390">
        <f t="shared" si="365"/>
        <v>1.1300000000000008</v>
      </c>
      <c r="K1000" s="391">
        <f t="shared" si="379"/>
        <v>7050.24</v>
      </c>
      <c r="L1000" s="398">
        <v>0</v>
      </c>
      <c r="M1000" s="398">
        <v>0</v>
      </c>
      <c r="N1000" s="164">
        <f t="shared" si="358"/>
        <v>7050.24</v>
      </c>
      <c r="O1000" s="399">
        <f t="shared" si="366"/>
        <v>0</v>
      </c>
      <c r="P1000" s="392">
        <f t="shared" si="380"/>
        <v>0</v>
      </c>
      <c r="Q1000" s="164">
        <f t="shared" si="367"/>
        <v>0</v>
      </c>
      <c r="R1000" s="164">
        <f t="shared" si="368"/>
        <v>0</v>
      </c>
      <c r="S1000" s="164">
        <f t="shared" si="369"/>
        <v>0</v>
      </c>
      <c r="T1000" s="164">
        <f t="shared" si="370"/>
        <v>0</v>
      </c>
      <c r="U1000" s="164">
        <f t="shared" si="371"/>
        <v>0</v>
      </c>
      <c r="V1000" s="393">
        <f t="shared" si="372"/>
        <v>7050.24</v>
      </c>
      <c r="W1000" s="393">
        <f t="shared" si="373"/>
        <v>-7050.24</v>
      </c>
      <c r="Y1000" s="393">
        <f t="shared" si="376"/>
        <v>518.66999999999996</v>
      </c>
      <c r="Z1000" s="393">
        <f t="shared" si="377"/>
        <v>-518.66999999999996</v>
      </c>
      <c r="AD1000" s="395">
        <f>IF(AH1000&gt;AH999,AD999,IF(AD999&lt;MiscData!$F$1,EOMONTH(AD999,1),EOMONTH(AD999,-11)))</f>
        <v>42004</v>
      </c>
      <c r="AE1000" s="389" t="str">
        <f t="shared" si="374"/>
        <v>20140101KUUM_420</v>
      </c>
      <c r="AF1000" s="437" t="str">
        <f t="shared" si="375"/>
        <v>20140101LS</v>
      </c>
      <c r="AG1000" s="438"/>
      <c r="AH1000" s="34">
        <f>IF(AH999=MiscData!$AB$91,1,AH999+1)</f>
        <v>31</v>
      </c>
      <c r="AI1000" s="34">
        <f>IF(AD1000&lt;=MiscData!$B$23,MiscData!$C$23,IF(AD1000&lt;=MiscData!$B$24,MiscData!$C$24,MiscData!$C$25))</f>
        <v>20140101</v>
      </c>
      <c r="AK1000" s="439" t="str">
        <f>VLOOKUP(AM1000,MiscData!$AB$4:$ACB$113,2,FALSE)</f>
        <v>KUUM_420</v>
      </c>
      <c r="AL1000" s="439" t="str">
        <f>VLOOKUP(AM1000,MiscData!$AB$4:$AE$115,4,FALSE)</f>
        <v>LS</v>
      </c>
      <c r="AM1000" s="34">
        <f>IF(AM999=MiscData!$AB$91,1,AM999+1)</f>
        <v>31</v>
      </c>
    </row>
    <row r="1001" spans="1:39">
      <c r="A1001" s="389">
        <f t="shared" si="378"/>
        <v>1000</v>
      </c>
      <c r="B1001" s="395" t="str">
        <f t="shared" si="360"/>
        <v>Dec 2014</v>
      </c>
      <c r="C1001" s="396" t="str">
        <f t="shared" si="361"/>
        <v>RLS</v>
      </c>
      <c r="D1001" s="396" t="str">
        <f t="shared" si="362"/>
        <v>KUUM_421</v>
      </c>
      <c r="E1001" s="394">
        <f t="shared" si="363"/>
        <v>5</v>
      </c>
      <c r="F1001" s="397">
        <v>0</v>
      </c>
      <c r="G1001" s="394">
        <f t="shared" si="359"/>
        <v>0</v>
      </c>
      <c r="H1001" s="394">
        <v>0</v>
      </c>
      <c r="I1001" s="390">
        <f t="shared" si="364"/>
        <v>3.39</v>
      </c>
      <c r="J1001" s="390">
        <f t="shared" si="365"/>
        <v>0.98999999999999977</v>
      </c>
      <c r="K1001" s="391">
        <f t="shared" si="379"/>
        <v>16.95</v>
      </c>
      <c r="L1001" s="398">
        <v>0</v>
      </c>
      <c r="M1001" s="398">
        <v>0</v>
      </c>
      <c r="N1001" s="164">
        <f t="shared" si="358"/>
        <v>16.95</v>
      </c>
      <c r="O1001" s="399">
        <f t="shared" si="366"/>
        <v>0</v>
      </c>
      <c r="P1001" s="392">
        <f t="shared" si="380"/>
        <v>0</v>
      </c>
      <c r="Q1001" s="164">
        <f t="shared" si="367"/>
        <v>0</v>
      </c>
      <c r="R1001" s="164">
        <f t="shared" si="368"/>
        <v>0</v>
      </c>
      <c r="S1001" s="164">
        <f t="shared" si="369"/>
        <v>0</v>
      </c>
      <c r="T1001" s="164">
        <f t="shared" si="370"/>
        <v>0</v>
      </c>
      <c r="U1001" s="164">
        <f t="shared" si="371"/>
        <v>0</v>
      </c>
      <c r="V1001" s="393">
        <f t="shared" si="372"/>
        <v>16.95</v>
      </c>
      <c r="W1001" s="393">
        <f t="shared" si="373"/>
        <v>-16.95</v>
      </c>
      <c r="Y1001" s="393">
        <f t="shared" si="376"/>
        <v>4.95</v>
      </c>
      <c r="Z1001" s="393">
        <f t="shared" si="377"/>
        <v>-4.95</v>
      </c>
      <c r="AD1001" s="395">
        <f>IF(AH1001&gt;AH1000,AD1000,IF(AD1000&lt;MiscData!$F$1,EOMONTH(AD1000,1),EOMONTH(AD1000,-11)))</f>
        <v>42004</v>
      </c>
      <c r="AE1001" s="389" t="str">
        <f t="shared" si="374"/>
        <v>20140101KUUM_421</v>
      </c>
      <c r="AF1001" s="437" t="str">
        <f t="shared" si="375"/>
        <v>20140101RLS</v>
      </c>
      <c r="AG1001" s="438"/>
      <c r="AH1001" s="34">
        <f>IF(AH1000=MiscData!$AB$91,1,AH1000+1)</f>
        <v>32</v>
      </c>
      <c r="AI1001" s="34">
        <f>IF(AD1001&lt;=MiscData!$B$23,MiscData!$C$23,IF(AD1001&lt;=MiscData!$B$24,MiscData!$C$24,MiscData!$C$25))</f>
        <v>20140101</v>
      </c>
      <c r="AK1001" s="439" t="str">
        <f>VLOOKUP(AM1001,MiscData!$AB$4:$ACB$113,2,FALSE)</f>
        <v>KUUM_421</v>
      </c>
      <c r="AL1001" s="439" t="str">
        <f>VLOOKUP(AM1001,MiscData!$AB$4:$AE$115,4,FALSE)</f>
        <v>RLS</v>
      </c>
      <c r="AM1001" s="34">
        <f>IF(AM1000=MiscData!$AB$91,1,AM1000+1)</f>
        <v>32</v>
      </c>
    </row>
    <row r="1002" spans="1:39">
      <c r="A1002" s="389">
        <f t="shared" si="378"/>
        <v>1001</v>
      </c>
      <c r="B1002" s="395" t="str">
        <f t="shared" si="360"/>
        <v>Dec 2014</v>
      </c>
      <c r="C1002" s="396" t="str">
        <f t="shared" si="361"/>
        <v>RLS</v>
      </c>
      <c r="D1002" s="396" t="str">
        <f t="shared" si="362"/>
        <v>KUUM_422</v>
      </c>
      <c r="E1002" s="394">
        <f t="shared" si="363"/>
        <v>675</v>
      </c>
      <c r="F1002" s="397">
        <v>0</v>
      </c>
      <c r="G1002" s="394">
        <f t="shared" si="359"/>
        <v>0</v>
      </c>
      <c r="H1002" s="394">
        <v>0</v>
      </c>
      <c r="I1002" s="390">
        <f t="shared" si="364"/>
        <v>4.5400000000000009</v>
      </c>
      <c r="J1002" s="390">
        <f t="shared" si="365"/>
        <v>1.9400000000000004</v>
      </c>
      <c r="K1002" s="391">
        <f t="shared" si="379"/>
        <v>3064.5</v>
      </c>
      <c r="L1002" s="398">
        <v>0</v>
      </c>
      <c r="M1002" s="398">
        <v>0</v>
      </c>
      <c r="N1002" s="164">
        <f t="shared" si="358"/>
        <v>3064.5</v>
      </c>
      <c r="O1002" s="399">
        <f t="shared" si="366"/>
        <v>0</v>
      </c>
      <c r="P1002" s="392">
        <f t="shared" si="380"/>
        <v>0</v>
      </c>
      <c r="Q1002" s="164">
        <f t="shared" si="367"/>
        <v>0</v>
      </c>
      <c r="R1002" s="164">
        <f t="shared" si="368"/>
        <v>0</v>
      </c>
      <c r="S1002" s="164">
        <f t="shared" si="369"/>
        <v>0</v>
      </c>
      <c r="T1002" s="164">
        <f t="shared" si="370"/>
        <v>0</v>
      </c>
      <c r="U1002" s="164">
        <f t="shared" si="371"/>
        <v>0</v>
      </c>
      <c r="V1002" s="393">
        <f t="shared" si="372"/>
        <v>3064.5</v>
      </c>
      <c r="W1002" s="393">
        <f t="shared" si="373"/>
        <v>-3064.5</v>
      </c>
      <c r="Y1002" s="393">
        <f t="shared" si="376"/>
        <v>1309.5</v>
      </c>
      <c r="Z1002" s="393">
        <f t="shared" si="377"/>
        <v>-1309.5</v>
      </c>
      <c r="AD1002" s="395">
        <f>IF(AH1002&gt;AH1001,AD1001,IF(AD1001&lt;MiscData!$F$1,EOMONTH(AD1001,1),EOMONTH(AD1001,-11)))</f>
        <v>42004</v>
      </c>
      <c r="AE1002" s="389" t="str">
        <f t="shared" si="374"/>
        <v>20140101KUUM_422</v>
      </c>
      <c r="AF1002" s="437" t="str">
        <f t="shared" si="375"/>
        <v>20140101RLS</v>
      </c>
      <c r="AG1002" s="438"/>
      <c r="AH1002" s="34">
        <f>IF(AH1001=MiscData!$AB$91,1,AH1001+1)</f>
        <v>33</v>
      </c>
      <c r="AI1002" s="34">
        <f>IF(AD1002&lt;=MiscData!$B$23,MiscData!$C$23,IF(AD1002&lt;=MiscData!$B$24,MiscData!$C$24,MiscData!$C$25))</f>
        <v>20140101</v>
      </c>
      <c r="AK1002" s="439" t="str">
        <f>VLOOKUP(AM1002,MiscData!$AB$4:$ACB$113,2,FALSE)</f>
        <v>KUUM_422</v>
      </c>
      <c r="AL1002" s="439" t="str">
        <f>VLOOKUP(AM1002,MiscData!$AB$4:$AE$115,4,FALSE)</f>
        <v>RLS</v>
      </c>
      <c r="AM1002" s="34">
        <f>IF(AM1001=MiscData!$AB$91,1,AM1001+1)</f>
        <v>33</v>
      </c>
    </row>
    <row r="1003" spans="1:39">
      <c r="A1003" s="389">
        <f t="shared" si="378"/>
        <v>1002</v>
      </c>
      <c r="B1003" s="395" t="str">
        <f t="shared" si="360"/>
        <v>Dec 2014</v>
      </c>
      <c r="C1003" s="396" t="str">
        <f t="shared" si="361"/>
        <v>RLS</v>
      </c>
      <c r="D1003" s="396" t="str">
        <f t="shared" si="362"/>
        <v>KUUM_424</v>
      </c>
      <c r="E1003" s="394">
        <f t="shared" si="363"/>
        <v>113</v>
      </c>
      <c r="F1003" s="397">
        <v>0</v>
      </c>
      <c r="G1003" s="394">
        <f t="shared" si="359"/>
        <v>0</v>
      </c>
      <c r="H1003" s="394">
        <v>0</v>
      </c>
      <c r="I1003" s="390">
        <f t="shared" si="364"/>
        <v>6.78</v>
      </c>
      <c r="J1003" s="390">
        <f t="shared" si="365"/>
        <v>0.69999999999999929</v>
      </c>
      <c r="K1003" s="391">
        <f t="shared" si="379"/>
        <v>766.14</v>
      </c>
      <c r="L1003" s="398">
        <v>0</v>
      </c>
      <c r="M1003" s="398">
        <v>0</v>
      </c>
      <c r="N1003" s="164">
        <f t="shared" si="358"/>
        <v>766.14</v>
      </c>
      <c r="O1003" s="399">
        <f t="shared" si="366"/>
        <v>0</v>
      </c>
      <c r="P1003" s="392">
        <f t="shared" si="380"/>
        <v>0</v>
      </c>
      <c r="Q1003" s="164">
        <f t="shared" si="367"/>
        <v>0</v>
      </c>
      <c r="R1003" s="164">
        <f t="shared" si="368"/>
        <v>0</v>
      </c>
      <c r="S1003" s="164">
        <f t="shared" si="369"/>
        <v>0</v>
      </c>
      <c r="T1003" s="164">
        <f t="shared" si="370"/>
        <v>0</v>
      </c>
      <c r="U1003" s="164">
        <f t="shared" si="371"/>
        <v>0</v>
      </c>
      <c r="V1003" s="393">
        <f t="shared" si="372"/>
        <v>766.14</v>
      </c>
      <c r="W1003" s="393">
        <f t="shared" si="373"/>
        <v>-766.14</v>
      </c>
      <c r="Y1003" s="393">
        <f t="shared" si="376"/>
        <v>79.099999999999994</v>
      </c>
      <c r="Z1003" s="393">
        <f t="shared" si="377"/>
        <v>-79.099999999999994</v>
      </c>
      <c r="AD1003" s="395">
        <f>IF(AH1003&gt;AH1002,AD1002,IF(AD1002&lt;MiscData!$F$1,EOMONTH(AD1002,1),EOMONTH(AD1002,-11)))</f>
        <v>42004</v>
      </c>
      <c r="AE1003" s="389" t="str">
        <f t="shared" si="374"/>
        <v>20140101KUUM_424</v>
      </c>
      <c r="AF1003" s="437" t="str">
        <f t="shared" si="375"/>
        <v>20140101RLS</v>
      </c>
      <c r="AG1003" s="438"/>
      <c r="AH1003" s="34">
        <f>IF(AH1002=MiscData!$AB$91,1,AH1002+1)</f>
        <v>34</v>
      </c>
      <c r="AI1003" s="34">
        <f>IF(AD1003&lt;=MiscData!$B$23,MiscData!$C$23,IF(AD1003&lt;=MiscData!$B$24,MiscData!$C$24,MiscData!$C$25))</f>
        <v>20140101</v>
      </c>
      <c r="AK1003" s="439" t="str">
        <f>VLOOKUP(AM1003,MiscData!$AB$4:$ACB$113,2,FALSE)</f>
        <v>KUUM_424</v>
      </c>
      <c r="AL1003" s="439" t="str">
        <f>VLOOKUP(AM1003,MiscData!$AB$4:$AE$115,4,FALSE)</f>
        <v>RLS</v>
      </c>
      <c r="AM1003" s="34">
        <f>IF(AM1002=MiscData!$AB$91,1,AM1002+1)</f>
        <v>34</v>
      </c>
    </row>
    <row r="1004" spans="1:39">
      <c r="A1004" s="389">
        <f t="shared" si="378"/>
        <v>1003</v>
      </c>
      <c r="B1004" s="395" t="str">
        <f t="shared" si="360"/>
        <v>Dec 2014</v>
      </c>
      <c r="C1004" s="396" t="str">
        <f t="shared" si="361"/>
        <v>RLS</v>
      </c>
      <c r="D1004" s="396" t="str">
        <f t="shared" si="362"/>
        <v>KUUM_425</v>
      </c>
      <c r="E1004" s="394">
        <f t="shared" si="363"/>
        <v>2</v>
      </c>
      <c r="F1004" s="397">
        <v>0</v>
      </c>
      <c r="G1004" s="394">
        <f t="shared" si="359"/>
        <v>0</v>
      </c>
      <c r="H1004" s="394">
        <v>0</v>
      </c>
      <c r="I1004" s="390">
        <f t="shared" si="364"/>
        <v>9.06</v>
      </c>
      <c r="J1004" s="390">
        <f t="shared" si="365"/>
        <v>4.3000000000000007</v>
      </c>
      <c r="K1004" s="391">
        <f t="shared" si="379"/>
        <v>18.12</v>
      </c>
      <c r="L1004" s="398">
        <v>0</v>
      </c>
      <c r="M1004" s="398">
        <v>0</v>
      </c>
      <c r="N1004" s="164">
        <f t="shared" si="358"/>
        <v>18.12</v>
      </c>
      <c r="O1004" s="399">
        <f t="shared" si="366"/>
        <v>0</v>
      </c>
      <c r="P1004" s="392">
        <f t="shared" si="380"/>
        <v>0</v>
      </c>
      <c r="Q1004" s="164">
        <f t="shared" si="367"/>
        <v>0</v>
      </c>
      <c r="R1004" s="164">
        <f t="shared" si="368"/>
        <v>0</v>
      </c>
      <c r="S1004" s="164">
        <f t="shared" si="369"/>
        <v>0</v>
      </c>
      <c r="T1004" s="164">
        <f t="shared" si="370"/>
        <v>0</v>
      </c>
      <c r="U1004" s="164">
        <f t="shared" si="371"/>
        <v>0</v>
      </c>
      <c r="V1004" s="393">
        <f t="shared" si="372"/>
        <v>18.12</v>
      </c>
      <c r="W1004" s="393">
        <f t="shared" si="373"/>
        <v>-18.12</v>
      </c>
      <c r="Y1004" s="393">
        <f t="shared" si="376"/>
        <v>8.6</v>
      </c>
      <c r="Z1004" s="393">
        <f t="shared" si="377"/>
        <v>-8.6</v>
      </c>
      <c r="AD1004" s="395">
        <f>IF(AH1004&gt;AH1003,AD1003,IF(AD1003&lt;MiscData!$F$1,EOMONTH(AD1003,1),EOMONTH(AD1003,-11)))</f>
        <v>42004</v>
      </c>
      <c r="AE1004" s="389" t="str">
        <f t="shared" si="374"/>
        <v>20140101KUUM_425</v>
      </c>
      <c r="AF1004" s="437" t="str">
        <f t="shared" si="375"/>
        <v>20140101RLS</v>
      </c>
      <c r="AG1004" s="438"/>
      <c r="AH1004" s="34">
        <f>IF(AH1003=MiscData!$AB$91,1,AH1003+1)</f>
        <v>35</v>
      </c>
      <c r="AI1004" s="34">
        <f>IF(AD1004&lt;=MiscData!$B$23,MiscData!$C$23,IF(AD1004&lt;=MiscData!$B$24,MiscData!$C$24,MiscData!$C$25))</f>
        <v>20140101</v>
      </c>
      <c r="AK1004" s="439" t="str">
        <f>VLOOKUP(AM1004,MiscData!$AB$4:$ACB$113,2,FALSE)</f>
        <v>KUUM_425</v>
      </c>
      <c r="AL1004" s="439" t="str">
        <f>VLOOKUP(AM1004,MiscData!$AB$4:$AE$115,4,FALSE)</f>
        <v>RLS</v>
      </c>
      <c r="AM1004" s="34">
        <f>IF(AM1003=MiscData!$AB$91,1,AM1003+1)</f>
        <v>35</v>
      </c>
    </row>
    <row r="1005" spans="1:39">
      <c r="A1005" s="389">
        <f t="shared" si="378"/>
        <v>1004</v>
      </c>
      <c r="B1005" s="395" t="str">
        <f t="shared" si="360"/>
        <v>Dec 2014</v>
      </c>
      <c r="C1005" s="396" t="str">
        <f t="shared" si="361"/>
        <v>RLS</v>
      </c>
      <c r="D1005" s="396" t="str">
        <f t="shared" si="362"/>
        <v>KUUM_426</v>
      </c>
      <c r="E1005" s="394">
        <f t="shared" si="363"/>
        <v>161</v>
      </c>
      <c r="F1005" s="397">
        <v>0</v>
      </c>
      <c r="G1005" s="394">
        <f t="shared" si="359"/>
        <v>0</v>
      </c>
      <c r="H1005" s="394">
        <v>0</v>
      </c>
      <c r="I1005" s="390">
        <f t="shared" si="364"/>
        <v>7.4399999999999995</v>
      </c>
      <c r="J1005" s="390">
        <f t="shared" si="365"/>
        <v>0.79999999999999982</v>
      </c>
      <c r="K1005" s="391">
        <f t="shared" si="379"/>
        <v>1197.8399999999999</v>
      </c>
      <c r="L1005" s="398">
        <v>0</v>
      </c>
      <c r="M1005" s="398">
        <v>0</v>
      </c>
      <c r="N1005" s="164">
        <f t="shared" si="358"/>
        <v>1197.8399999999999</v>
      </c>
      <c r="O1005" s="399">
        <f t="shared" si="366"/>
        <v>0</v>
      </c>
      <c r="P1005" s="392">
        <f t="shared" si="380"/>
        <v>0</v>
      </c>
      <c r="Q1005" s="164">
        <f t="shared" si="367"/>
        <v>0</v>
      </c>
      <c r="R1005" s="164">
        <f t="shared" si="368"/>
        <v>0</v>
      </c>
      <c r="S1005" s="164">
        <f t="shared" si="369"/>
        <v>0</v>
      </c>
      <c r="T1005" s="164">
        <f t="shared" si="370"/>
        <v>0</v>
      </c>
      <c r="U1005" s="164">
        <f t="shared" si="371"/>
        <v>0</v>
      </c>
      <c r="V1005" s="393">
        <f t="shared" si="372"/>
        <v>1197.8399999999999</v>
      </c>
      <c r="W1005" s="393">
        <f t="shared" si="373"/>
        <v>-1197.8399999999999</v>
      </c>
      <c r="Y1005" s="393">
        <f t="shared" si="376"/>
        <v>128.80000000000001</v>
      </c>
      <c r="Z1005" s="393">
        <f t="shared" si="377"/>
        <v>-128.80000000000001</v>
      </c>
      <c r="AD1005" s="395">
        <f>IF(AH1005&gt;AH1004,AD1004,IF(AD1004&lt;MiscData!$F$1,EOMONTH(AD1004,1),EOMONTH(AD1004,-11)))</f>
        <v>42004</v>
      </c>
      <c r="AE1005" s="389" t="str">
        <f t="shared" si="374"/>
        <v>20140101KUUM_426</v>
      </c>
      <c r="AF1005" s="437" t="str">
        <f t="shared" si="375"/>
        <v>20140101RLS</v>
      </c>
      <c r="AG1005" s="438"/>
      <c r="AH1005" s="34">
        <f>IF(AH1004=MiscData!$AB$91,1,AH1004+1)</f>
        <v>36</v>
      </c>
      <c r="AI1005" s="34">
        <f>IF(AD1005&lt;=MiscData!$B$23,MiscData!$C$23,IF(AD1005&lt;=MiscData!$B$24,MiscData!$C$24,MiscData!$C$25))</f>
        <v>20140101</v>
      </c>
      <c r="AK1005" s="439" t="str">
        <f>VLOOKUP(AM1005,MiscData!$AB$4:$ACB$113,2,FALSE)</f>
        <v>KUUM_426</v>
      </c>
      <c r="AL1005" s="439" t="str">
        <f>VLOOKUP(AM1005,MiscData!$AB$4:$AE$115,4,FALSE)</f>
        <v>RLS</v>
      </c>
      <c r="AM1005" s="34">
        <f>IF(AM1004=MiscData!$AB$91,1,AM1004+1)</f>
        <v>36</v>
      </c>
    </row>
    <row r="1006" spans="1:39">
      <c r="A1006" s="389">
        <f t="shared" si="378"/>
        <v>1005</v>
      </c>
      <c r="B1006" s="395" t="str">
        <f t="shared" si="360"/>
        <v>Dec 2014</v>
      </c>
      <c r="C1006" s="396" t="str">
        <f t="shared" si="361"/>
        <v>LS</v>
      </c>
      <c r="D1006" s="396" t="str">
        <f t="shared" si="362"/>
        <v>KUUM_428</v>
      </c>
      <c r="E1006" s="394">
        <f t="shared" si="363"/>
        <v>34938</v>
      </c>
      <c r="F1006" s="397">
        <v>0</v>
      </c>
      <c r="G1006" s="394">
        <f t="shared" si="359"/>
        <v>0</v>
      </c>
      <c r="H1006" s="394">
        <v>0</v>
      </c>
      <c r="I1006" s="390">
        <f t="shared" si="364"/>
        <v>7.84</v>
      </c>
      <c r="J1006" s="390">
        <f t="shared" si="365"/>
        <v>1.1299999999999999</v>
      </c>
      <c r="K1006" s="391">
        <f t="shared" si="379"/>
        <v>273913.92</v>
      </c>
      <c r="L1006" s="398">
        <v>0</v>
      </c>
      <c r="M1006" s="398">
        <v>0</v>
      </c>
      <c r="N1006" s="164">
        <f t="shared" si="358"/>
        <v>273913.92</v>
      </c>
      <c r="O1006" s="399">
        <f t="shared" si="366"/>
        <v>0</v>
      </c>
      <c r="P1006" s="392">
        <f t="shared" si="380"/>
        <v>0</v>
      </c>
      <c r="Q1006" s="164">
        <f t="shared" si="367"/>
        <v>0</v>
      </c>
      <c r="R1006" s="164">
        <f t="shared" si="368"/>
        <v>0</v>
      </c>
      <c r="S1006" s="164">
        <f t="shared" si="369"/>
        <v>0</v>
      </c>
      <c r="T1006" s="164">
        <f t="shared" si="370"/>
        <v>0</v>
      </c>
      <c r="U1006" s="164">
        <f t="shared" si="371"/>
        <v>0</v>
      </c>
      <c r="V1006" s="393">
        <f t="shared" si="372"/>
        <v>273913.92</v>
      </c>
      <c r="W1006" s="393">
        <f t="shared" si="373"/>
        <v>-273913.92</v>
      </c>
      <c r="Y1006" s="393">
        <f t="shared" si="376"/>
        <v>39479.94</v>
      </c>
      <c r="Z1006" s="393">
        <f t="shared" si="377"/>
        <v>-39479.94</v>
      </c>
      <c r="AD1006" s="395">
        <f>IF(AH1006&gt;AH1005,AD1005,IF(AD1005&lt;MiscData!$F$1,EOMONTH(AD1005,1),EOMONTH(AD1005,-11)))</f>
        <v>42004</v>
      </c>
      <c r="AE1006" s="389" t="str">
        <f t="shared" si="374"/>
        <v>20140101KUUM_428</v>
      </c>
      <c r="AF1006" s="437" t="str">
        <f t="shared" si="375"/>
        <v>20140101LS</v>
      </c>
      <c r="AG1006" s="438"/>
      <c r="AH1006" s="34">
        <f>IF(AH1005=MiscData!$AB$91,1,AH1005+1)</f>
        <v>37</v>
      </c>
      <c r="AI1006" s="34">
        <f>IF(AD1006&lt;=MiscData!$B$23,MiscData!$C$23,IF(AD1006&lt;=MiscData!$B$24,MiscData!$C$24,MiscData!$C$25))</f>
        <v>20140101</v>
      </c>
      <c r="AK1006" s="439" t="str">
        <f>VLOOKUP(AM1006,MiscData!$AB$4:$ACB$113,2,FALSE)</f>
        <v>KUUM_428</v>
      </c>
      <c r="AL1006" s="439" t="str">
        <f>VLOOKUP(AM1006,MiscData!$AB$4:$AE$115,4,FALSE)</f>
        <v>LS</v>
      </c>
      <c r="AM1006" s="34">
        <f>IF(AM1005=MiscData!$AB$91,1,AM1005+1)</f>
        <v>37</v>
      </c>
    </row>
    <row r="1007" spans="1:39">
      <c r="A1007" s="389">
        <f t="shared" si="378"/>
        <v>1006</v>
      </c>
      <c r="B1007" s="395" t="str">
        <f t="shared" si="360"/>
        <v>Dec 2014</v>
      </c>
      <c r="C1007" s="396" t="str">
        <f t="shared" si="361"/>
        <v>LS</v>
      </c>
      <c r="D1007" s="396" t="str">
        <f t="shared" si="362"/>
        <v>KUUM_429</v>
      </c>
      <c r="E1007" s="394">
        <f t="shared" si="363"/>
        <v>0</v>
      </c>
      <c r="F1007" s="397">
        <v>0</v>
      </c>
      <c r="G1007" s="394">
        <f t="shared" si="359"/>
        <v>0</v>
      </c>
      <c r="H1007" s="394">
        <v>0</v>
      </c>
      <c r="I1007" s="390">
        <f t="shared" si="364"/>
        <v>0</v>
      </c>
      <c r="J1007" s="390">
        <f t="shared" si="365"/>
        <v>0</v>
      </c>
      <c r="K1007" s="391">
        <f t="shared" si="379"/>
        <v>0</v>
      </c>
      <c r="L1007" s="398">
        <v>0</v>
      </c>
      <c r="M1007" s="398">
        <v>0</v>
      </c>
      <c r="N1007" s="164">
        <f t="shared" si="358"/>
        <v>0</v>
      </c>
      <c r="O1007" s="399">
        <f t="shared" si="366"/>
        <v>0</v>
      </c>
      <c r="P1007" s="392">
        <f t="shared" si="380"/>
        <v>1</v>
      </c>
      <c r="Q1007" s="164">
        <f t="shared" si="367"/>
        <v>0</v>
      </c>
      <c r="R1007" s="164">
        <f t="shared" si="368"/>
        <v>0</v>
      </c>
      <c r="S1007" s="164">
        <f t="shared" si="369"/>
        <v>0</v>
      </c>
      <c r="T1007" s="164">
        <f t="shared" si="370"/>
        <v>0</v>
      </c>
      <c r="U1007" s="164">
        <f t="shared" si="371"/>
        <v>0</v>
      </c>
      <c r="V1007" s="393">
        <f t="shared" si="372"/>
        <v>0</v>
      </c>
      <c r="W1007" s="393">
        <f t="shared" si="373"/>
        <v>0</v>
      </c>
      <c r="Y1007" s="393">
        <f t="shared" si="376"/>
        <v>0</v>
      </c>
      <c r="Z1007" s="393">
        <f t="shared" si="377"/>
        <v>0</v>
      </c>
      <c r="AD1007" s="395">
        <f>IF(AH1007&gt;AH1006,AD1006,IF(AD1006&lt;MiscData!$F$1,EOMONTH(AD1006,1),EOMONTH(AD1006,-11)))</f>
        <v>42004</v>
      </c>
      <c r="AE1007" s="389" t="str">
        <f t="shared" si="374"/>
        <v>20140101KUUM_429</v>
      </c>
      <c r="AF1007" s="437" t="str">
        <f t="shared" si="375"/>
        <v>20140101LS</v>
      </c>
      <c r="AG1007" s="438"/>
      <c r="AH1007" s="34">
        <f>IF(AH1006=MiscData!$AB$91,1,AH1006+1)</f>
        <v>38</v>
      </c>
      <c r="AI1007" s="34">
        <f>IF(AD1007&lt;=MiscData!$B$23,MiscData!$C$23,IF(AD1007&lt;=MiscData!$B$24,MiscData!$C$24,MiscData!$C$25))</f>
        <v>20140101</v>
      </c>
      <c r="AK1007" s="439" t="str">
        <f>VLOOKUP(AM1007,MiscData!$AB$4:$ACB$113,2,FALSE)</f>
        <v>KUUM_429</v>
      </c>
      <c r="AL1007" s="439" t="str">
        <f>VLOOKUP(AM1007,MiscData!$AB$4:$AE$115,4,FALSE)</f>
        <v>LS</v>
      </c>
      <c r="AM1007" s="34">
        <f>IF(AM1006=MiscData!$AB$91,1,AM1006+1)</f>
        <v>38</v>
      </c>
    </row>
    <row r="1008" spans="1:39">
      <c r="A1008" s="389">
        <f t="shared" si="378"/>
        <v>1007</v>
      </c>
      <c r="B1008" s="395" t="str">
        <f t="shared" si="360"/>
        <v>Dec 2014</v>
      </c>
      <c r="C1008" s="396" t="str">
        <f t="shared" si="361"/>
        <v>LS</v>
      </c>
      <c r="D1008" s="396" t="str">
        <f t="shared" si="362"/>
        <v>KUUM_430</v>
      </c>
      <c r="E1008" s="394">
        <f t="shared" si="363"/>
        <v>1110</v>
      </c>
      <c r="F1008" s="397">
        <v>0</v>
      </c>
      <c r="G1008" s="394">
        <f t="shared" si="359"/>
        <v>0</v>
      </c>
      <c r="H1008" s="394">
        <v>0</v>
      </c>
      <c r="I1008" s="390">
        <f t="shared" si="364"/>
        <v>22</v>
      </c>
      <c r="J1008" s="390">
        <f t="shared" si="365"/>
        <v>1.129999999999999</v>
      </c>
      <c r="K1008" s="391">
        <f t="shared" si="379"/>
        <v>24420</v>
      </c>
      <c r="L1008" s="398">
        <v>0</v>
      </c>
      <c r="M1008" s="398">
        <v>0</v>
      </c>
      <c r="N1008" s="164">
        <f t="shared" si="358"/>
        <v>24420</v>
      </c>
      <c r="O1008" s="399">
        <f t="shared" si="366"/>
        <v>0</v>
      </c>
      <c r="P1008" s="392">
        <f t="shared" si="380"/>
        <v>0</v>
      </c>
      <c r="Q1008" s="164">
        <f t="shared" si="367"/>
        <v>0</v>
      </c>
      <c r="R1008" s="164">
        <f t="shared" si="368"/>
        <v>0</v>
      </c>
      <c r="S1008" s="164">
        <f t="shared" si="369"/>
        <v>0</v>
      </c>
      <c r="T1008" s="164">
        <f t="shared" si="370"/>
        <v>0</v>
      </c>
      <c r="U1008" s="164">
        <f t="shared" si="371"/>
        <v>0</v>
      </c>
      <c r="V1008" s="393">
        <f t="shared" si="372"/>
        <v>24420</v>
      </c>
      <c r="W1008" s="393">
        <f t="shared" si="373"/>
        <v>-24420</v>
      </c>
      <c r="Y1008" s="393">
        <f t="shared" si="376"/>
        <v>1254.3</v>
      </c>
      <c r="Z1008" s="393">
        <f t="shared" si="377"/>
        <v>-1254.3</v>
      </c>
      <c r="AD1008" s="395">
        <f>IF(AH1008&gt;AH1007,AD1007,IF(AD1007&lt;MiscData!$F$1,EOMONTH(AD1007,1),EOMONTH(AD1007,-11)))</f>
        <v>42004</v>
      </c>
      <c r="AE1008" s="389" t="str">
        <f t="shared" si="374"/>
        <v>20140101KUUM_430</v>
      </c>
      <c r="AF1008" s="437" t="str">
        <f t="shared" si="375"/>
        <v>20140101LS</v>
      </c>
      <c r="AG1008" s="438"/>
      <c r="AH1008" s="34">
        <f>IF(AH1007=MiscData!$AB$91,1,AH1007+1)</f>
        <v>39</v>
      </c>
      <c r="AI1008" s="34">
        <f>IF(AD1008&lt;=MiscData!$B$23,MiscData!$C$23,IF(AD1008&lt;=MiscData!$B$24,MiscData!$C$24,MiscData!$C$25))</f>
        <v>20140101</v>
      </c>
      <c r="AK1008" s="439" t="str">
        <f>VLOOKUP(AM1008,MiscData!$AB$4:$ACB$113,2,FALSE)</f>
        <v>KUUM_430</v>
      </c>
      <c r="AL1008" s="439" t="str">
        <f>VLOOKUP(AM1008,MiscData!$AB$4:$AE$115,4,FALSE)</f>
        <v>LS</v>
      </c>
      <c r="AM1008" s="34">
        <f>IF(AM1007=MiscData!$AB$91,1,AM1007+1)</f>
        <v>39</v>
      </c>
    </row>
    <row r="1009" spans="1:39">
      <c r="A1009" s="389">
        <f t="shared" si="378"/>
        <v>1008</v>
      </c>
      <c r="B1009" s="395" t="str">
        <f t="shared" si="360"/>
        <v>Dec 2014</v>
      </c>
      <c r="C1009" s="396" t="str">
        <f t="shared" si="361"/>
        <v>RLS</v>
      </c>
      <c r="D1009" s="396" t="str">
        <f t="shared" si="362"/>
        <v>KUUM_434</v>
      </c>
      <c r="E1009" s="394">
        <f t="shared" si="363"/>
        <v>8</v>
      </c>
      <c r="F1009" s="397">
        <v>0</v>
      </c>
      <c r="G1009" s="394">
        <f t="shared" si="359"/>
        <v>0</v>
      </c>
      <c r="H1009" s="394">
        <v>0</v>
      </c>
      <c r="I1009" s="390">
        <f t="shared" si="364"/>
        <v>7.74</v>
      </c>
      <c r="J1009" s="390">
        <f t="shared" si="365"/>
        <v>0.69999999999999929</v>
      </c>
      <c r="K1009" s="391">
        <f t="shared" si="379"/>
        <v>61.92</v>
      </c>
      <c r="L1009" s="398">
        <v>0</v>
      </c>
      <c r="M1009" s="398">
        <v>0</v>
      </c>
      <c r="N1009" s="164">
        <f t="shared" si="358"/>
        <v>61.92</v>
      </c>
      <c r="O1009" s="399">
        <f t="shared" si="366"/>
        <v>0</v>
      </c>
      <c r="P1009" s="392">
        <f t="shared" si="380"/>
        <v>0</v>
      </c>
      <c r="Q1009" s="164">
        <f t="shared" si="367"/>
        <v>0</v>
      </c>
      <c r="R1009" s="164">
        <f t="shared" si="368"/>
        <v>0</v>
      </c>
      <c r="S1009" s="164">
        <f t="shared" si="369"/>
        <v>0</v>
      </c>
      <c r="T1009" s="164">
        <f t="shared" si="370"/>
        <v>0</v>
      </c>
      <c r="U1009" s="164">
        <f t="shared" si="371"/>
        <v>0</v>
      </c>
      <c r="V1009" s="393">
        <f t="shared" si="372"/>
        <v>61.92</v>
      </c>
      <c r="W1009" s="393">
        <f t="shared" si="373"/>
        <v>-61.92</v>
      </c>
      <c r="Y1009" s="393">
        <f t="shared" si="376"/>
        <v>5.6</v>
      </c>
      <c r="Z1009" s="393">
        <f t="shared" si="377"/>
        <v>-5.6</v>
      </c>
      <c r="AD1009" s="395">
        <f>IF(AH1009&gt;AH1008,AD1008,IF(AD1008&lt;MiscData!$F$1,EOMONTH(AD1008,1),EOMONTH(AD1008,-11)))</f>
        <v>42004</v>
      </c>
      <c r="AE1009" s="389" t="str">
        <f t="shared" si="374"/>
        <v>20140101KUUM_434</v>
      </c>
      <c r="AF1009" s="437" t="str">
        <f t="shared" si="375"/>
        <v>20140101RLS</v>
      </c>
      <c r="AG1009" s="438"/>
      <c r="AH1009" s="34">
        <f>IF(AH1008=MiscData!$AB$91,1,AH1008+1)</f>
        <v>40</v>
      </c>
      <c r="AI1009" s="34">
        <f>IF(AD1009&lt;=MiscData!$B$23,MiscData!$C$23,IF(AD1009&lt;=MiscData!$B$24,MiscData!$C$24,MiscData!$C$25))</f>
        <v>20140101</v>
      </c>
      <c r="AK1009" s="439" t="str">
        <f>VLOOKUP(AM1009,MiscData!$AB$4:$ACB$113,2,FALSE)</f>
        <v>KUUM_434</v>
      </c>
      <c r="AL1009" s="439" t="str">
        <f>VLOOKUP(AM1009,MiscData!$AB$4:$AE$115,4,FALSE)</f>
        <v>RLS</v>
      </c>
      <c r="AM1009" s="34">
        <f>IF(AM1008=MiscData!$AB$91,1,AM1008+1)</f>
        <v>40</v>
      </c>
    </row>
    <row r="1010" spans="1:39">
      <c r="A1010" s="389">
        <f t="shared" si="378"/>
        <v>1009</v>
      </c>
      <c r="B1010" s="395" t="str">
        <f t="shared" si="360"/>
        <v>Dec 2014</v>
      </c>
      <c r="C1010" s="396" t="str">
        <f t="shared" si="361"/>
        <v>RLS</v>
      </c>
      <c r="D1010" s="396" t="str">
        <f t="shared" si="362"/>
        <v>KUUM_440</v>
      </c>
      <c r="E1010" s="394">
        <f t="shared" si="363"/>
        <v>2</v>
      </c>
      <c r="F1010" s="397">
        <v>0</v>
      </c>
      <c r="G1010" s="394">
        <f t="shared" si="359"/>
        <v>0</v>
      </c>
      <c r="H1010" s="394">
        <v>0</v>
      </c>
      <c r="I1010" s="390">
        <f t="shared" si="364"/>
        <v>13.610000000000001</v>
      </c>
      <c r="J1010" s="390">
        <f t="shared" si="365"/>
        <v>0.57000000000000028</v>
      </c>
      <c r="K1010" s="391">
        <f t="shared" si="379"/>
        <v>27.22</v>
      </c>
      <c r="L1010" s="398">
        <v>0</v>
      </c>
      <c r="M1010" s="398">
        <v>0</v>
      </c>
      <c r="N1010" s="164">
        <f t="shared" si="358"/>
        <v>27.22</v>
      </c>
      <c r="O1010" s="399">
        <f t="shared" si="366"/>
        <v>0</v>
      </c>
      <c r="P1010" s="392">
        <f t="shared" si="380"/>
        <v>0</v>
      </c>
      <c r="Q1010" s="164">
        <f t="shared" si="367"/>
        <v>0</v>
      </c>
      <c r="R1010" s="164">
        <f t="shared" si="368"/>
        <v>0</v>
      </c>
      <c r="S1010" s="164">
        <f t="shared" si="369"/>
        <v>0</v>
      </c>
      <c r="T1010" s="164">
        <f t="shared" si="370"/>
        <v>0</v>
      </c>
      <c r="U1010" s="164">
        <f t="shared" si="371"/>
        <v>0</v>
      </c>
      <c r="V1010" s="393">
        <f t="shared" si="372"/>
        <v>27.22</v>
      </c>
      <c r="W1010" s="393">
        <f t="shared" si="373"/>
        <v>-27.22</v>
      </c>
      <c r="Y1010" s="393">
        <f t="shared" si="376"/>
        <v>1.1399999999999999</v>
      </c>
      <c r="Z1010" s="393">
        <f t="shared" si="377"/>
        <v>-1.1399999999999999</v>
      </c>
      <c r="AD1010" s="395">
        <f>IF(AH1010&gt;AH1009,AD1009,IF(AD1009&lt;MiscData!$F$1,EOMONTH(AD1009,1),EOMONTH(AD1009,-11)))</f>
        <v>42004</v>
      </c>
      <c r="AE1010" s="389" t="str">
        <f t="shared" si="374"/>
        <v>20140101KUUM_440</v>
      </c>
      <c r="AF1010" s="437" t="str">
        <f t="shared" si="375"/>
        <v>20140101RLS</v>
      </c>
      <c r="AG1010" s="438"/>
      <c r="AH1010" s="34">
        <f>IF(AH1009=MiscData!$AB$91,1,AH1009+1)</f>
        <v>41</v>
      </c>
      <c r="AI1010" s="34">
        <f>IF(AD1010&lt;=MiscData!$B$23,MiscData!$C$23,IF(AD1010&lt;=MiscData!$B$24,MiscData!$C$24,MiscData!$C$25))</f>
        <v>20140101</v>
      </c>
      <c r="AK1010" s="439" t="str">
        <f>VLOOKUP(AM1010,MiscData!$AB$4:$ACB$113,2,FALSE)</f>
        <v>KUUM_440</v>
      </c>
      <c r="AL1010" s="439" t="str">
        <f>VLOOKUP(AM1010,MiscData!$AB$4:$AE$115,4,FALSE)</f>
        <v>RLS</v>
      </c>
      <c r="AM1010" s="34">
        <f>IF(AM1009=MiscData!$AB$91,1,AM1009+1)</f>
        <v>41</v>
      </c>
    </row>
    <row r="1011" spans="1:39">
      <c r="A1011" s="389">
        <f t="shared" si="378"/>
        <v>1010</v>
      </c>
      <c r="B1011" s="395" t="str">
        <f t="shared" si="360"/>
        <v>Dec 2014</v>
      </c>
      <c r="C1011" s="396" t="str">
        <f t="shared" si="361"/>
        <v>RLS</v>
      </c>
      <c r="D1011" s="396" t="str">
        <f t="shared" si="362"/>
        <v>KUUM_446</v>
      </c>
      <c r="E1011" s="394">
        <f t="shared" si="363"/>
        <v>1049</v>
      </c>
      <c r="F1011" s="397">
        <v>0</v>
      </c>
      <c r="G1011" s="394">
        <f t="shared" si="359"/>
        <v>0</v>
      </c>
      <c r="H1011" s="394">
        <v>0</v>
      </c>
      <c r="I1011" s="390">
        <f t="shared" si="364"/>
        <v>9.5600000000000023</v>
      </c>
      <c r="J1011" s="390">
        <f t="shared" si="365"/>
        <v>1.9900000000000002</v>
      </c>
      <c r="K1011" s="391">
        <f t="shared" si="379"/>
        <v>10028.44</v>
      </c>
      <c r="L1011" s="398">
        <v>0</v>
      </c>
      <c r="M1011" s="398">
        <v>0</v>
      </c>
      <c r="N1011" s="164">
        <f t="shared" si="358"/>
        <v>10028.44</v>
      </c>
      <c r="O1011" s="399">
        <f t="shared" si="366"/>
        <v>0</v>
      </c>
      <c r="P1011" s="392">
        <f t="shared" si="380"/>
        <v>0</v>
      </c>
      <c r="Q1011" s="164">
        <f t="shared" si="367"/>
        <v>0</v>
      </c>
      <c r="R1011" s="164">
        <f t="shared" si="368"/>
        <v>0</v>
      </c>
      <c r="S1011" s="164">
        <f t="shared" si="369"/>
        <v>0</v>
      </c>
      <c r="T1011" s="164">
        <f t="shared" si="370"/>
        <v>0</v>
      </c>
      <c r="U1011" s="164">
        <f t="shared" si="371"/>
        <v>0</v>
      </c>
      <c r="V1011" s="393">
        <f t="shared" si="372"/>
        <v>10028.44</v>
      </c>
      <c r="W1011" s="393">
        <f t="shared" si="373"/>
        <v>-10028.44</v>
      </c>
      <c r="Y1011" s="393">
        <f t="shared" si="376"/>
        <v>2087.5100000000002</v>
      </c>
      <c r="Z1011" s="393">
        <f t="shared" si="377"/>
        <v>-2087.5100000000002</v>
      </c>
      <c r="AD1011" s="395">
        <f>IF(AH1011&gt;AH1010,AD1010,IF(AD1010&lt;MiscData!$F$1,EOMONTH(AD1010,1),EOMONTH(AD1010,-11)))</f>
        <v>42004</v>
      </c>
      <c r="AE1011" s="389" t="str">
        <f t="shared" si="374"/>
        <v>20140101KUUM_446</v>
      </c>
      <c r="AF1011" s="437" t="str">
        <f t="shared" si="375"/>
        <v>20140101RLS</v>
      </c>
      <c r="AG1011" s="438"/>
      <c r="AH1011" s="34">
        <f>IF(AH1010=MiscData!$AB$91,1,AH1010+1)</f>
        <v>42</v>
      </c>
      <c r="AI1011" s="34">
        <f>IF(AD1011&lt;=MiscData!$B$23,MiscData!$C$23,IF(AD1011&lt;=MiscData!$B$24,MiscData!$C$24,MiscData!$C$25))</f>
        <v>20140101</v>
      </c>
      <c r="AK1011" s="439" t="str">
        <f>VLOOKUP(AM1011,MiscData!$AB$4:$ACB$113,2,FALSE)</f>
        <v>KUUM_446</v>
      </c>
      <c r="AL1011" s="439" t="str">
        <f>VLOOKUP(AM1011,MiscData!$AB$4:$AE$115,4,FALSE)</f>
        <v>RLS</v>
      </c>
      <c r="AM1011" s="34">
        <f>IF(AM1010=MiscData!$AB$91,1,AM1010+1)</f>
        <v>42</v>
      </c>
    </row>
    <row r="1012" spans="1:39">
      <c r="A1012" s="389">
        <f t="shared" si="378"/>
        <v>1011</v>
      </c>
      <c r="B1012" s="395" t="str">
        <f t="shared" si="360"/>
        <v>Dec 2014</v>
      </c>
      <c r="C1012" s="396" t="str">
        <f t="shared" si="361"/>
        <v>RLS</v>
      </c>
      <c r="D1012" s="396" t="str">
        <f t="shared" si="362"/>
        <v>KUUM_447</v>
      </c>
      <c r="E1012" s="394">
        <f t="shared" si="363"/>
        <v>730</v>
      </c>
      <c r="F1012" s="397">
        <v>0</v>
      </c>
      <c r="G1012" s="394">
        <f t="shared" si="359"/>
        <v>0</v>
      </c>
      <c r="H1012" s="394">
        <v>0</v>
      </c>
      <c r="I1012" s="390">
        <f t="shared" si="364"/>
        <v>11.32</v>
      </c>
      <c r="J1012" s="390">
        <f t="shared" si="365"/>
        <v>2.8400000000000016</v>
      </c>
      <c r="K1012" s="391">
        <f t="shared" si="379"/>
        <v>8263.6</v>
      </c>
      <c r="L1012" s="398">
        <v>0</v>
      </c>
      <c r="M1012" s="398">
        <v>0</v>
      </c>
      <c r="N1012" s="164">
        <f t="shared" si="358"/>
        <v>8263.6</v>
      </c>
      <c r="O1012" s="399">
        <f t="shared" si="366"/>
        <v>0</v>
      </c>
      <c r="P1012" s="392">
        <f t="shared" si="380"/>
        <v>0</v>
      </c>
      <c r="Q1012" s="164">
        <f t="shared" si="367"/>
        <v>0</v>
      </c>
      <c r="R1012" s="164">
        <f t="shared" si="368"/>
        <v>0</v>
      </c>
      <c r="S1012" s="164">
        <f t="shared" si="369"/>
        <v>0</v>
      </c>
      <c r="T1012" s="164">
        <f t="shared" si="370"/>
        <v>0</v>
      </c>
      <c r="U1012" s="164">
        <f t="shared" si="371"/>
        <v>0</v>
      </c>
      <c r="V1012" s="393">
        <f t="shared" si="372"/>
        <v>8263.6</v>
      </c>
      <c r="W1012" s="393">
        <f t="shared" si="373"/>
        <v>-8263.6</v>
      </c>
      <c r="Y1012" s="393">
        <f t="shared" si="376"/>
        <v>2073.1999999999998</v>
      </c>
      <c r="Z1012" s="393">
        <f t="shared" si="377"/>
        <v>-2073.1999999999998</v>
      </c>
      <c r="AD1012" s="395">
        <f>IF(AH1012&gt;AH1011,AD1011,IF(AD1011&lt;MiscData!$F$1,EOMONTH(AD1011,1),EOMONTH(AD1011,-11)))</f>
        <v>42004</v>
      </c>
      <c r="AE1012" s="389" t="str">
        <f t="shared" si="374"/>
        <v>20140101KUUM_447</v>
      </c>
      <c r="AF1012" s="437" t="str">
        <f t="shared" si="375"/>
        <v>20140101RLS</v>
      </c>
      <c r="AG1012" s="438"/>
      <c r="AH1012" s="34">
        <f>IF(AH1011=MiscData!$AB$91,1,AH1011+1)</f>
        <v>43</v>
      </c>
      <c r="AI1012" s="34">
        <f>IF(AD1012&lt;=MiscData!$B$23,MiscData!$C$23,IF(AD1012&lt;=MiscData!$B$24,MiscData!$C$24,MiscData!$C$25))</f>
        <v>20140101</v>
      </c>
      <c r="AK1012" s="439" t="str">
        <f>VLOOKUP(AM1012,MiscData!$AB$4:$ACB$113,2,FALSE)</f>
        <v>KUUM_447</v>
      </c>
      <c r="AL1012" s="439" t="str">
        <f>VLOOKUP(AM1012,MiscData!$AB$4:$AE$115,4,FALSE)</f>
        <v>RLS</v>
      </c>
      <c r="AM1012" s="34">
        <f>IF(AM1011=MiscData!$AB$91,1,AM1011+1)</f>
        <v>43</v>
      </c>
    </row>
    <row r="1013" spans="1:39">
      <c r="A1013" s="389">
        <f t="shared" si="378"/>
        <v>1012</v>
      </c>
      <c r="B1013" s="395" t="str">
        <f t="shared" si="360"/>
        <v>Dec 2014</v>
      </c>
      <c r="C1013" s="396" t="str">
        <f t="shared" si="361"/>
        <v>RLS</v>
      </c>
      <c r="D1013" s="396" t="str">
        <f t="shared" si="362"/>
        <v>KUUM_448</v>
      </c>
      <c r="E1013" s="394">
        <f t="shared" si="363"/>
        <v>1467</v>
      </c>
      <c r="F1013" s="397">
        <v>0</v>
      </c>
      <c r="G1013" s="394">
        <f t="shared" si="359"/>
        <v>0</v>
      </c>
      <c r="H1013" s="394">
        <v>0</v>
      </c>
      <c r="I1013" s="390">
        <f t="shared" si="364"/>
        <v>12.809999999999999</v>
      </c>
      <c r="J1013" s="390">
        <f t="shared" si="365"/>
        <v>4.37</v>
      </c>
      <c r="K1013" s="391">
        <f t="shared" si="379"/>
        <v>18792.27</v>
      </c>
      <c r="L1013" s="398">
        <v>0</v>
      </c>
      <c r="M1013" s="398">
        <v>0</v>
      </c>
      <c r="N1013" s="164">
        <f t="shared" si="358"/>
        <v>18792.27</v>
      </c>
      <c r="O1013" s="399">
        <f t="shared" si="366"/>
        <v>0</v>
      </c>
      <c r="P1013" s="392">
        <f t="shared" si="380"/>
        <v>0</v>
      </c>
      <c r="Q1013" s="164">
        <f t="shared" si="367"/>
        <v>0</v>
      </c>
      <c r="R1013" s="164">
        <f t="shared" si="368"/>
        <v>0</v>
      </c>
      <c r="S1013" s="164">
        <f t="shared" si="369"/>
        <v>0</v>
      </c>
      <c r="T1013" s="164">
        <f t="shared" si="370"/>
        <v>0</v>
      </c>
      <c r="U1013" s="164">
        <f t="shared" si="371"/>
        <v>0</v>
      </c>
      <c r="V1013" s="393">
        <f t="shared" si="372"/>
        <v>18792.27</v>
      </c>
      <c r="W1013" s="393">
        <f t="shared" si="373"/>
        <v>-18792.27</v>
      </c>
      <c r="Y1013" s="393">
        <f t="shared" si="376"/>
        <v>6410.79</v>
      </c>
      <c r="Z1013" s="393">
        <f t="shared" si="377"/>
        <v>-6410.79</v>
      </c>
      <c r="AD1013" s="395">
        <f>IF(AH1013&gt;AH1012,AD1012,IF(AD1012&lt;MiscData!$F$1,EOMONTH(AD1012,1),EOMONTH(AD1012,-11)))</f>
        <v>42004</v>
      </c>
      <c r="AE1013" s="389" t="str">
        <f t="shared" si="374"/>
        <v>20140101KUUM_448</v>
      </c>
      <c r="AF1013" s="437" t="str">
        <f t="shared" si="375"/>
        <v>20140101RLS</v>
      </c>
      <c r="AG1013" s="438"/>
      <c r="AH1013" s="34">
        <f>IF(AH1012=MiscData!$AB$91,1,AH1012+1)</f>
        <v>44</v>
      </c>
      <c r="AI1013" s="34">
        <f>IF(AD1013&lt;=MiscData!$B$23,MiscData!$C$23,IF(AD1013&lt;=MiscData!$B$24,MiscData!$C$24,MiscData!$C$25))</f>
        <v>20140101</v>
      </c>
      <c r="AK1013" s="439" t="str">
        <f>VLOOKUP(AM1013,MiscData!$AB$4:$ACB$113,2,FALSE)</f>
        <v>KUUM_448</v>
      </c>
      <c r="AL1013" s="439" t="str">
        <f>VLOOKUP(AM1013,MiscData!$AB$4:$AE$115,4,FALSE)</f>
        <v>RLS</v>
      </c>
      <c r="AM1013" s="34">
        <f>IF(AM1012=MiscData!$AB$91,1,AM1012+1)</f>
        <v>44</v>
      </c>
    </row>
    <row r="1014" spans="1:39">
      <c r="A1014" s="389">
        <f t="shared" si="378"/>
        <v>1013</v>
      </c>
      <c r="B1014" s="395" t="str">
        <f t="shared" si="360"/>
        <v>Dec 2014</v>
      </c>
      <c r="C1014" s="396" t="str">
        <f t="shared" si="361"/>
        <v>LS</v>
      </c>
      <c r="D1014" s="396" t="str">
        <f t="shared" si="362"/>
        <v>KUUM_450</v>
      </c>
      <c r="E1014" s="394">
        <f t="shared" si="363"/>
        <v>633</v>
      </c>
      <c r="F1014" s="397">
        <v>0</v>
      </c>
      <c r="G1014" s="394">
        <f t="shared" si="359"/>
        <v>0</v>
      </c>
      <c r="H1014" s="394">
        <v>0</v>
      </c>
      <c r="I1014" s="390">
        <f t="shared" si="364"/>
        <v>14.25</v>
      </c>
      <c r="J1014" s="390">
        <f t="shared" si="365"/>
        <v>1.9699999999999989</v>
      </c>
      <c r="K1014" s="391">
        <f t="shared" si="379"/>
        <v>9020.25</v>
      </c>
      <c r="L1014" s="398">
        <v>0</v>
      </c>
      <c r="M1014" s="398">
        <v>0</v>
      </c>
      <c r="N1014" s="164">
        <f t="shared" si="358"/>
        <v>9020.25</v>
      </c>
      <c r="O1014" s="399">
        <f t="shared" si="366"/>
        <v>0</v>
      </c>
      <c r="P1014" s="392">
        <f t="shared" si="380"/>
        <v>0</v>
      </c>
      <c r="Q1014" s="164">
        <f t="shared" si="367"/>
        <v>0</v>
      </c>
      <c r="R1014" s="164">
        <f t="shared" si="368"/>
        <v>0</v>
      </c>
      <c r="S1014" s="164">
        <f t="shared" si="369"/>
        <v>0</v>
      </c>
      <c r="T1014" s="164">
        <f t="shared" si="370"/>
        <v>0</v>
      </c>
      <c r="U1014" s="164">
        <f t="shared" si="371"/>
        <v>0</v>
      </c>
      <c r="V1014" s="393">
        <f t="shared" si="372"/>
        <v>9020.25</v>
      </c>
      <c r="W1014" s="393">
        <f t="shared" si="373"/>
        <v>-9020.25</v>
      </c>
      <c r="Y1014" s="393">
        <f t="shared" si="376"/>
        <v>1247.01</v>
      </c>
      <c r="Z1014" s="393">
        <f t="shared" si="377"/>
        <v>-1247.01</v>
      </c>
      <c r="AD1014" s="395">
        <f>IF(AH1014&gt;AH1013,AD1013,IF(AD1013&lt;MiscData!$F$1,EOMONTH(AD1013,1),EOMONTH(AD1013,-11)))</f>
        <v>42004</v>
      </c>
      <c r="AE1014" s="389" t="str">
        <f t="shared" si="374"/>
        <v>20140101KUUM_450</v>
      </c>
      <c r="AF1014" s="437" t="str">
        <f t="shared" si="375"/>
        <v>20140101LS</v>
      </c>
      <c r="AG1014" s="438"/>
      <c r="AH1014" s="34">
        <f>IF(AH1013=MiscData!$AB$91,1,AH1013+1)</f>
        <v>45</v>
      </c>
      <c r="AI1014" s="34">
        <f>IF(AD1014&lt;=MiscData!$B$23,MiscData!$C$23,IF(AD1014&lt;=MiscData!$B$24,MiscData!$C$24,MiscData!$C$25))</f>
        <v>20140101</v>
      </c>
      <c r="AK1014" s="439" t="str">
        <f>VLOOKUP(AM1014,MiscData!$AB$4:$ACB$113,2,FALSE)</f>
        <v>KUUM_450</v>
      </c>
      <c r="AL1014" s="439" t="str">
        <f>VLOOKUP(AM1014,MiscData!$AB$4:$AE$115,4,FALSE)</f>
        <v>LS</v>
      </c>
      <c r="AM1014" s="34">
        <f>IF(AM1013=MiscData!$AB$91,1,AM1013+1)</f>
        <v>45</v>
      </c>
    </row>
    <row r="1015" spans="1:39">
      <c r="A1015" s="389">
        <f t="shared" si="378"/>
        <v>1014</v>
      </c>
      <c r="B1015" s="395" t="str">
        <f t="shared" si="360"/>
        <v>Dec 2014</v>
      </c>
      <c r="C1015" s="396" t="str">
        <f t="shared" si="361"/>
        <v>LS</v>
      </c>
      <c r="D1015" s="396" t="str">
        <f t="shared" si="362"/>
        <v>KUUM_451</v>
      </c>
      <c r="E1015" s="394">
        <f t="shared" si="363"/>
        <v>4830</v>
      </c>
      <c r="F1015" s="397">
        <v>0</v>
      </c>
      <c r="G1015" s="394">
        <f t="shared" si="359"/>
        <v>0</v>
      </c>
      <c r="H1015" s="394">
        <v>0</v>
      </c>
      <c r="I1015" s="390">
        <f t="shared" si="364"/>
        <v>20.200000000000003</v>
      </c>
      <c r="J1015" s="390">
        <f t="shared" si="365"/>
        <v>4.2900000000000027</v>
      </c>
      <c r="K1015" s="391">
        <f t="shared" si="379"/>
        <v>97566</v>
      </c>
      <c r="L1015" s="398">
        <v>0</v>
      </c>
      <c r="M1015" s="398">
        <v>0</v>
      </c>
      <c r="N1015" s="164">
        <f t="shared" si="358"/>
        <v>97566</v>
      </c>
      <c r="O1015" s="399">
        <f t="shared" si="366"/>
        <v>0</v>
      </c>
      <c r="P1015" s="392">
        <f t="shared" si="380"/>
        <v>0</v>
      </c>
      <c r="Q1015" s="164">
        <f t="shared" si="367"/>
        <v>0</v>
      </c>
      <c r="R1015" s="164">
        <f t="shared" si="368"/>
        <v>0</v>
      </c>
      <c r="S1015" s="164">
        <f t="shared" si="369"/>
        <v>0</v>
      </c>
      <c r="T1015" s="164">
        <f t="shared" si="370"/>
        <v>0</v>
      </c>
      <c r="U1015" s="164">
        <f t="shared" si="371"/>
        <v>0</v>
      </c>
      <c r="V1015" s="393">
        <f t="shared" si="372"/>
        <v>97566</v>
      </c>
      <c r="W1015" s="393">
        <f t="shared" si="373"/>
        <v>-97566</v>
      </c>
      <c r="Y1015" s="393">
        <f t="shared" si="376"/>
        <v>20720.7</v>
      </c>
      <c r="Z1015" s="393">
        <f t="shared" si="377"/>
        <v>-20720.7</v>
      </c>
      <c r="AD1015" s="395">
        <f>IF(AH1015&gt;AH1014,AD1014,IF(AD1014&lt;MiscData!$F$1,EOMONTH(AD1014,1),EOMONTH(AD1014,-11)))</f>
        <v>42004</v>
      </c>
      <c r="AE1015" s="389" t="str">
        <f t="shared" si="374"/>
        <v>20140101KUUM_451</v>
      </c>
      <c r="AF1015" s="437" t="str">
        <f t="shared" si="375"/>
        <v>20140101LS</v>
      </c>
      <c r="AG1015" s="438"/>
      <c r="AH1015" s="34">
        <f>IF(AH1014=MiscData!$AB$91,1,AH1014+1)</f>
        <v>46</v>
      </c>
      <c r="AI1015" s="34">
        <f>IF(AD1015&lt;=MiscData!$B$23,MiscData!$C$23,IF(AD1015&lt;=MiscData!$B$24,MiscData!$C$24,MiscData!$C$25))</f>
        <v>20140101</v>
      </c>
      <c r="AK1015" s="439" t="str">
        <f>VLOOKUP(AM1015,MiscData!$AB$4:$ACB$113,2,FALSE)</f>
        <v>KUUM_451</v>
      </c>
      <c r="AL1015" s="439" t="str">
        <f>VLOOKUP(AM1015,MiscData!$AB$4:$AE$115,4,FALSE)</f>
        <v>LS</v>
      </c>
      <c r="AM1015" s="34">
        <f>IF(AM1014=MiscData!$AB$91,1,AM1014+1)</f>
        <v>46</v>
      </c>
    </row>
    <row r="1016" spans="1:39">
      <c r="A1016" s="389">
        <f t="shared" si="378"/>
        <v>1015</v>
      </c>
      <c r="B1016" s="395" t="str">
        <f t="shared" si="360"/>
        <v>Dec 2014</v>
      </c>
      <c r="C1016" s="396" t="str">
        <f t="shared" si="361"/>
        <v>LS</v>
      </c>
      <c r="D1016" s="396" t="str">
        <f t="shared" si="362"/>
        <v>KUUM_452</v>
      </c>
      <c r="E1016" s="394">
        <f t="shared" si="363"/>
        <v>1016</v>
      </c>
      <c r="F1016" s="397">
        <v>0</v>
      </c>
      <c r="G1016" s="394">
        <f t="shared" si="359"/>
        <v>0</v>
      </c>
      <c r="H1016" s="394">
        <v>0</v>
      </c>
      <c r="I1016" s="390">
        <f t="shared" si="364"/>
        <v>42.350000000000009</v>
      </c>
      <c r="J1016" s="390">
        <f t="shared" si="365"/>
        <v>10.410000000000004</v>
      </c>
      <c r="K1016" s="391">
        <f t="shared" si="379"/>
        <v>43027.6</v>
      </c>
      <c r="L1016" s="398">
        <v>0</v>
      </c>
      <c r="M1016" s="398">
        <v>0</v>
      </c>
      <c r="N1016" s="164">
        <f t="shared" ref="N1016:N1057" si="381">SUM(K1016:M1016)</f>
        <v>43027.6</v>
      </c>
      <c r="O1016" s="399">
        <f t="shared" si="366"/>
        <v>0</v>
      </c>
      <c r="P1016" s="392">
        <f t="shared" si="380"/>
        <v>0</v>
      </c>
      <c r="Q1016" s="164">
        <f t="shared" si="367"/>
        <v>0</v>
      </c>
      <c r="R1016" s="164">
        <f t="shared" si="368"/>
        <v>0</v>
      </c>
      <c r="S1016" s="164">
        <f t="shared" si="369"/>
        <v>0</v>
      </c>
      <c r="T1016" s="164">
        <f t="shared" si="370"/>
        <v>0</v>
      </c>
      <c r="U1016" s="164">
        <f t="shared" si="371"/>
        <v>0</v>
      </c>
      <c r="V1016" s="393">
        <f t="shared" si="372"/>
        <v>43027.6</v>
      </c>
      <c r="W1016" s="393">
        <f t="shared" si="373"/>
        <v>-43027.6</v>
      </c>
      <c r="Y1016" s="393">
        <f t="shared" si="376"/>
        <v>10576.56</v>
      </c>
      <c r="Z1016" s="393">
        <f t="shared" si="377"/>
        <v>-10576.56</v>
      </c>
      <c r="AD1016" s="395">
        <f>IF(AH1016&gt;AH1015,AD1015,IF(AD1015&lt;MiscData!$F$1,EOMONTH(AD1015,1),EOMONTH(AD1015,-11)))</f>
        <v>42004</v>
      </c>
      <c r="AE1016" s="389" t="str">
        <f t="shared" si="374"/>
        <v>20140101KUUM_452</v>
      </c>
      <c r="AF1016" s="437" t="str">
        <f t="shared" si="375"/>
        <v>20140101LS</v>
      </c>
      <c r="AG1016" s="438"/>
      <c r="AH1016" s="34">
        <f>IF(AH1015=MiscData!$AB$91,1,AH1015+1)</f>
        <v>47</v>
      </c>
      <c r="AI1016" s="34">
        <f>IF(AD1016&lt;=MiscData!$B$23,MiscData!$C$23,IF(AD1016&lt;=MiscData!$B$24,MiscData!$C$24,MiscData!$C$25))</f>
        <v>20140101</v>
      </c>
      <c r="AK1016" s="439" t="str">
        <f>VLOOKUP(AM1016,MiscData!$AB$4:$ACB$113,2,FALSE)</f>
        <v>KUUM_452</v>
      </c>
      <c r="AL1016" s="439" t="str">
        <f>VLOOKUP(AM1016,MiscData!$AB$4:$AE$115,4,FALSE)</f>
        <v>LS</v>
      </c>
      <c r="AM1016" s="34">
        <f>IF(AM1015=MiscData!$AB$91,1,AM1015+1)</f>
        <v>47</v>
      </c>
    </row>
    <row r="1017" spans="1:39">
      <c r="A1017" s="389">
        <f t="shared" si="378"/>
        <v>1016</v>
      </c>
      <c r="B1017" s="395" t="str">
        <f t="shared" si="360"/>
        <v>Dec 2014</v>
      </c>
      <c r="C1017" s="396" t="str">
        <f t="shared" si="361"/>
        <v>RLS</v>
      </c>
      <c r="D1017" s="396" t="str">
        <f t="shared" si="362"/>
        <v>KUUM_454</v>
      </c>
      <c r="E1017" s="394">
        <f t="shared" si="363"/>
        <v>150</v>
      </c>
      <c r="F1017" s="397">
        <v>0</v>
      </c>
      <c r="G1017" s="394">
        <f t="shared" ref="G1017:G1057" si="382">SUMIFS(_SBR_KWH,_SBR_Revenue_Month,$B1017,_SBR_Rate_Category,$D1017)</f>
        <v>0</v>
      </c>
      <c r="H1017" s="394">
        <v>0</v>
      </c>
      <c r="I1017" s="390">
        <f t="shared" si="364"/>
        <v>18.649999999999999</v>
      </c>
      <c r="J1017" s="390">
        <f t="shared" si="365"/>
        <v>1.9699999999999989</v>
      </c>
      <c r="K1017" s="391">
        <f t="shared" si="379"/>
        <v>2797.5</v>
      </c>
      <c r="L1017" s="398">
        <v>0</v>
      </c>
      <c r="M1017" s="398">
        <v>0</v>
      </c>
      <c r="N1017" s="164">
        <f t="shared" si="381"/>
        <v>2797.5</v>
      </c>
      <c r="O1017" s="399">
        <f t="shared" si="366"/>
        <v>0</v>
      </c>
      <c r="P1017" s="392">
        <f t="shared" si="380"/>
        <v>0</v>
      </c>
      <c r="Q1017" s="164">
        <f t="shared" si="367"/>
        <v>0</v>
      </c>
      <c r="R1017" s="164">
        <f t="shared" si="368"/>
        <v>0</v>
      </c>
      <c r="S1017" s="164">
        <f t="shared" si="369"/>
        <v>0</v>
      </c>
      <c r="T1017" s="164">
        <f t="shared" si="370"/>
        <v>0</v>
      </c>
      <c r="U1017" s="164">
        <f t="shared" si="371"/>
        <v>0</v>
      </c>
      <c r="V1017" s="393">
        <f t="shared" si="372"/>
        <v>2797.5</v>
      </c>
      <c r="W1017" s="393">
        <f t="shared" si="373"/>
        <v>-2797.5</v>
      </c>
      <c r="Y1017" s="393">
        <f t="shared" si="376"/>
        <v>295.5</v>
      </c>
      <c r="Z1017" s="393">
        <f t="shared" si="377"/>
        <v>-295.5</v>
      </c>
      <c r="AD1017" s="395">
        <f>IF(AH1017&gt;AH1016,AD1016,IF(AD1016&lt;MiscData!$F$1,EOMONTH(AD1016,1),EOMONTH(AD1016,-11)))</f>
        <v>42004</v>
      </c>
      <c r="AE1017" s="389" t="str">
        <f t="shared" si="374"/>
        <v>20140101KUUM_454</v>
      </c>
      <c r="AF1017" s="437" t="str">
        <f t="shared" si="375"/>
        <v>20140101RLS</v>
      </c>
      <c r="AG1017" s="438"/>
      <c r="AH1017" s="34">
        <f>IF(AH1016=MiscData!$AB$91,1,AH1016+1)</f>
        <v>48</v>
      </c>
      <c r="AI1017" s="34">
        <f>IF(AD1017&lt;=MiscData!$B$23,MiscData!$C$23,IF(AD1017&lt;=MiscData!$B$24,MiscData!$C$24,MiscData!$C$25))</f>
        <v>20140101</v>
      </c>
      <c r="AK1017" s="439" t="str">
        <f>VLOOKUP(AM1017,MiscData!$AB$4:$ACB$113,2,FALSE)</f>
        <v>KUUM_454</v>
      </c>
      <c r="AL1017" s="439" t="str">
        <f>VLOOKUP(AM1017,MiscData!$AB$4:$AE$115,4,FALSE)</f>
        <v>RLS</v>
      </c>
      <c r="AM1017" s="34">
        <f>IF(AM1016=MiscData!$AB$91,1,AM1016+1)</f>
        <v>48</v>
      </c>
    </row>
    <row r="1018" spans="1:39">
      <c r="A1018" s="389">
        <f t="shared" si="378"/>
        <v>1017</v>
      </c>
      <c r="B1018" s="395" t="str">
        <f t="shared" ref="B1018:B1057" si="383">TEXT(AD1018,"mmm yyyy")</f>
        <v>Dec 2014</v>
      </c>
      <c r="C1018" s="396" t="str">
        <f t="shared" ref="C1018:C1057" si="384">AL1018</f>
        <v>RLS</v>
      </c>
      <c r="D1018" s="396" t="str">
        <f t="shared" ref="D1018:D1057" si="385">AK1018</f>
        <v>KUUM_455</v>
      </c>
      <c r="E1018" s="394">
        <f t="shared" ref="E1018:E1057" si="386">SUMIFS(_1055_Light_Count,_1055_RevMonth,$B1018,_1055_RateCategory,$D1018)</f>
        <v>999</v>
      </c>
      <c r="F1018" s="397">
        <v>0</v>
      </c>
      <c r="G1018" s="394">
        <f t="shared" si="382"/>
        <v>0</v>
      </c>
      <c r="H1018" s="394">
        <v>0</v>
      </c>
      <c r="I1018" s="390">
        <f t="shared" ref="I1018:I1057" si="387">SUMIF(_Lights_Tariff_Category,$AE1018,_Lights_Rates)</f>
        <v>24.59</v>
      </c>
      <c r="J1018" s="390">
        <f t="shared" ref="J1018:J1057" si="388">SUMIF(_Lights_Tariff_Category,$AE1018,_Rates_Lights_BaseFAC)</f>
        <v>4.2899999999999991</v>
      </c>
      <c r="K1018" s="391">
        <f t="shared" si="379"/>
        <v>24565.41</v>
      </c>
      <c r="L1018" s="398">
        <v>0</v>
      </c>
      <c r="M1018" s="398">
        <v>0</v>
      </c>
      <c r="N1018" s="164">
        <f t="shared" si="381"/>
        <v>24565.41</v>
      </c>
      <c r="O1018" s="399">
        <f t="shared" ref="O1018:O1057" si="389">U1018-SUM(Q1018:T1018)</f>
        <v>0</v>
      </c>
      <c r="P1018" s="392">
        <f t="shared" si="380"/>
        <v>0</v>
      </c>
      <c r="Q1018" s="164">
        <f t="shared" ref="Q1018:Q1057" si="390">SUMIFS(_SBR_FAC,_SBR_Revenue_Month,$B1018,_SBR_Rate_Category,$D1018)</f>
        <v>0</v>
      </c>
      <c r="R1018" s="164">
        <f t="shared" ref="R1018:R1057" si="391">SUMIFS(_SBR_DSM,_SBR_Revenue_Month,$B1018,_SBR_Rate_Category,$D1018)</f>
        <v>0</v>
      </c>
      <c r="S1018" s="164">
        <f t="shared" ref="S1018:S1057" si="392">SUMIFS(_SBR_ECR,_SBR_Revenue_Month,$B1018,_SBR_Rate_Category,$D1018)</f>
        <v>0</v>
      </c>
      <c r="T1018" s="164">
        <f t="shared" ref="T1018:T1057" si="393">SUMIFS(_SBR_MSR,_SBR_Revenue_Month,$B1018,_SBR_Rate_Category,$D1018)</f>
        <v>0</v>
      </c>
      <c r="U1018" s="164">
        <f t="shared" ref="U1018:U1057" si="394">SUMIFS(_SBR_Revenue_Actual,_SBR_Revenue_Month,$B1018,_SBR_Rate_Category,$D1018)</f>
        <v>0</v>
      </c>
      <c r="V1018" s="393">
        <f t="shared" ref="V1018:V1057" si="395">SUM(N1018,Q1018:T1018)</f>
        <v>24565.41</v>
      </c>
      <c r="W1018" s="393">
        <f t="shared" ref="W1018:W1057" si="396">U1018-V1018</f>
        <v>-24565.41</v>
      </c>
      <c r="Y1018" s="393">
        <f t="shared" si="376"/>
        <v>4285.71</v>
      </c>
      <c r="Z1018" s="393">
        <f t="shared" si="377"/>
        <v>-4285.71</v>
      </c>
      <c r="AD1018" s="395">
        <f>IF(AH1018&gt;AH1017,AD1017,IF(AD1017&lt;MiscData!$F$1,EOMONTH(AD1017,1),EOMONTH(AD1017,-11)))</f>
        <v>42004</v>
      </c>
      <c r="AE1018" s="389" t="str">
        <f t="shared" ref="AE1018:AE1057" si="397">CONCATENATE(AI1018&amp;AK1018)</f>
        <v>20140101KUUM_455</v>
      </c>
      <c r="AF1018" s="437" t="str">
        <f t="shared" ref="AF1018:AF1057" si="398">CONCATENATE(AI1018&amp;AL1018)</f>
        <v>20140101RLS</v>
      </c>
      <c r="AG1018" s="438"/>
      <c r="AH1018" s="34">
        <f>IF(AH1017=MiscData!$AB$91,1,AH1017+1)</f>
        <v>49</v>
      </c>
      <c r="AI1018" s="34">
        <f>IF(AD1018&lt;=MiscData!$B$23,MiscData!$C$23,IF(AD1018&lt;=MiscData!$B$24,MiscData!$C$24,MiscData!$C$25))</f>
        <v>20140101</v>
      </c>
      <c r="AK1018" s="439" t="str">
        <f>VLOOKUP(AM1018,MiscData!$AB$4:$ACB$113,2,FALSE)</f>
        <v>KUUM_455</v>
      </c>
      <c r="AL1018" s="439" t="str">
        <f>VLOOKUP(AM1018,MiscData!$AB$4:$AE$115,4,FALSE)</f>
        <v>RLS</v>
      </c>
      <c r="AM1018" s="34">
        <f>IF(AM1017=MiscData!$AB$91,1,AM1017+1)</f>
        <v>49</v>
      </c>
    </row>
    <row r="1019" spans="1:39">
      <c r="A1019" s="389">
        <f t="shared" si="378"/>
        <v>1018</v>
      </c>
      <c r="B1019" s="395" t="str">
        <f t="shared" si="383"/>
        <v>Dec 2014</v>
      </c>
      <c r="C1019" s="396" t="str">
        <f t="shared" si="384"/>
        <v>RLS</v>
      </c>
      <c r="D1019" s="396" t="str">
        <f t="shared" si="385"/>
        <v>KUUM_456</v>
      </c>
      <c r="E1019" s="394">
        <f t="shared" si="386"/>
        <v>136</v>
      </c>
      <c r="F1019" s="397">
        <v>0</v>
      </c>
      <c r="G1019" s="394">
        <f t="shared" si="382"/>
        <v>0</v>
      </c>
      <c r="H1019" s="394">
        <v>0</v>
      </c>
      <c r="I1019" s="390">
        <f t="shared" si="387"/>
        <v>11.870000000000001</v>
      </c>
      <c r="J1019" s="390">
        <f t="shared" si="388"/>
        <v>1.9900000000000002</v>
      </c>
      <c r="K1019" s="391">
        <f t="shared" si="379"/>
        <v>1614.32</v>
      </c>
      <c r="L1019" s="398">
        <v>0</v>
      </c>
      <c r="M1019" s="398">
        <v>0</v>
      </c>
      <c r="N1019" s="164">
        <f t="shared" si="381"/>
        <v>1614.32</v>
      </c>
      <c r="O1019" s="399">
        <f t="shared" si="389"/>
        <v>0</v>
      </c>
      <c r="P1019" s="392">
        <f t="shared" si="380"/>
        <v>0</v>
      </c>
      <c r="Q1019" s="164">
        <f t="shared" si="390"/>
        <v>0</v>
      </c>
      <c r="R1019" s="164">
        <f t="shared" si="391"/>
        <v>0</v>
      </c>
      <c r="S1019" s="164">
        <f t="shared" si="392"/>
        <v>0</v>
      </c>
      <c r="T1019" s="164">
        <f t="shared" si="393"/>
        <v>0</v>
      </c>
      <c r="U1019" s="164">
        <f t="shared" si="394"/>
        <v>0</v>
      </c>
      <c r="V1019" s="393">
        <f t="shared" si="395"/>
        <v>1614.32</v>
      </c>
      <c r="W1019" s="393">
        <f t="shared" si="396"/>
        <v>-1614.32</v>
      </c>
      <c r="Y1019" s="393">
        <f t="shared" ref="Y1019:Y1057" si="399">ROUND(E1019*J1019,2)</f>
        <v>270.64</v>
      </c>
      <c r="Z1019" s="393">
        <f t="shared" ref="Z1019:Z1057" si="400">O1019-Y1019</f>
        <v>-270.64</v>
      </c>
      <c r="AD1019" s="395">
        <f>IF(AH1019&gt;AH1018,AD1018,IF(AD1018&lt;MiscData!$F$1,EOMONTH(AD1018,1),EOMONTH(AD1018,-11)))</f>
        <v>42004</v>
      </c>
      <c r="AE1019" s="389" t="str">
        <f t="shared" si="397"/>
        <v>20140101KUUM_456</v>
      </c>
      <c r="AF1019" s="437" t="str">
        <f t="shared" si="398"/>
        <v>20140101RLS</v>
      </c>
      <c r="AG1019" s="438"/>
      <c r="AH1019" s="34">
        <f>IF(AH1018=MiscData!$AB$91,1,AH1018+1)</f>
        <v>50</v>
      </c>
      <c r="AI1019" s="34">
        <f>IF(AD1019&lt;=MiscData!$B$23,MiscData!$C$23,IF(AD1019&lt;=MiscData!$B$24,MiscData!$C$24,MiscData!$C$25))</f>
        <v>20140101</v>
      </c>
      <c r="AK1019" s="439" t="str">
        <f>VLOOKUP(AM1019,MiscData!$AB$4:$ACB$113,2,FALSE)</f>
        <v>KUUM_456</v>
      </c>
      <c r="AL1019" s="439" t="str">
        <f>VLOOKUP(AM1019,MiscData!$AB$4:$AE$115,4,FALSE)</f>
        <v>RLS</v>
      </c>
      <c r="AM1019" s="34">
        <f>IF(AM1018=MiscData!$AB$91,1,AM1018+1)</f>
        <v>50</v>
      </c>
    </row>
    <row r="1020" spans="1:39">
      <c r="A1020" s="389">
        <f t="shared" ref="A1020:A1057" si="401">A1019+1</f>
        <v>1019</v>
      </c>
      <c r="B1020" s="395" t="str">
        <f t="shared" si="383"/>
        <v>Dec 2014</v>
      </c>
      <c r="C1020" s="396" t="str">
        <f t="shared" si="384"/>
        <v>RLS</v>
      </c>
      <c r="D1020" s="396" t="str">
        <f t="shared" si="385"/>
        <v>KUUM_457</v>
      </c>
      <c r="E1020" s="394">
        <f t="shared" si="386"/>
        <v>441</v>
      </c>
      <c r="F1020" s="397">
        <v>0</v>
      </c>
      <c r="G1020" s="394">
        <f t="shared" si="382"/>
        <v>0</v>
      </c>
      <c r="H1020" s="394">
        <v>0</v>
      </c>
      <c r="I1020" s="390">
        <f t="shared" si="387"/>
        <v>13.360000000000001</v>
      </c>
      <c r="J1020" s="390">
        <f t="shared" si="388"/>
        <v>2.84</v>
      </c>
      <c r="K1020" s="391">
        <f t="shared" si="379"/>
        <v>5891.76</v>
      </c>
      <c r="L1020" s="398">
        <v>0</v>
      </c>
      <c r="M1020" s="398">
        <v>0</v>
      </c>
      <c r="N1020" s="164">
        <f t="shared" si="381"/>
        <v>5891.76</v>
      </c>
      <c r="O1020" s="399">
        <f t="shared" si="389"/>
        <v>0</v>
      </c>
      <c r="P1020" s="392">
        <f t="shared" si="380"/>
        <v>0</v>
      </c>
      <c r="Q1020" s="164">
        <f t="shared" si="390"/>
        <v>0</v>
      </c>
      <c r="R1020" s="164">
        <f t="shared" si="391"/>
        <v>0</v>
      </c>
      <c r="S1020" s="164">
        <f t="shared" si="392"/>
        <v>0</v>
      </c>
      <c r="T1020" s="164">
        <f t="shared" si="393"/>
        <v>0</v>
      </c>
      <c r="U1020" s="164">
        <f t="shared" si="394"/>
        <v>0</v>
      </c>
      <c r="V1020" s="393">
        <f t="shared" si="395"/>
        <v>5891.76</v>
      </c>
      <c r="W1020" s="393">
        <f t="shared" si="396"/>
        <v>-5891.76</v>
      </c>
      <c r="Y1020" s="393">
        <f t="shared" si="399"/>
        <v>1252.44</v>
      </c>
      <c r="Z1020" s="393">
        <f t="shared" si="400"/>
        <v>-1252.44</v>
      </c>
      <c r="AD1020" s="395">
        <f>IF(AH1020&gt;AH1019,AD1019,IF(AD1019&lt;MiscData!$F$1,EOMONTH(AD1019,1),EOMONTH(AD1019,-11)))</f>
        <v>42004</v>
      </c>
      <c r="AE1020" s="389" t="str">
        <f t="shared" si="397"/>
        <v>20140101KUUM_457</v>
      </c>
      <c r="AF1020" s="437" t="str">
        <f t="shared" si="398"/>
        <v>20140101RLS</v>
      </c>
      <c r="AG1020" s="438"/>
      <c r="AH1020" s="34">
        <f>IF(AH1019=MiscData!$AB$91,1,AH1019+1)</f>
        <v>51</v>
      </c>
      <c r="AI1020" s="34">
        <f>IF(AD1020&lt;=MiscData!$B$23,MiscData!$C$23,IF(AD1020&lt;=MiscData!$B$24,MiscData!$C$24,MiscData!$C$25))</f>
        <v>20140101</v>
      </c>
      <c r="AK1020" s="439" t="str">
        <f>VLOOKUP(AM1020,MiscData!$AB$4:$ACB$113,2,FALSE)</f>
        <v>KUUM_457</v>
      </c>
      <c r="AL1020" s="439" t="str">
        <f>VLOOKUP(AM1020,MiscData!$AB$4:$AE$115,4,FALSE)</f>
        <v>RLS</v>
      </c>
      <c r="AM1020" s="34">
        <f>IF(AM1019=MiscData!$AB$91,1,AM1019+1)</f>
        <v>51</v>
      </c>
    </row>
    <row r="1021" spans="1:39">
      <c r="A1021" s="389">
        <f t="shared" si="401"/>
        <v>1020</v>
      </c>
      <c r="B1021" s="395" t="str">
        <f t="shared" si="383"/>
        <v>Dec 2014</v>
      </c>
      <c r="C1021" s="396" t="str">
        <f t="shared" si="384"/>
        <v>RLS</v>
      </c>
      <c r="D1021" s="396" t="str">
        <f t="shared" si="385"/>
        <v>KUUM_458</v>
      </c>
      <c r="E1021" s="394">
        <f t="shared" si="386"/>
        <v>1465</v>
      </c>
      <c r="F1021" s="397">
        <v>0</v>
      </c>
      <c r="G1021" s="394">
        <f t="shared" si="382"/>
        <v>0</v>
      </c>
      <c r="H1021" s="394">
        <v>0</v>
      </c>
      <c r="I1021" s="390">
        <f t="shared" si="387"/>
        <v>15.079999999999998</v>
      </c>
      <c r="J1021" s="390">
        <f t="shared" si="388"/>
        <v>4.3699999999999992</v>
      </c>
      <c r="K1021" s="391">
        <f t="shared" si="379"/>
        <v>22092.2</v>
      </c>
      <c r="L1021" s="398">
        <v>0</v>
      </c>
      <c r="M1021" s="398">
        <v>0</v>
      </c>
      <c r="N1021" s="164">
        <f t="shared" si="381"/>
        <v>22092.2</v>
      </c>
      <c r="O1021" s="399">
        <f t="shared" si="389"/>
        <v>0</v>
      </c>
      <c r="P1021" s="392">
        <f t="shared" si="380"/>
        <v>0</v>
      </c>
      <c r="Q1021" s="164">
        <f t="shared" si="390"/>
        <v>0</v>
      </c>
      <c r="R1021" s="164">
        <f t="shared" si="391"/>
        <v>0</v>
      </c>
      <c r="S1021" s="164">
        <f t="shared" si="392"/>
        <v>0</v>
      </c>
      <c r="T1021" s="164">
        <f t="shared" si="393"/>
        <v>0</v>
      </c>
      <c r="U1021" s="164">
        <f t="shared" si="394"/>
        <v>0</v>
      </c>
      <c r="V1021" s="393">
        <f t="shared" si="395"/>
        <v>22092.2</v>
      </c>
      <c r="W1021" s="393">
        <f t="shared" si="396"/>
        <v>-22092.2</v>
      </c>
      <c r="Y1021" s="393">
        <f t="shared" si="399"/>
        <v>6402.05</v>
      </c>
      <c r="Z1021" s="393">
        <f t="shared" si="400"/>
        <v>-6402.05</v>
      </c>
      <c r="AD1021" s="395">
        <f>IF(AH1021&gt;AH1020,AD1020,IF(AD1020&lt;MiscData!$F$1,EOMONTH(AD1020,1),EOMONTH(AD1020,-11)))</f>
        <v>42004</v>
      </c>
      <c r="AE1021" s="389" t="str">
        <f t="shared" si="397"/>
        <v>20140101KUUM_458</v>
      </c>
      <c r="AF1021" s="437" t="str">
        <f t="shared" si="398"/>
        <v>20140101RLS</v>
      </c>
      <c r="AG1021" s="438"/>
      <c r="AH1021" s="34">
        <f>IF(AH1020=MiscData!$AB$91,1,AH1020+1)</f>
        <v>52</v>
      </c>
      <c r="AI1021" s="34">
        <f>IF(AD1021&lt;=MiscData!$B$23,MiscData!$C$23,IF(AD1021&lt;=MiscData!$B$24,MiscData!$C$24,MiscData!$C$25))</f>
        <v>20140101</v>
      </c>
      <c r="AK1021" s="439" t="str">
        <f>VLOOKUP(AM1021,MiscData!$AB$4:$ACB$113,2,FALSE)</f>
        <v>KUUM_458</v>
      </c>
      <c r="AL1021" s="439" t="str">
        <f>VLOOKUP(AM1021,MiscData!$AB$4:$AE$115,4,FALSE)</f>
        <v>RLS</v>
      </c>
      <c r="AM1021" s="34">
        <f>IF(AM1020=MiscData!$AB$91,1,AM1020+1)</f>
        <v>52</v>
      </c>
    </row>
    <row r="1022" spans="1:39">
      <c r="A1022" s="389">
        <f t="shared" si="401"/>
        <v>1021</v>
      </c>
      <c r="B1022" s="395" t="str">
        <f t="shared" si="383"/>
        <v>Dec 2014</v>
      </c>
      <c r="C1022" s="396" t="str">
        <f t="shared" si="384"/>
        <v>RLS</v>
      </c>
      <c r="D1022" s="396" t="str">
        <f t="shared" si="385"/>
        <v>KUUM_459</v>
      </c>
      <c r="E1022" s="394">
        <f t="shared" si="386"/>
        <v>223</v>
      </c>
      <c r="F1022" s="397">
        <v>0</v>
      </c>
      <c r="G1022" s="394">
        <f t="shared" si="382"/>
        <v>0</v>
      </c>
      <c r="H1022" s="394">
        <v>0</v>
      </c>
      <c r="I1022" s="390">
        <f t="shared" si="387"/>
        <v>46.740000000000009</v>
      </c>
      <c r="J1022" s="390">
        <f t="shared" si="388"/>
        <v>10.410000000000004</v>
      </c>
      <c r="K1022" s="391">
        <f t="shared" si="379"/>
        <v>10423.02</v>
      </c>
      <c r="L1022" s="398">
        <v>0</v>
      </c>
      <c r="M1022" s="398">
        <v>0</v>
      </c>
      <c r="N1022" s="164">
        <f t="shared" si="381"/>
        <v>10423.02</v>
      </c>
      <c r="O1022" s="399">
        <f t="shared" si="389"/>
        <v>0</v>
      </c>
      <c r="P1022" s="392">
        <f t="shared" si="380"/>
        <v>0</v>
      </c>
      <c r="Q1022" s="164">
        <f t="shared" si="390"/>
        <v>0</v>
      </c>
      <c r="R1022" s="164">
        <f t="shared" si="391"/>
        <v>0</v>
      </c>
      <c r="S1022" s="164">
        <f t="shared" si="392"/>
        <v>0</v>
      </c>
      <c r="T1022" s="164">
        <f t="shared" si="393"/>
        <v>0</v>
      </c>
      <c r="U1022" s="164">
        <f t="shared" si="394"/>
        <v>0</v>
      </c>
      <c r="V1022" s="393">
        <f t="shared" si="395"/>
        <v>10423.02</v>
      </c>
      <c r="W1022" s="393">
        <f t="shared" si="396"/>
        <v>-10423.02</v>
      </c>
      <c r="Y1022" s="393">
        <f t="shared" si="399"/>
        <v>2321.4299999999998</v>
      </c>
      <c r="Z1022" s="393">
        <f t="shared" si="400"/>
        <v>-2321.4299999999998</v>
      </c>
      <c r="AD1022" s="395">
        <f>IF(AH1022&gt;AH1021,AD1021,IF(AD1021&lt;MiscData!$F$1,EOMONTH(AD1021,1),EOMONTH(AD1021,-11)))</f>
        <v>42004</v>
      </c>
      <c r="AE1022" s="389" t="str">
        <f t="shared" si="397"/>
        <v>20140101KUUM_459</v>
      </c>
      <c r="AF1022" s="437" t="str">
        <f t="shared" si="398"/>
        <v>20140101RLS</v>
      </c>
      <c r="AG1022" s="438"/>
      <c r="AH1022" s="34">
        <f>IF(AH1021=MiscData!$AB$91,1,AH1021+1)</f>
        <v>53</v>
      </c>
      <c r="AI1022" s="34">
        <f>IF(AD1022&lt;=MiscData!$B$23,MiscData!$C$23,IF(AD1022&lt;=MiscData!$B$24,MiscData!$C$24,MiscData!$C$25))</f>
        <v>20140101</v>
      </c>
      <c r="AK1022" s="439" t="str">
        <f>VLOOKUP(AM1022,MiscData!$AB$4:$ACB$113,2,FALSE)</f>
        <v>KUUM_459</v>
      </c>
      <c r="AL1022" s="439" t="str">
        <f>VLOOKUP(AM1022,MiscData!$AB$4:$AE$115,4,FALSE)</f>
        <v>RLS</v>
      </c>
      <c r="AM1022" s="34">
        <f>IF(AM1021=MiscData!$AB$91,1,AM1021+1)</f>
        <v>53</v>
      </c>
    </row>
    <row r="1023" spans="1:39">
      <c r="A1023" s="389">
        <f t="shared" si="401"/>
        <v>1022</v>
      </c>
      <c r="B1023" s="395" t="str">
        <f t="shared" si="383"/>
        <v>Dec 2014</v>
      </c>
      <c r="C1023" s="396" t="str">
        <f t="shared" si="384"/>
        <v>RLS</v>
      </c>
      <c r="D1023" s="396" t="str">
        <f t="shared" si="385"/>
        <v>KUUM_460</v>
      </c>
      <c r="E1023" s="394">
        <f t="shared" si="386"/>
        <v>26</v>
      </c>
      <c r="F1023" s="397">
        <v>0</v>
      </c>
      <c r="G1023" s="394">
        <f t="shared" si="382"/>
        <v>0</v>
      </c>
      <c r="H1023" s="394">
        <v>0</v>
      </c>
      <c r="I1023" s="390">
        <f t="shared" si="387"/>
        <v>27.15</v>
      </c>
      <c r="J1023" s="390">
        <f t="shared" si="388"/>
        <v>1.9699999999999989</v>
      </c>
      <c r="K1023" s="391">
        <f t="shared" si="379"/>
        <v>705.9</v>
      </c>
      <c r="L1023" s="398">
        <v>0</v>
      </c>
      <c r="M1023" s="398">
        <v>0</v>
      </c>
      <c r="N1023" s="164">
        <f t="shared" si="381"/>
        <v>705.9</v>
      </c>
      <c r="O1023" s="399">
        <f t="shared" si="389"/>
        <v>0</v>
      </c>
      <c r="P1023" s="392">
        <f t="shared" si="380"/>
        <v>0</v>
      </c>
      <c r="Q1023" s="164">
        <f t="shared" si="390"/>
        <v>0</v>
      </c>
      <c r="R1023" s="164">
        <f t="shared" si="391"/>
        <v>0</v>
      </c>
      <c r="S1023" s="164">
        <f t="shared" si="392"/>
        <v>0</v>
      </c>
      <c r="T1023" s="164">
        <f t="shared" si="393"/>
        <v>0</v>
      </c>
      <c r="U1023" s="164">
        <f t="shared" si="394"/>
        <v>0</v>
      </c>
      <c r="V1023" s="393">
        <f t="shared" si="395"/>
        <v>705.9</v>
      </c>
      <c r="W1023" s="393">
        <f t="shared" si="396"/>
        <v>-705.9</v>
      </c>
      <c r="Y1023" s="393">
        <f t="shared" si="399"/>
        <v>51.22</v>
      </c>
      <c r="Z1023" s="393">
        <f t="shared" si="400"/>
        <v>-51.22</v>
      </c>
      <c r="AD1023" s="395">
        <f>IF(AH1023&gt;AH1022,AD1022,IF(AD1022&lt;MiscData!$F$1,EOMONTH(AD1022,1),EOMONTH(AD1022,-11)))</f>
        <v>42004</v>
      </c>
      <c r="AE1023" s="389" t="str">
        <f t="shared" si="397"/>
        <v>20140101KUUM_460</v>
      </c>
      <c r="AF1023" s="437" t="str">
        <f t="shared" si="398"/>
        <v>20140101RLS</v>
      </c>
      <c r="AG1023" s="438"/>
      <c r="AH1023" s="34">
        <f>IF(AH1022=MiscData!$AB$91,1,AH1022+1)</f>
        <v>54</v>
      </c>
      <c r="AI1023" s="34">
        <f>IF(AD1023&lt;=MiscData!$B$23,MiscData!$C$23,IF(AD1023&lt;=MiscData!$B$24,MiscData!$C$24,MiscData!$C$25))</f>
        <v>20140101</v>
      </c>
      <c r="AK1023" s="439" t="str">
        <f>VLOOKUP(AM1023,MiscData!$AB$4:$ACB$113,2,FALSE)</f>
        <v>KUUM_460</v>
      </c>
      <c r="AL1023" s="439" t="str">
        <f>VLOOKUP(AM1023,MiscData!$AB$4:$AE$115,4,FALSE)</f>
        <v>RLS</v>
      </c>
      <c r="AM1023" s="34">
        <f>IF(AM1022=MiscData!$AB$91,1,AM1022+1)</f>
        <v>54</v>
      </c>
    </row>
    <row r="1024" spans="1:39">
      <c r="A1024" s="389">
        <f t="shared" si="401"/>
        <v>1023</v>
      </c>
      <c r="B1024" s="395" t="str">
        <f t="shared" si="383"/>
        <v>Dec 2014</v>
      </c>
      <c r="C1024" s="396" t="str">
        <f t="shared" si="384"/>
        <v>RLS</v>
      </c>
      <c r="D1024" s="396" t="str">
        <f t="shared" si="385"/>
        <v>KUUM_461</v>
      </c>
      <c r="E1024" s="394">
        <f t="shared" si="386"/>
        <v>6319</v>
      </c>
      <c r="F1024" s="397">
        <v>0</v>
      </c>
      <c r="G1024" s="394">
        <f t="shared" si="382"/>
        <v>0</v>
      </c>
      <c r="H1024" s="394">
        <v>0</v>
      </c>
      <c r="I1024" s="390">
        <f t="shared" si="387"/>
        <v>7.54</v>
      </c>
      <c r="J1024" s="390">
        <f t="shared" si="388"/>
        <v>0.57000000000000028</v>
      </c>
      <c r="K1024" s="391">
        <f t="shared" si="379"/>
        <v>47645.26</v>
      </c>
      <c r="L1024" s="398">
        <v>0</v>
      </c>
      <c r="M1024" s="398">
        <v>0</v>
      </c>
      <c r="N1024" s="164">
        <f t="shared" si="381"/>
        <v>47645.26</v>
      </c>
      <c r="O1024" s="399">
        <f t="shared" si="389"/>
        <v>0</v>
      </c>
      <c r="P1024" s="392">
        <f t="shared" si="380"/>
        <v>0</v>
      </c>
      <c r="Q1024" s="164">
        <f t="shared" si="390"/>
        <v>0</v>
      </c>
      <c r="R1024" s="164">
        <f t="shared" si="391"/>
        <v>0</v>
      </c>
      <c r="S1024" s="164">
        <f t="shared" si="392"/>
        <v>0</v>
      </c>
      <c r="T1024" s="164">
        <f t="shared" si="393"/>
        <v>0</v>
      </c>
      <c r="U1024" s="164">
        <f t="shared" si="394"/>
        <v>0</v>
      </c>
      <c r="V1024" s="393">
        <f t="shared" si="395"/>
        <v>47645.26</v>
      </c>
      <c r="W1024" s="393">
        <f t="shared" si="396"/>
        <v>-47645.26</v>
      </c>
      <c r="Y1024" s="393">
        <f t="shared" si="399"/>
        <v>3601.83</v>
      </c>
      <c r="Z1024" s="393">
        <f t="shared" si="400"/>
        <v>-3601.83</v>
      </c>
      <c r="AD1024" s="395">
        <f>IF(AH1024&gt;AH1023,AD1023,IF(AD1023&lt;MiscData!$F$1,EOMONTH(AD1023,1),EOMONTH(AD1023,-11)))</f>
        <v>42004</v>
      </c>
      <c r="AE1024" s="389" t="str">
        <f t="shared" si="397"/>
        <v>20140101KUUM_461</v>
      </c>
      <c r="AF1024" s="437" t="str">
        <f t="shared" si="398"/>
        <v>20140101RLS</v>
      </c>
      <c r="AG1024" s="438"/>
      <c r="AH1024" s="34">
        <f>IF(AH1023=MiscData!$AB$91,1,AH1023+1)</f>
        <v>55</v>
      </c>
      <c r="AI1024" s="34">
        <f>IF(AD1024&lt;=MiscData!$B$23,MiscData!$C$23,IF(AD1024&lt;=MiscData!$B$24,MiscData!$C$24,MiscData!$C$25))</f>
        <v>20140101</v>
      </c>
      <c r="AK1024" s="439" t="str">
        <f>VLOOKUP(AM1024,MiscData!$AB$4:$ACB$113,2,FALSE)</f>
        <v>KUUM_461</v>
      </c>
      <c r="AL1024" s="439" t="str">
        <f>VLOOKUP(AM1024,MiscData!$AB$4:$AE$115,4,FALSE)</f>
        <v>RLS</v>
      </c>
      <c r="AM1024" s="34">
        <f>IF(AM1023=MiscData!$AB$91,1,AM1023+1)</f>
        <v>55</v>
      </c>
    </row>
    <row r="1025" spans="1:39">
      <c r="A1025" s="389">
        <f t="shared" si="401"/>
        <v>1024</v>
      </c>
      <c r="B1025" s="395" t="str">
        <f t="shared" si="383"/>
        <v>Dec 2014</v>
      </c>
      <c r="C1025" s="396" t="str">
        <f t="shared" si="384"/>
        <v>LS</v>
      </c>
      <c r="D1025" s="396" t="str">
        <f t="shared" si="385"/>
        <v>KUUM_462</v>
      </c>
      <c r="E1025" s="394">
        <f t="shared" si="386"/>
        <v>8398</v>
      </c>
      <c r="F1025" s="397">
        <v>0</v>
      </c>
      <c r="G1025" s="394">
        <f t="shared" si="382"/>
        <v>0</v>
      </c>
      <c r="H1025" s="394">
        <v>0</v>
      </c>
      <c r="I1025" s="390">
        <f t="shared" si="387"/>
        <v>8.66</v>
      </c>
      <c r="J1025" s="390">
        <f t="shared" si="388"/>
        <v>0.79999999999999893</v>
      </c>
      <c r="K1025" s="391">
        <f t="shared" si="379"/>
        <v>72726.679999999993</v>
      </c>
      <c r="L1025" s="398">
        <v>0</v>
      </c>
      <c r="M1025" s="398">
        <v>0</v>
      </c>
      <c r="N1025" s="164">
        <f t="shared" si="381"/>
        <v>72726.679999999993</v>
      </c>
      <c r="O1025" s="399">
        <f t="shared" si="389"/>
        <v>0</v>
      </c>
      <c r="P1025" s="392">
        <f t="shared" si="380"/>
        <v>0</v>
      </c>
      <c r="Q1025" s="164">
        <f t="shared" si="390"/>
        <v>0</v>
      </c>
      <c r="R1025" s="164">
        <f t="shared" si="391"/>
        <v>0</v>
      </c>
      <c r="S1025" s="164">
        <f t="shared" si="392"/>
        <v>0</v>
      </c>
      <c r="T1025" s="164">
        <f t="shared" si="393"/>
        <v>0</v>
      </c>
      <c r="U1025" s="164">
        <f t="shared" si="394"/>
        <v>0</v>
      </c>
      <c r="V1025" s="393">
        <f t="shared" si="395"/>
        <v>72726.679999999993</v>
      </c>
      <c r="W1025" s="393">
        <f t="shared" si="396"/>
        <v>-72726.679999999993</v>
      </c>
      <c r="Y1025" s="393">
        <f t="shared" si="399"/>
        <v>6718.4</v>
      </c>
      <c r="Z1025" s="393">
        <f t="shared" si="400"/>
        <v>-6718.4</v>
      </c>
      <c r="AD1025" s="395">
        <f>IF(AH1025&gt;AH1024,AD1024,IF(AD1024&lt;MiscData!$F$1,EOMONTH(AD1024,1),EOMONTH(AD1024,-11)))</f>
        <v>42004</v>
      </c>
      <c r="AE1025" s="389" t="str">
        <f t="shared" si="397"/>
        <v>20140101KUUM_462</v>
      </c>
      <c r="AF1025" s="437" t="str">
        <f t="shared" si="398"/>
        <v>20140101LS</v>
      </c>
      <c r="AG1025" s="438"/>
      <c r="AH1025" s="34">
        <f>IF(AH1024=MiscData!$AB$91,1,AH1024+1)</f>
        <v>56</v>
      </c>
      <c r="AI1025" s="34">
        <f>IF(AD1025&lt;=MiscData!$B$23,MiscData!$C$23,IF(AD1025&lt;=MiscData!$B$24,MiscData!$C$24,MiscData!$C$25))</f>
        <v>20140101</v>
      </c>
      <c r="AK1025" s="439" t="str">
        <f>VLOOKUP(AM1025,MiscData!$AB$4:$ACB$113,2,FALSE)</f>
        <v>KUUM_462</v>
      </c>
      <c r="AL1025" s="439" t="str">
        <f>VLOOKUP(AM1025,MiscData!$AB$4:$AE$115,4,FALSE)</f>
        <v>LS</v>
      </c>
      <c r="AM1025" s="34">
        <f>IF(AM1024=MiscData!$AB$91,1,AM1024+1)</f>
        <v>56</v>
      </c>
    </row>
    <row r="1026" spans="1:39">
      <c r="A1026" s="389">
        <f t="shared" si="401"/>
        <v>1025</v>
      </c>
      <c r="B1026" s="395" t="str">
        <f t="shared" si="383"/>
        <v>Dec 2014</v>
      </c>
      <c r="C1026" s="396" t="str">
        <f t="shared" si="384"/>
        <v>LS</v>
      </c>
      <c r="D1026" s="396" t="str">
        <f t="shared" si="385"/>
        <v>KUUM_463</v>
      </c>
      <c r="E1026" s="394">
        <f t="shared" si="386"/>
        <v>19426</v>
      </c>
      <c r="F1026" s="397">
        <v>0</v>
      </c>
      <c r="G1026" s="394">
        <f t="shared" si="382"/>
        <v>0</v>
      </c>
      <c r="H1026" s="394">
        <v>0</v>
      </c>
      <c r="I1026" s="390">
        <f t="shared" si="387"/>
        <v>9.14</v>
      </c>
      <c r="J1026" s="390">
        <f t="shared" si="388"/>
        <v>1.1299999999999999</v>
      </c>
      <c r="K1026" s="391">
        <f t="shared" si="379"/>
        <v>177553.64</v>
      </c>
      <c r="L1026" s="398">
        <v>0</v>
      </c>
      <c r="M1026" s="398">
        <v>0</v>
      </c>
      <c r="N1026" s="164">
        <f t="shared" si="381"/>
        <v>177553.64</v>
      </c>
      <c r="O1026" s="399">
        <f t="shared" si="389"/>
        <v>0</v>
      </c>
      <c r="P1026" s="392">
        <f t="shared" si="380"/>
        <v>0</v>
      </c>
      <c r="Q1026" s="164">
        <f t="shared" si="390"/>
        <v>0</v>
      </c>
      <c r="R1026" s="164">
        <f t="shared" si="391"/>
        <v>0</v>
      </c>
      <c r="S1026" s="164">
        <f t="shared" si="392"/>
        <v>0</v>
      </c>
      <c r="T1026" s="164">
        <f t="shared" si="393"/>
        <v>0</v>
      </c>
      <c r="U1026" s="164">
        <f t="shared" si="394"/>
        <v>0</v>
      </c>
      <c r="V1026" s="393">
        <f t="shared" si="395"/>
        <v>177553.64</v>
      </c>
      <c r="W1026" s="393">
        <f t="shared" si="396"/>
        <v>-177553.64</v>
      </c>
      <c r="Y1026" s="393">
        <f t="shared" si="399"/>
        <v>21951.38</v>
      </c>
      <c r="Z1026" s="393">
        <f t="shared" si="400"/>
        <v>-21951.38</v>
      </c>
      <c r="AD1026" s="395">
        <f>IF(AH1026&gt;AH1025,AD1025,IF(AD1025&lt;MiscData!$F$1,EOMONTH(AD1025,1),EOMONTH(AD1025,-11)))</f>
        <v>42004</v>
      </c>
      <c r="AE1026" s="389" t="str">
        <f t="shared" si="397"/>
        <v>20140101KUUM_463</v>
      </c>
      <c r="AF1026" s="437" t="str">
        <f t="shared" si="398"/>
        <v>20140101LS</v>
      </c>
      <c r="AG1026" s="438"/>
      <c r="AH1026" s="34">
        <f>IF(AH1025=MiscData!$AB$91,1,AH1025+1)</f>
        <v>57</v>
      </c>
      <c r="AI1026" s="34">
        <f>IF(AD1026&lt;=MiscData!$B$23,MiscData!$C$23,IF(AD1026&lt;=MiscData!$B$24,MiscData!$C$24,MiscData!$C$25))</f>
        <v>20140101</v>
      </c>
      <c r="AK1026" s="439" t="str">
        <f>VLOOKUP(AM1026,MiscData!$AB$4:$ACB$113,2,FALSE)</f>
        <v>KUUM_463</v>
      </c>
      <c r="AL1026" s="439" t="str">
        <f>VLOOKUP(AM1026,MiscData!$AB$4:$AE$115,4,FALSE)</f>
        <v>LS</v>
      </c>
      <c r="AM1026" s="34">
        <f>IF(AM1025=MiscData!$AB$91,1,AM1025+1)</f>
        <v>57</v>
      </c>
    </row>
    <row r="1027" spans="1:39">
      <c r="A1027" s="389">
        <f t="shared" si="401"/>
        <v>1026</v>
      </c>
      <c r="B1027" s="395" t="str">
        <f t="shared" si="383"/>
        <v>Dec 2014</v>
      </c>
      <c r="C1027" s="396" t="str">
        <f t="shared" si="384"/>
        <v>LS</v>
      </c>
      <c r="D1027" s="396" t="str">
        <f t="shared" si="385"/>
        <v>KUUM_464</v>
      </c>
      <c r="E1027" s="394">
        <f t="shared" si="386"/>
        <v>7215</v>
      </c>
      <c r="F1027" s="397">
        <v>0</v>
      </c>
      <c r="G1027" s="394">
        <f t="shared" si="382"/>
        <v>0</v>
      </c>
      <c r="H1027" s="394">
        <v>0</v>
      </c>
      <c r="I1027" s="390">
        <f t="shared" si="387"/>
        <v>14.25</v>
      </c>
      <c r="J1027" s="390">
        <f t="shared" si="388"/>
        <v>2.33</v>
      </c>
      <c r="K1027" s="391">
        <f t="shared" ref="K1027:K1057" si="402">ROUND(($E1027+$F1027)*$I1027,2)</f>
        <v>102813.75</v>
      </c>
      <c r="L1027" s="398">
        <v>0</v>
      </c>
      <c r="M1027" s="398">
        <v>0</v>
      </c>
      <c r="N1027" s="164">
        <f t="shared" si="381"/>
        <v>102813.75</v>
      </c>
      <c r="O1027" s="399">
        <f t="shared" si="389"/>
        <v>0</v>
      </c>
      <c r="P1027" s="392">
        <f t="shared" ref="P1027:P1057" si="403">IF(AND(N1027=0,O1027=0),1,IF(N1027=0,0,ROUND(O1027/N1027,6)))</f>
        <v>0</v>
      </c>
      <c r="Q1027" s="164">
        <f t="shared" si="390"/>
        <v>0</v>
      </c>
      <c r="R1027" s="164">
        <f t="shared" si="391"/>
        <v>0</v>
      </c>
      <c r="S1027" s="164">
        <f t="shared" si="392"/>
        <v>0</v>
      </c>
      <c r="T1027" s="164">
        <f t="shared" si="393"/>
        <v>0</v>
      </c>
      <c r="U1027" s="164">
        <f t="shared" si="394"/>
        <v>0</v>
      </c>
      <c r="V1027" s="393">
        <f t="shared" si="395"/>
        <v>102813.75</v>
      </c>
      <c r="W1027" s="393">
        <f t="shared" si="396"/>
        <v>-102813.75</v>
      </c>
      <c r="Y1027" s="393">
        <f t="shared" si="399"/>
        <v>16810.95</v>
      </c>
      <c r="Z1027" s="393">
        <f t="shared" si="400"/>
        <v>-16810.95</v>
      </c>
      <c r="AD1027" s="395">
        <f>IF(AH1027&gt;AH1026,AD1026,IF(AD1026&lt;MiscData!$F$1,EOMONTH(AD1026,1),EOMONTH(AD1026,-11)))</f>
        <v>42004</v>
      </c>
      <c r="AE1027" s="389" t="str">
        <f t="shared" si="397"/>
        <v>20140101KUUM_464</v>
      </c>
      <c r="AF1027" s="437" t="str">
        <f t="shared" si="398"/>
        <v>20140101LS</v>
      </c>
      <c r="AG1027" s="438"/>
      <c r="AH1027" s="34">
        <f>IF(AH1026=MiscData!$AB$91,1,AH1026+1)</f>
        <v>58</v>
      </c>
      <c r="AI1027" s="34">
        <f>IF(AD1027&lt;=MiscData!$B$23,MiscData!$C$23,IF(AD1027&lt;=MiscData!$B$24,MiscData!$C$24,MiscData!$C$25))</f>
        <v>20140101</v>
      </c>
      <c r="AK1027" s="439" t="str">
        <f>VLOOKUP(AM1027,MiscData!$AB$4:$ACB$113,2,FALSE)</f>
        <v>KUUM_464</v>
      </c>
      <c r="AL1027" s="439" t="str">
        <f>VLOOKUP(AM1027,MiscData!$AB$4:$AE$115,4,FALSE)</f>
        <v>LS</v>
      </c>
      <c r="AM1027" s="34">
        <f>IF(AM1026=MiscData!$AB$91,1,AM1026+1)</f>
        <v>58</v>
      </c>
    </row>
    <row r="1028" spans="1:39">
      <c r="A1028" s="389">
        <f t="shared" si="401"/>
        <v>1027</v>
      </c>
      <c r="B1028" s="395" t="str">
        <f t="shared" si="383"/>
        <v>Dec 2014</v>
      </c>
      <c r="C1028" s="396" t="str">
        <f t="shared" si="384"/>
        <v>LS</v>
      </c>
      <c r="D1028" s="396" t="str">
        <f t="shared" si="385"/>
        <v>KUUM_465</v>
      </c>
      <c r="E1028" s="394">
        <f t="shared" si="386"/>
        <v>2686</v>
      </c>
      <c r="F1028" s="397">
        <v>0</v>
      </c>
      <c r="G1028" s="394">
        <f t="shared" si="382"/>
        <v>0</v>
      </c>
      <c r="H1028" s="394">
        <v>0</v>
      </c>
      <c r="I1028" s="390">
        <f t="shared" si="387"/>
        <v>22.84</v>
      </c>
      <c r="J1028" s="390">
        <f t="shared" si="388"/>
        <v>4.5299999999999976</v>
      </c>
      <c r="K1028" s="391">
        <f t="shared" si="402"/>
        <v>61348.24</v>
      </c>
      <c r="L1028" s="398">
        <v>0</v>
      </c>
      <c r="M1028" s="398">
        <v>0</v>
      </c>
      <c r="N1028" s="164">
        <f t="shared" si="381"/>
        <v>61348.24</v>
      </c>
      <c r="O1028" s="399">
        <f t="shared" si="389"/>
        <v>0</v>
      </c>
      <c r="P1028" s="392">
        <f t="shared" si="403"/>
        <v>0</v>
      </c>
      <c r="Q1028" s="164">
        <f t="shared" si="390"/>
        <v>0</v>
      </c>
      <c r="R1028" s="164">
        <f t="shared" si="391"/>
        <v>0</v>
      </c>
      <c r="S1028" s="164">
        <f t="shared" si="392"/>
        <v>0</v>
      </c>
      <c r="T1028" s="164">
        <f t="shared" si="393"/>
        <v>0</v>
      </c>
      <c r="U1028" s="164">
        <f t="shared" si="394"/>
        <v>0</v>
      </c>
      <c r="V1028" s="393">
        <f t="shared" si="395"/>
        <v>61348.24</v>
      </c>
      <c r="W1028" s="393">
        <f t="shared" si="396"/>
        <v>-61348.24</v>
      </c>
      <c r="Y1028" s="393">
        <f t="shared" si="399"/>
        <v>12167.58</v>
      </c>
      <c r="Z1028" s="393">
        <f t="shared" si="400"/>
        <v>-12167.58</v>
      </c>
      <c r="AD1028" s="395">
        <f>IF(AH1028&gt;AH1027,AD1027,IF(AD1027&lt;MiscData!$F$1,EOMONTH(AD1027,1),EOMONTH(AD1027,-11)))</f>
        <v>42004</v>
      </c>
      <c r="AE1028" s="389" t="str">
        <f t="shared" si="397"/>
        <v>20140101KUUM_465</v>
      </c>
      <c r="AF1028" s="437" t="str">
        <f t="shared" si="398"/>
        <v>20140101LS</v>
      </c>
      <c r="AG1028" s="438"/>
      <c r="AH1028" s="34">
        <f>IF(AH1027=MiscData!$AB$91,1,AH1027+1)</f>
        <v>59</v>
      </c>
      <c r="AI1028" s="34">
        <f>IF(AD1028&lt;=MiscData!$B$23,MiscData!$C$23,IF(AD1028&lt;=MiscData!$B$24,MiscData!$C$24,MiscData!$C$25))</f>
        <v>20140101</v>
      </c>
      <c r="AK1028" s="439" t="str">
        <f>VLOOKUP(AM1028,MiscData!$AB$4:$ACB$113,2,FALSE)</f>
        <v>KUUM_465</v>
      </c>
      <c r="AL1028" s="439" t="str">
        <f>VLOOKUP(AM1028,MiscData!$AB$4:$AE$115,4,FALSE)</f>
        <v>LS</v>
      </c>
      <c r="AM1028" s="34">
        <f>IF(AM1027=MiscData!$AB$91,1,AM1027+1)</f>
        <v>59</v>
      </c>
    </row>
    <row r="1029" spans="1:39">
      <c r="A1029" s="389">
        <f t="shared" si="401"/>
        <v>1028</v>
      </c>
      <c r="B1029" s="395" t="str">
        <f t="shared" si="383"/>
        <v>Dec 2014</v>
      </c>
      <c r="C1029" s="396" t="str">
        <f t="shared" si="384"/>
        <v>RLS</v>
      </c>
      <c r="D1029" s="396" t="str">
        <f t="shared" si="385"/>
        <v>KUUM_466</v>
      </c>
      <c r="E1029" s="394">
        <f t="shared" si="386"/>
        <v>829</v>
      </c>
      <c r="F1029" s="397">
        <v>0</v>
      </c>
      <c r="G1029" s="394">
        <f t="shared" si="382"/>
        <v>0</v>
      </c>
      <c r="H1029" s="394">
        <v>0</v>
      </c>
      <c r="I1029" s="390">
        <f t="shared" si="387"/>
        <v>9.620000000000001</v>
      </c>
      <c r="J1029" s="390">
        <f t="shared" si="388"/>
        <v>0.57000000000000028</v>
      </c>
      <c r="K1029" s="391">
        <f t="shared" si="402"/>
        <v>7974.98</v>
      </c>
      <c r="L1029" s="398">
        <v>0</v>
      </c>
      <c r="M1029" s="398">
        <v>0</v>
      </c>
      <c r="N1029" s="164">
        <f t="shared" si="381"/>
        <v>7974.98</v>
      </c>
      <c r="O1029" s="399">
        <f t="shared" si="389"/>
        <v>0</v>
      </c>
      <c r="P1029" s="392">
        <f t="shared" si="403"/>
        <v>0</v>
      </c>
      <c r="Q1029" s="164">
        <f t="shared" si="390"/>
        <v>0</v>
      </c>
      <c r="R1029" s="164">
        <f t="shared" si="391"/>
        <v>0</v>
      </c>
      <c r="S1029" s="164">
        <f t="shared" si="392"/>
        <v>0</v>
      </c>
      <c r="T1029" s="164">
        <f t="shared" si="393"/>
        <v>0</v>
      </c>
      <c r="U1029" s="164">
        <f t="shared" si="394"/>
        <v>0</v>
      </c>
      <c r="V1029" s="393">
        <f t="shared" si="395"/>
        <v>7974.98</v>
      </c>
      <c r="W1029" s="393">
        <f t="shared" si="396"/>
        <v>-7974.98</v>
      </c>
      <c r="Y1029" s="393">
        <f t="shared" si="399"/>
        <v>472.53</v>
      </c>
      <c r="Z1029" s="393">
        <f t="shared" si="400"/>
        <v>-472.53</v>
      </c>
      <c r="AD1029" s="395">
        <f>IF(AH1029&gt;AH1028,AD1028,IF(AD1028&lt;MiscData!$F$1,EOMONTH(AD1028,1),EOMONTH(AD1028,-11)))</f>
        <v>42004</v>
      </c>
      <c r="AE1029" s="389" t="str">
        <f t="shared" si="397"/>
        <v>20140101KUUM_466</v>
      </c>
      <c r="AF1029" s="437" t="str">
        <f t="shared" si="398"/>
        <v>20140101RLS</v>
      </c>
      <c r="AG1029" s="438"/>
      <c r="AH1029" s="34">
        <f>IF(AH1028=MiscData!$AB$91,1,AH1028+1)</f>
        <v>60</v>
      </c>
      <c r="AI1029" s="34">
        <f>IF(AD1029&lt;=MiscData!$B$23,MiscData!$C$23,IF(AD1029&lt;=MiscData!$B$24,MiscData!$C$24,MiscData!$C$25))</f>
        <v>20140101</v>
      </c>
      <c r="AK1029" s="439" t="str">
        <f>VLOOKUP(AM1029,MiscData!$AB$4:$ACB$113,2,FALSE)</f>
        <v>KUUM_466</v>
      </c>
      <c r="AL1029" s="439" t="str">
        <f>VLOOKUP(AM1029,MiscData!$AB$4:$AE$115,4,FALSE)</f>
        <v>RLS</v>
      </c>
      <c r="AM1029" s="34">
        <f>IF(AM1028=MiscData!$AB$91,1,AM1028+1)</f>
        <v>60</v>
      </c>
    </row>
    <row r="1030" spans="1:39">
      <c r="A1030" s="389">
        <f t="shared" si="401"/>
        <v>1029</v>
      </c>
      <c r="B1030" s="395" t="str">
        <f t="shared" si="383"/>
        <v>Dec 2014</v>
      </c>
      <c r="C1030" s="396" t="str">
        <f t="shared" si="384"/>
        <v>LS</v>
      </c>
      <c r="D1030" s="396" t="str">
        <f t="shared" si="385"/>
        <v>KUUM_467</v>
      </c>
      <c r="E1030" s="394">
        <f t="shared" si="386"/>
        <v>1300</v>
      </c>
      <c r="F1030" s="397">
        <v>0</v>
      </c>
      <c r="G1030" s="394">
        <f t="shared" si="382"/>
        <v>0</v>
      </c>
      <c r="H1030" s="394">
        <v>0</v>
      </c>
      <c r="I1030" s="390">
        <f t="shared" si="387"/>
        <v>10.770000000000001</v>
      </c>
      <c r="J1030" s="390">
        <f t="shared" si="388"/>
        <v>0.80000000000000071</v>
      </c>
      <c r="K1030" s="391">
        <f t="shared" si="402"/>
        <v>14001</v>
      </c>
      <c r="L1030" s="398">
        <v>0</v>
      </c>
      <c r="M1030" s="398">
        <v>0</v>
      </c>
      <c r="N1030" s="164">
        <f t="shared" si="381"/>
        <v>14001</v>
      </c>
      <c r="O1030" s="399">
        <f t="shared" si="389"/>
        <v>0</v>
      </c>
      <c r="P1030" s="392">
        <f t="shared" si="403"/>
        <v>0</v>
      </c>
      <c r="Q1030" s="164">
        <f t="shared" si="390"/>
        <v>0</v>
      </c>
      <c r="R1030" s="164">
        <f t="shared" si="391"/>
        <v>0</v>
      </c>
      <c r="S1030" s="164">
        <f t="shared" si="392"/>
        <v>0</v>
      </c>
      <c r="T1030" s="164">
        <f t="shared" si="393"/>
        <v>0</v>
      </c>
      <c r="U1030" s="164">
        <f t="shared" si="394"/>
        <v>0</v>
      </c>
      <c r="V1030" s="393">
        <f t="shared" si="395"/>
        <v>14001</v>
      </c>
      <c r="W1030" s="393">
        <f t="shared" si="396"/>
        <v>-14001</v>
      </c>
      <c r="Y1030" s="393">
        <f t="shared" si="399"/>
        <v>1040</v>
      </c>
      <c r="Z1030" s="393">
        <f t="shared" si="400"/>
        <v>-1040</v>
      </c>
      <c r="AD1030" s="395">
        <f>IF(AH1030&gt;AH1029,AD1029,IF(AD1029&lt;MiscData!$F$1,EOMONTH(AD1029,1),EOMONTH(AD1029,-11)))</f>
        <v>42004</v>
      </c>
      <c r="AE1030" s="389" t="str">
        <f t="shared" si="397"/>
        <v>20140101KUUM_467</v>
      </c>
      <c r="AF1030" s="437" t="str">
        <f t="shared" si="398"/>
        <v>20140101LS</v>
      </c>
      <c r="AG1030" s="438"/>
      <c r="AH1030" s="34">
        <f>IF(AH1029=MiscData!$AB$91,1,AH1029+1)</f>
        <v>61</v>
      </c>
      <c r="AI1030" s="34">
        <f>IF(AD1030&lt;=MiscData!$B$23,MiscData!$C$23,IF(AD1030&lt;=MiscData!$B$24,MiscData!$C$24,MiscData!$C$25))</f>
        <v>20140101</v>
      </c>
      <c r="AK1030" s="439" t="str">
        <f>VLOOKUP(AM1030,MiscData!$AB$4:$ACB$113,2,FALSE)</f>
        <v>KUUM_467</v>
      </c>
      <c r="AL1030" s="439" t="str">
        <f>VLOOKUP(AM1030,MiscData!$AB$4:$AE$115,4,FALSE)</f>
        <v>LS</v>
      </c>
      <c r="AM1030" s="34">
        <f>IF(AM1029=MiscData!$AB$91,1,AM1029+1)</f>
        <v>61</v>
      </c>
    </row>
    <row r="1031" spans="1:39">
      <c r="A1031" s="389">
        <f t="shared" si="401"/>
        <v>1030</v>
      </c>
      <c r="B1031" s="395" t="str">
        <f t="shared" si="383"/>
        <v>Dec 2014</v>
      </c>
      <c r="C1031" s="396" t="str">
        <f t="shared" si="384"/>
        <v>LS</v>
      </c>
      <c r="D1031" s="396" t="str">
        <f t="shared" si="385"/>
        <v>KUUM_468</v>
      </c>
      <c r="E1031" s="394">
        <f t="shared" si="386"/>
        <v>3847</v>
      </c>
      <c r="F1031" s="397">
        <v>0</v>
      </c>
      <c r="G1031" s="394">
        <f t="shared" si="382"/>
        <v>0</v>
      </c>
      <c r="H1031" s="394">
        <v>0</v>
      </c>
      <c r="I1031" s="390">
        <f t="shared" si="387"/>
        <v>11.16</v>
      </c>
      <c r="J1031" s="390">
        <f t="shared" si="388"/>
        <v>1.129999999999999</v>
      </c>
      <c r="K1031" s="391">
        <f t="shared" si="402"/>
        <v>42932.52</v>
      </c>
      <c r="L1031" s="398">
        <v>0</v>
      </c>
      <c r="M1031" s="398">
        <v>0</v>
      </c>
      <c r="N1031" s="164">
        <f t="shared" si="381"/>
        <v>42932.52</v>
      </c>
      <c r="O1031" s="399">
        <f t="shared" si="389"/>
        <v>0</v>
      </c>
      <c r="P1031" s="392">
        <f t="shared" si="403"/>
        <v>0</v>
      </c>
      <c r="Q1031" s="164">
        <f t="shared" si="390"/>
        <v>0</v>
      </c>
      <c r="R1031" s="164">
        <f t="shared" si="391"/>
        <v>0</v>
      </c>
      <c r="S1031" s="164">
        <f t="shared" si="392"/>
        <v>0</v>
      </c>
      <c r="T1031" s="164">
        <f t="shared" si="393"/>
        <v>0</v>
      </c>
      <c r="U1031" s="164">
        <f t="shared" si="394"/>
        <v>0</v>
      </c>
      <c r="V1031" s="393">
        <f t="shared" si="395"/>
        <v>42932.52</v>
      </c>
      <c r="W1031" s="393">
        <f t="shared" si="396"/>
        <v>-42932.52</v>
      </c>
      <c r="Y1031" s="393">
        <f t="shared" si="399"/>
        <v>4347.1099999999997</v>
      </c>
      <c r="Z1031" s="393">
        <f t="shared" si="400"/>
        <v>-4347.1099999999997</v>
      </c>
      <c r="AD1031" s="395">
        <f>IF(AH1031&gt;AH1030,AD1030,IF(AD1030&lt;MiscData!$F$1,EOMONTH(AD1030,1),EOMONTH(AD1030,-11)))</f>
        <v>42004</v>
      </c>
      <c r="AE1031" s="389" t="str">
        <f t="shared" si="397"/>
        <v>20140101KUUM_468</v>
      </c>
      <c r="AF1031" s="437" t="str">
        <f t="shared" si="398"/>
        <v>20140101LS</v>
      </c>
      <c r="AG1031" s="438"/>
      <c r="AH1031" s="34">
        <f>IF(AH1030=MiscData!$AB$91,1,AH1030+1)</f>
        <v>62</v>
      </c>
      <c r="AI1031" s="34">
        <f>IF(AD1031&lt;=MiscData!$B$23,MiscData!$C$23,IF(AD1031&lt;=MiscData!$B$24,MiscData!$C$24,MiscData!$C$25))</f>
        <v>20140101</v>
      </c>
      <c r="AK1031" s="439" t="str">
        <f>VLOOKUP(AM1031,MiscData!$AB$4:$ACB$113,2,FALSE)</f>
        <v>KUUM_468</v>
      </c>
      <c r="AL1031" s="439" t="str">
        <f>VLOOKUP(AM1031,MiscData!$AB$4:$AE$115,4,FALSE)</f>
        <v>LS</v>
      </c>
      <c r="AM1031" s="34">
        <f>IF(AM1030=MiscData!$AB$91,1,AM1030+1)</f>
        <v>62</v>
      </c>
    </row>
    <row r="1032" spans="1:39">
      <c r="A1032" s="389">
        <f t="shared" si="401"/>
        <v>1031</v>
      </c>
      <c r="B1032" s="395" t="str">
        <f t="shared" si="383"/>
        <v>Dec 2014</v>
      </c>
      <c r="C1032" s="396" t="str">
        <f t="shared" si="384"/>
        <v>RLS</v>
      </c>
      <c r="D1032" s="396" t="str">
        <f t="shared" si="385"/>
        <v>KUUM_469</v>
      </c>
      <c r="E1032" s="394">
        <f t="shared" si="386"/>
        <v>288</v>
      </c>
      <c r="F1032" s="397">
        <v>0</v>
      </c>
      <c r="G1032" s="394">
        <f t="shared" si="382"/>
        <v>0</v>
      </c>
      <c r="H1032" s="394">
        <v>0</v>
      </c>
      <c r="I1032" s="390">
        <f t="shared" si="387"/>
        <v>33.100000000000009</v>
      </c>
      <c r="J1032" s="390">
        <f t="shared" si="388"/>
        <v>4.2900000000000063</v>
      </c>
      <c r="K1032" s="391">
        <f t="shared" si="402"/>
        <v>9532.7999999999993</v>
      </c>
      <c r="L1032" s="398">
        <v>0</v>
      </c>
      <c r="M1032" s="398">
        <v>0</v>
      </c>
      <c r="N1032" s="164">
        <f t="shared" si="381"/>
        <v>9532.7999999999993</v>
      </c>
      <c r="O1032" s="399">
        <f t="shared" si="389"/>
        <v>0</v>
      </c>
      <c r="P1032" s="392">
        <f t="shared" si="403"/>
        <v>0</v>
      </c>
      <c r="Q1032" s="164">
        <f t="shared" si="390"/>
        <v>0</v>
      </c>
      <c r="R1032" s="164">
        <f t="shared" si="391"/>
        <v>0</v>
      </c>
      <c r="S1032" s="164">
        <f t="shared" si="392"/>
        <v>0</v>
      </c>
      <c r="T1032" s="164">
        <f t="shared" si="393"/>
        <v>0</v>
      </c>
      <c r="U1032" s="164">
        <f t="shared" si="394"/>
        <v>0</v>
      </c>
      <c r="V1032" s="393">
        <f t="shared" si="395"/>
        <v>9532.7999999999993</v>
      </c>
      <c r="W1032" s="393">
        <f t="shared" si="396"/>
        <v>-9532.7999999999993</v>
      </c>
      <c r="Y1032" s="393">
        <f t="shared" si="399"/>
        <v>1235.52</v>
      </c>
      <c r="Z1032" s="393">
        <f t="shared" si="400"/>
        <v>-1235.52</v>
      </c>
      <c r="AD1032" s="395">
        <f>IF(AH1032&gt;AH1031,AD1031,IF(AD1031&lt;MiscData!$F$1,EOMONTH(AD1031,1),EOMONTH(AD1031,-11)))</f>
        <v>42004</v>
      </c>
      <c r="AE1032" s="389" t="str">
        <f t="shared" si="397"/>
        <v>20140101KUUM_469</v>
      </c>
      <c r="AF1032" s="437" t="str">
        <f t="shared" si="398"/>
        <v>20140101RLS</v>
      </c>
      <c r="AG1032" s="438"/>
      <c r="AH1032" s="34">
        <f>IF(AH1031=MiscData!$AB$91,1,AH1031+1)</f>
        <v>63</v>
      </c>
      <c r="AI1032" s="34">
        <f>IF(AD1032&lt;=MiscData!$B$23,MiscData!$C$23,IF(AD1032&lt;=MiscData!$B$24,MiscData!$C$24,MiscData!$C$25))</f>
        <v>20140101</v>
      </c>
      <c r="AK1032" s="439" t="str">
        <f>VLOOKUP(AM1032,MiscData!$AB$4:$ACB$113,2,FALSE)</f>
        <v>KUUM_469</v>
      </c>
      <c r="AL1032" s="439" t="str">
        <f>VLOOKUP(AM1032,MiscData!$AB$4:$AE$115,4,FALSE)</f>
        <v>RLS</v>
      </c>
      <c r="AM1032" s="34">
        <f>IF(AM1031=MiscData!$AB$91,1,AM1031+1)</f>
        <v>63</v>
      </c>
    </row>
    <row r="1033" spans="1:39">
      <c r="A1033" s="389">
        <f t="shared" si="401"/>
        <v>1032</v>
      </c>
      <c r="B1033" s="395" t="str">
        <f t="shared" si="383"/>
        <v>Dec 2014</v>
      </c>
      <c r="C1033" s="396" t="str">
        <f t="shared" si="384"/>
        <v>RLS</v>
      </c>
      <c r="D1033" s="396" t="str">
        <f t="shared" si="385"/>
        <v>KUUM_470</v>
      </c>
      <c r="E1033" s="394">
        <f t="shared" si="386"/>
        <v>62</v>
      </c>
      <c r="F1033" s="397">
        <v>0</v>
      </c>
      <c r="G1033" s="394">
        <f t="shared" si="382"/>
        <v>0</v>
      </c>
      <c r="H1033" s="394">
        <v>0</v>
      </c>
      <c r="I1033" s="390">
        <f t="shared" si="387"/>
        <v>55.250000000000007</v>
      </c>
      <c r="J1033" s="390">
        <f t="shared" si="388"/>
        <v>10.410000000000004</v>
      </c>
      <c r="K1033" s="391">
        <f t="shared" si="402"/>
        <v>3425.5</v>
      </c>
      <c r="L1033" s="398">
        <v>0</v>
      </c>
      <c r="M1033" s="398">
        <v>0</v>
      </c>
      <c r="N1033" s="164">
        <f t="shared" si="381"/>
        <v>3425.5</v>
      </c>
      <c r="O1033" s="399">
        <f t="shared" si="389"/>
        <v>0</v>
      </c>
      <c r="P1033" s="392">
        <f t="shared" si="403"/>
        <v>0</v>
      </c>
      <c r="Q1033" s="164">
        <f t="shared" si="390"/>
        <v>0</v>
      </c>
      <c r="R1033" s="164">
        <f t="shared" si="391"/>
        <v>0</v>
      </c>
      <c r="S1033" s="164">
        <f t="shared" si="392"/>
        <v>0</v>
      </c>
      <c r="T1033" s="164">
        <f t="shared" si="393"/>
        <v>0</v>
      </c>
      <c r="U1033" s="164">
        <f t="shared" si="394"/>
        <v>0</v>
      </c>
      <c r="V1033" s="393">
        <f t="shared" si="395"/>
        <v>3425.5</v>
      </c>
      <c r="W1033" s="393">
        <f t="shared" si="396"/>
        <v>-3425.5</v>
      </c>
      <c r="Y1033" s="393">
        <f t="shared" si="399"/>
        <v>645.41999999999996</v>
      </c>
      <c r="Z1033" s="393">
        <f t="shared" si="400"/>
        <v>-645.41999999999996</v>
      </c>
      <c r="AD1033" s="395">
        <f>IF(AH1033&gt;AH1032,AD1032,IF(AD1032&lt;MiscData!$F$1,EOMONTH(AD1032,1),EOMONTH(AD1032,-11)))</f>
        <v>42004</v>
      </c>
      <c r="AE1033" s="389" t="str">
        <f t="shared" si="397"/>
        <v>20140101KUUM_470</v>
      </c>
      <c r="AF1033" s="437" t="str">
        <f t="shared" si="398"/>
        <v>20140101RLS</v>
      </c>
      <c r="AG1033" s="438"/>
      <c r="AH1033" s="34">
        <f>IF(AH1032=MiscData!$AB$91,1,AH1032+1)</f>
        <v>64</v>
      </c>
      <c r="AI1033" s="34">
        <f>IF(AD1033&lt;=MiscData!$B$23,MiscData!$C$23,IF(AD1033&lt;=MiscData!$B$24,MiscData!$C$24,MiscData!$C$25))</f>
        <v>20140101</v>
      </c>
      <c r="AK1033" s="439" t="str">
        <f>VLOOKUP(AM1033,MiscData!$AB$4:$ACB$113,2,FALSE)</f>
        <v>KUUM_470</v>
      </c>
      <c r="AL1033" s="439" t="str">
        <f>VLOOKUP(AM1033,MiscData!$AB$4:$AE$115,4,FALSE)</f>
        <v>RLS</v>
      </c>
      <c r="AM1033" s="34">
        <f>IF(AM1032=MiscData!$AB$91,1,AM1032+1)</f>
        <v>64</v>
      </c>
    </row>
    <row r="1034" spans="1:39">
      <c r="A1034" s="389">
        <f t="shared" si="401"/>
        <v>1033</v>
      </c>
      <c r="B1034" s="395" t="str">
        <f t="shared" si="383"/>
        <v>Dec 2014</v>
      </c>
      <c r="C1034" s="396" t="str">
        <f t="shared" si="384"/>
        <v>RLS</v>
      </c>
      <c r="D1034" s="396" t="str">
        <f t="shared" si="385"/>
        <v>KUUM_471</v>
      </c>
      <c r="E1034" s="394">
        <f t="shared" si="386"/>
        <v>3583</v>
      </c>
      <c r="F1034" s="397">
        <v>0</v>
      </c>
      <c r="G1034" s="394">
        <f t="shared" si="382"/>
        <v>0</v>
      </c>
      <c r="H1034" s="394">
        <v>0</v>
      </c>
      <c r="I1034" s="390">
        <f t="shared" si="387"/>
        <v>10.49</v>
      </c>
      <c r="J1034" s="390">
        <f t="shared" si="388"/>
        <v>0.56999999999999851</v>
      </c>
      <c r="K1034" s="391">
        <f t="shared" si="402"/>
        <v>37585.67</v>
      </c>
      <c r="L1034" s="398">
        <v>0</v>
      </c>
      <c r="M1034" s="398">
        <v>0</v>
      </c>
      <c r="N1034" s="164">
        <f t="shared" si="381"/>
        <v>37585.67</v>
      </c>
      <c r="O1034" s="399">
        <f t="shared" si="389"/>
        <v>0</v>
      </c>
      <c r="P1034" s="392">
        <f t="shared" si="403"/>
        <v>0</v>
      </c>
      <c r="Q1034" s="164">
        <f t="shared" si="390"/>
        <v>0</v>
      </c>
      <c r="R1034" s="164">
        <f t="shared" si="391"/>
        <v>0</v>
      </c>
      <c r="S1034" s="164">
        <f t="shared" si="392"/>
        <v>0</v>
      </c>
      <c r="T1034" s="164">
        <f t="shared" si="393"/>
        <v>0</v>
      </c>
      <c r="U1034" s="164">
        <f t="shared" si="394"/>
        <v>0</v>
      </c>
      <c r="V1034" s="393">
        <f t="shared" si="395"/>
        <v>37585.67</v>
      </c>
      <c r="W1034" s="393">
        <f t="shared" si="396"/>
        <v>-37585.67</v>
      </c>
      <c r="Y1034" s="393">
        <f t="shared" si="399"/>
        <v>2042.31</v>
      </c>
      <c r="Z1034" s="393">
        <f t="shared" si="400"/>
        <v>-2042.31</v>
      </c>
      <c r="AD1034" s="395">
        <f>IF(AH1034&gt;AH1033,AD1033,IF(AD1033&lt;MiscData!$F$1,EOMONTH(AD1033,1),EOMONTH(AD1033,-11)))</f>
        <v>42004</v>
      </c>
      <c r="AE1034" s="389" t="str">
        <f t="shared" si="397"/>
        <v>20140101KUUM_471</v>
      </c>
      <c r="AF1034" s="437" t="str">
        <f t="shared" si="398"/>
        <v>20140101RLS</v>
      </c>
      <c r="AG1034" s="438"/>
      <c r="AH1034" s="34">
        <f>IF(AH1033=MiscData!$AB$91,1,AH1033+1)</f>
        <v>65</v>
      </c>
      <c r="AI1034" s="34">
        <f>IF(AD1034&lt;=MiscData!$B$23,MiscData!$C$23,IF(AD1034&lt;=MiscData!$B$24,MiscData!$C$24,MiscData!$C$25))</f>
        <v>20140101</v>
      </c>
      <c r="AK1034" s="439" t="str">
        <f>VLOOKUP(AM1034,MiscData!$AB$4:$ACB$113,2,FALSE)</f>
        <v>KUUM_471</v>
      </c>
      <c r="AL1034" s="439" t="str">
        <f>VLOOKUP(AM1034,MiscData!$AB$4:$AE$115,4,FALSE)</f>
        <v>RLS</v>
      </c>
      <c r="AM1034" s="34">
        <f>IF(AM1033=MiscData!$AB$91,1,AM1033+1)</f>
        <v>65</v>
      </c>
    </row>
    <row r="1035" spans="1:39">
      <c r="A1035" s="389">
        <f t="shared" si="401"/>
        <v>1034</v>
      </c>
      <c r="B1035" s="395" t="str">
        <f t="shared" si="383"/>
        <v>Dec 2014</v>
      </c>
      <c r="C1035" s="396" t="str">
        <f t="shared" si="384"/>
        <v>LS</v>
      </c>
      <c r="D1035" s="396" t="str">
        <f t="shared" si="385"/>
        <v>KUUM_472</v>
      </c>
      <c r="E1035" s="394">
        <f t="shared" si="386"/>
        <v>8422</v>
      </c>
      <c r="F1035" s="397">
        <v>0</v>
      </c>
      <c r="G1035" s="394">
        <f t="shared" si="382"/>
        <v>0</v>
      </c>
      <c r="H1035" s="394">
        <v>0</v>
      </c>
      <c r="I1035" s="390">
        <f t="shared" si="387"/>
        <v>11.600000000000001</v>
      </c>
      <c r="J1035" s="390">
        <f t="shared" si="388"/>
        <v>0.80000000000000071</v>
      </c>
      <c r="K1035" s="391">
        <f t="shared" si="402"/>
        <v>97695.2</v>
      </c>
      <c r="L1035" s="398">
        <v>0</v>
      </c>
      <c r="M1035" s="398">
        <v>0</v>
      </c>
      <c r="N1035" s="164">
        <f t="shared" si="381"/>
        <v>97695.2</v>
      </c>
      <c r="O1035" s="399">
        <f t="shared" si="389"/>
        <v>0</v>
      </c>
      <c r="P1035" s="392">
        <f t="shared" si="403"/>
        <v>0</v>
      </c>
      <c r="Q1035" s="164">
        <f t="shared" si="390"/>
        <v>0</v>
      </c>
      <c r="R1035" s="164">
        <f t="shared" si="391"/>
        <v>0</v>
      </c>
      <c r="S1035" s="164">
        <f t="shared" si="392"/>
        <v>0</v>
      </c>
      <c r="T1035" s="164">
        <f t="shared" si="393"/>
        <v>0</v>
      </c>
      <c r="U1035" s="164">
        <f t="shared" si="394"/>
        <v>0</v>
      </c>
      <c r="V1035" s="393">
        <f t="shared" si="395"/>
        <v>97695.2</v>
      </c>
      <c r="W1035" s="393">
        <f t="shared" si="396"/>
        <v>-97695.2</v>
      </c>
      <c r="Y1035" s="393">
        <f t="shared" si="399"/>
        <v>6737.6</v>
      </c>
      <c r="Z1035" s="393">
        <f t="shared" si="400"/>
        <v>-6737.6</v>
      </c>
      <c r="AD1035" s="395">
        <f>IF(AH1035&gt;AH1034,AD1034,IF(AD1034&lt;MiscData!$F$1,EOMONTH(AD1034,1),EOMONTH(AD1034,-11)))</f>
        <v>42004</v>
      </c>
      <c r="AE1035" s="389" t="str">
        <f t="shared" si="397"/>
        <v>20140101KUUM_472</v>
      </c>
      <c r="AF1035" s="437" t="str">
        <f t="shared" si="398"/>
        <v>20140101LS</v>
      </c>
      <c r="AG1035" s="438"/>
      <c r="AH1035" s="34">
        <f>IF(AH1034=MiscData!$AB$91,1,AH1034+1)</f>
        <v>66</v>
      </c>
      <c r="AI1035" s="34">
        <f>IF(AD1035&lt;=MiscData!$B$23,MiscData!$C$23,IF(AD1035&lt;=MiscData!$B$24,MiscData!$C$24,MiscData!$C$25))</f>
        <v>20140101</v>
      </c>
      <c r="AK1035" s="439" t="str">
        <f>VLOOKUP(AM1035,MiscData!$AB$4:$ACB$113,2,FALSE)</f>
        <v>KUUM_472</v>
      </c>
      <c r="AL1035" s="439" t="str">
        <f>VLOOKUP(AM1035,MiscData!$AB$4:$AE$115,4,FALSE)</f>
        <v>LS</v>
      </c>
      <c r="AM1035" s="34">
        <f>IF(AM1034=MiscData!$AB$91,1,AM1034+1)</f>
        <v>66</v>
      </c>
    </row>
    <row r="1036" spans="1:39">
      <c r="A1036" s="389">
        <f t="shared" si="401"/>
        <v>1035</v>
      </c>
      <c r="B1036" s="395" t="str">
        <f t="shared" si="383"/>
        <v>Dec 2014</v>
      </c>
      <c r="C1036" s="396" t="str">
        <f t="shared" si="384"/>
        <v>LS</v>
      </c>
      <c r="D1036" s="396" t="str">
        <f t="shared" si="385"/>
        <v>KUUM_473</v>
      </c>
      <c r="E1036" s="394">
        <f t="shared" si="386"/>
        <v>3244</v>
      </c>
      <c r="F1036" s="397">
        <v>0</v>
      </c>
      <c r="G1036" s="394">
        <f t="shared" si="382"/>
        <v>0</v>
      </c>
      <c r="H1036" s="394"/>
      <c r="I1036" s="390">
        <f t="shared" si="387"/>
        <v>12.3</v>
      </c>
      <c r="J1036" s="390">
        <f t="shared" si="388"/>
        <v>1.129999999999999</v>
      </c>
      <c r="K1036" s="391">
        <f t="shared" si="402"/>
        <v>39901.199999999997</v>
      </c>
      <c r="L1036" s="398">
        <v>0</v>
      </c>
      <c r="M1036" s="398">
        <v>0</v>
      </c>
      <c r="N1036" s="164">
        <f t="shared" si="381"/>
        <v>39901.199999999997</v>
      </c>
      <c r="O1036" s="399">
        <f t="shared" si="389"/>
        <v>0</v>
      </c>
      <c r="P1036" s="392">
        <f t="shared" si="403"/>
        <v>0</v>
      </c>
      <c r="Q1036" s="164">
        <f t="shared" si="390"/>
        <v>0</v>
      </c>
      <c r="R1036" s="164">
        <f t="shared" si="391"/>
        <v>0</v>
      </c>
      <c r="S1036" s="164">
        <f t="shared" si="392"/>
        <v>0</v>
      </c>
      <c r="T1036" s="164">
        <f t="shared" si="393"/>
        <v>0</v>
      </c>
      <c r="U1036" s="164">
        <f t="shared" si="394"/>
        <v>0</v>
      </c>
      <c r="V1036" s="393">
        <f t="shared" si="395"/>
        <v>39901.199999999997</v>
      </c>
      <c r="W1036" s="393">
        <f t="shared" si="396"/>
        <v>-39901.199999999997</v>
      </c>
      <c r="Y1036" s="393">
        <f t="shared" si="399"/>
        <v>3665.72</v>
      </c>
      <c r="Z1036" s="393">
        <f t="shared" si="400"/>
        <v>-3665.72</v>
      </c>
      <c r="AD1036" s="395">
        <f>IF(AH1036&gt;AH1035,AD1035,IF(AD1035&lt;MiscData!$F$1,EOMONTH(AD1035,1),EOMONTH(AD1035,-11)))</f>
        <v>42004</v>
      </c>
      <c r="AE1036" s="389" t="str">
        <f t="shared" si="397"/>
        <v>20140101KUUM_473</v>
      </c>
      <c r="AF1036" s="437" t="str">
        <f t="shared" si="398"/>
        <v>20140101LS</v>
      </c>
      <c r="AG1036" s="438"/>
      <c r="AH1036" s="34">
        <f>IF(AH1035=MiscData!$AB$91,1,AH1035+1)</f>
        <v>67</v>
      </c>
      <c r="AI1036" s="34">
        <f>IF(AD1036&lt;=MiscData!$B$23,MiscData!$C$23,IF(AD1036&lt;=MiscData!$B$24,MiscData!$C$24,MiscData!$C$25))</f>
        <v>20140101</v>
      </c>
      <c r="AK1036" s="439" t="str">
        <f>VLOOKUP(AM1036,MiscData!$AB$4:$ACB$113,2,FALSE)</f>
        <v>KUUM_473</v>
      </c>
      <c r="AL1036" s="439" t="str">
        <f>VLOOKUP(AM1036,MiscData!$AB$4:$AE$115,4,FALSE)</f>
        <v>LS</v>
      </c>
      <c r="AM1036" s="34">
        <f>IF(AM1035=MiscData!$AB$91,1,AM1035+1)</f>
        <v>67</v>
      </c>
    </row>
    <row r="1037" spans="1:39">
      <c r="A1037" s="389">
        <f t="shared" si="401"/>
        <v>1036</v>
      </c>
      <c r="B1037" s="395" t="str">
        <f t="shared" si="383"/>
        <v>Dec 2014</v>
      </c>
      <c r="C1037" s="396" t="str">
        <f t="shared" si="384"/>
        <v>LS</v>
      </c>
      <c r="D1037" s="396" t="str">
        <f t="shared" si="385"/>
        <v>KUUM_474</v>
      </c>
      <c r="E1037" s="394">
        <f t="shared" si="386"/>
        <v>4987</v>
      </c>
      <c r="F1037" s="397">
        <v>0</v>
      </c>
      <c r="G1037" s="394">
        <f t="shared" si="382"/>
        <v>0</v>
      </c>
      <c r="H1037" s="394">
        <v>0</v>
      </c>
      <c r="I1037" s="390">
        <f t="shared" si="387"/>
        <v>17.41</v>
      </c>
      <c r="J1037" s="390">
        <f t="shared" si="388"/>
        <v>2.33</v>
      </c>
      <c r="K1037" s="391">
        <f t="shared" si="402"/>
        <v>86823.67</v>
      </c>
      <c r="L1037" s="398">
        <v>0</v>
      </c>
      <c r="M1037" s="398">
        <v>0</v>
      </c>
      <c r="N1037" s="164">
        <f t="shared" si="381"/>
        <v>86823.67</v>
      </c>
      <c r="O1037" s="399">
        <f t="shared" si="389"/>
        <v>0</v>
      </c>
      <c r="P1037" s="392">
        <f t="shared" si="403"/>
        <v>0</v>
      </c>
      <c r="Q1037" s="164">
        <f t="shared" si="390"/>
        <v>0</v>
      </c>
      <c r="R1037" s="164">
        <f t="shared" si="391"/>
        <v>0</v>
      </c>
      <c r="S1037" s="164">
        <f t="shared" si="392"/>
        <v>0</v>
      </c>
      <c r="T1037" s="164">
        <f t="shared" si="393"/>
        <v>0</v>
      </c>
      <c r="U1037" s="164">
        <f t="shared" si="394"/>
        <v>0</v>
      </c>
      <c r="V1037" s="393">
        <f t="shared" si="395"/>
        <v>86823.67</v>
      </c>
      <c r="W1037" s="393">
        <f t="shared" si="396"/>
        <v>-86823.67</v>
      </c>
      <c r="Y1037" s="393">
        <f t="shared" si="399"/>
        <v>11619.71</v>
      </c>
      <c r="Z1037" s="393">
        <f t="shared" si="400"/>
        <v>-11619.71</v>
      </c>
      <c r="AD1037" s="395">
        <f>IF(AH1037&gt;AH1036,AD1036,IF(AD1036&lt;MiscData!$F$1,EOMONTH(AD1036,1),EOMONTH(AD1036,-11)))</f>
        <v>42004</v>
      </c>
      <c r="AE1037" s="389" t="str">
        <f t="shared" si="397"/>
        <v>20140101KUUM_474</v>
      </c>
      <c r="AF1037" s="437" t="str">
        <f t="shared" si="398"/>
        <v>20140101LS</v>
      </c>
      <c r="AG1037" s="438"/>
      <c r="AH1037" s="34">
        <f>IF(AH1036=MiscData!$AB$91,1,AH1036+1)</f>
        <v>68</v>
      </c>
      <c r="AI1037" s="34">
        <f>IF(AD1037&lt;=MiscData!$B$23,MiscData!$C$23,IF(AD1037&lt;=MiscData!$B$24,MiscData!$C$24,MiscData!$C$25))</f>
        <v>20140101</v>
      </c>
      <c r="AK1037" s="439" t="str">
        <f>VLOOKUP(AM1037,MiscData!$AB$4:$ACB$113,2,FALSE)</f>
        <v>KUUM_474</v>
      </c>
      <c r="AL1037" s="439" t="str">
        <f>VLOOKUP(AM1037,MiscData!$AB$4:$AE$115,4,FALSE)</f>
        <v>LS</v>
      </c>
      <c r="AM1037" s="34">
        <f>IF(AM1036=MiscData!$AB$91,1,AM1036+1)</f>
        <v>68</v>
      </c>
    </row>
    <row r="1038" spans="1:39">
      <c r="A1038" s="389">
        <f t="shared" si="401"/>
        <v>1037</v>
      </c>
      <c r="B1038" s="395" t="str">
        <f t="shared" si="383"/>
        <v>Dec 2014</v>
      </c>
      <c r="C1038" s="396" t="str">
        <f t="shared" si="384"/>
        <v>LS</v>
      </c>
      <c r="D1038" s="396" t="str">
        <f t="shared" si="385"/>
        <v>KUUM_475</v>
      </c>
      <c r="E1038" s="394">
        <f t="shared" si="386"/>
        <v>500</v>
      </c>
      <c r="F1038" s="397">
        <v>0</v>
      </c>
      <c r="G1038" s="394">
        <f t="shared" si="382"/>
        <v>0</v>
      </c>
      <c r="H1038" s="394">
        <v>0</v>
      </c>
      <c r="I1038" s="390">
        <f t="shared" si="387"/>
        <v>24.46</v>
      </c>
      <c r="J1038" s="390">
        <f t="shared" si="388"/>
        <v>4.5300000000000011</v>
      </c>
      <c r="K1038" s="391">
        <f t="shared" si="402"/>
        <v>12230</v>
      </c>
      <c r="L1038" s="398">
        <v>0</v>
      </c>
      <c r="M1038" s="398">
        <v>0</v>
      </c>
      <c r="N1038" s="164">
        <f t="shared" si="381"/>
        <v>12230</v>
      </c>
      <c r="O1038" s="399">
        <f t="shared" si="389"/>
        <v>0</v>
      </c>
      <c r="P1038" s="392">
        <f t="shared" si="403"/>
        <v>0</v>
      </c>
      <c r="Q1038" s="164">
        <f t="shared" si="390"/>
        <v>0</v>
      </c>
      <c r="R1038" s="164">
        <f t="shared" si="391"/>
        <v>0</v>
      </c>
      <c r="S1038" s="164">
        <f t="shared" si="392"/>
        <v>0</v>
      </c>
      <c r="T1038" s="164">
        <f t="shared" si="393"/>
        <v>0</v>
      </c>
      <c r="U1038" s="164">
        <f t="shared" si="394"/>
        <v>0</v>
      </c>
      <c r="V1038" s="393">
        <f t="shared" si="395"/>
        <v>12230</v>
      </c>
      <c r="W1038" s="393">
        <f t="shared" si="396"/>
        <v>-12230</v>
      </c>
      <c r="Y1038" s="393">
        <f t="shared" si="399"/>
        <v>2265</v>
      </c>
      <c r="Z1038" s="393">
        <f t="shared" si="400"/>
        <v>-2265</v>
      </c>
      <c r="AD1038" s="395">
        <f>IF(AH1038&gt;AH1037,AD1037,IF(AD1037&lt;MiscData!$F$1,EOMONTH(AD1037,1),EOMONTH(AD1037,-11)))</f>
        <v>42004</v>
      </c>
      <c r="AE1038" s="389" t="str">
        <f t="shared" si="397"/>
        <v>20140101KUUM_475</v>
      </c>
      <c r="AF1038" s="437" t="str">
        <f t="shared" si="398"/>
        <v>20140101LS</v>
      </c>
      <c r="AG1038" s="438"/>
      <c r="AH1038" s="34">
        <f>IF(AH1037=MiscData!$AB$91,1,AH1037+1)</f>
        <v>69</v>
      </c>
      <c r="AI1038" s="34">
        <f>IF(AD1038&lt;=MiscData!$B$23,MiscData!$C$23,IF(AD1038&lt;=MiscData!$B$24,MiscData!$C$24,MiscData!$C$25))</f>
        <v>20140101</v>
      </c>
      <c r="AK1038" s="439" t="str">
        <f>VLOOKUP(AM1038,MiscData!$AB$4:$ACB$113,2,FALSE)</f>
        <v>KUUM_475</v>
      </c>
      <c r="AL1038" s="439" t="str">
        <f>VLOOKUP(AM1038,MiscData!$AB$4:$AE$115,4,FALSE)</f>
        <v>LS</v>
      </c>
      <c r="AM1038" s="34">
        <f>IF(AM1037=MiscData!$AB$91,1,AM1037+1)</f>
        <v>69</v>
      </c>
    </row>
    <row r="1039" spans="1:39">
      <c r="A1039" s="389">
        <f t="shared" si="401"/>
        <v>1038</v>
      </c>
      <c r="B1039" s="395" t="str">
        <f t="shared" si="383"/>
        <v>Dec 2014</v>
      </c>
      <c r="C1039" s="396" t="str">
        <f t="shared" si="384"/>
        <v>LS</v>
      </c>
      <c r="D1039" s="396" t="str">
        <f t="shared" si="385"/>
        <v>KUUM_476</v>
      </c>
      <c r="E1039" s="394">
        <f t="shared" si="386"/>
        <v>4463</v>
      </c>
      <c r="F1039" s="397">
        <v>0</v>
      </c>
      <c r="G1039" s="394">
        <f t="shared" si="382"/>
        <v>0</v>
      </c>
      <c r="H1039" s="394">
        <v>0</v>
      </c>
      <c r="I1039" s="390">
        <f t="shared" si="387"/>
        <v>16.79</v>
      </c>
      <c r="J1039" s="390">
        <f t="shared" si="388"/>
        <v>0.79999999999999893</v>
      </c>
      <c r="K1039" s="391">
        <f t="shared" si="402"/>
        <v>74933.77</v>
      </c>
      <c r="L1039" s="398">
        <v>0</v>
      </c>
      <c r="M1039" s="398">
        <v>0</v>
      </c>
      <c r="N1039" s="164">
        <f t="shared" si="381"/>
        <v>74933.77</v>
      </c>
      <c r="O1039" s="399">
        <f t="shared" si="389"/>
        <v>0</v>
      </c>
      <c r="P1039" s="392">
        <f t="shared" si="403"/>
        <v>0</v>
      </c>
      <c r="Q1039" s="164">
        <f t="shared" si="390"/>
        <v>0</v>
      </c>
      <c r="R1039" s="164">
        <f t="shared" si="391"/>
        <v>0</v>
      </c>
      <c r="S1039" s="164">
        <f t="shared" si="392"/>
        <v>0</v>
      </c>
      <c r="T1039" s="164">
        <f t="shared" si="393"/>
        <v>0</v>
      </c>
      <c r="U1039" s="164">
        <f t="shared" si="394"/>
        <v>0</v>
      </c>
      <c r="V1039" s="393">
        <f t="shared" si="395"/>
        <v>74933.77</v>
      </c>
      <c r="W1039" s="393">
        <f t="shared" si="396"/>
        <v>-74933.77</v>
      </c>
      <c r="Y1039" s="393">
        <f t="shared" si="399"/>
        <v>3570.4</v>
      </c>
      <c r="Z1039" s="393">
        <f t="shared" si="400"/>
        <v>-3570.4</v>
      </c>
      <c r="AD1039" s="395">
        <f>IF(AH1039&gt;AH1038,AD1038,IF(AD1038&lt;MiscData!$F$1,EOMONTH(AD1038,1),EOMONTH(AD1038,-11)))</f>
        <v>42004</v>
      </c>
      <c r="AE1039" s="389" t="str">
        <f t="shared" si="397"/>
        <v>20140101KUUM_476</v>
      </c>
      <c r="AF1039" s="437" t="str">
        <f t="shared" si="398"/>
        <v>20140101LS</v>
      </c>
      <c r="AG1039" s="438"/>
      <c r="AH1039" s="34">
        <f>IF(AH1038=MiscData!$AB$91,1,AH1038+1)</f>
        <v>70</v>
      </c>
      <c r="AI1039" s="34">
        <f>IF(AD1039&lt;=MiscData!$B$23,MiscData!$C$23,IF(AD1039&lt;=MiscData!$B$24,MiscData!$C$24,MiscData!$C$25))</f>
        <v>20140101</v>
      </c>
      <c r="AK1039" s="439" t="str">
        <f>VLOOKUP(AM1039,MiscData!$AB$4:$ACB$113,2,FALSE)</f>
        <v>KUUM_476</v>
      </c>
      <c r="AL1039" s="439" t="str">
        <f>VLOOKUP(AM1039,MiscData!$AB$4:$AE$115,4,FALSE)</f>
        <v>LS</v>
      </c>
      <c r="AM1039" s="34">
        <f>IF(AM1038=MiscData!$AB$91,1,AM1038+1)</f>
        <v>70</v>
      </c>
    </row>
    <row r="1040" spans="1:39">
      <c r="A1040" s="389">
        <f t="shared" si="401"/>
        <v>1039</v>
      </c>
      <c r="B1040" s="395" t="str">
        <f t="shared" si="383"/>
        <v>Dec 2014</v>
      </c>
      <c r="C1040" s="396" t="str">
        <f t="shared" si="384"/>
        <v>LS</v>
      </c>
      <c r="D1040" s="396" t="str">
        <f t="shared" si="385"/>
        <v>KUUM_477</v>
      </c>
      <c r="E1040" s="394">
        <f t="shared" si="386"/>
        <v>1034</v>
      </c>
      <c r="F1040" s="397">
        <v>0</v>
      </c>
      <c r="G1040" s="394">
        <f t="shared" si="382"/>
        <v>0</v>
      </c>
      <c r="H1040" s="394">
        <v>0</v>
      </c>
      <c r="I1040" s="390">
        <f t="shared" si="387"/>
        <v>20.97</v>
      </c>
      <c r="J1040" s="390">
        <f t="shared" si="388"/>
        <v>1.129999999999999</v>
      </c>
      <c r="K1040" s="391">
        <f t="shared" si="402"/>
        <v>21682.98</v>
      </c>
      <c r="L1040" s="398">
        <v>0</v>
      </c>
      <c r="M1040" s="398">
        <v>0</v>
      </c>
      <c r="N1040" s="164">
        <f t="shared" si="381"/>
        <v>21682.98</v>
      </c>
      <c r="O1040" s="399">
        <f t="shared" si="389"/>
        <v>0</v>
      </c>
      <c r="P1040" s="392">
        <f t="shared" si="403"/>
        <v>0</v>
      </c>
      <c r="Q1040" s="164">
        <f t="shared" si="390"/>
        <v>0</v>
      </c>
      <c r="R1040" s="164">
        <f t="shared" si="391"/>
        <v>0</v>
      </c>
      <c r="S1040" s="164">
        <f t="shared" si="392"/>
        <v>0</v>
      </c>
      <c r="T1040" s="164">
        <f t="shared" si="393"/>
        <v>0</v>
      </c>
      <c r="U1040" s="164">
        <f t="shared" si="394"/>
        <v>0</v>
      </c>
      <c r="V1040" s="393">
        <f t="shared" si="395"/>
        <v>21682.98</v>
      </c>
      <c r="W1040" s="393">
        <f t="shared" si="396"/>
        <v>-21682.98</v>
      </c>
      <c r="Y1040" s="393">
        <f t="shared" si="399"/>
        <v>1168.42</v>
      </c>
      <c r="Z1040" s="393">
        <f t="shared" si="400"/>
        <v>-1168.42</v>
      </c>
      <c r="AD1040" s="395">
        <f>IF(AH1040&gt;AH1039,AD1039,IF(AD1039&lt;MiscData!$F$1,EOMONTH(AD1039,1),EOMONTH(AD1039,-11)))</f>
        <v>42004</v>
      </c>
      <c r="AE1040" s="389" t="str">
        <f t="shared" si="397"/>
        <v>20140101KUUM_477</v>
      </c>
      <c r="AF1040" s="437" t="str">
        <f t="shared" si="398"/>
        <v>20140101LS</v>
      </c>
      <c r="AG1040" s="438"/>
      <c r="AH1040" s="34">
        <f>IF(AH1039=MiscData!$AB$91,1,AH1039+1)</f>
        <v>71</v>
      </c>
      <c r="AI1040" s="34">
        <f>IF(AD1040&lt;=MiscData!$B$23,MiscData!$C$23,IF(AD1040&lt;=MiscData!$B$24,MiscData!$C$24,MiscData!$C$25))</f>
        <v>20140101</v>
      </c>
      <c r="AK1040" s="439" t="str">
        <f>VLOOKUP(AM1040,MiscData!$AB$4:$ACB$113,2,FALSE)</f>
        <v>KUUM_477</v>
      </c>
      <c r="AL1040" s="439" t="str">
        <f>VLOOKUP(AM1040,MiscData!$AB$4:$AE$115,4,FALSE)</f>
        <v>LS</v>
      </c>
      <c r="AM1040" s="34">
        <f>IF(AM1039=MiscData!$AB$91,1,AM1039+1)</f>
        <v>71</v>
      </c>
    </row>
    <row r="1041" spans="1:39">
      <c r="A1041" s="389">
        <f t="shared" si="401"/>
        <v>1040</v>
      </c>
      <c r="B1041" s="395" t="str">
        <f t="shared" si="383"/>
        <v>Dec 2014</v>
      </c>
      <c r="C1041" s="396" t="str">
        <f t="shared" si="384"/>
        <v>LS</v>
      </c>
      <c r="D1041" s="396" t="str">
        <f t="shared" si="385"/>
        <v>KUUM_478</v>
      </c>
      <c r="E1041" s="394">
        <f t="shared" si="386"/>
        <v>1363</v>
      </c>
      <c r="F1041" s="397">
        <v>0</v>
      </c>
      <c r="G1041" s="394">
        <f t="shared" si="382"/>
        <v>0</v>
      </c>
      <c r="H1041" s="394">
        <v>0</v>
      </c>
      <c r="I1041" s="390">
        <f t="shared" si="387"/>
        <v>26.86</v>
      </c>
      <c r="J1041" s="390">
        <f t="shared" si="388"/>
        <v>2.3299999999999983</v>
      </c>
      <c r="K1041" s="391">
        <f t="shared" si="402"/>
        <v>36610.18</v>
      </c>
      <c r="L1041" s="398">
        <v>0</v>
      </c>
      <c r="M1041" s="398">
        <v>0</v>
      </c>
      <c r="N1041" s="164">
        <f t="shared" si="381"/>
        <v>36610.18</v>
      </c>
      <c r="O1041" s="399">
        <f t="shared" si="389"/>
        <v>0</v>
      </c>
      <c r="P1041" s="392">
        <f t="shared" si="403"/>
        <v>0</v>
      </c>
      <c r="Q1041" s="164">
        <f t="shared" si="390"/>
        <v>0</v>
      </c>
      <c r="R1041" s="164">
        <f t="shared" si="391"/>
        <v>0</v>
      </c>
      <c r="S1041" s="164">
        <f t="shared" si="392"/>
        <v>0</v>
      </c>
      <c r="T1041" s="164">
        <f t="shared" si="393"/>
        <v>0</v>
      </c>
      <c r="U1041" s="164">
        <f t="shared" si="394"/>
        <v>0</v>
      </c>
      <c r="V1041" s="393">
        <f t="shared" si="395"/>
        <v>36610.18</v>
      </c>
      <c r="W1041" s="393">
        <f t="shared" si="396"/>
        <v>-36610.18</v>
      </c>
      <c r="Y1041" s="393">
        <f t="shared" si="399"/>
        <v>3175.79</v>
      </c>
      <c r="Z1041" s="393">
        <f t="shared" si="400"/>
        <v>-3175.79</v>
      </c>
      <c r="AD1041" s="395">
        <f>IF(AH1041&gt;AH1040,AD1040,IF(AD1040&lt;MiscData!$F$1,EOMONTH(AD1040,1),EOMONTH(AD1040,-11)))</f>
        <v>42004</v>
      </c>
      <c r="AE1041" s="389" t="str">
        <f t="shared" si="397"/>
        <v>20140101KUUM_478</v>
      </c>
      <c r="AF1041" s="437" t="str">
        <f t="shared" si="398"/>
        <v>20140101LS</v>
      </c>
      <c r="AG1041" s="438"/>
      <c r="AH1041" s="34">
        <f>IF(AH1040=MiscData!$AB$91,1,AH1040+1)</f>
        <v>72</v>
      </c>
      <c r="AI1041" s="34">
        <f>IF(AD1041&lt;=MiscData!$B$23,MiscData!$C$23,IF(AD1041&lt;=MiscData!$B$24,MiscData!$C$24,MiscData!$C$25))</f>
        <v>20140101</v>
      </c>
      <c r="AK1041" s="439" t="str">
        <f>VLOOKUP(AM1041,MiscData!$AB$4:$ACB$113,2,FALSE)</f>
        <v>KUUM_478</v>
      </c>
      <c r="AL1041" s="439" t="str">
        <f>VLOOKUP(AM1041,MiscData!$AB$4:$AE$115,4,FALSE)</f>
        <v>LS</v>
      </c>
      <c r="AM1041" s="34">
        <f>IF(AM1040=MiscData!$AB$91,1,AM1040+1)</f>
        <v>72</v>
      </c>
    </row>
    <row r="1042" spans="1:39">
      <c r="A1042" s="389">
        <f t="shared" si="401"/>
        <v>1041</v>
      </c>
      <c r="B1042" s="395" t="str">
        <f t="shared" si="383"/>
        <v>Dec 2014</v>
      </c>
      <c r="C1042" s="396" t="str">
        <f t="shared" si="384"/>
        <v>LS</v>
      </c>
      <c r="D1042" s="396" t="str">
        <f t="shared" si="385"/>
        <v>KUUM_479</v>
      </c>
      <c r="E1042" s="394">
        <f t="shared" si="386"/>
        <v>921</v>
      </c>
      <c r="F1042" s="397">
        <v>0</v>
      </c>
      <c r="G1042" s="394">
        <f t="shared" si="382"/>
        <v>0</v>
      </c>
      <c r="H1042" s="394">
        <v>0</v>
      </c>
      <c r="I1042" s="390">
        <f t="shared" si="387"/>
        <v>33.119999999999997</v>
      </c>
      <c r="J1042" s="390">
        <f t="shared" si="388"/>
        <v>4.529999999999994</v>
      </c>
      <c r="K1042" s="391">
        <f t="shared" si="402"/>
        <v>30503.52</v>
      </c>
      <c r="L1042" s="398">
        <v>0</v>
      </c>
      <c r="M1042" s="398">
        <v>0</v>
      </c>
      <c r="N1042" s="164">
        <f t="shared" si="381"/>
        <v>30503.52</v>
      </c>
      <c r="O1042" s="399">
        <f t="shared" si="389"/>
        <v>0</v>
      </c>
      <c r="P1042" s="392">
        <f t="shared" si="403"/>
        <v>0</v>
      </c>
      <c r="Q1042" s="164">
        <f t="shared" si="390"/>
        <v>0</v>
      </c>
      <c r="R1042" s="164">
        <f t="shared" si="391"/>
        <v>0</v>
      </c>
      <c r="S1042" s="164">
        <f t="shared" si="392"/>
        <v>0</v>
      </c>
      <c r="T1042" s="164">
        <f t="shared" si="393"/>
        <v>0</v>
      </c>
      <c r="U1042" s="164">
        <f t="shared" si="394"/>
        <v>0</v>
      </c>
      <c r="V1042" s="393">
        <f t="shared" si="395"/>
        <v>30503.52</v>
      </c>
      <c r="W1042" s="393">
        <f t="shared" si="396"/>
        <v>-30503.52</v>
      </c>
      <c r="Y1042" s="393">
        <f t="shared" si="399"/>
        <v>4172.13</v>
      </c>
      <c r="Z1042" s="393">
        <f t="shared" si="400"/>
        <v>-4172.13</v>
      </c>
      <c r="AD1042" s="395">
        <f>IF(AH1042&gt;AH1041,AD1041,IF(AD1041&lt;MiscData!$F$1,EOMONTH(AD1041,1),EOMONTH(AD1041,-11)))</f>
        <v>42004</v>
      </c>
      <c r="AE1042" s="389" t="str">
        <f t="shared" si="397"/>
        <v>20140101KUUM_479</v>
      </c>
      <c r="AF1042" s="437" t="str">
        <f t="shared" si="398"/>
        <v>20140101LS</v>
      </c>
      <c r="AG1042" s="438"/>
      <c r="AH1042" s="34">
        <f>IF(AH1041=MiscData!$AB$91,1,AH1041+1)</f>
        <v>73</v>
      </c>
      <c r="AI1042" s="34">
        <f>IF(AD1042&lt;=MiscData!$B$23,MiscData!$C$23,IF(AD1042&lt;=MiscData!$B$24,MiscData!$C$24,MiscData!$C$25))</f>
        <v>20140101</v>
      </c>
      <c r="AK1042" s="439" t="str">
        <f>VLOOKUP(AM1042,MiscData!$AB$4:$ACB$113,2,FALSE)</f>
        <v>KUUM_479</v>
      </c>
      <c r="AL1042" s="439" t="str">
        <f>VLOOKUP(AM1042,MiscData!$AB$4:$AE$115,4,FALSE)</f>
        <v>LS</v>
      </c>
      <c r="AM1042" s="34">
        <f>IF(AM1041=MiscData!$AB$91,1,AM1041+1)</f>
        <v>73</v>
      </c>
    </row>
    <row r="1043" spans="1:39">
      <c r="A1043" s="389">
        <f t="shared" si="401"/>
        <v>1042</v>
      </c>
      <c r="B1043" s="395" t="str">
        <f t="shared" si="383"/>
        <v>Dec 2014</v>
      </c>
      <c r="C1043" s="396" t="str">
        <f t="shared" si="384"/>
        <v>LS</v>
      </c>
      <c r="D1043" s="396" t="str">
        <f t="shared" si="385"/>
        <v>KUUM_486</v>
      </c>
      <c r="E1043" s="394">
        <f t="shared" si="386"/>
        <v>0</v>
      </c>
      <c r="F1043" s="397">
        <v>0</v>
      </c>
      <c r="G1043" s="394">
        <f t="shared" si="382"/>
        <v>0</v>
      </c>
      <c r="H1043" s="394">
        <v>0</v>
      </c>
      <c r="I1043" s="390">
        <f t="shared" si="387"/>
        <v>0</v>
      </c>
      <c r="J1043" s="390">
        <f t="shared" si="388"/>
        <v>0</v>
      </c>
      <c r="K1043" s="391">
        <f t="shared" si="402"/>
        <v>0</v>
      </c>
      <c r="L1043" s="398">
        <v>0</v>
      </c>
      <c r="M1043" s="398">
        <v>0</v>
      </c>
      <c r="N1043" s="164">
        <f t="shared" si="381"/>
        <v>0</v>
      </c>
      <c r="O1043" s="399">
        <f t="shared" si="389"/>
        <v>0</v>
      </c>
      <c r="P1043" s="392">
        <f t="shared" si="403"/>
        <v>1</v>
      </c>
      <c r="Q1043" s="164">
        <f t="shared" si="390"/>
        <v>0</v>
      </c>
      <c r="R1043" s="164">
        <f t="shared" si="391"/>
        <v>0</v>
      </c>
      <c r="S1043" s="164">
        <f t="shared" si="392"/>
        <v>0</v>
      </c>
      <c r="T1043" s="164">
        <f t="shared" si="393"/>
        <v>0</v>
      </c>
      <c r="U1043" s="164">
        <f t="shared" si="394"/>
        <v>0</v>
      </c>
      <c r="V1043" s="393">
        <f t="shared" si="395"/>
        <v>0</v>
      </c>
      <c r="W1043" s="393">
        <f t="shared" si="396"/>
        <v>0</v>
      </c>
      <c r="Y1043" s="393">
        <f t="shared" si="399"/>
        <v>0</v>
      </c>
      <c r="Z1043" s="393">
        <f t="shared" si="400"/>
        <v>0</v>
      </c>
      <c r="AD1043" s="395">
        <f>IF(AH1043&gt;AH1042,AD1042,IF(AD1042&lt;MiscData!$F$1,EOMONTH(AD1042,1),EOMONTH(AD1042,-11)))</f>
        <v>42004</v>
      </c>
      <c r="AE1043" s="389" t="str">
        <f t="shared" si="397"/>
        <v>20140101KUUM_486</v>
      </c>
      <c r="AF1043" s="437" t="str">
        <f t="shared" si="398"/>
        <v>20140101LS</v>
      </c>
      <c r="AG1043" s="438"/>
      <c r="AH1043" s="34">
        <f>IF(AH1042=MiscData!$AB$91,1,AH1042+1)</f>
        <v>74</v>
      </c>
      <c r="AI1043" s="34">
        <f>IF(AD1043&lt;=MiscData!$B$23,MiscData!$C$23,IF(AD1043&lt;=MiscData!$B$24,MiscData!$C$24,MiscData!$C$25))</f>
        <v>20140101</v>
      </c>
      <c r="AK1043" s="439" t="str">
        <f>VLOOKUP(AM1043,MiscData!$AB$4:$ACB$113,2,FALSE)</f>
        <v>KUUM_486</v>
      </c>
      <c r="AL1043" s="439" t="str">
        <f>VLOOKUP(AM1043,MiscData!$AB$4:$AE$115,4,FALSE)</f>
        <v>LS</v>
      </c>
      <c r="AM1043" s="34">
        <f>IF(AM1042=MiscData!$AB$91,1,AM1042+1)</f>
        <v>74</v>
      </c>
    </row>
    <row r="1044" spans="1:39">
      <c r="A1044" s="389">
        <f t="shared" si="401"/>
        <v>1043</v>
      </c>
      <c r="B1044" s="395" t="str">
        <f t="shared" si="383"/>
        <v>Dec 2014</v>
      </c>
      <c r="C1044" s="396" t="str">
        <f t="shared" si="384"/>
        <v>LS</v>
      </c>
      <c r="D1044" s="396" t="str">
        <f t="shared" si="385"/>
        <v>KUUM_487</v>
      </c>
      <c r="E1044" s="394">
        <f t="shared" si="386"/>
        <v>10683</v>
      </c>
      <c r="F1044" s="397">
        <v>0</v>
      </c>
      <c r="G1044" s="394">
        <f t="shared" si="382"/>
        <v>0</v>
      </c>
      <c r="H1044" s="394">
        <v>0</v>
      </c>
      <c r="I1044" s="390">
        <f t="shared" si="387"/>
        <v>9</v>
      </c>
      <c r="J1044" s="390">
        <f t="shared" si="388"/>
        <v>1.1299999999999999</v>
      </c>
      <c r="K1044" s="391">
        <f t="shared" si="402"/>
        <v>96147</v>
      </c>
      <c r="L1044" s="398">
        <v>0</v>
      </c>
      <c r="M1044" s="398">
        <v>0</v>
      </c>
      <c r="N1044" s="164">
        <f t="shared" si="381"/>
        <v>96147</v>
      </c>
      <c r="O1044" s="399">
        <f t="shared" si="389"/>
        <v>0</v>
      </c>
      <c r="P1044" s="392">
        <f t="shared" si="403"/>
        <v>0</v>
      </c>
      <c r="Q1044" s="164">
        <f t="shared" si="390"/>
        <v>0</v>
      </c>
      <c r="R1044" s="164">
        <f t="shared" si="391"/>
        <v>0</v>
      </c>
      <c r="S1044" s="164">
        <f t="shared" si="392"/>
        <v>0</v>
      </c>
      <c r="T1044" s="164">
        <f t="shared" si="393"/>
        <v>0</v>
      </c>
      <c r="U1044" s="164">
        <f t="shared" si="394"/>
        <v>0</v>
      </c>
      <c r="V1044" s="393">
        <f t="shared" si="395"/>
        <v>96147</v>
      </c>
      <c r="W1044" s="393">
        <f t="shared" si="396"/>
        <v>-96147</v>
      </c>
      <c r="Y1044" s="393">
        <f t="shared" si="399"/>
        <v>12071.79</v>
      </c>
      <c r="Z1044" s="393">
        <f t="shared" si="400"/>
        <v>-12071.79</v>
      </c>
      <c r="AD1044" s="395">
        <f>IF(AH1044&gt;AH1043,AD1043,IF(AD1043&lt;MiscData!$F$1,EOMONTH(AD1043,1),EOMONTH(AD1043,-11)))</f>
        <v>42004</v>
      </c>
      <c r="AE1044" s="389" t="str">
        <f t="shared" si="397"/>
        <v>20140101KUUM_487</v>
      </c>
      <c r="AF1044" s="437" t="str">
        <f t="shared" si="398"/>
        <v>20140101LS</v>
      </c>
      <c r="AG1044" s="438"/>
      <c r="AH1044" s="34">
        <f>IF(AH1043=MiscData!$AB$91,1,AH1043+1)</f>
        <v>75</v>
      </c>
      <c r="AI1044" s="34">
        <f>IF(AD1044&lt;=MiscData!$B$23,MiscData!$C$23,IF(AD1044&lt;=MiscData!$B$24,MiscData!$C$24,MiscData!$C$25))</f>
        <v>20140101</v>
      </c>
      <c r="AK1044" s="439" t="str">
        <f>VLOOKUP(AM1044,MiscData!$AB$4:$ACB$113,2,FALSE)</f>
        <v>KUUM_487</v>
      </c>
      <c r="AL1044" s="439" t="str">
        <f>VLOOKUP(AM1044,MiscData!$AB$4:$AE$115,4,FALSE)</f>
        <v>LS</v>
      </c>
      <c r="AM1044" s="34">
        <f>IF(AM1043=MiscData!$AB$91,1,AM1043+1)</f>
        <v>75</v>
      </c>
    </row>
    <row r="1045" spans="1:39">
      <c r="A1045" s="389">
        <f t="shared" si="401"/>
        <v>1044</v>
      </c>
      <c r="B1045" s="395" t="str">
        <f t="shared" si="383"/>
        <v>Dec 2014</v>
      </c>
      <c r="C1045" s="396" t="str">
        <f t="shared" si="384"/>
        <v>LS</v>
      </c>
      <c r="D1045" s="396" t="str">
        <f t="shared" si="385"/>
        <v>KUUM_488</v>
      </c>
      <c r="E1045" s="394">
        <f t="shared" si="386"/>
        <v>6293</v>
      </c>
      <c r="F1045" s="397">
        <v>0</v>
      </c>
      <c r="G1045" s="394">
        <f t="shared" si="382"/>
        <v>0</v>
      </c>
      <c r="H1045" s="394">
        <v>0</v>
      </c>
      <c r="I1045" s="390">
        <f t="shared" si="387"/>
        <v>13.639999999999999</v>
      </c>
      <c r="J1045" s="390">
        <f t="shared" si="388"/>
        <v>2.33</v>
      </c>
      <c r="K1045" s="391">
        <f t="shared" si="402"/>
        <v>85836.52</v>
      </c>
      <c r="L1045" s="398">
        <v>0</v>
      </c>
      <c r="M1045" s="398">
        <v>0</v>
      </c>
      <c r="N1045" s="164">
        <f t="shared" si="381"/>
        <v>85836.52</v>
      </c>
      <c r="O1045" s="399">
        <f t="shared" si="389"/>
        <v>0</v>
      </c>
      <c r="P1045" s="392">
        <f t="shared" si="403"/>
        <v>0</v>
      </c>
      <c r="Q1045" s="164">
        <f t="shared" si="390"/>
        <v>0</v>
      </c>
      <c r="R1045" s="164">
        <f t="shared" si="391"/>
        <v>0</v>
      </c>
      <c r="S1045" s="164">
        <f t="shared" si="392"/>
        <v>0</v>
      </c>
      <c r="T1045" s="164">
        <f t="shared" si="393"/>
        <v>0</v>
      </c>
      <c r="U1045" s="164">
        <f t="shared" si="394"/>
        <v>0</v>
      </c>
      <c r="V1045" s="393">
        <f t="shared" si="395"/>
        <v>85836.52</v>
      </c>
      <c r="W1045" s="393">
        <f t="shared" si="396"/>
        <v>-85836.52</v>
      </c>
      <c r="Y1045" s="393">
        <f t="shared" si="399"/>
        <v>14662.69</v>
      </c>
      <c r="Z1045" s="393">
        <f t="shared" si="400"/>
        <v>-14662.69</v>
      </c>
      <c r="AD1045" s="395">
        <f>IF(AH1045&gt;AH1044,AD1044,IF(AD1044&lt;MiscData!$F$1,EOMONTH(AD1044,1),EOMONTH(AD1044,-11)))</f>
        <v>42004</v>
      </c>
      <c r="AE1045" s="389" t="str">
        <f t="shared" si="397"/>
        <v>20140101KUUM_488</v>
      </c>
      <c r="AF1045" s="437" t="str">
        <f t="shared" si="398"/>
        <v>20140101LS</v>
      </c>
      <c r="AG1045" s="438"/>
      <c r="AH1045" s="34">
        <f>IF(AH1044=MiscData!$AB$91,1,AH1044+1)</f>
        <v>76</v>
      </c>
      <c r="AI1045" s="34">
        <f>IF(AD1045&lt;=MiscData!$B$23,MiscData!$C$23,IF(AD1045&lt;=MiscData!$B$24,MiscData!$C$24,MiscData!$C$25))</f>
        <v>20140101</v>
      </c>
      <c r="AK1045" s="439" t="str">
        <f>VLOOKUP(AM1045,MiscData!$AB$4:$ACB$113,2,FALSE)</f>
        <v>KUUM_488</v>
      </c>
      <c r="AL1045" s="439" t="str">
        <f>VLOOKUP(AM1045,MiscData!$AB$4:$AE$115,4,FALSE)</f>
        <v>LS</v>
      </c>
      <c r="AM1045" s="34">
        <f>IF(AM1044=MiscData!$AB$91,1,AM1044+1)</f>
        <v>76</v>
      </c>
    </row>
    <row r="1046" spans="1:39">
      <c r="A1046" s="389">
        <f t="shared" si="401"/>
        <v>1045</v>
      </c>
      <c r="B1046" s="395" t="str">
        <f t="shared" si="383"/>
        <v>Dec 2014</v>
      </c>
      <c r="C1046" s="396" t="str">
        <f t="shared" si="384"/>
        <v>LS</v>
      </c>
      <c r="D1046" s="396" t="str">
        <f t="shared" si="385"/>
        <v>KUUM_489</v>
      </c>
      <c r="E1046" s="394">
        <f t="shared" si="386"/>
        <v>7993</v>
      </c>
      <c r="F1046" s="397">
        <v>0</v>
      </c>
      <c r="G1046" s="394">
        <f t="shared" si="382"/>
        <v>0</v>
      </c>
      <c r="H1046" s="394">
        <v>0</v>
      </c>
      <c r="I1046" s="390">
        <f t="shared" si="387"/>
        <v>19.46</v>
      </c>
      <c r="J1046" s="390">
        <f t="shared" si="388"/>
        <v>4.5300000000000011</v>
      </c>
      <c r="K1046" s="391">
        <f t="shared" si="402"/>
        <v>155543.78</v>
      </c>
      <c r="L1046" s="398">
        <v>0</v>
      </c>
      <c r="M1046" s="398">
        <v>0</v>
      </c>
      <c r="N1046" s="164">
        <f t="shared" si="381"/>
        <v>155543.78</v>
      </c>
      <c r="O1046" s="399">
        <f t="shared" si="389"/>
        <v>0</v>
      </c>
      <c r="P1046" s="392">
        <f t="shared" si="403"/>
        <v>0</v>
      </c>
      <c r="Q1046" s="164">
        <f t="shared" si="390"/>
        <v>0</v>
      </c>
      <c r="R1046" s="164">
        <f t="shared" si="391"/>
        <v>0</v>
      </c>
      <c r="S1046" s="164">
        <f t="shared" si="392"/>
        <v>0</v>
      </c>
      <c r="T1046" s="164">
        <f t="shared" si="393"/>
        <v>0</v>
      </c>
      <c r="U1046" s="164">
        <f t="shared" si="394"/>
        <v>0</v>
      </c>
      <c r="V1046" s="393">
        <f t="shared" si="395"/>
        <v>155543.78</v>
      </c>
      <c r="W1046" s="393">
        <f t="shared" si="396"/>
        <v>-155543.78</v>
      </c>
      <c r="Y1046" s="393">
        <f t="shared" si="399"/>
        <v>36208.29</v>
      </c>
      <c r="Z1046" s="393">
        <f t="shared" si="400"/>
        <v>-36208.29</v>
      </c>
      <c r="AD1046" s="395">
        <f>IF(AH1046&gt;AH1045,AD1045,IF(AD1045&lt;MiscData!$F$1,EOMONTH(AD1045,1),EOMONTH(AD1045,-11)))</f>
        <v>42004</v>
      </c>
      <c r="AE1046" s="389" t="str">
        <f t="shared" si="397"/>
        <v>20140101KUUM_489</v>
      </c>
      <c r="AF1046" s="437" t="str">
        <f t="shared" si="398"/>
        <v>20140101LS</v>
      </c>
      <c r="AG1046" s="438"/>
      <c r="AH1046" s="34">
        <f>IF(AH1045=MiscData!$AB$91,1,AH1045+1)</f>
        <v>77</v>
      </c>
      <c r="AI1046" s="34">
        <f>IF(AD1046&lt;=MiscData!$B$23,MiscData!$C$23,IF(AD1046&lt;=MiscData!$B$24,MiscData!$C$24,MiscData!$C$25))</f>
        <v>20140101</v>
      </c>
      <c r="AK1046" s="439" t="str">
        <f>VLOOKUP(AM1046,MiscData!$AB$4:$ACB$113,2,FALSE)</f>
        <v>KUUM_489</v>
      </c>
      <c r="AL1046" s="439" t="str">
        <f>VLOOKUP(AM1046,MiscData!$AB$4:$AE$115,4,FALSE)</f>
        <v>LS</v>
      </c>
      <c r="AM1046" s="34">
        <f>IF(AM1045=MiscData!$AB$91,1,AM1045+1)</f>
        <v>77</v>
      </c>
    </row>
    <row r="1047" spans="1:39">
      <c r="A1047" s="389">
        <f t="shared" si="401"/>
        <v>1046</v>
      </c>
      <c r="B1047" s="395" t="str">
        <f t="shared" si="383"/>
        <v>Dec 2014</v>
      </c>
      <c r="C1047" s="396" t="str">
        <f t="shared" si="384"/>
        <v>LS</v>
      </c>
      <c r="D1047" s="396" t="str">
        <f t="shared" si="385"/>
        <v>KUUM_490</v>
      </c>
      <c r="E1047" s="394">
        <f t="shared" si="386"/>
        <v>56</v>
      </c>
      <c r="F1047" s="397">
        <v>0</v>
      </c>
      <c r="G1047" s="394">
        <f t="shared" si="382"/>
        <v>0</v>
      </c>
      <c r="H1047" s="394">
        <v>0</v>
      </c>
      <c r="I1047" s="390">
        <f t="shared" si="387"/>
        <v>15.47</v>
      </c>
      <c r="J1047" s="390">
        <f t="shared" si="388"/>
        <v>1.9700000000000006</v>
      </c>
      <c r="K1047" s="391">
        <f t="shared" si="402"/>
        <v>866.32</v>
      </c>
      <c r="L1047" s="398">
        <v>0</v>
      </c>
      <c r="M1047" s="398">
        <v>0</v>
      </c>
      <c r="N1047" s="164">
        <f t="shared" si="381"/>
        <v>866.32</v>
      </c>
      <c r="O1047" s="399">
        <f t="shared" si="389"/>
        <v>0</v>
      </c>
      <c r="P1047" s="392">
        <f t="shared" si="403"/>
        <v>0</v>
      </c>
      <c r="Q1047" s="164">
        <f t="shared" si="390"/>
        <v>0</v>
      </c>
      <c r="R1047" s="164">
        <f t="shared" si="391"/>
        <v>0</v>
      </c>
      <c r="S1047" s="164">
        <f t="shared" si="392"/>
        <v>0</v>
      </c>
      <c r="T1047" s="164">
        <f t="shared" si="393"/>
        <v>0</v>
      </c>
      <c r="U1047" s="164">
        <f t="shared" si="394"/>
        <v>0</v>
      </c>
      <c r="V1047" s="393">
        <f t="shared" si="395"/>
        <v>866.32</v>
      </c>
      <c r="W1047" s="393">
        <f t="shared" si="396"/>
        <v>-866.32</v>
      </c>
      <c r="Y1047" s="393">
        <f t="shared" si="399"/>
        <v>110.32</v>
      </c>
      <c r="Z1047" s="393">
        <f t="shared" si="400"/>
        <v>-110.32</v>
      </c>
      <c r="AD1047" s="395">
        <f>IF(AH1047&gt;AH1046,AD1046,IF(AD1046&lt;MiscData!$F$1,EOMONTH(AD1046,1),EOMONTH(AD1046,-11)))</f>
        <v>42004</v>
      </c>
      <c r="AE1047" s="389" t="str">
        <f t="shared" si="397"/>
        <v>20140101KUUM_490</v>
      </c>
      <c r="AF1047" s="437" t="str">
        <f t="shared" si="398"/>
        <v>20140101LS</v>
      </c>
      <c r="AG1047" s="438"/>
      <c r="AH1047" s="34">
        <f>IF(AH1046=MiscData!$AB$91,1,AH1046+1)</f>
        <v>78</v>
      </c>
      <c r="AI1047" s="34">
        <f>IF(AD1047&lt;=MiscData!$B$23,MiscData!$C$23,IF(AD1047&lt;=MiscData!$B$24,MiscData!$C$24,MiscData!$C$25))</f>
        <v>20140101</v>
      </c>
      <c r="AK1047" s="439" t="str">
        <f>VLOOKUP(AM1047,MiscData!$AB$4:$ACB$113,2,FALSE)</f>
        <v>KUUM_490</v>
      </c>
      <c r="AL1047" s="439" t="str">
        <f>VLOOKUP(AM1047,MiscData!$AB$4:$AE$115,4,FALSE)</f>
        <v>LS</v>
      </c>
      <c r="AM1047" s="34">
        <f>IF(AM1046=MiscData!$AB$91,1,AM1046+1)</f>
        <v>78</v>
      </c>
    </row>
    <row r="1048" spans="1:39">
      <c r="A1048" s="389">
        <f t="shared" si="401"/>
        <v>1047</v>
      </c>
      <c r="B1048" s="395" t="str">
        <f t="shared" si="383"/>
        <v>Dec 2014</v>
      </c>
      <c r="C1048" s="396" t="str">
        <f t="shared" si="384"/>
        <v>LS</v>
      </c>
      <c r="D1048" s="396" t="str">
        <f t="shared" si="385"/>
        <v>KUUM_491</v>
      </c>
      <c r="E1048" s="394">
        <f t="shared" si="386"/>
        <v>286</v>
      </c>
      <c r="F1048" s="397">
        <v>0</v>
      </c>
      <c r="G1048" s="394">
        <f t="shared" si="382"/>
        <v>0</v>
      </c>
      <c r="H1048" s="394">
        <v>0</v>
      </c>
      <c r="I1048" s="390">
        <f t="shared" si="387"/>
        <v>21.930000000000003</v>
      </c>
      <c r="J1048" s="390">
        <f t="shared" si="388"/>
        <v>4.2900000000000027</v>
      </c>
      <c r="K1048" s="391">
        <f t="shared" si="402"/>
        <v>6271.98</v>
      </c>
      <c r="L1048" s="398">
        <v>0</v>
      </c>
      <c r="M1048" s="398">
        <v>0</v>
      </c>
      <c r="N1048" s="164">
        <f t="shared" si="381"/>
        <v>6271.98</v>
      </c>
      <c r="O1048" s="399">
        <f t="shared" si="389"/>
        <v>0</v>
      </c>
      <c r="P1048" s="392">
        <f t="shared" si="403"/>
        <v>0</v>
      </c>
      <c r="Q1048" s="164">
        <f t="shared" si="390"/>
        <v>0</v>
      </c>
      <c r="R1048" s="164">
        <f t="shared" si="391"/>
        <v>0</v>
      </c>
      <c r="S1048" s="164">
        <f t="shared" si="392"/>
        <v>0</v>
      </c>
      <c r="T1048" s="164">
        <f t="shared" si="393"/>
        <v>0</v>
      </c>
      <c r="U1048" s="164">
        <f t="shared" si="394"/>
        <v>0</v>
      </c>
      <c r="V1048" s="393">
        <f t="shared" si="395"/>
        <v>6271.98</v>
      </c>
      <c r="W1048" s="393">
        <f t="shared" si="396"/>
        <v>-6271.98</v>
      </c>
      <c r="Y1048" s="393">
        <f t="shared" si="399"/>
        <v>1226.94</v>
      </c>
      <c r="Z1048" s="393">
        <f t="shared" si="400"/>
        <v>-1226.94</v>
      </c>
      <c r="AD1048" s="395">
        <f>IF(AH1048&gt;AH1035,AD1035,IF(AD1035&lt;MiscData!$F$1,EOMONTH(AD1035,1),EOMONTH(AD1035,-11)))</f>
        <v>42004</v>
      </c>
      <c r="AE1048" s="389" t="str">
        <f t="shared" si="397"/>
        <v>20140101KUUM_491</v>
      </c>
      <c r="AF1048" s="437" t="str">
        <f t="shared" si="398"/>
        <v>20140101LS</v>
      </c>
      <c r="AG1048" s="438"/>
      <c r="AH1048" s="34">
        <f>IF(AH1047=MiscData!$AB$91,1,AH1047+1)</f>
        <v>79</v>
      </c>
      <c r="AI1048" s="34">
        <f>IF(AD1048&lt;=MiscData!$B$23,MiscData!$C$23,IF(AD1048&lt;=MiscData!$B$24,MiscData!$C$24,MiscData!$C$25))</f>
        <v>20140101</v>
      </c>
      <c r="AK1048" s="439" t="str">
        <f>VLOOKUP(AM1048,MiscData!$AB$4:$ACB$113,2,FALSE)</f>
        <v>KUUM_491</v>
      </c>
      <c r="AL1048" s="439" t="str">
        <f>VLOOKUP(AM1048,MiscData!$AB$4:$AE$115,4,FALSE)</f>
        <v>LS</v>
      </c>
      <c r="AM1048" s="34">
        <f>IF(AM1047=MiscData!$AB$91,1,AM1047+1)</f>
        <v>79</v>
      </c>
    </row>
    <row r="1049" spans="1:39">
      <c r="A1049" s="389">
        <f t="shared" si="401"/>
        <v>1048</v>
      </c>
      <c r="B1049" s="395" t="str">
        <f t="shared" si="383"/>
        <v>Dec 2014</v>
      </c>
      <c r="C1049" s="396" t="str">
        <f t="shared" si="384"/>
        <v>LS</v>
      </c>
      <c r="D1049" s="396" t="str">
        <f t="shared" si="385"/>
        <v>KUUM_492</v>
      </c>
      <c r="E1049" s="394">
        <f t="shared" si="386"/>
        <v>2</v>
      </c>
      <c r="F1049" s="397">
        <v>0</v>
      </c>
      <c r="G1049" s="394">
        <f t="shared" si="382"/>
        <v>0</v>
      </c>
      <c r="H1049" s="394">
        <v>0</v>
      </c>
      <c r="I1049" s="390">
        <f t="shared" si="387"/>
        <v>15.370000000000001</v>
      </c>
      <c r="J1049" s="390">
        <f t="shared" si="388"/>
        <v>0.80000000000000071</v>
      </c>
      <c r="K1049" s="391">
        <f t="shared" si="402"/>
        <v>30.74</v>
      </c>
      <c r="L1049" s="398">
        <v>0</v>
      </c>
      <c r="M1049" s="398">
        <v>0</v>
      </c>
      <c r="N1049" s="164">
        <f t="shared" si="381"/>
        <v>30.74</v>
      </c>
      <c r="O1049" s="399">
        <f t="shared" si="389"/>
        <v>0</v>
      </c>
      <c r="P1049" s="392">
        <f t="shared" si="403"/>
        <v>0</v>
      </c>
      <c r="Q1049" s="164">
        <f t="shared" si="390"/>
        <v>0</v>
      </c>
      <c r="R1049" s="164">
        <f t="shared" si="391"/>
        <v>0</v>
      </c>
      <c r="S1049" s="164">
        <f t="shared" si="392"/>
        <v>0</v>
      </c>
      <c r="T1049" s="164">
        <f t="shared" si="393"/>
        <v>0</v>
      </c>
      <c r="U1049" s="164">
        <f t="shared" si="394"/>
        <v>0</v>
      </c>
      <c r="V1049" s="393">
        <f t="shared" si="395"/>
        <v>30.74</v>
      </c>
      <c r="W1049" s="393">
        <f t="shared" si="396"/>
        <v>-30.74</v>
      </c>
      <c r="Y1049" s="393">
        <f t="shared" si="399"/>
        <v>1.6</v>
      </c>
      <c r="Z1049" s="393">
        <f t="shared" si="400"/>
        <v>-1.6</v>
      </c>
      <c r="AD1049" s="395">
        <f>IF(AH1049&gt;AH1048,AD1048,IF(AD1048&lt;MiscData!$F$1,EOMONTH(AD1048,1),EOMONTH(AD1048,-11)))</f>
        <v>42004</v>
      </c>
      <c r="AE1049" s="389" t="str">
        <f t="shared" si="397"/>
        <v>20140101KUUM_492</v>
      </c>
      <c r="AF1049" s="437" t="str">
        <f t="shared" si="398"/>
        <v>20140101LS</v>
      </c>
      <c r="AG1049" s="438"/>
      <c r="AH1049" s="34">
        <f>IF(AH1048=MiscData!$AB$91,1,AH1048+1)</f>
        <v>80</v>
      </c>
      <c r="AI1049" s="34">
        <f>IF(AD1049&lt;=MiscData!$B$23,MiscData!$C$23,IF(AD1049&lt;=MiscData!$B$24,MiscData!$C$24,MiscData!$C$25))</f>
        <v>20140101</v>
      </c>
      <c r="AK1049" s="439" t="str">
        <f>VLOOKUP(AM1049,MiscData!$AB$4:$ACB$113,2,FALSE)</f>
        <v>KUUM_492</v>
      </c>
      <c r="AL1049" s="439" t="str">
        <f>VLOOKUP(AM1049,MiscData!$AB$4:$AE$115,4,FALSE)</f>
        <v>LS</v>
      </c>
      <c r="AM1049" s="34">
        <f>IF(AM1048=MiscData!$AB$91,1,AM1048+1)</f>
        <v>80</v>
      </c>
    </row>
    <row r="1050" spans="1:39">
      <c r="A1050" s="389">
        <f t="shared" si="401"/>
        <v>1049</v>
      </c>
      <c r="B1050" s="395" t="str">
        <f t="shared" si="383"/>
        <v>Dec 2014</v>
      </c>
      <c r="C1050" s="396" t="str">
        <f t="shared" si="384"/>
        <v>LS</v>
      </c>
      <c r="D1050" s="396" t="str">
        <f t="shared" si="385"/>
        <v>KUUM_493</v>
      </c>
      <c r="E1050" s="394">
        <f t="shared" si="386"/>
        <v>45</v>
      </c>
      <c r="F1050" s="397">
        <v>0</v>
      </c>
      <c r="G1050" s="394">
        <f t="shared" si="382"/>
        <v>0</v>
      </c>
      <c r="H1050" s="394">
        <v>0</v>
      </c>
      <c r="I1050" s="390">
        <f t="shared" si="387"/>
        <v>45.7</v>
      </c>
      <c r="J1050" s="390">
        <f t="shared" si="388"/>
        <v>10.409999999999997</v>
      </c>
      <c r="K1050" s="391">
        <f t="shared" si="402"/>
        <v>2056.5</v>
      </c>
      <c r="L1050" s="398">
        <v>0</v>
      </c>
      <c r="M1050" s="398">
        <v>0</v>
      </c>
      <c r="N1050" s="164">
        <f t="shared" si="381"/>
        <v>2056.5</v>
      </c>
      <c r="O1050" s="399">
        <f t="shared" si="389"/>
        <v>0</v>
      </c>
      <c r="P1050" s="392">
        <f t="shared" si="403"/>
        <v>0</v>
      </c>
      <c r="Q1050" s="164">
        <f t="shared" si="390"/>
        <v>0</v>
      </c>
      <c r="R1050" s="164">
        <f t="shared" si="391"/>
        <v>0</v>
      </c>
      <c r="S1050" s="164">
        <f t="shared" si="392"/>
        <v>0</v>
      </c>
      <c r="T1050" s="164">
        <f t="shared" si="393"/>
        <v>0</v>
      </c>
      <c r="U1050" s="164">
        <f t="shared" si="394"/>
        <v>0</v>
      </c>
      <c r="V1050" s="393">
        <f t="shared" si="395"/>
        <v>2056.5</v>
      </c>
      <c r="W1050" s="393">
        <f t="shared" si="396"/>
        <v>-2056.5</v>
      </c>
      <c r="Y1050" s="393">
        <f t="shared" si="399"/>
        <v>468.45</v>
      </c>
      <c r="Z1050" s="393">
        <f t="shared" si="400"/>
        <v>-468.45</v>
      </c>
      <c r="AD1050" s="395">
        <f>IF(AH1050&gt;AH1049,AD1049,IF(AD1049&lt;MiscData!$F$1,EOMONTH(AD1049,1),EOMONTH(AD1049,-11)))</f>
        <v>42004</v>
      </c>
      <c r="AE1050" s="389" t="str">
        <f t="shared" si="397"/>
        <v>20140101KUUM_493</v>
      </c>
      <c r="AF1050" s="437" t="str">
        <f t="shared" si="398"/>
        <v>20140101LS</v>
      </c>
      <c r="AG1050" s="438"/>
      <c r="AH1050" s="34">
        <f>IF(AH1049=MiscData!$AB$91,1,AH1049+1)</f>
        <v>81</v>
      </c>
      <c r="AI1050" s="34">
        <f>IF(AD1050&lt;=MiscData!$B$23,MiscData!$C$23,IF(AD1050&lt;=MiscData!$B$24,MiscData!$C$24,MiscData!$C$25))</f>
        <v>20140101</v>
      </c>
      <c r="AK1050" s="439" t="str">
        <f>VLOOKUP(AM1050,MiscData!$AB$4:$ACB$113,2,FALSE)</f>
        <v>KUUM_493</v>
      </c>
      <c r="AL1050" s="439" t="str">
        <f>VLOOKUP(AM1050,MiscData!$AB$4:$AE$115,4,FALSE)</f>
        <v>LS</v>
      </c>
      <c r="AM1050" s="34">
        <f>IF(AM1049=MiscData!$AB$91,1,AM1049+1)</f>
        <v>81</v>
      </c>
    </row>
    <row r="1051" spans="1:39">
      <c r="A1051" s="389">
        <f t="shared" si="401"/>
        <v>1050</v>
      </c>
      <c r="B1051" s="395" t="str">
        <f t="shared" si="383"/>
        <v>Dec 2014</v>
      </c>
      <c r="C1051" s="396" t="str">
        <f t="shared" si="384"/>
        <v>LS</v>
      </c>
      <c r="D1051" s="396" t="str">
        <f t="shared" si="385"/>
        <v>KUUM_494</v>
      </c>
      <c r="E1051" s="394">
        <f t="shared" si="386"/>
        <v>174</v>
      </c>
      <c r="F1051" s="397">
        <v>0</v>
      </c>
      <c r="G1051" s="394">
        <f t="shared" si="382"/>
        <v>0</v>
      </c>
      <c r="H1051" s="394">
        <v>0</v>
      </c>
      <c r="I1051" s="390">
        <f t="shared" si="387"/>
        <v>28.37</v>
      </c>
      <c r="J1051" s="390">
        <f t="shared" si="388"/>
        <v>1.9699999999999989</v>
      </c>
      <c r="K1051" s="391">
        <f t="shared" si="402"/>
        <v>4936.38</v>
      </c>
      <c r="L1051" s="398">
        <v>0</v>
      </c>
      <c r="M1051" s="398">
        <v>0</v>
      </c>
      <c r="N1051" s="164">
        <f t="shared" si="381"/>
        <v>4936.38</v>
      </c>
      <c r="O1051" s="399">
        <f t="shared" si="389"/>
        <v>0</v>
      </c>
      <c r="P1051" s="392">
        <f t="shared" si="403"/>
        <v>0</v>
      </c>
      <c r="Q1051" s="164">
        <f t="shared" si="390"/>
        <v>0</v>
      </c>
      <c r="R1051" s="164">
        <f t="shared" si="391"/>
        <v>0</v>
      </c>
      <c r="S1051" s="164">
        <f t="shared" si="392"/>
        <v>0</v>
      </c>
      <c r="T1051" s="164">
        <f t="shared" si="393"/>
        <v>0</v>
      </c>
      <c r="U1051" s="164">
        <f t="shared" si="394"/>
        <v>0</v>
      </c>
      <c r="V1051" s="393">
        <f t="shared" si="395"/>
        <v>4936.38</v>
      </c>
      <c r="W1051" s="393">
        <f t="shared" si="396"/>
        <v>-4936.38</v>
      </c>
      <c r="Y1051" s="393">
        <f t="shared" si="399"/>
        <v>342.78</v>
      </c>
      <c r="Z1051" s="393">
        <f t="shared" si="400"/>
        <v>-342.78</v>
      </c>
      <c r="AD1051" s="395">
        <f>IF(AH1051&gt;AH1050,AD1050,IF(AD1050&lt;MiscData!$F$1,EOMONTH(AD1050,1),EOMONTH(AD1050,-11)))</f>
        <v>42004</v>
      </c>
      <c r="AE1051" s="389" t="str">
        <f t="shared" si="397"/>
        <v>20140101KUUM_494</v>
      </c>
      <c r="AF1051" s="437" t="str">
        <f t="shared" si="398"/>
        <v>20140101LS</v>
      </c>
      <c r="AG1051" s="438"/>
      <c r="AH1051" s="34">
        <f>IF(AH1050=MiscData!$AB$91,1,AH1050+1)</f>
        <v>82</v>
      </c>
      <c r="AI1051" s="34">
        <f>IF(AD1051&lt;=MiscData!$B$23,MiscData!$C$23,IF(AD1051&lt;=MiscData!$B$24,MiscData!$C$24,MiscData!$C$25))</f>
        <v>20140101</v>
      </c>
      <c r="AK1051" s="439" t="str">
        <f>VLOOKUP(AM1051,MiscData!$AB$4:$ACB$113,2,FALSE)</f>
        <v>KUUM_494</v>
      </c>
      <c r="AL1051" s="439" t="str">
        <f>VLOOKUP(AM1051,MiscData!$AB$4:$AE$115,4,FALSE)</f>
        <v>LS</v>
      </c>
      <c r="AM1051" s="34">
        <f>IF(AM1050=MiscData!$AB$91,1,AM1050+1)</f>
        <v>82</v>
      </c>
    </row>
    <row r="1052" spans="1:39">
      <c r="A1052" s="389">
        <f t="shared" si="401"/>
        <v>1051</v>
      </c>
      <c r="B1052" s="395" t="str">
        <f t="shared" si="383"/>
        <v>Dec 2014</v>
      </c>
      <c r="C1052" s="396" t="str">
        <f t="shared" si="384"/>
        <v>LS</v>
      </c>
      <c r="D1052" s="396" t="str">
        <f t="shared" si="385"/>
        <v>KUUM_495</v>
      </c>
      <c r="E1052" s="394">
        <f t="shared" si="386"/>
        <v>594</v>
      </c>
      <c r="F1052" s="397">
        <v>0</v>
      </c>
      <c r="G1052" s="394">
        <f t="shared" si="382"/>
        <v>0</v>
      </c>
      <c r="H1052" s="394">
        <v>0</v>
      </c>
      <c r="I1052" s="390">
        <f t="shared" si="387"/>
        <v>34.830000000000005</v>
      </c>
      <c r="J1052" s="390">
        <f t="shared" si="388"/>
        <v>4.2899999999999991</v>
      </c>
      <c r="K1052" s="391">
        <f t="shared" si="402"/>
        <v>20689.02</v>
      </c>
      <c r="L1052" s="398">
        <v>0</v>
      </c>
      <c r="M1052" s="398">
        <v>0</v>
      </c>
      <c r="N1052" s="164">
        <f t="shared" si="381"/>
        <v>20689.02</v>
      </c>
      <c r="O1052" s="399">
        <f t="shared" si="389"/>
        <v>0</v>
      </c>
      <c r="P1052" s="392">
        <f t="shared" si="403"/>
        <v>0</v>
      </c>
      <c r="Q1052" s="164">
        <f t="shared" si="390"/>
        <v>0</v>
      </c>
      <c r="R1052" s="164">
        <f t="shared" si="391"/>
        <v>0</v>
      </c>
      <c r="S1052" s="164">
        <f t="shared" si="392"/>
        <v>0</v>
      </c>
      <c r="T1052" s="164">
        <f t="shared" si="393"/>
        <v>0</v>
      </c>
      <c r="U1052" s="164">
        <f t="shared" si="394"/>
        <v>0</v>
      </c>
      <c r="V1052" s="393">
        <f t="shared" si="395"/>
        <v>20689.02</v>
      </c>
      <c r="W1052" s="393">
        <f t="shared" si="396"/>
        <v>-20689.02</v>
      </c>
      <c r="Y1052" s="393">
        <f t="shared" si="399"/>
        <v>2548.2600000000002</v>
      </c>
      <c r="Z1052" s="393">
        <f t="shared" si="400"/>
        <v>-2548.2600000000002</v>
      </c>
      <c r="AD1052" s="395">
        <f>IF(AH1052&gt;AH1051,AD1051,IF(AD1051&lt;MiscData!$F$1,EOMONTH(AD1051,1),EOMONTH(AD1051,-11)))</f>
        <v>42004</v>
      </c>
      <c r="AE1052" s="389" t="str">
        <f t="shared" si="397"/>
        <v>20140101KUUM_495</v>
      </c>
      <c r="AF1052" s="437" t="str">
        <f t="shared" si="398"/>
        <v>20140101LS</v>
      </c>
      <c r="AG1052" s="438"/>
      <c r="AH1052" s="34">
        <f>IF(AH1051=MiscData!$AB$91,1,AH1051+1)</f>
        <v>83</v>
      </c>
      <c r="AI1052" s="34">
        <f>IF(AD1052&lt;=MiscData!$B$23,MiscData!$C$23,IF(AD1052&lt;=MiscData!$B$24,MiscData!$C$24,MiscData!$C$25))</f>
        <v>20140101</v>
      </c>
      <c r="AK1052" s="439" t="str">
        <f>VLOOKUP(AM1052,MiscData!$AB$4:$ACB$113,2,FALSE)</f>
        <v>KUUM_495</v>
      </c>
      <c r="AL1052" s="439" t="str">
        <f>VLOOKUP(AM1052,MiscData!$AB$4:$AE$115,4,FALSE)</f>
        <v>LS</v>
      </c>
      <c r="AM1052" s="34">
        <f>IF(AM1051=MiscData!$AB$91,1,AM1051+1)</f>
        <v>83</v>
      </c>
    </row>
    <row r="1053" spans="1:39">
      <c r="A1053" s="389">
        <f t="shared" si="401"/>
        <v>1052</v>
      </c>
      <c r="B1053" s="395" t="str">
        <f t="shared" si="383"/>
        <v>Dec 2014</v>
      </c>
      <c r="C1053" s="396" t="str">
        <f t="shared" si="384"/>
        <v>LS</v>
      </c>
      <c r="D1053" s="396" t="str">
        <f t="shared" si="385"/>
        <v>KUUM_496</v>
      </c>
      <c r="E1053" s="394">
        <f t="shared" si="386"/>
        <v>168</v>
      </c>
      <c r="F1053" s="397">
        <v>0</v>
      </c>
      <c r="G1053" s="394">
        <f t="shared" si="382"/>
        <v>0</v>
      </c>
      <c r="H1053" s="394">
        <v>0</v>
      </c>
      <c r="I1053" s="390">
        <f t="shared" si="387"/>
        <v>58.59</v>
      </c>
      <c r="J1053" s="390">
        <f t="shared" si="388"/>
        <v>10.409999999999997</v>
      </c>
      <c r="K1053" s="391">
        <f t="shared" si="402"/>
        <v>9843.1200000000008</v>
      </c>
      <c r="L1053" s="398">
        <v>0</v>
      </c>
      <c r="M1053" s="398">
        <v>0</v>
      </c>
      <c r="N1053" s="164">
        <f t="shared" si="381"/>
        <v>9843.1200000000008</v>
      </c>
      <c r="O1053" s="399">
        <f t="shared" si="389"/>
        <v>0</v>
      </c>
      <c r="P1053" s="392">
        <f t="shared" si="403"/>
        <v>0</v>
      </c>
      <c r="Q1053" s="164">
        <f t="shared" si="390"/>
        <v>0</v>
      </c>
      <c r="R1053" s="164">
        <f t="shared" si="391"/>
        <v>0</v>
      </c>
      <c r="S1053" s="164">
        <f t="shared" si="392"/>
        <v>0</v>
      </c>
      <c r="T1053" s="164">
        <f t="shared" si="393"/>
        <v>0</v>
      </c>
      <c r="U1053" s="164">
        <f t="shared" si="394"/>
        <v>0</v>
      </c>
      <c r="V1053" s="393">
        <f t="shared" si="395"/>
        <v>9843.1200000000008</v>
      </c>
      <c r="W1053" s="393">
        <f t="shared" si="396"/>
        <v>-9843.1200000000008</v>
      </c>
      <c r="Y1053" s="393">
        <f t="shared" si="399"/>
        <v>1748.88</v>
      </c>
      <c r="Z1053" s="393">
        <f t="shared" si="400"/>
        <v>-1748.88</v>
      </c>
      <c r="AD1053" s="395">
        <f>IF(AH1053&gt;AH1052,AD1052,IF(AD1052&lt;MiscData!$F$1,EOMONTH(AD1052,1),EOMONTH(AD1052,-11)))</f>
        <v>42004</v>
      </c>
      <c r="AE1053" s="389" t="str">
        <f t="shared" si="397"/>
        <v>20140101KUUM_496</v>
      </c>
      <c r="AF1053" s="437" t="str">
        <f t="shared" si="398"/>
        <v>20140101LS</v>
      </c>
      <c r="AG1053" s="438"/>
      <c r="AH1053" s="34">
        <f>IF(AH1052=MiscData!$AB$91,1,AH1052+1)</f>
        <v>84</v>
      </c>
      <c r="AI1053" s="34">
        <f>IF(AD1053&lt;=MiscData!$B$23,MiscData!$C$23,IF(AD1053&lt;=MiscData!$B$24,MiscData!$C$24,MiscData!$C$25))</f>
        <v>20140101</v>
      </c>
      <c r="AK1053" s="439" t="str">
        <f>VLOOKUP(AM1053,MiscData!$AB$4:$ACB$113,2,FALSE)</f>
        <v>KUUM_496</v>
      </c>
      <c r="AL1053" s="439" t="str">
        <f>VLOOKUP(AM1053,MiscData!$AB$4:$AE$115,4,FALSE)</f>
        <v>LS</v>
      </c>
      <c r="AM1053" s="34">
        <f>IF(AM1052=MiscData!$AB$91,1,AM1052+1)</f>
        <v>84</v>
      </c>
    </row>
    <row r="1054" spans="1:39">
      <c r="A1054" s="389">
        <f t="shared" si="401"/>
        <v>1053</v>
      </c>
      <c r="B1054" s="395" t="str">
        <f t="shared" si="383"/>
        <v>Dec 2014</v>
      </c>
      <c r="C1054" s="396" t="str">
        <f t="shared" si="384"/>
        <v>LS</v>
      </c>
      <c r="D1054" s="396" t="str">
        <f t="shared" si="385"/>
        <v>KUUM_497</v>
      </c>
      <c r="E1054" s="394">
        <f t="shared" si="386"/>
        <v>8</v>
      </c>
      <c r="F1054" s="397">
        <v>0</v>
      </c>
      <c r="G1054" s="394">
        <f t="shared" si="382"/>
        <v>0</v>
      </c>
      <c r="H1054" s="394">
        <v>0</v>
      </c>
      <c r="I1054" s="390">
        <f t="shared" si="387"/>
        <v>15.35</v>
      </c>
      <c r="J1054" s="390">
        <f t="shared" si="388"/>
        <v>1.1300000000000008</v>
      </c>
      <c r="K1054" s="391">
        <f t="shared" si="402"/>
        <v>122.8</v>
      </c>
      <c r="L1054" s="398">
        <v>0</v>
      </c>
      <c r="M1054" s="398">
        <v>0</v>
      </c>
      <c r="N1054" s="164">
        <f t="shared" si="381"/>
        <v>122.8</v>
      </c>
      <c r="O1054" s="399">
        <f t="shared" si="389"/>
        <v>0</v>
      </c>
      <c r="P1054" s="392">
        <f t="shared" si="403"/>
        <v>0</v>
      </c>
      <c r="Q1054" s="164">
        <f t="shared" si="390"/>
        <v>0</v>
      </c>
      <c r="R1054" s="164">
        <f t="shared" si="391"/>
        <v>0</v>
      </c>
      <c r="S1054" s="164">
        <f t="shared" si="392"/>
        <v>0</v>
      </c>
      <c r="T1054" s="164">
        <f t="shared" si="393"/>
        <v>0</v>
      </c>
      <c r="U1054" s="164">
        <f t="shared" si="394"/>
        <v>0</v>
      </c>
      <c r="V1054" s="393">
        <f t="shared" si="395"/>
        <v>122.8</v>
      </c>
      <c r="W1054" s="393">
        <f t="shared" si="396"/>
        <v>-122.8</v>
      </c>
      <c r="Y1054" s="393">
        <f t="shared" si="399"/>
        <v>9.0399999999999991</v>
      </c>
      <c r="Z1054" s="393">
        <f t="shared" si="400"/>
        <v>-9.0399999999999991</v>
      </c>
      <c r="AD1054" s="395">
        <f>IF(AH1054&gt;AH1053,AD1053,IF(AD1053&lt;MiscData!$F$1,EOMONTH(AD1053,1),EOMONTH(AD1053,-11)))</f>
        <v>42004</v>
      </c>
      <c r="AE1054" s="389" t="str">
        <f t="shared" si="397"/>
        <v>20140101KUUM_497</v>
      </c>
      <c r="AF1054" s="437" t="str">
        <f t="shared" si="398"/>
        <v>20140101LS</v>
      </c>
      <c r="AG1054" s="438"/>
      <c r="AH1054" s="34">
        <f>IF(AH1053=MiscData!$AB$91,1,AH1053+1)</f>
        <v>85</v>
      </c>
      <c r="AI1054" s="34">
        <f>IF(AD1054&lt;=MiscData!$B$23,MiscData!$C$23,IF(AD1054&lt;=MiscData!$B$24,MiscData!$C$24,MiscData!$C$25))</f>
        <v>20140101</v>
      </c>
      <c r="AK1054" s="439" t="str">
        <f>VLOOKUP(AM1054,MiscData!$AB$4:$ACB$113,2,FALSE)</f>
        <v>KUUM_497</v>
      </c>
      <c r="AL1054" s="439" t="str">
        <f>VLOOKUP(AM1054,MiscData!$AB$4:$AE$115,4,FALSE)</f>
        <v>LS</v>
      </c>
      <c r="AM1054" s="34">
        <f>IF(AM1053=MiscData!$AB$91,1,AM1053+1)</f>
        <v>85</v>
      </c>
    </row>
    <row r="1055" spans="1:39">
      <c r="A1055" s="389">
        <f t="shared" si="401"/>
        <v>1054</v>
      </c>
      <c r="B1055" s="395" t="str">
        <f t="shared" si="383"/>
        <v>Dec 2014</v>
      </c>
      <c r="C1055" s="396" t="str">
        <f t="shared" si="384"/>
        <v>LS</v>
      </c>
      <c r="D1055" s="396" t="str">
        <f t="shared" si="385"/>
        <v>KUUM_498</v>
      </c>
      <c r="E1055" s="394">
        <f t="shared" si="386"/>
        <v>20</v>
      </c>
      <c r="F1055" s="397">
        <v>0</v>
      </c>
      <c r="G1055" s="394">
        <f t="shared" si="382"/>
        <v>0</v>
      </c>
      <c r="H1055" s="394">
        <v>0</v>
      </c>
      <c r="I1055" s="390">
        <f t="shared" si="387"/>
        <v>17.72</v>
      </c>
      <c r="J1055" s="390">
        <f t="shared" si="388"/>
        <v>2.33</v>
      </c>
      <c r="K1055" s="391">
        <f t="shared" si="402"/>
        <v>354.4</v>
      </c>
      <c r="L1055" s="398">
        <v>0</v>
      </c>
      <c r="M1055" s="398">
        <v>0</v>
      </c>
      <c r="N1055" s="164">
        <f t="shared" si="381"/>
        <v>354.4</v>
      </c>
      <c r="O1055" s="399">
        <f t="shared" si="389"/>
        <v>0</v>
      </c>
      <c r="P1055" s="392">
        <f t="shared" si="403"/>
        <v>0</v>
      </c>
      <c r="Q1055" s="164">
        <f t="shared" si="390"/>
        <v>0</v>
      </c>
      <c r="R1055" s="164">
        <f t="shared" si="391"/>
        <v>0</v>
      </c>
      <c r="S1055" s="164">
        <f t="shared" si="392"/>
        <v>0</v>
      </c>
      <c r="T1055" s="164">
        <f t="shared" si="393"/>
        <v>0</v>
      </c>
      <c r="U1055" s="164">
        <f t="shared" si="394"/>
        <v>0</v>
      </c>
      <c r="V1055" s="393">
        <f t="shared" si="395"/>
        <v>354.4</v>
      </c>
      <c r="W1055" s="393">
        <f t="shared" si="396"/>
        <v>-354.4</v>
      </c>
      <c r="Y1055" s="393">
        <f t="shared" si="399"/>
        <v>46.6</v>
      </c>
      <c r="Z1055" s="393">
        <f t="shared" si="400"/>
        <v>-46.6</v>
      </c>
      <c r="AD1055" s="395">
        <f>IF(AH1055&gt;AH1054,AD1054,IF(AD1054&lt;MiscData!$F$1,EOMONTH(AD1054,1),EOMONTH(AD1054,-11)))</f>
        <v>42004</v>
      </c>
      <c r="AE1055" s="389" t="str">
        <f t="shared" si="397"/>
        <v>20140101KUUM_498</v>
      </c>
      <c r="AF1055" s="437" t="str">
        <f t="shared" si="398"/>
        <v>20140101LS</v>
      </c>
      <c r="AG1055" s="438"/>
      <c r="AH1055" s="34">
        <f>IF(AH1054=MiscData!$AB$91,1,AH1054+1)</f>
        <v>86</v>
      </c>
      <c r="AI1055" s="34">
        <f>IF(AD1055&lt;=MiscData!$B$23,MiscData!$C$23,IF(AD1055&lt;=MiscData!$B$24,MiscData!$C$24,MiscData!$C$25))</f>
        <v>20140101</v>
      </c>
      <c r="AK1055" s="439" t="str">
        <f>VLOOKUP(AM1055,MiscData!$AB$4:$ACB$113,2,FALSE)</f>
        <v>KUUM_498</v>
      </c>
      <c r="AL1055" s="439" t="str">
        <f>VLOOKUP(AM1055,MiscData!$AB$4:$AE$115,4,FALSE)</f>
        <v>LS</v>
      </c>
      <c r="AM1055" s="34">
        <f>IF(AM1054=MiscData!$AB$91,1,AM1054+1)</f>
        <v>86</v>
      </c>
    </row>
    <row r="1056" spans="1:39">
      <c r="A1056" s="389">
        <f t="shared" si="401"/>
        <v>1055</v>
      </c>
      <c r="B1056" s="395" t="str">
        <f t="shared" si="383"/>
        <v>Dec 2014</v>
      </c>
      <c r="C1056" s="396" t="str">
        <f t="shared" si="384"/>
        <v>LS</v>
      </c>
      <c r="D1056" s="396" t="str">
        <f t="shared" si="385"/>
        <v>KUUM_499</v>
      </c>
      <c r="E1056" s="394">
        <f t="shared" si="386"/>
        <v>23</v>
      </c>
      <c r="F1056" s="397">
        <v>0</v>
      </c>
      <c r="G1056" s="394">
        <f t="shared" si="382"/>
        <v>0</v>
      </c>
      <c r="H1056" s="394">
        <v>0</v>
      </c>
      <c r="I1056" s="390">
        <f t="shared" si="387"/>
        <v>21.490000000000002</v>
      </c>
      <c r="J1056" s="390">
        <f t="shared" si="388"/>
        <v>4.5300000000000011</v>
      </c>
      <c r="K1056" s="391">
        <f t="shared" si="402"/>
        <v>494.27</v>
      </c>
      <c r="L1056" s="398">
        <v>0</v>
      </c>
      <c r="M1056" s="398">
        <v>0</v>
      </c>
      <c r="N1056" s="164">
        <f t="shared" si="381"/>
        <v>494.27</v>
      </c>
      <c r="O1056" s="399">
        <f t="shared" si="389"/>
        <v>0</v>
      </c>
      <c r="P1056" s="392">
        <f t="shared" si="403"/>
        <v>0</v>
      </c>
      <c r="Q1056" s="164">
        <f t="shared" si="390"/>
        <v>0</v>
      </c>
      <c r="R1056" s="164">
        <f t="shared" si="391"/>
        <v>0</v>
      </c>
      <c r="S1056" s="164">
        <f t="shared" si="392"/>
        <v>0</v>
      </c>
      <c r="T1056" s="164">
        <f t="shared" si="393"/>
        <v>0</v>
      </c>
      <c r="U1056" s="164">
        <f t="shared" si="394"/>
        <v>0</v>
      </c>
      <c r="V1056" s="393">
        <f t="shared" si="395"/>
        <v>494.27</v>
      </c>
      <c r="W1056" s="393">
        <f t="shared" si="396"/>
        <v>-494.27</v>
      </c>
      <c r="Y1056" s="393">
        <f t="shared" si="399"/>
        <v>104.19</v>
      </c>
      <c r="Z1056" s="393">
        <f t="shared" si="400"/>
        <v>-104.19</v>
      </c>
      <c r="AD1056" s="395">
        <f>IF(AH1056&gt;AH1055,AD1055,IF(AD1055&lt;MiscData!$F$1,EOMONTH(AD1055,1),EOMONTH(AD1055,-11)))</f>
        <v>42004</v>
      </c>
      <c r="AE1056" s="389" t="str">
        <f t="shared" si="397"/>
        <v>20140101KUUM_499</v>
      </c>
      <c r="AF1056" s="437" t="str">
        <f t="shared" si="398"/>
        <v>20140101LS</v>
      </c>
      <c r="AG1056" s="438"/>
      <c r="AH1056" s="34">
        <f>IF(AH1055=MiscData!$AB$91,1,AH1055+1)</f>
        <v>87</v>
      </c>
      <c r="AI1056" s="34">
        <f>IF(AD1056&lt;=MiscData!$B$23,MiscData!$C$23,IF(AD1056&lt;=MiscData!$B$24,MiscData!$C$24,MiscData!$C$25))</f>
        <v>20140101</v>
      </c>
      <c r="AK1056" s="439" t="str">
        <f>VLOOKUP(AM1056,MiscData!$AB$4:$ACB$113,2,FALSE)</f>
        <v>KUUM_499</v>
      </c>
      <c r="AL1056" s="439" t="str">
        <f>VLOOKUP(AM1056,MiscData!$AB$4:$AE$115,4,FALSE)</f>
        <v>LS</v>
      </c>
      <c r="AM1056" s="34">
        <f>IF(AM1055=MiscData!$AB$91,1,AM1055+1)</f>
        <v>87</v>
      </c>
    </row>
    <row r="1057" spans="1:39">
      <c r="A1057" s="389">
        <f t="shared" si="401"/>
        <v>1056</v>
      </c>
      <c r="B1057" s="395" t="str">
        <f t="shared" si="383"/>
        <v>Dec 2014</v>
      </c>
      <c r="C1057" s="396" t="str">
        <f t="shared" si="384"/>
        <v>ODL</v>
      </c>
      <c r="D1057" s="396" t="str">
        <f t="shared" si="385"/>
        <v>ODL</v>
      </c>
      <c r="E1057" s="394">
        <f t="shared" si="386"/>
        <v>0</v>
      </c>
      <c r="F1057" s="397">
        <v>0</v>
      </c>
      <c r="G1057" s="394">
        <f t="shared" si="382"/>
        <v>11589816</v>
      </c>
      <c r="H1057" s="394">
        <v>0</v>
      </c>
      <c r="I1057" s="390">
        <f t="shared" si="387"/>
        <v>0</v>
      </c>
      <c r="J1057" s="390">
        <f t="shared" si="388"/>
        <v>0</v>
      </c>
      <c r="K1057" s="391">
        <f t="shared" si="402"/>
        <v>0</v>
      </c>
      <c r="L1057" s="398">
        <v>0</v>
      </c>
      <c r="M1057" s="398">
        <v>0</v>
      </c>
      <c r="N1057" s="164">
        <f t="shared" si="381"/>
        <v>0</v>
      </c>
      <c r="O1057" s="399">
        <f t="shared" si="389"/>
        <v>2038046.25</v>
      </c>
      <c r="P1057" s="392">
        <f t="shared" si="403"/>
        <v>0</v>
      </c>
      <c r="Q1057" s="164">
        <f t="shared" si="390"/>
        <v>41876</v>
      </c>
      <c r="R1057" s="164">
        <f t="shared" si="391"/>
        <v>0</v>
      </c>
      <c r="S1057" s="164">
        <f t="shared" si="392"/>
        <v>36847</v>
      </c>
      <c r="T1057" s="164">
        <f t="shared" si="393"/>
        <v>0</v>
      </c>
      <c r="U1057" s="164">
        <f t="shared" si="394"/>
        <v>2116769.25</v>
      </c>
      <c r="V1057" s="393">
        <f t="shared" si="395"/>
        <v>78723</v>
      </c>
      <c r="W1057" s="393">
        <f t="shared" si="396"/>
        <v>2038046.25</v>
      </c>
      <c r="Y1057" s="393">
        <f t="shared" si="399"/>
        <v>0</v>
      </c>
      <c r="Z1057" s="393">
        <f t="shared" si="400"/>
        <v>2038046.25</v>
      </c>
      <c r="AD1057" s="395">
        <f>IF(AH1057&gt;AH1056,AD1056,IF(AD1056&lt;MiscData!$F$1,EOMONTH(AD1056,1),EOMONTH(AD1056,-11)))</f>
        <v>42004</v>
      </c>
      <c r="AE1057" s="389" t="str">
        <f t="shared" si="397"/>
        <v>20140101ODL</v>
      </c>
      <c r="AF1057" s="437" t="str">
        <f t="shared" si="398"/>
        <v>20140101ODL</v>
      </c>
      <c r="AG1057" s="438"/>
      <c r="AH1057" s="34">
        <f>IF(AH1056=MiscData!$AB$91,1,AH1056+1)</f>
        <v>88</v>
      </c>
      <c r="AI1057" s="34">
        <f>IF(AD1057&lt;=MiscData!$B$23,MiscData!$C$23,IF(AD1057&lt;=MiscData!$B$24,MiscData!$C$24,MiscData!$C$25))</f>
        <v>20140101</v>
      </c>
      <c r="AK1057" s="439" t="str">
        <f>VLOOKUP(AM1057,MiscData!$AB$4:$ACB$113,2,FALSE)</f>
        <v>ODL</v>
      </c>
      <c r="AL1057" s="439" t="str">
        <f>VLOOKUP(AM1057,MiscData!$AB$4:$AE$115,4,FALSE)</f>
        <v>ODL</v>
      </c>
      <c r="AM1057" s="34">
        <f>IF(AM1056=MiscData!$AB$91,1,AM1056+1)</f>
        <v>88</v>
      </c>
    </row>
    <row r="1058" spans="1:39">
      <c r="A1058" s="389"/>
      <c r="B1058" s="395"/>
      <c r="C1058" s="396"/>
      <c r="D1058" s="396"/>
      <c r="E1058" s="394"/>
      <c r="F1058" s="397"/>
      <c r="G1058" s="394"/>
      <c r="H1058" s="394"/>
      <c r="I1058" s="390"/>
      <c r="J1058" s="390"/>
      <c r="K1058" s="391"/>
      <c r="L1058" s="398"/>
      <c r="M1058" s="398"/>
      <c r="N1058" s="164"/>
      <c r="O1058" s="399"/>
      <c r="P1058" s="392"/>
      <c r="Q1058" s="164"/>
      <c r="R1058" s="164"/>
      <c r="S1058" s="164"/>
      <c r="T1058" s="164"/>
      <c r="U1058" s="164"/>
      <c r="V1058" s="393"/>
      <c r="W1058" s="393"/>
      <c r="Y1058" s="393"/>
      <c r="Z1058" s="393"/>
      <c r="AD1058" s="395"/>
      <c r="AE1058" s="389"/>
      <c r="AF1058" s="437"/>
      <c r="AG1058" s="438"/>
      <c r="AK1058" s="439"/>
      <c r="AL1058" s="439"/>
    </row>
    <row r="1059" spans="1:39">
      <c r="A1059" s="389"/>
      <c r="B1059" s="395"/>
      <c r="C1059" s="396"/>
      <c r="D1059" s="396"/>
      <c r="E1059" s="394"/>
      <c r="F1059" s="397"/>
      <c r="G1059" s="394"/>
      <c r="H1059" s="394"/>
      <c r="I1059" s="390"/>
      <c r="J1059" s="390"/>
      <c r="K1059" s="391"/>
      <c r="L1059" s="398"/>
      <c r="M1059" s="398"/>
      <c r="N1059" s="164"/>
      <c r="O1059" s="399"/>
      <c r="P1059" s="392"/>
      <c r="Q1059" s="164"/>
      <c r="R1059" s="164"/>
      <c r="S1059" s="164"/>
      <c r="T1059" s="164"/>
      <c r="U1059" s="164"/>
      <c r="V1059" s="393"/>
      <c r="W1059" s="393"/>
      <c r="Y1059" s="393"/>
      <c r="Z1059" s="393"/>
      <c r="AD1059" s="395"/>
      <c r="AE1059" s="389"/>
      <c r="AF1059" s="437"/>
      <c r="AG1059" s="438"/>
      <c r="AK1059" s="439"/>
      <c r="AL1059" s="439"/>
    </row>
    <row r="1060" spans="1:39">
      <c r="A1060" s="389"/>
      <c r="B1060" s="395"/>
      <c r="C1060" s="396"/>
      <c r="D1060" s="396"/>
      <c r="E1060" s="394"/>
      <c r="F1060" s="397"/>
      <c r="G1060" s="394"/>
      <c r="H1060" s="394"/>
      <c r="I1060" s="390"/>
      <c r="J1060" s="390"/>
      <c r="K1060" s="391"/>
      <c r="L1060" s="398"/>
      <c r="M1060" s="398"/>
      <c r="N1060" s="164"/>
      <c r="O1060" s="399"/>
      <c r="P1060" s="392"/>
      <c r="Q1060" s="164"/>
      <c r="R1060" s="164"/>
      <c r="S1060" s="164"/>
      <c r="T1060" s="164"/>
      <c r="U1060" s="164"/>
      <c r="V1060" s="393"/>
      <c r="W1060" s="393"/>
      <c r="Y1060" s="393"/>
      <c r="Z1060" s="393"/>
      <c r="AD1060" s="395"/>
      <c r="AE1060" s="389"/>
      <c r="AF1060" s="437"/>
      <c r="AG1060" s="438"/>
      <c r="AK1060" s="439"/>
      <c r="AL1060" s="439"/>
    </row>
    <row r="1061" spans="1:39">
      <c r="A1061" s="389"/>
      <c r="B1061" s="395"/>
      <c r="C1061" s="396"/>
      <c r="D1061" s="396"/>
      <c r="E1061" s="394"/>
      <c r="F1061" s="397"/>
      <c r="G1061" s="394"/>
      <c r="H1061" s="394"/>
      <c r="I1061" s="390"/>
      <c r="J1061" s="390"/>
      <c r="K1061" s="391"/>
      <c r="L1061" s="398"/>
      <c r="M1061" s="398"/>
      <c r="N1061" s="164"/>
      <c r="O1061" s="399"/>
      <c r="P1061" s="392"/>
      <c r="Q1061" s="164"/>
      <c r="R1061" s="164"/>
      <c r="S1061" s="164"/>
      <c r="T1061" s="164"/>
      <c r="U1061" s="164"/>
      <c r="V1061" s="393"/>
      <c r="W1061" s="393"/>
      <c r="Y1061" s="393"/>
      <c r="Z1061" s="393"/>
      <c r="AD1061" s="395"/>
      <c r="AE1061" s="389"/>
      <c r="AF1061" s="437"/>
      <c r="AG1061" s="438"/>
      <c r="AK1061" s="439"/>
      <c r="AL1061" s="439"/>
    </row>
    <row r="1062" spans="1:39">
      <c r="A1062" s="389"/>
      <c r="B1062" s="395"/>
      <c r="C1062" s="396"/>
      <c r="D1062" s="396"/>
      <c r="E1062" s="394"/>
      <c r="F1062" s="397"/>
      <c r="G1062" s="394"/>
      <c r="H1062" s="394"/>
      <c r="I1062" s="390"/>
      <c r="J1062" s="390"/>
      <c r="K1062" s="391"/>
      <c r="L1062" s="398"/>
      <c r="M1062" s="398"/>
      <c r="N1062" s="164"/>
      <c r="O1062" s="399"/>
      <c r="P1062" s="392"/>
      <c r="Q1062" s="164"/>
      <c r="R1062" s="164"/>
      <c r="S1062" s="164"/>
      <c r="T1062" s="164"/>
      <c r="U1062" s="164"/>
      <c r="V1062" s="393"/>
      <c r="W1062" s="393"/>
      <c r="Y1062" s="393"/>
      <c r="Z1062" s="393"/>
      <c r="AD1062" s="395"/>
      <c r="AE1062" s="389"/>
      <c r="AF1062" s="437"/>
      <c r="AG1062" s="438"/>
      <c r="AK1062" s="439"/>
      <c r="AL1062" s="439"/>
    </row>
    <row r="1063" spans="1:39">
      <c r="A1063" s="389"/>
      <c r="B1063" s="395"/>
      <c r="C1063" s="396"/>
      <c r="D1063" s="396"/>
      <c r="E1063" s="394"/>
      <c r="F1063" s="397"/>
      <c r="G1063" s="394"/>
      <c r="H1063" s="394"/>
      <c r="I1063" s="390"/>
      <c r="J1063" s="390"/>
      <c r="K1063" s="391"/>
      <c r="L1063" s="398"/>
      <c r="M1063" s="398"/>
      <c r="N1063" s="164"/>
      <c r="O1063" s="399"/>
      <c r="P1063" s="392"/>
      <c r="Q1063" s="164"/>
      <c r="R1063" s="164"/>
      <c r="S1063" s="164"/>
      <c r="T1063" s="164"/>
      <c r="U1063" s="164"/>
      <c r="V1063" s="393"/>
      <c r="W1063" s="393"/>
      <c r="Y1063" s="393"/>
      <c r="Z1063" s="393"/>
      <c r="AD1063" s="395"/>
      <c r="AE1063" s="389"/>
      <c r="AF1063" s="437"/>
      <c r="AG1063" s="438"/>
      <c r="AK1063" s="439"/>
      <c r="AL1063" s="439"/>
    </row>
    <row r="1064" spans="1:39">
      <c r="A1064" s="389"/>
      <c r="B1064" s="395"/>
      <c r="C1064" s="396"/>
      <c r="D1064" s="396"/>
      <c r="E1064" s="394"/>
      <c r="F1064" s="397"/>
      <c r="G1064" s="394"/>
      <c r="H1064" s="394"/>
      <c r="I1064" s="390"/>
      <c r="J1064" s="390"/>
      <c r="K1064" s="391"/>
      <c r="L1064" s="398"/>
      <c r="M1064" s="398"/>
      <c r="N1064" s="164"/>
      <c r="O1064" s="399"/>
      <c r="P1064" s="392"/>
      <c r="Q1064" s="164"/>
      <c r="R1064" s="164"/>
      <c r="S1064" s="164"/>
      <c r="T1064" s="164"/>
      <c r="U1064" s="164"/>
      <c r="V1064" s="393"/>
      <c r="W1064" s="393"/>
      <c r="Y1064" s="393"/>
      <c r="Z1064" s="393"/>
      <c r="AD1064" s="395"/>
      <c r="AE1064" s="389"/>
      <c r="AF1064" s="437"/>
      <c r="AG1064" s="438"/>
      <c r="AK1064" s="439"/>
      <c r="AL1064" s="439"/>
    </row>
    <row r="1065" spans="1:39">
      <c r="A1065" s="389"/>
      <c r="B1065" s="395"/>
      <c r="C1065" s="396"/>
      <c r="D1065" s="396"/>
      <c r="E1065" s="394"/>
      <c r="F1065" s="397"/>
      <c r="G1065" s="394"/>
      <c r="H1065" s="394"/>
      <c r="I1065" s="390"/>
      <c r="J1065" s="390"/>
      <c r="K1065" s="391"/>
      <c r="L1065" s="398"/>
      <c r="M1065" s="398"/>
      <c r="N1065" s="164"/>
      <c r="O1065" s="399"/>
      <c r="P1065" s="392"/>
      <c r="Q1065" s="164"/>
      <c r="R1065" s="164"/>
      <c r="S1065" s="164"/>
      <c r="T1065" s="164"/>
      <c r="U1065" s="164"/>
      <c r="V1065" s="393"/>
      <c r="W1065" s="393"/>
      <c r="Y1065" s="393"/>
      <c r="Z1065" s="393"/>
      <c r="AD1065" s="395"/>
      <c r="AE1065" s="389"/>
      <c r="AF1065" s="437"/>
      <c r="AG1065" s="438"/>
      <c r="AK1065" s="439"/>
      <c r="AL1065" s="439"/>
    </row>
    <row r="1066" spans="1:39">
      <c r="A1066" s="389"/>
      <c r="B1066" s="395"/>
      <c r="C1066" s="396"/>
      <c r="D1066" s="396"/>
      <c r="E1066" s="394"/>
      <c r="F1066" s="397"/>
      <c r="G1066" s="394"/>
      <c r="H1066" s="394"/>
      <c r="I1066" s="390"/>
      <c r="J1066" s="390"/>
      <c r="K1066" s="391"/>
      <c r="L1066" s="398"/>
      <c r="M1066" s="398"/>
      <c r="N1066" s="164"/>
      <c r="O1066" s="399"/>
      <c r="P1066" s="392"/>
      <c r="Q1066" s="164"/>
      <c r="R1066" s="164"/>
      <c r="S1066" s="164"/>
      <c r="T1066" s="164"/>
      <c r="U1066" s="164"/>
      <c r="V1066" s="393"/>
      <c r="W1066" s="393"/>
      <c r="Y1066" s="393"/>
      <c r="Z1066" s="393"/>
      <c r="AD1066" s="395"/>
      <c r="AE1066" s="389"/>
      <c r="AF1066" s="437"/>
      <c r="AG1066" s="438"/>
      <c r="AK1066" s="439"/>
      <c r="AL1066" s="439"/>
    </row>
    <row r="1067" spans="1:39">
      <c r="A1067" s="389"/>
      <c r="B1067" s="395"/>
      <c r="C1067" s="396"/>
      <c r="D1067" s="396"/>
      <c r="E1067" s="394"/>
      <c r="F1067" s="397"/>
      <c r="G1067" s="394"/>
      <c r="H1067" s="394"/>
      <c r="I1067" s="390"/>
      <c r="J1067" s="390"/>
      <c r="K1067" s="391"/>
      <c r="L1067" s="398"/>
      <c r="M1067" s="398"/>
      <c r="N1067" s="164"/>
      <c r="O1067" s="399"/>
      <c r="P1067" s="392"/>
      <c r="Q1067" s="164"/>
      <c r="R1067" s="164"/>
      <c r="S1067" s="164"/>
      <c r="T1067" s="164"/>
      <c r="U1067" s="164"/>
      <c r="V1067" s="393"/>
      <c r="W1067" s="393"/>
      <c r="Y1067" s="393"/>
      <c r="Z1067" s="393"/>
      <c r="AD1067" s="395"/>
      <c r="AE1067" s="389"/>
      <c r="AF1067" s="437"/>
      <c r="AG1067" s="438"/>
      <c r="AK1067" s="439"/>
      <c r="AL1067" s="439"/>
    </row>
    <row r="1068" spans="1:39">
      <c r="A1068" s="389"/>
      <c r="B1068" s="395"/>
      <c r="C1068" s="396"/>
      <c r="D1068" s="396"/>
      <c r="E1068" s="394"/>
      <c r="F1068" s="397"/>
      <c r="G1068" s="394"/>
      <c r="H1068" s="394"/>
      <c r="I1068" s="390"/>
      <c r="J1068" s="390"/>
      <c r="K1068" s="391"/>
      <c r="L1068" s="398"/>
      <c r="M1068" s="398"/>
      <c r="N1068" s="164"/>
      <c r="O1068" s="399"/>
      <c r="P1068" s="392"/>
      <c r="Q1068" s="164"/>
      <c r="R1068" s="164"/>
      <c r="S1068" s="164"/>
      <c r="T1068" s="164"/>
      <c r="U1068" s="164"/>
      <c r="V1068" s="393"/>
      <c r="W1068" s="393"/>
      <c r="Y1068" s="393"/>
      <c r="Z1068" s="393"/>
      <c r="AD1068" s="395"/>
      <c r="AE1068" s="389"/>
      <c r="AF1068" s="437"/>
      <c r="AG1068" s="438"/>
      <c r="AK1068" s="439"/>
      <c r="AL1068" s="439"/>
    </row>
    <row r="1069" spans="1:39">
      <c r="A1069" s="389"/>
      <c r="B1069" s="395"/>
      <c r="C1069" s="396"/>
      <c r="D1069" s="396"/>
      <c r="E1069" s="394"/>
      <c r="F1069" s="397"/>
      <c r="G1069" s="394"/>
      <c r="H1069" s="394"/>
      <c r="I1069" s="390"/>
      <c r="J1069" s="390"/>
      <c r="K1069" s="391"/>
      <c r="L1069" s="398"/>
      <c r="M1069" s="398"/>
      <c r="N1069" s="164"/>
      <c r="O1069" s="399"/>
      <c r="P1069" s="392"/>
      <c r="Q1069" s="164"/>
      <c r="R1069" s="164"/>
      <c r="S1069" s="164"/>
      <c r="T1069" s="164"/>
      <c r="U1069" s="164"/>
      <c r="V1069" s="393"/>
      <c r="W1069" s="393"/>
      <c r="Y1069" s="393"/>
      <c r="Z1069" s="393"/>
      <c r="AD1069" s="395"/>
      <c r="AE1069" s="389"/>
      <c r="AF1069" s="437"/>
      <c r="AG1069" s="438"/>
      <c r="AK1069" s="439"/>
      <c r="AL1069" s="439"/>
    </row>
    <row r="1070" spans="1:39" s="980" customFormat="1">
      <c r="A1070" s="389"/>
      <c r="B1070" s="978"/>
      <c r="C1070" s="978"/>
      <c r="D1070" s="978"/>
      <c r="E1070" s="979"/>
      <c r="F1070" s="979"/>
      <c r="G1070" s="978"/>
      <c r="H1070" s="978"/>
      <c r="I1070" s="978"/>
      <c r="J1070" s="978"/>
      <c r="K1070" s="978"/>
      <c r="L1070" s="34"/>
      <c r="M1070" s="34"/>
      <c r="N1070" s="34"/>
      <c r="O1070" s="34"/>
      <c r="P1070" s="34"/>
      <c r="Q1070" s="34"/>
      <c r="R1070" s="34"/>
      <c r="S1070" s="34"/>
      <c r="T1070" s="34"/>
      <c r="U1070" s="34"/>
      <c r="V1070" s="34"/>
      <c r="W1070" s="34"/>
      <c r="X1070" s="34"/>
      <c r="Y1070" s="34"/>
      <c r="Z1070" s="34"/>
      <c r="AA1070" s="34"/>
      <c r="AB1070" s="34"/>
      <c r="AC1070" s="34"/>
      <c r="AD1070" s="395"/>
      <c r="AE1070" s="389"/>
      <c r="AF1070" s="437"/>
      <c r="AH1070" s="34"/>
      <c r="AI1070" s="34"/>
      <c r="AJ1070" s="34"/>
      <c r="AK1070" s="439"/>
      <c r="AL1070" s="439"/>
      <c r="AM1070" s="34"/>
    </row>
    <row r="1071" spans="1:39" s="980" customFormat="1">
      <c r="A1071" s="34"/>
      <c r="B1071" s="978"/>
      <c r="C1071" s="978"/>
      <c r="D1071" s="978"/>
      <c r="E1071" s="981">
        <f>SUM(E2:E1069)</f>
        <v>2023002</v>
      </c>
      <c r="F1071" s="981">
        <f>SUM(F2:F1070)</f>
        <v>646</v>
      </c>
      <c r="G1071" s="981">
        <f>SUM(G2:G1069)</f>
        <v>119802347</v>
      </c>
      <c r="H1071" s="981">
        <f>SUM(H2:H1069)</f>
        <v>27299</v>
      </c>
      <c r="I1071" s="978"/>
      <c r="J1071" s="978"/>
      <c r="K1071" s="981">
        <f>SUM(K2:K1069)</f>
        <v>25135635.249999989</v>
      </c>
      <c r="L1071" s="981">
        <f>SUM(L2:L1069)</f>
        <v>3178.9900000000071</v>
      </c>
      <c r="M1071" s="981"/>
      <c r="N1071" s="981">
        <f>SUM(N2:N1069)</f>
        <v>25138814.239999969</v>
      </c>
      <c r="O1071" s="981">
        <f>SUM(O2:O1069)</f>
        <v>25136734.669999976</v>
      </c>
      <c r="P1071" s="34"/>
      <c r="Q1071" s="981">
        <f t="shared" ref="Q1071:V1071" si="404">SUM(Q2:Q1069)</f>
        <v>243081.61000000004</v>
      </c>
      <c r="R1071" s="981">
        <f t="shared" si="404"/>
        <v>0</v>
      </c>
      <c r="S1071" s="981">
        <f t="shared" si="404"/>
        <v>542216.46000000043</v>
      </c>
      <c r="T1071" s="981">
        <f t="shared" si="404"/>
        <v>-3.9999999999999994E-2</v>
      </c>
      <c r="U1071" s="982">
        <f>SUM(U2:U1069)</f>
        <v>25922032.700000018</v>
      </c>
      <c r="V1071" s="982">
        <f t="shared" si="404"/>
        <v>25924112.270000011</v>
      </c>
      <c r="W1071" s="34"/>
      <c r="X1071" s="34"/>
      <c r="Y1071" s="34"/>
      <c r="Z1071" s="34"/>
      <c r="AA1071" s="34"/>
      <c r="AB1071" s="34"/>
      <c r="AC1071" s="34"/>
      <c r="AD1071" s="395"/>
      <c r="AE1071" s="389"/>
      <c r="AF1071" s="437"/>
      <c r="AH1071" s="34"/>
      <c r="AI1071" s="34"/>
      <c r="AJ1071" s="34"/>
      <c r="AK1071" s="439"/>
      <c r="AL1071" s="439"/>
      <c r="AM1071" s="34"/>
    </row>
    <row r="1072" spans="1:39" s="980" customFormat="1">
      <c r="A1072" s="34"/>
      <c r="B1072" s="978"/>
      <c r="C1072" s="978"/>
      <c r="D1072" s="978"/>
      <c r="E1072" s="979"/>
      <c r="F1072" s="978"/>
      <c r="G1072" s="978"/>
      <c r="H1072" s="978"/>
      <c r="I1072" s="978"/>
      <c r="J1072" s="978"/>
      <c r="K1072" s="978"/>
      <c r="L1072" s="34"/>
      <c r="M1072" s="34"/>
      <c r="N1072" s="34"/>
      <c r="O1072" s="34"/>
      <c r="P1072" s="34"/>
      <c r="Q1072" s="34"/>
      <c r="R1072" s="34"/>
      <c r="S1072" s="34"/>
      <c r="T1072" s="34"/>
      <c r="U1072" s="34"/>
      <c r="V1072" s="34"/>
      <c r="W1072" s="34"/>
      <c r="X1072" s="34"/>
      <c r="Y1072" s="34"/>
      <c r="Z1072" s="34"/>
      <c r="AA1072" s="34"/>
      <c r="AB1072" s="34"/>
      <c r="AC1072" s="34"/>
      <c r="AD1072" s="978"/>
      <c r="AE1072" s="389"/>
      <c r="AF1072" s="437"/>
      <c r="AH1072" s="34"/>
      <c r="AI1072" s="34"/>
      <c r="AJ1072" s="34"/>
      <c r="AK1072" s="34"/>
      <c r="AL1072" s="34"/>
      <c r="AM1072" s="34"/>
    </row>
    <row r="1073" spans="1:39" s="980" customFormat="1">
      <c r="A1073" s="34"/>
      <c r="B1073" s="978"/>
      <c r="C1073" s="978" t="s">
        <v>1035</v>
      </c>
      <c r="D1073" s="978"/>
      <c r="E1073" s="983">
        <f>SUMIF($C$2:$C$1069,$C$1073,E$2:E$1069)</f>
        <v>1702500</v>
      </c>
      <c r="F1073" s="983">
        <f>SUMIF($C$2:$C$1069,$C$1073,F$2:F$1069)</f>
        <v>567</v>
      </c>
      <c r="G1073" s="978"/>
      <c r="H1073" s="978"/>
      <c r="I1073" s="978"/>
      <c r="J1073" s="978"/>
      <c r="K1073" s="984">
        <f>SUMIF($C$2:$C$1069,$C$1073,K$2:K$1069)</f>
        <v>21476968.199999981</v>
      </c>
      <c r="L1073" s="984">
        <f>SUMIF($C$2:$C$1069,$C$1073,L$2:L$1069)</f>
        <v>-10289.549999999999</v>
      </c>
      <c r="M1073" s="984">
        <f>SUMIF($C$2:$C$1069,$C$1073,M$2:M$1069)</f>
        <v>0</v>
      </c>
      <c r="N1073" s="984">
        <f>SUMIF($C$2:$C$1069,$C$1073,N$2:N$1069)</f>
        <v>21466678.649999976</v>
      </c>
      <c r="O1073" s="984">
        <f>SUMIF($C$2:$C$1069,$C$1073,O$2:O$1069)</f>
        <v>10904304.199999996</v>
      </c>
      <c r="P1073" s="34"/>
      <c r="Q1073" s="987">
        <f>SUMIF(_12MonLights_RateClass,"LS",_12MonLights_FAC)</f>
        <v>117677.85999999996</v>
      </c>
      <c r="R1073" s="34"/>
      <c r="S1073" s="987">
        <f>SUMIF(_12MonLights_RateClass,"LS",_12MonLights_ECR)</f>
        <v>278110.15000000002</v>
      </c>
      <c r="T1073" s="34"/>
      <c r="U1073" s="34"/>
      <c r="V1073" s="34"/>
      <c r="W1073" s="34"/>
      <c r="X1073" s="34"/>
      <c r="Y1073" s="34"/>
      <c r="Z1073" s="34"/>
      <c r="AA1073" s="34"/>
      <c r="AB1073" s="34"/>
      <c r="AC1073" s="34"/>
      <c r="AD1073" s="978"/>
      <c r="AE1073" s="389"/>
      <c r="AF1073" s="437"/>
      <c r="AH1073" s="34"/>
      <c r="AI1073" s="34"/>
      <c r="AJ1073" s="34"/>
      <c r="AK1073" s="34"/>
      <c r="AL1073" s="34"/>
      <c r="AM1073" s="34"/>
    </row>
    <row r="1074" spans="1:39" s="980" customFormat="1">
      <c r="A1074" s="34"/>
      <c r="B1074" s="978"/>
      <c r="C1074" s="978" t="s">
        <v>1036</v>
      </c>
      <c r="D1074" s="978"/>
      <c r="E1074" s="983">
        <f>SUMIF($C$2:$C$1069,$C$1074,E$2:E$1069)</f>
        <v>320502</v>
      </c>
      <c r="F1074" s="983">
        <f>SUMIF($C$2:$C$1069,$C$1074,F$2:F$1069)</f>
        <v>79</v>
      </c>
      <c r="G1074" s="978"/>
      <c r="H1074" s="978"/>
      <c r="I1074" s="978"/>
      <c r="J1074" s="978"/>
      <c r="K1074" s="984">
        <f>SUMIF($C$2:$C$1069,$C$1074,K$2:K$1069)</f>
        <v>3658667.0500000007</v>
      </c>
      <c r="L1074" s="984">
        <f>SUMIF($C$2:$C$1069,$C$1074,L$2:L$1069)</f>
        <v>13468.540000000003</v>
      </c>
      <c r="M1074" s="984">
        <f>SUMIF($C$2:$C$1069,$C$1074,M$2:M$1069)</f>
        <v>0</v>
      </c>
      <c r="N1074" s="984">
        <f>SUMIF($C$2:$C$1069,$C$1074,N$2:N$1069)</f>
        <v>3672135.5899999989</v>
      </c>
      <c r="O1074" s="984">
        <f>SUMIF($C$2:$C$1069,$C$1074,O$2:O$1069)</f>
        <v>1853705.9700000002</v>
      </c>
      <c r="P1074" s="34"/>
      <c r="Q1074" s="987">
        <f>SUMIF(_12MonLights_RateClass,"RLS",_12MonLights_FAC)</f>
        <v>23171.749999999993</v>
      </c>
      <c r="R1074" s="393">
        <f>Q1073+Q1074</f>
        <v>140849.60999999996</v>
      </c>
      <c r="S1074" s="987">
        <f>SUMIF(_12MonLights_RateClass,"RLS",_12MonLights_ECR)</f>
        <v>47823.31</v>
      </c>
      <c r="T1074" s="393">
        <f>S1073+S1074</f>
        <v>325933.46000000002</v>
      </c>
      <c r="U1074" s="34"/>
      <c r="V1074" s="34"/>
      <c r="W1074" s="34"/>
      <c r="X1074" s="34"/>
      <c r="Y1074" s="34"/>
      <c r="Z1074" s="34"/>
      <c r="AA1074" s="34"/>
      <c r="AB1074" s="34"/>
      <c r="AC1074" s="34"/>
      <c r="AD1074" s="978"/>
      <c r="AE1074" s="389"/>
      <c r="AF1074" s="437"/>
      <c r="AH1074" s="34"/>
      <c r="AI1074" s="34"/>
      <c r="AJ1074" s="34"/>
      <c r="AK1074" s="34"/>
      <c r="AL1074" s="34"/>
      <c r="AM1074" s="34"/>
    </row>
    <row r="1075" spans="1:39" s="980" customFormat="1">
      <c r="A1075" s="34"/>
      <c r="B1075" s="978"/>
      <c r="C1075" s="978"/>
      <c r="D1075" s="978"/>
      <c r="E1075" s="979"/>
      <c r="F1075" s="978"/>
      <c r="G1075" s="978"/>
      <c r="H1075" s="978"/>
      <c r="I1075" s="978"/>
      <c r="J1075" s="978"/>
      <c r="K1075" s="978"/>
      <c r="L1075" s="34"/>
      <c r="M1075" s="34"/>
      <c r="N1075" s="34"/>
      <c r="O1075" s="34"/>
      <c r="P1075" s="34"/>
      <c r="Q1075" s="987">
        <f>SUMIF(_12MonLights_RateClass,"ODL",_12MonLights_FAC)</f>
        <v>102232</v>
      </c>
      <c r="R1075" s="34"/>
      <c r="S1075" s="987">
        <f>SUMIF(_12MonLights_RateClass,"ODL",_12MonLights_ECR)</f>
        <v>216283</v>
      </c>
      <c r="T1075" s="34"/>
      <c r="U1075" s="34"/>
      <c r="V1075" s="34"/>
      <c r="W1075" s="34"/>
      <c r="X1075" s="34"/>
      <c r="Y1075" s="34"/>
      <c r="Z1075" s="34"/>
      <c r="AA1075" s="34"/>
      <c r="AB1075" s="34"/>
      <c r="AC1075" s="34"/>
      <c r="AD1075" s="978"/>
      <c r="AE1075" s="389"/>
      <c r="AF1075" s="437"/>
      <c r="AH1075" s="34"/>
      <c r="AI1075" s="34"/>
      <c r="AJ1075" s="34"/>
      <c r="AK1075" s="34"/>
      <c r="AL1075" s="34"/>
      <c r="AM1075" s="34"/>
    </row>
    <row r="1076" spans="1:39" s="980" customFormat="1">
      <c r="A1076" s="34"/>
      <c r="B1076" s="978"/>
      <c r="C1076" s="978"/>
      <c r="D1076" s="978"/>
      <c r="E1076" s="979"/>
      <c r="F1076" s="985">
        <f>E1073-F1073</f>
        <v>1701933</v>
      </c>
      <c r="G1076" s="978"/>
      <c r="H1076" s="978"/>
      <c r="I1076" s="978"/>
      <c r="J1076" s="978"/>
      <c r="K1076" s="978"/>
      <c r="L1076" s="34"/>
      <c r="M1076" s="34"/>
      <c r="N1076" s="34"/>
      <c r="O1076" s="34"/>
      <c r="P1076" s="34"/>
      <c r="Q1076" s="393">
        <f>SUM(Q1073:Q1075)</f>
        <v>243081.60999999996</v>
      </c>
      <c r="R1076" s="34"/>
      <c r="S1076" s="393">
        <f>SUM(S1073:S1075)</f>
        <v>542216.46</v>
      </c>
      <c r="T1076" s="34"/>
      <c r="U1076" s="34"/>
      <c r="V1076" s="34"/>
      <c r="W1076" s="34"/>
      <c r="X1076" s="34"/>
      <c r="Y1076" s="34"/>
      <c r="Z1076" s="34"/>
      <c r="AA1076" s="34"/>
      <c r="AB1076" s="34"/>
      <c r="AC1076" s="34"/>
      <c r="AD1076" s="978"/>
      <c r="AE1076" s="389"/>
      <c r="AF1076" s="437"/>
      <c r="AH1076" s="34"/>
      <c r="AI1076" s="34"/>
      <c r="AJ1076" s="34"/>
      <c r="AK1076" s="34"/>
      <c r="AL1076" s="34"/>
      <c r="AM1076" s="34"/>
    </row>
    <row r="1077" spans="1:39" s="980" customFormat="1">
      <c r="A1077" s="34"/>
      <c r="B1077" s="978"/>
      <c r="C1077" s="978"/>
      <c r="D1077" s="978"/>
      <c r="E1077" s="979"/>
      <c r="F1077" s="985">
        <f>E1074-F1074</f>
        <v>320423</v>
      </c>
      <c r="G1077" s="978"/>
      <c r="H1077" s="978"/>
      <c r="I1077" s="978"/>
      <c r="J1077" s="978"/>
      <c r="K1077" s="978"/>
      <c r="L1077" s="34"/>
      <c r="M1077" s="34"/>
      <c r="N1077" s="34"/>
      <c r="O1077" s="34"/>
      <c r="P1077" s="34"/>
      <c r="Q1077" s="34"/>
      <c r="R1077" s="34"/>
      <c r="S1077" s="34"/>
      <c r="T1077" s="34"/>
      <c r="U1077" s="34"/>
      <c r="V1077" s="34"/>
      <c r="W1077" s="34"/>
      <c r="X1077" s="34"/>
      <c r="Y1077" s="34"/>
      <c r="Z1077" s="34"/>
      <c r="AA1077" s="34"/>
      <c r="AB1077" s="34"/>
      <c r="AC1077" s="34"/>
      <c r="AD1077" s="978"/>
      <c r="AE1077" s="389"/>
      <c r="AF1077" s="437"/>
      <c r="AH1077" s="34"/>
      <c r="AI1077" s="34"/>
      <c r="AJ1077" s="34"/>
      <c r="AK1077" s="34"/>
      <c r="AL1077" s="34"/>
      <c r="AM1077" s="34"/>
    </row>
    <row r="1078" spans="1:39" s="980" customFormat="1">
      <c r="A1078" s="34"/>
      <c r="B1078" s="978"/>
      <c r="C1078" s="978"/>
      <c r="D1078" s="978"/>
      <c r="E1078" s="979"/>
      <c r="F1078" s="978"/>
      <c r="G1078" s="978"/>
      <c r="H1078" s="978"/>
      <c r="I1078" s="978"/>
      <c r="J1078" s="978"/>
      <c r="K1078" s="978">
        <v>3101725</v>
      </c>
      <c r="L1078" s="34"/>
      <c r="M1078" s="34"/>
      <c r="N1078" s="34"/>
      <c r="O1078" s="34"/>
      <c r="P1078" s="1034" t="s">
        <v>1553</v>
      </c>
      <c r="Q1078" s="393">
        <f>Q1073/R1074*Q1075</f>
        <v>85413.39222394723</v>
      </c>
      <c r="R1078" s="34" t="s">
        <v>1035</v>
      </c>
      <c r="S1078" s="393">
        <f>S1073/T1074*S1075</f>
        <v>184548.3970024127</v>
      </c>
      <c r="T1078" s="34"/>
      <c r="U1078" s="34"/>
      <c r="V1078" s="34"/>
      <c r="W1078" s="34"/>
      <c r="X1078" s="34"/>
      <c r="Y1078" s="34"/>
      <c r="Z1078" s="34"/>
      <c r="AA1078" s="34"/>
      <c r="AB1078" s="34"/>
      <c r="AC1078" s="34"/>
      <c r="AD1078" s="978"/>
      <c r="AE1078" s="389"/>
      <c r="AF1078" s="437"/>
      <c r="AH1078" s="34"/>
      <c r="AI1078" s="34"/>
      <c r="AJ1078" s="34"/>
      <c r="AK1078" s="34"/>
      <c r="AL1078" s="34"/>
      <c r="AM1078" s="34"/>
    </row>
    <row r="1079" spans="1:39" s="980" customFormat="1">
      <c r="A1079" s="34"/>
      <c r="B1079" s="978"/>
      <c r="C1079" s="978"/>
      <c r="D1079" s="978"/>
      <c r="E1079" s="979"/>
      <c r="F1079" s="978"/>
      <c r="G1079" s="978"/>
      <c r="H1079" s="978"/>
      <c r="I1079" s="978"/>
      <c r="J1079" s="978"/>
      <c r="K1079" s="986">
        <f>K1078-K1073</f>
        <v>-18375243.199999981</v>
      </c>
      <c r="L1079" s="34"/>
      <c r="M1079" s="34"/>
      <c r="N1079" s="34"/>
      <c r="O1079" s="34"/>
      <c r="P1079" s="34"/>
      <c r="Q1079" s="393">
        <f>Q1074/R1074*Q1075</f>
        <v>16818.60777605277</v>
      </c>
      <c r="R1079" s="34" t="s">
        <v>1036</v>
      </c>
      <c r="S1079" s="393">
        <f>S1074/T1074*S1075</f>
        <v>31734.602997587299</v>
      </c>
      <c r="T1079" s="34"/>
      <c r="U1079" s="34"/>
      <c r="V1079" s="34"/>
      <c r="W1079" s="34"/>
      <c r="X1079" s="34"/>
      <c r="Y1079" s="34"/>
      <c r="Z1079" s="34"/>
      <c r="AA1079" s="34"/>
      <c r="AB1079" s="34"/>
      <c r="AC1079" s="34"/>
      <c r="AD1079" s="978"/>
      <c r="AE1079" s="389"/>
      <c r="AF1079" s="437"/>
      <c r="AH1079" s="34"/>
      <c r="AI1079" s="34"/>
      <c r="AJ1079" s="34"/>
      <c r="AK1079" s="34"/>
      <c r="AL1079" s="34"/>
      <c r="AM1079" s="34"/>
    </row>
    <row r="1080" spans="1:39" s="980" customFormat="1">
      <c r="A1080" s="34"/>
      <c r="B1080" s="978"/>
      <c r="C1080" s="978"/>
      <c r="D1080" s="978"/>
      <c r="E1080" s="979"/>
      <c r="F1080" s="978"/>
      <c r="G1080" s="978"/>
      <c r="H1080" s="978"/>
      <c r="I1080" s="978"/>
      <c r="J1080" s="978"/>
      <c r="K1080" s="978"/>
      <c r="L1080" s="34"/>
      <c r="M1080" s="34"/>
      <c r="N1080" s="34"/>
      <c r="O1080" s="34"/>
      <c r="P1080" s="34"/>
      <c r="Q1080" s="393">
        <f>Q1073+Q1078</f>
        <v>203091.2522239472</v>
      </c>
      <c r="R1080" s="34" t="s">
        <v>1554</v>
      </c>
      <c r="S1080" s="393">
        <f>S1073+S1078</f>
        <v>462658.54700241273</v>
      </c>
      <c r="T1080" s="34"/>
      <c r="U1080" s="34"/>
      <c r="V1080" s="34"/>
      <c r="W1080" s="34"/>
      <c r="X1080" s="34"/>
      <c r="Y1080" s="34"/>
      <c r="Z1080" s="34"/>
      <c r="AA1080" s="34"/>
      <c r="AB1080" s="34"/>
      <c r="AC1080" s="34"/>
      <c r="AD1080" s="978"/>
      <c r="AE1080" s="389"/>
      <c r="AF1080" s="437"/>
      <c r="AH1080" s="34"/>
      <c r="AI1080" s="34"/>
      <c r="AJ1080" s="34"/>
      <c r="AK1080" s="34"/>
      <c r="AL1080" s="34"/>
      <c r="AM1080" s="34"/>
    </row>
    <row r="1081" spans="1:39" s="980" customFormat="1">
      <c r="A1081" s="34"/>
      <c r="B1081" s="978"/>
      <c r="C1081" s="978"/>
      <c r="D1081" s="978"/>
      <c r="E1081" s="979"/>
      <c r="F1081" s="978"/>
      <c r="G1081" s="978"/>
      <c r="H1081" s="978"/>
      <c r="I1081" s="978"/>
      <c r="J1081" s="978"/>
      <c r="K1081" s="978"/>
      <c r="L1081" s="34"/>
      <c r="M1081" s="34"/>
      <c r="N1081" s="34"/>
      <c r="O1081" s="34"/>
      <c r="P1081" s="34"/>
      <c r="Q1081" s="393">
        <f>Q1074+Q1079</f>
        <v>39990.357776052762</v>
      </c>
      <c r="R1081" s="978" t="s">
        <v>1555</v>
      </c>
      <c r="S1081" s="393">
        <f>S1074+S1079</f>
        <v>79557.912997587293</v>
      </c>
      <c r="T1081" s="34"/>
      <c r="U1081" s="34"/>
      <c r="V1081" s="34"/>
      <c r="W1081" s="34"/>
      <c r="X1081" s="34"/>
      <c r="Y1081" s="34"/>
      <c r="Z1081" s="34"/>
      <c r="AA1081" s="34"/>
      <c r="AB1081" s="34"/>
      <c r="AC1081" s="34"/>
      <c r="AD1081" s="978"/>
      <c r="AE1081" s="389"/>
      <c r="AF1081" s="437"/>
      <c r="AH1081" s="34"/>
      <c r="AI1081" s="34"/>
      <c r="AJ1081" s="34"/>
      <c r="AK1081" s="34"/>
      <c r="AL1081" s="34"/>
      <c r="AM1081" s="34"/>
    </row>
    <row r="1082" spans="1:39" s="980" customFormat="1">
      <c r="A1082" s="34"/>
      <c r="B1082" s="978"/>
      <c r="C1082" s="978"/>
      <c r="D1082" s="978"/>
      <c r="E1082" s="979"/>
      <c r="F1082" s="978"/>
      <c r="G1082" s="978"/>
      <c r="H1082" s="978"/>
      <c r="I1082" s="978"/>
      <c r="J1082" s="978"/>
      <c r="K1082" s="978"/>
      <c r="L1082" s="34"/>
      <c r="M1082" s="34"/>
      <c r="N1082" s="34"/>
      <c r="O1082" s="34"/>
      <c r="P1082" s="34"/>
      <c r="Q1082" s="393">
        <f>Q1080+Q1081</f>
        <v>243081.60999999996</v>
      </c>
      <c r="R1082" s="34"/>
      <c r="S1082" s="393">
        <f>S1080+S1081</f>
        <v>542216.46</v>
      </c>
      <c r="T1082" s="34"/>
      <c r="U1082" s="34"/>
      <c r="V1082" s="34"/>
      <c r="W1082" s="34"/>
      <c r="X1082" s="34"/>
      <c r="Y1082" s="34"/>
      <c r="Z1082" s="34"/>
      <c r="AA1082" s="34"/>
      <c r="AB1082" s="34"/>
      <c r="AC1082" s="34"/>
      <c r="AD1082" s="978"/>
      <c r="AE1082" s="389"/>
      <c r="AF1082" s="437"/>
      <c r="AH1082" s="34"/>
      <c r="AI1082" s="34"/>
      <c r="AJ1082" s="34"/>
      <c r="AK1082" s="34"/>
      <c r="AL1082" s="34"/>
      <c r="AM1082" s="34"/>
    </row>
    <row r="1083" spans="1:39" s="980" customFormat="1">
      <c r="A1083" s="34"/>
      <c r="B1083" s="978"/>
      <c r="C1083" s="978"/>
      <c r="D1083" s="978"/>
      <c r="E1083" s="979"/>
      <c r="F1083" s="978"/>
      <c r="G1083" s="978"/>
      <c r="H1083" s="978"/>
      <c r="I1083" s="978"/>
      <c r="J1083" s="978"/>
      <c r="K1083" s="978"/>
      <c r="L1083" s="34"/>
      <c r="M1083" s="34"/>
      <c r="N1083" s="34"/>
      <c r="O1083" s="34"/>
      <c r="P1083" s="34"/>
      <c r="Q1083" s="34"/>
      <c r="R1083" s="34"/>
      <c r="S1083" s="34"/>
      <c r="T1083" s="34"/>
      <c r="U1083" s="34"/>
      <c r="V1083" s="34"/>
      <c r="W1083" s="34"/>
      <c r="X1083" s="34"/>
      <c r="Y1083" s="34"/>
      <c r="Z1083" s="34"/>
      <c r="AA1083" s="34"/>
      <c r="AB1083" s="34"/>
      <c r="AC1083" s="34"/>
      <c r="AD1083" s="978"/>
      <c r="AE1083" s="389"/>
      <c r="AF1083" s="437"/>
      <c r="AH1083" s="34"/>
      <c r="AI1083" s="34"/>
      <c r="AJ1083" s="34"/>
      <c r="AK1083" s="34"/>
      <c r="AL1083" s="34"/>
      <c r="AM1083" s="34"/>
    </row>
    <row r="1084" spans="1:39" s="980" customFormat="1">
      <c r="A1084" s="34"/>
      <c r="B1084" s="978"/>
      <c r="C1084" s="978"/>
      <c r="D1084" s="978"/>
      <c r="E1084" s="979"/>
      <c r="F1084" s="978"/>
      <c r="G1084" s="978"/>
      <c r="H1084" s="978"/>
      <c r="I1084" s="978" t="s">
        <v>60</v>
      </c>
      <c r="J1084" s="978" t="s">
        <v>21</v>
      </c>
      <c r="K1084" s="978" t="s">
        <v>20</v>
      </c>
      <c r="L1084" s="34"/>
      <c r="M1084" s="34"/>
      <c r="N1084" s="34"/>
      <c r="O1084" s="34" t="s">
        <v>21</v>
      </c>
      <c r="P1084" s="34" t="s">
        <v>20</v>
      </c>
      <c r="Q1084" s="34"/>
      <c r="R1084" s="34"/>
      <c r="S1084" s="34"/>
      <c r="T1084" s="34"/>
      <c r="U1084" s="34"/>
      <c r="V1084" s="34"/>
      <c r="W1084" s="34"/>
      <c r="X1084" s="34"/>
      <c r="Y1084" s="34"/>
      <c r="Z1084" s="34"/>
      <c r="AA1084" s="34"/>
      <c r="AB1084" s="34"/>
      <c r="AC1084" s="34"/>
      <c r="AD1084" s="978"/>
      <c r="AE1084" s="389"/>
      <c r="AF1084" s="437"/>
      <c r="AH1084" s="34"/>
      <c r="AI1084" s="34"/>
      <c r="AJ1084" s="34"/>
      <c r="AK1084" s="34"/>
      <c r="AL1084" s="34"/>
      <c r="AM1084" s="34"/>
    </row>
    <row r="1085" spans="1:39" s="980" customFormat="1">
      <c r="A1085" s="34"/>
      <c r="B1085" s="978" t="s">
        <v>1505</v>
      </c>
      <c r="C1085" s="978"/>
      <c r="D1085" s="978"/>
      <c r="E1085" s="979"/>
      <c r="F1085" s="978"/>
      <c r="G1085" s="992">
        <f>SUMIF($B$4:$B$1057,$B1085,$G$4:$G$1057)</f>
        <v>0</v>
      </c>
      <c r="H1085" s="992">
        <f>SUMIF($B$4:$B$1057,$B1085,$H$4:$H$1057)</f>
        <v>0</v>
      </c>
      <c r="I1085" s="992">
        <f>G1085+H1085</f>
        <v>0</v>
      </c>
      <c r="J1085" s="992">
        <f>'12MonResults'!M533</f>
        <v>0</v>
      </c>
      <c r="K1085" s="992">
        <f>'12MonResults'!P533</f>
        <v>0</v>
      </c>
      <c r="L1085" s="34"/>
      <c r="M1085" s="34"/>
      <c r="N1085" s="22">
        <f>SUMIF($B$4:$B$1057,$B1085,N$4:N$1057)</f>
        <v>0</v>
      </c>
      <c r="O1085">
        <f>'[1]12MonResults'!AV459</f>
        <v>0</v>
      </c>
      <c r="P1085">
        <f>'[1]12MonResults'!AW459</f>
        <v>0</v>
      </c>
      <c r="Q1085" s="20">
        <f>SUM(N1085:P1085)</f>
        <v>0</v>
      </c>
      <c r="R1085" s="34"/>
      <c r="S1085" s="34"/>
      <c r="T1085" s="34"/>
      <c r="U1085" s="34"/>
      <c r="V1085" s="34"/>
      <c r="W1085" s="34"/>
      <c r="X1085" s="34"/>
      <c r="Y1085" s="34"/>
      <c r="Z1085" s="34"/>
      <c r="AA1085" s="34"/>
      <c r="AB1085" s="34"/>
      <c r="AC1085" s="34"/>
      <c r="AD1085" s="978"/>
      <c r="AE1085" s="389"/>
      <c r="AF1085" s="437"/>
      <c r="AH1085" s="34"/>
      <c r="AI1085" s="34"/>
      <c r="AJ1085" s="34"/>
      <c r="AK1085" s="34"/>
      <c r="AL1085" s="34"/>
      <c r="AM1085" s="34"/>
    </row>
    <row r="1086" spans="1:39" s="980" customFormat="1">
      <c r="A1086" s="34"/>
      <c r="B1086" s="978" t="s">
        <v>1506</v>
      </c>
      <c r="C1086" s="978"/>
      <c r="D1086" s="978"/>
      <c r="E1086" s="979"/>
      <c r="F1086" s="978"/>
      <c r="G1086" s="992">
        <f t="shared" ref="G1086:G1096" si="405">SUMIF($B$4:$B$1057,$B1086,$G$4:$G$1057)</f>
        <v>0</v>
      </c>
      <c r="H1086" s="992">
        <f t="shared" ref="H1086:H1096" si="406">SUMIF($B$4:$B$1057,$B1086,$H$4:$H$1057)</f>
        <v>0</v>
      </c>
      <c r="I1086" s="992">
        <f t="shared" ref="I1086:I1096" si="407">G1086+H1086</f>
        <v>0</v>
      </c>
      <c r="J1086" s="992">
        <f>'12MonResults'!M534</f>
        <v>0</v>
      </c>
      <c r="K1086" s="992">
        <f>'12MonResults'!P534</f>
        <v>0</v>
      </c>
      <c r="L1086" s="34"/>
      <c r="M1086" s="34"/>
      <c r="N1086" s="22">
        <f t="shared" ref="N1086:N1096" si="408">SUMIF($B$4:$B$1057,$B1086,N$4:N$1057)</f>
        <v>0</v>
      </c>
      <c r="O1086">
        <f>'[1]12MonResults'!AV460</f>
        <v>0</v>
      </c>
      <c r="P1086">
        <f>'[1]12MonResults'!AW460</f>
        <v>0</v>
      </c>
      <c r="Q1086" s="20">
        <f>SUM(N1086:P1086)</f>
        <v>0</v>
      </c>
      <c r="R1086" s="34"/>
      <c r="S1086" s="34"/>
      <c r="T1086" s="34"/>
      <c r="U1086" s="34"/>
      <c r="V1086" s="34"/>
      <c r="W1086" s="34"/>
      <c r="X1086" s="34"/>
      <c r="Y1086" s="34"/>
      <c r="Z1086" s="34"/>
      <c r="AA1086" s="34"/>
      <c r="AB1086" s="34"/>
      <c r="AC1086" s="34"/>
      <c r="AD1086" s="978"/>
      <c r="AE1086" s="389"/>
      <c r="AF1086" s="437"/>
      <c r="AH1086" s="34"/>
      <c r="AI1086" s="34"/>
      <c r="AJ1086" s="34"/>
      <c r="AK1086" s="34"/>
      <c r="AL1086" s="34"/>
      <c r="AM1086" s="34"/>
    </row>
    <row r="1087" spans="1:39" s="980" customFormat="1">
      <c r="A1087" s="34"/>
      <c r="B1087" s="978" t="s">
        <v>1507</v>
      </c>
      <c r="C1087" s="978"/>
      <c r="D1087" s="978"/>
      <c r="E1087" s="979"/>
      <c r="F1087" s="978"/>
      <c r="G1087" s="992">
        <f t="shared" si="405"/>
        <v>11197572</v>
      </c>
      <c r="H1087" s="992">
        <f t="shared" si="406"/>
        <v>13052</v>
      </c>
      <c r="I1087" s="992">
        <f t="shared" si="407"/>
        <v>11210624</v>
      </c>
      <c r="J1087" s="992">
        <f>'12MonResults'!M535</f>
        <v>109638</v>
      </c>
      <c r="K1087" s="992">
        <f>'12MonResults'!P535</f>
        <v>16821</v>
      </c>
      <c r="L1087" s="34"/>
      <c r="M1087" s="34"/>
      <c r="N1087" s="22">
        <f t="shared" si="408"/>
        <v>2123943.86</v>
      </c>
      <c r="O1087">
        <f>'12MonResults'!AO535</f>
        <v>11167.7</v>
      </c>
      <c r="P1087">
        <f>'12MonResults'!AP535</f>
        <v>1073.18</v>
      </c>
      <c r="Q1087" s="20">
        <f t="shared" ref="Q1087:Q1092" si="409">SUM(N1087:P1087)</f>
        <v>2136184.7400000002</v>
      </c>
      <c r="R1087" s="34"/>
      <c r="S1087" s="34"/>
      <c r="T1087" s="34"/>
      <c r="U1087" s="34"/>
      <c r="V1087" s="34"/>
      <c r="W1087" s="34"/>
      <c r="X1087" s="34"/>
      <c r="Y1087" s="34"/>
      <c r="Z1087" s="34"/>
      <c r="AA1087" s="34"/>
      <c r="AB1087" s="34"/>
      <c r="AC1087" s="34"/>
      <c r="AD1087" s="978"/>
      <c r="AE1087" s="389"/>
      <c r="AF1087" s="437"/>
      <c r="AH1087" s="34"/>
      <c r="AI1087" s="34"/>
      <c r="AJ1087" s="34"/>
      <c r="AK1087" s="34"/>
      <c r="AL1087" s="34"/>
      <c r="AM1087" s="34"/>
    </row>
    <row r="1088" spans="1:39" s="980" customFormat="1">
      <c r="A1088" s="34"/>
      <c r="B1088" s="978" t="s">
        <v>1508</v>
      </c>
      <c r="C1088" s="978"/>
      <c r="D1088" s="978"/>
      <c r="E1088" s="979"/>
      <c r="F1088" s="978"/>
      <c r="G1088" s="992">
        <f t="shared" si="405"/>
        <v>9921660</v>
      </c>
      <c r="H1088" s="992">
        <f t="shared" si="406"/>
        <v>3602</v>
      </c>
      <c r="I1088" s="992">
        <f t="shared" si="407"/>
        <v>9925262</v>
      </c>
      <c r="J1088" s="992">
        <f>'12MonResults'!M536</f>
        <v>104790</v>
      </c>
      <c r="K1088" s="992">
        <f>'12MonResults'!P536</f>
        <v>15505</v>
      </c>
      <c r="L1088" s="34"/>
      <c r="M1088" s="34"/>
      <c r="N1088" s="22">
        <f t="shared" si="408"/>
        <v>2119847.5799999996</v>
      </c>
      <c r="O1088">
        <f>'12MonResults'!AO536</f>
        <v>10781.800000000001</v>
      </c>
      <c r="P1088">
        <f>'12MonResults'!AP536</f>
        <v>989.20999999999992</v>
      </c>
      <c r="Q1088" s="20">
        <f t="shared" si="409"/>
        <v>2131618.5899999994</v>
      </c>
      <c r="R1088" s="34"/>
      <c r="S1088" s="34"/>
      <c r="T1088" s="34"/>
      <c r="U1088" s="34"/>
      <c r="V1088" s="34"/>
      <c r="W1088" s="34"/>
      <c r="X1088" s="34"/>
      <c r="Y1088" s="34"/>
      <c r="Z1088" s="34"/>
      <c r="AA1088" s="34"/>
      <c r="AB1088" s="34"/>
      <c r="AC1088" s="34"/>
      <c r="AD1088" s="978"/>
      <c r="AE1088" s="389"/>
      <c r="AF1088" s="437"/>
      <c r="AH1088" s="34"/>
      <c r="AI1088" s="34"/>
      <c r="AJ1088" s="34"/>
      <c r="AK1088" s="34"/>
      <c r="AL1088" s="34"/>
      <c r="AM1088" s="34"/>
    </row>
    <row r="1089" spans="1:39" s="980" customFormat="1">
      <c r="A1089" s="34"/>
      <c r="B1089" s="978" t="s">
        <v>1509</v>
      </c>
      <c r="C1089" s="978"/>
      <c r="D1089" s="978"/>
      <c r="E1089" s="979"/>
      <c r="F1089" s="978"/>
      <c r="G1089" s="992">
        <f t="shared" si="405"/>
        <v>9126079</v>
      </c>
      <c r="H1089" s="992">
        <f t="shared" si="406"/>
        <v>4580</v>
      </c>
      <c r="I1089" s="992">
        <f t="shared" si="407"/>
        <v>9130659</v>
      </c>
      <c r="J1089" s="992">
        <f>'12MonResults'!M537</f>
        <v>104112</v>
      </c>
      <c r="K1089" s="992">
        <f>'12MonResults'!P537</f>
        <v>12593</v>
      </c>
      <c r="L1089" s="34"/>
      <c r="M1089" s="34"/>
      <c r="N1089" s="22">
        <f t="shared" si="408"/>
        <v>2118095.9699999993</v>
      </c>
      <c r="O1089">
        <f>'12MonResults'!AO537</f>
        <v>10735.97</v>
      </c>
      <c r="P1089">
        <f>'12MonResults'!AP537</f>
        <v>803.43000000000006</v>
      </c>
      <c r="Q1089" s="20">
        <f t="shared" si="409"/>
        <v>2129635.3699999996</v>
      </c>
      <c r="R1089" s="34"/>
      <c r="S1089" s="34"/>
      <c r="T1089" s="34"/>
      <c r="U1089" s="34"/>
      <c r="V1089" s="34"/>
      <c r="W1089" s="34"/>
      <c r="X1089" s="34"/>
      <c r="Y1089" s="34"/>
      <c r="Z1089" s="34"/>
      <c r="AA1089" s="34"/>
      <c r="AB1089" s="34"/>
      <c r="AC1089" s="34"/>
      <c r="AD1089" s="978"/>
      <c r="AE1089" s="389"/>
      <c r="AF1089" s="437"/>
      <c r="AH1089" s="34"/>
      <c r="AI1089" s="34"/>
      <c r="AJ1089" s="34"/>
      <c r="AK1089" s="34"/>
      <c r="AL1089" s="34"/>
      <c r="AM1089" s="34"/>
    </row>
    <row r="1090" spans="1:39" s="980" customFormat="1">
      <c r="A1090" s="34"/>
      <c r="B1090" s="978" t="s">
        <v>1510</v>
      </c>
      <c r="C1090" s="978"/>
      <c r="D1090" s="978"/>
      <c r="E1090" s="979"/>
      <c r="F1090" s="978"/>
      <c r="G1090" s="992">
        <f t="shared" si="405"/>
        <v>8438150</v>
      </c>
      <c r="H1090" s="992">
        <f t="shared" si="406"/>
        <v>0</v>
      </c>
      <c r="I1090" s="992">
        <f t="shared" si="407"/>
        <v>8438150</v>
      </c>
      <c r="J1090" s="992">
        <f>'12MonResults'!M538</f>
        <v>105716</v>
      </c>
      <c r="K1090" s="992">
        <f>'12MonResults'!P538</f>
        <v>12593</v>
      </c>
      <c r="L1090" s="34"/>
      <c r="M1090" s="34"/>
      <c r="N1090" s="22">
        <f t="shared" si="408"/>
        <v>2131287.209999999</v>
      </c>
      <c r="O1090">
        <f>'12MonResults'!AO538</f>
        <v>10870.58</v>
      </c>
      <c r="P1090">
        <f>'12MonResults'!AP538</f>
        <v>803.43</v>
      </c>
      <c r="Q1090" s="20">
        <f t="shared" si="409"/>
        <v>2142961.2199999993</v>
      </c>
      <c r="R1090" s="34"/>
      <c r="S1090" s="34"/>
      <c r="T1090" s="34"/>
      <c r="U1090" s="34"/>
      <c r="V1090" s="34"/>
      <c r="W1090" s="34"/>
      <c r="X1090" s="34"/>
      <c r="Y1090" s="34"/>
      <c r="Z1090" s="34"/>
      <c r="AA1090" s="34"/>
      <c r="AB1090" s="34"/>
      <c r="AC1090" s="34"/>
      <c r="AD1090" s="978"/>
      <c r="AE1090" s="389"/>
      <c r="AF1090" s="437"/>
      <c r="AH1090" s="34"/>
      <c r="AI1090" s="34"/>
      <c r="AJ1090" s="34"/>
      <c r="AK1090" s="34"/>
      <c r="AL1090" s="34"/>
      <c r="AM1090" s="34"/>
    </row>
    <row r="1091" spans="1:39" s="980" customFormat="1">
      <c r="A1091" s="34"/>
      <c r="B1091" s="978" t="s">
        <v>1511</v>
      </c>
      <c r="C1091" s="978"/>
      <c r="D1091" s="978"/>
      <c r="E1091" s="979"/>
      <c r="F1091" s="978"/>
      <c r="G1091" s="992">
        <f t="shared" si="405"/>
        <v>8295924</v>
      </c>
      <c r="H1091" s="992">
        <f t="shared" si="406"/>
        <v>3502</v>
      </c>
      <c r="I1091" s="992">
        <f t="shared" si="407"/>
        <v>8299426</v>
      </c>
      <c r="J1091" s="992">
        <f>'12MonResults'!M539</f>
        <v>105180</v>
      </c>
      <c r="K1091" s="992">
        <f>'12MonResults'!P539</f>
        <v>13434</v>
      </c>
      <c r="L1091" s="34"/>
      <c r="M1091" s="34"/>
      <c r="N1091" s="22">
        <f t="shared" si="408"/>
        <v>2138838.6100000008</v>
      </c>
      <c r="O1091">
        <f>'12MonResults'!AO539</f>
        <v>10829.23</v>
      </c>
      <c r="P1091">
        <f>'12MonResults'!AP539</f>
        <v>857.08999999999992</v>
      </c>
      <c r="Q1091" s="20">
        <f t="shared" si="409"/>
        <v>2150524.9300000006</v>
      </c>
      <c r="R1091" s="34"/>
      <c r="S1091" s="34"/>
      <c r="T1091" s="34"/>
      <c r="U1091" s="34"/>
      <c r="V1091" s="34"/>
      <c r="W1091" s="34"/>
      <c r="X1091" s="34"/>
      <c r="Y1091" s="34"/>
      <c r="Z1091" s="34"/>
      <c r="AA1091" s="34"/>
      <c r="AB1091" s="34"/>
      <c r="AC1091" s="34"/>
      <c r="AD1091" s="978"/>
      <c r="AE1091" s="389"/>
      <c r="AF1091" s="437"/>
      <c r="AH1091" s="34"/>
      <c r="AI1091" s="34"/>
      <c r="AJ1091" s="34"/>
      <c r="AK1091" s="34"/>
      <c r="AL1091" s="34"/>
      <c r="AM1091" s="34"/>
    </row>
    <row r="1092" spans="1:39" s="980" customFormat="1">
      <c r="A1092" s="34"/>
      <c r="B1092" s="978" t="s">
        <v>1512</v>
      </c>
      <c r="C1092" s="978"/>
      <c r="D1092" s="978"/>
      <c r="E1092" s="979"/>
      <c r="F1092" s="978"/>
      <c r="G1092" s="992">
        <f t="shared" si="405"/>
        <v>8340831</v>
      </c>
      <c r="H1092" s="992">
        <f t="shared" si="406"/>
        <v>2563</v>
      </c>
      <c r="I1092" s="992">
        <f t="shared" si="407"/>
        <v>8343394</v>
      </c>
      <c r="J1092" s="992">
        <f>'12MonResults'!M540</f>
        <v>115362</v>
      </c>
      <c r="K1092" s="992">
        <f>'12MonResults'!P540</f>
        <v>13385</v>
      </c>
      <c r="L1092" s="34"/>
      <c r="M1092" s="34"/>
      <c r="N1092" s="22">
        <f t="shared" si="408"/>
        <v>2125996.9400000004</v>
      </c>
      <c r="O1092">
        <f>'12MonResults'!AO540</f>
        <v>11644.610000000002</v>
      </c>
      <c r="P1092">
        <f>'12MonResults'!AP540</f>
        <v>853.96</v>
      </c>
      <c r="Q1092" s="20">
        <f t="shared" si="409"/>
        <v>2138495.5100000002</v>
      </c>
      <c r="R1092" s="34"/>
      <c r="S1092" s="34"/>
      <c r="T1092" s="34"/>
      <c r="U1092" s="34"/>
      <c r="V1092" s="34"/>
      <c r="W1092" s="34"/>
      <c r="X1092" s="34"/>
      <c r="Y1092" s="34"/>
      <c r="Z1092" s="34"/>
      <c r="AA1092" s="34"/>
      <c r="AB1092" s="34"/>
      <c r="AC1092" s="34"/>
      <c r="AD1092" s="978"/>
      <c r="AE1092" s="389"/>
      <c r="AF1092" s="437"/>
      <c r="AH1092" s="34"/>
      <c r="AI1092" s="34"/>
      <c r="AJ1092" s="34"/>
      <c r="AK1092" s="34"/>
      <c r="AL1092" s="34"/>
      <c r="AM1092" s="34"/>
    </row>
    <row r="1093" spans="1:39" s="980" customFormat="1">
      <c r="A1093" s="34"/>
      <c r="B1093" s="978" t="s">
        <v>1513</v>
      </c>
      <c r="C1093" s="978"/>
      <c r="D1093" s="978"/>
      <c r="E1093" s="979"/>
      <c r="F1093" s="978"/>
      <c r="G1093" s="992">
        <f t="shared" si="405"/>
        <v>0</v>
      </c>
      <c r="H1093" s="992">
        <f t="shared" si="406"/>
        <v>0</v>
      </c>
      <c r="I1093" s="992">
        <f t="shared" si="407"/>
        <v>0</v>
      </c>
      <c r="J1093" s="992">
        <f>'12MonResults'!M541</f>
        <v>0</v>
      </c>
      <c r="K1093" s="992">
        <f>'12MonResults'!P541</f>
        <v>0</v>
      </c>
      <c r="L1093" s="34"/>
      <c r="M1093" s="34"/>
      <c r="N1093" s="22">
        <f t="shared" si="408"/>
        <v>0</v>
      </c>
      <c r="O1093">
        <f>'[1]12MonResults'!AV467</f>
        <v>0</v>
      </c>
      <c r="P1093">
        <f>'[1]12MonResults'!AW467</f>
        <v>0</v>
      </c>
      <c r="Q1093" s="20">
        <f>SUM(N1093:P1093)</f>
        <v>0</v>
      </c>
      <c r="R1093" s="34"/>
      <c r="S1093" s="34"/>
      <c r="T1093" s="34"/>
      <c r="U1093" s="34"/>
      <c r="V1093" s="34"/>
      <c r="W1093" s="34"/>
      <c r="X1093" s="34"/>
      <c r="Y1093" s="34"/>
      <c r="Z1093" s="34"/>
      <c r="AA1093" s="34"/>
      <c r="AB1093" s="34"/>
      <c r="AC1093" s="34"/>
      <c r="AD1093" s="978"/>
      <c r="AE1093" s="389"/>
      <c r="AF1093" s="437"/>
      <c r="AH1093" s="34"/>
      <c r="AI1093" s="34"/>
      <c r="AJ1093" s="34"/>
      <c r="AK1093" s="34"/>
      <c r="AL1093" s="34"/>
      <c r="AM1093" s="34"/>
    </row>
    <row r="1094" spans="1:39" s="980" customFormat="1">
      <c r="A1094" s="34"/>
      <c r="B1094" s="978" t="s">
        <v>1514</v>
      </c>
      <c r="C1094" s="978"/>
      <c r="D1094" s="978"/>
      <c r="E1094" s="979"/>
      <c r="F1094" s="978"/>
      <c r="G1094" s="992">
        <f t="shared" si="405"/>
        <v>0</v>
      </c>
      <c r="H1094" s="992">
        <f t="shared" si="406"/>
        <v>0</v>
      </c>
      <c r="I1094" s="992">
        <f t="shared" si="407"/>
        <v>0</v>
      </c>
      <c r="J1094" s="992">
        <f>'12MonResults'!M542</f>
        <v>0</v>
      </c>
      <c r="K1094" s="992">
        <f>'12MonResults'!P542</f>
        <v>0</v>
      </c>
      <c r="L1094" s="34"/>
      <c r="M1094" s="34"/>
      <c r="N1094" s="22">
        <f t="shared" si="408"/>
        <v>0</v>
      </c>
      <c r="O1094">
        <f>'[1]12MonResults'!AV468</f>
        <v>0</v>
      </c>
      <c r="P1094">
        <f>'[1]12MonResults'!AW468</f>
        <v>0</v>
      </c>
      <c r="Q1094" s="20">
        <f>SUM(N1094:P1094)</f>
        <v>0</v>
      </c>
      <c r="R1094" s="34"/>
      <c r="S1094" s="34"/>
      <c r="T1094" s="34"/>
      <c r="U1094" s="34"/>
      <c r="V1094" s="34"/>
      <c r="W1094" s="34"/>
      <c r="X1094" s="34"/>
      <c r="Y1094" s="34"/>
      <c r="Z1094" s="34"/>
      <c r="AA1094" s="34"/>
      <c r="AB1094" s="34"/>
      <c r="AC1094" s="34"/>
      <c r="AD1094" s="978"/>
      <c r="AE1094" s="389"/>
      <c r="AF1094" s="437"/>
      <c r="AH1094" s="34"/>
      <c r="AI1094" s="34"/>
      <c r="AJ1094" s="34"/>
      <c r="AK1094" s="34"/>
      <c r="AL1094" s="34"/>
      <c r="AM1094" s="34"/>
    </row>
    <row r="1095" spans="1:39" s="980" customFormat="1">
      <c r="A1095" s="34"/>
      <c r="B1095" s="978" t="s">
        <v>1515</v>
      </c>
      <c r="C1095" s="978"/>
      <c r="D1095" s="978"/>
      <c r="E1095" s="979"/>
      <c r="F1095" s="978"/>
      <c r="G1095" s="992">
        <f t="shared" si="405"/>
        <v>0</v>
      </c>
      <c r="H1095" s="992">
        <f t="shared" si="406"/>
        <v>0</v>
      </c>
      <c r="I1095" s="992">
        <f t="shared" si="407"/>
        <v>0</v>
      </c>
      <c r="J1095" s="992">
        <f>'12MonResults'!M543</f>
        <v>0</v>
      </c>
      <c r="K1095" s="992">
        <f>'12MonResults'!P543</f>
        <v>0</v>
      </c>
      <c r="L1095" s="34"/>
      <c r="M1095" s="34"/>
      <c r="N1095" s="22">
        <f t="shared" si="408"/>
        <v>0</v>
      </c>
      <c r="O1095">
        <f>'[1]12MonResults'!AV469</f>
        <v>0</v>
      </c>
      <c r="P1095">
        <f>'[1]12MonResults'!AW469</f>
        <v>0</v>
      </c>
      <c r="Q1095" s="20">
        <f>SUM(N1095:P1095)</f>
        <v>0</v>
      </c>
      <c r="R1095" s="34"/>
      <c r="S1095" s="34"/>
      <c r="T1095" s="34"/>
      <c r="U1095" s="34"/>
      <c r="V1095" s="34"/>
      <c r="W1095" s="34"/>
      <c r="X1095" s="34"/>
      <c r="Y1095" s="34"/>
      <c r="Z1095" s="34"/>
      <c r="AA1095" s="34"/>
      <c r="AB1095" s="34"/>
      <c r="AC1095" s="34"/>
      <c r="AD1095" s="978"/>
      <c r="AE1095" s="389"/>
      <c r="AF1095" s="437"/>
      <c r="AH1095" s="34"/>
      <c r="AI1095" s="34"/>
      <c r="AJ1095" s="34"/>
      <c r="AK1095" s="34"/>
      <c r="AL1095" s="34"/>
      <c r="AM1095" s="34"/>
    </row>
    <row r="1096" spans="1:39" s="980" customFormat="1">
      <c r="A1096" s="34"/>
      <c r="B1096" s="978" t="s">
        <v>1516</v>
      </c>
      <c r="C1096" s="978"/>
      <c r="D1096" s="978"/>
      <c r="E1096" s="979"/>
      <c r="F1096" s="978"/>
      <c r="G1096" s="992">
        <f t="shared" si="405"/>
        <v>0</v>
      </c>
      <c r="H1096" s="992">
        <f t="shared" si="406"/>
        <v>0</v>
      </c>
      <c r="I1096" s="992">
        <f t="shared" si="407"/>
        <v>0</v>
      </c>
      <c r="J1096" s="992">
        <f>'12MonResults'!M544</f>
        <v>0</v>
      </c>
      <c r="K1096" s="992">
        <f>'12MonResults'!P544</f>
        <v>0</v>
      </c>
      <c r="L1096" s="34"/>
      <c r="M1096" s="34"/>
      <c r="N1096" s="22">
        <f t="shared" si="408"/>
        <v>0</v>
      </c>
      <c r="O1096">
        <f>'[1]12MonResults'!AV470</f>
        <v>0</v>
      </c>
      <c r="P1096">
        <f>'[1]12MonResults'!AW470</f>
        <v>0</v>
      </c>
      <c r="Q1096" s="20">
        <f>SUM(N1096:P1096)</f>
        <v>0</v>
      </c>
      <c r="R1096" s="34"/>
      <c r="S1096" s="34"/>
      <c r="T1096" s="34"/>
      <c r="U1096" s="34"/>
      <c r="V1096" s="34"/>
      <c r="W1096" s="34"/>
      <c r="X1096" s="34"/>
      <c r="Y1096" s="34"/>
      <c r="Z1096" s="34"/>
      <c r="AA1096" s="34"/>
      <c r="AB1096" s="34"/>
      <c r="AC1096" s="34"/>
      <c r="AD1096" s="978"/>
      <c r="AE1096" s="389"/>
      <c r="AF1096" s="437"/>
      <c r="AH1096" s="34"/>
      <c r="AI1096" s="34"/>
      <c r="AJ1096" s="34"/>
      <c r="AK1096" s="34"/>
      <c r="AL1096" s="34"/>
      <c r="AM1096" s="34"/>
    </row>
    <row r="1097" spans="1:39" s="980" customFormat="1">
      <c r="A1097" s="34"/>
      <c r="B1097" s="978"/>
      <c r="C1097" s="978"/>
      <c r="D1097" s="978"/>
      <c r="E1097" s="979"/>
      <c r="F1097" s="978"/>
      <c r="G1097" s="978"/>
      <c r="H1097" s="978"/>
      <c r="I1097" s="978"/>
      <c r="J1097" s="978"/>
      <c r="K1097" s="987"/>
      <c r="L1097" s="34"/>
      <c r="M1097" s="34"/>
      <c r="N1097" s="34"/>
      <c r="O1097" s="34"/>
      <c r="P1097" s="34"/>
      <c r="Q1097" s="34"/>
      <c r="R1097" s="34"/>
      <c r="S1097" s="34"/>
      <c r="T1097" s="34"/>
      <c r="U1097" s="34"/>
      <c r="V1097" s="34"/>
      <c r="W1097" s="34"/>
      <c r="X1097" s="34"/>
      <c r="Y1097" s="34"/>
      <c r="Z1097" s="34"/>
      <c r="AA1097" s="34"/>
      <c r="AB1097" s="34"/>
      <c r="AC1097" s="34"/>
      <c r="AD1097" s="978"/>
      <c r="AE1097" s="389"/>
      <c r="AF1097" s="437"/>
      <c r="AH1097" s="34"/>
      <c r="AI1097" s="34"/>
      <c r="AJ1097" s="34"/>
      <c r="AK1097" s="34"/>
      <c r="AL1097" s="34"/>
      <c r="AM1097" s="34"/>
    </row>
    <row r="1098" spans="1:39" s="980" customFormat="1">
      <c r="A1098" s="34"/>
      <c r="B1098" s="978"/>
      <c r="C1098" s="978"/>
      <c r="D1098" s="978"/>
      <c r="E1098" s="979"/>
      <c r="F1098" s="978"/>
      <c r="G1098" s="978"/>
      <c r="H1098" s="978"/>
      <c r="I1098" s="978"/>
      <c r="J1098" s="978"/>
      <c r="K1098" s="987"/>
      <c r="L1098" s="34"/>
      <c r="M1098" s="34"/>
      <c r="N1098" s="34"/>
      <c r="O1098" s="34"/>
      <c r="P1098" s="34"/>
      <c r="Q1098" s="993">
        <f>SUM(Q1085:Q1096)</f>
        <v>12829420.359999998</v>
      </c>
      <c r="R1098" s="34"/>
      <c r="S1098" s="34"/>
      <c r="T1098" s="34"/>
      <c r="U1098" s="34"/>
      <c r="V1098" s="34"/>
      <c r="W1098" s="34"/>
      <c r="X1098" s="34"/>
      <c r="Y1098" s="34"/>
      <c r="Z1098" s="34"/>
      <c r="AA1098" s="34"/>
      <c r="AB1098" s="34"/>
      <c r="AC1098" s="34"/>
      <c r="AD1098" s="978"/>
      <c r="AE1098" s="389"/>
      <c r="AF1098" s="437"/>
      <c r="AH1098" s="34"/>
      <c r="AI1098" s="34"/>
      <c r="AJ1098" s="34"/>
      <c r="AK1098" s="34"/>
      <c r="AL1098" s="34"/>
      <c r="AM1098" s="34"/>
    </row>
    <row r="1099" spans="1:39" s="980" customFormat="1">
      <c r="A1099" s="34"/>
      <c r="B1099" s="978"/>
      <c r="C1099" s="978"/>
      <c r="D1099" s="978"/>
      <c r="E1099" s="979"/>
      <c r="F1099" s="978"/>
      <c r="G1099" s="978"/>
      <c r="H1099" s="978"/>
      <c r="I1099" s="978"/>
      <c r="J1099" s="978"/>
      <c r="K1099" s="987"/>
      <c r="L1099" s="34"/>
      <c r="M1099" s="34"/>
      <c r="N1099" s="34"/>
      <c r="O1099" s="34"/>
      <c r="P1099" s="34"/>
      <c r="Q1099" s="34"/>
      <c r="R1099" s="34"/>
      <c r="S1099" s="34"/>
      <c r="T1099" s="34"/>
      <c r="U1099" s="34"/>
      <c r="V1099" s="34"/>
      <c r="W1099" s="34"/>
      <c r="X1099" s="34"/>
      <c r="Y1099" s="34"/>
      <c r="Z1099" s="34"/>
      <c r="AA1099" s="34"/>
      <c r="AB1099" s="34"/>
      <c r="AC1099" s="34"/>
      <c r="AD1099" s="978"/>
      <c r="AE1099" s="389"/>
      <c r="AF1099" s="437"/>
      <c r="AH1099" s="34"/>
      <c r="AI1099" s="34"/>
      <c r="AJ1099" s="34"/>
      <c r="AK1099" s="34"/>
      <c r="AL1099" s="34"/>
      <c r="AM1099" s="34"/>
    </row>
    <row r="1100" spans="1:39" s="980" customFormat="1">
      <c r="A1100" s="34"/>
      <c r="B1100" s="978"/>
      <c r="C1100" s="978"/>
      <c r="D1100" s="978"/>
      <c r="E1100" s="979"/>
      <c r="F1100" s="978"/>
      <c r="G1100" s="978"/>
      <c r="H1100" s="978"/>
      <c r="I1100" s="978"/>
      <c r="J1100" s="978"/>
      <c r="K1100" s="987"/>
      <c r="L1100" s="34"/>
      <c r="M1100" s="34"/>
      <c r="N1100" s="34"/>
      <c r="O1100" s="34"/>
      <c r="P1100" s="34"/>
      <c r="Q1100" s="34"/>
      <c r="R1100" s="34"/>
      <c r="S1100" s="34"/>
      <c r="T1100" s="34"/>
      <c r="U1100" s="34"/>
      <c r="V1100" s="34"/>
      <c r="W1100" s="34"/>
      <c r="X1100" s="34"/>
      <c r="Y1100" s="34"/>
      <c r="Z1100" s="34"/>
      <c r="AA1100" s="34"/>
      <c r="AB1100" s="34"/>
      <c r="AC1100" s="34"/>
      <c r="AD1100" s="978"/>
      <c r="AE1100" s="389"/>
      <c r="AF1100" s="437"/>
      <c r="AH1100" s="34"/>
      <c r="AI1100" s="34"/>
      <c r="AJ1100" s="34"/>
      <c r="AK1100" s="34"/>
      <c r="AL1100" s="34"/>
      <c r="AM1100" s="34"/>
    </row>
    <row r="1101" spans="1:39" s="980" customFormat="1">
      <c r="A1101" s="34"/>
      <c r="B1101" s="978"/>
      <c r="C1101" s="978"/>
      <c r="D1101" s="978"/>
      <c r="E1101" s="979"/>
      <c r="F1101" s="978"/>
      <c r="G1101" s="978"/>
      <c r="H1101" s="978"/>
      <c r="I1101" s="978"/>
      <c r="J1101" s="978"/>
      <c r="K1101" s="987"/>
      <c r="L1101" s="34"/>
      <c r="M1101" s="34"/>
      <c r="N1101" s="34"/>
      <c r="O1101" s="34"/>
      <c r="P1101" s="34"/>
      <c r="Q1101" s="34"/>
      <c r="R1101" s="34"/>
      <c r="S1101" s="34"/>
      <c r="T1101" s="34"/>
      <c r="U1101" s="34"/>
      <c r="V1101" s="34"/>
      <c r="W1101" s="34"/>
      <c r="X1101" s="34"/>
      <c r="Y1101" s="34"/>
      <c r="Z1101" s="34"/>
      <c r="AA1101" s="34"/>
      <c r="AB1101" s="34"/>
      <c r="AC1101" s="34"/>
      <c r="AD1101" s="978"/>
      <c r="AE1101" s="389"/>
      <c r="AF1101" s="437"/>
      <c r="AH1101" s="34"/>
      <c r="AI1101" s="34"/>
      <c r="AJ1101" s="34"/>
      <c r="AK1101" s="34"/>
      <c r="AL1101" s="34"/>
      <c r="AM1101" s="34"/>
    </row>
    <row r="1102" spans="1:39" s="980" customFormat="1">
      <c r="A1102" s="34"/>
      <c r="B1102" s="978"/>
      <c r="C1102" s="978"/>
      <c r="D1102" s="978"/>
      <c r="E1102" s="979"/>
      <c r="F1102" s="978"/>
      <c r="G1102" s="978"/>
      <c r="H1102" s="978"/>
      <c r="I1102" s="978"/>
      <c r="J1102" s="978"/>
      <c r="K1102" s="987"/>
      <c r="L1102" s="34"/>
      <c r="M1102" s="34"/>
      <c r="N1102" s="34"/>
      <c r="O1102" s="34"/>
      <c r="P1102" s="34"/>
      <c r="Q1102" s="34"/>
      <c r="R1102" s="34"/>
      <c r="S1102" s="34"/>
      <c r="T1102" s="34"/>
      <c r="U1102" s="34"/>
      <c r="V1102" s="34"/>
      <c r="W1102" s="34"/>
      <c r="X1102" s="34"/>
      <c r="Y1102" s="34"/>
      <c r="Z1102" s="34"/>
      <c r="AA1102" s="34"/>
      <c r="AB1102" s="34"/>
      <c r="AC1102" s="34"/>
      <c r="AD1102" s="978"/>
      <c r="AE1102" s="389"/>
      <c r="AF1102" s="437"/>
      <c r="AH1102" s="34"/>
      <c r="AI1102" s="34"/>
      <c r="AJ1102" s="34"/>
      <c r="AK1102" s="34"/>
      <c r="AL1102" s="34"/>
      <c r="AM1102" s="34"/>
    </row>
    <row r="1103" spans="1:39" s="980" customFormat="1">
      <c r="A1103" s="34"/>
      <c r="B1103" s="978"/>
      <c r="C1103" s="978"/>
      <c r="D1103" s="978"/>
      <c r="E1103" s="979"/>
      <c r="F1103" s="978"/>
      <c r="G1103" s="978"/>
      <c r="H1103" s="978"/>
      <c r="I1103" s="978"/>
      <c r="J1103" s="978"/>
      <c r="K1103" s="987"/>
      <c r="L1103" s="34"/>
      <c r="M1103" s="34"/>
      <c r="N1103" s="34"/>
      <c r="O1103" s="34"/>
      <c r="P1103" s="34"/>
      <c r="Q1103" s="34"/>
      <c r="R1103" s="34"/>
      <c r="S1103" s="34"/>
      <c r="T1103" s="34"/>
      <c r="U1103" s="34"/>
      <c r="V1103" s="34"/>
      <c r="W1103" s="34"/>
      <c r="X1103" s="34"/>
      <c r="Y1103" s="34"/>
      <c r="Z1103" s="34"/>
      <c r="AA1103" s="34"/>
      <c r="AB1103" s="34"/>
      <c r="AC1103" s="34"/>
      <c r="AD1103" s="978"/>
      <c r="AE1103" s="389"/>
      <c r="AF1103" s="437"/>
      <c r="AH1103" s="34"/>
      <c r="AI1103" s="34"/>
      <c r="AJ1103" s="34"/>
      <c r="AK1103" s="34"/>
      <c r="AL1103" s="34"/>
      <c r="AM1103" s="34"/>
    </row>
    <row r="1104" spans="1:39" s="980" customFormat="1">
      <c r="A1104" s="34"/>
      <c r="B1104" s="978"/>
      <c r="C1104" s="978"/>
      <c r="D1104" s="978"/>
      <c r="E1104" s="979"/>
      <c r="F1104" s="978"/>
      <c r="G1104" s="978"/>
      <c r="H1104" s="978"/>
      <c r="I1104" s="978"/>
      <c r="J1104" s="978"/>
      <c r="K1104" s="987"/>
      <c r="L1104" s="34"/>
      <c r="M1104" s="34"/>
      <c r="N1104" s="34"/>
      <c r="O1104" s="34"/>
      <c r="P1104" s="34"/>
      <c r="Q1104" s="34"/>
      <c r="R1104" s="34"/>
      <c r="S1104" s="34"/>
      <c r="T1104" s="34"/>
      <c r="U1104" s="34"/>
      <c r="V1104" s="34"/>
      <c r="W1104" s="34"/>
      <c r="X1104" s="34"/>
      <c r="Y1104" s="34"/>
      <c r="Z1104" s="34"/>
      <c r="AA1104" s="34"/>
      <c r="AB1104" s="34"/>
      <c r="AC1104" s="34"/>
      <c r="AD1104" s="978"/>
      <c r="AE1104" s="389"/>
      <c r="AF1104" s="437"/>
      <c r="AH1104" s="34"/>
      <c r="AI1104" s="34"/>
      <c r="AJ1104" s="34"/>
      <c r="AK1104" s="34"/>
      <c r="AL1104" s="34"/>
      <c r="AM1104" s="34"/>
    </row>
    <row r="1105" spans="1:39" s="980" customFormat="1">
      <c r="A1105" s="34"/>
      <c r="B1105" s="978"/>
      <c r="C1105" s="978"/>
      <c r="D1105" s="978"/>
      <c r="E1105" s="979"/>
      <c r="F1105" s="978"/>
      <c r="G1105" s="978"/>
      <c r="H1105" s="978"/>
      <c r="I1105" s="978"/>
      <c r="J1105" s="978"/>
      <c r="K1105" s="987"/>
      <c r="L1105" s="34"/>
      <c r="M1105" s="34"/>
      <c r="N1105" s="34"/>
      <c r="O1105" s="34"/>
      <c r="P1105" s="34"/>
      <c r="Q1105" s="34"/>
      <c r="R1105" s="34"/>
      <c r="S1105" s="34"/>
      <c r="T1105" s="34"/>
      <c r="U1105" s="34"/>
      <c r="V1105" s="34"/>
      <c r="W1105" s="34"/>
      <c r="X1105" s="34"/>
      <c r="Y1105" s="34"/>
      <c r="Z1105" s="34"/>
      <c r="AA1105" s="34"/>
      <c r="AB1105" s="34"/>
      <c r="AC1105" s="34"/>
      <c r="AD1105" s="978"/>
      <c r="AE1105" s="389"/>
      <c r="AF1105" s="437"/>
      <c r="AH1105" s="34"/>
      <c r="AI1105" s="34"/>
      <c r="AJ1105" s="34"/>
      <c r="AK1105" s="34"/>
      <c r="AL1105" s="34"/>
      <c r="AM1105" s="34"/>
    </row>
    <row r="1106" spans="1:39" s="980" customFormat="1">
      <c r="A1106" s="34"/>
      <c r="B1106" s="978"/>
      <c r="C1106" s="978"/>
      <c r="D1106" s="978"/>
      <c r="E1106" s="979"/>
      <c r="F1106" s="978"/>
      <c r="G1106" s="978"/>
      <c r="H1106" s="978"/>
      <c r="I1106" s="978"/>
      <c r="J1106" s="978"/>
      <c r="K1106" s="987"/>
      <c r="L1106" s="34"/>
      <c r="M1106" s="34"/>
      <c r="N1106" s="34"/>
      <c r="O1106" s="34"/>
      <c r="P1106" s="34"/>
      <c r="Q1106" s="34"/>
      <c r="R1106" s="34"/>
      <c r="S1106" s="34"/>
      <c r="T1106" s="34"/>
      <c r="U1106" s="34"/>
      <c r="V1106" s="34"/>
      <c r="W1106" s="34"/>
      <c r="X1106" s="34"/>
      <c r="Y1106" s="34"/>
      <c r="Z1106" s="34"/>
      <c r="AA1106" s="34"/>
      <c r="AB1106" s="34"/>
      <c r="AC1106" s="34"/>
      <c r="AD1106" s="978"/>
      <c r="AE1106" s="389"/>
      <c r="AF1106" s="437"/>
      <c r="AH1106" s="34"/>
      <c r="AI1106" s="34"/>
      <c r="AJ1106" s="34"/>
      <c r="AK1106" s="34"/>
      <c r="AL1106" s="34"/>
      <c r="AM1106" s="34"/>
    </row>
    <row r="1107" spans="1:39" s="980" customFormat="1">
      <c r="A1107" s="34"/>
      <c r="B1107" s="978"/>
      <c r="C1107" s="978"/>
      <c r="D1107" s="978"/>
      <c r="E1107" s="979"/>
      <c r="F1107" s="978"/>
      <c r="G1107" s="978"/>
      <c r="H1107" s="978"/>
      <c r="I1107" s="978"/>
      <c r="J1107" s="978"/>
      <c r="K1107" s="987"/>
      <c r="L1107" s="34"/>
      <c r="M1107" s="34"/>
      <c r="N1107" s="34"/>
      <c r="O1107" s="34"/>
      <c r="P1107" s="34"/>
      <c r="Q1107" s="34"/>
      <c r="R1107" s="34"/>
      <c r="S1107" s="34"/>
      <c r="T1107" s="34"/>
      <c r="U1107" s="34"/>
      <c r="V1107" s="34"/>
      <c r="W1107" s="34"/>
      <c r="X1107" s="34"/>
      <c r="Y1107" s="34"/>
      <c r="Z1107" s="34"/>
      <c r="AA1107" s="34"/>
      <c r="AB1107" s="34"/>
      <c r="AC1107" s="34"/>
      <c r="AD1107" s="978"/>
      <c r="AE1107" s="389"/>
      <c r="AF1107" s="437"/>
      <c r="AH1107" s="34"/>
      <c r="AI1107" s="34"/>
      <c r="AJ1107" s="34"/>
      <c r="AK1107" s="34"/>
      <c r="AL1107" s="34"/>
      <c r="AM1107" s="34"/>
    </row>
    <row r="1108" spans="1:39" s="980" customFormat="1">
      <c r="A1108" s="34"/>
      <c r="B1108" s="978"/>
      <c r="C1108" s="978"/>
      <c r="D1108" s="978"/>
      <c r="E1108" s="979"/>
      <c r="F1108" s="978"/>
      <c r="G1108" s="978"/>
      <c r="H1108" s="978"/>
      <c r="I1108" s="978"/>
      <c r="J1108" s="978"/>
      <c r="K1108" s="987"/>
      <c r="L1108" s="34"/>
      <c r="M1108" s="34"/>
      <c r="N1108" s="34"/>
      <c r="O1108" s="34"/>
      <c r="P1108" s="34"/>
      <c r="Q1108" s="34"/>
      <c r="R1108" s="34"/>
      <c r="S1108" s="34"/>
      <c r="T1108" s="34"/>
      <c r="U1108" s="34"/>
      <c r="V1108" s="34"/>
      <c r="W1108" s="34"/>
      <c r="X1108" s="34"/>
      <c r="Y1108" s="34"/>
      <c r="Z1108" s="34"/>
      <c r="AA1108" s="34"/>
      <c r="AB1108" s="34"/>
      <c r="AC1108" s="34"/>
      <c r="AD1108" s="978"/>
      <c r="AE1108" s="389"/>
      <c r="AF1108" s="437"/>
      <c r="AH1108" s="34"/>
      <c r="AI1108" s="34"/>
      <c r="AJ1108" s="34"/>
      <c r="AK1108" s="34"/>
      <c r="AL1108" s="34"/>
      <c r="AM1108" s="34"/>
    </row>
    <row r="1109" spans="1:39" s="980" customFormat="1">
      <c r="A1109" s="34"/>
      <c r="B1109" s="978"/>
      <c r="C1109" s="978"/>
      <c r="D1109" s="978"/>
      <c r="E1109" s="979"/>
      <c r="F1109" s="978"/>
      <c r="G1109" s="978"/>
      <c r="H1109" s="978"/>
      <c r="I1109" s="978"/>
      <c r="J1109" s="978"/>
      <c r="K1109" s="987"/>
      <c r="L1109" s="34"/>
      <c r="M1109" s="34"/>
      <c r="N1109" s="34"/>
      <c r="O1109" s="34"/>
      <c r="P1109" s="34"/>
      <c r="Q1109" s="34"/>
      <c r="R1109" s="34"/>
      <c r="S1109" s="34"/>
      <c r="T1109" s="34"/>
      <c r="U1109" s="34"/>
      <c r="V1109" s="34"/>
      <c r="W1109" s="34"/>
      <c r="X1109" s="34"/>
      <c r="Y1109" s="34"/>
      <c r="Z1109" s="34"/>
      <c r="AA1109" s="34"/>
      <c r="AB1109" s="34"/>
      <c r="AC1109" s="34"/>
      <c r="AD1109" s="978"/>
      <c r="AE1109" s="389"/>
      <c r="AF1109" s="437"/>
      <c r="AH1109" s="34"/>
      <c r="AI1109" s="34"/>
      <c r="AJ1109" s="34"/>
      <c r="AK1109" s="34"/>
      <c r="AL1109" s="34"/>
      <c r="AM1109" s="34"/>
    </row>
    <row r="1110" spans="1:39" s="980" customFormat="1">
      <c r="A1110" s="34"/>
      <c r="B1110" s="978"/>
      <c r="C1110" s="978"/>
      <c r="D1110" s="978"/>
      <c r="E1110" s="979"/>
      <c r="F1110" s="978"/>
      <c r="G1110" s="978"/>
      <c r="H1110" s="978"/>
      <c r="I1110" s="978"/>
      <c r="J1110" s="978"/>
      <c r="K1110" s="987"/>
      <c r="L1110" s="34"/>
      <c r="M1110" s="34"/>
      <c r="N1110" s="34"/>
      <c r="O1110" s="34"/>
      <c r="P1110" s="34"/>
      <c r="Q1110" s="34"/>
      <c r="R1110" s="34"/>
      <c r="S1110" s="34"/>
      <c r="T1110" s="34"/>
      <c r="U1110" s="34"/>
      <c r="V1110" s="34"/>
      <c r="W1110" s="34"/>
      <c r="X1110" s="34"/>
      <c r="Y1110" s="34"/>
      <c r="Z1110" s="34"/>
      <c r="AA1110" s="34"/>
      <c r="AB1110" s="34"/>
      <c r="AC1110" s="34"/>
      <c r="AD1110" s="978"/>
      <c r="AE1110" s="389"/>
      <c r="AF1110" s="437"/>
      <c r="AH1110" s="34"/>
      <c r="AI1110" s="34"/>
      <c r="AJ1110" s="34"/>
      <c r="AK1110" s="34"/>
      <c r="AL1110" s="34"/>
      <c r="AM1110" s="34"/>
    </row>
    <row r="1111" spans="1:39" s="980" customFormat="1">
      <c r="A1111" s="34"/>
      <c r="B1111" s="978"/>
      <c r="C1111" s="978"/>
      <c r="D1111" s="978"/>
      <c r="E1111" s="979"/>
      <c r="F1111" s="978"/>
      <c r="G1111" s="978"/>
      <c r="H1111" s="978"/>
      <c r="I1111" s="978"/>
      <c r="J1111" s="978"/>
      <c r="K1111" s="987"/>
      <c r="L1111" s="34"/>
      <c r="M1111" s="34"/>
      <c r="N1111" s="34"/>
      <c r="O1111" s="34"/>
      <c r="P1111" s="34"/>
      <c r="Q1111" s="34"/>
      <c r="R1111" s="34"/>
      <c r="S1111" s="34"/>
      <c r="T1111" s="34"/>
      <c r="U1111" s="34"/>
      <c r="V1111" s="34"/>
      <c r="W1111" s="34"/>
      <c r="X1111" s="34"/>
      <c r="Y1111" s="34"/>
      <c r="Z1111" s="34"/>
      <c r="AA1111" s="34"/>
      <c r="AB1111" s="34"/>
      <c r="AC1111" s="34"/>
      <c r="AD1111" s="978"/>
      <c r="AE1111" s="389"/>
      <c r="AF1111" s="437"/>
      <c r="AH1111" s="34"/>
      <c r="AI1111" s="34"/>
      <c r="AJ1111" s="34"/>
      <c r="AK1111" s="34"/>
      <c r="AL1111" s="34"/>
      <c r="AM1111" s="34"/>
    </row>
    <row r="1112" spans="1:39" s="980" customFormat="1">
      <c r="A1112" s="34"/>
      <c r="B1112" s="978"/>
      <c r="C1112" s="978"/>
      <c r="D1112" s="978"/>
      <c r="E1112" s="979"/>
      <c r="F1112" s="978"/>
      <c r="G1112" s="978"/>
      <c r="H1112" s="978"/>
      <c r="I1112" s="978"/>
      <c r="J1112" s="978"/>
      <c r="K1112" s="987"/>
      <c r="L1112" s="34"/>
      <c r="M1112" s="34"/>
      <c r="N1112" s="34"/>
      <c r="O1112" s="34"/>
      <c r="P1112" s="34"/>
      <c r="Q1112" s="34"/>
      <c r="R1112" s="34"/>
      <c r="S1112" s="34"/>
      <c r="T1112" s="34"/>
      <c r="U1112" s="34"/>
      <c r="V1112" s="34"/>
      <c r="W1112" s="34"/>
      <c r="X1112" s="34"/>
      <c r="Y1112" s="34"/>
      <c r="Z1112" s="34"/>
      <c r="AA1112" s="34"/>
      <c r="AB1112" s="34"/>
      <c r="AC1112" s="34"/>
      <c r="AD1112" s="978"/>
      <c r="AE1112" s="389"/>
      <c r="AF1112" s="437"/>
      <c r="AH1112" s="34"/>
      <c r="AI1112" s="34"/>
      <c r="AJ1112" s="34"/>
      <c r="AK1112" s="34"/>
      <c r="AL1112" s="34"/>
      <c r="AM1112" s="34"/>
    </row>
    <row r="1113" spans="1:39" s="980" customFormat="1">
      <c r="A1113" s="34"/>
      <c r="B1113" s="978"/>
      <c r="C1113" s="978"/>
      <c r="D1113" s="978"/>
      <c r="E1113" s="979"/>
      <c r="F1113" s="978"/>
      <c r="G1113" s="978"/>
      <c r="H1113" s="978"/>
      <c r="I1113" s="978"/>
      <c r="J1113" s="978"/>
      <c r="K1113" s="987"/>
      <c r="L1113" s="34"/>
      <c r="M1113" s="34"/>
      <c r="N1113" s="34"/>
      <c r="O1113" s="34"/>
      <c r="P1113" s="34"/>
      <c r="Q1113" s="34"/>
      <c r="R1113" s="34"/>
      <c r="S1113" s="34"/>
      <c r="T1113" s="34"/>
      <c r="U1113" s="34"/>
      <c r="V1113" s="34"/>
      <c r="W1113" s="34"/>
      <c r="X1113" s="34"/>
      <c r="Y1113" s="34"/>
      <c r="Z1113" s="34"/>
      <c r="AA1113" s="34"/>
      <c r="AB1113" s="34"/>
      <c r="AC1113" s="34"/>
      <c r="AD1113" s="978"/>
      <c r="AE1113" s="389"/>
      <c r="AF1113" s="437"/>
      <c r="AH1113" s="34"/>
      <c r="AI1113" s="34"/>
      <c r="AJ1113" s="34"/>
      <c r="AK1113" s="34"/>
      <c r="AL1113" s="34"/>
      <c r="AM1113" s="34"/>
    </row>
    <row r="1114" spans="1:39" s="980" customFormat="1">
      <c r="A1114" s="34"/>
      <c r="B1114" s="978"/>
      <c r="C1114" s="978"/>
      <c r="D1114" s="978"/>
      <c r="E1114" s="979"/>
      <c r="F1114" s="978"/>
      <c r="G1114" s="978"/>
      <c r="H1114" s="978"/>
      <c r="I1114" s="978"/>
      <c r="J1114" s="978"/>
      <c r="K1114" s="987"/>
      <c r="L1114" s="34"/>
      <c r="M1114" s="34"/>
      <c r="N1114" s="34"/>
      <c r="O1114" s="34"/>
      <c r="P1114" s="34"/>
      <c r="Q1114" s="34"/>
      <c r="R1114" s="34"/>
      <c r="S1114" s="34"/>
      <c r="T1114" s="34"/>
      <c r="U1114" s="34"/>
      <c r="V1114" s="34"/>
      <c r="W1114" s="34"/>
      <c r="X1114" s="34"/>
      <c r="Y1114" s="34"/>
      <c r="Z1114" s="34"/>
      <c r="AA1114" s="34"/>
      <c r="AB1114" s="34"/>
      <c r="AC1114" s="34"/>
      <c r="AD1114" s="978"/>
      <c r="AE1114" s="389"/>
      <c r="AF1114" s="437"/>
      <c r="AH1114" s="34"/>
      <c r="AI1114" s="34"/>
      <c r="AJ1114" s="34"/>
      <c r="AK1114" s="34"/>
      <c r="AL1114" s="34"/>
      <c r="AM1114" s="34"/>
    </row>
    <row r="1115" spans="1:39" s="980" customFormat="1">
      <c r="A1115" s="34"/>
      <c r="B1115" s="978"/>
      <c r="C1115" s="978"/>
      <c r="D1115" s="978"/>
      <c r="E1115" s="979"/>
      <c r="F1115" s="978"/>
      <c r="G1115" s="978"/>
      <c r="H1115" s="978"/>
      <c r="I1115" s="978"/>
      <c r="J1115" s="978"/>
      <c r="K1115" s="987"/>
      <c r="L1115" s="34"/>
      <c r="M1115" s="34"/>
      <c r="N1115" s="34"/>
      <c r="O1115" s="34"/>
      <c r="P1115" s="34"/>
      <c r="Q1115" s="34"/>
      <c r="R1115" s="34"/>
      <c r="S1115" s="34"/>
      <c r="T1115" s="34"/>
      <c r="U1115" s="34"/>
      <c r="V1115" s="34"/>
      <c r="W1115" s="34"/>
      <c r="X1115" s="34"/>
      <c r="Y1115" s="34"/>
      <c r="Z1115" s="34"/>
      <c r="AA1115" s="34"/>
      <c r="AB1115" s="34"/>
      <c r="AC1115" s="34"/>
      <c r="AD1115" s="978"/>
      <c r="AE1115" s="389"/>
      <c r="AF1115" s="437"/>
      <c r="AH1115" s="34"/>
      <c r="AI1115" s="34"/>
      <c r="AJ1115" s="34"/>
      <c r="AK1115" s="34"/>
      <c r="AL1115" s="34"/>
      <c r="AM1115" s="34"/>
    </row>
    <row r="1116" spans="1:39" s="980" customFormat="1">
      <c r="A1116" s="34"/>
      <c r="B1116" s="978"/>
      <c r="C1116" s="978"/>
      <c r="D1116" s="978"/>
      <c r="E1116" s="979"/>
      <c r="F1116" s="978"/>
      <c r="G1116" s="978"/>
      <c r="H1116" s="978"/>
      <c r="I1116" s="978"/>
      <c r="J1116" s="978"/>
      <c r="K1116" s="987"/>
      <c r="L1116" s="34"/>
      <c r="M1116" s="34"/>
      <c r="N1116" s="34"/>
      <c r="O1116" s="34"/>
      <c r="P1116" s="34"/>
      <c r="Q1116" s="34"/>
      <c r="R1116" s="34"/>
      <c r="S1116" s="34"/>
      <c r="T1116" s="34"/>
      <c r="U1116" s="34"/>
      <c r="V1116" s="34"/>
      <c r="W1116" s="34"/>
      <c r="X1116" s="34"/>
      <c r="Y1116" s="34"/>
      <c r="Z1116" s="34"/>
      <c r="AA1116" s="34"/>
      <c r="AB1116" s="34"/>
      <c r="AC1116" s="34"/>
      <c r="AD1116" s="978"/>
      <c r="AE1116" s="389"/>
      <c r="AF1116" s="437"/>
      <c r="AH1116" s="34"/>
      <c r="AI1116" s="34"/>
      <c r="AJ1116" s="34"/>
      <c r="AK1116" s="34"/>
      <c r="AL1116" s="34"/>
      <c r="AM1116" s="34"/>
    </row>
    <row r="1117" spans="1:39" s="980" customFormat="1">
      <c r="A1117" s="34"/>
      <c r="B1117" s="978"/>
      <c r="C1117" s="978"/>
      <c r="D1117" s="978"/>
      <c r="E1117" s="979"/>
      <c r="F1117" s="978"/>
      <c r="G1117" s="978"/>
      <c r="H1117" s="978"/>
      <c r="I1117" s="978"/>
      <c r="J1117" s="978"/>
      <c r="K1117" s="987"/>
      <c r="L1117" s="34"/>
      <c r="M1117" s="34"/>
      <c r="N1117" s="34"/>
      <c r="O1117" s="34"/>
      <c r="P1117" s="34"/>
      <c r="Q1117" s="34"/>
      <c r="R1117" s="34"/>
      <c r="S1117" s="34"/>
      <c r="T1117" s="34"/>
      <c r="U1117" s="34"/>
      <c r="V1117" s="34"/>
      <c r="W1117" s="34"/>
      <c r="X1117" s="34"/>
      <c r="Y1117" s="34"/>
      <c r="Z1117" s="34"/>
      <c r="AA1117" s="34"/>
      <c r="AB1117" s="34"/>
      <c r="AC1117" s="34"/>
      <c r="AD1117" s="978"/>
      <c r="AE1117" s="389"/>
      <c r="AF1117" s="437"/>
      <c r="AH1117" s="34"/>
      <c r="AI1117" s="34"/>
      <c r="AJ1117" s="34"/>
      <c r="AK1117" s="34"/>
      <c r="AL1117" s="34"/>
      <c r="AM1117" s="34"/>
    </row>
    <row r="1118" spans="1:39" s="980" customFormat="1">
      <c r="A1118" s="34"/>
      <c r="B1118" s="978"/>
      <c r="C1118" s="978"/>
      <c r="D1118" s="978"/>
      <c r="E1118" s="979"/>
      <c r="F1118" s="978"/>
      <c r="G1118" s="978"/>
      <c r="H1118" s="978"/>
      <c r="I1118" s="978"/>
      <c r="J1118" s="978"/>
      <c r="K1118" s="987"/>
      <c r="L1118" s="34"/>
      <c r="M1118" s="34"/>
      <c r="N1118" s="34"/>
      <c r="O1118" s="34"/>
      <c r="P1118" s="34"/>
      <c r="Q1118" s="34"/>
      <c r="R1118" s="34"/>
      <c r="S1118" s="34"/>
      <c r="T1118" s="34"/>
      <c r="U1118" s="34"/>
      <c r="V1118" s="34"/>
      <c r="W1118" s="34"/>
      <c r="X1118" s="34"/>
      <c r="Y1118" s="34"/>
      <c r="Z1118" s="34"/>
      <c r="AA1118" s="34"/>
      <c r="AB1118" s="34"/>
      <c r="AC1118" s="34"/>
      <c r="AD1118" s="978"/>
      <c r="AE1118" s="389"/>
      <c r="AF1118" s="437"/>
      <c r="AH1118" s="34"/>
      <c r="AI1118" s="34"/>
      <c r="AJ1118" s="34"/>
      <c r="AK1118" s="34"/>
      <c r="AL1118" s="34"/>
      <c r="AM1118" s="34"/>
    </row>
    <row r="1119" spans="1:39" s="980" customFormat="1">
      <c r="A1119" s="34"/>
      <c r="B1119" s="978"/>
      <c r="C1119" s="978"/>
      <c r="D1119" s="978"/>
      <c r="E1119" s="979"/>
      <c r="F1119" s="978"/>
      <c r="G1119" s="978"/>
      <c r="H1119" s="978"/>
      <c r="I1119" s="978"/>
      <c r="J1119" s="978"/>
      <c r="K1119" s="987"/>
      <c r="L1119" s="34"/>
      <c r="M1119" s="34"/>
      <c r="N1119" s="34"/>
      <c r="O1119" s="34"/>
      <c r="P1119" s="34"/>
      <c r="Q1119" s="34"/>
      <c r="R1119" s="34"/>
      <c r="S1119" s="34"/>
      <c r="T1119" s="34"/>
      <c r="U1119" s="34"/>
      <c r="V1119" s="34"/>
      <c r="W1119" s="34"/>
      <c r="X1119" s="34"/>
      <c r="Y1119" s="34"/>
      <c r="Z1119" s="34"/>
      <c r="AA1119" s="34"/>
      <c r="AB1119" s="34"/>
      <c r="AC1119" s="34"/>
      <c r="AD1119" s="978"/>
      <c r="AE1119" s="389"/>
      <c r="AF1119" s="437"/>
      <c r="AH1119" s="34"/>
      <c r="AI1119" s="34"/>
      <c r="AJ1119" s="34"/>
      <c r="AK1119" s="34"/>
      <c r="AL1119" s="34"/>
      <c r="AM1119" s="34"/>
    </row>
    <row r="1120" spans="1:39">
      <c r="K1120" s="987"/>
      <c r="AE1120" s="389"/>
      <c r="AF1120" s="437"/>
    </row>
    <row r="1121" spans="4:32">
      <c r="K1121" s="987"/>
      <c r="AE1121" s="389"/>
      <c r="AF1121" s="437"/>
    </row>
    <row r="1122" spans="4:32">
      <c r="K1122" s="987"/>
      <c r="AE1122" s="389"/>
      <c r="AF1122" s="437"/>
    </row>
    <row r="1123" spans="4:32">
      <c r="K1123" s="987"/>
      <c r="AE1123" s="389"/>
      <c r="AF1123" s="437"/>
    </row>
    <row r="1124" spans="4:32">
      <c r="D1124" s="34"/>
      <c r="AE1124" s="389"/>
      <c r="AF1124" s="437"/>
    </row>
    <row r="1125" spans="4:32">
      <c r="D1125" s="34"/>
      <c r="AE1125" s="389"/>
      <c r="AF1125" s="437"/>
    </row>
    <row r="1126" spans="4:32">
      <c r="D1126" s="34"/>
      <c r="AE1126" s="389"/>
      <c r="AF1126" s="437"/>
    </row>
    <row r="1127" spans="4:32">
      <c r="D1127" s="34"/>
      <c r="AE1127" s="389"/>
      <c r="AF1127" s="437"/>
    </row>
    <row r="1128" spans="4:32">
      <c r="D1128" s="34"/>
      <c r="AE1128" s="389"/>
      <c r="AF1128" s="437"/>
    </row>
    <row r="1129" spans="4:32">
      <c r="D1129" s="34"/>
      <c r="AE1129" s="389"/>
      <c r="AF1129" s="437"/>
    </row>
    <row r="1130" spans="4:32">
      <c r="D1130" s="34"/>
      <c r="AE1130" s="389"/>
      <c r="AF1130" s="437"/>
    </row>
    <row r="1131" spans="4:32">
      <c r="D1131" s="34"/>
      <c r="AE1131" s="389"/>
      <c r="AF1131" s="437"/>
    </row>
    <row r="1132" spans="4:32">
      <c r="D1132" s="34"/>
      <c r="AE1132" s="389"/>
      <c r="AF1132" s="437"/>
    </row>
    <row r="1133" spans="4:32">
      <c r="D1133" s="34"/>
      <c r="AE1133" s="389"/>
      <c r="AF1133" s="437"/>
    </row>
    <row r="1134" spans="4:32">
      <c r="D1134" s="34"/>
      <c r="AE1134" s="389"/>
      <c r="AF1134" s="437"/>
    </row>
    <row r="1135" spans="4:32">
      <c r="D1135" s="34"/>
      <c r="AE1135" s="389"/>
      <c r="AF1135" s="437"/>
    </row>
    <row r="1136" spans="4:32">
      <c r="D1136" s="34"/>
      <c r="AE1136" s="389"/>
      <c r="AF1136" s="437"/>
    </row>
    <row r="1137" spans="4:32">
      <c r="D1137" s="34"/>
      <c r="AE1137" s="389"/>
      <c r="AF1137" s="437"/>
    </row>
    <row r="1138" spans="4:32">
      <c r="D1138" s="34"/>
      <c r="AE1138" s="389"/>
      <c r="AF1138" s="437"/>
    </row>
    <row r="1139" spans="4:32">
      <c r="D1139" s="34"/>
      <c r="AE1139" s="389"/>
      <c r="AF1139" s="437"/>
    </row>
    <row r="1140" spans="4:32">
      <c r="D1140" s="34"/>
      <c r="AE1140" s="389"/>
      <c r="AF1140" s="437"/>
    </row>
    <row r="1141" spans="4:32">
      <c r="AE1141" s="389"/>
      <c r="AF1141" s="437"/>
    </row>
    <row r="1142" spans="4:32">
      <c r="AE1142" s="389"/>
      <c r="AF1142" s="437"/>
    </row>
    <row r="1143" spans="4:32">
      <c r="AE1143" s="389"/>
      <c r="AF1143" s="437"/>
    </row>
    <row r="1144" spans="4:32">
      <c r="AE1144" s="389"/>
      <c r="AF1144" s="437"/>
    </row>
    <row r="1145" spans="4:32">
      <c r="AE1145" s="389"/>
      <c r="AF1145" s="437"/>
    </row>
    <row r="1146" spans="4:32">
      <c r="AE1146" s="389"/>
      <c r="AF1146" s="437"/>
    </row>
    <row r="1147" spans="4:32">
      <c r="AE1147" s="389"/>
      <c r="AF1147" s="437"/>
    </row>
    <row r="1148" spans="4:32">
      <c r="AE1148" s="389"/>
      <c r="AF1148" s="437"/>
    </row>
    <row r="1149" spans="4:32">
      <c r="AE1149" s="389"/>
      <c r="AF1149" s="437"/>
    </row>
    <row r="1150" spans="4:32">
      <c r="AE1150" s="389"/>
      <c r="AF1150" s="437"/>
    </row>
    <row r="1151" spans="4:32">
      <c r="AE1151" s="389"/>
      <c r="AF1151" s="437"/>
    </row>
    <row r="1152" spans="4:32">
      <c r="AE1152" s="389"/>
      <c r="AF1152" s="437"/>
    </row>
    <row r="1153" spans="31:32">
      <c r="AE1153" s="389"/>
      <c r="AF1153" s="437"/>
    </row>
    <row r="1154" spans="31:32">
      <c r="AE1154" s="389"/>
      <c r="AF1154" s="437"/>
    </row>
    <row r="1155" spans="31:32">
      <c r="AE1155" s="389"/>
      <c r="AF1155" s="437"/>
    </row>
    <row r="1156" spans="31:32">
      <c r="AE1156" s="389"/>
      <c r="AF1156" s="437"/>
    </row>
    <row r="1157" spans="31:32">
      <c r="AE1157" s="389"/>
      <c r="AF1157" s="437"/>
    </row>
    <row r="1158" spans="31:32">
      <c r="AE1158" s="389"/>
      <c r="AF1158" s="437"/>
    </row>
    <row r="1159" spans="31:32">
      <c r="AE1159" s="389"/>
      <c r="AF1159" s="437"/>
    </row>
    <row r="1160" spans="31:32">
      <c r="AE1160" s="389"/>
      <c r="AF1160" s="437"/>
    </row>
    <row r="1161" spans="31:32">
      <c r="AE1161" s="389"/>
      <c r="AF1161" s="437"/>
    </row>
    <row r="1162" spans="31:32">
      <c r="AE1162" s="389"/>
      <c r="AF1162" s="437"/>
    </row>
    <row r="1163" spans="31:32">
      <c r="AE1163" s="389"/>
      <c r="AF1163" s="437"/>
    </row>
    <row r="1164" spans="31:32">
      <c r="AE1164" s="389"/>
      <c r="AF1164" s="437"/>
    </row>
    <row r="1165" spans="31:32">
      <c r="AE1165" s="389"/>
      <c r="AF1165" s="437"/>
    </row>
    <row r="1166" spans="31:32">
      <c r="AE1166" s="389"/>
      <c r="AF1166" s="437"/>
    </row>
    <row r="1167" spans="31:32">
      <c r="AE1167" s="389"/>
      <c r="AF1167" s="437"/>
    </row>
  </sheetData>
  <autoFilter ref="A1:AM1069"/>
  <conditionalFormatting sqref="P2:P1035 P1048:P1069">
    <cfRule type="cellIs" dxfId="1" priority="2" operator="notEqual">
      <formula>1</formula>
    </cfRule>
  </conditionalFormatting>
  <conditionalFormatting sqref="P1036:P1047">
    <cfRule type="cellIs" dxfId="0" priority="1" operator="notEqual">
      <formula>1</formula>
    </cfRule>
  </conditionalFormatting>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41"/>
  <sheetViews>
    <sheetView workbookViewId="0"/>
  </sheetViews>
  <sheetFormatPr defaultRowHeight="12"/>
  <cols>
    <col min="1" max="1" width="12.6640625" style="407" bestFit="1" customWidth="1"/>
    <col min="2" max="2" width="12.6640625" style="407" customWidth="1"/>
    <col min="3" max="3" width="9.33203125" style="598"/>
    <col min="4" max="4" width="15" style="598" bestFit="1" customWidth="1"/>
    <col min="5" max="5" width="23.33203125" style="598" bestFit="1" customWidth="1"/>
    <col min="6" max="6" width="15.1640625" style="407" bestFit="1" customWidth="1"/>
    <col min="7" max="7" width="14.33203125" style="407" customWidth="1"/>
    <col min="8" max="8" width="17.5" style="407" bestFit="1" customWidth="1"/>
    <col min="9" max="9" width="15.1640625" style="407" bestFit="1" customWidth="1"/>
    <col min="10" max="10" width="9.33203125" style="403"/>
    <col min="11" max="15" width="9.33203125" style="407"/>
    <col min="16" max="16" width="11.1640625" style="407" customWidth="1"/>
    <col min="17" max="18" width="11.5" style="407" customWidth="1"/>
    <col min="19" max="20" width="9.33203125" style="403"/>
    <col min="21" max="23" width="9.33203125" style="407"/>
    <col min="24" max="16384" width="9.33203125" style="598"/>
  </cols>
  <sheetData>
    <row r="1" spans="1:27">
      <c r="A1" s="598"/>
      <c r="B1" s="598"/>
      <c r="F1" s="598"/>
      <c r="G1" s="598"/>
      <c r="H1" s="598"/>
      <c r="I1" s="598">
        <v>2.6679999999999999E-2</v>
      </c>
      <c r="J1" s="603"/>
      <c r="K1" s="598"/>
      <c r="L1" s="598"/>
      <c r="M1" s="598"/>
      <c r="N1" s="598"/>
      <c r="O1" s="1055" t="s">
        <v>484</v>
      </c>
      <c r="P1" s="1056"/>
      <c r="Q1" s="1056"/>
      <c r="R1" s="1055" t="s">
        <v>485</v>
      </c>
      <c r="S1" s="1057"/>
      <c r="T1" s="1057"/>
      <c r="U1" s="1055" t="s">
        <v>486</v>
      </c>
      <c r="V1" s="1056"/>
      <c r="W1" s="1056"/>
    </row>
    <row r="2" spans="1:27" ht="72">
      <c r="A2" s="407" t="s">
        <v>10</v>
      </c>
      <c r="B2" s="407" t="s">
        <v>818</v>
      </c>
      <c r="C2" s="604" t="s">
        <v>11</v>
      </c>
      <c r="D2" s="604" t="s">
        <v>6</v>
      </c>
      <c r="E2" s="604" t="s">
        <v>12</v>
      </c>
      <c r="F2" s="605" t="s">
        <v>29</v>
      </c>
      <c r="G2" s="605" t="s">
        <v>478</v>
      </c>
      <c r="H2" s="606" t="s">
        <v>479</v>
      </c>
      <c r="I2" s="605" t="s">
        <v>480</v>
      </c>
      <c r="J2" s="607" t="s">
        <v>13</v>
      </c>
      <c r="K2" s="605" t="s">
        <v>14</v>
      </c>
      <c r="L2" s="605" t="s">
        <v>481</v>
      </c>
      <c r="M2" s="606" t="s">
        <v>482</v>
      </c>
      <c r="N2" s="606" t="s">
        <v>483</v>
      </c>
      <c r="O2" s="442" t="s">
        <v>22</v>
      </c>
      <c r="P2" s="608" t="s">
        <v>1038</v>
      </c>
      <c r="Q2" s="442" t="s">
        <v>497</v>
      </c>
      <c r="R2" s="407" t="s">
        <v>22</v>
      </c>
      <c r="S2" s="403" t="s">
        <v>23</v>
      </c>
      <c r="T2" s="403" t="s">
        <v>24</v>
      </c>
      <c r="U2" s="407" t="s">
        <v>22</v>
      </c>
      <c r="V2" s="407" t="s">
        <v>23</v>
      </c>
      <c r="W2" s="407" t="s">
        <v>24</v>
      </c>
      <c r="X2" s="604"/>
      <c r="Y2" s="604"/>
      <c r="Z2" s="604"/>
      <c r="AA2" s="604"/>
    </row>
    <row r="3" spans="1:27">
      <c r="A3" s="407">
        <v>1</v>
      </c>
      <c r="B3" s="407">
        <f t="shared" ref="B3:I3" si="0">A3+1</f>
        <v>2</v>
      </c>
      <c r="C3" s="407">
        <f t="shared" si="0"/>
        <v>3</v>
      </c>
      <c r="D3" s="407">
        <f t="shared" si="0"/>
        <v>4</v>
      </c>
      <c r="E3" s="407">
        <f t="shared" si="0"/>
        <v>5</v>
      </c>
      <c r="F3" s="407">
        <f t="shared" si="0"/>
        <v>6</v>
      </c>
      <c r="G3" s="407">
        <f t="shared" si="0"/>
        <v>7</v>
      </c>
      <c r="H3" s="407">
        <f t="shared" si="0"/>
        <v>8</v>
      </c>
      <c r="I3" s="407">
        <f t="shared" si="0"/>
        <v>9</v>
      </c>
      <c r="J3" s="407">
        <f t="shared" ref="J3:W3" si="1">I3+1</f>
        <v>10</v>
      </c>
      <c r="K3" s="407">
        <f t="shared" si="1"/>
        <v>11</v>
      </c>
      <c r="L3" s="407">
        <f t="shared" si="1"/>
        <v>12</v>
      </c>
      <c r="M3" s="407">
        <f t="shared" si="1"/>
        <v>13</v>
      </c>
      <c r="N3" s="407">
        <f t="shared" si="1"/>
        <v>14</v>
      </c>
      <c r="O3" s="407">
        <f t="shared" si="1"/>
        <v>15</v>
      </c>
      <c r="P3" s="407">
        <f t="shared" si="1"/>
        <v>16</v>
      </c>
      <c r="Q3" s="407">
        <f t="shared" si="1"/>
        <v>17</v>
      </c>
      <c r="R3" s="407">
        <f t="shared" si="1"/>
        <v>18</v>
      </c>
      <c r="S3" s="407">
        <f t="shared" si="1"/>
        <v>19</v>
      </c>
      <c r="T3" s="407">
        <f t="shared" si="1"/>
        <v>20</v>
      </c>
      <c r="U3" s="407">
        <f t="shared" si="1"/>
        <v>21</v>
      </c>
      <c r="V3" s="407">
        <f t="shared" si="1"/>
        <v>22</v>
      </c>
      <c r="W3" s="407">
        <f t="shared" si="1"/>
        <v>23</v>
      </c>
    </row>
    <row r="4" spans="1:27">
      <c r="A4" s="446">
        <v>20100801</v>
      </c>
      <c r="B4" s="609" t="s">
        <v>15</v>
      </c>
      <c r="C4" s="610" t="s">
        <v>15</v>
      </c>
      <c r="D4" s="610" t="s">
        <v>190</v>
      </c>
      <c r="E4" s="598" t="str">
        <f t="shared" ref="E4:E35" si="2">A4&amp;D4</f>
        <v>20100801KURSE010</v>
      </c>
      <c r="F4" s="611">
        <v>8.5</v>
      </c>
      <c r="G4" s="612">
        <f>SUM(J4:L4)</f>
        <v>6.8049999999999999E-2</v>
      </c>
      <c r="H4" s="612">
        <f>IF(M4=0,0,SUM(J4:K4,M4))</f>
        <v>0</v>
      </c>
      <c r="I4" s="612">
        <f>IF(N4=0,0,SUM(J4:K4,N4))</f>
        <v>0</v>
      </c>
      <c r="J4" s="613">
        <v>6.8399999999999997E-3</v>
      </c>
      <c r="K4" s="613">
        <v>2.7539999999999999E-2</v>
      </c>
      <c r="L4" s="613">
        <v>3.3670000000000005E-2</v>
      </c>
      <c r="M4" s="613"/>
      <c r="N4" s="613"/>
      <c r="O4" s="611"/>
      <c r="P4" s="611"/>
      <c r="Q4" s="611"/>
      <c r="R4" s="611"/>
      <c r="S4" s="611"/>
      <c r="T4" s="611"/>
      <c r="U4" s="404"/>
      <c r="V4" s="404"/>
      <c r="W4" s="404"/>
    </row>
    <row r="5" spans="1:27">
      <c r="A5" s="614">
        <f>A4</f>
        <v>20100801</v>
      </c>
      <c r="B5" s="609" t="s">
        <v>15</v>
      </c>
      <c r="C5" s="610" t="s">
        <v>15</v>
      </c>
      <c r="D5" s="615" t="s">
        <v>191</v>
      </c>
      <c r="E5" s="598" t="str">
        <f t="shared" si="2"/>
        <v>20100801KURSE020</v>
      </c>
      <c r="F5" s="611">
        <v>8.5</v>
      </c>
      <c r="G5" s="612">
        <f t="shared" ref="G5:G71" si="3">SUM(J5:L5)</f>
        <v>6.8049999999999999E-2</v>
      </c>
      <c r="H5" s="612">
        <f t="shared" ref="H5:H71" si="4">IF(M5=0,0,SUM(J5:K5,M5))</f>
        <v>0</v>
      </c>
      <c r="I5" s="612">
        <f t="shared" ref="I5:I71" si="5">IF(N5=0,0,SUM(J5:K5,N5))</f>
        <v>0</v>
      </c>
      <c r="J5" s="613">
        <v>6.8399999999999997E-3</v>
      </c>
      <c r="K5" s="613">
        <v>2.7539999999999999E-2</v>
      </c>
      <c r="L5" s="613">
        <v>3.3670000000000005E-2</v>
      </c>
      <c r="M5" s="613"/>
      <c r="N5" s="613"/>
      <c r="O5" s="611"/>
      <c r="P5" s="611"/>
      <c r="Q5" s="611"/>
      <c r="R5" s="611"/>
      <c r="S5" s="611"/>
      <c r="T5" s="611"/>
      <c r="U5" s="404"/>
      <c r="V5" s="404"/>
      <c r="W5" s="404"/>
    </row>
    <row r="6" spans="1:27">
      <c r="A6" s="614">
        <f t="shared" ref="A6:A36" si="6">A5</f>
        <v>20100801</v>
      </c>
      <c r="B6" s="609" t="s">
        <v>15</v>
      </c>
      <c r="C6" s="615" t="s">
        <v>223</v>
      </c>
      <c r="D6" s="615" t="s">
        <v>192</v>
      </c>
      <c r="E6" s="598" t="str">
        <f t="shared" si="2"/>
        <v>20100801KURSE025</v>
      </c>
      <c r="F6" s="611">
        <v>8.5</v>
      </c>
      <c r="G6" s="612">
        <f t="shared" si="3"/>
        <v>6.8049999999999999E-2</v>
      </c>
      <c r="H6" s="612">
        <f t="shared" si="4"/>
        <v>0</v>
      </c>
      <c r="I6" s="612">
        <f t="shared" si="5"/>
        <v>0</v>
      </c>
      <c r="J6" s="613">
        <v>6.8399999999999997E-3</v>
      </c>
      <c r="K6" s="613">
        <v>2.7539999999999999E-2</v>
      </c>
      <c r="L6" s="613">
        <v>3.3670000000000005E-2</v>
      </c>
      <c r="M6" s="613"/>
      <c r="N6" s="613"/>
      <c r="O6" s="611"/>
      <c r="P6" s="611"/>
      <c r="Q6" s="611"/>
      <c r="R6" s="611"/>
      <c r="S6" s="611"/>
      <c r="T6" s="611"/>
      <c r="U6" s="404"/>
      <c r="V6" s="404"/>
      <c r="W6" s="404"/>
    </row>
    <row r="7" spans="1:27">
      <c r="A7" s="614">
        <f t="shared" si="6"/>
        <v>20100801</v>
      </c>
      <c r="B7" s="609" t="s">
        <v>810</v>
      </c>
      <c r="C7" s="610" t="s">
        <v>17</v>
      </c>
      <c r="D7" s="615" t="s">
        <v>193</v>
      </c>
      <c r="E7" s="598" t="str">
        <f t="shared" si="2"/>
        <v>20100801KURSE080</v>
      </c>
      <c r="F7" s="611">
        <v>8.5</v>
      </c>
      <c r="G7" s="612">
        <f t="shared" si="3"/>
        <v>6.8049999999999999E-2</v>
      </c>
      <c r="H7" s="612">
        <f t="shared" si="4"/>
        <v>0</v>
      </c>
      <c r="I7" s="612">
        <f t="shared" si="5"/>
        <v>0</v>
      </c>
      <c r="J7" s="613">
        <v>6.8399999999999997E-3</v>
      </c>
      <c r="K7" s="613">
        <v>2.7539999999999999E-2</v>
      </c>
      <c r="L7" s="613">
        <v>3.3670000000000005E-2</v>
      </c>
      <c r="M7" s="613"/>
      <c r="N7" s="613"/>
      <c r="O7" s="611"/>
      <c r="P7" s="611"/>
      <c r="Q7" s="611"/>
      <c r="R7" s="611"/>
      <c r="S7" s="611"/>
      <c r="T7" s="611"/>
      <c r="U7" s="404"/>
      <c r="V7" s="404"/>
      <c r="W7" s="404"/>
    </row>
    <row r="8" spans="1:27">
      <c r="A8" s="614">
        <f t="shared" si="6"/>
        <v>20100801</v>
      </c>
      <c r="B8" s="609" t="s">
        <v>15</v>
      </c>
      <c r="C8" s="610" t="s">
        <v>16</v>
      </c>
      <c r="D8" s="615" t="s">
        <v>194</v>
      </c>
      <c r="E8" s="598" t="str">
        <f t="shared" si="2"/>
        <v>20100801KURSE715</v>
      </c>
      <c r="F8" s="611">
        <v>8.5</v>
      </c>
      <c r="G8" s="612">
        <f t="shared" si="3"/>
        <v>6.8049999999999999E-2</v>
      </c>
      <c r="H8" s="612">
        <f t="shared" si="4"/>
        <v>0</v>
      </c>
      <c r="I8" s="612">
        <f t="shared" si="5"/>
        <v>0</v>
      </c>
      <c r="J8" s="613">
        <v>6.8399999999999997E-3</v>
      </c>
      <c r="K8" s="613">
        <v>2.7539999999999999E-2</v>
      </c>
      <c r="L8" s="613">
        <v>3.3670000000000005E-2</v>
      </c>
      <c r="M8" s="613"/>
      <c r="N8" s="613"/>
      <c r="O8" s="611"/>
      <c r="P8" s="611"/>
      <c r="Q8" s="611"/>
      <c r="R8" s="611"/>
      <c r="S8" s="611"/>
      <c r="T8" s="611"/>
      <c r="U8" s="404"/>
      <c r="V8" s="404"/>
      <c r="W8" s="404"/>
    </row>
    <row r="9" spans="1:27">
      <c r="A9" s="614">
        <f t="shared" si="6"/>
        <v>20100801</v>
      </c>
      <c r="B9" s="609" t="s">
        <v>1259</v>
      </c>
      <c r="C9" s="610" t="s">
        <v>222</v>
      </c>
      <c r="D9" s="615" t="s">
        <v>477</v>
      </c>
      <c r="E9" s="598" t="str">
        <f t="shared" si="2"/>
        <v>20100801KURSE040</v>
      </c>
      <c r="F9" s="611">
        <v>8.5</v>
      </c>
      <c r="G9" s="612">
        <f t="shared" si="3"/>
        <v>4.7219999999999998E-2</v>
      </c>
      <c r="H9" s="612">
        <f t="shared" si="4"/>
        <v>6.8230000000000013E-2</v>
      </c>
      <c r="I9" s="612">
        <f t="shared" si="5"/>
        <v>0.13133</v>
      </c>
      <c r="J9" s="613">
        <f>$J8</f>
        <v>6.8399999999999997E-3</v>
      </c>
      <c r="K9" s="613">
        <f>K8</f>
        <v>2.7539999999999999E-2</v>
      </c>
      <c r="L9" s="613">
        <v>1.2840000000000001E-2</v>
      </c>
      <c r="M9" s="613">
        <v>3.3850000000000005E-2</v>
      </c>
      <c r="N9" s="613">
        <v>9.6950000000000008E-2</v>
      </c>
      <c r="O9" s="611"/>
      <c r="P9" s="611"/>
      <c r="Q9" s="611"/>
      <c r="R9" s="611"/>
      <c r="S9" s="611"/>
      <c r="T9" s="611"/>
      <c r="U9" s="404"/>
      <c r="V9" s="404"/>
      <c r="W9" s="404"/>
    </row>
    <row r="10" spans="1:27">
      <c r="A10" s="614">
        <f t="shared" si="6"/>
        <v>20100801</v>
      </c>
      <c r="B10" s="609" t="s">
        <v>224</v>
      </c>
      <c r="C10" s="610" t="s">
        <v>224</v>
      </c>
      <c r="D10" s="610" t="s">
        <v>177</v>
      </c>
      <c r="E10" s="598" t="str">
        <f t="shared" si="2"/>
        <v>20100801KUCME110</v>
      </c>
      <c r="F10" s="611">
        <v>17.5</v>
      </c>
      <c r="G10" s="612">
        <f t="shared" si="3"/>
        <v>7.7960000000000015E-2</v>
      </c>
      <c r="H10" s="612">
        <f t="shared" si="4"/>
        <v>0</v>
      </c>
      <c r="I10" s="612">
        <f t="shared" si="5"/>
        <v>0</v>
      </c>
      <c r="J10" s="613">
        <v>7.9299999999999995E-3</v>
      </c>
      <c r="K10" s="613">
        <v>2.7539999999999999E-2</v>
      </c>
      <c r="L10" s="613">
        <v>4.2490000000000014E-2</v>
      </c>
      <c r="M10" s="613"/>
      <c r="N10" s="613"/>
      <c r="O10" s="611"/>
      <c r="P10" s="611"/>
      <c r="Q10" s="611"/>
      <c r="R10" s="611"/>
      <c r="S10" s="611"/>
      <c r="T10" s="611"/>
      <c r="U10" s="404"/>
      <c r="V10" s="404"/>
      <c r="W10" s="404"/>
    </row>
    <row r="11" spans="1:27">
      <c r="A11" s="614">
        <f t="shared" si="6"/>
        <v>20100801</v>
      </c>
      <c r="B11" s="609" t="s">
        <v>224</v>
      </c>
      <c r="C11" s="610" t="s">
        <v>224</v>
      </c>
      <c r="D11" s="615" t="s">
        <v>178</v>
      </c>
      <c r="E11" s="598" t="str">
        <f t="shared" si="2"/>
        <v>20100801KUCME112</v>
      </c>
      <c r="F11" s="611">
        <v>17.5</v>
      </c>
      <c r="G11" s="612">
        <f t="shared" si="3"/>
        <v>7.7960000000000015E-2</v>
      </c>
      <c r="H11" s="612">
        <f t="shared" si="4"/>
        <v>0</v>
      </c>
      <c r="I11" s="612">
        <f t="shared" si="5"/>
        <v>0</v>
      </c>
      <c r="J11" s="613">
        <v>7.9299999999999995E-3</v>
      </c>
      <c r="K11" s="613">
        <v>2.7539999999999999E-2</v>
      </c>
      <c r="L11" s="613">
        <v>4.2490000000000014E-2</v>
      </c>
      <c r="M11" s="613"/>
      <c r="N11" s="613"/>
      <c r="O11" s="611"/>
      <c r="P11" s="611"/>
      <c r="Q11" s="611"/>
      <c r="R11" s="611"/>
      <c r="S11" s="611"/>
      <c r="T11" s="611"/>
      <c r="U11" s="404"/>
      <c r="V11" s="404"/>
      <c r="W11" s="404"/>
    </row>
    <row r="12" spans="1:27">
      <c r="A12" s="614">
        <f t="shared" si="6"/>
        <v>20100801</v>
      </c>
      <c r="B12" s="609" t="s">
        <v>224</v>
      </c>
      <c r="C12" s="610" t="s">
        <v>225</v>
      </c>
      <c r="D12" s="610" t="s">
        <v>185</v>
      </c>
      <c r="E12" s="598" t="str">
        <f t="shared" si="2"/>
        <v>20100801KUCME710</v>
      </c>
      <c r="F12" s="611">
        <v>17.5</v>
      </c>
      <c r="G12" s="612">
        <f t="shared" si="3"/>
        <v>7.7960000000000015E-2</v>
      </c>
      <c r="H12" s="612">
        <f t="shared" si="4"/>
        <v>0</v>
      </c>
      <c r="I12" s="612">
        <f t="shared" si="5"/>
        <v>0</v>
      </c>
      <c r="J12" s="613">
        <v>7.9299999999999995E-3</v>
      </c>
      <c r="K12" s="613">
        <v>2.7539999999999999E-2</v>
      </c>
      <c r="L12" s="613">
        <v>4.2490000000000014E-2</v>
      </c>
      <c r="M12" s="613"/>
      <c r="N12" s="613"/>
      <c r="O12" s="611"/>
      <c r="P12" s="611"/>
      <c r="Q12" s="611"/>
      <c r="R12" s="611"/>
      <c r="S12" s="611"/>
      <c r="T12" s="611"/>
      <c r="U12" s="404"/>
      <c r="V12" s="404"/>
      <c r="W12" s="404"/>
    </row>
    <row r="13" spans="1:27">
      <c r="A13" s="614">
        <f t="shared" si="6"/>
        <v>20100801</v>
      </c>
      <c r="B13" s="616" t="s">
        <v>18</v>
      </c>
      <c r="C13" s="610" t="s">
        <v>18</v>
      </c>
      <c r="D13" s="615" t="s">
        <v>179</v>
      </c>
      <c r="E13" s="598" t="str">
        <f t="shared" si="2"/>
        <v>20100801KUCME113</v>
      </c>
      <c r="F13" s="611">
        <v>32.5</v>
      </c>
      <c r="G13" s="612">
        <f t="shared" si="3"/>
        <v>7.7960000000000015E-2</v>
      </c>
      <c r="H13" s="612">
        <f t="shared" si="4"/>
        <v>0</v>
      </c>
      <c r="I13" s="612">
        <f t="shared" si="5"/>
        <v>0</v>
      </c>
      <c r="J13" s="613">
        <v>7.9299999999999995E-3</v>
      </c>
      <c r="K13" s="613">
        <v>2.7539999999999999E-2</v>
      </c>
      <c r="L13" s="613">
        <v>4.2490000000000014E-2</v>
      </c>
      <c r="M13" s="613"/>
      <c r="N13" s="613"/>
      <c r="O13" s="611"/>
      <c r="P13" s="611"/>
      <c r="Q13" s="611"/>
      <c r="R13" s="611"/>
      <c r="S13" s="611"/>
      <c r="T13" s="611"/>
      <c r="U13" s="404"/>
      <c r="V13" s="404"/>
      <c r="W13" s="404"/>
    </row>
    <row r="14" spans="1:27">
      <c r="A14" s="614">
        <f t="shared" si="6"/>
        <v>20100801</v>
      </c>
      <c r="B14" s="609" t="s">
        <v>224</v>
      </c>
      <c r="C14" s="610" t="s">
        <v>226</v>
      </c>
      <c r="D14" s="615" t="s">
        <v>186</v>
      </c>
      <c r="E14" s="598" t="str">
        <f t="shared" si="2"/>
        <v>20100801KUCME713</v>
      </c>
      <c r="F14" s="611">
        <v>32.5</v>
      </c>
      <c r="G14" s="612">
        <f t="shared" si="3"/>
        <v>7.7960000000000015E-2</v>
      </c>
      <c r="H14" s="612">
        <f t="shared" si="4"/>
        <v>0</v>
      </c>
      <c r="I14" s="612">
        <f t="shared" si="5"/>
        <v>0</v>
      </c>
      <c r="J14" s="613">
        <v>7.9299999999999995E-3</v>
      </c>
      <c r="K14" s="613">
        <v>2.7539999999999999E-2</v>
      </c>
      <c r="L14" s="613">
        <v>4.2490000000000014E-2</v>
      </c>
      <c r="M14" s="613"/>
      <c r="N14" s="613"/>
      <c r="O14" s="611"/>
      <c r="P14" s="611"/>
      <c r="Q14" s="611"/>
      <c r="R14" s="611"/>
      <c r="S14" s="611"/>
      <c r="T14" s="611"/>
      <c r="U14" s="404"/>
      <c r="V14" s="404"/>
      <c r="W14" s="404"/>
    </row>
    <row r="15" spans="1:27">
      <c r="A15" s="614">
        <f t="shared" si="6"/>
        <v>20100801</v>
      </c>
      <c r="B15" s="609" t="s">
        <v>219</v>
      </c>
      <c r="C15" s="610" t="s">
        <v>219</v>
      </c>
      <c r="D15" s="610" t="s">
        <v>180</v>
      </c>
      <c r="E15" s="598" t="str">
        <f t="shared" si="2"/>
        <v>20100801KUCME220</v>
      </c>
      <c r="F15" s="611">
        <v>17.5</v>
      </c>
      <c r="G15" s="612">
        <f t="shared" si="3"/>
        <v>6.7059999999999995E-2</v>
      </c>
      <c r="H15" s="612">
        <f t="shared" si="4"/>
        <v>0</v>
      </c>
      <c r="I15" s="612">
        <f t="shared" si="5"/>
        <v>0</v>
      </c>
      <c r="J15" s="613">
        <v>7.9299999999999995E-3</v>
      </c>
      <c r="K15" s="613">
        <v>2.7539999999999999E-2</v>
      </c>
      <c r="L15" s="613">
        <v>3.1589999999999993E-2</v>
      </c>
      <c r="M15" s="613"/>
      <c r="N15" s="613"/>
      <c r="O15" s="611"/>
      <c r="P15" s="611"/>
      <c r="Q15" s="611"/>
      <c r="R15" s="611"/>
      <c r="S15" s="611"/>
      <c r="T15" s="611"/>
      <c r="U15" s="404"/>
      <c r="V15" s="404"/>
      <c r="W15" s="404"/>
    </row>
    <row r="16" spans="1:27">
      <c r="A16" s="614">
        <f t="shared" si="6"/>
        <v>20100801</v>
      </c>
      <c r="B16" s="609" t="s">
        <v>219</v>
      </c>
      <c r="C16" s="610" t="s">
        <v>227</v>
      </c>
      <c r="D16" s="610" t="s">
        <v>181</v>
      </c>
      <c r="E16" s="598" t="str">
        <f t="shared" si="2"/>
        <v>20100801KUCME221</v>
      </c>
      <c r="F16" s="611">
        <v>17.5</v>
      </c>
      <c r="G16" s="612">
        <f t="shared" si="3"/>
        <v>6.7059999999999995E-2</v>
      </c>
      <c r="H16" s="612">
        <f t="shared" si="4"/>
        <v>0</v>
      </c>
      <c r="I16" s="612">
        <f t="shared" si="5"/>
        <v>0</v>
      </c>
      <c r="J16" s="613">
        <v>7.9299999999999995E-3</v>
      </c>
      <c r="K16" s="613">
        <v>2.7539999999999999E-2</v>
      </c>
      <c r="L16" s="613">
        <v>3.1589999999999993E-2</v>
      </c>
      <c r="M16" s="613"/>
      <c r="N16" s="613"/>
      <c r="O16" s="611"/>
      <c r="P16" s="611"/>
      <c r="Q16" s="611"/>
      <c r="R16" s="611"/>
      <c r="S16" s="611"/>
      <c r="T16" s="611"/>
      <c r="U16" s="404"/>
      <c r="V16" s="404"/>
      <c r="W16" s="404"/>
    </row>
    <row r="17" spans="1:23">
      <c r="A17" s="614">
        <f t="shared" si="6"/>
        <v>20100801</v>
      </c>
      <c r="B17" s="609" t="s">
        <v>219</v>
      </c>
      <c r="C17" s="610" t="s">
        <v>228</v>
      </c>
      <c r="D17" s="610" t="s">
        <v>182</v>
      </c>
      <c r="E17" s="598" t="str">
        <f t="shared" si="2"/>
        <v>20100801KUCME223</v>
      </c>
      <c r="F17" s="611">
        <v>32.5</v>
      </c>
      <c r="G17" s="612">
        <f t="shared" si="3"/>
        <v>6.7059999999999995E-2</v>
      </c>
      <c r="H17" s="612">
        <f t="shared" si="4"/>
        <v>0</v>
      </c>
      <c r="I17" s="612">
        <f t="shared" si="5"/>
        <v>0</v>
      </c>
      <c r="J17" s="613">
        <v>7.9299999999999995E-3</v>
      </c>
      <c r="K17" s="613">
        <v>2.7539999999999999E-2</v>
      </c>
      <c r="L17" s="613">
        <v>3.1589999999999993E-2</v>
      </c>
      <c r="M17" s="613"/>
      <c r="N17" s="613"/>
      <c r="O17" s="611"/>
      <c r="P17" s="611"/>
      <c r="Q17" s="611"/>
      <c r="R17" s="611"/>
      <c r="S17" s="611"/>
      <c r="T17" s="611"/>
      <c r="U17" s="404"/>
      <c r="V17" s="404"/>
      <c r="W17" s="404"/>
    </row>
    <row r="18" spans="1:23">
      <c r="A18" s="614">
        <f>A16</f>
        <v>20100801</v>
      </c>
      <c r="B18" s="609" t="s">
        <v>219</v>
      </c>
      <c r="C18" s="610" t="s">
        <v>229</v>
      </c>
      <c r="D18" s="610" t="s">
        <v>183</v>
      </c>
      <c r="E18" s="598" t="str">
        <f t="shared" si="2"/>
        <v>20100801KUCME224</v>
      </c>
      <c r="F18" s="611">
        <v>32.5</v>
      </c>
      <c r="G18" s="612">
        <f>SUM(J18:L18)</f>
        <v>6.7059999999999995E-2</v>
      </c>
      <c r="H18" s="612">
        <f>IF(M18=0,0,SUM(J18:K18,M18))</f>
        <v>0</v>
      </c>
      <c r="I18" s="612">
        <f>IF(N18=0,0,SUM(J18:K18,N18))</f>
        <v>0</v>
      </c>
      <c r="J18" s="613">
        <v>7.9299999999999995E-3</v>
      </c>
      <c r="K18" s="613">
        <v>2.7539999999999999E-2</v>
      </c>
      <c r="L18" s="613">
        <v>3.1589999999999993E-2</v>
      </c>
      <c r="M18" s="613"/>
      <c r="N18" s="613"/>
      <c r="O18" s="611"/>
      <c r="P18" s="611"/>
      <c r="Q18" s="611"/>
      <c r="R18" s="611"/>
      <c r="S18" s="611"/>
      <c r="T18" s="611"/>
      <c r="U18" s="404"/>
      <c r="V18" s="404"/>
      <c r="W18" s="404"/>
    </row>
    <row r="19" spans="1:23">
      <c r="A19" s="614">
        <f>A16</f>
        <v>20100801</v>
      </c>
      <c r="B19" s="609" t="s">
        <v>219</v>
      </c>
      <c r="C19" s="615" t="s">
        <v>228</v>
      </c>
      <c r="D19" s="615" t="s">
        <v>720</v>
      </c>
      <c r="E19" s="598" t="str">
        <f t="shared" si="2"/>
        <v>20100801KUCME225</v>
      </c>
      <c r="F19" s="611">
        <v>32.5</v>
      </c>
      <c r="G19" s="612">
        <f>SUM(J19:L19)</f>
        <v>6.7059999999999995E-2</v>
      </c>
      <c r="H19" s="612">
        <f>IF(M19=0,0,SUM(J19:K19,M19))</f>
        <v>0</v>
      </c>
      <c r="I19" s="612">
        <f>IF(N19=0,0,SUM(J19:K19,N19))</f>
        <v>0</v>
      </c>
      <c r="J19" s="613">
        <v>7.9299999999999995E-3</v>
      </c>
      <c r="K19" s="613">
        <v>2.7539999999999999E-2</v>
      </c>
      <c r="L19" s="613">
        <v>3.1589999999999993E-2</v>
      </c>
      <c r="M19" s="613"/>
      <c r="N19" s="613"/>
      <c r="O19" s="611"/>
      <c r="P19" s="611"/>
      <c r="Q19" s="611"/>
      <c r="R19" s="611"/>
      <c r="S19" s="611"/>
      <c r="T19" s="611"/>
      <c r="U19" s="404"/>
      <c r="V19" s="404"/>
      <c r="W19" s="404"/>
    </row>
    <row r="20" spans="1:23">
      <c r="A20" s="614">
        <f>A16</f>
        <v>20100801</v>
      </c>
      <c r="B20" s="609" t="s">
        <v>219</v>
      </c>
      <c r="C20" s="617" t="s">
        <v>744</v>
      </c>
      <c r="D20" s="615" t="s">
        <v>721</v>
      </c>
      <c r="E20" s="598" t="str">
        <f t="shared" si="2"/>
        <v>20100801KUCME226</v>
      </c>
      <c r="F20" s="611">
        <v>17.5</v>
      </c>
      <c r="G20" s="612">
        <f>SUM(J20:L20)</f>
        <v>6.7059999999999995E-2</v>
      </c>
      <c r="H20" s="612">
        <f>IF(M20=0,0,SUM(J20:K20,M20))</f>
        <v>0</v>
      </c>
      <c r="I20" s="612">
        <f>IF(N20=0,0,SUM(J20:K20,N20))</f>
        <v>0</v>
      </c>
      <c r="J20" s="613">
        <v>7.9299999999999995E-3</v>
      </c>
      <c r="K20" s="613">
        <v>2.7539999999999999E-2</v>
      </c>
      <c r="L20" s="613">
        <v>3.1589999999999993E-2</v>
      </c>
      <c r="M20" s="613"/>
      <c r="N20" s="613"/>
      <c r="O20" s="611"/>
      <c r="P20" s="611"/>
      <c r="Q20" s="611"/>
      <c r="R20" s="611"/>
      <c r="S20" s="611"/>
      <c r="T20" s="611"/>
      <c r="U20" s="404"/>
      <c r="V20" s="404"/>
      <c r="W20" s="404"/>
    </row>
    <row r="21" spans="1:23">
      <c r="A21" s="614">
        <f>A17</f>
        <v>20100801</v>
      </c>
      <c r="B21" s="609" t="s">
        <v>219</v>
      </c>
      <c r="C21" s="615" t="s">
        <v>757</v>
      </c>
      <c r="D21" s="615" t="s">
        <v>722</v>
      </c>
      <c r="E21" s="598" t="str">
        <f t="shared" si="2"/>
        <v>20100801KUCME227</v>
      </c>
      <c r="F21" s="611">
        <v>32.5</v>
      </c>
      <c r="G21" s="612">
        <f t="shared" si="3"/>
        <v>6.7059999999999995E-2</v>
      </c>
      <c r="H21" s="612">
        <f t="shared" si="4"/>
        <v>0</v>
      </c>
      <c r="I21" s="612">
        <f t="shared" si="5"/>
        <v>0</v>
      </c>
      <c r="J21" s="613">
        <v>7.9299999999999995E-3</v>
      </c>
      <c r="K21" s="613">
        <v>2.7539999999999999E-2</v>
      </c>
      <c r="L21" s="613">
        <v>3.1589999999999993E-2</v>
      </c>
      <c r="M21" s="613"/>
      <c r="N21" s="613"/>
      <c r="O21" s="611"/>
      <c r="P21" s="611"/>
      <c r="Q21" s="611"/>
      <c r="R21" s="611"/>
      <c r="S21" s="611"/>
      <c r="T21" s="611"/>
      <c r="U21" s="404"/>
      <c r="V21" s="404"/>
      <c r="W21" s="404"/>
    </row>
    <row r="22" spans="1:23">
      <c r="A22" s="614">
        <f t="shared" si="6"/>
        <v>20100801</v>
      </c>
      <c r="B22" s="609" t="s">
        <v>26</v>
      </c>
      <c r="C22" s="610" t="s">
        <v>26</v>
      </c>
      <c r="D22" s="615" t="s">
        <v>169</v>
      </c>
      <c r="E22" s="598" t="str">
        <f t="shared" si="2"/>
        <v>20100801KUCIE561</v>
      </c>
      <c r="F22" s="611">
        <v>90</v>
      </c>
      <c r="G22" s="612">
        <f t="shared" si="3"/>
        <v>3.3860000000000001E-2</v>
      </c>
      <c r="H22" s="612">
        <f t="shared" si="4"/>
        <v>0</v>
      </c>
      <c r="I22" s="612">
        <f t="shared" si="5"/>
        <v>0</v>
      </c>
      <c r="J22" s="613"/>
      <c r="K22" s="613">
        <v>2.7539999999999999E-2</v>
      </c>
      <c r="L22" s="613">
        <v>6.3200000000000027E-3</v>
      </c>
      <c r="M22" s="613"/>
      <c r="N22" s="613"/>
      <c r="O22" s="613"/>
      <c r="P22" s="611">
        <v>10.33</v>
      </c>
      <c r="Q22" s="611">
        <v>12.6</v>
      </c>
      <c r="R22" s="611"/>
      <c r="S22" s="611">
        <v>2.2799999999999998</v>
      </c>
      <c r="T22" s="611">
        <f>$S22</f>
        <v>2.2799999999999998</v>
      </c>
      <c r="U22" s="404">
        <f t="shared" ref="U22:W37" si="7">O22-R22</f>
        <v>0</v>
      </c>
      <c r="V22" s="404">
        <f>P22-S22</f>
        <v>8.0500000000000007</v>
      </c>
      <c r="W22" s="404">
        <f t="shared" si="7"/>
        <v>10.32</v>
      </c>
    </row>
    <row r="23" spans="1:23">
      <c r="A23" s="614">
        <f t="shared" si="6"/>
        <v>20100801</v>
      </c>
      <c r="B23" s="609" t="s">
        <v>26</v>
      </c>
      <c r="C23" s="610" t="s">
        <v>26</v>
      </c>
      <c r="D23" s="615" t="s">
        <v>172</v>
      </c>
      <c r="E23" s="598" t="str">
        <f t="shared" si="2"/>
        <v>20100801KUCIE566</v>
      </c>
      <c r="F23" s="611">
        <v>90</v>
      </c>
      <c r="G23" s="612">
        <f t="shared" si="3"/>
        <v>3.3860000000000001E-2</v>
      </c>
      <c r="H23" s="612">
        <f t="shared" si="4"/>
        <v>0</v>
      </c>
      <c r="I23" s="612">
        <f t="shared" si="5"/>
        <v>0</v>
      </c>
      <c r="J23" s="613"/>
      <c r="K23" s="613">
        <v>2.7539999999999999E-2</v>
      </c>
      <c r="L23" s="613">
        <v>6.3200000000000001E-3</v>
      </c>
      <c r="M23" s="613"/>
      <c r="N23" s="613"/>
      <c r="O23" s="613"/>
      <c r="P23" s="611">
        <v>10.33</v>
      </c>
      <c r="Q23" s="611">
        <v>12.6</v>
      </c>
      <c r="R23" s="611"/>
      <c r="S23" s="611">
        <v>2.2799999999999998</v>
      </c>
      <c r="T23" s="611">
        <f>$S23</f>
        <v>2.2799999999999998</v>
      </c>
      <c r="U23" s="404">
        <f t="shared" si="7"/>
        <v>0</v>
      </c>
      <c r="V23" s="404">
        <f t="shared" si="7"/>
        <v>8.0500000000000007</v>
      </c>
      <c r="W23" s="404">
        <f t="shared" si="7"/>
        <v>10.32</v>
      </c>
    </row>
    <row r="24" spans="1:23">
      <c r="A24" s="614">
        <f t="shared" si="6"/>
        <v>20100801</v>
      </c>
      <c r="B24" s="609" t="s">
        <v>25</v>
      </c>
      <c r="C24" s="610" t="s">
        <v>25</v>
      </c>
      <c r="D24" s="617" t="s">
        <v>170</v>
      </c>
      <c r="E24" s="598" t="str">
        <f t="shared" si="2"/>
        <v>20100801KUCIE562</v>
      </c>
      <c r="F24" s="611">
        <v>90</v>
      </c>
      <c r="G24" s="612">
        <f t="shared" si="3"/>
        <v>3.3860000000000001E-2</v>
      </c>
      <c r="H24" s="612">
        <f t="shared" si="4"/>
        <v>0</v>
      </c>
      <c r="I24" s="612">
        <f t="shared" si="5"/>
        <v>0</v>
      </c>
      <c r="J24" s="613"/>
      <c r="K24" s="613">
        <v>2.7539999999999999E-2</v>
      </c>
      <c r="L24" s="613">
        <v>6.3200000000000001E-3</v>
      </c>
      <c r="M24" s="613"/>
      <c r="N24" s="613"/>
      <c r="O24" s="613"/>
      <c r="P24" s="611">
        <v>10.53</v>
      </c>
      <c r="Q24" s="611">
        <v>12.78</v>
      </c>
      <c r="R24" s="611"/>
      <c r="S24" s="611">
        <v>2.2799999999999998</v>
      </c>
      <c r="T24" s="611">
        <f>$S24</f>
        <v>2.2799999999999998</v>
      </c>
      <c r="U24" s="404">
        <f t="shared" si="7"/>
        <v>0</v>
      </c>
      <c r="V24" s="404">
        <f t="shared" si="7"/>
        <v>8.25</v>
      </c>
      <c r="W24" s="404">
        <f t="shared" si="7"/>
        <v>10.5</v>
      </c>
    </row>
    <row r="25" spans="1:23">
      <c r="A25" s="614">
        <f t="shared" si="6"/>
        <v>20100801</v>
      </c>
      <c r="B25" s="609" t="s">
        <v>25</v>
      </c>
      <c r="C25" s="610" t="s">
        <v>25</v>
      </c>
      <c r="D25" s="610" t="s">
        <v>173</v>
      </c>
      <c r="E25" s="598" t="str">
        <f t="shared" si="2"/>
        <v>20100801KUCIE568</v>
      </c>
      <c r="F25" s="611">
        <v>90</v>
      </c>
      <c r="G25" s="612">
        <f t="shared" si="3"/>
        <v>3.3860000000000001E-2</v>
      </c>
      <c r="H25" s="612">
        <f t="shared" si="4"/>
        <v>0</v>
      </c>
      <c r="I25" s="612">
        <f t="shared" si="5"/>
        <v>0</v>
      </c>
      <c r="J25" s="613"/>
      <c r="K25" s="613">
        <v>2.7539999999999999E-2</v>
      </c>
      <c r="L25" s="613">
        <v>6.3200000000000001E-3</v>
      </c>
      <c r="M25" s="613"/>
      <c r="N25" s="613"/>
      <c r="O25" s="613"/>
      <c r="P25" s="611">
        <v>10.53</v>
      </c>
      <c r="Q25" s="611">
        <v>12.78</v>
      </c>
      <c r="R25" s="611"/>
      <c r="S25" s="611">
        <v>2.2799999999999998</v>
      </c>
      <c r="T25" s="611">
        <f>$S25</f>
        <v>2.2799999999999998</v>
      </c>
      <c r="U25" s="404">
        <f t="shared" si="7"/>
        <v>0</v>
      </c>
      <c r="V25" s="404">
        <f t="shared" si="7"/>
        <v>8.25</v>
      </c>
      <c r="W25" s="404">
        <f t="shared" si="7"/>
        <v>10.5</v>
      </c>
    </row>
    <row r="26" spans="1:23">
      <c r="A26" s="614">
        <f t="shared" si="6"/>
        <v>20100801</v>
      </c>
      <c r="B26" s="609" t="s">
        <v>25</v>
      </c>
      <c r="C26" s="610" t="s">
        <v>230</v>
      </c>
      <c r="D26" s="610" t="s">
        <v>176</v>
      </c>
      <c r="E26" s="598" t="str">
        <f t="shared" si="2"/>
        <v>20100801KUCIE717</v>
      </c>
      <c r="F26" s="611">
        <v>90</v>
      </c>
      <c r="G26" s="612">
        <f t="shared" si="3"/>
        <v>3.3860000000000001E-2</v>
      </c>
      <c r="H26" s="612">
        <f t="shared" si="4"/>
        <v>0</v>
      </c>
      <c r="I26" s="612">
        <f t="shared" si="5"/>
        <v>0</v>
      </c>
      <c r="J26" s="613"/>
      <c r="K26" s="613">
        <v>2.7539999999999999E-2</v>
      </c>
      <c r="L26" s="613">
        <v>6.3200000000000001E-3</v>
      </c>
      <c r="M26" s="613"/>
      <c r="N26" s="613"/>
      <c r="O26" s="613"/>
      <c r="P26" s="611">
        <v>10.53</v>
      </c>
      <c r="Q26" s="611">
        <v>12.78</v>
      </c>
      <c r="R26" s="611"/>
      <c r="S26" s="611">
        <v>2.2799999999999998</v>
      </c>
      <c r="T26" s="611">
        <f>$S26</f>
        <v>2.2799999999999998</v>
      </c>
      <c r="U26" s="404">
        <f t="shared" si="7"/>
        <v>0</v>
      </c>
      <c r="V26" s="404">
        <f t="shared" si="7"/>
        <v>8.25</v>
      </c>
      <c r="W26" s="404">
        <f t="shared" si="7"/>
        <v>10.5</v>
      </c>
    </row>
    <row r="27" spans="1:23">
      <c r="A27" s="614">
        <f t="shared" si="6"/>
        <v>20100801</v>
      </c>
      <c r="B27" s="609" t="s">
        <v>221</v>
      </c>
      <c r="C27" s="610" t="s">
        <v>221</v>
      </c>
      <c r="D27" s="610" t="s">
        <v>171</v>
      </c>
      <c r="E27" s="598" t="str">
        <f t="shared" si="2"/>
        <v>20100801KUCIE563</v>
      </c>
      <c r="F27" s="611">
        <v>300</v>
      </c>
      <c r="G27" s="612">
        <f t="shared" si="3"/>
        <v>3.6080000000000001E-2</v>
      </c>
      <c r="H27" s="612">
        <f t="shared" si="4"/>
        <v>0</v>
      </c>
      <c r="I27" s="612">
        <f t="shared" si="5"/>
        <v>0</v>
      </c>
      <c r="J27" s="613"/>
      <c r="K27" s="613">
        <v>2.7539999999999999E-2</v>
      </c>
      <c r="L27" s="613">
        <v>8.5400000000000025E-3</v>
      </c>
      <c r="M27" s="613"/>
      <c r="N27" s="613"/>
      <c r="O27" s="611">
        <v>1.7</v>
      </c>
      <c r="P27" s="611">
        <v>2.73</v>
      </c>
      <c r="Q27" s="611">
        <v>4.09</v>
      </c>
      <c r="R27" s="611">
        <v>1.21</v>
      </c>
      <c r="S27" s="404">
        <f t="shared" ref="S27:S32" si="8">R27</f>
        <v>1.21</v>
      </c>
      <c r="T27" s="404">
        <f t="shared" ref="T27:T32" si="9">R27</f>
        <v>1.21</v>
      </c>
      <c r="U27" s="404">
        <f t="shared" si="7"/>
        <v>0.49</v>
      </c>
      <c r="V27" s="404">
        <f t="shared" si="7"/>
        <v>1.52</v>
      </c>
      <c r="W27" s="404">
        <f t="shared" si="7"/>
        <v>2.88</v>
      </c>
    </row>
    <row r="28" spans="1:23">
      <c r="A28" s="614">
        <f t="shared" si="6"/>
        <v>20100801</v>
      </c>
      <c r="B28" s="609" t="s">
        <v>221</v>
      </c>
      <c r="C28" s="610" t="s">
        <v>221</v>
      </c>
      <c r="D28" s="610" t="s">
        <v>174</v>
      </c>
      <c r="E28" s="598" t="str">
        <f t="shared" si="2"/>
        <v>20100801KUCIE571</v>
      </c>
      <c r="F28" s="611">
        <v>300</v>
      </c>
      <c r="G28" s="612">
        <f t="shared" si="3"/>
        <v>3.6080000000000001E-2</v>
      </c>
      <c r="H28" s="612">
        <f t="shared" si="4"/>
        <v>0</v>
      </c>
      <c r="I28" s="612">
        <f t="shared" si="5"/>
        <v>0</v>
      </c>
      <c r="J28" s="613"/>
      <c r="K28" s="613">
        <v>2.7539999999999999E-2</v>
      </c>
      <c r="L28" s="613">
        <v>8.5400000000000007E-3</v>
      </c>
      <c r="M28" s="613"/>
      <c r="N28" s="613"/>
      <c r="O28" s="611">
        <v>1.7</v>
      </c>
      <c r="P28" s="611">
        <v>2.73</v>
      </c>
      <c r="Q28" s="611">
        <v>4.09</v>
      </c>
      <c r="R28" s="611">
        <v>1.21</v>
      </c>
      <c r="S28" s="404">
        <f t="shared" si="8"/>
        <v>1.21</v>
      </c>
      <c r="T28" s="404">
        <f t="shared" si="9"/>
        <v>1.21</v>
      </c>
      <c r="U28" s="404">
        <f t="shared" si="7"/>
        <v>0.49</v>
      </c>
      <c r="V28" s="404">
        <f t="shared" si="7"/>
        <v>1.52</v>
      </c>
      <c r="W28" s="404">
        <f t="shared" si="7"/>
        <v>2.88</v>
      </c>
    </row>
    <row r="29" spans="1:23">
      <c r="A29" s="614">
        <f t="shared" si="6"/>
        <v>20100801</v>
      </c>
      <c r="B29" s="609" t="s">
        <v>220</v>
      </c>
      <c r="C29" s="610" t="s">
        <v>220</v>
      </c>
      <c r="D29" s="610" t="s">
        <v>175</v>
      </c>
      <c r="E29" s="598" t="str">
        <f t="shared" si="2"/>
        <v>20100801KUCIE572</v>
      </c>
      <c r="F29" s="611">
        <v>200</v>
      </c>
      <c r="G29" s="612">
        <f t="shared" si="3"/>
        <v>3.576E-2</v>
      </c>
      <c r="H29" s="612">
        <f t="shared" si="4"/>
        <v>0</v>
      </c>
      <c r="I29" s="612">
        <f t="shared" si="5"/>
        <v>0</v>
      </c>
      <c r="J29" s="613"/>
      <c r="K29" s="613">
        <v>2.7539999999999999E-2</v>
      </c>
      <c r="L29" s="613">
        <v>8.2200000000000016E-3</v>
      </c>
      <c r="M29" s="613"/>
      <c r="N29" s="613"/>
      <c r="O29" s="611">
        <v>3.53</v>
      </c>
      <c r="P29" s="611">
        <v>2.91</v>
      </c>
      <c r="Q29" s="611">
        <v>4.37</v>
      </c>
      <c r="R29" s="611">
        <v>1.21</v>
      </c>
      <c r="S29" s="404">
        <f t="shared" si="8"/>
        <v>1.21</v>
      </c>
      <c r="T29" s="404">
        <f t="shared" si="9"/>
        <v>1.21</v>
      </c>
      <c r="U29" s="404">
        <f t="shared" si="7"/>
        <v>2.3199999999999998</v>
      </c>
      <c r="V29" s="404">
        <f t="shared" si="7"/>
        <v>1.7000000000000002</v>
      </c>
      <c r="W29" s="404">
        <f t="shared" si="7"/>
        <v>3.16</v>
      </c>
    </row>
    <row r="30" spans="1:23">
      <c r="A30" s="614">
        <f t="shared" si="6"/>
        <v>20100801</v>
      </c>
      <c r="B30" s="609" t="s">
        <v>19</v>
      </c>
      <c r="C30" s="610" t="s">
        <v>19</v>
      </c>
      <c r="D30" s="610" t="s">
        <v>168</v>
      </c>
      <c r="E30" s="598" t="str">
        <f t="shared" si="2"/>
        <v>20100801KUCIE550</v>
      </c>
      <c r="F30" s="611">
        <v>500</v>
      </c>
      <c r="G30" s="612">
        <f t="shared" si="3"/>
        <v>3.5000000000000003E-2</v>
      </c>
      <c r="H30" s="612">
        <f t="shared" si="4"/>
        <v>0</v>
      </c>
      <c r="I30" s="612">
        <f t="shared" si="5"/>
        <v>0</v>
      </c>
      <c r="J30" s="613"/>
      <c r="K30" s="613">
        <v>2.7539999999999999E-2</v>
      </c>
      <c r="L30" s="613">
        <v>7.4600000000000048E-3</v>
      </c>
      <c r="M30" s="613"/>
      <c r="N30" s="613"/>
      <c r="O30" s="611">
        <v>1.04</v>
      </c>
      <c r="P30" s="611">
        <v>2.4900000000000002</v>
      </c>
      <c r="Q30" s="611">
        <v>3.73</v>
      </c>
      <c r="R30" s="611">
        <v>0.9</v>
      </c>
      <c r="S30" s="404">
        <f t="shared" si="8"/>
        <v>0.9</v>
      </c>
      <c r="T30" s="404">
        <f t="shared" si="9"/>
        <v>0.9</v>
      </c>
      <c r="U30" s="404">
        <f t="shared" si="7"/>
        <v>0.14000000000000001</v>
      </c>
      <c r="V30" s="404">
        <f t="shared" si="7"/>
        <v>1.5900000000000003</v>
      </c>
      <c r="W30" s="404">
        <f t="shared" si="7"/>
        <v>2.83</v>
      </c>
    </row>
    <row r="31" spans="1:23">
      <c r="A31" s="614">
        <f t="shared" si="6"/>
        <v>20100801</v>
      </c>
      <c r="B31" s="609" t="s">
        <v>27</v>
      </c>
      <c r="C31" s="610" t="s">
        <v>27</v>
      </c>
      <c r="D31" s="610" t="s">
        <v>231</v>
      </c>
      <c r="E31" s="598" t="str">
        <f t="shared" si="2"/>
        <v>20100801KUINE731</v>
      </c>
      <c r="F31" s="611">
        <v>500</v>
      </c>
      <c r="G31" s="612">
        <f t="shared" si="3"/>
        <v>3.5049999999999998E-2</v>
      </c>
      <c r="H31" s="612">
        <f t="shared" si="4"/>
        <v>0</v>
      </c>
      <c r="I31" s="612">
        <f t="shared" si="5"/>
        <v>0</v>
      </c>
      <c r="J31" s="613"/>
      <c r="K31" s="613">
        <v>2.7539999999999999E-2</v>
      </c>
      <c r="L31" s="613">
        <v>7.5099999999999993E-3</v>
      </c>
      <c r="M31" s="613"/>
      <c r="N31" s="613"/>
      <c r="O31" s="611">
        <v>1.75</v>
      </c>
      <c r="P31" s="611">
        <v>1.59</v>
      </c>
      <c r="Q31" s="611">
        <v>2.48</v>
      </c>
      <c r="R31" s="611">
        <v>0.6</v>
      </c>
      <c r="S31" s="404">
        <f t="shared" si="8"/>
        <v>0.6</v>
      </c>
      <c r="T31" s="404">
        <f t="shared" si="9"/>
        <v>0.6</v>
      </c>
      <c r="U31" s="404">
        <f t="shared" si="7"/>
        <v>1.1499999999999999</v>
      </c>
      <c r="V31" s="404">
        <f t="shared" si="7"/>
        <v>0.9900000000000001</v>
      </c>
      <c r="W31" s="404">
        <f t="shared" si="7"/>
        <v>1.88</v>
      </c>
    </row>
    <row r="32" spans="1:23">
      <c r="A32" s="614">
        <f t="shared" si="6"/>
        <v>20100801</v>
      </c>
      <c r="B32" s="609" t="s">
        <v>28</v>
      </c>
      <c r="C32" s="615" t="s">
        <v>28</v>
      </c>
      <c r="D32" s="615" t="s">
        <v>189</v>
      </c>
      <c r="E32" s="598" t="str">
        <f t="shared" si="2"/>
        <v>20100801KUINE730</v>
      </c>
      <c r="F32" s="611">
        <v>500</v>
      </c>
      <c r="G32" s="612">
        <f t="shared" si="3"/>
        <v>3.0329999999999999E-2</v>
      </c>
      <c r="H32" s="612">
        <f t="shared" si="4"/>
        <v>0</v>
      </c>
      <c r="I32" s="612">
        <f t="shared" si="5"/>
        <v>0</v>
      </c>
      <c r="J32" s="613"/>
      <c r="K32" s="613">
        <v>2.7539999999999999E-2</v>
      </c>
      <c r="L32" s="613">
        <v>2.7900000000000008E-3</v>
      </c>
      <c r="M32" s="613"/>
      <c r="N32" s="613"/>
      <c r="O32" s="611">
        <v>1</v>
      </c>
      <c r="P32" s="611">
        <v>1.59</v>
      </c>
      <c r="Q32" s="611">
        <v>2.48</v>
      </c>
      <c r="R32" s="611">
        <v>0.6</v>
      </c>
      <c r="S32" s="404">
        <f t="shared" si="8"/>
        <v>0.6</v>
      </c>
      <c r="T32" s="404">
        <f t="shared" si="9"/>
        <v>0.6</v>
      </c>
      <c r="U32" s="404">
        <f t="shared" si="7"/>
        <v>0.4</v>
      </c>
      <c r="V32" s="404">
        <f t="shared" si="7"/>
        <v>0.9900000000000001</v>
      </c>
      <c r="W32" s="404">
        <f t="shared" si="7"/>
        <v>1.88</v>
      </c>
    </row>
    <row r="33" spans="1:23">
      <c r="A33" s="614">
        <f>A31</f>
        <v>20100801</v>
      </c>
      <c r="B33" s="609" t="s">
        <v>21</v>
      </c>
      <c r="C33" s="610" t="s">
        <v>21</v>
      </c>
      <c r="D33" s="610" t="s">
        <v>184</v>
      </c>
      <c r="E33" s="598" t="str">
        <f t="shared" si="2"/>
        <v>20100801KUCME295</v>
      </c>
      <c r="F33" s="611">
        <v>3.14</v>
      </c>
      <c r="G33" s="612">
        <f t="shared" si="3"/>
        <v>7.0000000000000007E-2</v>
      </c>
      <c r="H33" s="612">
        <f t="shared" si="4"/>
        <v>0</v>
      </c>
      <c r="I33" s="612">
        <f t="shared" si="5"/>
        <v>0</v>
      </c>
      <c r="J33" s="613">
        <v>6.8399999999999997E-3</v>
      </c>
      <c r="K33" s="613">
        <v>2.7539999999999999E-2</v>
      </c>
      <c r="L33" s="613">
        <v>3.5620000000000013E-2</v>
      </c>
      <c r="M33" s="613"/>
      <c r="N33" s="613"/>
      <c r="O33" s="611"/>
      <c r="P33" s="611"/>
      <c r="Q33" s="611"/>
      <c r="R33" s="611"/>
      <c r="S33" s="611"/>
      <c r="T33" s="611"/>
      <c r="U33" s="404">
        <f t="shared" si="7"/>
        <v>0</v>
      </c>
      <c r="V33" s="404">
        <f t="shared" si="7"/>
        <v>0</v>
      </c>
      <c r="W33" s="404">
        <f t="shared" si="7"/>
        <v>0</v>
      </c>
    </row>
    <row r="34" spans="1:23">
      <c r="A34" s="614">
        <f>A32</f>
        <v>20100801</v>
      </c>
      <c r="B34" s="609" t="s">
        <v>21</v>
      </c>
      <c r="C34" s="610" t="s">
        <v>21</v>
      </c>
      <c r="D34" s="615" t="s">
        <v>652</v>
      </c>
      <c r="E34" s="598" t="str">
        <f t="shared" si="2"/>
        <v>20100801KUCME297</v>
      </c>
      <c r="F34" s="611">
        <v>3.14</v>
      </c>
      <c r="G34" s="612">
        <f t="shared" si="3"/>
        <v>7.0000000000000007E-2</v>
      </c>
      <c r="H34" s="612">
        <f t="shared" si="4"/>
        <v>0</v>
      </c>
      <c r="I34" s="612">
        <f t="shared" si="5"/>
        <v>0</v>
      </c>
      <c r="J34" s="613">
        <v>6.8399999999999997E-3</v>
      </c>
      <c r="K34" s="613">
        <v>2.7539999999999999E-2</v>
      </c>
      <c r="L34" s="613">
        <v>3.5620000000000013E-2</v>
      </c>
      <c r="M34" s="613"/>
      <c r="N34" s="613"/>
      <c r="O34" s="611"/>
      <c r="P34" s="611"/>
      <c r="Q34" s="611"/>
      <c r="R34" s="611"/>
      <c r="S34" s="611"/>
      <c r="T34" s="611"/>
      <c r="U34" s="404">
        <f t="shared" si="7"/>
        <v>0</v>
      </c>
      <c r="V34" s="404">
        <f t="shared" si="7"/>
        <v>0</v>
      </c>
      <c r="W34" s="404">
        <f t="shared" si="7"/>
        <v>0</v>
      </c>
    </row>
    <row r="35" spans="1:23">
      <c r="A35" s="614">
        <f t="shared" si="6"/>
        <v>20100801</v>
      </c>
      <c r="B35" s="609" t="s">
        <v>20</v>
      </c>
      <c r="C35" s="610" t="s">
        <v>20</v>
      </c>
      <c r="D35" s="615" t="s">
        <v>233</v>
      </c>
      <c r="E35" s="598" t="str">
        <f t="shared" si="2"/>
        <v>20100801KUCME290</v>
      </c>
      <c r="F35" s="611">
        <v>0</v>
      </c>
      <c r="G35" s="612">
        <f t="shared" si="3"/>
        <v>5.4650000000000004E-2</v>
      </c>
      <c r="H35" s="612">
        <f t="shared" si="4"/>
        <v>0</v>
      </c>
      <c r="I35" s="612">
        <f t="shared" si="5"/>
        <v>0</v>
      </c>
      <c r="J35" s="613">
        <v>6.8399999999999997E-3</v>
      </c>
      <c r="K35" s="613">
        <v>2.7539999999999999E-2</v>
      </c>
      <c r="L35" s="613">
        <v>2.027E-2</v>
      </c>
      <c r="M35" s="613"/>
      <c r="N35" s="613"/>
      <c r="O35" s="611"/>
      <c r="P35" s="611"/>
      <c r="Q35" s="611"/>
      <c r="R35" s="611"/>
      <c r="S35" s="611"/>
      <c r="T35" s="611"/>
      <c r="U35" s="404">
        <f t="shared" si="7"/>
        <v>0</v>
      </c>
      <c r="V35" s="404">
        <f t="shared" si="7"/>
        <v>0</v>
      </c>
      <c r="W35" s="404">
        <f t="shared" si="7"/>
        <v>0</v>
      </c>
    </row>
    <row r="36" spans="1:23">
      <c r="A36" s="614">
        <f t="shared" si="6"/>
        <v>20100801</v>
      </c>
      <c r="B36" s="609" t="s">
        <v>20</v>
      </c>
      <c r="C36" s="610" t="s">
        <v>20</v>
      </c>
      <c r="D36" s="610" t="s">
        <v>232</v>
      </c>
      <c r="E36" s="598" t="str">
        <f t="shared" ref="E36:E67" si="10">A36&amp;D36</f>
        <v>20100801KUCME291</v>
      </c>
      <c r="F36" s="611">
        <v>0</v>
      </c>
      <c r="G36" s="612">
        <f t="shared" si="3"/>
        <v>5.4650000000000004E-2</v>
      </c>
      <c r="H36" s="612">
        <f t="shared" si="4"/>
        <v>0</v>
      </c>
      <c r="I36" s="612">
        <f t="shared" si="5"/>
        <v>0</v>
      </c>
      <c r="J36" s="613">
        <v>6.8399999999999997E-3</v>
      </c>
      <c r="K36" s="613">
        <v>2.7539999999999999E-2</v>
      </c>
      <c r="L36" s="613">
        <v>2.027E-2</v>
      </c>
      <c r="M36" s="613"/>
      <c r="N36" s="613"/>
      <c r="O36" s="611"/>
      <c r="P36" s="611"/>
      <c r="Q36" s="611"/>
      <c r="R36" s="611"/>
      <c r="S36" s="611"/>
      <c r="T36" s="611"/>
      <c r="U36" s="404">
        <f t="shared" si="7"/>
        <v>0</v>
      </c>
      <c r="V36" s="404">
        <f t="shared" si="7"/>
        <v>0</v>
      </c>
      <c r="W36" s="404">
        <f t="shared" si="7"/>
        <v>0</v>
      </c>
    </row>
    <row r="37" spans="1:23">
      <c r="A37" s="614">
        <f>A36</f>
        <v>20100801</v>
      </c>
      <c r="B37" s="609" t="s">
        <v>20</v>
      </c>
      <c r="C37" s="610" t="s">
        <v>20</v>
      </c>
      <c r="D37" s="615" t="s">
        <v>234</v>
      </c>
      <c r="E37" s="598" t="str">
        <f t="shared" si="10"/>
        <v>20100801KUCME292</v>
      </c>
      <c r="F37" s="611">
        <v>0</v>
      </c>
      <c r="G37" s="612">
        <f t="shared" si="3"/>
        <v>5.4650000000000004E-2</v>
      </c>
      <c r="H37" s="612">
        <f t="shared" si="4"/>
        <v>0</v>
      </c>
      <c r="I37" s="612">
        <f t="shared" si="5"/>
        <v>0</v>
      </c>
      <c r="J37" s="613">
        <v>6.8399999999999997E-3</v>
      </c>
      <c r="K37" s="613">
        <v>2.7539999999999999E-2</v>
      </c>
      <c r="L37" s="613">
        <v>2.027E-2</v>
      </c>
      <c r="M37" s="613"/>
      <c r="N37" s="613"/>
      <c r="O37" s="611"/>
      <c r="P37" s="611"/>
      <c r="Q37" s="611"/>
      <c r="R37" s="611"/>
      <c r="S37" s="611"/>
      <c r="T37" s="611"/>
      <c r="U37" s="404">
        <f t="shared" si="7"/>
        <v>0</v>
      </c>
      <c r="V37" s="404">
        <f t="shared" si="7"/>
        <v>0</v>
      </c>
      <c r="W37" s="404">
        <f t="shared" si="7"/>
        <v>0</v>
      </c>
    </row>
    <row r="38" spans="1:23">
      <c r="A38" s="618">
        <v>20110701</v>
      </c>
      <c r="B38" s="619" t="s">
        <v>15</v>
      </c>
      <c r="C38" s="620" t="s">
        <v>15</v>
      </c>
      <c r="D38" s="620" t="s">
        <v>190</v>
      </c>
      <c r="E38" s="621" t="str">
        <f t="shared" si="10"/>
        <v>20110701KURSE010</v>
      </c>
      <c r="F38" s="622">
        <v>8.5</v>
      </c>
      <c r="G38" s="623">
        <f t="shared" si="3"/>
        <v>6.719E-2</v>
      </c>
      <c r="H38" s="623">
        <f t="shared" si="4"/>
        <v>0</v>
      </c>
      <c r="I38" s="623">
        <f t="shared" si="5"/>
        <v>0</v>
      </c>
      <c r="J38" s="623">
        <v>6.8399999999999997E-3</v>
      </c>
      <c r="K38" s="623">
        <v>2.6679999999999999E-2</v>
      </c>
      <c r="L38" s="623">
        <v>3.3670000000000005E-2</v>
      </c>
      <c r="M38" s="623"/>
      <c r="N38" s="623"/>
      <c r="O38" s="622"/>
      <c r="P38" s="622"/>
      <c r="Q38" s="622"/>
      <c r="R38" s="622"/>
      <c r="S38" s="622"/>
      <c r="T38" s="622"/>
      <c r="U38" s="622">
        <f t="shared" ref="U38:W105" si="11">O38-R38</f>
        <v>0</v>
      </c>
      <c r="V38" s="622">
        <f t="shared" si="11"/>
        <v>0</v>
      </c>
      <c r="W38" s="622">
        <f t="shared" si="11"/>
        <v>0</v>
      </c>
    </row>
    <row r="39" spans="1:23">
      <c r="A39" s="624">
        <f>A38</f>
        <v>20110701</v>
      </c>
      <c r="B39" s="619" t="s">
        <v>15</v>
      </c>
      <c r="C39" s="620" t="s">
        <v>15</v>
      </c>
      <c r="D39" s="625" t="s">
        <v>191</v>
      </c>
      <c r="E39" s="621" t="str">
        <f t="shared" si="10"/>
        <v>20110701KURSE020</v>
      </c>
      <c r="F39" s="622">
        <v>8.5</v>
      </c>
      <c r="G39" s="623">
        <f t="shared" si="3"/>
        <v>6.719E-2</v>
      </c>
      <c r="H39" s="623">
        <f t="shared" si="4"/>
        <v>0</v>
      </c>
      <c r="I39" s="623">
        <f t="shared" si="5"/>
        <v>0</v>
      </c>
      <c r="J39" s="623">
        <v>6.8399999999999997E-3</v>
      </c>
      <c r="K39" s="623">
        <v>2.6679999999999999E-2</v>
      </c>
      <c r="L39" s="623">
        <v>3.3670000000000005E-2</v>
      </c>
      <c r="M39" s="623"/>
      <c r="N39" s="623"/>
      <c r="O39" s="622"/>
      <c r="P39" s="622"/>
      <c r="Q39" s="622"/>
      <c r="R39" s="622"/>
      <c r="S39" s="622"/>
      <c r="T39" s="622"/>
      <c r="U39" s="622">
        <f t="shared" si="11"/>
        <v>0</v>
      </c>
      <c r="V39" s="622">
        <f t="shared" si="11"/>
        <v>0</v>
      </c>
      <c r="W39" s="622">
        <f t="shared" si="11"/>
        <v>0</v>
      </c>
    </row>
    <row r="40" spans="1:23">
      <c r="A40" s="624">
        <f t="shared" ref="A40:A71" si="12">A39</f>
        <v>20110701</v>
      </c>
      <c r="B40" s="619" t="s">
        <v>15</v>
      </c>
      <c r="C40" s="625" t="s">
        <v>223</v>
      </c>
      <c r="D40" s="625" t="s">
        <v>192</v>
      </c>
      <c r="E40" s="621" t="str">
        <f t="shared" si="10"/>
        <v>20110701KURSE025</v>
      </c>
      <c r="F40" s="622">
        <v>8.5</v>
      </c>
      <c r="G40" s="623">
        <f t="shared" si="3"/>
        <v>6.719E-2</v>
      </c>
      <c r="H40" s="623">
        <f t="shared" si="4"/>
        <v>0</v>
      </c>
      <c r="I40" s="623">
        <f t="shared" si="5"/>
        <v>0</v>
      </c>
      <c r="J40" s="623">
        <v>6.8399999999999997E-3</v>
      </c>
      <c r="K40" s="623">
        <v>2.6679999999999999E-2</v>
      </c>
      <c r="L40" s="623">
        <v>3.3670000000000005E-2</v>
      </c>
      <c r="M40" s="623"/>
      <c r="N40" s="623"/>
      <c r="O40" s="622"/>
      <c r="P40" s="622"/>
      <c r="Q40" s="622"/>
      <c r="R40" s="622"/>
      <c r="S40" s="622"/>
      <c r="T40" s="622"/>
      <c r="U40" s="622">
        <f t="shared" si="11"/>
        <v>0</v>
      </c>
      <c r="V40" s="622">
        <f t="shared" si="11"/>
        <v>0</v>
      </c>
      <c r="W40" s="622">
        <f t="shared" si="11"/>
        <v>0</v>
      </c>
    </row>
    <row r="41" spans="1:23">
      <c r="A41" s="624">
        <f t="shared" si="12"/>
        <v>20110701</v>
      </c>
      <c r="B41" s="619" t="s">
        <v>810</v>
      </c>
      <c r="C41" s="620" t="s">
        <v>17</v>
      </c>
      <c r="D41" s="625" t="s">
        <v>193</v>
      </c>
      <c r="E41" s="621" t="str">
        <f t="shared" si="10"/>
        <v>20110701KURSE080</v>
      </c>
      <c r="F41" s="622">
        <v>8.5</v>
      </c>
      <c r="G41" s="623">
        <f t="shared" si="3"/>
        <v>6.719E-2</v>
      </c>
      <c r="H41" s="623">
        <f t="shared" si="4"/>
        <v>0</v>
      </c>
      <c r="I41" s="623">
        <f t="shared" si="5"/>
        <v>0</v>
      </c>
      <c r="J41" s="623">
        <v>6.8399999999999997E-3</v>
      </c>
      <c r="K41" s="623">
        <v>2.6679999999999999E-2</v>
      </c>
      <c r="L41" s="623">
        <v>3.3670000000000005E-2</v>
      </c>
      <c r="M41" s="623"/>
      <c r="N41" s="623"/>
      <c r="O41" s="622"/>
      <c r="P41" s="622"/>
      <c r="Q41" s="622"/>
      <c r="R41" s="622"/>
      <c r="S41" s="622"/>
      <c r="T41" s="622"/>
      <c r="U41" s="622">
        <f t="shared" si="11"/>
        <v>0</v>
      </c>
      <c r="V41" s="622">
        <f t="shared" si="11"/>
        <v>0</v>
      </c>
      <c r="W41" s="622">
        <f t="shared" si="11"/>
        <v>0</v>
      </c>
    </row>
    <row r="42" spans="1:23">
      <c r="A42" s="624">
        <f t="shared" si="12"/>
        <v>20110701</v>
      </c>
      <c r="B42" s="619" t="s">
        <v>15</v>
      </c>
      <c r="C42" s="620" t="s">
        <v>16</v>
      </c>
      <c r="D42" s="625" t="s">
        <v>194</v>
      </c>
      <c r="E42" s="621" t="str">
        <f t="shared" si="10"/>
        <v>20110701KURSE715</v>
      </c>
      <c r="F42" s="622">
        <v>8.5</v>
      </c>
      <c r="G42" s="623">
        <f t="shared" si="3"/>
        <v>6.719E-2</v>
      </c>
      <c r="H42" s="623">
        <f t="shared" si="4"/>
        <v>0</v>
      </c>
      <c r="I42" s="623">
        <f t="shared" si="5"/>
        <v>0</v>
      </c>
      <c r="J42" s="623">
        <v>6.8399999999999997E-3</v>
      </c>
      <c r="K42" s="623">
        <v>2.6679999999999999E-2</v>
      </c>
      <c r="L42" s="623">
        <v>3.3670000000000005E-2</v>
      </c>
      <c r="M42" s="623"/>
      <c r="N42" s="623"/>
      <c r="O42" s="622"/>
      <c r="P42" s="622"/>
      <c r="Q42" s="622"/>
      <c r="R42" s="622"/>
      <c r="S42" s="622"/>
      <c r="T42" s="622"/>
      <c r="U42" s="622">
        <f t="shared" si="11"/>
        <v>0</v>
      </c>
      <c r="V42" s="622">
        <f t="shared" si="11"/>
        <v>0</v>
      </c>
      <c r="W42" s="622">
        <f t="shared" si="11"/>
        <v>0</v>
      </c>
    </row>
    <row r="43" spans="1:23">
      <c r="A43" s="624">
        <f t="shared" si="12"/>
        <v>20110701</v>
      </c>
      <c r="B43" s="619" t="s">
        <v>807</v>
      </c>
      <c r="C43" s="620" t="s">
        <v>222</v>
      </c>
      <c r="D43" s="625" t="s">
        <v>477</v>
      </c>
      <c r="E43" s="621" t="str">
        <f t="shared" si="10"/>
        <v>20110701KURSE040</v>
      </c>
      <c r="F43" s="622">
        <v>8.5</v>
      </c>
      <c r="G43" s="623">
        <f t="shared" si="3"/>
        <v>4.6359999999999998E-2</v>
      </c>
      <c r="H43" s="623">
        <f t="shared" si="4"/>
        <v>6.7370000000000013E-2</v>
      </c>
      <c r="I43" s="623">
        <f t="shared" si="5"/>
        <v>0.13047</v>
      </c>
      <c r="J43" s="623">
        <f>$J42</f>
        <v>6.8399999999999997E-3</v>
      </c>
      <c r="K43" s="623">
        <f>K42</f>
        <v>2.6679999999999999E-2</v>
      </c>
      <c r="L43" s="623">
        <v>1.2840000000000001E-2</v>
      </c>
      <c r="M43" s="623">
        <v>3.3850000000000005E-2</v>
      </c>
      <c r="N43" s="623">
        <v>9.6950000000000008E-2</v>
      </c>
      <c r="O43" s="622"/>
      <c r="P43" s="622"/>
      <c r="Q43" s="622"/>
      <c r="R43" s="622"/>
      <c r="S43" s="622"/>
      <c r="T43" s="622"/>
      <c r="U43" s="622">
        <f t="shared" si="11"/>
        <v>0</v>
      </c>
      <c r="V43" s="622">
        <f t="shared" si="11"/>
        <v>0</v>
      </c>
      <c r="W43" s="622">
        <f t="shared" si="11"/>
        <v>0</v>
      </c>
    </row>
    <row r="44" spans="1:23">
      <c r="A44" s="624">
        <f t="shared" si="12"/>
        <v>20110701</v>
      </c>
      <c r="B44" s="619" t="s">
        <v>224</v>
      </c>
      <c r="C44" s="620" t="s">
        <v>224</v>
      </c>
      <c r="D44" s="620" t="s">
        <v>177</v>
      </c>
      <c r="E44" s="621" t="str">
        <f t="shared" si="10"/>
        <v>20110701KUCME110</v>
      </c>
      <c r="F44" s="622">
        <v>17.5</v>
      </c>
      <c r="G44" s="623">
        <f t="shared" si="3"/>
        <v>7.7100000000000016E-2</v>
      </c>
      <c r="H44" s="623">
        <f t="shared" si="4"/>
        <v>0</v>
      </c>
      <c r="I44" s="623">
        <f t="shared" si="5"/>
        <v>0</v>
      </c>
      <c r="J44" s="623">
        <v>7.9299999999999995E-3</v>
      </c>
      <c r="K44" s="623">
        <v>2.6679999999999999E-2</v>
      </c>
      <c r="L44" s="623">
        <v>4.2490000000000014E-2</v>
      </c>
      <c r="M44" s="623"/>
      <c r="N44" s="623"/>
      <c r="O44" s="622"/>
      <c r="P44" s="622"/>
      <c r="Q44" s="622"/>
      <c r="R44" s="622"/>
      <c r="S44" s="622"/>
      <c r="T44" s="622"/>
      <c r="U44" s="622">
        <f t="shared" si="11"/>
        <v>0</v>
      </c>
      <c r="V44" s="622">
        <f t="shared" si="11"/>
        <v>0</v>
      </c>
      <c r="W44" s="622">
        <f t="shared" si="11"/>
        <v>0</v>
      </c>
    </row>
    <row r="45" spans="1:23">
      <c r="A45" s="624">
        <f t="shared" si="12"/>
        <v>20110701</v>
      </c>
      <c r="B45" s="619" t="s">
        <v>224</v>
      </c>
      <c r="C45" s="620" t="s">
        <v>224</v>
      </c>
      <c r="D45" s="625" t="s">
        <v>178</v>
      </c>
      <c r="E45" s="621" t="str">
        <f t="shared" si="10"/>
        <v>20110701KUCME112</v>
      </c>
      <c r="F45" s="622">
        <v>17.5</v>
      </c>
      <c r="G45" s="623">
        <f t="shared" si="3"/>
        <v>7.7100000000000016E-2</v>
      </c>
      <c r="H45" s="623">
        <f t="shared" si="4"/>
        <v>0</v>
      </c>
      <c r="I45" s="623">
        <f t="shared" si="5"/>
        <v>0</v>
      </c>
      <c r="J45" s="623">
        <v>7.9299999999999995E-3</v>
      </c>
      <c r="K45" s="623">
        <v>2.6679999999999999E-2</v>
      </c>
      <c r="L45" s="623">
        <v>4.2490000000000014E-2</v>
      </c>
      <c r="M45" s="623"/>
      <c r="N45" s="623"/>
      <c r="O45" s="622"/>
      <c r="P45" s="622"/>
      <c r="Q45" s="622"/>
      <c r="R45" s="622"/>
      <c r="S45" s="622"/>
      <c r="T45" s="622"/>
      <c r="U45" s="622">
        <f t="shared" si="11"/>
        <v>0</v>
      </c>
      <c r="V45" s="622">
        <f t="shared" si="11"/>
        <v>0</v>
      </c>
      <c r="W45" s="622">
        <f t="shared" si="11"/>
        <v>0</v>
      </c>
    </row>
    <row r="46" spans="1:23">
      <c r="A46" s="624">
        <f t="shared" si="12"/>
        <v>20110701</v>
      </c>
      <c r="B46" s="619" t="s">
        <v>224</v>
      </c>
      <c r="C46" s="620" t="s">
        <v>225</v>
      </c>
      <c r="D46" s="620" t="s">
        <v>185</v>
      </c>
      <c r="E46" s="621" t="str">
        <f t="shared" si="10"/>
        <v>20110701KUCME710</v>
      </c>
      <c r="F46" s="622">
        <v>17.5</v>
      </c>
      <c r="G46" s="623">
        <f t="shared" si="3"/>
        <v>7.7100000000000016E-2</v>
      </c>
      <c r="H46" s="623">
        <f t="shared" si="4"/>
        <v>0</v>
      </c>
      <c r="I46" s="623">
        <f t="shared" si="5"/>
        <v>0</v>
      </c>
      <c r="J46" s="623">
        <v>7.9299999999999995E-3</v>
      </c>
      <c r="K46" s="623">
        <v>2.6679999999999999E-2</v>
      </c>
      <c r="L46" s="623">
        <v>4.2490000000000014E-2</v>
      </c>
      <c r="M46" s="623"/>
      <c r="N46" s="623"/>
      <c r="O46" s="622"/>
      <c r="P46" s="622"/>
      <c r="Q46" s="622"/>
      <c r="R46" s="622"/>
      <c r="S46" s="622"/>
      <c r="T46" s="622"/>
      <c r="U46" s="622">
        <f t="shared" si="11"/>
        <v>0</v>
      </c>
      <c r="V46" s="622">
        <f t="shared" si="11"/>
        <v>0</v>
      </c>
      <c r="W46" s="622">
        <f t="shared" si="11"/>
        <v>0</v>
      </c>
    </row>
    <row r="47" spans="1:23">
      <c r="A47" s="624">
        <f t="shared" si="12"/>
        <v>20110701</v>
      </c>
      <c r="B47" s="626" t="s">
        <v>18</v>
      </c>
      <c r="C47" s="620" t="s">
        <v>18</v>
      </c>
      <c r="D47" s="620" t="s">
        <v>179</v>
      </c>
      <c r="E47" s="621" t="str">
        <f t="shared" si="10"/>
        <v>20110701KUCME113</v>
      </c>
      <c r="F47" s="622">
        <v>32.5</v>
      </c>
      <c r="G47" s="623">
        <f t="shared" si="3"/>
        <v>7.7100000000000016E-2</v>
      </c>
      <c r="H47" s="623">
        <f t="shared" si="4"/>
        <v>0</v>
      </c>
      <c r="I47" s="623">
        <f t="shared" si="5"/>
        <v>0</v>
      </c>
      <c r="J47" s="623">
        <v>7.9299999999999995E-3</v>
      </c>
      <c r="K47" s="623">
        <v>2.6679999999999999E-2</v>
      </c>
      <c r="L47" s="623">
        <v>4.2490000000000014E-2</v>
      </c>
      <c r="M47" s="623"/>
      <c r="N47" s="623"/>
      <c r="O47" s="622"/>
      <c r="P47" s="622"/>
      <c r="Q47" s="622"/>
      <c r="R47" s="622"/>
      <c r="S47" s="622"/>
      <c r="T47" s="622"/>
      <c r="U47" s="622">
        <f t="shared" si="11"/>
        <v>0</v>
      </c>
      <c r="V47" s="622">
        <f t="shared" si="11"/>
        <v>0</v>
      </c>
      <c r="W47" s="622">
        <f t="shared" si="11"/>
        <v>0</v>
      </c>
    </row>
    <row r="48" spans="1:23">
      <c r="A48" s="624">
        <f t="shared" si="12"/>
        <v>20110701</v>
      </c>
      <c r="B48" s="619" t="s">
        <v>224</v>
      </c>
      <c r="C48" s="620" t="s">
        <v>226</v>
      </c>
      <c r="D48" s="625" t="s">
        <v>186</v>
      </c>
      <c r="E48" s="621" t="str">
        <f t="shared" si="10"/>
        <v>20110701KUCME713</v>
      </c>
      <c r="F48" s="622">
        <v>32.5</v>
      </c>
      <c r="G48" s="623">
        <f t="shared" si="3"/>
        <v>7.7100000000000016E-2</v>
      </c>
      <c r="H48" s="623">
        <f t="shared" si="4"/>
        <v>0</v>
      </c>
      <c r="I48" s="623">
        <f t="shared" si="5"/>
        <v>0</v>
      </c>
      <c r="J48" s="623">
        <v>7.9299999999999995E-3</v>
      </c>
      <c r="K48" s="623">
        <v>2.6679999999999999E-2</v>
      </c>
      <c r="L48" s="623">
        <v>4.2490000000000014E-2</v>
      </c>
      <c r="M48" s="623"/>
      <c r="N48" s="623"/>
      <c r="O48" s="622"/>
      <c r="P48" s="622"/>
      <c r="Q48" s="622"/>
      <c r="R48" s="622"/>
      <c r="S48" s="622"/>
      <c r="T48" s="622"/>
      <c r="U48" s="622">
        <f t="shared" si="11"/>
        <v>0</v>
      </c>
      <c r="V48" s="622">
        <f t="shared" si="11"/>
        <v>0</v>
      </c>
      <c r="W48" s="622">
        <f t="shared" si="11"/>
        <v>0</v>
      </c>
    </row>
    <row r="49" spans="1:23">
      <c r="A49" s="624">
        <f t="shared" si="12"/>
        <v>20110701</v>
      </c>
      <c r="B49" s="619" t="s">
        <v>219</v>
      </c>
      <c r="C49" s="620" t="s">
        <v>219</v>
      </c>
      <c r="D49" s="620" t="s">
        <v>180</v>
      </c>
      <c r="E49" s="621" t="str">
        <f t="shared" si="10"/>
        <v>20110701KUCME220</v>
      </c>
      <c r="F49" s="622">
        <v>17.5</v>
      </c>
      <c r="G49" s="623">
        <f t="shared" si="3"/>
        <v>6.6200000000000009E-2</v>
      </c>
      <c r="H49" s="623">
        <f t="shared" si="4"/>
        <v>0</v>
      </c>
      <c r="I49" s="623">
        <f t="shared" si="5"/>
        <v>0</v>
      </c>
      <c r="J49" s="623">
        <v>7.9299999999999995E-3</v>
      </c>
      <c r="K49" s="623">
        <v>2.6679999999999999E-2</v>
      </c>
      <c r="L49" s="623">
        <v>3.159E-2</v>
      </c>
      <c r="M49" s="623"/>
      <c r="N49" s="623"/>
      <c r="O49" s="622"/>
      <c r="P49" s="622"/>
      <c r="Q49" s="622"/>
      <c r="R49" s="622"/>
      <c r="S49" s="622"/>
      <c r="T49" s="622"/>
      <c r="U49" s="622">
        <f t="shared" si="11"/>
        <v>0</v>
      </c>
      <c r="V49" s="622">
        <f t="shared" si="11"/>
        <v>0</v>
      </c>
      <c r="W49" s="622">
        <f t="shared" si="11"/>
        <v>0</v>
      </c>
    </row>
    <row r="50" spans="1:23">
      <c r="A50" s="624">
        <f t="shared" si="12"/>
        <v>20110701</v>
      </c>
      <c r="B50" s="619" t="s">
        <v>219</v>
      </c>
      <c r="C50" s="620" t="s">
        <v>227</v>
      </c>
      <c r="D50" s="620" t="s">
        <v>181</v>
      </c>
      <c r="E50" s="621" t="str">
        <f t="shared" si="10"/>
        <v>20110701KUCME221</v>
      </c>
      <c r="F50" s="622">
        <v>17.5</v>
      </c>
      <c r="G50" s="623">
        <f t="shared" si="3"/>
        <v>6.6200000000000009E-2</v>
      </c>
      <c r="H50" s="623">
        <f t="shared" si="4"/>
        <v>0</v>
      </c>
      <c r="I50" s="623">
        <f t="shared" si="5"/>
        <v>0</v>
      </c>
      <c r="J50" s="623">
        <v>7.9299999999999995E-3</v>
      </c>
      <c r="K50" s="623">
        <v>2.6679999999999999E-2</v>
      </c>
      <c r="L50" s="623">
        <v>3.159E-2</v>
      </c>
      <c r="M50" s="623"/>
      <c r="N50" s="623"/>
      <c r="O50" s="622"/>
      <c r="P50" s="622"/>
      <c r="Q50" s="622"/>
      <c r="R50" s="622"/>
      <c r="S50" s="622"/>
      <c r="T50" s="622"/>
      <c r="U50" s="622">
        <f t="shared" si="11"/>
        <v>0</v>
      </c>
      <c r="V50" s="622">
        <f t="shared" si="11"/>
        <v>0</v>
      </c>
      <c r="W50" s="622">
        <f t="shared" si="11"/>
        <v>0</v>
      </c>
    </row>
    <row r="51" spans="1:23">
      <c r="A51" s="624">
        <f t="shared" si="12"/>
        <v>20110701</v>
      </c>
      <c r="B51" s="619" t="s">
        <v>219</v>
      </c>
      <c r="C51" s="620" t="s">
        <v>228</v>
      </c>
      <c r="D51" s="620" t="s">
        <v>182</v>
      </c>
      <c r="E51" s="621" t="str">
        <f t="shared" si="10"/>
        <v>20110701KUCME223</v>
      </c>
      <c r="F51" s="622">
        <v>32.5</v>
      </c>
      <c r="G51" s="623">
        <f t="shared" si="3"/>
        <v>6.6200000000000009E-2</v>
      </c>
      <c r="H51" s="623">
        <f t="shared" si="4"/>
        <v>0</v>
      </c>
      <c r="I51" s="623">
        <f t="shared" si="5"/>
        <v>0</v>
      </c>
      <c r="J51" s="623">
        <v>7.9299999999999995E-3</v>
      </c>
      <c r="K51" s="623">
        <v>2.6679999999999999E-2</v>
      </c>
      <c r="L51" s="623">
        <v>3.159E-2</v>
      </c>
      <c r="M51" s="623"/>
      <c r="N51" s="623"/>
      <c r="O51" s="622"/>
      <c r="P51" s="622"/>
      <c r="Q51" s="622"/>
      <c r="R51" s="622"/>
      <c r="S51" s="622"/>
      <c r="T51" s="622"/>
      <c r="U51" s="622">
        <f t="shared" si="11"/>
        <v>0</v>
      </c>
      <c r="V51" s="622">
        <f t="shared" si="11"/>
        <v>0</v>
      </c>
      <c r="W51" s="622">
        <f t="shared" si="11"/>
        <v>0</v>
      </c>
    </row>
    <row r="52" spans="1:23">
      <c r="A52" s="624">
        <f>A50</f>
        <v>20110701</v>
      </c>
      <c r="B52" s="619" t="s">
        <v>219</v>
      </c>
      <c r="C52" s="620" t="s">
        <v>229</v>
      </c>
      <c r="D52" s="620" t="s">
        <v>183</v>
      </c>
      <c r="E52" s="621" t="str">
        <f t="shared" si="10"/>
        <v>20110701KUCME224</v>
      </c>
      <c r="F52" s="622">
        <v>32.5</v>
      </c>
      <c r="G52" s="623">
        <f>SUM(J52:L52)</f>
        <v>6.6200000000000009E-2</v>
      </c>
      <c r="H52" s="623">
        <f>IF(M52=0,0,SUM(J52:K52,M52))</f>
        <v>0</v>
      </c>
      <c r="I52" s="623">
        <f>IF(N52=0,0,SUM(J52:K52,N52))</f>
        <v>0</v>
      </c>
      <c r="J52" s="623">
        <v>7.9299999999999995E-3</v>
      </c>
      <c r="K52" s="623">
        <v>2.6679999999999999E-2</v>
      </c>
      <c r="L52" s="623">
        <v>3.159E-2</v>
      </c>
      <c r="M52" s="623"/>
      <c r="N52" s="623"/>
      <c r="O52" s="622"/>
      <c r="P52" s="622"/>
      <c r="Q52" s="622"/>
      <c r="R52" s="622"/>
      <c r="S52" s="622"/>
      <c r="T52" s="622"/>
      <c r="U52" s="622">
        <f t="shared" ref="U52:W54" si="13">O52-R52</f>
        <v>0</v>
      </c>
      <c r="V52" s="622">
        <f t="shared" si="13"/>
        <v>0</v>
      </c>
      <c r="W52" s="622">
        <f t="shared" si="13"/>
        <v>0</v>
      </c>
    </row>
    <row r="53" spans="1:23">
      <c r="A53" s="624">
        <f>A50</f>
        <v>20110701</v>
      </c>
      <c r="B53" s="619" t="s">
        <v>219</v>
      </c>
      <c r="C53" s="620" t="s">
        <v>229</v>
      </c>
      <c r="D53" s="625" t="s">
        <v>720</v>
      </c>
      <c r="E53" s="621" t="str">
        <f t="shared" si="10"/>
        <v>20110701KUCME225</v>
      </c>
      <c r="F53" s="622">
        <v>32.5</v>
      </c>
      <c r="G53" s="623">
        <f>SUM(J53:L53)</f>
        <v>6.6200000000000009E-2</v>
      </c>
      <c r="H53" s="623">
        <f>IF(M53=0,0,SUM(J53:K53,M53))</f>
        <v>0</v>
      </c>
      <c r="I53" s="623">
        <f>IF(N53=0,0,SUM(J53:K53,N53))</f>
        <v>0</v>
      </c>
      <c r="J53" s="623">
        <v>7.9299999999999995E-3</v>
      </c>
      <c r="K53" s="623">
        <v>2.6679999999999999E-2</v>
      </c>
      <c r="L53" s="623">
        <v>3.159E-2</v>
      </c>
      <c r="M53" s="623"/>
      <c r="N53" s="623"/>
      <c r="O53" s="622"/>
      <c r="P53" s="622"/>
      <c r="Q53" s="622"/>
      <c r="R53" s="622"/>
      <c r="S53" s="622"/>
      <c r="T53" s="622"/>
      <c r="U53" s="622">
        <f t="shared" si="13"/>
        <v>0</v>
      </c>
      <c r="V53" s="622">
        <f t="shared" si="13"/>
        <v>0</v>
      </c>
      <c r="W53" s="622">
        <f t="shared" si="13"/>
        <v>0</v>
      </c>
    </row>
    <row r="54" spans="1:23">
      <c r="A54" s="624">
        <f>A50</f>
        <v>20110701</v>
      </c>
      <c r="B54" s="619" t="s">
        <v>219</v>
      </c>
      <c r="C54" s="620" t="s">
        <v>229</v>
      </c>
      <c r="D54" s="625" t="s">
        <v>721</v>
      </c>
      <c r="E54" s="621" t="str">
        <f t="shared" si="10"/>
        <v>20110701KUCME226</v>
      </c>
      <c r="F54" s="622">
        <v>17.5</v>
      </c>
      <c r="G54" s="623">
        <f>SUM(J54:L54)</f>
        <v>6.6200000000000009E-2</v>
      </c>
      <c r="H54" s="623">
        <f>IF(M54=0,0,SUM(J54:K54,M54))</f>
        <v>0</v>
      </c>
      <c r="I54" s="623">
        <f>IF(N54=0,0,SUM(J54:K54,N54))</f>
        <v>0</v>
      </c>
      <c r="J54" s="623">
        <v>7.9299999999999995E-3</v>
      </c>
      <c r="K54" s="623">
        <v>2.6679999999999999E-2</v>
      </c>
      <c r="L54" s="623">
        <v>3.159E-2</v>
      </c>
      <c r="M54" s="623"/>
      <c r="N54" s="623"/>
      <c r="O54" s="622"/>
      <c r="P54" s="622"/>
      <c r="Q54" s="622"/>
      <c r="R54" s="622"/>
      <c r="S54" s="622"/>
      <c r="T54" s="622"/>
      <c r="U54" s="622">
        <f t="shared" si="13"/>
        <v>0</v>
      </c>
      <c r="V54" s="622">
        <f t="shared" si="13"/>
        <v>0</v>
      </c>
      <c r="W54" s="622">
        <f t="shared" si="13"/>
        <v>0</v>
      </c>
    </row>
    <row r="55" spans="1:23">
      <c r="A55" s="624">
        <f>A51</f>
        <v>20110701</v>
      </c>
      <c r="B55" s="619" t="s">
        <v>219</v>
      </c>
      <c r="C55" s="620" t="s">
        <v>229</v>
      </c>
      <c r="D55" s="625" t="s">
        <v>722</v>
      </c>
      <c r="E55" s="621" t="str">
        <f t="shared" si="10"/>
        <v>20110701KUCME227</v>
      </c>
      <c r="F55" s="622">
        <v>32.5</v>
      </c>
      <c r="G55" s="623">
        <f t="shared" si="3"/>
        <v>6.6200000000000009E-2</v>
      </c>
      <c r="H55" s="623">
        <f t="shared" si="4"/>
        <v>0</v>
      </c>
      <c r="I55" s="623">
        <f t="shared" si="5"/>
        <v>0</v>
      </c>
      <c r="J55" s="623">
        <v>7.9299999999999995E-3</v>
      </c>
      <c r="K55" s="623">
        <v>2.6679999999999999E-2</v>
      </c>
      <c r="L55" s="623">
        <v>3.159E-2</v>
      </c>
      <c r="M55" s="623"/>
      <c r="N55" s="623"/>
      <c r="O55" s="622"/>
      <c r="P55" s="622"/>
      <c r="Q55" s="622"/>
      <c r="R55" s="622"/>
      <c r="S55" s="622"/>
      <c r="T55" s="622"/>
      <c r="U55" s="622">
        <f t="shared" si="11"/>
        <v>0</v>
      </c>
      <c r="V55" s="622">
        <f t="shared" si="11"/>
        <v>0</v>
      </c>
      <c r="W55" s="622">
        <f t="shared" si="11"/>
        <v>0</v>
      </c>
    </row>
    <row r="56" spans="1:23">
      <c r="A56" s="624">
        <f t="shared" si="12"/>
        <v>20110701</v>
      </c>
      <c r="B56" s="619" t="s">
        <v>26</v>
      </c>
      <c r="C56" s="620" t="s">
        <v>26</v>
      </c>
      <c r="D56" s="625" t="s">
        <v>169</v>
      </c>
      <c r="E56" s="621" t="str">
        <f t="shared" si="10"/>
        <v>20110701KUCIE561</v>
      </c>
      <c r="F56" s="622">
        <v>90</v>
      </c>
      <c r="G56" s="623">
        <f t="shared" si="3"/>
        <v>3.3000000000000002E-2</v>
      </c>
      <c r="H56" s="623">
        <f t="shared" si="4"/>
        <v>0</v>
      </c>
      <c r="I56" s="623">
        <f t="shared" si="5"/>
        <v>0</v>
      </c>
      <c r="J56" s="623"/>
      <c r="K56" s="623">
        <v>2.6679999999999999E-2</v>
      </c>
      <c r="L56" s="623">
        <v>6.3200000000000027E-3</v>
      </c>
      <c r="M56" s="623"/>
      <c r="N56" s="623"/>
      <c r="O56" s="622"/>
      <c r="P56" s="622">
        <v>10.33</v>
      </c>
      <c r="Q56" s="622">
        <v>12.6</v>
      </c>
      <c r="R56" s="622"/>
      <c r="S56" s="622">
        <v>2.2799999999999998</v>
      </c>
      <c r="T56" s="622">
        <v>2.2799999999999998</v>
      </c>
      <c r="U56" s="622">
        <f t="shared" si="11"/>
        <v>0</v>
      </c>
      <c r="V56" s="622">
        <f t="shared" si="11"/>
        <v>8.0500000000000007</v>
      </c>
      <c r="W56" s="622">
        <f t="shared" si="11"/>
        <v>10.32</v>
      </c>
    </row>
    <row r="57" spans="1:23">
      <c r="A57" s="624">
        <f t="shared" si="12"/>
        <v>20110701</v>
      </c>
      <c r="B57" s="619" t="s">
        <v>26</v>
      </c>
      <c r="C57" s="620" t="s">
        <v>26</v>
      </c>
      <c r="D57" s="625" t="s">
        <v>172</v>
      </c>
      <c r="E57" s="621" t="str">
        <f t="shared" si="10"/>
        <v>20110701KUCIE566</v>
      </c>
      <c r="F57" s="622">
        <v>90</v>
      </c>
      <c r="G57" s="623">
        <f t="shared" si="3"/>
        <v>3.3000000000000002E-2</v>
      </c>
      <c r="H57" s="623">
        <f t="shared" si="4"/>
        <v>0</v>
      </c>
      <c r="I57" s="623">
        <f t="shared" si="5"/>
        <v>0</v>
      </c>
      <c r="J57" s="623"/>
      <c r="K57" s="623">
        <v>2.6679999999999999E-2</v>
      </c>
      <c r="L57" s="623">
        <v>6.3200000000000001E-3</v>
      </c>
      <c r="M57" s="623"/>
      <c r="N57" s="623"/>
      <c r="O57" s="622"/>
      <c r="P57" s="622">
        <v>10.33</v>
      </c>
      <c r="Q57" s="622">
        <v>12.6</v>
      </c>
      <c r="R57" s="622"/>
      <c r="S57" s="622">
        <v>2.2799999999999998</v>
      </c>
      <c r="T57" s="622">
        <v>2.2799999999999998</v>
      </c>
      <c r="U57" s="622">
        <f t="shared" si="11"/>
        <v>0</v>
      </c>
      <c r="V57" s="622">
        <f t="shared" si="11"/>
        <v>8.0500000000000007</v>
      </c>
      <c r="W57" s="622">
        <f t="shared" si="11"/>
        <v>10.32</v>
      </c>
    </row>
    <row r="58" spans="1:23">
      <c r="A58" s="624">
        <f t="shared" si="12"/>
        <v>20110701</v>
      </c>
      <c r="B58" s="619" t="s">
        <v>25</v>
      </c>
      <c r="C58" s="620" t="s">
        <v>25</v>
      </c>
      <c r="D58" s="627" t="s">
        <v>170</v>
      </c>
      <c r="E58" s="621" t="str">
        <f t="shared" si="10"/>
        <v>20110701KUCIE562</v>
      </c>
      <c r="F58" s="622">
        <v>90</v>
      </c>
      <c r="G58" s="623">
        <f t="shared" si="3"/>
        <v>3.3000000000000002E-2</v>
      </c>
      <c r="H58" s="623">
        <f t="shared" si="4"/>
        <v>0</v>
      </c>
      <c r="I58" s="623">
        <f t="shared" si="5"/>
        <v>0</v>
      </c>
      <c r="J58" s="623"/>
      <c r="K58" s="623">
        <v>2.6679999999999999E-2</v>
      </c>
      <c r="L58" s="623">
        <v>6.3200000000000001E-3</v>
      </c>
      <c r="M58" s="623"/>
      <c r="N58" s="623"/>
      <c r="O58" s="622"/>
      <c r="P58" s="622">
        <v>10.53</v>
      </c>
      <c r="Q58" s="622">
        <v>12.78</v>
      </c>
      <c r="R58" s="622"/>
      <c r="S58" s="622">
        <v>2.2799999999999998</v>
      </c>
      <c r="T58" s="622">
        <v>2.2799999999999998</v>
      </c>
      <c r="U58" s="622">
        <f t="shared" si="11"/>
        <v>0</v>
      </c>
      <c r="V58" s="622">
        <f t="shared" si="11"/>
        <v>8.25</v>
      </c>
      <c r="W58" s="622">
        <f t="shared" si="11"/>
        <v>10.5</v>
      </c>
    </row>
    <row r="59" spans="1:23">
      <c r="A59" s="624">
        <f t="shared" si="12"/>
        <v>20110701</v>
      </c>
      <c r="B59" s="619" t="s">
        <v>25</v>
      </c>
      <c r="C59" s="620" t="s">
        <v>25</v>
      </c>
      <c r="D59" s="620" t="s">
        <v>173</v>
      </c>
      <c r="E59" s="621" t="str">
        <f t="shared" si="10"/>
        <v>20110701KUCIE568</v>
      </c>
      <c r="F59" s="622">
        <v>90</v>
      </c>
      <c r="G59" s="623">
        <f t="shared" si="3"/>
        <v>3.3000000000000002E-2</v>
      </c>
      <c r="H59" s="623">
        <f t="shared" si="4"/>
        <v>0</v>
      </c>
      <c r="I59" s="623">
        <f t="shared" si="5"/>
        <v>0</v>
      </c>
      <c r="J59" s="623"/>
      <c r="K59" s="623">
        <v>2.6679999999999999E-2</v>
      </c>
      <c r="L59" s="623">
        <v>6.3200000000000001E-3</v>
      </c>
      <c r="M59" s="623"/>
      <c r="N59" s="623"/>
      <c r="O59" s="622"/>
      <c r="P59" s="622">
        <v>10.53</v>
      </c>
      <c r="Q59" s="622">
        <v>12.78</v>
      </c>
      <c r="R59" s="622"/>
      <c r="S59" s="622">
        <v>2.2799999999999998</v>
      </c>
      <c r="T59" s="622">
        <v>2.2799999999999998</v>
      </c>
      <c r="U59" s="622">
        <f t="shared" si="11"/>
        <v>0</v>
      </c>
      <c r="V59" s="622">
        <f t="shared" si="11"/>
        <v>8.25</v>
      </c>
      <c r="W59" s="622">
        <f t="shared" si="11"/>
        <v>10.5</v>
      </c>
    </row>
    <row r="60" spans="1:23">
      <c r="A60" s="624">
        <f t="shared" si="12"/>
        <v>20110701</v>
      </c>
      <c r="B60" s="619" t="s">
        <v>25</v>
      </c>
      <c r="C60" s="620" t="s">
        <v>230</v>
      </c>
      <c r="D60" s="620" t="s">
        <v>176</v>
      </c>
      <c r="E60" s="621" t="str">
        <f t="shared" si="10"/>
        <v>20110701KUCIE717</v>
      </c>
      <c r="F60" s="622">
        <v>90</v>
      </c>
      <c r="G60" s="623">
        <f t="shared" si="3"/>
        <v>3.3000000000000002E-2</v>
      </c>
      <c r="H60" s="623">
        <f t="shared" si="4"/>
        <v>0</v>
      </c>
      <c r="I60" s="623">
        <f t="shared" si="5"/>
        <v>0</v>
      </c>
      <c r="J60" s="623"/>
      <c r="K60" s="623">
        <v>2.6679999999999999E-2</v>
      </c>
      <c r="L60" s="623">
        <v>6.3200000000000001E-3</v>
      </c>
      <c r="M60" s="623"/>
      <c r="N60" s="623"/>
      <c r="O60" s="622"/>
      <c r="P60" s="622">
        <v>10.53</v>
      </c>
      <c r="Q60" s="622">
        <v>12.78</v>
      </c>
      <c r="R60" s="622"/>
      <c r="S60" s="622">
        <v>2.2799999999999998</v>
      </c>
      <c r="T60" s="622">
        <v>2.2799999999999998</v>
      </c>
      <c r="U60" s="622">
        <f t="shared" si="11"/>
        <v>0</v>
      </c>
      <c r="V60" s="622">
        <f t="shared" si="11"/>
        <v>8.25</v>
      </c>
      <c r="W60" s="622">
        <f t="shared" si="11"/>
        <v>10.5</v>
      </c>
    </row>
    <row r="61" spans="1:23">
      <c r="A61" s="624">
        <f t="shared" si="12"/>
        <v>20110701</v>
      </c>
      <c r="B61" s="619" t="s">
        <v>221</v>
      </c>
      <c r="C61" s="620" t="s">
        <v>221</v>
      </c>
      <c r="D61" s="620" t="s">
        <v>171</v>
      </c>
      <c r="E61" s="621" t="str">
        <f t="shared" si="10"/>
        <v>20110701KUCIE563</v>
      </c>
      <c r="F61" s="622">
        <v>300</v>
      </c>
      <c r="G61" s="623">
        <f t="shared" si="3"/>
        <v>3.5220000000000001E-2</v>
      </c>
      <c r="H61" s="623">
        <f t="shared" si="4"/>
        <v>0</v>
      </c>
      <c r="I61" s="623">
        <f t="shared" si="5"/>
        <v>0</v>
      </c>
      <c r="J61" s="623"/>
      <c r="K61" s="623">
        <v>2.6679999999999999E-2</v>
      </c>
      <c r="L61" s="623">
        <v>8.5400000000000025E-3</v>
      </c>
      <c r="M61" s="623"/>
      <c r="N61" s="623"/>
      <c r="O61" s="622">
        <v>1.7</v>
      </c>
      <c r="P61" s="622">
        <v>2.73</v>
      </c>
      <c r="Q61" s="622">
        <v>4.09</v>
      </c>
      <c r="R61" s="622">
        <v>1.21</v>
      </c>
      <c r="S61" s="622">
        <f t="shared" ref="S61:S66" si="14">R61</f>
        <v>1.21</v>
      </c>
      <c r="T61" s="622">
        <f t="shared" ref="T61:T66" si="15">R61</f>
        <v>1.21</v>
      </c>
      <c r="U61" s="622">
        <f t="shared" si="11"/>
        <v>0.49</v>
      </c>
      <c r="V61" s="622">
        <f t="shared" si="11"/>
        <v>1.52</v>
      </c>
      <c r="W61" s="622">
        <f t="shared" si="11"/>
        <v>2.88</v>
      </c>
    </row>
    <row r="62" spans="1:23">
      <c r="A62" s="624">
        <f t="shared" si="12"/>
        <v>20110701</v>
      </c>
      <c r="B62" s="619" t="s">
        <v>221</v>
      </c>
      <c r="C62" s="620" t="s">
        <v>221</v>
      </c>
      <c r="D62" s="620" t="s">
        <v>174</v>
      </c>
      <c r="E62" s="621" t="str">
        <f t="shared" si="10"/>
        <v>20110701KUCIE571</v>
      </c>
      <c r="F62" s="622">
        <v>300</v>
      </c>
      <c r="G62" s="623">
        <f t="shared" si="3"/>
        <v>3.5220000000000001E-2</v>
      </c>
      <c r="H62" s="623">
        <f t="shared" si="4"/>
        <v>0</v>
      </c>
      <c r="I62" s="623">
        <f t="shared" si="5"/>
        <v>0</v>
      </c>
      <c r="J62" s="623"/>
      <c r="K62" s="623">
        <v>2.6679999999999999E-2</v>
      </c>
      <c r="L62" s="623">
        <v>8.5400000000000025E-3</v>
      </c>
      <c r="M62" s="623"/>
      <c r="N62" s="623"/>
      <c r="O62" s="622">
        <v>1.7</v>
      </c>
      <c r="P62" s="622">
        <v>2.73</v>
      </c>
      <c r="Q62" s="622">
        <v>4.09</v>
      </c>
      <c r="R62" s="622">
        <v>1.21</v>
      </c>
      <c r="S62" s="622">
        <f t="shared" si="14"/>
        <v>1.21</v>
      </c>
      <c r="T62" s="622">
        <f t="shared" si="15"/>
        <v>1.21</v>
      </c>
      <c r="U62" s="622">
        <f t="shared" si="11"/>
        <v>0.49</v>
      </c>
      <c r="V62" s="622">
        <f t="shared" si="11"/>
        <v>1.52</v>
      </c>
      <c r="W62" s="622">
        <f t="shared" si="11"/>
        <v>2.88</v>
      </c>
    </row>
    <row r="63" spans="1:23">
      <c r="A63" s="624">
        <f t="shared" si="12"/>
        <v>20110701</v>
      </c>
      <c r="B63" s="619" t="s">
        <v>220</v>
      </c>
      <c r="C63" s="620" t="s">
        <v>220</v>
      </c>
      <c r="D63" s="620" t="s">
        <v>175</v>
      </c>
      <c r="E63" s="621" t="str">
        <f t="shared" si="10"/>
        <v>20110701KUCIE572</v>
      </c>
      <c r="F63" s="622">
        <v>200</v>
      </c>
      <c r="G63" s="623">
        <f t="shared" si="3"/>
        <v>3.49E-2</v>
      </c>
      <c r="H63" s="623">
        <f t="shared" si="4"/>
        <v>0</v>
      </c>
      <c r="I63" s="623">
        <f t="shared" si="5"/>
        <v>0</v>
      </c>
      <c r="J63" s="623"/>
      <c r="K63" s="623">
        <v>2.6679999999999999E-2</v>
      </c>
      <c r="L63" s="623">
        <v>8.2200000000000016E-3</v>
      </c>
      <c r="M63" s="623"/>
      <c r="N63" s="623"/>
      <c r="O63" s="622">
        <v>3.53</v>
      </c>
      <c r="P63" s="622">
        <v>2.91</v>
      </c>
      <c r="Q63" s="622">
        <v>4.37</v>
      </c>
      <c r="R63" s="622">
        <v>1.52</v>
      </c>
      <c r="S63" s="622">
        <f t="shared" si="14"/>
        <v>1.52</v>
      </c>
      <c r="T63" s="622">
        <f t="shared" si="15"/>
        <v>1.52</v>
      </c>
      <c r="U63" s="622">
        <f t="shared" si="11"/>
        <v>2.0099999999999998</v>
      </c>
      <c r="V63" s="622">
        <f t="shared" si="11"/>
        <v>1.3900000000000001</v>
      </c>
      <c r="W63" s="622">
        <f t="shared" si="11"/>
        <v>2.85</v>
      </c>
    </row>
    <row r="64" spans="1:23">
      <c r="A64" s="624">
        <f t="shared" si="12"/>
        <v>20110701</v>
      </c>
      <c r="B64" s="619" t="s">
        <v>19</v>
      </c>
      <c r="C64" s="620" t="s">
        <v>19</v>
      </c>
      <c r="D64" s="620" t="s">
        <v>168</v>
      </c>
      <c r="E64" s="621" t="str">
        <f t="shared" si="10"/>
        <v>20110701KUCIE550</v>
      </c>
      <c r="F64" s="622">
        <v>500</v>
      </c>
      <c r="G64" s="623">
        <f t="shared" si="3"/>
        <v>3.4140000000000004E-2</v>
      </c>
      <c r="H64" s="623">
        <f t="shared" si="4"/>
        <v>0</v>
      </c>
      <c r="I64" s="623">
        <f t="shared" si="5"/>
        <v>0</v>
      </c>
      <c r="J64" s="623"/>
      <c r="K64" s="623">
        <v>2.6679999999999999E-2</v>
      </c>
      <c r="L64" s="623">
        <v>7.4600000000000048E-3</v>
      </c>
      <c r="M64" s="623"/>
      <c r="N64" s="623"/>
      <c r="O64" s="622">
        <v>1.04</v>
      </c>
      <c r="P64" s="622">
        <v>2.4900000000000002</v>
      </c>
      <c r="Q64" s="622">
        <v>3.73</v>
      </c>
      <c r="R64" s="622">
        <v>0.9</v>
      </c>
      <c r="S64" s="622">
        <f t="shared" si="14"/>
        <v>0.9</v>
      </c>
      <c r="T64" s="622">
        <f t="shared" si="15"/>
        <v>0.9</v>
      </c>
      <c r="U64" s="622">
        <f t="shared" si="11"/>
        <v>0.14000000000000001</v>
      </c>
      <c r="V64" s="622">
        <f t="shared" si="11"/>
        <v>1.5900000000000003</v>
      </c>
      <c r="W64" s="622">
        <f t="shared" si="11"/>
        <v>2.83</v>
      </c>
    </row>
    <row r="65" spans="1:23">
      <c r="A65" s="624">
        <f t="shared" si="12"/>
        <v>20110701</v>
      </c>
      <c r="B65" s="619" t="s">
        <v>27</v>
      </c>
      <c r="C65" s="620" t="s">
        <v>27</v>
      </c>
      <c r="D65" s="620" t="s">
        <v>231</v>
      </c>
      <c r="E65" s="621" t="str">
        <f t="shared" si="10"/>
        <v>20110701KUINE731</v>
      </c>
      <c r="F65" s="622">
        <v>500</v>
      </c>
      <c r="G65" s="623">
        <f t="shared" si="3"/>
        <v>3.4189999999999998E-2</v>
      </c>
      <c r="H65" s="623">
        <f t="shared" si="4"/>
        <v>0</v>
      </c>
      <c r="I65" s="623">
        <f t="shared" si="5"/>
        <v>0</v>
      </c>
      <c r="J65" s="623"/>
      <c r="K65" s="623">
        <v>2.6679999999999999E-2</v>
      </c>
      <c r="L65" s="623">
        <v>7.5099999999999993E-3</v>
      </c>
      <c r="M65" s="623"/>
      <c r="N65" s="623"/>
      <c r="O65" s="622">
        <v>1.75</v>
      </c>
      <c r="P65" s="622">
        <v>1.59</v>
      </c>
      <c r="Q65" s="622">
        <v>2.48</v>
      </c>
      <c r="R65" s="622">
        <v>0.6</v>
      </c>
      <c r="S65" s="622">
        <f t="shared" si="14"/>
        <v>0.6</v>
      </c>
      <c r="T65" s="622">
        <f t="shared" si="15"/>
        <v>0.6</v>
      </c>
      <c r="U65" s="622">
        <f t="shared" si="11"/>
        <v>1.1499999999999999</v>
      </c>
      <c r="V65" s="622">
        <f t="shared" si="11"/>
        <v>0.9900000000000001</v>
      </c>
      <c r="W65" s="622">
        <f t="shared" si="11"/>
        <v>1.88</v>
      </c>
    </row>
    <row r="66" spans="1:23">
      <c r="A66" s="624">
        <f t="shared" si="12"/>
        <v>20110701</v>
      </c>
      <c r="B66" s="619" t="s">
        <v>28</v>
      </c>
      <c r="C66" s="625" t="s">
        <v>28</v>
      </c>
      <c r="D66" s="625" t="s">
        <v>189</v>
      </c>
      <c r="E66" s="621" t="str">
        <f t="shared" si="10"/>
        <v>20110701KUINE730</v>
      </c>
      <c r="F66" s="622">
        <v>500</v>
      </c>
      <c r="G66" s="623">
        <f t="shared" si="3"/>
        <v>2.947E-2</v>
      </c>
      <c r="H66" s="623">
        <f t="shared" si="4"/>
        <v>0</v>
      </c>
      <c r="I66" s="623">
        <f t="shared" si="5"/>
        <v>0</v>
      </c>
      <c r="J66" s="623"/>
      <c r="K66" s="623">
        <v>2.6679999999999999E-2</v>
      </c>
      <c r="L66" s="623">
        <v>2.7900000000000008E-3</v>
      </c>
      <c r="M66" s="623"/>
      <c r="N66" s="623"/>
      <c r="O66" s="622">
        <v>1</v>
      </c>
      <c r="P66" s="622">
        <v>1.59</v>
      </c>
      <c r="Q66" s="622">
        <v>2.48</v>
      </c>
      <c r="R66" s="622">
        <v>0.6</v>
      </c>
      <c r="S66" s="622">
        <f t="shared" si="14"/>
        <v>0.6</v>
      </c>
      <c r="T66" s="622">
        <f t="shared" si="15"/>
        <v>0.6</v>
      </c>
      <c r="U66" s="622">
        <f t="shared" si="11"/>
        <v>0.4</v>
      </c>
      <c r="V66" s="622">
        <f t="shared" si="11"/>
        <v>0.9900000000000001</v>
      </c>
      <c r="W66" s="622">
        <f t="shared" si="11"/>
        <v>1.88</v>
      </c>
    </row>
    <row r="67" spans="1:23">
      <c r="A67" s="624">
        <f t="shared" si="12"/>
        <v>20110701</v>
      </c>
      <c r="B67" s="619" t="s">
        <v>21</v>
      </c>
      <c r="C67" s="620" t="s">
        <v>21</v>
      </c>
      <c r="D67" s="620" t="s">
        <v>184</v>
      </c>
      <c r="E67" s="621" t="str">
        <f t="shared" si="10"/>
        <v>20110701KUCME295</v>
      </c>
      <c r="F67" s="622">
        <v>3.14</v>
      </c>
      <c r="G67" s="623">
        <f t="shared" si="3"/>
        <v>6.9140000000000007E-2</v>
      </c>
      <c r="H67" s="623">
        <f t="shared" si="4"/>
        <v>0</v>
      </c>
      <c r="I67" s="623">
        <f t="shared" si="5"/>
        <v>0</v>
      </c>
      <c r="J67" s="623">
        <v>6.8399999999999997E-3</v>
      </c>
      <c r="K67" s="623">
        <v>2.6679999999999999E-2</v>
      </c>
      <c r="L67" s="623">
        <v>3.5620000000000013E-2</v>
      </c>
      <c r="M67" s="623"/>
      <c r="N67" s="623"/>
      <c r="O67" s="622"/>
      <c r="P67" s="622"/>
      <c r="Q67" s="622"/>
      <c r="R67" s="622"/>
      <c r="S67" s="622"/>
      <c r="T67" s="622"/>
      <c r="U67" s="622">
        <f t="shared" si="11"/>
        <v>0</v>
      </c>
      <c r="V67" s="622">
        <f t="shared" si="11"/>
        <v>0</v>
      </c>
      <c r="W67" s="622">
        <f t="shared" si="11"/>
        <v>0</v>
      </c>
    </row>
    <row r="68" spans="1:23">
      <c r="A68" s="624">
        <f t="shared" si="12"/>
        <v>20110701</v>
      </c>
      <c r="B68" s="619" t="s">
        <v>21</v>
      </c>
      <c r="C68" s="620" t="s">
        <v>21</v>
      </c>
      <c r="D68" s="625" t="s">
        <v>652</v>
      </c>
      <c r="E68" s="621" t="str">
        <f t="shared" ref="E68:E99" si="16">A68&amp;D68</f>
        <v>20110701KUCME297</v>
      </c>
      <c r="F68" s="622">
        <v>3.14</v>
      </c>
      <c r="G68" s="623">
        <f t="shared" si="3"/>
        <v>6.9140000000000007E-2</v>
      </c>
      <c r="H68" s="623">
        <f t="shared" si="4"/>
        <v>0</v>
      </c>
      <c r="I68" s="623">
        <f t="shared" si="5"/>
        <v>0</v>
      </c>
      <c r="J68" s="623">
        <v>6.8399999999999997E-3</v>
      </c>
      <c r="K68" s="623">
        <v>2.6679999999999999E-2</v>
      </c>
      <c r="L68" s="623">
        <v>3.5619999999999999E-2</v>
      </c>
      <c r="M68" s="623"/>
      <c r="N68" s="623"/>
      <c r="O68" s="622"/>
      <c r="P68" s="622"/>
      <c r="Q68" s="622"/>
      <c r="R68" s="622"/>
      <c r="S68" s="622"/>
      <c r="T68" s="622"/>
      <c r="U68" s="622">
        <f t="shared" si="11"/>
        <v>0</v>
      </c>
      <c r="V68" s="622">
        <f t="shared" si="11"/>
        <v>0</v>
      </c>
      <c r="W68" s="622">
        <f t="shared" si="11"/>
        <v>0</v>
      </c>
    </row>
    <row r="69" spans="1:23">
      <c r="A69" s="624">
        <f t="shared" si="12"/>
        <v>20110701</v>
      </c>
      <c r="B69" s="619" t="s">
        <v>20</v>
      </c>
      <c r="C69" s="620" t="s">
        <v>20</v>
      </c>
      <c r="D69" s="625" t="s">
        <v>233</v>
      </c>
      <c r="E69" s="621" t="str">
        <f t="shared" si="16"/>
        <v>20110701KUCME290</v>
      </c>
      <c r="F69" s="622">
        <v>0</v>
      </c>
      <c r="G69" s="623">
        <f t="shared" si="3"/>
        <v>5.3790000000000004E-2</v>
      </c>
      <c r="H69" s="623">
        <f t="shared" si="4"/>
        <v>0</v>
      </c>
      <c r="I69" s="623">
        <f t="shared" si="5"/>
        <v>0</v>
      </c>
      <c r="J69" s="623">
        <v>6.8399999999999997E-3</v>
      </c>
      <c r="K69" s="623">
        <v>2.6679999999999999E-2</v>
      </c>
      <c r="L69" s="623">
        <v>2.027E-2</v>
      </c>
      <c r="M69" s="623"/>
      <c r="N69" s="623"/>
      <c r="O69" s="622"/>
      <c r="P69" s="622"/>
      <c r="Q69" s="622"/>
      <c r="R69" s="622"/>
      <c r="S69" s="622"/>
      <c r="T69" s="622"/>
      <c r="U69" s="622">
        <f t="shared" si="11"/>
        <v>0</v>
      </c>
      <c r="V69" s="622">
        <f t="shared" si="11"/>
        <v>0</v>
      </c>
      <c r="W69" s="622">
        <f t="shared" si="11"/>
        <v>0</v>
      </c>
    </row>
    <row r="70" spans="1:23">
      <c r="A70" s="624">
        <f t="shared" si="12"/>
        <v>20110701</v>
      </c>
      <c r="B70" s="619" t="s">
        <v>20</v>
      </c>
      <c r="C70" s="620" t="s">
        <v>20</v>
      </c>
      <c r="D70" s="620" t="s">
        <v>232</v>
      </c>
      <c r="E70" s="621" t="str">
        <f t="shared" si="16"/>
        <v>20110701KUCME291</v>
      </c>
      <c r="F70" s="622">
        <v>0</v>
      </c>
      <c r="G70" s="623">
        <f t="shared" si="3"/>
        <v>5.3790000000000004E-2</v>
      </c>
      <c r="H70" s="623">
        <f t="shared" si="4"/>
        <v>0</v>
      </c>
      <c r="I70" s="623">
        <f t="shared" si="5"/>
        <v>0</v>
      </c>
      <c r="J70" s="623">
        <v>6.8399999999999997E-3</v>
      </c>
      <c r="K70" s="623">
        <v>2.6679999999999999E-2</v>
      </c>
      <c r="L70" s="623">
        <v>2.027E-2</v>
      </c>
      <c r="M70" s="623"/>
      <c r="N70" s="623"/>
      <c r="O70" s="622"/>
      <c r="P70" s="622"/>
      <c r="Q70" s="622"/>
      <c r="R70" s="622"/>
      <c r="S70" s="622"/>
      <c r="T70" s="622"/>
      <c r="U70" s="622">
        <f t="shared" si="11"/>
        <v>0</v>
      </c>
      <c r="V70" s="622">
        <f t="shared" si="11"/>
        <v>0</v>
      </c>
      <c r="W70" s="622">
        <f t="shared" si="11"/>
        <v>0</v>
      </c>
    </row>
    <row r="71" spans="1:23">
      <c r="A71" s="624">
        <f t="shared" si="12"/>
        <v>20110701</v>
      </c>
      <c r="B71" s="619" t="s">
        <v>20</v>
      </c>
      <c r="C71" s="620" t="s">
        <v>20</v>
      </c>
      <c r="D71" s="625" t="s">
        <v>234</v>
      </c>
      <c r="E71" s="621" t="str">
        <f t="shared" si="16"/>
        <v>20110701KUCME292</v>
      </c>
      <c r="F71" s="622">
        <v>0</v>
      </c>
      <c r="G71" s="623">
        <f t="shared" si="3"/>
        <v>5.3790000000000004E-2</v>
      </c>
      <c r="H71" s="623">
        <f t="shared" si="4"/>
        <v>0</v>
      </c>
      <c r="I71" s="623">
        <f t="shared" si="5"/>
        <v>0</v>
      </c>
      <c r="J71" s="623">
        <v>6.8399999999999997E-3</v>
      </c>
      <c r="K71" s="623">
        <v>2.6679999999999999E-2</v>
      </c>
      <c r="L71" s="623">
        <v>2.027E-2</v>
      </c>
      <c r="M71" s="623"/>
      <c r="N71" s="623"/>
      <c r="O71" s="622"/>
      <c r="P71" s="622"/>
      <c r="Q71" s="622"/>
      <c r="R71" s="622"/>
      <c r="S71" s="622"/>
      <c r="T71" s="622"/>
      <c r="U71" s="622">
        <f t="shared" si="11"/>
        <v>0</v>
      </c>
      <c r="V71" s="622">
        <f t="shared" si="11"/>
        <v>0</v>
      </c>
      <c r="W71" s="622">
        <f t="shared" si="11"/>
        <v>0</v>
      </c>
    </row>
    <row r="72" spans="1:23">
      <c r="A72" s="628">
        <v>20120301</v>
      </c>
      <c r="B72" s="629" t="s">
        <v>15</v>
      </c>
      <c r="C72" s="630" t="s">
        <v>15</v>
      </c>
      <c r="D72" s="630" t="s">
        <v>190</v>
      </c>
      <c r="E72" s="631" t="str">
        <f t="shared" si="16"/>
        <v>20120301KURSE010</v>
      </c>
      <c r="F72" s="632">
        <v>8.5</v>
      </c>
      <c r="G72" s="633">
        <v>6.9870000000000002E-2</v>
      </c>
      <c r="H72" s="633">
        <v>0</v>
      </c>
      <c r="I72" s="633">
        <v>0</v>
      </c>
      <c r="J72" s="633">
        <v>9.5200000000000007E-3</v>
      </c>
      <c r="K72" s="633">
        <v>2.6679999999999999E-2</v>
      </c>
      <c r="L72" s="633">
        <f>G72-J72-K72</f>
        <v>3.3670000000000005E-2</v>
      </c>
      <c r="M72" s="633"/>
      <c r="N72" s="633"/>
      <c r="O72" s="632"/>
      <c r="P72" s="632"/>
      <c r="Q72" s="632"/>
      <c r="R72" s="632"/>
      <c r="S72" s="632"/>
      <c r="T72" s="632"/>
      <c r="U72" s="632">
        <f t="shared" si="11"/>
        <v>0</v>
      </c>
      <c r="V72" s="632">
        <f t="shared" si="11"/>
        <v>0</v>
      </c>
      <c r="W72" s="632">
        <f t="shared" si="11"/>
        <v>0</v>
      </c>
    </row>
    <row r="73" spans="1:23">
      <c r="A73" s="628">
        <v>20120301</v>
      </c>
      <c r="B73" s="629" t="s">
        <v>15</v>
      </c>
      <c r="C73" s="630" t="s">
        <v>15</v>
      </c>
      <c r="D73" s="634" t="s">
        <v>191</v>
      </c>
      <c r="E73" s="631" t="str">
        <f t="shared" si="16"/>
        <v>20120301KURSE020</v>
      </c>
      <c r="F73" s="632">
        <v>8.5</v>
      </c>
      <c r="G73" s="633">
        <v>6.9870000000000002E-2</v>
      </c>
      <c r="H73" s="633">
        <v>0</v>
      </c>
      <c r="I73" s="633">
        <v>0</v>
      </c>
      <c r="J73" s="633">
        <v>9.5200000000000007E-3</v>
      </c>
      <c r="K73" s="633">
        <v>2.6679999999999999E-2</v>
      </c>
      <c r="L73" s="633">
        <f t="shared" ref="L73:L105" si="17">G73-J73-K73</f>
        <v>3.3670000000000005E-2</v>
      </c>
      <c r="M73" s="633"/>
      <c r="N73" s="633"/>
      <c r="O73" s="632"/>
      <c r="P73" s="632"/>
      <c r="Q73" s="632"/>
      <c r="R73" s="632"/>
      <c r="S73" s="632"/>
      <c r="T73" s="632"/>
      <c r="U73" s="632">
        <f t="shared" si="11"/>
        <v>0</v>
      </c>
      <c r="V73" s="632">
        <f t="shared" si="11"/>
        <v>0</v>
      </c>
      <c r="W73" s="632">
        <f t="shared" si="11"/>
        <v>0</v>
      </c>
    </row>
    <row r="74" spans="1:23">
      <c r="A74" s="628">
        <v>20120301</v>
      </c>
      <c r="B74" s="629" t="s">
        <v>15</v>
      </c>
      <c r="C74" s="634" t="s">
        <v>223</v>
      </c>
      <c r="D74" s="634" t="s">
        <v>192</v>
      </c>
      <c r="E74" s="631" t="str">
        <f t="shared" si="16"/>
        <v>20120301KURSE025</v>
      </c>
      <c r="F74" s="632">
        <v>8.5</v>
      </c>
      <c r="G74" s="633">
        <v>6.9870000000000002E-2</v>
      </c>
      <c r="H74" s="633">
        <v>0</v>
      </c>
      <c r="I74" s="633">
        <v>0</v>
      </c>
      <c r="J74" s="633">
        <v>9.5200000000000007E-3</v>
      </c>
      <c r="K74" s="633">
        <v>2.6679999999999999E-2</v>
      </c>
      <c r="L74" s="633">
        <f t="shared" si="17"/>
        <v>3.3670000000000005E-2</v>
      </c>
      <c r="M74" s="633"/>
      <c r="N74" s="633"/>
      <c r="O74" s="632"/>
      <c r="P74" s="632"/>
      <c r="Q74" s="632"/>
      <c r="R74" s="632"/>
      <c r="S74" s="632"/>
      <c r="T74" s="632"/>
      <c r="U74" s="632">
        <f t="shared" si="11"/>
        <v>0</v>
      </c>
      <c r="V74" s="632">
        <f t="shared" si="11"/>
        <v>0</v>
      </c>
      <c r="W74" s="632">
        <f t="shared" si="11"/>
        <v>0</v>
      </c>
    </row>
    <row r="75" spans="1:23">
      <c r="A75" s="628">
        <v>20120301</v>
      </c>
      <c r="B75" s="629" t="s">
        <v>810</v>
      </c>
      <c r="C75" s="630" t="s">
        <v>17</v>
      </c>
      <c r="D75" s="634" t="s">
        <v>193</v>
      </c>
      <c r="E75" s="631" t="str">
        <f t="shared" si="16"/>
        <v>20120301KURSE080</v>
      </c>
      <c r="F75" s="632">
        <v>8.5</v>
      </c>
      <c r="G75" s="633">
        <v>6.9870000000000002E-2</v>
      </c>
      <c r="H75" s="633">
        <v>0</v>
      </c>
      <c r="I75" s="633">
        <v>0</v>
      </c>
      <c r="J75" s="633">
        <v>9.5200000000000007E-3</v>
      </c>
      <c r="K75" s="633">
        <v>2.6679999999999999E-2</v>
      </c>
      <c r="L75" s="633">
        <f t="shared" si="17"/>
        <v>3.3670000000000005E-2</v>
      </c>
      <c r="M75" s="633"/>
      <c r="N75" s="633"/>
      <c r="O75" s="632"/>
      <c r="P75" s="632"/>
      <c r="Q75" s="632"/>
      <c r="R75" s="632"/>
      <c r="S75" s="632"/>
      <c r="T75" s="632"/>
      <c r="U75" s="632">
        <f t="shared" si="11"/>
        <v>0</v>
      </c>
      <c r="V75" s="632">
        <f t="shared" si="11"/>
        <v>0</v>
      </c>
      <c r="W75" s="632">
        <f t="shared" si="11"/>
        <v>0</v>
      </c>
    </row>
    <row r="76" spans="1:23">
      <c r="A76" s="628">
        <v>20120301</v>
      </c>
      <c r="B76" s="629" t="s">
        <v>15</v>
      </c>
      <c r="C76" s="630" t="s">
        <v>16</v>
      </c>
      <c r="D76" s="634" t="s">
        <v>194</v>
      </c>
      <c r="E76" s="631" t="str">
        <f t="shared" si="16"/>
        <v>20120301KURSE715</v>
      </c>
      <c r="F76" s="632">
        <v>8.5</v>
      </c>
      <c r="G76" s="633">
        <v>6.9870000000000002E-2</v>
      </c>
      <c r="H76" s="633">
        <v>0</v>
      </c>
      <c r="I76" s="633">
        <v>0</v>
      </c>
      <c r="J76" s="633">
        <v>9.5200000000000007E-3</v>
      </c>
      <c r="K76" s="633">
        <v>2.6679999999999999E-2</v>
      </c>
      <c r="L76" s="633">
        <f t="shared" si="17"/>
        <v>3.3670000000000005E-2</v>
      </c>
      <c r="M76" s="633"/>
      <c r="N76" s="633"/>
      <c r="O76" s="632"/>
      <c r="P76" s="632"/>
      <c r="Q76" s="632"/>
      <c r="R76" s="632"/>
      <c r="S76" s="632"/>
      <c r="T76" s="632"/>
      <c r="U76" s="632">
        <f t="shared" si="11"/>
        <v>0</v>
      </c>
      <c r="V76" s="632">
        <f t="shared" si="11"/>
        <v>0</v>
      </c>
      <c r="W76" s="632">
        <f t="shared" si="11"/>
        <v>0</v>
      </c>
    </row>
    <row r="77" spans="1:23">
      <c r="A77" s="628">
        <v>20120301</v>
      </c>
      <c r="B77" s="629" t="s">
        <v>807</v>
      </c>
      <c r="C77" s="630" t="s">
        <v>222</v>
      </c>
      <c r="D77" s="634" t="s">
        <v>477</v>
      </c>
      <c r="E77" s="631" t="str">
        <f t="shared" si="16"/>
        <v>20120301KURSE040</v>
      </c>
      <c r="F77" s="632">
        <v>8.5</v>
      </c>
      <c r="G77" s="633">
        <v>4.904E-2</v>
      </c>
      <c r="H77" s="633">
        <v>7.0050000000000001E-2</v>
      </c>
      <c r="I77" s="633">
        <v>0.13314999999999999</v>
      </c>
      <c r="J77" s="633">
        <v>9.5200000000000007E-3</v>
      </c>
      <c r="K77" s="633">
        <f>K76</f>
        <v>2.6679999999999999E-2</v>
      </c>
      <c r="L77" s="633">
        <f t="shared" si="17"/>
        <v>1.2840000000000001E-2</v>
      </c>
      <c r="M77" s="633">
        <f>H77-J77-K77</f>
        <v>3.3850000000000005E-2</v>
      </c>
      <c r="N77" s="633">
        <f>I77-J77-K77</f>
        <v>9.6949999999999995E-2</v>
      </c>
      <c r="O77" s="632"/>
      <c r="P77" s="632"/>
      <c r="Q77" s="632"/>
      <c r="R77" s="632"/>
      <c r="S77" s="632"/>
      <c r="T77" s="632"/>
      <c r="U77" s="632">
        <f t="shared" si="11"/>
        <v>0</v>
      </c>
      <c r="V77" s="632">
        <f t="shared" si="11"/>
        <v>0</v>
      </c>
      <c r="W77" s="632">
        <f t="shared" si="11"/>
        <v>0</v>
      </c>
    </row>
    <row r="78" spans="1:23">
      <c r="A78" s="628">
        <v>20120301</v>
      </c>
      <c r="B78" s="629" t="s">
        <v>224</v>
      </c>
      <c r="C78" s="630" t="s">
        <v>224</v>
      </c>
      <c r="D78" s="630" t="s">
        <v>177</v>
      </c>
      <c r="E78" s="631" t="str">
        <f t="shared" si="16"/>
        <v>20120301KUCME110</v>
      </c>
      <c r="F78" s="632">
        <v>17.5</v>
      </c>
      <c r="G78" s="633">
        <v>8.3320000000000005E-2</v>
      </c>
      <c r="H78" s="633">
        <v>0</v>
      </c>
      <c r="I78" s="633">
        <v>0</v>
      </c>
      <c r="J78" s="633">
        <v>1.4149999999999999E-2</v>
      </c>
      <c r="K78" s="633">
        <v>2.6679999999999999E-2</v>
      </c>
      <c r="L78" s="633">
        <f t="shared" si="17"/>
        <v>4.2490000000000014E-2</v>
      </c>
      <c r="M78" s="633"/>
      <c r="N78" s="633"/>
      <c r="O78" s="632"/>
      <c r="P78" s="632"/>
      <c r="Q78" s="632"/>
      <c r="R78" s="632"/>
      <c r="S78" s="632"/>
      <c r="T78" s="632"/>
      <c r="U78" s="632">
        <f t="shared" si="11"/>
        <v>0</v>
      </c>
      <c r="V78" s="632">
        <f t="shared" si="11"/>
        <v>0</v>
      </c>
      <c r="W78" s="632">
        <f t="shared" si="11"/>
        <v>0</v>
      </c>
    </row>
    <row r="79" spans="1:23">
      <c r="A79" s="628">
        <v>20120301</v>
      </c>
      <c r="B79" s="629" t="s">
        <v>224</v>
      </c>
      <c r="C79" s="630" t="s">
        <v>224</v>
      </c>
      <c r="D79" s="634" t="s">
        <v>178</v>
      </c>
      <c r="E79" s="631" t="str">
        <f t="shared" si="16"/>
        <v>20120301KUCME112</v>
      </c>
      <c r="F79" s="632">
        <v>17.5</v>
      </c>
      <c r="G79" s="633">
        <v>8.3320000000000005E-2</v>
      </c>
      <c r="H79" s="633">
        <v>0</v>
      </c>
      <c r="I79" s="633">
        <v>0</v>
      </c>
      <c r="J79" s="633">
        <v>1.4149999999999999E-2</v>
      </c>
      <c r="K79" s="633">
        <v>2.6679999999999999E-2</v>
      </c>
      <c r="L79" s="633">
        <f t="shared" si="17"/>
        <v>4.2490000000000014E-2</v>
      </c>
      <c r="M79" s="633"/>
      <c r="N79" s="633"/>
      <c r="O79" s="632"/>
      <c r="P79" s="632"/>
      <c r="Q79" s="632"/>
      <c r="R79" s="632"/>
      <c r="S79" s="632"/>
      <c r="T79" s="632"/>
      <c r="U79" s="632">
        <f t="shared" si="11"/>
        <v>0</v>
      </c>
      <c r="V79" s="632">
        <f t="shared" si="11"/>
        <v>0</v>
      </c>
      <c r="W79" s="632">
        <f t="shared" si="11"/>
        <v>0</v>
      </c>
    </row>
    <row r="80" spans="1:23">
      <c r="A80" s="628">
        <v>20120301</v>
      </c>
      <c r="B80" s="629" t="s">
        <v>224</v>
      </c>
      <c r="C80" s="630" t="s">
        <v>225</v>
      </c>
      <c r="D80" s="630" t="s">
        <v>185</v>
      </c>
      <c r="E80" s="631" t="str">
        <f t="shared" si="16"/>
        <v>20120301KUCME710</v>
      </c>
      <c r="F80" s="632">
        <v>17.5</v>
      </c>
      <c r="G80" s="633">
        <v>8.3320000000000005E-2</v>
      </c>
      <c r="H80" s="633">
        <v>0</v>
      </c>
      <c r="I80" s="633">
        <v>0</v>
      </c>
      <c r="J80" s="633">
        <v>1.4149999999999999E-2</v>
      </c>
      <c r="K80" s="633">
        <v>2.6679999999999999E-2</v>
      </c>
      <c r="L80" s="633">
        <f t="shared" si="17"/>
        <v>4.2490000000000014E-2</v>
      </c>
      <c r="M80" s="633"/>
      <c r="N80" s="633"/>
      <c r="O80" s="632"/>
      <c r="P80" s="632"/>
      <c r="Q80" s="632"/>
      <c r="R80" s="632"/>
      <c r="S80" s="632"/>
      <c r="T80" s="632"/>
      <c r="U80" s="632">
        <f t="shared" si="11"/>
        <v>0</v>
      </c>
      <c r="V80" s="632">
        <f t="shared" si="11"/>
        <v>0</v>
      </c>
      <c r="W80" s="632">
        <f t="shared" si="11"/>
        <v>0</v>
      </c>
    </row>
    <row r="81" spans="1:23">
      <c r="A81" s="628">
        <v>20120301</v>
      </c>
      <c r="B81" s="635" t="s">
        <v>18</v>
      </c>
      <c r="C81" s="630" t="s">
        <v>18</v>
      </c>
      <c r="D81" s="630" t="s">
        <v>179</v>
      </c>
      <c r="E81" s="631" t="str">
        <f t="shared" si="16"/>
        <v>20120301KUCME113</v>
      </c>
      <c r="F81" s="632">
        <v>32.5</v>
      </c>
      <c r="G81" s="633">
        <v>8.3320000000000005E-2</v>
      </c>
      <c r="H81" s="633">
        <v>0</v>
      </c>
      <c r="I81" s="633">
        <v>0</v>
      </c>
      <c r="J81" s="633">
        <v>1.4149999999999999E-2</v>
      </c>
      <c r="K81" s="633">
        <v>2.6679999999999999E-2</v>
      </c>
      <c r="L81" s="633">
        <f t="shared" si="17"/>
        <v>4.2490000000000014E-2</v>
      </c>
      <c r="M81" s="633"/>
      <c r="N81" s="633"/>
      <c r="O81" s="632"/>
      <c r="P81" s="632"/>
      <c r="Q81" s="632"/>
      <c r="R81" s="632"/>
      <c r="S81" s="632"/>
      <c r="T81" s="632"/>
      <c r="U81" s="632">
        <f t="shared" si="11"/>
        <v>0</v>
      </c>
      <c r="V81" s="632">
        <f t="shared" si="11"/>
        <v>0</v>
      </c>
      <c r="W81" s="632">
        <f t="shared" si="11"/>
        <v>0</v>
      </c>
    </row>
    <row r="82" spans="1:23">
      <c r="A82" s="628">
        <v>20120301</v>
      </c>
      <c r="B82" s="629" t="s">
        <v>224</v>
      </c>
      <c r="C82" s="630" t="s">
        <v>226</v>
      </c>
      <c r="D82" s="634" t="s">
        <v>186</v>
      </c>
      <c r="E82" s="631" t="str">
        <f t="shared" si="16"/>
        <v>20120301KUCME713</v>
      </c>
      <c r="F82" s="632">
        <v>32.5</v>
      </c>
      <c r="G82" s="633">
        <v>8.3320000000000005E-2</v>
      </c>
      <c r="H82" s="633">
        <v>0</v>
      </c>
      <c r="I82" s="633">
        <v>0</v>
      </c>
      <c r="J82" s="633">
        <v>1.4149999999999999E-2</v>
      </c>
      <c r="K82" s="633">
        <v>2.6679999999999999E-2</v>
      </c>
      <c r="L82" s="633">
        <f t="shared" si="17"/>
        <v>4.2490000000000014E-2</v>
      </c>
      <c r="M82" s="633"/>
      <c r="N82" s="633"/>
      <c r="O82" s="632"/>
      <c r="P82" s="632"/>
      <c r="Q82" s="632"/>
      <c r="R82" s="632"/>
      <c r="S82" s="632"/>
      <c r="T82" s="632"/>
      <c r="U82" s="632">
        <f t="shared" si="11"/>
        <v>0</v>
      </c>
      <c r="V82" s="632">
        <f t="shared" si="11"/>
        <v>0</v>
      </c>
      <c r="W82" s="632">
        <f t="shared" si="11"/>
        <v>0</v>
      </c>
    </row>
    <row r="83" spans="1:23">
      <c r="A83" s="628">
        <v>20120301</v>
      </c>
      <c r="B83" s="629" t="s">
        <v>219</v>
      </c>
      <c r="C83" s="630" t="s">
        <v>219</v>
      </c>
      <c r="D83" s="630" t="s">
        <v>180</v>
      </c>
      <c r="E83" s="631" t="str">
        <f t="shared" si="16"/>
        <v>20120301KUCME220</v>
      </c>
      <c r="F83" s="632">
        <v>17.5</v>
      </c>
      <c r="G83" s="633">
        <v>6.6699999999999995E-2</v>
      </c>
      <c r="H83" s="633">
        <v>0</v>
      </c>
      <c r="I83" s="633">
        <v>0</v>
      </c>
      <c r="J83" s="633">
        <v>8.43E-3</v>
      </c>
      <c r="K83" s="633">
        <v>2.6679999999999999E-2</v>
      </c>
      <c r="L83" s="633">
        <f t="shared" si="17"/>
        <v>3.1589999999999993E-2</v>
      </c>
      <c r="M83" s="633"/>
      <c r="N83" s="633"/>
      <c r="O83" s="632"/>
      <c r="P83" s="632"/>
      <c r="Q83" s="632"/>
      <c r="R83" s="632"/>
      <c r="S83" s="632"/>
      <c r="T83" s="632"/>
      <c r="U83" s="632">
        <f t="shared" si="11"/>
        <v>0</v>
      </c>
      <c r="V83" s="632">
        <f t="shared" si="11"/>
        <v>0</v>
      </c>
      <c r="W83" s="632">
        <f t="shared" si="11"/>
        <v>0</v>
      </c>
    </row>
    <row r="84" spans="1:23">
      <c r="A84" s="628">
        <v>20120301</v>
      </c>
      <c r="B84" s="629" t="s">
        <v>219</v>
      </c>
      <c r="C84" s="630" t="s">
        <v>219</v>
      </c>
      <c r="D84" s="630" t="s">
        <v>181</v>
      </c>
      <c r="E84" s="631" t="str">
        <f t="shared" si="16"/>
        <v>20120301KUCME221</v>
      </c>
      <c r="F84" s="632">
        <v>17.5</v>
      </c>
      <c r="G84" s="633">
        <v>6.6699999999999995E-2</v>
      </c>
      <c r="H84" s="633">
        <v>0</v>
      </c>
      <c r="I84" s="633">
        <v>0</v>
      </c>
      <c r="J84" s="633">
        <v>8.43E-3</v>
      </c>
      <c r="K84" s="633">
        <v>2.6679999999999999E-2</v>
      </c>
      <c r="L84" s="633">
        <f t="shared" si="17"/>
        <v>3.1589999999999993E-2</v>
      </c>
      <c r="M84" s="633"/>
      <c r="N84" s="633"/>
      <c r="O84" s="632"/>
      <c r="P84" s="632"/>
      <c r="Q84" s="632"/>
      <c r="R84" s="632"/>
      <c r="S84" s="632"/>
      <c r="T84" s="632"/>
      <c r="U84" s="632">
        <f t="shared" ref="U84:W86" si="18">O84-R84</f>
        <v>0</v>
      </c>
      <c r="V84" s="632">
        <f t="shared" si="18"/>
        <v>0</v>
      </c>
      <c r="W84" s="632">
        <f t="shared" si="18"/>
        <v>0</v>
      </c>
    </row>
    <row r="85" spans="1:23">
      <c r="A85" s="628">
        <v>20120301</v>
      </c>
      <c r="B85" s="629" t="s">
        <v>219</v>
      </c>
      <c r="C85" s="630" t="s">
        <v>228</v>
      </c>
      <c r="D85" s="630" t="s">
        <v>182</v>
      </c>
      <c r="E85" s="631" t="str">
        <f t="shared" si="16"/>
        <v>20120301KUCME223</v>
      </c>
      <c r="F85" s="632">
        <v>32.5</v>
      </c>
      <c r="G85" s="633">
        <v>6.6699999999999995E-2</v>
      </c>
      <c r="H85" s="633">
        <v>0</v>
      </c>
      <c r="I85" s="633">
        <v>0</v>
      </c>
      <c r="J85" s="633">
        <v>8.43E-3</v>
      </c>
      <c r="K85" s="633">
        <v>2.6679999999999999E-2</v>
      </c>
      <c r="L85" s="633">
        <f t="shared" si="17"/>
        <v>3.1589999999999993E-2</v>
      </c>
      <c r="M85" s="633"/>
      <c r="N85" s="633"/>
      <c r="O85" s="632"/>
      <c r="P85" s="632"/>
      <c r="Q85" s="632"/>
      <c r="R85" s="632"/>
      <c r="S85" s="632"/>
      <c r="T85" s="632"/>
      <c r="U85" s="632">
        <f t="shared" si="18"/>
        <v>0</v>
      </c>
      <c r="V85" s="632">
        <f t="shared" si="18"/>
        <v>0</v>
      </c>
      <c r="W85" s="632">
        <f t="shared" si="18"/>
        <v>0</v>
      </c>
    </row>
    <row r="86" spans="1:23">
      <c r="A86" s="628">
        <v>20120301</v>
      </c>
      <c r="B86" s="629" t="s">
        <v>219</v>
      </c>
      <c r="C86" s="630" t="s">
        <v>228</v>
      </c>
      <c r="D86" s="630" t="s">
        <v>183</v>
      </c>
      <c r="E86" s="631" t="str">
        <f t="shared" si="16"/>
        <v>20120301KUCME224</v>
      </c>
      <c r="F86" s="632">
        <v>32.5</v>
      </c>
      <c r="G86" s="633">
        <v>6.6699999999999995E-2</v>
      </c>
      <c r="H86" s="633">
        <v>0</v>
      </c>
      <c r="I86" s="633">
        <v>0</v>
      </c>
      <c r="J86" s="633">
        <v>8.43E-3</v>
      </c>
      <c r="K86" s="633">
        <v>2.6679999999999999E-2</v>
      </c>
      <c r="L86" s="633">
        <f t="shared" si="17"/>
        <v>3.1589999999999993E-2</v>
      </c>
      <c r="M86" s="633"/>
      <c r="N86" s="633"/>
      <c r="O86" s="632"/>
      <c r="P86" s="632"/>
      <c r="Q86" s="632"/>
      <c r="R86" s="632"/>
      <c r="S86" s="632"/>
      <c r="T86" s="632"/>
      <c r="U86" s="632">
        <f t="shared" si="18"/>
        <v>0</v>
      </c>
      <c r="V86" s="632">
        <f t="shared" si="18"/>
        <v>0</v>
      </c>
      <c r="W86" s="632">
        <f t="shared" si="18"/>
        <v>0</v>
      </c>
    </row>
    <row r="87" spans="1:23">
      <c r="A87" s="628">
        <v>20120301</v>
      </c>
      <c r="B87" s="629" t="s">
        <v>219</v>
      </c>
      <c r="C87" s="630" t="s">
        <v>228</v>
      </c>
      <c r="D87" s="634" t="s">
        <v>720</v>
      </c>
      <c r="E87" s="631" t="str">
        <f t="shared" si="16"/>
        <v>20120301KUCME225</v>
      </c>
      <c r="F87" s="632">
        <v>32.5</v>
      </c>
      <c r="G87" s="633">
        <v>6.6699999999999995E-2</v>
      </c>
      <c r="H87" s="633">
        <v>0</v>
      </c>
      <c r="I87" s="633">
        <v>0</v>
      </c>
      <c r="J87" s="633">
        <v>8.43E-3</v>
      </c>
      <c r="K87" s="633">
        <v>2.6679999999999999E-2</v>
      </c>
      <c r="L87" s="633">
        <f t="shared" si="17"/>
        <v>3.1589999999999993E-2</v>
      </c>
      <c r="M87" s="633"/>
      <c r="N87" s="633"/>
      <c r="O87" s="632"/>
      <c r="P87" s="632"/>
      <c r="Q87" s="632"/>
      <c r="R87" s="632"/>
      <c r="S87" s="632"/>
      <c r="T87" s="632"/>
      <c r="U87" s="632">
        <f t="shared" si="11"/>
        <v>0</v>
      </c>
      <c r="V87" s="632">
        <f t="shared" si="11"/>
        <v>0</v>
      </c>
      <c r="W87" s="632">
        <f t="shared" si="11"/>
        <v>0</v>
      </c>
    </row>
    <row r="88" spans="1:23">
      <c r="A88" s="628">
        <v>20120301</v>
      </c>
      <c r="B88" s="629" t="s">
        <v>219</v>
      </c>
      <c r="C88" s="630" t="s">
        <v>219</v>
      </c>
      <c r="D88" s="634" t="s">
        <v>721</v>
      </c>
      <c r="E88" s="631" t="str">
        <f t="shared" si="16"/>
        <v>20120301KUCME226</v>
      </c>
      <c r="F88" s="632">
        <v>17.5</v>
      </c>
      <c r="G88" s="633">
        <v>6.6699999999999995E-2</v>
      </c>
      <c r="H88" s="633">
        <v>0</v>
      </c>
      <c r="I88" s="633">
        <v>0</v>
      </c>
      <c r="J88" s="633">
        <v>8.43E-3</v>
      </c>
      <c r="K88" s="633">
        <v>2.6679999999999999E-2</v>
      </c>
      <c r="L88" s="633">
        <f t="shared" si="17"/>
        <v>3.1589999999999993E-2</v>
      </c>
      <c r="M88" s="633"/>
      <c r="N88" s="633"/>
      <c r="O88" s="632"/>
      <c r="P88" s="632"/>
      <c r="Q88" s="632"/>
      <c r="R88" s="632"/>
      <c r="S88" s="632"/>
      <c r="T88" s="632"/>
      <c r="U88" s="632">
        <f t="shared" si="11"/>
        <v>0</v>
      </c>
      <c r="V88" s="632">
        <f t="shared" si="11"/>
        <v>0</v>
      </c>
      <c r="W88" s="632">
        <f t="shared" si="11"/>
        <v>0</v>
      </c>
    </row>
    <row r="89" spans="1:23">
      <c r="A89" s="628">
        <v>20120301</v>
      </c>
      <c r="B89" s="629" t="s">
        <v>219</v>
      </c>
      <c r="C89" s="634" t="s">
        <v>228</v>
      </c>
      <c r="D89" s="634" t="s">
        <v>722</v>
      </c>
      <c r="E89" s="631" t="str">
        <f t="shared" si="16"/>
        <v>20120301KUCME227</v>
      </c>
      <c r="F89" s="632">
        <v>32.5</v>
      </c>
      <c r="G89" s="633">
        <v>6.6699999999999995E-2</v>
      </c>
      <c r="H89" s="633">
        <v>0</v>
      </c>
      <c r="I89" s="633">
        <v>0</v>
      </c>
      <c r="J89" s="633">
        <v>8.43E-3</v>
      </c>
      <c r="K89" s="633">
        <v>2.6679999999999999E-2</v>
      </c>
      <c r="L89" s="633">
        <f t="shared" si="17"/>
        <v>3.1589999999999993E-2</v>
      </c>
      <c r="M89" s="633"/>
      <c r="N89" s="633"/>
      <c r="O89" s="632"/>
      <c r="P89" s="632"/>
      <c r="Q89" s="632"/>
      <c r="R89" s="632"/>
      <c r="S89" s="632"/>
      <c r="T89" s="632"/>
      <c r="U89" s="632">
        <f t="shared" si="11"/>
        <v>0</v>
      </c>
      <c r="V89" s="632">
        <f t="shared" si="11"/>
        <v>0</v>
      </c>
      <c r="W89" s="632">
        <f t="shared" si="11"/>
        <v>0</v>
      </c>
    </row>
    <row r="90" spans="1:23">
      <c r="A90" s="628">
        <v>20120301</v>
      </c>
      <c r="B90" s="629" t="s">
        <v>26</v>
      </c>
      <c r="C90" s="630" t="s">
        <v>26</v>
      </c>
      <c r="D90" s="634" t="s">
        <v>169</v>
      </c>
      <c r="E90" s="631" t="str">
        <f t="shared" si="16"/>
        <v>20120301KUCIE561</v>
      </c>
      <c r="F90" s="632">
        <v>90</v>
      </c>
      <c r="G90" s="633">
        <v>3.3000000000000002E-2</v>
      </c>
      <c r="H90" s="633">
        <v>0</v>
      </c>
      <c r="I90" s="633">
        <v>0</v>
      </c>
      <c r="J90" s="633"/>
      <c r="K90" s="633">
        <v>2.6679999999999999E-2</v>
      </c>
      <c r="L90" s="633">
        <f t="shared" si="17"/>
        <v>6.3200000000000027E-3</v>
      </c>
      <c r="M90" s="633"/>
      <c r="N90" s="633"/>
      <c r="O90" s="632"/>
      <c r="P90" s="632">
        <v>11.45</v>
      </c>
      <c r="Q90" s="632">
        <v>13.72</v>
      </c>
      <c r="R90" s="632"/>
      <c r="S90" s="632">
        <v>3.4</v>
      </c>
      <c r="T90" s="632">
        <v>3.4</v>
      </c>
      <c r="U90" s="632">
        <f t="shared" si="11"/>
        <v>0</v>
      </c>
      <c r="V90" s="632">
        <f t="shared" si="11"/>
        <v>8.0499999999999989</v>
      </c>
      <c r="W90" s="632">
        <f t="shared" si="11"/>
        <v>10.32</v>
      </c>
    </row>
    <row r="91" spans="1:23">
      <c r="A91" s="628">
        <v>20120301</v>
      </c>
      <c r="B91" s="629" t="s">
        <v>26</v>
      </c>
      <c r="C91" s="630" t="s">
        <v>26</v>
      </c>
      <c r="D91" s="634" t="s">
        <v>172</v>
      </c>
      <c r="E91" s="631" t="str">
        <f t="shared" si="16"/>
        <v>20120301KUCIE566</v>
      </c>
      <c r="F91" s="632">
        <v>90</v>
      </c>
      <c r="G91" s="633">
        <v>3.3000000000000002E-2</v>
      </c>
      <c r="H91" s="633">
        <v>0</v>
      </c>
      <c r="I91" s="633">
        <v>0</v>
      </c>
      <c r="J91" s="633"/>
      <c r="K91" s="633">
        <v>2.6679999999999999E-2</v>
      </c>
      <c r="L91" s="633">
        <f t="shared" si="17"/>
        <v>6.3200000000000027E-3</v>
      </c>
      <c r="M91" s="633"/>
      <c r="N91" s="633"/>
      <c r="O91" s="632"/>
      <c r="P91" s="632">
        <v>11.45</v>
      </c>
      <c r="Q91" s="632">
        <v>13.72</v>
      </c>
      <c r="R91" s="632"/>
      <c r="S91" s="632">
        <v>3.4</v>
      </c>
      <c r="T91" s="632">
        <v>3.4</v>
      </c>
      <c r="U91" s="632">
        <f t="shared" si="11"/>
        <v>0</v>
      </c>
      <c r="V91" s="632">
        <f t="shared" si="11"/>
        <v>8.0499999999999989</v>
      </c>
      <c r="W91" s="632">
        <f t="shared" si="11"/>
        <v>10.32</v>
      </c>
    </row>
    <row r="92" spans="1:23">
      <c r="A92" s="628">
        <v>20120301</v>
      </c>
      <c r="B92" s="629" t="s">
        <v>25</v>
      </c>
      <c r="C92" s="630" t="s">
        <v>25</v>
      </c>
      <c r="D92" s="636" t="s">
        <v>170</v>
      </c>
      <c r="E92" s="631" t="str">
        <f t="shared" si="16"/>
        <v>20120301KUCIE562</v>
      </c>
      <c r="F92" s="632">
        <v>90</v>
      </c>
      <c r="G92" s="633">
        <v>3.3000000000000002E-2</v>
      </c>
      <c r="H92" s="633">
        <v>0</v>
      </c>
      <c r="I92" s="633">
        <v>0</v>
      </c>
      <c r="J92" s="633"/>
      <c r="K92" s="633">
        <v>2.6679999999999999E-2</v>
      </c>
      <c r="L92" s="633">
        <f t="shared" si="17"/>
        <v>6.3200000000000027E-3</v>
      </c>
      <c r="M92" s="633"/>
      <c r="N92" s="633"/>
      <c r="O92" s="632"/>
      <c r="P92" s="632">
        <v>11.65</v>
      </c>
      <c r="Q92" s="632">
        <v>13.9</v>
      </c>
      <c r="R92" s="632"/>
      <c r="S92" s="632">
        <v>3.4</v>
      </c>
      <c r="T92" s="632">
        <v>3.4</v>
      </c>
      <c r="U92" s="632">
        <f t="shared" si="11"/>
        <v>0</v>
      </c>
      <c r="V92" s="632">
        <f t="shared" si="11"/>
        <v>8.25</v>
      </c>
      <c r="W92" s="632">
        <f t="shared" si="11"/>
        <v>10.5</v>
      </c>
    </row>
    <row r="93" spans="1:23">
      <c r="A93" s="628">
        <v>20120301</v>
      </c>
      <c r="B93" s="629" t="s">
        <v>25</v>
      </c>
      <c r="C93" s="630" t="s">
        <v>25</v>
      </c>
      <c r="D93" s="630" t="s">
        <v>173</v>
      </c>
      <c r="E93" s="631" t="str">
        <f t="shared" si="16"/>
        <v>20120301KUCIE568</v>
      </c>
      <c r="F93" s="632">
        <v>90</v>
      </c>
      <c r="G93" s="633">
        <v>3.3000000000000002E-2</v>
      </c>
      <c r="H93" s="633">
        <v>0</v>
      </c>
      <c r="I93" s="633">
        <v>0</v>
      </c>
      <c r="J93" s="633"/>
      <c r="K93" s="633">
        <v>2.6679999999999999E-2</v>
      </c>
      <c r="L93" s="633">
        <f t="shared" si="17"/>
        <v>6.3200000000000027E-3</v>
      </c>
      <c r="M93" s="633"/>
      <c r="N93" s="633"/>
      <c r="O93" s="632"/>
      <c r="P93" s="632">
        <v>11.65</v>
      </c>
      <c r="Q93" s="632">
        <v>13.9</v>
      </c>
      <c r="R93" s="632"/>
      <c r="S93" s="632">
        <v>3.4</v>
      </c>
      <c r="T93" s="632">
        <v>3.4</v>
      </c>
      <c r="U93" s="632">
        <f t="shared" si="11"/>
        <v>0</v>
      </c>
      <c r="V93" s="632">
        <f t="shared" si="11"/>
        <v>8.25</v>
      </c>
      <c r="W93" s="632">
        <f t="shared" si="11"/>
        <v>10.5</v>
      </c>
    </row>
    <row r="94" spans="1:23">
      <c r="A94" s="628">
        <v>20120301</v>
      </c>
      <c r="B94" s="629" t="s">
        <v>25</v>
      </c>
      <c r="C94" s="630" t="s">
        <v>230</v>
      </c>
      <c r="D94" s="630" t="s">
        <v>176</v>
      </c>
      <c r="E94" s="631" t="str">
        <f t="shared" si="16"/>
        <v>20120301KUCIE717</v>
      </c>
      <c r="F94" s="632">
        <v>90</v>
      </c>
      <c r="G94" s="633">
        <v>3.3000000000000002E-2</v>
      </c>
      <c r="H94" s="633">
        <v>0</v>
      </c>
      <c r="I94" s="633">
        <v>0</v>
      </c>
      <c r="J94" s="633"/>
      <c r="K94" s="633">
        <v>2.6679999999999999E-2</v>
      </c>
      <c r="L94" s="633">
        <f t="shared" si="17"/>
        <v>6.3200000000000027E-3</v>
      </c>
      <c r="M94" s="633"/>
      <c r="N94" s="633"/>
      <c r="O94" s="632"/>
      <c r="P94" s="632">
        <v>11.65</v>
      </c>
      <c r="Q94" s="632">
        <v>13.9</v>
      </c>
      <c r="R94" s="632"/>
      <c r="S94" s="632">
        <v>3.4</v>
      </c>
      <c r="T94" s="632">
        <v>3.4</v>
      </c>
      <c r="U94" s="632">
        <f t="shared" si="11"/>
        <v>0</v>
      </c>
      <c r="V94" s="632">
        <f t="shared" si="11"/>
        <v>8.25</v>
      </c>
      <c r="W94" s="632">
        <f t="shared" si="11"/>
        <v>10.5</v>
      </c>
    </row>
    <row r="95" spans="1:23">
      <c r="A95" s="628">
        <v>20120301</v>
      </c>
      <c r="B95" s="629" t="s">
        <v>221</v>
      </c>
      <c r="C95" s="630" t="s">
        <v>221</v>
      </c>
      <c r="D95" s="630" t="s">
        <v>171</v>
      </c>
      <c r="E95" s="631" t="str">
        <f t="shared" si="16"/>
        <v>20120301KUCIE563</v>
      </c>
      <c r="F95" s="632">
        <v>300</v>
      </c>
      <c r="G95" s="633">
        <v>3.5220000000000001E-2</v>
      </c>
      <c r="H95" s="633">
        <v>0</v>
      </c>
      <c r="I95" s="633">
        <v>0</v>
      </c>
      <c r="J95" s="633"/>
      <c r="K95" s="633">
        <v>2.6679999999999999E-2</v>
      </c>
      <c r="L95" s="633">
        <f t="shared" si="17"/>
        <v>8.5400000000000025E-3</v>
      </c>
      <c r="M95" s="633"/>
      <c r="N95" s="633"/>
      <c r="O95" s="632">
        <v>1.28</v>
      </c>
      <c r="P95" s="632">
        <v>2.31</v>
      </c>
      <c r="Q95" s="632">
        <v>3.67</v>
      </c>
      <c r="R95" s="632">
        <v>0.79</v>
      </c>
      <c r="S95" s="632">
        <v>0.79</v>
      </c>
      <c r="T95" s="632">
        <v>0.79</v>
      </c>
      <c r="U95" s="632">
        <f t="shared" si="11"/>
        <v>0.49</v>
      </c>
      <c r="V95" s="632">
        <f t="shared" si="11"/>
        <v>1.52</v>
      </c>
      <c r="W95" s="632">
        <f t="shared" si="11"/>
        <v>2.88</v>
      </c>
    </row>
    <row r="96" spans="1:23">
      <c r="A96" s="628">
        <v>20120301</v>
      </c>
      <c r="B96" s="629" t="s">
        <v>221</v>
      </c>
      <c r="C96" s="630" t="s">
        <v>221</v>
      </c>
      <c r="D96" s="630" t="s">
        <v>174</v>
      </c>
      <c r="E96" s="631" t="str">
        <f t="shared" si="16"/>
        <v>20120301KUCIE571</v>
      </c>
      <c r="F96" s="632">
        <v>300</v>
      </c>
      <c r="G96" s="633">
        <v>3.5220000000000001E-2</v>
      </c>
      <c r="H96" s="633">
        <v>0</v>
      </c>
      <c r="I96" s="633">
        <v>0</v>
      </c>
      <c r="J96" s="633"/>
      <c r="K96" s="633">
        <v>2.6679999999999999E-2</v>
      </c>
      <c r="L96" s="633">
        <f t="shared" si="17"/>
        <v>8.5400000000000025E-3</v>
      </c>
      <c r="M96" s="633"/>
      <c r="N96" s="633"/>
      <c r="O96" s="632">
        <v>1.28</v>
      </c>
      <c r="P96" s="632">
        <v>2.31</v>
      </c>
      <c r="Q96" s="632">
        <v>3.67</v>
      </c>
      <c r="R96" s="632">
        <v>0.79</v>
      </c>
      <c r="S96" s="632">
        <v>0.79</v>
      </c>
      <c r="T96" s="632">
        <v>0.79</v>
      </c>
      <c r="U96" s="632">
        <f t="shared" si="11"/>
        <v>0.49</v>
      </c>
      <c r="V96" s="632">
        <f t="shared" si="11"/>
        <v>1.52</v>
      </c>
      <c r="W96" s="632">
        <f t="shared" si="11"/>
        <v>2.88</v>
      </c>
    </row>
    <row r="97" spans="1:23">
      <c r="A97" s="628">
        <v>20120301</v>
      </c>
      <c r="B97" s="629" t="s">
        <v>220</v>
      </c>
      <c r="C97" s="630" t="s">
        <v>220</v>
      </c>
      <c r="D97" s="630" t="s">
        <v>175</v>
      </c>
      <c r="E97" s="631" t="str">
        <f t="shared" si="16"/>
        <v>20120301KUCIE572</v>
      </c>
      <c r="F97" s="632">
        <v>200</v>
      </c>
      <c r="G97" s="633">
        <v>3.49E-2</v>
      </c>
      <c r="H97" s="633">
        <v>0</v>
      </c>
      <c r="I97" s="633">
        <v>0</v>
      </c>
      <c r="J97" s="633"/>
      <c r="K97" s="633">
        <v>2.6679999999999999E-2</v>
      </c>
      <c r="L97" s="633">
        <f t="shared" si="17"/>
        <v>8.2200000000000016E-3</v>
      </c>
      <c r="M97" s="633"/>
      <c r="N97" s="633"/>
      <c r="O97" s="632">
        <v>3.05</v>
      </c>
      <c r="P97" s="632">
        <v>2.4300000000000002</v>
      </c>
      <c r="Q97" s="632">
        <v>3.89</v>
      </c>
      <c r="R97" s="632">
        <v>1.04</v>
      </c>
      <c r="S97" s="632">
        <v>1.04</v>
      </c>
      <c r="T97" s="632">
        <v>1.04</v>
      </c>
      <c r="U97" s="632">
        <f t="shared" si="11"/>
        <v>2.0099999999999998</v>
      </c>
      <c r="V97" s="632">
        <f t="shared" si="11"/>
        <v>1.3900000000000001</v>
      </c>
      <c r="W97" s="632">
        <f t="shared" si="11"/>
        <v>2.85</v>
      </c>
    </row>
    <row r="98" spans="1:23">
      <c r="A98" s="628">
        <v>20120301</v>
      </c>
      <c r="B98" s="629" t="s">
        <v>19</v>
      </c>
      <c r="C98" s="630" t="s">
        <v>19</v>
      </c>
      <c r="D98" s="630" t="s">
        <v>168</v>
      </c>
      <c r="E98" s="631" t="str">
        <f t="shared" si="16"/>
        <v>20120301KUCIE550</v>
      </c>
      <c r="F98" s="632">
        <v>500</v>
      </c>
      <c r="G98" s="633">
        <v>3.4140000000000004E-2</v>
      </c>
      <c r="H98" s="633">
        <v>0</v>
      </c>
      <c r="I98" s="633">
        <v>0</v>
      </c>
      <c r="J98" s="633"/>
      <c r="K98" s="633">
        <v>2.6679999999999999E-2</v>
      </c>
      <c r="L98" s="633">
        <f t="shared" si="17"/>
        <v>7.4600000000000048E-3</v>
      </c>
      <c r="M98" s="633"/>
      <c r="N98" s="633"/>
      <c r="O98" s="632">
        <v>0.85</v>
      </c>
      <c r="P98" s="632">
        <v>2.2999999999999998</v>
      </c>
      <c r="Q98" s="632">
        <v>3.54</v>
      </c>
      <c r="R98" s="632">
        <v>0.71</v>
      </c>
      <c r="S98" s="632">
        <v>0.71</v>
      </c>
      <c r="T98" s="632">
        <v>0.71</v>
      </c>
      <c r="U98" s="632">
        <f t="shared" si="11"/>
        <v>0.14000000000000001</v>
      </c>
      <c r="V98" s="632">
        <f t="shared" si="11"/>
        <v>1.5899999999999999</v>
      </c>
      <c r="W98" s="632">
        <f t="shared" si="11"/>
        <v>2.83</v>
      </c>
    </row>
    <row r="99" spans="1:23">
      <c r="A99" s="628">
        <v>20120301</v>
      </c>
      <c r="B99" s="629" t="s">
        <v>27</v>
      </c>
      <c r="C99" s="630" t="s">
        <v>27</v>
      </c>
      <c r="D99" s="630" t="s">
        <v>231</v>
      </c>
      <c r="E99" s="631" t="str">
        <f t="shared" si="16"/>
        <v>20120301KUINE731</v>
      </c>
      <c r="F99" s="632">
        <v>500</v>
      </c>
      <c r="G99" s="633">
        <v>3.4189999999999998E-2</v>
      </c>
      <c r="H99" s="633">
        <v>0</v>
      </c>
      <c r="I99" s="633">
        <v>0</v>
      </c>
      <c r="J99" s="633"/>
      <c r="K99" s="633">
        <v>2.6679999999999999E-2</v>
      </c>
      <c r="L99" s="633">
        <f t="shared" si="17"/>
        <v>7.5099999999999993E-3</v>
      </c>
      <c r="M99" s="633"/>
      <c r="N99" s="633"/>
      <c r="O99" s="632">
        <v>1.57</v>
      </c>
      <c r="P99" s="632">
        <v>1.41</v>
      </c>
      <c r="Q99" s="632">
        <v>2.2999999999999998</v>
      </c>
      <c r="R99" s="632">
        <v>0.42</v>
      </c>
      <c r="S99" s="632">
        <v>0.42</v>
      </c>
      <c r="T99" s="632">
        <v>0.42</v>
      </c>
      <c r="U99" s="632">
        <f t="shared" si="11"/>
        <v>1.1500000000000001</v>
      </c>
      <c r="V99" s="632">
        <f t="shared" si="11"/>
        <v>0.99</v>
      </c>
      <c r="W99" s="632">
        <f t="shared" si="11"/>
        <v>1.88</v>
      </c>
    </row>
    <row r="100" spans="1:23">
      <c r="A100" s="628">
        <v>20120301</v>
      </c>
      <c r="B100" s="629" t="s">
        <v>28</v>
      </c>
      <c r="C100" s="634" t="s">
        <v>28</v>
      </c>
      <c r="D100" s="634" t="s">
        <v>189</v>
      </c>
      <c r="E100" s="631" t="str">
        <f t="shared" ref="E100:E105" si="19">A100&amp;D100</f>
        <v>20120301KUINE730</v>
      </c>
      <c r="F100" s="632">
        <v>500</v>
      </c>
      <c r="G100" s="633">
        <v>2.947E-2</v>
      </c>
      <c r="H100" s="633">
        <v>0</v>
      </c>
      <c r="I100" s="633">
        <v>0</v>
      </c>
      <c r="J100" s="633"/>
      <c r="K100" s="633">
        <v>2.6679999999999999E-2</v>
      </c>
      <c r="L100" s="633">
        <f t="shared" si="17"/>
        <v>2.7900000000000008E-3</v>
      </c>
      <c r="M100" s="633"/>
      <c r="N100" s="633"/>
      <c r="O100" s="632">
        <v>0.82</v>
      </c>
      <c r="P100" s="632">
        <v>1.41</v>
      </c>
      <c r="Q100" s="632">
        <v>2.2999999999999998</v>
      </c>
      <c r="R100" s="632">
        <v>0.42</v>
      </c>
      <c r="S100" s="632">
        <v>0.42</v>
      </c>
      <c r="T100" s="632">
        <v>0.42</v>
      </c>
      <c r="U100" s="632">
        <f t="shared" si="11"/>
        <v>0.39999999999999997</v>
      </c>
      <c r="V100" s="632">
        <f t="shared" si="11"/>
        <v>0.99</v>
      </c>
      <c r="W100" s="632">
        <f t="shared" si="11"/>
        <v>1.88</v>
      </c>
    </row>
    <row r="101" spans="1:23">
      <c r="A101" s="628">
        <v>20120301</v>
      </c>
      <c r="B101" s="629" t="s">
        <v>21</v>
      </c>
      <c r="C101" s="630" t="s">
        <v>21</v>
      </c>
      <c r="D101" s="630" t="s">
        <v>184</v>
      </c>
      <c r="E101" s="631" t="str">
        <f t="shared" si="19"/>
        <v>20120301KUCME295</v>
      </c>
      <c r="F101" s="632">
        <v>3.14</v>
      </c>
      <c r="G101" s="633">
        <v>7.1819999999999995E-2</v>
      </c>
      <c r="H101" s="633">
        <v>0</v>
      </c>
      <c r="I101" s="633">
        <v>0</v>
      </c>
      <c r="J101" s="633">
        <v>9.5200000000000007E-3</v>
      </c>
      <c r="K101" s="633">
        <v>2.6679999999999999E-2</v>
      </c>
      <c r="L101" s="633">
        <f t="shared" si="17"/>
        <v>3.5619999999999999E-2</v>
      </c>
      <c r="M101" s="633"/>
      <c r="N101" s="633"/>
      <c r="O101" s="632"/>
      <c r="P101" s="632"/>
      <c r="Q101" s="632"/>
      <c r="R101" s="632"/>
      <c r="S101" s="632"/>
      <c r="T101" s="632"/>
      <c r="U101" s="632">
        <f t="shared" si="11"/>
        <v>0</v>
      </c>
      <c r="V101" s="632">
        <f t="shared" si="11"/>
        <v>0</v>
      </c>
      <c r="W101" s="632">
        <f t="shared" si="11"/>
        <v>0</v>
      </c>
    </row>
    <row r="102" spans="1:23">
      <c r="A102" s="628">
        <v>20120301</v>
      </c>
      <c r="B102" s="629" t="s">
        <v>21</v>
      </c>
      <c r="C102" s="630" t="s">
        <v>21</v>
      </c>
      <c r="D102" s="634" t="s">
        <v>652</v>
      </c>
      <c r="E102" s="631" t="str">
        <f t="shared" si="19"/>
        <v>20120301KUCME297</v>
      </c>
      <c r="F102" s="632">
        <v>3.14</v>
      </c>
      <c r="G102" s="633">
        <v>7.1819999999999995E-2</v>
      </c>
      <c r="H102" s="633">
        <v>0</v>
      </c>
      <c r="I102" s="633">
        <v>0</v>
      </c>
      <c r="J102" s="633">
        <v>9.5200000000000007E-3</v>
      </c>
      <c r="K102" s="633">
        <v>2.6679999999999999E-2</v>
      </c>
      <c r="L102" s="633">
        <f t="shared" si="17"/>
        <v>3.5619999999999999E-2</v>
      </c>
      <c r="M102" s="633"/>
      <c r="N102" s="633"/>
      <c r="O102" s="632"/>
      <c r="P102" s="632"/>
      <c r="Q102" s="632"/>
      <c r="R102" s="632"/>
      <c r="S102" s="632"/>
      <c r="T102" s="632"/>
      <c r="U102" s="632">
        <f t="shared" si="11"/>
        <v>0</v>
      </c>
      <c r="V102" s="632">
        <f t="shared" si="11"/>
        <v>0</v>
      </c>
      <c r="W102" s="632">
        <f t="shared" si="11"/>
        <v>0</v>
      </c>
    </row>
    <row r="103" spans="1:23">
      <c r="A103" s="628">
        <v>20120301</v>
      </c>
      <c r="B103" s="629" t="s">
        <v>20</v>
      </c>
      <c r="C103" s="630" t="s">
        <v>20</v>
      </c>
      <c r="D103" s="634" t="s">
        <v>233</v>
      </c>
      <c r="E103" s="631" t="str">
        <f t="shared" si="19"/>
        <v>20120301KUCME290</v>
      </c>
      <c r="F103" s="632">
        <v>0</v>
      </c>
      <c r="G103" s="633">
        <v>5.6469999999999999E-2</v>
      </c>
      <c r="H103" s="633">
        <v>0</v>
      </c>
      <c r="I103" s="633">
        <v>0</v>
      </c>
      <c r="J103" s="633">
        <v>9.5200000000000007E-3</v>
      </c>
      <c r="K103" s="633">
        <v>2.6679999999999999E-2</v>
      </c>
      <c r="L103" s="633">
        <f t="shared" si="17"/>
        <v>2.027E-2</v>
      </c>
      <c r="M103" s="633"/>
      <c r="N103" s="633"/>
      <c r="O103" s="632"/>
      <c r="P103" s="632"/>
      <c r="Q103" s="632"/>
      <c r="R103" s="632"/>
      <c r="S103" s="632"/>
      <c r="T103" s="632"/>
      <c r="U103" s="632">
        <f t="shared" si="11"/>
        <v>0</v>
      </c>
      <c r="V103" s="632">
        <f t="shared" si="11"/>
        <v>0</v>
      </c>
      <c r="W103" s="632">
        <f t="shared" si="11"/>
        <v>0</v>
      </c>
    </row>
    <row r="104" spans="1:23">
      <c r="A104" s="628">
        <v>20120301</v>
      </c>
      <c r="B104" s="629" t="s">
        <v>20</v>
      </c>
      <c r="C104" s="630" t="s">
        <v>20</v>
      </c>
      <c r="D104" s="630" t="s">
        <v>232</v>
      </c>
      <c r="E104" s="631" t="str">
        <f t="shared" si="19"/>
        <v>20120301KUCME291</v>
      </c>
      <c r="F104" s="632">
        <v>0</v>
      </c>
      <c r="G104" s="633">
        <v>5.6469999999999999E-2</v>
      </c>
      <c r="H104" s="633">
        <v>0</v>
      </c>
      <c r="I104" s="633">
        <v>0</v>
      </c>
      <c r="J104" s="633">
        <v>9.5200000000000007E-3</v>
      </c>
      <c r="K104" s="633">
        <v>2.6679999999999999E-2</v>
      </c>
      <c r="L104" s="633">
        <f t="shared" si="17"/>
        <v>2.027E-2</v>
      </c>
      <c r="M104" s="633"/>
      <c r="N104" s="633"/>
      <c r="O104" s="632"/>
      <c r="P104" s="632"/>
      <c r="Q104" s="632"/>
      <c r="R104" s="632"/>
      <c r="S104" s="632"/>
      <c r="T104" s="632"/>
      <c r="U104" s="632">
        <f t="shared" si="11"/>
        <v>0</v>
      </c>
      <c r="V104" s="632">
        <f t="shared" si="11"/>
        <v>0</v>
      </c>
      <c r="W104" s="632">
        <f t="shared" si="11"/>
        <v>0</v>
      </c>
    </row>
    <row r="105" spans="1:23">
      <c r="A105" s="628">
        <v>20120301</v>
      </c>
      <c r="B105" s="629" t="s">
        <v>20</v>
      </c>
      <c r="C105" s="630" t="s">
        <v>20</v>
      </c>
      <c r="D105" s="634" t="s">
        <v>234</v>
      </c>
      <c r="E105" s="631" t="str">
        <f t="shared" si="19"/>
        <v>20120301KUCME292</v>
      </c>
      <c r="F105" s="632">
        <v>0</v>
      </c>
      <c r="G105" s="633">
        <v>5.6469999999999999E-2</v>
      </c>
      <c r="H105" s="633">
        <v>0</v>
      </c>
      <c r="I105" s="633">
        <v>0</v>
      </c>
      <c r="J105" s="633">
        <v>9.5200000000000007E-3</v>
      </c>
      <c r="K105" s="633">
        <v>2.6679999999999999E-2</v>
      </c>
      <c r="L105" s="633">
        <f t="shared" si="17"/>
        <v>2.027E-2</v>
      </c>
      <c r="M105" s="633"/>
      <c r="N105" s="633"/>
      <c r="O105" s="632"/>
      <c r="P105" s="632"/>
      <c r="Q105" s="632"/>
      <c r="R105" s="632"/>
      <c r="S105" s="632"/>
      <c r="T105" s="632"/>
      <c r="U105" s="632">
        <f t="shared" si="11"/>
        <v>0</v>
      </c>
      <c r="V105" s="632">
        <f t="shared" si="11"/>
        <v>0</v>
      </c>
      <c r="W105" s="632">
        <f t="shared" si="11"/>
        <v>0</v>
      </c>
    </row>
    <row r="106" spans="1:23">
      <c r="A106" s="637">
        <v>20130101</v>
      </c>
      <c r="B106" s="638" t="s">
        <v>15</v>
      </c>
      <c r="C106" s="639" t="s">
        <v>15</v>
      </c>
      <c r="D106" s="639" t="s">
        <v>190</v>
      </c>
      <c r="E106" s="640" t="str">
        <f t="shared" ref="E106:E139" si="20">A106&amp;D106</f>
        <v>20130101KURSE010</v>
      </c>
      <c r="F106" s="641">
        <v>10.75</v>
      </c>
      <c r="G106" s="642">
        <v>7.2349999999999998E-2</v>
      </c>
      <c r="H106" s="642">
        <v>0</v>
      </c>
      <c r="I106" s="642">
        <v>0</v>
      </c>
      <c r="J106" s="642">
        <v>2.9999999999999997E-4</v>
      </c>
      <c r="K106" s="642">
        <v>2.6679999999999999E-2</v>
      </c>
      <c r="L106" s="642">
        <f>G106-J106-K106</f>
        <v>4.5370000000000008E-2</v>
      </c>
      <c r="M106" s="642"/>
      <c r="N106" s="642"/>
      <c r="O106" s="641"/>
      <c r="P106" s="641"/>
      <c r="Q106" s="641"/>
      <c r="R106" s="641"/>
      <c r="S106" s="641"/>
      <c r="T106" s="641"/>
      <c r="U106" s="641">
        <f t="shared" ref="U106:U139" si="21">O106-R106</f>
        <v>0</v>
      </c>
      <c r="V106" s="641">
        <f t="shared" ref="V106:V139" si="22">P106-S106</f>
        <v>0</v>
      </c>
      <c r="W106" s="641">
        <f t="shared" ref="W106:W139" si="23">Q106-T106</f>
        <v>0</v>
      </c>
    </row>
    <row r="107" spans="1:23">
      <c r="A107" s="637">
        <v>20130101</v>
      </c>
      <c r="B107" s="638" t="s">
        <v>15</v>
      </c>
      <c r="C107" s="639" t="s">
        <v>15</v>
      </c>
      <c r="D107" s="450" t="s">
        <v>191</v>
      </c>
      <c r="E107" s="640" t="str">
        <f t="shared" si="20"/>
        <v>20130101KURSE020</v>
      </c>
      <c r="F107" s="641">
        <v>10.75</v>
      </c>
      <c r="G107" s="642">
        <v>7.2349999999999998E-2</v>
      </c>
      <c r="H107" s="642">
        <v>0</v>
      </c>
      <c r="I107" s="642">
        <v>0</v>
      </c>
      <c r="J107" s="642">
        <v>2.9999999999999997E-4</v>
      </c>
      <c r="K107" s="642">
        <v>2.6679999999999999E-2</v>
      </c>
      <c r="L107" s="642">
        <f t="shared" ref="L107:L139" si="24">G107-J107-K107</f>
        <v>4.5370000000000008E-2</v>
      </c>
      <c r="M107" s="642"/>
      <c r="N107" s="642"/>
      <c r="O107" s="641"/>
      <c r="P107" s="641"/>
      <c r="Q107" s="641"/>
      <c r="R107" s="641"/>
      <c r="S107" s="641"/>
      <c r="T107" s="641"/>
      <c r="U107" s="641">
        <f t="shared" si="21"/>
        <v>0</v>
      </c>
      <c r="V107" s="641">
        <f t="shared" si="22"/>
        <v>0</v>
      </c>
      <c r="W107" s="641">
        <f t="shared" si="23"/>
        <v>0</v>
      </c>
    </row>
    <row r="108" spans="1:23">
      <c r="A108" s="637">
        <v>20130101</v>
      </c>
      <c r="B108" s="638" t="s">
        <v>15</v>
      </c>
      <c r="C108" s="450" t="s">
        <v>223</v>
      </c>
      <c r="D108" s="450" t="s">
        <v>192</v>
      </c>
      <c r="E108" s="640" t="str">
        <f t="shared" si="20"/>
        <v>20130101KURSE025</v>
      </c>
      <c r="F108" s="641">
        <v>10.75</v>
      </c>
      <c r="G108" s="642">
        <v>7.2349999999999998E-2</v>
      </c>
      <c r="H108" s="642">
        <v>0</v>
      </c>
      <c r="I108" s="642">
        <v>0</v>
      </c>
      <c r="J108" s="642">
        <v>2.9999999999999997E-4</v>
      </c>
      <c r="K108" s="642">
        <v>2.6679999999999999E-2</v>
      </c>
      <c r="L108" s="642">
        <f t="shared" si="24"/>
        <v>4.5370000000000008E-2</v>
      </c>
      <c r="M108" s="642"/>
      <c r="N108" s="642"/>
      <c r="O108" s="641"/>
      <c r="P108" s="641"/>
      <c r="Q108" s="641"/>
      <c r="R108" s="641"/>
      <c r="S108" s="641"/>
      <c r="T108" s="641"/>
      <c r="U108" s="641">
        <f t="shared" si="21"/>
        <v>0</v>
      </c>
      <c r="V108" s="641">
        <f t="shared" si="22"/>
        <v>0</v>
      </c>
      <c r="W108" s="641">
        <f t="shared" si="23"/>
        <v>0</v>
      </c>
    </row>
    <row r="109" spans="1:23">
      <c r="A109" s="637">
        <v>20130101</v>
      </c>
      <c r="B109" s="638" t="s">
        <v>810</v>
      </c>
      <c r="C109" s="639" t="s">
        <v>17</v>
      </c>
      <c r="D109" s="450" t="s">
        <v>193</v>
      </c>
      <c r="E109" s="640" t="str">
        <f t="shared" si="20"/>
        <v>20130101KURSE080</v>
      </c>
      <c r="F109" s="641">
        <v>10.75</v>
      </c>
      <c r="G109" s="642">
        <v>7.2349999999999998E-2</v>
      </c>
      <c r="H109" s="642">
        <v>0</v>
      </c>
      <c r="I109" s="642">
        <v>0</v>
      </c>
      <c r="J109" s="642">
        <v>2.9999999999999997E-4</v>
      </c>
      <c r="K109" s="642">
        <v>2.6679999999999999E-2</v>
      </c>
      <c r="L109" s="642">
        <f t="shared" si="24"/>
        <v>4.5370000000000008E-2</v>
      </c>
      <c r="M109" s="642"/>
      <c r="N109" s="642"/>
      <c r="O109" s="641"/>
      <c r="P109" s="641"/>
      <c r="Q109" s="641"/>
      <c r="R109" s="641"/>
      <c r="S109" s="641"/>
      <c r="T109" s="641"/>
      <c r="U109" s="641">
        <f t="shared" si="21"/>
        <v>0</v>
      </c>
      <c r="V109" s="641">
        <f t="shared" si="22"/>
        <v>0</v>
      </c>
      <c r="W109" s="641">
        <f t="shared" si="23"/>
        <v>0</v>
      </c>
    </row>
    <row r="110" spans="1:23">
      <c r="A110" s="637">
        <v>20130101</v>
      </c>
      <c r="B110" s="638" t="s">
        <v>15</v>
      </c>
      <c r="C110" s="639" t="s">
        <v>16</v>
      </c>
      <c r="D110" s="450" t="s">
        <v>194</v>
      </c>
      <c r="E110" s="640" t="str">
        <f t="shared" si="20"/>
        <v>20130101KURSE715</v>
      </c>
      <c r="F110" s="641">
        <v>10.75</v>
      </c>
      <c r="G110" s="642">
        <v>7.2349999999999998E-2</v>
      </c>
      <c r="H110" s="642">
        <v>0</v>
      </c>
      <c r="I110" s="642">
        <v>0</v>
      </c>
      <c r="J110" s="642">
        <v>2.9999999999999997E-4</v>
      </c>
      <c r="K110" s="642">
        <v>2.6679999999999999E-2</v>
      </c>
      <c r="L110" s="642">
        <f t="shared" si="24"/>
        <v>4.5370000000000008E-2</v>
      </c>
      <c r="M110" s="642"/>
      <c r="N110" s="642"/>
      <c r="O110" s="641"/>
      <c r="P110" s="641"/>
      <c r="Q110" s="641"/>
      <c r="R110" s="641"/>
      <c r="S110" s="641"/>
      <c r="T110" s="641"/>
      <c r="U110" s="641">
        <f t="shared" si="21"/>
        <v>0</v>
      </c>
      <c r="V110" s="641">
        <f t="shared" si="22"/>
        <v>0</v>
      </c>
      <c r="W110" s="641">
        <f t="shared" si="23"/>
        <v>0</v>
      </c>
    </row>
    <row r="111" spans="1:23">
      <c r="A111" s="637">
        <v>20130101</v>
      </c>
      <c r="B111" s="638" t="s">
        <v>807</v>
      </c>
      <c r="C111" s="639" t="s">
        <v>222</v>
      </c>
      <c r="D111" s="450" t="s">
        <v>477</v>
      </c>
      <c r="E111" s="640" t="str">
        <f t="shared" si="20"/>
        <v>20130101KURSE040</v>
      </c>
      <c r="F111" s="641">
        <v>10.75</v>
      </c>
      <c r="G111" s="642">
        <v>5.0779999999999999E-2</v>
      </c>
      <c r="H111" s="642">
        <v>7.2539999999999993E-2</v>
      </c>
      <c r="I111" s="642">
        <v>0.13788</v>
      </c>
      <c r="J111" s="642">
        <v>2.9999999999999997E-4</v>
      </c>
      <c r="K111" s="642">
        <f>K110</f>
        <v>2.6679999999999999E-2</v>
      </c>
      <c r="L111" s="642">
        <f t="shared" si="24"/>
        <v>2.3799999999999998E-2</v>
      </c>
      <c r="M111" s="642">
        <f>H111-J111-K111</f>
        <v>4.5560000000000003E-2</v>
      </c>
      <c r="N111" s="642">
        <f>I111-J111-K111</f>
        <v>0.11090000000000001</v>
      </c>
      <c r="O111" s="641"/>
      <c r="P111" s="641"/>
      <c r="Q111" s="641"/>
      <c r="R111" s="641"/>
      <c r="S111" s="641"/>
      <c r="T111" s="641"/>
      <c r="U111" s="641">
        <f t="shared" si="21"/>
        <v>0</v>
      </c>
      <c r="V111" s="641">
        <f t="shared" si="22"/>
        <v>0</v>
      </c>
      <c r="W111" s="641">
        <f t="shared" si="23"/>
        <v>0</v>
      </c>
    </row>
    <row r="112" spans="1:23">
      <c r="A112" s="637">
        <v>20130101</v>
      </c>
      <c r="B112" s="638" t="s">
        <v>224</v>
      </c>
      <c r="C112" s="639" t="s">
        <v>224</v>
      </c>
      <c r="D112" s="639" t="s">
        <v>177</v>
      </c>
      <c r="E112" s="640" t="str">
        <f t="shared" si="20"/>
        <v>20130101KUCME110</v>
      </c>
      <c r="F112" s="641">
        <v>20</v>
      </c>
      <c r="G112" s="642">
        <v>8.5750000000000007E-2</v>
      </c>
      <c r="H112" s="642">
        <v>0</v>
      </c>
      <c r="I112" s="642">
        <v>0</v>
      </c>
      <c r="J112" s="642">
        <v>4.4999999999999999E-4</v>
      </c>
      <c r="K112" s="642">
        <v>2.6679999999999999E-2</v>
      </c>
      <c r="L112" s="642">
        <f t="shared" si="24"/>
        <v>5.8620000000000005E-2</v>
      </c>
      <c r="M112" s="642"/>
      <c r="N112" s="642"/>
      <c r="O112" s="641"/>
      <c r="P112" s="641"/>
      <c r="Q112" s="641"/>
      <c r="R112" s="641"/>
      <c r="S112" s="641"/>
      <c r="T112" s="641"/>
      <c r="U112" s="641">
        <f t="shared" si="21"/>
        <v>0</v>
      </c>
      <c r="V112" s="641">
        <f t="shared" si="22"/>
        <v>0</v>
      </c>
      <c r="W112" s="641">
        <f t="shared" si="23"/>
        <v>0</v>
      </c>
    </row>
    <row r="113" spans="1:23">
      <c r="A113" s="637">
        <v>20130101</v>
      </c>
      <c r="B113" s="638" t="s">
        <v>224</v>
      </c>
      <c r="C113" s="639" t="s">
        <v>224</v>
      </c>
      <c r="D113" s="450" t="s">
        <v>178</v>
      </c>
      <c r="E113" s="640" t="str">
        <f t="shared" si="20"/>
        <v>20130101KUCME112</v>
      </c>
      <c r="F113" s="641">
        <v>20</v>
      </c>
      <c r="G113" s="642">
        <v>8.5750000000000007E-2</v>
      </c>
      <c r="H113" s="642">
        <v>0</v>
      </c>
      <c r="I113" s="642">
        <v>0</v>
      </c>
      <c r="J113" s="642">
        <v>4.4999999999999999E-4</v>
      </c>
      <c r="K113" s="642">
        <v>2.6679999999999999E-2</v>
      </c>
      <c r="L113" s="642">
        <f t="shared" si="24"/>
        <v>5.8620000000000005E-2</v>
      </c>
      <c r="M113" s="642"/>
      <c r="N113" s="642"/>
      <c r="O113" s="641"/>
      <c r="P113" s="641"/>
      <c r="Q113" s="641"/>
      <c r="R113" s="641"/>
      <c r="S113" s="641"/>
      <c r="T113" s="641"/>
      <c r="U113" s="641">
        <f t="shared" si="21"/>
        <v>0</v>
      </c>
      <c r="V113" s="641">
        <f t="shared" si="22"/>
        <v>0</v>
      </c>
      <c r="W113" s="641">
        <f t="shared" si="23"/>
        <v>0</v>
      </c>
    </row>
    <row r="114" spans="1:23">
      <c r="A114" s="637">
        <v>20130101</v>
      </c>
      <c r="B114" s="638" t="s">
        <v>224</v>
      </c>
      <c r="C114" s="639" t="s">
        <v>225</v>
      </c>
      <c r="D114" s="639" t="s">
        <v>185</v>
      </c>
      <c r="E114" s="640" t="str">
        <f t="shared" si="20"/>
        <v>20130101KUCME710</v>
      </c>
      <c r="F114" s="641">
        <v>20</v>
      </c>
      <c r="G114" s="642">
        <v>8.5750000000000007E-2</v>
      </c>
      <c r="H114" s="642">
        <v>0</v>
      </c>
      <c r="I114" s="642">
        <v>0</v>
      </c>
      <c r="J114" s="642">
        <v>4.4999999999999999E-4</v>
      </c>
      <c r="K114" s="642">
        <v>2.6679999999999999E-2</v>
      </c>
      <c r="L114" s="642">
        <f t="shared" si="24"/>
        <v>5.8620000000000005E-2</v>
      </c>
      <c r="M114" s="642"/>
      <c r="N114" s="642"/>
      <c r="O114" s="641"/>
      <c r="P114" s="641"/>
      <c r="Q114" s="641"/>
      <c r="R114" s="641"/>
      <c r="S114" s="641"/>
      <c r="T114" s="641"/>
      <c r="U114" s="641">
        <f t="shared" si="21"/>
        <v>0</v>
      </c>
      <c r="V114" s="641">
        <f t="shared" si="22"/>
        <v>0</v>
      </c>
      <c r="W114" s="641">
        <f t="shared" si="23"/>
        <v>0</v>
      </c>
    </row>
    <row r="115" spans="1:23">
      <c r="A115" s="637">
        <v>20130101</v>
      </c>
      <c r="B115" s="643" t="s">
        <v>18</v>
      </c>
      <c r="C115" s="639" t="s">
        <v>18</v>
      </c>
      <c r="D115" s="639" t="s">
        <v>179</v>
      </c>
      <c r="E115" s="640" t="str">
        <f t="shared" si="20"/>
        <v>20130101KUCME113</v>
      </c>
      <c r="F115" s="641">
        <v>35</v>
      </c>
      <c r="G115" s="642">
        <v>8.5750000000000007E-2</v>
      </c>
      <c r="H115" s="642">
        <v>0</v>
      </c>
      <c r="I115" s="642">
        <v>0</v>
      </c>
      <c r="J115" s="642">
        <v>4.4999999999999999E-4</v>
      </c>
      <c r="K115" s="642">
        <v>2.6679999999999999E-2</v>
      </c>
      <c r="L115" s="642">
        <f t="shared" si="24"/>
        <v>5.8620000000000005E-2</v>
      </c>
      <c r="M115" s="642"/>
      <c r="N115" s="642"/>
      <c r="O115" s="641"/>
      <c r="P115" s="641"/>
      <c r="Q115" s="641"/>
      <c r="R115" s="641"/>
      <c r="S115" s="641"/>
      <c r="T115" s="641"/>
      <c r="U115" s="641">
        <f t="shared" si="21"/>
        <v>0</v>
      </c>
      <c r="V115" s="641">
        <f t="shared" si="22"/>
        <v>0</v>
      </c>
      <c r="W115" s="641">
        <f t="shared" si="23"/>
        <v>0</v>
      </c>
    </row>
    <row r="116" spans="1:23">
      <c r="A116" s="637">
        <v>20130101</v>
      </c>
      <c r="B116" s="638" t="s">
        <v>224</v>
      </c>
      <c r="C116" s="639" t="s">
        <v>226</v>
      </c>
      <c r="D116" s="450" t="s">
        <v>186</v>
      </c>
      <c r="E116" s="640" t="str">
        <f t="shared" si="20"/>
        <v>20130101KUCME713</v>
      </c>
      <c r="F116" s="641">
        <v>35</v>
      </c>
      <c r="G116" s="642">
        <v>8.5750000000000007E-2</v>
      </c>
      <c r="H116" s="642">
        <v>0</v>
      </c>
      <c r="I116" s="642">
        <v>0</v>
      </c>
      <c r="J116" s="642">
        <v>4.4999999999999999E-4</v>
      </c>
      <c r="K116" s="642">
        <v>2.6679999999999999E-2</v>
      </c>
      <c r="L116" s="642">
        <f t="shared" si="24"/>
        <v>5.8620000000000005E-2</v>
      </c>
      <c r="M116" s="642"/>
      <c r="N116" s="642"/>
      <c r="O116" s="641"/>
      <c r="P116" s="641"/>
      <c r="Q116" s="641"/>
      <c r="R116" s="641"/>
      <c r="S116" s="641"/>
      <c r="T116" s="641"/>
      <c r="U116" s="641">
        <f t="shared" si="21"/>
        <v>0</v>
      </c>
      <c r="V116" s="641">
        <f t="shared" si="22"/>
        <v>0</v>
      </c>
      <c r="W116" s="641">
        <f t="shared" si="23"/>
        <v>0</v>
      </c>
    </row>
    <row r="117" spans="1:23">
      <c r="A117" s="637">
        <v>20130101</v>
      </c>
      <c r="B117" s="638" t="s">
        <v>219</v>
      </c>
      <c r="C117" s="639" t="s">
        <v>219</v>
      </c>
      <c r="D117" s="639" t="s">
        <v>180</v>
      </c>
      <c r="E117" s="640" t="str">
        <f t="shared" si="20"/>
        <v>20130101KUCME220</v>
      </c>
      <c r="F117" s="641">
        <v>20</v>
      </c>
      <c r="G117" s="642">
        <v>6.9279999999999994E-2</v>
      </c>
      <c r="H117" s="642">
        <v>0</v>
      </c>
      <c r="I117" s="642">
        <v>0</v>
      </c>
      <c r="J117" s="642">
        <v>2.7E-4</v>
      </c>
      <c r="K117" s="642">
        <v>2.6679999999999999E-2</v>
      </c>
      <c r="L117" s="642">
        <f t="shared" si="24"/>
        <v>4.2329999999999993E-2</v>
      </c>
      <c r="M117" s="642"/>
      <c r="N117" s="642"/>
      <c r="O117" s="641"/>
      <c r="P117" s="641"/>
      <c r="Q117" s="641"/>
      <c r="R117" s="641"/>
      <c r="S117" s="641"/>
      <c r="T117" s="641"/>
      <c r="U117" s="641">
        <f t="shared" si="21"/>
        <v>0</v>
      </c>
      <c r="V117" s="641">
        <f t="shared" si="22"/>
        <v>0</v>
      </c>
      <c r="W117" s="641">
        <f t="shared" si="23"/>
        <v>0</v>
      </c>
    </row>
    <row r="118" spans="1:23">
      <c r="A118" s="637">
        <v>20130101</v>
      </c>
      <c r="B118" s="638" t="s">
        <v>219</v>
      </c>
      <c r="C118" s="639" t="s">
        <v>227</v>
      </c>
      <c r="D118" s="639" t="s">
        <v>181</v>
      </c>
      <c r="E118" s="640" t="str">
        <f t="shared" si="20"/>
        <v>20130101KUCME221</v>
      </c>
      <c r="F118" s="641">
        <v>20</v>
      </c>
      <c r="G118" s="642">
        <v>6.9279999999999994E-2</v>
      </c>
      <c r="H118" s="642">
        <v>0</v>
      </c>
      <c r="I118" s="642">
        <v>0</v>
      </c>
      <c r="J118" s="642">
        <v>2.7E-4</v>
      </c>
      <c r="K118" s="642">
        <v>2.6679999999999999E-2</v>
      </c>
      <c r="L118" s="642">
        <f t="shared" si="24"/>
        <v>4.2329999999999993E-2</v>
      </c>
      <c r="M118" s="642"/>
      <c r="N118" s="642"/>
      <c r="O118" s="641"/>
      <c r="P118" s="641"/>
      <c r="Q118" s="641"/>
      <c r="R118" s="641"/>
      <c r="S118" s="641"/>
      <c r="T118" s="641"/>
      <c r="U118" s="641">
        <f t="shared" si="21"/>
        <v>0</v>
      </c>
      <c r="V118" s="641">
        <f t="shared" si="22"/>
        <v>0</v>
      </c>
      <c r="W118" s="641">
        <f t="shared" si="23"/>
        <v>0</v>
      </c>
    </row>
    <row r="119" spans="1:23">
      <c r="A119" s="637">
        <v>20130101</v>
      </c>
      <c r="B119" s="638" t="s">
        <v>219</v>
      </c>
      <c r="C119" s="639" t="s">
        <v>228</v>
      </c>
      <c r="D119" s="639" t="s">
        <v>182</v>
      </c>
      <c r="E119" s="640" t="str">
        <f t="shared" si="20"/>
        <v>20130101KUCME223</v>
      </c>
      <c r="F119" s="641">
        <v>35</v>
      </c>
      <c r="G119" s="642">
        <v>6.9279999999999994E-2</v>
      </c>
      <c r="H119" s="642">
        <v>0</v>
      </c>
      <c r="I119" s="642">
        <v>0</v>
      </c>
      <c r="J119" s="642">
        <v>2.7E-4</v>
      </c>
      <c r="K119" s="642">
        <v>2.6679999999999999E-2</v>
      </c>
      <c r="L119" s="642">
        <f t="shared" si="24"/>
        <v>4.2329999999999993E-2</v>
      </c>
      <c r="M119" s="642"/>
      <c r="N119" s="642"/>
      <c r="O119" s="641"/>
      <c r="P119" s="641"/>
      <c r="Q119" s="641"/>
      <c r="R119" s="641"/>
      <c r="S119" s="641"/>
      <c r="T119" s="641"/>
      <c r="U119" s="641">
        <f t="shared" si="21"/>
        <v>0</v>
      </c>
      <c r="V119" s="641">
        <f t="shared" si="22"/>
        <v>0</v>
      </c>
      <c r="W119" s="641">
        <f t="shared" si="23"/>
        <v>0</v>
      </c>
    </row>
    <row r="120" spans="1:23">
      <c r="A120" s="637">
        <v>20130101</v>
      </c>
      <c r="B120" s="638" t="s">
        <v>219</v>
      </c>
      <c r="C120" s="639" t="s">
        <v>229</v>
      </c>
      <c r="D120" s="639" t="s">
        <v>183</v>
      </c>
      <c r="E120" s="640" t="str">
        <f t="shared" si="20"/>
        <v>20130101KUCME224</v>
      </c>
      <c r="F120" s="641">
        <v>35</v>
      </c>
      <c r="G120" s="642">
        <v>6.9279999999999994E-2</v>
      </c>
      <c r="H120" s="642">
        <v>0</v>
      </c>
      <c r="I120" s="642">
        <v>0</v>
      </c>
      <c r="J120" s="642">
        <v>2.7E-4</v>
      </c>
      <c r="K120" s="642">
        <v>2.6679999999999999E-2</v>
      </c>
      <c r="L120" s="642">
        <f t="shared" si="24"/>
        <v>4.2329999999999993E-2</v>
      </c>
      <c r="M120" s="642"/>
      <c r="N120" s="642"/>
      <c r="O120" s="641"/>
      <c r="P120" s="641"/>
      <c r="Q120" s="641"/>
      <c r="R120" s="641"/>
      <c r="S120" s="641"/>
      <c r="T120" s="641"/>
      <c r="U120" s="641">
        <f t="shared" si="21"/>
        <v>0</v>
      </c>
      <c r="V120" s="641">
        <f t="shared" si="22"/>
        <v>0</v>
      </c>
      <c r="W120" s="641">
        <f t="shared" si="23"/>
        <v>0</v>
      </c>
    </row>
    <row r="121" spans="1:23">
      <c r="A121" s="637">
        <v>20130101</v>
      </c>
      <c r="B121" s="638" t="s">
        <v>219</v>
      </c>
      <c r="C121" s="639" t="s">
        <v>744</v>
      </c>
      <c r="D121" s="450" t="s">
        <v>720</v>
      </c>
      <c r="E121" s="640" t="str">
        <f t="shared" si="20"/>
        <v>20130101KUCME225</v>
      </c>
      <c r="F121" s="641">
        <v>35</v>
      </c>
      <c r="G121" s="642">
        <v>6.9279999999999994E-2</v>
      </c>
      <c r="H121" s="642">
        <v>0</v>
      </c>
      <c r="I121" s="642">
        <v>0</v>
      </c>
      <c r="J121" s="642">
        <v>2.7E-4</v>
      </c>
      <c r="K121" s="642">
        <v>2.6679999999999999E-2</v>
      </c>
      <c r="L121" s="642">
        <f t="shared" si="24"/>
        <v>4.2329999999999993E-2</v>
      </c>
      <c r="M121" s="642"/>
      <c r="N121" s="642"/>
      <c r="O121" s="641"/>
      <c r="P121" s="641"/>
      <c r="Q121" s="641"/>
      <c r="R121" s="641"/>
      <c r="S121" s="641"/>
      <c r="T121" s="641"/>
      <c r="U121" s="641">
        <f t="shared" si="21"/>
        <v>0</v>
      </c>
      <c r="V121" s="641">
        <f t="shared" si="22"/>
        <v>0</v>
      </c>
      <c r="W121" s="641">
        <f t="shared" si="23"/>
        <v>0</v>
      </c>
    </row>
    <row r="122" spans="1:23">
      <c r="A122" s="637">
        <v>20130101</v>
      </c>
      <c r="B122" s="638" t="s">
        <v>219</v>
      </c>
      <c r="C122" s="639" t="s">
        <v>744</v>
      </c>
      <c r="D122" s="450" t="s">
        <v>721</v>
      </c>
      <c r="E122" s="640" t="str">
        <f t="shared" si="20"/>
        <v>20130101KUCME226</v>
      </c>
      <c r="F122" s="641">
        <v>20</v>
      </c>
      <c r="G122" s="642">
        <v>6.9279999999999994E-2</v>
      </c>
      <c r="H122" s="642">
        <v>0</v>
      </c>
      <c r="I122" s="642">
        <v>0</v>
      </c>
      <c r="J122" s="642">
        <v>2.7E-4</v>
      </c>
      <c r="K122" s="642">
        <v>2.6679999999999999E-2</v>
      </c>
      <c r="L122" s="642">
        <f t="shared" si="24"/>
        <v>4.2329999999999993E-2</v>
      </c>
      <c r="M122" s="642"/>
      <c r="N122" s="642"/>
      <c r="O122" s="641"/>
      <c r="P122" s="641"/>
      <c r="Q122" s="641"/>
      <c r="R122" s="641"/>
      <c r="S122" s="641"/>
      <c r="T122" s="641"/>
      <c r="U122" s="641">
        <f t="shared" si="21"/>
        <v>0</v>
      </c>
      <c r="V122" s="641">
        <f t="shared" si="22"/>
        <v>0</v>
      </c>
      <c r="W122" s="641">
        <f t="shared" si="23"/>
        <v>0</v>
      </c>
    </row>
    <row r="123" spans="1:23">
      <c r="A123" s="637">
        <v>20130101</v>
      </c>
      <c r="B123" s="638" t="s">
        <v>219</v>
      </c>
      <c r="C123" s="450" t="s">
        <v>1041</v>
      </c>
      <c r="D123" s="450" t="s">
        <v>722</v>
      </c>
      <c r="E123" s="640" t="str">
        <f t="shared" si="20"/>
        <v>20130101KUCME227</v>
      </c>
      <c r="F123" s="641">
        <v>35</v>
      </c>
      <c r="G123" s="642">
        <v>6.9279999999999994E-2</v>
      </c>
      <c r="H123" s="642">
        <v>0</v>
      </c>
      <c r="I123" s="642">
        <v>0</v>
      </c>
      <c r="J123" s="642">
        <v>2.7E-4</v>
      </c>
      <c r="K123" s="642">
        <v>2.6679999999999999E-2</v>
      </c>
      <c r="L123" s="642">
        <f t="shared" si="24"/>
        <v>4.2329999999999993E-2</v>
      </c>
      <c r="M123" s="642"/>
      <c r="N123" s="642"/>
      <c r="O123" s="641"/>
      <c r="P123" s="641"/>
      <c r="Q123" s="641"/>
      <c r="R123" s="641"/>
      <c r="S123" s="641"/>
      <c r="T123" s="641"/>
      <c r="U123" s="641">
        <f t="shared" si="21"/>
        <v>0</v>
      </c>
      <c r="V123" s="641">
        <f t="shared" si="22"/>
        <v>0</v>
      </c>
      <c r="W123" s="641">
        <f t="shared" si="23"/>
        <v>0</v>
      </c>
    </row>
    <row r="124" spans="1:23">
      <c r="A124" s="637">
        <v>20130101</v>
      </c>
      <c r="B124" s="638" t="s">
        <v>26</v>
      </c>
      <c r="C124" s="639" t="s">
        <v>26</v>
      </c>
      <c r="D124" s="450" t="s">
        <v>169</v>
      </c>
      <c r="E124" s="640" t="str">
        <f t="shared" si="20"/>
        <v>20130101KUCIE561</v>
      </c>
      <c r="F124" s="641">
        <v>170</v>
      </c>
      <c r="G124" s="642">
        <v>3.338E-2</v>
      </c>
      <c r="H124" s="642">
        <v>0</v>
      </c>
      <c r="I124" s="642">
        <v>0</v>
      </c>
      <c r="J124" s="642"/>
      <c r="K124" s="642">
        <v>2.6679999999999999E-2</v>
      </c>
      <c r="L124" s="642">
        <f t="shared" si="24"/>
        <v>6.7000000000000011E-3</v>
      </c>
      <c r="M124" s="642"/>
      <c r="N124" s="642"/>
      <c r="O124" s="641"/>
      <c r="P124" s="641">
        <v>12.21</v>
      </c>
      <c r="Q124" s="641">
        <v>14.31</v>
      </c>
      <c r="R124" s="641"/>
      <c r="S124" s="641">
        <v>0.11</v>
      </c>
      <c r="T124" s="641">
        <v>0.11</v>
      </c>
      <c r="U124" s="641">
        <f t="shared" si="21"/>
        <v>0</v>
      </c>
      <c r="V124" s="641">
        <f t="shared" si="22"/>
        <v>12.100000000000001</v>
      </c>
      <c r="W124" s="641">
        <f t="shared" si="23"/>
        <v>14.200000000000001</v>
      </c>
    </row>
    <row r="125" spans="1:23">
      <c r="A125" s="637">
        <v>20130101</v>
      </c>
      <c r="B125" s="638" t="s">
        <v>26</v>
      </c>
      <c r="C125" s="639" t="s">
        <v>26</v>
      </c>
      <c r="D125" s="450" t="s">
        <v>172</v>
      </c>
      <c r="E125" s="640" t="str">
        <f t="shared" si="20"/>
        <v>20130101KUCIE566</v>
      </c>
      <c r="F125" s="641">
        <v>170</v>
      </c>
      <c r="G125" s="642">
        <v>3.338E-2</v>
      </c>
      <c r="H125" s="642">
        <v>0</v>
      </c>
      <c r="I125" s="642">
        <v>0</v>
      </c>
      <c r="J125" s="642"/>
      <c r="K125" s="642">
        <v>2.6679999999999999E-2</v>
      </c>
      <c r="L125" s="642">
        <f t="shared" si="24"/>
        <v>6.7000000000000011E-3</v>
      </c>
      <c r="M125" s="642"/>
      <c r="N125" s="642"/>
      <c r="O125" s="641"/>
      <c r="P125" s="641">
        <v>12.21</v>
      </c>
      <c r="Q125" s="641">
        <v>14.31</v>
      </c>
      <c r="R125" s="641"/>
      <c r="S125" s="641">
        <v>0.11</v>
      </c>
      <c r="T125" s="641">
        <v>0.11</v>
      </c>
      <c r="U125" s="641">
        <f t="shared" si="21"/>
        <v>0</v>
      </c>
      <c r="V125" s="641">
        <f t="shared" si="22"/>
        <v>12.100000000000001</v>
      </c>
      <c r="W125" s="641">
        <f t="shared" si="23"/>
        <v>14.200000000000001</v>
      </c>
    </row>
    <row r="126" spans="1:23">
      <c r="A126" s="637">
        <v>20130101</v>
      </c>
      <c r="B126" s="638" t="s">
        <v>25</v>
      </c>
      <c r="C126" s="639" t="s">
        <v>25</v>
      </c>
      <c r="D126" s="644" t="s">
        <v>170</v>
      </c>
      <c r="E126" s="640" t="str">
        <f t="shared" si="20"/>
        <v>20130101KUCIE562</v>
      </c>
      <c r="F126" s="641">
        <v>90</v>
      </c>
      <c r="G126" s="642">
        <v>3.3399999999999999E-2</v>
      </c>
      <c r="H126" s="642">
        <v>0</v>
      </c>
      <c r="I126" s="642">
        <v>0</v>
      </c>
      <c r="J126" s="642"/>
      <c r="K126" s="642">
        <v>2.6679999999999999E-2</v>
      </c>
      <c r="L126" s="642">
        <f t="shared" si="24"/>
        <v>6.7200000000000003E-3</v>
      </c>
      <c r="M126" s="642"/>
      <c r="N126" s="642"/>
      <c r="O126" s="641"/>
      <c r="P126" s="641">
        <v>12.23</v>
      </c>
      <c r="Q126" s="641">
        <v>14.33</v>
      </c>
      <c r="R126" s="641"/>
      <c r="S126" s="641">
        <v>0.11</v>
      </c>
      <c r="T126" s="641">
        <v>0.11</v>
      </c>
      <c r="U126" s="641">
        <f t="shared" si="21"/>
        <v>0</v>
      </c>
      <c r="V126" s="641">
        <f t="shared" si="22"/>
        <v>12.120000000000001</v>
      </c>
      <c r="W126" s="641">
        <f t="shared" si="23"/>
        <v>14.22</v>
      </c>
    </row>
    <row r="127" spans="1:23">
      <c r="A127" s="637">
        <v>20130101</v>
      </c>
      <c r="B127" s="638" t="s">
        <v>25</v>
      </c>
      <c r="C127" s="639" t="s">
        <v>25</v>
      </c>
      <c r="D127" s="639" t="s">
        <v>173</v>
      </c>
      <c r="E127" s="640" t="str">
        <f t="shared" si="20"/>
        <v>20130101KUCIE568</v>
      </c>
      <c r="F127" s="641">
        <v>90</v>
      </c>
      <c r="G127" s="642">
        <v>3.3399999999999999E-2</v>
      </c>
      <c r="H127" s="642">
        <v>0</v>
      </c>
      <c r="I127" s="642">
        <v>0</v>
      </c>
      <c r="J127" s="642"/>
      <c r="K127" s="642">
        <v>2.6679999999999999E-2</v>
      </c>
      <c r="L127" s="642">
        <f t="shared" si="24"/>
        <v>6.7200000000000003E-3</v>
      </c>
      <c r="M127" s="642"/>
      <c r="N127" s="642"/>
      <c r="O127" s="641"/>
      <c r="P127" s="641">
        <v>12.23</v>
      </c>
      <c r="Q127" s="641">
        <v>14.33</v>
      </c>
      <c r="R127" s="641"/>
      <c r="S127" s="641">
        <v>0.11</v>
      </c>
      <c r="T127" s="641">
        <v>0.11</v>
      </c>
      <c r="U127" s="641">
        <f t="shared" si="21"/>
        <v>0</v>
      </c>
      <c r="V127" s="641">
        <f t="shared" si="22"/>
        <v>12.120000000000001</v>
      </c>
      <c r="W127" s="641">
        <f t="shared" si="23"/>
        <v>14.22</v>
      </c>
    </row>
    <row r="128" spans="1:23">
      <c r="A128" s="637">
        <v>20130101</v>
      </c>
      <c r="B128" s="638" t="s">
        <v>25</v>
      </c>
      <c r="C128" s="639" t="s">
        <v>230</v>
      </c>
      <c r="D128" s="639" t="s">
        <v>176</v>
      </c>
      <c r="E128" s="640" t="str">
        <f t="shared" si="20"/>
        <v>20130101KUCIE717</v>
      </c>
      <c r="F128" s="641">
        <v>90</v>
      </c>
      <c r="G128" s="642">
        <v>3.3399999999999999E-2</v>
      </c>
      <c r="H128" s="642">
        <v>0</v>
      </c>
      <c r="I128" s="642">
        <v>0</v>
      </c>
      <c r="J128" s="642"/>
      <c r="K128" s="642">
        <v>2.6679999999999999E-2</v>
      </c>
      <c r="L128" s="642">
        <f t="shared" si="24"/>
        <v>6.7200000000000003E-3</v>
      </c>
      <c r="M128" s="642"/>
      <c r="N128" s="642"/>
      <c r="O128" s="641"/>
      <c r="P128" s="641">
        <v>12.23</v>
      </c>
      <c r="Q128" s="641">
        <v>14.33</v>
      </c>
      <c r="R128" s="641"/>
      <c r="S128" s="641">
        <v>0.11</v>
      </c>
      <c r="T128" s="641">
        <v>0.11</v>
      </c>
      <c r="U128" s="641">
        <f t="shared" si="21"/>
        <v>0</v>
      </c>
      <c r="V128" s="641">
        <f t="shared" si="22"/>
        <v>12.120000000000001</v>
      </c>
      <c r="W128" s="641">
        <f t="shared" si="23"/>
        <v>14.22</v>
      </c>
    </row>
    <row r="129" spans="1:23">
      <c r="A129" s="637">
        <v>20130101</v>
      </c>
      <c r="B129" s="638" t="s">
        <v>221</v>
      </c>
      <c r="C129" s="639" t="s">
        <v>221</v>
      </c>
      <c r="D129" s="639" t="s">
        <v>171</v>
      </c>
      <c r="E129" s="640" t="str">
        <f t="shared" si="20"/>
        <v>20130101KUCIE563</v>
      </c>
      <c r="F129" s="641">
        <v>300</v>
      </c>
      <c r="G129" s="642">
        <v>3.5409999999999997E-2</v>
      </c>
      <c r="H129" s="642">
        <v>0</v>
      </c>
      <c r="I129" s="642">
        <v>0</v>
      </c>
      <c r="J129" s="642"/>
      <c r="K129" s="642">
        <v>2.6679999999999999E-2</v>
      </c>
      <c r="L129" s="642">
        <f t="shared" si="24"/>
        <v>8.7299999999999982E-3</v>
      </c>
      <c r="M129" s="642"/>
      <c r="N129" s="642"/>
      <c r="O129" s="641">
        <v>1.48</v>
      </c>
      <c r="P129" s="641">
        <v>2.5299999999999998</v>
      </c>
      <c r="Q129" s="641">
        <v>4.03</v>
      </c>
      <c r="R129" s="641">
        <v>0.03</v>
      </c>
      <c r="S129" s="641">
        <v>0.03</v>
      </c>
      <c r="T129" s="641">
        <v>0.03</v>
      </c>
      <c r="U129" s="641">
        <f t="shared" si="21"/>
        <v>1.45</v>
      </c>
      <c r="V129" s="641">
        <f t="shared" si="22"/>
        <v>2.5</v>
      </c>
      <c r="W129" s="641">
        <f t="shared" si="23"/>
        <v>4</v>
      </c>
    </row>
    <row r="130" spans="1:23">
      <c r="A130" s="637">
        <v>20130101</v>
      </c>
      <c r="B130" s="638" t="s">
        <v>221</v>
      </c>
      <c r="C130" s="639" t="s">
        <v>221</v>
      </c>
      <c r="D130" s="639" t="s">
        <v>174</v>
      </c>
      <c r="E130" s="640" t="str">
        <f t="shared" si="20"/>
        <v>20130101KUCIE571</v>
      </c>
      <c r="F130" s="641">
        <v>300</v>
      </c>
      <c r="G130" s="642">
        <v>3.5409999999999997E-2</v>
      </c>
      <c r="H130" s="642">
        <v>0</v>
      </c>
      <c r="I130" s="642">
        <v>0</v>
      </c>
      <c r="J130" s="642"/>
      <c r="K130" s="642">
        <v>2.6679999999999999E-2</v>
      </c>
      <c r="L130" s="642">
        <f t="shared" si="24"/>
        <v>8.7299999999999982E-3</v>
      </c>
      <c r="M130" s="642"/>
      <c r="N130" s="642"/>
      <c r="O130" s="641">
        <v>1.48</v>
      </c>
      <c r="P130" s="641">
        <v>2.5299999999999998</v>
      </c>
      <c r="Q130" s="641">
        <v>4.03</v>
      </c>
      <c r="R130" s="641">
        <v>0.03</v>
      </c>
      <c r="S130" s="641">
        <v>0.03</v>
      </c>
      <c r="T130" s="641">
        <v>0.03</v>
      </c>
      <c r="U130" s="641">
        <f t="shared" si="21"/>
        <v>1.45</v>
      </c>
      <c r="V130" s="641">
        <f t="shared" si="22"/>
        <v>2.5</v>
      </c>
      <c r="W130" s="641">
        <f t="shared" si="23"/>
        <v>4</v>
      </c>
    </row>
    <row r="131" spans="1:23">
      <c r="A131" s="637">
        <v>20130101</v>
      </c>
      <c r="B131" s="638" t="s">
        <v>220</v>
      </c>
      <c r="C131" s="639" t="s">
        <v>220</v>
      </c>
      <c r="D131" s="639" t="s">
        <v>175</v>
      </c>
      <c r="E131" s="640" t="str">
        <f t="shared" si="20"/>
        <v>20130101KUCIE572</v>
      </c>
      <c r="F131" s="641">
        <v>200</v>
      </c>
      <c r="G131" s="642">
        <v>3.5490000000000001E-2</v>
      </c>
      <c r="H131" s="642">
        <v>0</v>
      </c>
      <c r="I131" s="642">
        <v>0</v>
      </c>
      <c r="J131" s="642"/>
      <c r="K131" s="642">
        <v>2.6679999999999999E-2</v>
      </c>
      <c r="L131" s="642">
        <f t="shared" si="24"/>
        <v>8.8100000000000019E-3</v>
      </c>
      <c r="M131" s="642"/>
      <c r="N131" s="642"/>
      <c r="O131" s="641">
        <v>3.32</v>
      </c>
      <c r="P131" s="641">
        <v>2.65</v>
      </c>
      <c r="Q131" s="641">
        <v>4.25</v>
      </c>
      <c r="R131" s="641">
        <v>0.03</v>
      </c>
      <c r="S131" s="641">
        <v>0.03</v>
      </c>
      <c r="T131" s="641">
        <v>0.03</v>
      </c>
      <c r="U131" s="641">
        <f t="shared" si="21"/>
        <v>3.29</v>
      </c>
      <c r="V131" s="641">
        <f t="shared" si="22"/>
        <v>2.62</v>
      </c>
      <c r="W131" s="641">
        <f t="shared" si="23"/>
        <v>4.22</v>
      </c>
    </row>
    <row r="132" spans="1:23">
      <c r="A132" s="637">
        <v>20130101</v>
      </c>
      <c r="B132" s="638" t="s">
        <v>19</v>
      </c>
      <c r="C132" s="639" t="s">
        <v>19</v>
      </c>
      <c r="D132" s="639" t="s">
        <v>168</v>
      </c>
      <c r="E132" s="640" t="str">
        <f t="shared" si="20"/>
        <v>20130101KUCIE550</v>
      </c>
      <c r="F132" s="641">
        <v>750</v>
      </c>
      <c r="G132" s="642">
        <v>3.4099999999999998E-2</v>
      </c>
      <c r="H132" s="642">
        <v>0</v>
      </c>
      <c r="I132" s="642">
        <v>0</v>
      </c>
      <c r="J132" s="642"/>
      <c r="K132" s="642">
        <v>2.6679999999999999E-2</v>
      </c>
      <c r="L132" s="642">
        <f t="shared" si="24"/>
        <v>7.4199999999999995E-3</v>
      </c>
      <c r="M132" s="642"/>
      <c r="N132" s="642"/>
      <c r="O132" s="641">
        <v>1.1200000000000001</v>
      </c>
      <c r="P132" s="641">
        <v>2.65</v>
      </c>
      <c r="Q132" s="641">
        <v>3.75</v>
      </c>
      <c r="R132" s="641">
        <v>0.02</v>
      </c>
      <c r="S132" s="641">
        <v>0.02</v>
      </c>
      <c r="T132" s="641">
        <v>0.02</v>
      </c>
      <c r="U132" s="641">
        <f t="shared" si="21"/>
        <v>1.1000000000000001</v>
      </c>
      <c r="V132" s="641">
        <f t="shared" si="22"/>
        <v>2.63</v>
      </c>
      <c r="W132" s="641">
        <f t="shared" si="23"/>
        <v>3.73</v>
      </c>
    </row>
    <row r="133" spans="1:23">
      <c r="A133" s="637">
        <v>20130101</v>
      </c>
      <c r="B133" s="638" t="s">
        <v>27</v>
      </c>
      <c r="C133" s="639" t="s">
        <v>27</v>
      </c>
      <c r="D133" s="639" t="s">
        <v>231</v>
      </c>
      <c r="E133" s="640" t="str">
        <f t="shared" si="20"/>
        <v>20130101KUINE731</v>
      </c>
      <c r="F133" s="641">
        <v>750</v>
      </c>
      <c r="G133" s="642">
        <v>3.4189999999999998E-2</v>
      </c>
      <c r="H133" s="642">
        <v>0</v>
      </c>
      <c r="I133" s="642">
        <v>0</v>
      </c>
      <c r="J133" s="642"/>
      <c r="K133" s="642">
        <v>2.6679999999999999E-2</v>
      </c>
      <c r="L133" s="642">
        <f t="shared" si="24"/>
        <v>7.5099999999999993E-3</v>
      </c>
      <c r="M133" s="642"/>
      <c r="N133" s="642"/>
      <c r="O133" s="641">
        <v>1.7</v>
      </c>
      <c r="P133" s="641">
        <v>1.42</v>
      </c>
      <c r="Q133" s="641">
        <v>2.31</v>
      </c>
      <c r="R133" s="641">
        <v>0.01</v>
      </c>
      <c r="S133" s="641">
        <v>0.01</v>
      </c>
      <c r="T133" s="641">
        <v>0.01</v>
      </c>
      <c r="U133" s="641">
        <f t="shared" si="21"/>
        <v>1.69</v>
      </c>
      <c r="V133" s="641">
        <f t="shared" si="22"/>
        <v>1.41</v>
      </c>
      <c r="W133" s="641">
        <f t="shared" si="23"/>
        <v>2.3000000000000003</v>
      </c>
    </row>
    <row r="134" spans="1:23">
      <c r="A134" s="637">
        <v>20130101</v>
      </c>
      <c r="B134" s="638" t="s">
        <v>28</v>
      </c>
      <c r="C134" s="450" t="s">
        <v>28</v>
      </c>
      <c r="D134" s="450" t="s">
        <v>189</v>
      </c>
      <c r="E134" s="640" t="str">
        <f t="shared" si="20"/>
        <v>20130101KUINE730</v>
      </c>
      <c r="F134" s="641">
        <v>750</v>
      </c>
      <c r="G134" s="642">
        <v>3.0370000000000001E-2</v>
      </c>
      <c r="H134" s="642">
        <v>0</v>
      </c>
      <c r="I134" s="642">
        <v>0</v>
      </c>
      <c r="J134" s="642"/>
      <c r="K134" s="642">
        <v>2.6679999999999999E-2</v>
      </c>
      <c r="L134" s="642">
        <f t="shared" si="24"/>
        <v>3.6900000000000023E-3</v>
      </c>
      <c r="M134" s="642"/>
      <c r="N134" s="642"/>
      <c r="O134" s="641">
        <v>0.95</v>
      </c>
      <c r="P134" s="641">
        <v>1.42</v>
      </c>
      <c r="Q134" s="641">
        <v>2.31</v>
      </c>
      <c r="R134" s="641">
        <v>0.01</v>
      </c>
      <c r="S134" s="641">
        <v>0.01</v>
      </c>
      <c r="T134" s="641">
        <v>0.01</v>
      </c>
      <c r="U134" s="641">
        <f t="shared" si="21"/>
        <v>0.94</v>
      </c>
      <c r="V134" s="641">
        <f t="shared" si="22"/>
        <v>1.41</v>
      </c>
      <c r="W134" s="641">
        <f t="shared" si="23"/>
        <v>2.3000000000000003</v>
      </c>
    </row>
    <row r="135" spans="1:23">
      <c r="A135" s="637">
        <v>20130101</v>
      </c>
      <c r="B135" s="638" t="s">
        <v>21</v>
      </c>
      <c r="C135" s="639" t="s">
        <v>21</v>
      </c>
      <c r="D135" s="639" t="s">
        <v>184</v>
      </c>
      <c r="E135" s="640" t="str">
        <f t="shared" si="20"/>
        <v>20130101KUCME295</v>
      </c>
      <c r="F135" s="641">
        <v>3.25</v>
      </c>
      <c r="G135" s="642">
        <v>7.4690000000000006E-2</v>
      </c>
      <c r="H135" s="642">
        <v>0</v>
      </c>
      <c r="I135" s="642">
        <v>0</v>
      </c>
      <c r="J135" s="642">
        <v>2.9999999999999997E-4</v>
      </c>
      <c r="K135" s="642">
        <v>2.6679999999999999E-2</v>
      </c>
      <c r="L135" s="642">
        <f t="shared" si="24"/>
        <v>4.7710000000000016E-2</v>
      </c>
      <c r="M135" s="642"/>
      <c r="N135" s="642"/>
      <c r="O135" s="641"/>
      <c r="P135" s="641"/>
      <c r="Q135" s="641"/>
      <c r="R135" s="641"/>
      <c r="S135" s="641"/>
      <c r="T135" s="641"/>
      <c r="U135" s="641">
        <f t="shared" si="21"/>
        <v>0</v>
      </c>
      <c r="V135" s="641">
        <f t="shared" si="22"/>
        <v>0</v>
      </c>
      <c r="W135" s="641">
        <f t="shared" si="23"/>
        <v>0</v>
      </c>
    </row>
    <row r="136" spans="1:23">
      <c r="A136" s="637">
        <v>20130101</v>
      </c>
      <c r="B136" s="638" t="s">
        <v>21</v>
      </c>
      <c r="C136" s="639" t="s">
        <v>21</v>
      </c>
      <c r="D136" s="450" t="s">
        <v>652</v>
      </c>
      <c r="E136" s="640" t="str">
        <f t="shared" si="20"/>
        <v>20130101KUCME297</v>
      </c>
      <c r="F136" s="641">
        <v>3.25</v>
      </c>
      <c r="G136" s="642">
        <v>7.4690000000000006E-2</v>
      </c>
      <c r="H136" s="642">
        <v>0</v>
      </c>
      <c r="I136" s="642">
        <v>0</v>
      </c>
      <c r="J136" s="642">
        <v>2.9999999999999997E-4</v>
      </c>
      <c r="K136" s="642">
        <v>2.6679999999999999E-2</v>
      </c>
      <c r="L136" s="642">
        <f t="shared" si="24"/>
        <v>4.7710000000000016E-2</v>
      </c>
      <c r="M136" s="642"/>
      <c r="N136" s="642"/>
      <c r="O136" s="641"/>
      <c r="P136" s="641"/>
      <c r="Q136" s="641"/>
      <c r="R136" s="641"/>
      <c r="S136" s="641"/>
      <c r="T136" s="641"/>
      <c r="U136" s="641">
        <f t="shared" si="21"/>
        <v>0</v>
      </c>
      <c r="V136" s="641">
        <f t="shared" si="22"/>
        <v>0</v>
      </c>
      <c r="W136" s="641">
        <f t="shared" si="23"/>
        <v>0</v>
      </c>
    </row>
    <row r="137" spans="1:23">
      <c r="A137" s="637">
        <v>20130101</v>
      </c>
      <c r="B137" s="638" t="s">
        <v>20</v>
      </c>
      <c r="C137" s="639" t="s">
        <v>20</v>
      </c>
      <c r="D137" s="450" t="s">
        <v>233</v>
      </c>
      <c r="E137" s="640" t="str">
        <f t="shared" si="20"/>
        <v>20130101KUCME290</v>
      </c>
      <c r="F137" s="641">
        <v>0</v>
      </c>
      <c r="G137" s="642">
        <v>5.8709999999999998E-2</v>
      </c>
      <c r="H137" s="642">
        <v>0</v>
      </c>
      <c r="I137" s="642">
        <v>0</v>
      </c>
      <c r="J137" s="642">
        <v>2.9999999999999997E-4</v>
      </c>
      <c r="K137" s="642">
        <v>2.6679999999999999E-2</v>
      </c>
      <c r="L137" s="642">
        <f t="shared" si="24"/>
        <v>3.1729999999999994E-2</v>
      </c>
      <c r="M137" s="642"/>
      <c r="N137" s="642"/>
      <c r="O137" s="641"/>
      <c r="P137" s="641"/>
      <c r="Q137" s="641"/>
      <c r="R137" s="641"/>
      <c r="S137" s="641"/>
      <c r="T137" s="641"/>
      <c r="U137" s="641">
        <f t="shared" si="21"/>
        <v>0</v>
      </c>
      <c r="V137" s="641">
        <f t="shared" si="22"/>
        <v>0</v>
      </c>
      <c r="W137" s="641">
        <f t="shared" si="23"/>
        <v>0</v>
      </c>
    </row>
    <row r="138" spans="1:23">
      <c r="A138" s="637">
        <v>20130101</v>
      </c>
      <c r="B138" s="638" t="s">
        <v>20</v>
      </c>
      <c r="C138" s="639" t="s">
        <v>20</v>
      </c>
      <c r="D138" s="639" t="s">
        <v>232</v>
      </c>
      <c r="E138" s="640" t="str">
        <f t="shared" si="20"/>
        <v>20130101KUCME291</v>
      </c>
      <c r="F138" s="641">
        <v>0</v>
      </c>
      <c r="G138" s="642">
        <v>5.8709999999999998E-2</v>
      </c>
      <c r="H138" s="642">
        <v>0</v>
      </c>
      <c r="I138" s="642">
        <v>0</v>
      </c>
      <c r="J138" s="642">
        <v>2.9999999999999997E-4</v>
      </c>
      <c r="K138" s="642">
        <v>2.6679999999999999E-2</v>
      </c>
      <c r="L138" s="642">
        <f t="shared" si="24"/>
        <v>3.1729999999999994E-2</v>
      </c>
      <c r="M138" s="642"/>
      <c r="N138" s="642"/>
      <c r="O138" s="641"/>
      <c r="P138" s="641"/>
      <c r="Q138" s="641"/>
      <c r="R138" s="641"/>
      <c r="S138" s="641"/>
      <c r="T138" s="641"/>
      <c r="U138" s="641">
        <f t="shared" si="21"/>
        <v>0</v>
      </c>
      <c r="V138" s="641">
        <f t="shared" si="22"/>
        <v>0</v>
      </c>
      <c r="W138" s="641">
        <f t="shared" si="23"/>
        <v>0</v>
      </c>
    </row>
    <row r="139" spans="1:23">
      <c r="A139" s="637">
        <v>20130101</v>
      </c>
      <c r="B139" s="638" t="s">
        <v>20</v>
      </c>
      <c r="C139" s="639" t="s">
        <v>20</v>
      </c>
      <c r="D139" s="450" t="s">
        <v>234</v>
      </c>
      <c r="E139" s="640" t="str">
        <f t="shared" si="20"/>
        <v>20130101KUCME292</v>
      </c>
      <c r="F139" s="641">
        <v>0</v>
      </c>
      <c r="G139" s="642">
        <v>5.8709999999999998E-2</v>
      </c>
      <c r="H139" s="642">
        <v>0</v>
      </c>
      <c r="I139" s="642">
        <v>0</v>
      </c>
      <c r="J139" s="642">
        <v>2.9999999999999997E-4</v>
      </c>
      <c r="K139" s="642">
        <v>2.6679999999999999E-2</v>
      </c>
      <c r="L139" s="642">
        <f t="shared" si="24"/>
        <v>3.1729999999999994E-2</v>
      </c>
      <c r="M139" s="642"/>
      <c r="N139" s="642"/>
      <c r="O139" s="641"/>
      <c r="P139" s="641"/>
      <c r="Q139" s="641"/>
      <c r="R139" s="641"/>
      <c r="S139" s="641"/>
      <c r="T139" s="641"/>
      <c r="U139" s="641">
        <f t="shared" si="21"/>
        <v>0</v>
      </c>
      <c r="V139" s="641">
        <f t="shared" si="22"/>
        <v>0</v>
      </c>
      <c r="W139" s="641">
        <f t="shared" si="23"/>
        <v>0</v>
      </c>
    </row>
    <row r="140" spans="1:23">
      <c r="A140" s="645">
        <v>20130701</v>
      </c>
      <c r="B140" s="646" t="s">
        <v>15</v>
      </c>
      <c r="C140" s="647" t="s">
        <v>15</v>
      </c>
      <c r="D140" s="647" t="s">
        <v>190</v>
      </c>
      <c r="E140" s="648" t="str">
        <f t="shared" ref="E140:E165" si="25">A140&amp;D140</f>
        <v>20130701KURSE010</v>
      </c>
      <c r="F140" s="649">
        <v>10.75</v>
      </c>
      <c r="G140" s="650">
        <v>7.4590000000000017E-2</v>
      </c>
      <c r="H140" s="650">
        <v>0</v>
      </c>
      <c r="I140" s="650">
        <v>0</v>
      </c>
      <c r="J140" s="650">
        <v>2.9999999999999997E-4</v>
      </c>
      <c r="K140" s="650">
        <v>2.8920000000000001E-2</v>
      </c>
      <c r="L140" s="650">
        <f>G140-J140-K140</f>
        <v>4.5370000000000021E-2</v>
      </c>
      <c r="M140" s="650"/>
      <c r="N140" s="650"/>
      <c r="O140" s="649"/>
      <c r="P140" s="649"/>
      <c r="Q140" s="649"/>
      <c r="R140" s="649"/>
      <c r="S140" s="649"/>
      <c r="T140" s="649"/>
      <c r="U140" s="649">
        <f t="shared" ref="U140:U173" si="26">O140-R140</f>
        <v>0</v>
      </c>
      <c r="V140" s="649">
        <f t="shared" ref="V140:V173" si="27">P140-S140</f>
        <v>0</v>
      </c>
      <c r="W140" s="649">
        <f t="shared" ref="W140:W173" si="28">Q140-T140</f>
        <v>0</v>
      </c>
    </row>
    <row r="141" spans="1:23">
      <c r="A141" s="645">
        <v>20130701</v>
      </c>
      <c r="B141" s="646" t="s">
        <v>15</v>
      </c>
      <c r="C141" s="647" t="s">
        <v>15</v>
      </c>
      <c r="D141" s="651" t="s">
        <v>191</v>
      </c>
      <c r="E141" s="648" t="str">
        <f t="shared" si="25"/>
        <v>20130701KURSE020</v>
      </c>
      <c r="F141" s="649">
        <v>10.75</v>
      </c>
      <c r="G141" s="650">
        <v>7.4590000000000017E-2</v>
      </c>
      <c r="H141" s="650">
        <v>0</v>
      </c>
      <c r="I141" s="650">
        <v>0</v>
      </c>
      <c r="J141" s="650">
        <v>2.9999999999999997E-4</v>
      </c>
      <c r="K141" s="650">
        <v>2.8920000000000001E-2</v>
      </c>
      <c r="L141" s="650">
        <f t="shared" ref="L141:L173" si="29">G141-J141-K141</f>
        <v>4.5370000000000021E-2</v>
      </c>
      <c r="M141" s="650"/>
      <c r="N141" s="650"/>
      <c r="O141" s="649"/>
      <c r="P141" s="649"/>
      <c r="Q141" s="649"/>
      <c r="R141" s="649"/>
      <c r="S141" s="649"/>
      <c r="T141" s="649"/>
      <c r="U141" s="649">
        <f t="shared" si="26"/>
        <v>0</v>
      </c>
      <c r="V141" s="649">
        <f t="shared" si="27"/>
        <v>0</v>
      </c>
      <c r="W141" s="649">
        <f t="shared" si="28"/>
        <v>0</v>
      </c>
    </row>
    <row r="142" spans="1:23">
      <c r="A142" s="645">
        <v>20130701</v>
      </c>
      <c r="B142" s="646" t="s">
        <v>15</v>
      </c>
      <c r="C142" s="651" t="s">
        <v>223</v>
      </c>
      <c r="D142" s="651" t="s">
        <v>192</v>
      </c>
      <c r="E142" s="648" t="str">
        <f t="shared" si="25"/>
        <v>20130701KURSE025</v>
      </c>
      <c r="F142" s="649">
        <v>10.75</v>
      </c>
      <c r="G142" s="650">
        <v>7.4590000000000017E-2</v>
      </c>
      <c r="H142" s="650">
        <v>0</v>
      </c>
      <c r="I142" s="650">
        <v>0</v>
      </c>
      <c r="J142" s="650">
        <v>2.9999999999999997E-4</v>
      </c>
      <c r="K142" s="650">
        <v>2.8920000000000001E-2</v>
      </c>
      <c r="L142" s="650">
        <f t="shared" si="29"/>
        <v>4.5370000000000021E-2</v>
      </c>
      <c r="M142" s="650"/>
      <c r="N142" s="650"/>
      <c r="O142" s="649"/>
      <c r="P142" s="649"/>
      <c r="Q142" s="649"/>
      <c r="R142" s="649"/>
      <c r="S142" s="649"/>
      <c r="T142" s="649"/>
      <c r="U142" s="649">
        <f t="shared" si="26"/>
        <v>0</v>
      </c>
      <c r="V142" s="649">
        <f t="shared" si="27"/>
        <v>0</v>
      </c>
      <c r="W142" s="649">
        <f t="shared" si="28"/>
        <v>0</v>
      </c>
    </row>
    <row r="143" spans="1:23">
      <c r="A143" s="645">
        <v>20130701</v>
      </c>
      <c r="B143" s="646" t="s">
        <v>810</v>
      </c>
      <c r="C143" s="647" t="s">
        <v>17</v>
      </c>
      <c r="D143" s="651" t="s">
        <v>193</v>
      </c>
      <c r="E143" s="648" t="str">
        <f t="shared" si="25"/>
        <v>20130701KURSE080</v>
      </c>
      <c r="F143" s="649">
        <v>10.75</v>
      </c>
      <c r="G143" s="650">
        <v>7.4590000000000017E-2</v>
      </c>
      <c r="H143" s="650">
        <v>0</v>
      </c>
      <c r="I143" s="650">
        <v>0</v>
      </c>
      <c r="J143" s="650">
        <v>2.9999999999999997E-4</v>
      </c>
      <c r="K143" s="650">
        <v>2.8920000000000001E-2</v>
      </c>
      <c r="L143" s="650">
        <f t="shared" si="29"/>
        <v>4.5370000000000021E-2</v>
      </c>
      <c r="M143" s="650"/>
      <c r="N143" s="650"/>
      <c r="O143" s="649"/>
      <c r="P143" s="649"/>
      <c r="Q143" s="649"/>
      <c r="R143" s="649"/>
      <c r="S143" s="649"/>
      <c r="T143" s="649"/>
      <c r="U143" s="649">
        <f t="shared" si="26"/>
        <v>0</v>
      </c>
      <c r="V143" s="649">
        <f t="shared" si="27"/>
        <v>0</v>
      </c>
      <c r="W143" s="649">
        <f t="shared" si="28"/>
        <v>0</v>
      </c>
    </row>
    <row r="144" spans="1:23">
      <c r="A144" s="645">
        <v>20130701</v>
      </c>
      <c r="B144" s="646" t="s">
        <v>15</v>
      </c>
      <c r="C144" s="647" t="s">
        <v>16</v>
      </c>
      <c r="D144" s="651" t="s">
        <v>194</v>
      </c>
      <c r="E144" s="648" t="str">
        <f t="shared" si="25"/>
        <v>20130701KURSE715</v>
      </c>
      <c r="F144" s="649">
        <v>10.75</v>
      </c>
      <c r="G144" s="650">
        <v>7.4590000000000017E-2</v>
      </c>
      <c r="H144" s="650">
        <v>0</v>
      </c>
      <c r="I144" s="650">
        <v>0</v>
      </c>
      <c r="J144" s="650">
        <v>2.9999999999999997E-4</v>
      </c>
      <c r="K144" s="650">
        <v>2.8920000000000001E-2</v>
      </c>
      <c r="L144" s="650">
        <f t="shared" si="29"/>
        <v>4.5370000000000021E-2</v>
      </c>
      <c r="M144" s="650"/>
      <c r="N144" s="650"/>
      <c r="O144" s="649"/>
      <c r="P144" s="649"/>
      <c r="Q144" s="649"/>
      <c r="R144" s="649"/>
      <c r="S144" s="649"/>
      <c r="T144" s="649"/>
      <c r="U144" s="649">
        <f t="shared" si="26"/>
        <v>0</v>
      </c>
      <c r="V144" s="649">
        <f t="shared" si="27"/>
        <v>0</v>
      </c>
      <c r="W144" s="649">
        <f t="shared" si="28"/>
        <v>0</v>
      </c>
    </row>
    <row r="145" spans="1:23">
      <c r="A145" s="645">
        <v>20130701</v>
      </c>
      <c r="B145" s="646" t="s">
        <v>807</v>
      </c>
      <c r="C145" s="647" t="s">
        <v>222</v>
      </c>
      <c r="D145" s="651" t="s">
        <v>477</v>
      </c>
      <c r="E145" s="648" t="str">
        <f t="shared" si="25"/>
        <v>20130701KURSE040</v>
      </c>
      <c r="F145" s="649">
        <v>10.75</v>
      </c>
      <c r="G145" s="650">
        <v>5.3019999999999998E-2</v>
      </c>
      <c r="H145" s="650">
        <v>7.4779999999999999E-2</v>
      </c>
      <c r="I145" s="650">
        <v>0.14011999999999999</v>
      </c>
      <c r="J145" s="650">
        <v>2.9999999999999997E-4</v>
      </c>
      <c r="K145" s="650">
        <v>2.8920000000000001E-2</v>
      </c>
      <c r="L145" s="650">
        <f>G145-J145-K145</f>
        <v>2.3799999999999995E-2</v>
      </c>
      <c r="M145" s="650">
        <f>H145-J145-K145</f>
        <v>4.5560000000000003E-2</v>
      </c>
      <c r="N145" s="650">
        <f>I145-J145-K145</f>
        <v>0.1109</v>
      </c>
      <c r="O145" s="649"/>
      <c r="P145" s="649"/>
      <c r="Q145" s="649"/>
      <c r="R145" s="649"/>
      <c r="S145" s="649"/>
      <c r="T145" s="649"/>
      <c r="U145" s="649">
        <f t="shared" si="26"/>
        <v>0</v>
      </c>
      <c r="V145" s="649">
        <f t="shared" si="27"/>
        <v>0</v>
      </c>
      <c r="W145" s="649">
        <f t="shared" si="28"/>
        <v>0</v>
      </c>
    </row>
    <row r="146" spans="1:23">
      <c r="A146" s="645">
        <v>20130701</v>
      </c>
      <c r="B146" s="646" t="s">
        <v>224</v>
      </c>
      <c r="C146" s="647" t="s">
        <v>224</v>
      </c>
      <c r="D146" s="647" t="s">
        <v>177</v>
      </c>
      <c r="E146" s="648" t="str">
        <f t="shared" si="25"/>
        <v>20130701KUCME110</v>
      </c>
      <c r="F146" s="649">
        <v>20</v>
      </c>
      <c r="G146" s="650">
        <v>8.7990000000000013E-2</v>
      </c>
      <c r="H146" s="650">
        <v>0</v>
      </c>
      <c r="I146" s="650">
        <v>0</v>
      </c>
      <c r="J146" s="650">
        <v>4.4999999999999999E-4</v>
      </c>
      <c r="K146" s="650">
        <v>2.8920000000000001E-2</v>
      </c>
      <c r="L146" s="650">
        <f t="shared" si="29"/>
        <v>5.8620000000000005E-2</v>
      </c>
      <c r="M146" s="650"/>
      <c r="N146" s="650"/>
      <c r="O146" s="649"/>
      <c r="P146" s="649"/>
      <c r="Q146" s="649"/>
      <c r="R146" s="649"/>
      <c r="S146" s="649"/>
      <c r="T146" s="649"/>
      <c r="U146" s="649">
        <f t="shared" si="26"/>
        <v>0</v>
      </c>
      <c r="V146" s="649">
        <f t="shared" si="27"/>
        <v>0</v>
      </c>
      <c r="W146" s="649">
        <f t="shared" si="28"/>
        <v>0</v>
      </c>
    </row>
    <row r="147" spans="1:23">
      <c r="A147" s="645">
        <v>20130701</v>
      </c>
      <c r="B147" s="646" t="s">
        <v>224</v>
      </c>
      <c r="C147" s="647" t="s">
        <v>224</v>
      </c>
      <c r="D147" s="651" t="s">
        <v>178</v>
      </c>
      <c r="E147" s="648" t="str">
        <f t="shared" si="25"/>
        <v>20130701KUCME112</v>
      </c>
      <c r="F147" s="649">
        <v>20</v>
      </c>
      <c r="G147" s="650">
        <v>8.7990000000000013E-2</v>
      </c>
      <c r="H147" s="650">
        <v>0</v>
      </c>
      <c r="I147" s="650">
        <v>0</v>
      </c>
      <c r="J147" s="650">
        <v>4.4999999999999999E-4</v>
      </c>
      <c r="K147" s="650">
        <v>2.8920000000000001E-2</v>
      </c>
      <c r="L147" s="650">
        <f t="shared" si="29"/>
        <v>5.8620000000000005E-2</v>
      </c>
      <c r="M147" s="650"/>
      <c r="N147" s="650"/>
      <c r="O147" s="649"/>
      <c r="P147" s="649"/>
      <c r="Q147" s="649"/>
      <c r="R147" s="649"/>
      <c r="S147" s="649"/>
      <c r="T147" s="649"/>
      <c r="U147" s="649">
        <f t="shared" si="26"/>
        <v>0</v>
      </c>
      <c r="V147" s="649">
        <f t="shared" si="27"/>
        <v>0</v>
      </c>
      <c r="W147" s="649">
        <f t="shared" si="28"/>
        <v>0</v>
      </c>
    </row>
    <row r="148" spans="1:23">
      <c r="A148" s="645">
        <v>20130701</v>
      </c>
      <c r="B148" s="646" t="s">
        <v>224</v>
      </c>
      <c r="C148" s="647" t="s">
        <v>225</v>
      </c>
      <c r="D148" s="647" t="s">
        <v>185</v>
      </c>
      <c r="E148" s="648" t="str">
        <f t="shared" si="25"/>
        <v>20130701KUCME710</v>
      </c>
      <c r="F148" s="649">
        <v>20</v>
      </c>
      <c r="G148" s="650">
        <v>8.7990000000000013E-2</v>
      </c>
      <c r="H148" s="650">
        <v>0</v>
      </c>
      <c r="I148" s="650">
        <v>0</v>
      </c>
      <c r="J148" s="650">
        <v>4.4999999999999999E-4</v>
      </c>
      <c r="K148" s="650">
        <v>2.8920000000000001E-2</v>
      </c>
      <c r="L148" s="650">
        <f t="shared" si="29"/>
        <v>5.8620000000000005E-2</v>
      </c>
      <c r="M148" s="650"/>
      <c r="N148" s="650"/>
      <c r="O148" s="649"/>
      <c r="P148" s="649"/>
      <c r="Q148" s="649"/>
      <c r="R148" s="649"/>
      <c r="S148" s="649"/>
      <c r="T148" s="649"/>
      <c r="U148" s="649">
        <f t="shared" si="26"/>
        <v>0</v>
      </c>
      <c r="V148" s="649">
        <f t="shared" si="27"/>
        <v>0</v>
      </c>
      <c r="W148" s="649">
        <f t="shared" si="28"/>
        <v>0</v>
      </c>
    </row>
    <row r="149" spans="1:23">
      <c r="A149" s="645">
        <v>20130701</v>
      </c>
      <c r="B149" s="652" t="s">
        <v>18</v>
      </c>
      <c r="C149" s="647" t="s">
        <v>18</v>
      </c>
      <c r="D149" s="647" t="s">
        <v>179</v>
      </c>
      <c r="E149" s="648" t="str">
        <f t="shared" si="25"/>
        <v>20130701KUCME113</v>
      </c>
      <c r="F149" s="649">
        <v>35</v>
      </c>
      <c r="G149" s="650">
        <v>8.7990000000000013E-2</v>
      </c>
      <c r="H149" s="650">
        <v>0</v>
      </c>
      <c r="I149" s="650">
        <v>0</v>
      </c>
      <c r="J149" s="650">
        <v>4.4999999999999999E-4</v>
      </c>
      <c r="K149" s="650">
        <v>2.8920000000000001E-2</v>
      </c>
      <c r="L149" s="650">
        <f t="shared" si="29"/>
        <v>5.8620000000000005E-2</v>
      </c>
      <c r="M149" s="650"/>
      <c r="N149" s="650"/>
      <c r="O149" s="649"/>
      <c r="P149" s="649"/>
      <c r="Q149" s="649"/>
      <c r="R149" s="649"/>
      <c r="S149" s="649"/>
      <c r="T149" s="649"/>
      <c r="U149" s="649">
        <f t="shared" si="26"/>
        <v>0</v>
      </c>
      <c r="V149" s="649">
        <f t="shared" si="27"/>
        <v>0</v>
      </c>
      <c r="W149" s="649">
        <f t="shared" si="28"/>
        <v>0</v>
      </c>
    </row>
    <row r="150" spans="1:23">
      <c r="A150" s="645">
        <v>20130701</v>
      </c>
      <c r="B150" s="646" t="s">
        <v>224</v>
      </c>
      <c r="C150" s="647" t="s">
        <v>226</v>
      </c>
      <c r="D150" s="651" t="s">
        <v>186</v>
      </c>
      <c r="E150" s="648" t="str">
        <f t="shared" si="25"/>
        <v>20130701KUCME713</v>
      </c>
      <c r="F150" s="649">
        <v>35</v>
      </c>
      <c r="G150" s="650">
        <v>8.7990000000000013E-2</v>
      </c>
      <c r="H150" s="650">
        <v>0</v>
      </c>
      <c r="I150" s="650">
        <v>0</v>
      </c>
      <c r="J150" s="650">
        <v>4.4999999999999999E-4</v>
      </c>
      <c r="K150" s="650">
        <v>2.8920000000000001E-2</v>
      </c>
      <c r="L150" s="650">
        <f t="shared" si="29"/>
        <v>5.8620000000000005E-2</v>
      </c>
      <c r="M150" s="650"/>
      <c r="N150" s="650"/>
      <c r="O150" s="649"/>
      <c r="P150" s="649"/>
      <c r="Q150" s="649"/>
      <c r="R150" s="649"/>
      <c r="S150" s="649"/>
      <c r="T150" s="649"/>
      <c r="U150" s="649">
        <f t="shared" si="26"/>
        <v>0</v>
      </c>
      <c r="V150" s="649">
        <f t="shared" si="27"/>
        <v>0</v>
      </c>
      <c r="W150" s="649">
        <f t="shared" si="28"/>
        <v>0</v>
      </c>
    </row>
    <row r="151" spans="1:23">
      <c r="A151" s="645">
        <v>20130701</v>
      </c>
      <c r="B151" s="646" t="s">
        <v>219</v>
      </c>
      <c r="C151" s="647" t="s">
        <v>219</v>
      </c>
      <c r="D151" s="647" t="s">
        <v>180</v>
      </c>
      <c r="E151" s="648" t="str">
        <f t="shared" si="25"/>
        <v>20130701KUCME220</v>
      </c>
      <c r="F151" s="649">
        <v>20</v>
      </c>
      <c r="G151" s="650">
        <v>7.152E-2</v>
      </c>
      <c r="H151" s="650">
        <v>0</v>
      </c>
      <c r="I151" s="650">
        <v>0</v>
      </c>
      <c r="J151" s="650">
        <v>2.7E-4</v>
      </c>
      <c r="K151" s="650">
        <v>2.8920000000000001E-2</v>
      </c>
      <c r="L151" s="650">
        <f t="shared" si="29"/>
        <v>4.2329999999999993E-2</v>
      </c>
      <c r="M151" s="650"/>
      <c r="N151" s="650"/>
      <c r="O151" s="649"/>
      <c r="P151" s="649"/>
      <c r="Q151" s="649"/>
      <c r="R151" s="649"/>
      <c r="S151" s="649"/>
      <c r="T151" s="649"/>
      <c r="U151" s="649">
        <f t="shared" si="26"/>
        <v>0</v>
      </c>
      <c r="V151" s="649">
        <f t="shared" si="27"/>
        <v>0</v>
      </c>
      <c r="W151" s="649">
        <f t="shared" si="28"/>
        <v>0</v>
      </c>
    </row>
    <row r="152" spans="1:23">
      <c r="A152" s="645">
        <v>20130701</v>
      </c>
      <c r="B152" s="646" t="s">
        <v>219</v>
      </c>
      <c r="C152" s="647" t="s">
        <v>227</v>
      </c>
      <c r="D152" s="647" t="s">
        <v>181</v>
      </c>
      <c r="E152" s="648" t="str">
        <f t="shared" si="25"/>
        <v>20130701KUCME221</v>
      </c>
      <c r="F152" s="649">
        <v>20</v>
      </c>
      <c r="G152" s="650">
        <v>7.152E-2</v>
      </c>
      <c r="H152" s="650">
        <v>0</v>
      </c>
      <c r="I152" s="650">
        <v>0</v>
      </c>
      <c r="J152" s="650">
        <v>2.7E-4</v>
      </c>
      <c r="K152" s="650">
        <v>2.8920000000000001E-2</v>
      </c>
      <c r="L152" s="650">
        <f t="shared" si="29"/>
        <v>4.2329999999999993E-2</v>
      </c>
      <c r="M152" s="650"/>
      <c r="N152" s="650"/>
      <c r="O152" s="649"/>
      <c r="P152" s="649"/>
      <c r="Q152" s="649"/>
      <c r="R152" s="649"/>
      <c r="S152" s="649"/>
      <c r="T152" s="649"/>
      <c r="U152" s="649">
        <f t="shared" si="26"/>
        <v>0</v>
      </c>
      <c r="V152" s="649">
        <f t="shared" si="27"/>
        <v>0</v>
      </c>
      <c r="W152" s="649">
        <f t="shared" si="28"/>
        <v>0</v>
      </c>
    </row>
    <row r="153" spans="1:23">
      <c r="A153" s="645">
        <v>20130701</v>
      </c>
      <c r="B153" s="646" t="s">
        <v>219</v>
      </c>
      <c r="C153" s="647" t="s">
        <v>228</v>
      </c>
      <c r="D153" s="647" t="s">
        <v>182</v>
      </c>
      <c r="E153" s="648" t="str">
        <f t="shared" si="25"/>
        <v>20130701KUCME223</v>
      </c>
      <c r="F153" s="649">
        <v>35</v>
      </c>
      <c r="G153" s="650">
        <v>7.152E-2</v>
      </c>
      <c r="H153" s="650">
        <v>0</v>
      </c>
      <c r="I153" s="650">
        <v>0</v>
      </c>
      <c r="J153" s="650">
        <v>2.7E-4</v>
      </c>
      <c r="K153" s="650">
        <v>2.8920000000000001E-2</v>
      </c>
      <c r="L153" s="650">
        <f t="shared" si="29"/>
        <v>4.2329999999999993E-2</v>
      </c>
      <c r="M153" s="650"/>
      <c r="N153" s="650"/>
      <c r="O153" s="649"/>
      <c r="P153" s="649"/>
      <c r="Q153" s="649"/>
      <c r="R153" s="649"/>
      <c r="S153" s="649"/>
      <c r="T153" s="649"/>
      <c r="U153" s="649">
        <f t="shared" si="26"/>
        <v>0</v>
      </c>
      <c r="V153" s="649">
        <f t="shared" si="27"/>
        <v>0</v>
      </c>
      <c r="W153" s="649">
        <f t="shared" si="28"/>
        <v>0</v>
      </c>
    </row>
    <row r="154" spans="1:23">
      <c r="A154" s="645">
        <v>20130701</v>
      </c>
      <c r="B154" s="646" t="s">
        <v>219</v>
      </c>
      <c r="C154" s="647" t="s">
        <v>229</v>
      </c>
      <c r="D154" s="647" t="s">
        <v>183</v>
      </c>
      <c r="E154" s="648" t="str">
        <f t="shared" si="25"/>
        <v>20130701KUCME224</v>
      </c>
      <c r="F154" s="649">
        <v>35</v>
      </c>
      <c r="G154" s="650">
        <v>7.152E-2</v>
      </c>
      <c r="H154" s="650">
        <v>0</v>
      </c>
      <c r="I154" s="650">
        <v>0</v>
      </c>
      <c r="J154" s="650">
        <v>2.7E-4</v>
      </c>
      <c r="K154" s="650">
        <v>2.8920000000000001E-2</v>
      </c>
      <c r="L154" s="650">
        <f t="shared" si="29"/>
        <v>4.2329999999999993E-2</v>
      </c>
      <c r="M154" s="650"/>
      <c r="N154" s="650"/>
      <c r="O154" s="649"/>
      <c r="P154" s="649"/>
      <c r="Q154" s="649"/>
      <c r="R154" s="649"/>
      <c r="S154" s="649"/>
      <c r="T154" s="649"/>
      <c r="U154" s="649">
        <f t="shared" si="26"/>
        <v>0</v>
      </c>
      <c r="V154" s="649">
        <f t="shared" si="27"/>
        <v>0</v>
      </c>
      <c r="W154" s="649">
        <f t="shared" si="28"/>
        <v>0</v>
      </c>
    </row>
    <row r="155" spans="1:23">
      <c r="A155" s="645">
        <v>20130701</v>
      </c>
      <c r="B155" s="646" t="s">
        <v>219</v>
      </c>
      <c r="C155" s="647" t="s">
        <v>744</v>
      </c>
      <c r="D155" s="651" t="s">
        <v>720</v>
      </c>
      <c r="E155" s="648" t="str">
        <f t="shared" si="25"/>
        <v>20130701KUCME225</v>
      </c>
      <c r="F155" s="649">
        <v>35</v>
      </c>
      <c r="G155" s="650">
        <v>7.152E-2</v>
      </c>
      <c r="H155" s="650">
        <v>0</v>
      </c>
      <c r="I155" s="650">
        <v>0</v>
      </c>
      <c r="J155" s="650">
        <v>2.7E-4</v>
      </c>
      <c r="K155" s="650">
        <v>2.8920000000000001E-2</v>
      </c>
      <c r="L155" s="650">
        <f t="shared" si="29"/>
        <v>4.2329999999999993E-2</v>
      </c>
      <c r="M155" s="650"/>
      <c r="N155" s="650"/>
      <c r="O155" s="649"/>
      <c r="P155" s="649"/>
      <c r="Q155" s="649"/>
      <c r="R155" s="649"/>
      <c r="S155" s="649"/>
      <c r="T155" s="649"/>
      <c r="U155" s="649">
        <f t="shared" si="26"/>
        <v>0</v>
      </c>
      <c r="V155" s="649">
        <f t="shared" si="27"/>
        <v>0</v>
      </c>
      <c r="W155" s="649">
        <f t="shared" si="28"/>
        <v>0</v>
      </c>
    </row>
    <row r="156" spans="1:23">
      <c r="A156" s="645">
        <v>20130701</v>
      </c>
      <c r="B156" s="646" t="s">
        <v>219</v>
      </c>
      <c r="C156" s="647" t="s">
        <v>744</v>
      </c>
      <c r="D156" s="651" t="s">
        <v>721</v>
      </c>
      <c r="E156" s="648" t="str">
        <f t="shared" si="25"/>
        <v>20130701KUCME226</v>
      </c>
      <c r="F156" s="649">
        <v>20</v>
      </c>
      <c r="G156" s="650">
        <v>7.152E-2</v>
      </c>
      <c r="H156" s="650">
        <v>0</v>
      </c>
      <c r="I156" s="650">
        <v>0</v>
      </c>
      <c r="J156" s="650">
        <v>2.7E-4</v>
      </c>
      <c r="K156" s="650">
        <v>2.8920000000000001E-2</v>
      </c>
      <c r="L156" s="650">
        <f t="shared" si="29"/>
        <v>4.2329999999999993E-2</v>
      </c>
      <c r="M156" s="650"/>
      <c r="N156" s="650"/>
      <c r="O156" s="649"/>
      <c r="P156" s="649"/>
      <c r="Q156" s="649"/>
      <c r="R156" s="649"/>
      <c r="S156" s="649"/>
      <c r="T156" s="649"/>
      <c r="U156" s="649">
        <f t="shared" si="26"/>
        <v>0</v>
      </c>
      <c r="V156" s="649">
        <f t="shared" si="27"/>
        <v>0</v>
      </c>
      <c r="W156" s="649">
        <f t="shared" si="28"/>
        <v>0</v>
      </c>
    </row>
    <row r="157" spans="1:23">
      <c r="A157" s="645">
        <v>20130701</v>
      </c>
      <c r="B157" s="646" t="s">
        <v>219</v>
      </c>
      <c r="C157" s="651" t="s">
        <v>1041</v>
      </c>
      <c r="D157" s="651" t="s">
        <v>722</v>
      </c>
      <c r="E157" s="648" t="str">
        <f t="shared" si="25"/>
        <v>20130701KUCME227</v>
      </c>
      <c r="F157" s="649">
        <v>35</v>
      </c>
      <c r="G157" s="650">
        <v>7.152E-2</v>
      </c>
      <c r="H157" s="650">
        <v>0</v>
      </c>
      <c r="I157" s="650">
        <v>0</v>
      </c>
      <c r="J157" s="650">
        <v>2.7E-4</v>
      </c>
      <c r="K157" s="650">
        <v>2.8920000000000001E-2</v>
      </c>
      <c r="L157" s="650">
        <f t="shared" si="29"/>
        <v>4.2329999999999993E-2</v>
      </c>
      <c r="M157" s="650"/>
      <c r="N157" s="650"/>
      <c r="O157" s="649"/>
      <c r="P157" s="649"/>
      <c r="Q157" s="649"/>
      <c r="R157" s="649"/>
      <c r="S157" s="649"/>
      <c r="T157" s="649"/>
      <c r="U157" s="649">
        <f t="shared" si="26"/>
        <v>0</v>
      </c>
      <c r="V157" s="649">
        <f t="shared" si="27"/>
        <v>0</v>
      </c>
      <c r="W157" s="649">
        <f t="shared" si="28"/>
        <v>0</v>
      </c>
    </row>
    <row r="158" spans="1:23">
      <c r="A158" s="645">
        <v>20130701</v>
      </c>
      <c r="B158" s="646" t="s">
        <v>26</v>
      </c>
      <c r="C158" s="647" t="s">
        <v>26</v>
      </c>
      <c r="D158" s="651" t="s">
        <v>169</v>
      </c>
      <c r="E158" s="648" t="str">
        <f t="shared" si="25"/>
        <v>20130701KUCIE561</v>
      </c>
      <c r="F158" s="649">
        <v>170</v>
      </c>
      <c r="G158" s="650">
        <v>3.5619999999999999E-2</v>
      </c>
      <c r="H158" s="650">
        <v>0</v>
      </c>
      <c r="I158" s="650">
        <v>0</v>
      </c>
      <c r="J158" s="650"/>
      <c r="K158" s="650">
        <v>2.8920000000000001E-2</v>
      </c>
      <c r="L158" s="650">
        <f t="shared" si="29"/>
        <v>6.6999999999999976E-3</v>
      </c>
      <c r="M158" s="650"/>
      <c r="N158" s="650"/>
      <c r="O158" s="649"/>
      <c r="P158" s="649">
        <v>12.21</v>
      </c>
      <c r="Q158" s="649">
        <v>14.31</v>
      </c>
      <c r="R158" s="649"/>
      <c r="S158" s="649">
        <v>0.11</v>
      </c>
      <c r="T158" s="649">
        <v>0.11</v>
      </c>
      <c r="U158" s="649">
        <f t="shared" si="26"/>
        <v>0</v>
      </c>
      <c r="V158" s="649">
        <f t="shared" si="27"/>
        <v>12.100000000000001</v>
      </c>
      <c r="W158" s="649">
        <f t="shared" si="28"/>
        <v>14.200000000000001</v>
      </c>
    </row>
    <row r="159" spans="1:23">
      <c r="A159" s="645">
        <v>20130701</v>
      </c>
      <c r="B159" s="646" t="s">
        <v>26</v>
      </c>
      <c r="C159" s="647" t="s">
        <v>26</v>
      </c>
      <c r="D159" s="651" t="s">
        <v>172</v>
      </c>
      <c r="E159" s="648" t="str">
        <f t="shared" si="25"/>
        <v>20130701KUCIE566</v>
      </c>
      <c r="F159" s="649">
        <v>170</v>
      </c>
      <c r="G159" s="650">
        <v>3.5619999999999999E-2</v>
      </c>
      <c r="H159" s="650">
        <v>0</v>
      </c>
      <c r="I159" s="650">
        <v>0</v>
      </c>
      <c r="J159" s="650"/>
      <c r="K159" s="650">
        <v>2.8920000000000001E-2</v>
      </c>
      <c r="L159" s="650">
        <f t="shared" si="29"/>
        <v>6.6999999999999976E-3</v>
      </c>
      <c r="M159" s="650"/>
      <c r="N159" s="650"/>
      <c r="O159" s="649"/>
      <c r="P159" s="649">
        <v>12.21</v>
      </c>
      <c r="Q159" s="649">
        <v>14.31</v>
      </c>
      <c r="R159" s="649"/>
      <c r="S159" s="649">
        <v>0.11</v>
      </c>
      <c r="T159" s="649">
        <v>0.11</v>
      </c>
      <c r="U159" s="649">
        <f t="shared" si="26"/>
        <v>0</v>
      </c>
      <c r="V159" s="649">
        <f t="shared" si="27"/>
        <v>12.100000000000001</v>
      </c>
      <c r="W159" s="649">
        <f t="shared" si="28"/>
        <v>14.200000000000001</v>
      </c>
    </row>
    <row r="160" spans="1:23">
      <c r="A160" s="645">
        <v>20130701</v>
      </c>
      <c r="B160" s="646" t="s">
        <v>25</v>
      </c>
      <c r="C160" s="647" t="s">
        <v>25</v>
      </c>
      <c r="D160" s="653" t="s">
        <v>170</v>
      </c>
      <c r="E160" s="648" t="str">
        <f t="shared" si="25"/>
        <v>20130701KUCIE562</v>
      </c>
      <c r="F160" s="649">
        <v>90</v>
      </c>
      <c r="G160" s="650">
        <v>3.5640000000000005E-2</v>
      </c>
      <c r="H160" s="650">
        <v>0</v>
      </c>
      <c r="I160" s="650">
        <v>0</v>
      </c>
      <c r="J160" s="650"/>
      <c r="K160" s="650">
        <v>2.8920000000000001E-2</v>
      </c>
      <c r="L160" s="650">
        <f t="shared" si="29"/>
        <v>6.7200000000000037E-3</v>
      </c>
      <c r="M160" s="650"/>
      <c r="N160" s="650"/>
      <c r="O160" s="649"/>
      <c r="P160" s="649">
        <v>12.23</v>
      </c>
      <c r="Q160" s="649">
        <v>14.33</v>
      </c>
      <c r="R160" s="649"/>
      <c r="S160" s="649">
        <v>0.11</v>
      </c>
      <c r="T160" s="649">
        <v>0.11</v>
      </c>
      <c r="U160" s="649">
        <f t="shared" si="26"/>
        <v>0</v>
      </c>
      <c r="V160" s="649">
        <f t="shared" si="27"/>
        <v>12.120000000000001</v>
      </c>
      <c r="W160" s="649">
        <f t="shared" si="28"/>
        <v>14.22</v>
      </c>
    </row>
    <row r="161" spans="1:23">
      <c r="A161" s="645">
        <v>20130701</v>
      </c>
      <c r="B161" s="646" t="s">
        <v>25</v>
      </c>
      <c r="C161" s="647" t="s">
        <v>25</v>
      </c>
      <c r="D161" s="647" t="s">
        <v>173</v>
      </c>
      <c r="E161" s="648" t="str">
        <f t="shared" si="25"/>
        <v>20130701KUCIE568</v>
      </c>
      <c r="F161" s="649">
        <v>90</v>
      </c>
      <c r="G161" s="650">
        <v>3.5640000000000005E-2</v>
      </c>
      <c r="H161" s="650">
        <v>0</v>
      </c>
      <c r="I161" s="650">
        <v>0</v>
      </c>
      <c r="J161" s="650"/>
      <c r="K161" s="650">
        <v>2.8920000000000001E-2</v>
      </c>
      <c r="L161" s="650">
        <f t="shared" si="29"/>
        <v>6.7200000000000037E-3</v>
      </c>
      <c r="M161" s="650"/>
      <c r="N161" s="650"/>
      <c r="O161" s="649"/>
      <c r="P161" s="649">
        <v>12.23</v>
      </c>
      <c r="Q161" s="649">
        <v>14.33</v>
      </c>
      <c r="R161" s="649"/>
      <c r="S161" s="649">
        <v>0.11</v>
      </c>
      <c r="T161" s="649">
        <v>0.11</v>
      </c>
      <c r="U161" s="649">
        <f t="shared" si="26"/>
        <v>0</v>
      </c>
      <c r="V161" s="649">
        <f t="shared" si="27"/>
        <v>12.120000000000001</v>
      </c>
      <c r="W161" s="649">
        <f t="shared" si="28"/>
        <v>14.22</v>
      </c>
    </row>
    <row r="162" spans="1:23">
      <c r="A162" s="645">
        <v>20130701</v>
      </c>
      <c r="B162" s="646" t="s">
        <v>25</v>
      </c>
      <c r="C162" s="647" t="s">
        <v>230</v>
      </c>
      <c r="D162" s="647" t="s">
        <v>176</v>
      </c>
      <c r="E162" s="648" t="str">
        <f t="shared" si="25"/>
        <v>20130701KUCIE717</v>
      </c>
      <c r="F162" s="649">
        <v>90</v>
      </c>
      <c r="G162" s="650">
        <v>3.5640000000000005E-2</v>
      </c>
      <c r="H162" s="650">
        <v>0</v>
      </c>
      <c r="I162" s="650">
        <v>0</v>
      </c>
      <c r="J162" s="650"/>
      <c r="K162" s="650">
        <v>2.8920000000000001E-2</v>
      </c>
      <c r="L162" s="650">
        <f t="shared" si="29"/>
        <v>6.7200000000000037E-3</v>
      </c>
      <c r="M162" s="650"/>
      <c r="N162" s="650"/>
      <c r="O162" s="649"/>
      <c r="P162" s="649">
        <v>12.23</v>
      </c>
      <c r="Q162" s="649">
        <v>14.33</v>
      </c>
      <c r="R162" s="649"/>
      <c r="S162" s="649">
        <v>0.11</v>
      </c>
      <c r="T162" s="649">
        <v>0.11</v>
      </c>
      <c r="U162" s="649">
        <f t="shared" si="26"/>
        <v>0</v>
      </c>
      <c r="V162" s="649">
        <f t="shared" si="27"/>
        <v>12.120000000000001</v>
      </c>
      <c r="W162" s="649">
        <f t="shared" si="28"/>
        <v>14.22</v>
      </c>
    </row>
    <row r="163" spans="1:23">
      <c r="A163" s="645">
        <v>20130701</v>
      </c>
      <c r="B163" s="646" t="s">
        <v>221</v>
      </c>
      <c r="C163" s="647" t="s">
        <v>221</v>
      </c>
      <c r="D163" s="647" t="s">
        <v>171</v>
      </c>
      <c r="E163" s="648" t="str">
        <f t="shared" si="25"/>
        <v>20130701KUCIE563</v>
      </c>
      <c r="F163" s="649">
        <v>300</v>
      </c>
      <c r="G163" s="650">
        <v>3.7650000000000003E-2</v>
      </c>
      <c r="H163" s="650">
        <v>0</v>
      </c>
      <c r="I163" s="650">
        <v>0</v>
      </c>
      <c r="J163" s="650"/>
      <c r="K163" s="650">
        <v>2.8920000000000001E-2</v>
      </c>
      <c r="L163" s="650">
        <f t="shared" si="29"/>
        <v>8.7300000000000016E-3</v>
      </c>
      <c r="M163" s="650"/>
      <c r="N163" s="650"/>
      <c r="O163" s="649">
        <v>1.48</v>
      </c>
      <c r="P163" s="649">
        <v>2.5299999999999998</v>
      </c>
      <c r="Q163" s="649">
        <v>4.03</v>
      </c>
      <c r="R163" s="649">
        <v>0.03</v>
      </c>
      <c r="S163" s="649">
        <v>0.03</v>
      </c>
      <c r="T163" s="649">
        <v>0.03</v>
      </c>
      <c r="U163" s="649">
        <f t="shared" si="26"/>
        <v>1.45</v>
      </c>
      <c r="V163" s="649">
        <f t="shared" si="27"/>
        <v>2.5</v>
      </c>
      <c r="W163" s="649">
        <f t="shared" si="28"/>
        <v>4</v>
      </c>
    </row>
    <row r="164" spans="1:23">
      <c r="A164" s="645">
        <v>20130701</v>
      </c>
      <c r="B164" s="646" t="s">
        <v>221</v>
      </c>
      <c r="C164" s="647" t="s">
        <v>221</v>
      </c>
      <c r="D164" s="647" t="s">
        <v>174</v>
      </c>
      <c r="E164" s="648" t="str">
        <f t="shared" si="25"/>
        <v>20130701KUCIE571</v>
      </c>
      <c r="F164" s="649">
        <v>300</v>
      </c>
      <c r="G164" s="650">
        <v>3.7650000000000003E-2</v>
      </c>
      <c r="H164" s="650">
        <v>0</v>
      </c>
      <c r="I164" s="650">
        <v>0</v>
      </c>
      <c r="J164" s="650"/>
      <c r="K164" s="650">
        <v>2.8920000000000001E-2</v>
      </c>
      <c r="L164" s="650">
        <f t="shared" si="29"/>
        <v>8.7300000000000016E-3</v>
      </c>
      <c r="M164" s="650"/>
      <c r="N164" s="650"/>
      <c r="O164" s="649">
        <v>1.48</v>
      </c>
      <c r="P164" s="649">
        <v>2.5299999999999998</v>
      </c>
      <c r="Q164" s="649">
        <v>4.03</v>
      </c>
      <c r="R164" s="649">
        <v>0.03</v>
      </c>
      <c r="S164" s="649">
        <v>0.03</v>
      </c>
      <c r="T164" s="649">
        <v>0.03</v>
      </c>
      <c r="U164" s="649">
        <f t="shared" si="26"/>
        <v>1.45</v>
      </c>
      <c r="V164" s="649">
        <f t="shared" si="27"/>
        <v>2.5</v>
      </c>
      <c r="W164" s="649">
        <f t="shared" si="28"/>
        <v>4</v>
      </c>
    </row>
    <row r="165" spans="1:23">
      <c r="A165" s="645">
        <v>20130701</v>
      </c>
      <c r="B165" s="646" t="s">
        <v>220</v>
      </c>
      <c r="C165" s="647" t="s">
        <v>220</v>
      </c>
      <c r="D165" s="647" t="s">
        <v>175</v>
      </c>
      <c r="E165" s="648" t="str">
        <f t="shared" si="25"/>
        <v>20130701KUCIE572</v>
      </c>
      <c r="F165" s="649">
        <v>200</v>
      </c>
      <c r="G165" s="650">
        <v>3.773E-2</v>
      </c>
      <c r="H165" s="650">
        <v>0</v>
      </c>
      <c r="I165" s="650">
        <v>0</v>
      </c>
      <c r="J165" s="650"/>
      <c r="K165" s="650">
        <v>2.8920000000000001E-2</v>
      </c>
      <c r="L165" s="650">
        <f t="shared" si="29"/>
        <v>8.8099999999999984E-3</v>
      </c>
      <c r="M165" s="650"/>
      <c r="N165" s="650"/>
      <c r="O165" s="649">
        <v>3.32</v>
      </c>
      <c r="P165" s="649">
        <v>2.65</v>
      </c>
      <c r="Q165" s="649">
        <v>4.25</v>
      </c>
      <c r="R165" s="649">
        <v>0.03</v>
      </c>
      <c r="S165" s="649">
        <v>0.03</v>
      </c>
      <c r="T165" s="649">
        <v>0.03</v>
      </c>
      <c r="U165" s="649">
        <f t="shared" si="26"/>
        <v>3.29</v>
      </c>
      <c r="V165" s="649">
        <f t="shared" si="27"/>
        <v>2.62</v>
      </c>
      <c r="W165" s="649">
        <f t="shared" si="28"/>
        <v>4.22</v>
      </c>
    </row>
    <row r="166" spans="1:23">
      <c r="A166" s="645">
        <v>20130701</v>
      </c>
      <c r="B166" s="646" t="s">
        <v>19</v>
      </c>
      <c r="C166" s="647" t="s">
        <v>19</v>
      </c>
      <c r="D166" s="647" t="s">
        <v>168</v>
      </c>
      <c r="E166" s="648" t="str">
        <f t="shared" ref="E166:E199" si="30">A166&amp;D166</f>
        <v>20130701KUCIE550</v>
      </c>
      <c r="F166" s="649">
        <v>750</v>
      </c>
      <c r="G166" s="650">
        <v>3.6339999999999997E-2</v>
      </c>
      <c r="H166" s="650">
        <v>0</v>
      </c>
      <c r="I166" s="650">
        <v>0</v>
      </c>
      <c r="J166" s="650"/>
      <c r="K166" s="650">
        <v>2.8920000000000001E-2</v>
      </c>
      <c r="L166" s="650">
        <f t="shared" si="29"/>
        <v>7.419999999999996E-3</v>
      </c>
      <c r="M166" s="650"/>
      <c r="N166" s="650"/>
      <c r="O166" s="649">
        <v>1.1200000000000001</v>
      </c>
      <c r="P166" s="649">
        <v>2.65</v>
      </c>
      <c r="Q166" s="649">
        <v>3.75</v>
      </c>
      <c r="R166" s="649">
        <v>0.02</v>
      </c>
      <c r="S166" s="649">
        <v>0.02</v>
      </c>
      <c r="T166" s="649">
        <v>0.02</v>
      </c>
      <c r="U166" s="649">
        <f t="shared" si="26"/>
        <v>1.1000000000000001</v>
      </c>
      <c r="V166" s="649">
        <f t="shared" si="27"/>
        <v>2.63</v>
      </c>
      <c r="W166" s="649">
        <f t="shared" si="28"/>
        <v>3.73</v>
      </c>
    </row>
    <row r="167" spans="1:23">
      <c r="A167" s="645">
        <v>20130701</v>
      </c>
      <c r="B167" s="646" t="s">
        <v>27</v>
      </c>
      <c r="C167" s="647" t="s">
        <v>27</v>
      </c>
      <c r="D167" s="647" t="s">
        <v>231</v>
      </c>
      <c r="E167" s="648" t="str">
        <f t="shared" si="30"/>
        <v>20130701KUINE731</v>
      </c>
      <c r="F167" s="649">
        <v>750</v>
      </c>
      <c r="G167" s="650">
        <v>3.6430000000000004E-2</v>
      </c>
      <c r="H167" s="650">
        <v>0</v>
      </c>
      <c r="I167" s="650">
        <v>0</v>
      </c>
      <c r="J167" s="650"/>
      <c r="K167" s="650">
        <v>2.8920000000000001E-2</v>
      </c>
      <c r="L167" s="650">
        <f t="shared" si="29"/>
        <v>7.5100000000000028E-3</v>
      </c>
      <c r="M167" s="650"/>
      <c r="N167" s="650"/>
      <c r="O167" s="649">
        <v>1.7</v>
      </c>
      <c r="P167" s="649">
        <v>1.42</v>
      </c>
      <c r="Q167" s="649">
        <v>2.31</v>
      </c>
      <c r="R167" s="649">
        <v>0.01</v>
      </c>
      <c r="S167" s="649">
        <v>0.01</v>
      </c>
      <c r="T167" s="649">
        <v>0.01</v>
      </c>
      <c r="U167" s="649">
        <f t="shared" si="26"/>
        <v>1.69</v>
      </c>
      <c r="V167" s="649">
        <f t="shared" si="27"/>
        <v>1.41</v>
      </c>
      <c r="W167" s="649">
        <f t="shared" si="28"/>
        <v>2.3000000000000003</v>
      </c>
    </row>
    <row r="168" spans="1:23">
      <c r="A168" s="645">
        <v>20130701</v>
      </c>
      <c r="B168" s="646" t="s">
        <v>28</v>
      </c>
      <c r="C168" s="651" t="s">
        <v>28</v>
      </c>
      <c r="D168" s="651" t="s">
        <v>189</v>
      </c>
      <c r="E168" s="648" t="str">
        <f t="shared" si="30"/>
        <v>20130701KUINE730</v>
      </c>
      <c r="F168" s="649">
        <v>750</v>
      </c>
      <c r="G168" s="650">
        <v>3.261E-2</v>
      </c>
      <c r="H168" s="650">
        <v>0</v>
      </c>
      <c r="I168" s="650">
        <v>0</v>
      </c>
      <c r="J168" s="650"/>
      <c r="K168" s="650">
        <v>2.8920000000000001E-2</v>
      </c>
      <c r="L168" s="650">
        <f t="shared" si="29"/>
        <v>3.6899999999999988E-3</v>
      </c>
      <c r="M168" s="650"/>
      <c r="N168" s="650"/>
      <c r="O168" s="649">
        <v>0.95</v>
      </c>
      <c r="P168" s="649">
        <v>1.42</v>
      </c>
      <c r="Q168" s="649">
        <v>2.31</v>
      </c>
      <c r="R168" s="649">
        <v>0.01</v>
      </c>
      <c r="S168" s="649">
        <v>0.01</v>
      </c>
      <c r="T168" s="649">
        <v>0.01</v>
      </c>
      <c r="U168" s="649">
        <f t="shared" si="26"/>
        <v>0.94</v>
      </c>
      <c r="V168" s="649">
        <f t="shared" si="27"/>
        <v>1.41</v>
      </c>
      <c r="W168" s="649">
        <f t="shared" si="28"/>
        <v>2.3000000000000003</v>
      </c>
    </row>
    <row r="169" spans="1:23">
      <c r="A169" s="645">
        <v>20130701</v>
      </c>
      <c r="B169" s="646" t="s">
        <v>21</v>
      </c>
      <c r="C169" s="647" t="s">
        <v>21</v>
      </c>
      <c r="D169" s="647" t="s">
        <v>184</v>
      </c>
      <c r="E169" s="648" t="str">
        <f t="shared" si="30"/>
        <v>20130701KUCME295</v>
      </c>
      <c r="F169" s="649">
        <v>3.25</v>
      </c>
      <c r="G169" s="650">
        <v>7.6930000000000026E-2</v>
      </c>
      <c r="H169" s="650">
        <v>0</v>
      </c>
      <c r="I169" s="650">
        <v>0</v>
      </c>
      <c r="J169" s="650">
        <v>2.9999999999999997E-4</v>
      </c>
      <c r="K169" s="650">
        <v>2.8920000000000001E-2</v>
      </c>
      <c r="L169" s="650">
        <f t="shared" si="29"/>
        <v>4.771000000000003E-2</v>
      </c>
      <c r="M169" s="650"/>
      <c r="N169" s="650"/>
      <c r="O169" s="649"/>
      <c r="P169" s="649"/>
      <c r="Q169" s="649"/>
      <c r="R169" s="649"/>
      <c r="S169" s="649"/>
      <c r="T169" s="649"/>
      <c r="U169" s="649">
        <f t="shared" si="26"/>
        <v>0</v>
      </c>
      <c r="V169" s="649">
        <f t="shared" si="27"/>
        <v>0</v>
      </c>
      <c r="W169" s="649">
        <f t="shared" si="28"/>
        <v>0</v>
      </c>
    </row>
    <row r="170" spans="1:23">
      <c r="A170" s="645">
        <v>20130701</v>
      </c>
      <c r="B170" s="646" t="s">
        <v>21</v>
      </c>
      <c r="C170" s="647" t="s">
        <v>21</v>
      </c>
      <c r="D170" s="651" t="s">
        <v>652</v>
      </c>
      <c r="E170" s="648" t="str">
        <f t="shared" si="30"/>
        <v>20130701KUCME297</v>
      </c>
      <c r="F170" s="649">
        <v>3.25</v>
      </c>
      <c r="G170" s="650">
        <v>7.6930000000000026E-2</v>
      </c>
      <c r="H170" s="650">
        <v>0</v>
      </c>
      <c r="I170" s="650">
        <v>0</v>
      </c>
      <c r="J170" s="650">
        <v>2.9999999999999997E-4</v>
      </c>
      <c r="K170" s="650">
        <v>2.8920000000000001E-2</v>
      </c>
      <c r="L170" s="650">
        <f t="shared" si="29"/>
        <v>4.771000000000003E-2</v>
      </c>
      <c r="M170" s="650"/>
      <c r="N170" s="650"/>
      <c r="O170" s="649"/>
      <c r="P170" s="649"/>
      <c r="Q170" s="649"/>
      <c r="R170" s="649"/>
      <c r="S170" s="649"/>
      <c r="T170" s="649"/>
      <c r="U170" s="649">
        <f t="shared" si="26"/>
        <v>0</v>
      </c>
      <c r="V170" s="649">
        <f t="shared" si="27"/>
        <v>0</v>
      </c>
      <c r="W170" s="649">
        <f t="shared" si="28"/>
        <v>0</v>
      </c>
    </row>
    <row r="171" spans="1:23">
      <c r="A171" s="645">
        <v>20130701</v>
      </c>
      <c r="B171" s="646" t="s">
        <v>20</v>
      </c>
      <c r="C171" s="647" t="s">
        <v>20</v>
      </c>
      <c r="D171" s="651" t="s">
        <v>233</v>
      </c>
      <c r="E171" s="648" t="str">
        <f t="shared" si="30"/>
        <v>20130701KUCME290</v>
      </c>
      <c r="F171" s="649">
        <v>0</v>
      </c>
      <c r="G171" s="650">
        <v>6.0949999999999997E-2</v>
      </c>
      <c r="H171" s="650">
        <v>0</v>
      </c>
      <c r="I171" s="650">
        <v>0</v>
      </c>
      <c r="J171" s="650">
        <v>2.9999999999999997E-4</v>
      </c>
      <c r="K171" s="650">
        <v>2.8920000000000001E-2</v>
      </c>
      <c r="L171" s="650">
        <f t="shared" si="29"/>
        <v>3.1729999999999994E-2</v>
      </c>
      <c r="M171" s="650"/>
      <c r="N171" s="650"/>
      <c r="O171" s="649"/>
      <c r="P171" s="649"/>
      <c r="Q171" s="649"/>
      <c r="R171" s="649"/>
      <c r="S171" s="649"/>
      <c r="T171" s="649"/>
      <c r="U171" s="649">
        <f t="shared" si="26"/>
        <v>0</v>
      </c>
      <c r="V171" s="649">
        <f t="shared" si="27"/>
        <v>0</v>
      </c>
      <c r="W171" s="649">
        <f t="shared" si="28"/>
        <v>0</v>
      </c>
    </row>
    <row r="172" spans="1:23">
      <c r="A172" s="645">
        <v>20130701</v>
      </c>
      <c r="B172" s="646" t="s">
        <v>20</v>
      </c>
      <c r="C172" s="647" t="s">
        <v>20</v>
      </c>
      <c r="D172" s="647" t="s">
        <v>232</v>
      </c>
      <c r="E172" s="648" t="str">
        <f t="shared" si="30"/>
        <v>20130701KUCME291</v>
      </c>
      <c r="F172" s="649">
        <v>0</v>
      </c>
      <c r="G172" s="650">
        <v>6.0949999999999997E-2</v>
      </c>
      <c r="H172" s="650">
        <v>0</v>
      </c>
      <c r="I172" s="650">
        <v>0</v>
      </c>
      <c r="J172" s="650">
        <v>2.9999999999999997E-4</v>
      </c>
      <c r="K172" s="650">
        <v>2.8920000000000001E-2</v>
      </c>
      <c r="L172" s="650">
        <f t="shared" si="29"/>
        <v>3.1729999999999994E-2</v>
      </c>
      <c r="M172" s="650"/>
      <c r="N172" s="650"/>
      <c r="O172" s="649"/>
      <c r="P172" s="649"/>
      <c r="Q172" s="649"/>
      <c r="R172" s="649"/>
      <c r="S172" s="649"/>
      <c r="T172" s="649"/>
      <c r="U172" s="649">
        <f t="shared" si="26"/>
        <v>0</v>
      </c>
      <c r="V172" s="649">
        <f t="shared" si="27"/>
        <v>0</v>
      </c>
      <c r="W172" s="649">
        <f t="shared" si="28"/>
        <v>0</v>
      </c>
    </row>
    <row r="173" spans="1:23">
      <c r="A173" s="645">
        <v>20130701</v>
      </c>
      <c r="B173" s="646" t="s">
        <v>20</v>
      </c>
      <c r="C173" s="647" t="s">
        <v>20</v>
      </c>
      <c r="D173" s="651" t="s">
        <v>234</v>
      </c>
      <c r="E173" s="648" t="str">
        <f t="shared" si="30"/>
        <v>20130701KUCME292</v>
      </c>
      <c r="F173" s="649">
        <v>0</v>
      </c>
      <c r="G173" s="650">
        <v>6.0949999999999997E-2</v>
      </c>
      <c r="H173" s="650">
        <v>0</v>
      </c>
      <c r="I173" s="650">
        <v>0</v>
      </c>
      <c r="J173" s="650">
        <v>2.9999999999999997E-4</v>
      </c>
      <c r="K173" s="650">
        <v>2.8920000000000001E-2</v>
      </c>
      <c r="L173" s="650">
        <f t="shared" si="29"/>
        <v>3.1729999999999994E-2</v>
      </c>
      <c r="M173" s="650"/>
      <c r="N173" s="650"/>
      <c r="O173" s="649"/>
      <c r="P173" s="649"/>
      <c r="Q173" s="649"/>
      <c r="R173" s="649"/>
      <c r="S173" s="649"/>
      <c r="T173" s="649"/>
      <c r="U173" s="649">
        <f t="shared" si="26"/>
        <v>0</v>
      </c>
      <c r="V173" s="649">
        <f t="shared" si="27"/>
        <v>0</v>
      </c>
      <c r="W173" s="649">
        <f t="shared" si="28"/>
        <v>0</v>
      </c>
    </row>
    <row r="174" spans="1:23">
      <c r="A174" s="654">
        <v>20140101</v>
      </c>
      <c r="B174" s="655" t="s">
        <v>15</v>
      </c>
      <c r="C174" s="656" t="s">
        <v>15</v>
      </c>
      <c r="D174" s="656" t="s">
        <v>190</v>
      </c>
      <c r="E174" s="657" t="str">
        <f t="shared" si="30"/>
        <v>20140101KURSE010</v>
      </c>
      <c r="F174" s="658">
        <v>10.75</v>
      </c>
      <c r="G174" s="659">
        <v>7.7439999999999995E-2</v>
      </c>
      <c r="H174" s="659">
        <v>0</v>
      </c>
      <c r="I174" s="659">
        <v>0</v>
      </c>
      <c r="J174" s="659">
        <v>3.15E-3</v>
      </c>
      <c r="K174" s="659">
        <v>2.8920000000000001E-2</v>
      </c>
      <c r="L174" s="659">
        <f>G174-J174-K174</f>
        <v>4.5369999999999994E-2</v>
      </c>
      <c r="M174" s="659"/>
      <c r="N174" s="659"/>
      <c r="O174" s="658"/>
      <c r="P174" s="658"/>
      <c r="Q174" s="658"/>
      <c r="R174" s="658"/>
      <c r="S174" s="658"/>
      <c r="T174" s="658"/>
      <c r="U174" s="658">
        <f t="shared" ref="U174:U212" si="31">O174-R174</f>
        <v>0</v>
      </c>
      <c r="V174" s="658">
        <f t="shared" ref="V174:V212" si="32">P174-S174</f>
        <v>0</v>
      </c>
      <c r="W174" s="658">
        <f t="shared" ref="W174:W212" si="33">Q174-T174</f>
        <v>0</v>
      </c>
    </row>
    <row r="175" spans="1:23">
      <c r="A175" s="654">
        <v>20140101</v>
      </c>
      <c r="B175" s="655" t="s">
        <v>15</v>
      </c>
      <c r="C175" s="656" t="s">
        <v>15</v>
      </c>
      <c r="D175" s="660" t="s">
        <v>191</v>
      </c>
      <c r="E175" s="657" t="str">
        <f t="shared" si="30"/>
        <v>20140101KURSE020</v>
      </c>
      <c r="F175" s="658">
        <v>10.75</v>
      </c>
      <c r="G175" s="659">
        <v>7.7439999999999995E-2</v>
      </c>
      <c r="H175" s="659">
        <v>0</v>
      </c>
      <c r="I175" s="659">
        <v>0</v>
      </c>
      <c r="J175" s="659">
        <v>3.15E-3</v>
      </c>
      <c r="K175" s="659">
        <v>2.8920000000000001E-2</v>
      </c>
      <c r="L175" s="659">
        <f t="shared" ref="L175:L212" si="34">G175-J175-K175</f>
        <v>4.5369999999999994E-2</v>
      </c>
      <c r="M175" s="659"/>
      <c r="N175" s="659"/>
      <c r="O175" s="658"/>
      <c r="P175" s="658"/>
      <c r="Q175" s="658"/>
      <c r="R175" s="658"/>
      <c r="S175" s="658"/>
      <c r="T175" s="658"/>
      <c r="U175" s="658">
        <f t="shared" si="31"/>
        <v>0</v>
      </c>
      <c r="V175" s="658">
        <f t="shared" si="32"/>
        <v>0</v>
      </c>
      <c r="W175" s="658">
        <f t="shared" si="33"/>
        <v>0</v>
      </c>
    </row>
    <row r="176" spans="1:23">
      <c r="A176" s="654">
        <v>20140101</v>
      </c>
      <c r="B176" s="655" t="s">
        <v>15</v>
      </c>
      <c r="C176" s="660" t="s">
        <v>223</v>
      </c>
      <c r="D176" s="660" t="s">
        <v>192</v>
      </c>
      <c r="E176" s="657" t="str">
        <f t="shared" si="30"/>
        <v>20140101KURSE025</v>
      </c>
      <c r="F176" s="658">
        <v>10.75</v>
      </c>
      <c r="G176" s="659">
        <v>7.7439999999999995E-2</v>
      </c>
      <c r="H176" s="659">
        <v>0</v>
      </c>
      <c r="I176" s="659">
        <v>0</v>
      </c>
      <c r="J176" s="659">
        <v>3.15E-3</v>
      </c>
      <c r="K176" s="659">
        <v>2.8920000000000001E-2</v>
      </c>
      <c r="L176" s="659">
        <f t="shared" si="34"/>
        <v>4.5369999999999994E-2</v>
      </c>
      <c r="M176" s="659"/>
      <c r="N176" s="659"/>
      <c r="O176" s="658"/>
      <c r="P176" s="658"/>
      <c r="Q176" s="658"/>
      <c r="R176" s="658"/>
      <c r="S176" s="658"/>
      <c r="T176" s="658"/>
      <c r="U176" s="658">
        <f t="shared" si="31"/>
        <v>0</v>
      </c>
      <c r="V176" s="658">
        <f t="shared" si="32"/>
        <v>0</v>
      </c>
      <c r="W176" s="658">
        <f t="shared" si="33"/>
        <v>0</v>
      </c>
    </row>
    <row r="177" spans="1:23">
      <c r="A177" s="654">
        <v>20140101</v>
      </c>
      <c r="B177" s="655" t="s">
        <v>810</v>
      </c>
      <c r="C177" s="656" t="s">
        <v>17</v>
      </c>
      <c r="D177" s="660" t="s">
        <v>193</v>
      </c>
      <c r="E177" s="657" t="str">
        <f t="shared" si="30"/>
        <v>20140101KURSE080</v>
      </c>
      <c r="F177" s="658">
        <v>10.75</v>
      </c>
      <c r="G177" s="659">
        <v>7.7439999999999995E-2</v>
      </c>
      <c r="H177" s="659">
        <v>0</v>
      </c>
      <c r="I177" s="659">
        <v>0</v>
      </c>
      <c r="J177" s="659">
        <v>3.15E-3</v>
      </c>
      <c r="K177" s="659">
        <v>2.8920000000000001E-2</v>
      </c>
      <c r="L177" s="659">
        <f t="shared" si="34"/>
        <v>4.5369999999999994E-2</v>
      </c>
      <c r="M177" s="659"/>
      <c r="N177" s="659"/>
      <c r="O177" s="658"/>
      <c r="P177" s="658"/>
      <c r="Q177" s="658"/>
      <c r="R177" s="658"/>
      <c r="S177" s="658"/>
      <c r="T177" s="658"/>
      <c r="U177" s="658">
        <f t="shared" si="31"/>
        <v>0</v>
      </c>
      <c r="V177" s="658">
        <f t="shared" si="32"/>
        <v>0</v>
      </c>
      <c r="W177" s="658">
        <f t="shared" si="33"/>
        <v>0</v>
      </c>
    </row>
    <row r="178" spans="1:23">
      <c r="A178" s="654">
        <v>20140101</v>
      </c>
      <c r="B178" s="655" t="s">
        <v>15</v>
      </c>
      <c r="C178" s="656" t="s">
        <v>16</v>
      </c>
      <c r="D178" s="660" t="s">
        <v>194</v>
      </c>
      <c r="E178" s="657" t="str">
        <f t="shared" si="30"/>
        <v>20140101KURSE715</v>
      </c>
      <c r="F178" s="658">
        <v>10.75</v>
      </c>
      <c r="G178" s="659">
        <v>7.7439999999999995E-2</v>
      </c>
      <c r="H178" s="659">
        <v>0</v>
      </c>
      <c r="I178" s="659">
        <v>0</v>
      </c>
      <c r="J178" s="659">
        <v>3.15E-3</v>
      </c>
      <c r="K178" s="659">
        <v>2.8920000000000001E-2</v>
      </c>
      <c r="L178" s="659">
        <f t="shared" si="34"/>
        <v>4.5369999999999994E-2</v>
      </c>
      <c r="M178" s="659"/>
      <c r="N178" s="659"/>
      <c r="O178" s="658"/>
      <c r="P178" s="658"/>
      <c r="Q178" s="658"/>
      <c r="R178" s="658"/>
      <c r="S178" s="658"/>
      <c r="T178" s="658"/>
      <c r="U178" s="658">
        <f t="shared" si="31"/>
        <v>0</v>
      </c>
      <c r="V178" s="658">
        <f t="shared" si="32"/>
        <v>0</v>
      </c>
      <c r="W178" s="658">
        <f t="shared" si="33"/>
        <v>0</v>
      </c>
    </row>
    <row r="179" spans="1:23">
      <c r="A179" s="654">
        <v>20140101</v>
      </c>
      <c r="B179" s="655" t="s">
        <v>807</v>
      </c>
      <c r="C179" s="656" t="s">
        <v>222</v>
      </c>
      <c r="D179" s="660" t="s">
        <v>477</v>
      </c>
      <c r="E179" s="657" t="str">
        <f t="shared" si="30"/>
        <v>20140101KURSE040</v>
      </c>
      <c r="F179" s="658">
        <v>10.75</v>
      </c>
      <c r="G179" s="659">
        <v>5.5870000000000003E-2</v>
      </c>
      <c r="H179" s="659">
        <v>7.7630000000000005E-2</v>
      </c>
      <c r="I179" s="659">
        <v>0.14297000000000001</v>
      </c>
      <c r="J179" s="659">
        <v>3.15E-3</v>
      </c>
      <c r="K179" s="659">
        <v>2.8920000000000001E-2</v>
      </c>
      <c r="L179" s="659">
        <f>G179-J179-K179</f>
        <v>2.3800000000000002E-2</v>
      </c>
      <c r="M179" s="659">
        <f>H179-J179-K179</f>
        <v>4.5560000000000003E-2</v>
      </c>
      <c r="N179" s="659">
        <f>I179-J179-K179</f>
        <v>0.1109</v>
      </c>
      <c r="O179" s="658"/>
      <c r="P179" s="658"/>
      <c r="Q179" s="658"/>
      <c r="R179" s="658"/>
      <c r="S179" s="658"/>
      <c r="T179" s="658"/>
      <c r="U179" s="658">
        <f t="shared" si="31"/>
        <v>0</v>
      </c>
      <c r="V179" s="658">
        <f t="shared" si="32"/>
        <v>0</v>
      </c>
      <c r="W179" s="658">
        <f t="shared" si="33"/>
        <v>0</v>
      </c>
    </row>
    <row r="180" spans="1:23">
      <c r="A180" s="654">
        <v>20140101</v>
      </c>
      <c r="B180" s="655" t="s">
        <v>224</v>
      </c>
      <c r="C180" s="656" t="s">
        <v>224</v>
      </c>
      <c r="D180" s="656" t="s">
        <v>177</v>
      </c>
      <c r="E180" s="657" t="str">
        <f t="shared" si="30"/>
        <v>20140101KUCME110</v>
      </c>
      <c r="F180" s="658">
        <v>20</v>
      </c>
      <c r="G180" s="659">
        <v>9.2249999999999999E-2</v>
      </c>
      <c r="H180" s="659">
        <v>0</v>
      </c>
      <c r="I180" s="659">
        <v>0</v>
      </c>
      <c r="J180" s="659">
        <v>4.7099999999999998E-3</v>
      </c>
      <c r="K180" s="659">
        <v>2.8920000000000001E-2</v>
      </c>
      <c r="L180" s="659">
        <f t="shared" si="34"/>
        <v>5.8619999999999992E-2</v>
      </c>
      <c r="M180" s="659"/>
      <c r="N180" s="659"/>
      <c r="O180" s="658"/>
      <c r="P180" s="658"/>
      <c r="Q180" s="658"/>
      <c r="R180" s="658"/>
      <c r="S180" s="658"/>
      <c r="T180" s="658"/>
      <c r="U180" s="658">
        <f t="shared" si="31"/>
        <v>0</v>
      </c>
      <c r="V180" s="658">
        <f t="shared" si="32"/>
        <v>0</v>
      </c>
      <c r="W180" s="658">
        <f t="shared" si="33"/>
        <v>0</v>
      </c>
    </row>
    <row r="181" spans="1:23">
      <c r="A181" s="654">
        <v>20140101</v>
      </c>
      <c r="B181" s="655" t="s">
        <v>224</v>
      </c>
      <c r="C181" s="656" t="s">
        <v>224</v>
      </c>
      <c r="D181" s="660" t="s">
        <v>178</v>
      </c>
      <c r="E181" s="657" t="str">
        <f t="shared" si="30"/>
        <v>20140101KUCME112</v>
      </c>
      <c r="F181" s="658">
        <v>20</v>
      </c>
      <c r="G181" s="659">
        <v>9.2249999999999999E-2</v>
      </c>
      <c r="H181" s="659">
        <v>0</v>
      </c>
      <c r="I181" s="659">
        <v>0</v>
      </c>
      <c r="J181" s="659">
        <v>4.7099999999999998E-3</v>
      </c>
      <c r="K181" s="659">
        <v>2.8920000000000001E-2</v>
      </c>
      <c r="L181" s="659">
        <f t="shared" si="34"/>
        <v>5.8619999999999992E-2</v>
      </c>
      <c r="M181" s="659"/>
      <c r="N181" s="659"/>
      <c r="O181" s="658"/>
      <c r="P181" s="658"/>
      <c r="Q181" s="658"/>
      <c r="R181" s="658"/>
      <c r="S181" s="658"/>
      <c r="T181" s="658"/>
      <c r="U181" s="658">
        <f t="shared" si="31"/>
        <v>0</v>
      </c>
      <c r="V181" s="658">
        <f t="shared" si="32"/>
        <v>0</v>
      </c>
      <c r="W181" s="658">
        <f t="shared" si="33"/>
        <v>0</v>
      </c>
    </row>
    <row r="182" spans="1:23">
      <c r="A182" s="654">
        <v>20140101</v>
      </c>
      <c r="B182" s="655" t="s">
        <v>224</v>
      </c>
      <c r="C182" s="656" t="s">
        <v>225</v>
      </c>
      <c r="D182" s="656" t="s">
        <v>185</v>
      </c>
      <c r="E182" s="657" t="str">
        <f t="shared" si="30"/>
        <v>20140101KUCME710</v>
      </c>
      <c r="F182" s="658">
        <v>20</v>
      </c>
      <c r="G182" s="659">
        <v>9.2249999999999999E-2</v>
      </c>
      <c r="H182" s="659">
        <v>0</v>
      </c>
      <c r="I182" s="659">
        <v>0</v>
      </c>
      <c r="J182" s="659">
        <v>4.7099999999999998E-3</v>
      </c>
      <c r="K182" s="659">
        <v>2.8920000000000001E-2</v>
      </c>
      <c r="L182" s="659">
        <f t="shared" si="34"/>
        <v>5.8619999999999992E-2</v>
      </c>
      <c r="M182" s="659"/>
      <c r="N182" s="659"/>
      <c r="O182" s="658"/>
      <c r="P182" s="658"/>
      <c r="Q182" s="658"/>
      <c r="R182" s="658"/>
      <c r="S182" s="658"/>
      <c r="T182" s="658"/>
      <c r="U182" s="658">
        <f t="shared" si="31"/>
        <v>0</v>
      </c>
      <c r="V182" s="658">
        <f t="shared" si="32"/>
        <v>0</v>
      </c>
      <c r="W182" s="658">
        <f t="shared" si="33"/>
        <v>0</v>
      </c>
    </row>
    <row r="183" spans="1:23">
      <c r="A183" s="654">
        <v>20140101</v>
      </c>
      <c r="B183" s="661" t="s">
        <v>18</v>
      </c>
      <c r="C183" s="656" t="s">
        <v>18</v>
      </c>
      <c r="D183" s="656" t="s">
        <v>179</v>
      </c>
      <c r="E183" s="657" t="str">
        <f t="shared" si="30"/>
        <v>20140101KUCME113</v>
      </c>
      <c r="F183" s="658">
        <v>35</v>
      </c>
      <c r="G183" s="659">
        <v>9.2249999999999999E-2</v>
      </c>
      <c r="H183" s="659">
        <v>0</v>
      </c>
      <c r="I183" s="659">
        <v>0</v>
      </c>
      <c r="J183" s="659">
        <v>4.7099999999999998E-3</v>
      </c>
      <c r="K183" s="659">
        <v>2.8920000000000001E-2</v>
      </c>
      <c r="L183" s="659">
        <f t="shared" si="34"/>
        <v>5.8619999999999992E-2</v>
      </c>
      <c r="M183" s="659"/>
      <c r="N183" s="659"/>
      <c r="O183" s="658"/>
      <c r="P183" s="658"/>
      <c r="Q183" s="658"/>
      <c r="R183" s="658"/>
      <c r="S183" s="658"/>
      <c r="T183" s="658"/>
      <c r="U183" s="658">
        <f t="shared" si="31"/>
        <v>0</v>
      </c>
      <c r="V183" s="658">
        <f t="shared" si="32"/>
        <v>0</v>
      </c>
      <c r="W183" s="658">
        <f t="shared" si="33"/>
        <v>0</v>
      </c>
    </row>
    <row r="184" spans="1:23">
      <c r="A184" s="654">
        <v>20140101</v>
      </c>
      <c r="B184" s="655" t="s">
        <v>224</v>
      </c>
      <c r="C184" s="656" t="s">
        <v>226</v>
      </c>
      <c r="D184" s="660" t="s">
        <v>186</v>
      </c>
      <c r="E184" s="657" t="str">
        <f t="shared" si="30"/>
        <v>20140101KUCME713</v>
      </c>
      <c r="F184" s="658">
        <v>35</v>
      </c>
      <c r="G184" s="659">
        <v>9.2249999999999999E-2</v>
      </c>
      <c r="H184" s="659">
        <v>0</v>
      </c>
      <c r="I184" s="659">
        <v>0</v>
      </c>
      <c r="J184" s="659">
        <v>4.7099999999999998E-3</v>
      </c>
      <c r="K184" s="659">
        <v>2.8920000000000001E-2</v>
      </c>
      <c r="L184" s="659">
        <f t="shared" si="34"/>
        <v>5.8619999999999992E-2</v>
      </c>
      <c r="M184" s="659"/>
      <c r="N184" s="659"/>
      <c r="O184" s="658"/>
      <c r="P184" s="658"/>
      <c r="Q184" s="658"/>
      <c r="R184" s="658"/>
      <c r="S184" s="658"/>
      <c r="T184" s="658"/>
      <c r="U184" s="658">
        <f t="shared" si="31"/>
        <v>0</v>
      </c>
      <c r="V184" s="658">
        <f t="shared" si="32"/>
        <v>0</v>
      </c>
      <c r="W184" s="658">
        <f t="shared" si="33"/>
        <v>0</v>
      </c>
    </row>
    <row r="185" spans="1:23">
      <c r="A185" s="654">
        <v>20140101</v>
      </c>
      <c r="B185" s="655" t="s">
        <v>219</v>
      </c>
      <c r="C185" s="656" t="s">
        <v>219</v>
      </c>
      <c r="D185" s="656" t="s">
        <v>180</v>
      </c>
      <c r="E185" s="657" t="str">
        <f t="shared" si="30"/>
        <v>20140101KUCME220</v>
      </c>
      <c r="F185" s="658">
        <v>20</v>
      </c>
      <c r="G185" s="659">
        <v>7.4399999999999994E-2</v>
      </c>
      <c r="H185" s="659">
        <v>0</v>
      </c>
      <c r="I185" s="659">
        <v>0</v>
      </c>
      <c r="J185" s="659">
        <v>3.15E-3</v>
      </c>
      <c r="K185" s="659">
        <v>2.8920000000000001E-2</v>
      </c>
      <c r="L185" s="659">
        <f t="shared" si="34"/>
        <v>4.2329999999999993E-2</v>
      </c>
      <c r="M185" s="659"/>
      <c r="N185" s="659"/>
      <c r="O185" s="658"/>
      <c r="P185" s="658"/>
      <c r="Q185" s="658"/>
      <c r="R185" s="658"/>
      <c r="S185" s="658"/>
      <c r="T185" s="658"/>
      <c r="U185" s="658">
        <f t="shared" si="31"/>
        <v>0</v>
      </c>
      <c r="V185" s="658">
        <f t="shared" si="32"/>
        <v>0</v>
      </c>
      <c r="W185" s="658">
        <f t="shared" si="33"/>
        <v>0</v>
      </c>
    </row>
    <row r="186" spans="1:23">
      <c r="A186" s="654">
        <v>20140101</v>
      </c>
      <c r="B186" s="655" t="s">
        <v>219</v>
      </c>
      <c r="C186" s="656" t="s">
        <v>227</v>
      </c>
      <c r="D186" s="656" t="s">
        <v>181</v>
      </c>
      <c r="E186" s="657" t="str">
        <f t="shared" si="30"/>
        <v>20140101KUCME221</v>
      </c>
      <c r="F186" s="658">
        <v>20</v>
      </c>
      <c r="G186" s="659">
        <v>7.4399999999999994E-2</v>
      </c>
      <c r="H186" s="659">
        <v>0</v>
      </c>
      <c r="I186" s="659">
        <v>0</v>
      </c>
      <c r="J186" s="659">
        <v>3.15E-3</v>
      </c>
      <c r="K186" s="659">
        <v>2.8920000000000001E-2</v>
      </c>
      <c r="L186" s="659">
        <f t="shared" si="34"/>
        <v>4.2329999999999993E-2</v>
      </c>
      <c r="M186" s="659"/>
      <c r="N186" s="659"/>
      <c r="O186" s="658"/>
      <c r="P186" s="658"/>
      <c r="Q186" s="658"/>
      <c r="R186" s="658"/>
      <c r="S186" s="658"/>
      <c r="T186" s="658"/>
      <c r="U186" s="658">
        <f t="shared" si="31"/>
        <v>0</v>
      </c>
      <c r="V186" s="658">
        <f t="shared" si="32"/>
        <v>0</v>
      </c>
      <c r="W186" s="658">
        <f t="shared" si="33"/>
        <v>0</v>
      </c>
    </row>
    <row r="187" spans="1:23">
      <c r="A187" s="654">
        <v>20140101</v>
      </c>
      <c r="B187" s="655" t="s">
        <v>219</v>
      </c>
      <c r="C187" s="656" t="s">
        <v>228</v>
      </c>
      <c r="D187" s="656" t="s">
        <v>182</v>
      </c>
      <c r="E187" s="657" t="str">
        <f t="shared" si="30"/>
        <v>20140101KUCME223</v>
      </c>
      <c r="F187" s="658">
        <v>35</v>
      </c>
      <c r="G187" s="659">
        <v>7.4399999999999994E-2</v>
      </c>
      <c r="H187" s="659">
        <v>0</v>
      </c>
      <c r="I187" s="659">
        <v>0</v>
      </c>
      <c r="J187" s="659">
        <v>3.15E-3</v>
      </c>
      <c r="K187" s="659">
        <v>2.8920000000000001E-2</v>
      </c>
      <c r="L187" s="659">
        <f t="shared" si="34"/>
        <v>4.2329999999999993E-2</v>
      </c>
      <c r="M187" s="659"/>
      <c r="N187" s="659"/>
      <c r="O187" s="658"/>
      <c r="P187" s="658"/>
      <c r="Q187" s="658"/>
      <c r="R187" s="658"/>
      <c r="S187" s="658"/>
      <c r="T187" s="658"/>
      <c r="U187" s="658">
        <f t="shared" si="31"/>
        <v>0</v>
      </c>
      <c r="V187" s="658">
        <f t="shared" si="32"/>
        <v>0</v>
      </c>
      <c r="W187" s="658">
        <f t="shared" si="33"/>
        <v>0</v>
      </c>
    </row>
    <row r="188" spans="1:23">
      <c r="A188" s="654">
        <v>20140101</v>
      </c>
      <c r="B188" s="655" t="s">
        <v>219</v>
      </c>
      <c r="C188" s="656" t="s">
        <v>229</v>
      </c>
      <c r="D188" s="656" t="s">
        <v>183</v>
      </c>
      <c r="E188" s="657" t="str">
        <f t="shared" si="30"/>
        <v>20140101KUCME224</v>
      </c>
      <c r="F188" s="658">
        <v>35</v>
      </c>
      <c r="G188" s="659">
        <v>7.4399999999999994E-2</v>
      </c>
      <c r="H188" s="659">
        <v>0</v>
      </c>
      <c r="I188" s="659">
        <v>0</v>
      </c>
      <c r="J188" s="659">
        <v>3.15E-3</v>
      </c>
      <c r="K188" s="659">
        <v>2.8920000000000001E-2</v>
      </c>
      <c r="L188" s="659">
        <f t="shared" si="34"/>
        <v>4.2329999999999993E-2</v>
      </c>
      <c r="M188" s="659"/>
      <c r="N188" s="659"/>
      <c r="O188" s="658"/>
      <c r="P188" s="658"/>
      <c r="Q188" s="658"/>
      <c r="R188" s="658"/>
      <c r="S188" s="658"/>
      <c r="T188" s="658"/>
      <c r="U188" s="658">
        <f t="shared" si="31"/>
        <v>0</v>
      </c>
      <c r="V188" s="658">
        <f t="shared" si="32"/>
        <v>0</v>
      </c>
      <c r="W188" s="658">
        <f t="shared" si="33"/>
        <v>0</v>
      </c>
    </row>
    <row r="189" spans="1:23">
      <c r="A189" s="654">
        <v>20140101</v>
      </c>
      <c r="B189" s="655" t="s">
        <v>219</v>
      </c>
      <c r="C189" s="656" t="s">
        <v>744</v>
      </c>
      <c r="D189" s="660" t="s">
        <v>720</v>
      </c>
      <c r="E189" s="657" t="str">
        <f t="shared" si="30"/>
        <v>20140101KUCME225</v>
      </c>
      <c r="F189" s="658">
        <v>35</v>
      </c>
      <c r="G189" s="659">
        <v>7.4399999999999994E-2</v>
      </c>
      <c r="H189" s="659">
        <v>0</v>
      </c>
      <c r="I189" s="659">
        <v>0</v>
      </c>
      <c r="J189" s="659">
        <v>3.15E-3</v>
      </c>
      <c r="K189" s="659">
        <v>2.8920000000000001E-2</v>
      </c>
      <c r="L189" s="659">
        <f t="shared" si="34"/>
        <v>4.2329999999999993E-2</v>
      </c>
      <c r="M189" s="659"/>
      <c r="N189" s="659"/>
      <c r="O189" s="658"/>
      <c r="P189" s="658"/>
      <c r="Q189" s="658"/>
      <c r="R189" s="658"/>
      <c r="S189" s="658"/>
      <c r="T189" s="658"/>
      <c r="U189" s="658">
        <f t="shared" si="31"/>
        <v>0</v>
      </c>
      <c r="V189" s="658">
        <f t="shared" si="32"/>
        <v>0</v>
      </c>
      <c r="W189" s="658">
        <f t="shared" si="33"/>
        <v>0</v>
      </c>
    </row>
    <row r="190" spans="1:23">
      <c r="A190" s="654">
        <v>20140101</v>
      </c>
      <c r="B190" s="655" t="s">
        <v>219</v>
      </c>
      <c r="C190" s="656" t="s">
        <v>744</v>
      </c>
      <c r="D190" s="660" t="s">
        <v>721</v>
      </c>
      <c r="E190" s="657" t="str">
        <f t="shared" si="30"/>
        <v>20140101KUCME226</v>
      </c>
      <c r="F190" s="658">
        <v>20</v>
      </c>
      <c r="G190" s="659">
        <v>7.4399999999999994E-2</v>
      </c>
      <c r="H190" s="659">
        <v>0</v>
      </c>
      <c r="I190" s="659">
        <v>0</v>
      </c>
      <c r="J190" s="659">
        <v>3.15E-3</v>
      </c>
      <c r="K190" s="659">
        <v>2.8920000000000001E-2</v>
      </c>
      <c r="L190" s="659">
        <f t="shared" si="34"/>
        <v>4.2329999999999993E-2</v>
      </c>
      <c r="M190" s="659"/>
      <c r="N190" s="659"/>
      <c r="O190" s="658"/>
      <c r="P190" s="658"/>
      <c r="Q190" s="658"/>
      <c r="R190" s="658"/>
      <c r="S190" s="658"/>
      <c r="T190" s="658"/>
      <c r="U190" s="658">
        <f t="shared" si="31"/>
        <v>0</v>
      </c>
      <c r="V190" s="658">
        <f t="shared" si="32"/>
        <v>0</v>
      </c>
      <c r="W190" s="658">
        <f t="shared" si="33"/>
        <v>0</v>
      </c>
    </row>
    <row r="191" spans="1:23">
      <c r="A191" s="654">
        <v>20140101</v>
      </c>
      <c r="B191" s="655" t="s">
        <v>219</v>
      </c>
      <c r="C191" s="660" t="s">
        <v>1041</v>
      </c>
      <c r="D191" s="660" t="s">
        <v>722</v>
      </c>
      <c r="E191" s="657" t="str">
        <f t="shared" si="30"/>
        <v>20140101KUCME227</v>
      </c>
      <c r="F191" s="658">
        <v>35</v>
      </c>
      <c r="G191" s="659">
        <v>7.4399999999999994E-2</v>
      </c>
      <c r="H191" s="659">
        <v>0</v>
      </c>
      <c r="I191" s="659">
        <v>0</v>
      </c>
      <c r="J191" s="659">
        <v>3.15E-3</v>
      </c>
      <c r="K191" s="659">
        <v>2.8920000000000001E-2</v>
      </c>
      <c r="L191" s="659">
        <f t="shared" si="34"/>
        <v>4.2329999999999993E-2</v>
      </c>
      <c r="M191" s="659"/>
      <c r="N191" s="659"/>
      <c r="O191" s="658"/>
      <c r="P191" s="658"/>
      <c r="Q191" s="658"/>
      <c r="R191" s="658"/>
      <c r="S191" s="658"/>
      <c r="T191" s="658"/>
      <c r="U191" s="658">
        <f t="shared" si="31"/>
        <v>0</v>
      </c>
      <c r="V191" s="658">
        <f t="shared" si="32"/>
        <v>0</v>
      </c>
      <c r="W191" s="658">
        <f t="shared" si="33"/>
        <v>0</v>
      </c>
    </row>
    <row r="192" spans="1:23">
      <c r="A192" s="654">
        <v>20140101</v>
      </c>
      <c r="B192" s="655" t="s">
        <v>26</v>
      </c>
      <c r="C192" s="656" t="s">
        <v>26</v>
      </c>
      <c r="D192" s="660" t="s">
        <v>169</v>
      </c>
      <c r="E192" s="657" t="str">
        <f t="shared" si="30"/>
        <v>20140101KUCIE561</v>
      </c>
      <c r="F192" s="658">
        <v>170</v>
      </c>
      <c r="G192" s="659">
        <v>3.5619999999999999E-2</v>
      </c>
      <c r="H192" s="659">
        <v>0</v>
      </c>
      <c r="I192" s="659">
        <v>0</v>
      </c>
      <c r="J192" s="659"/>
      <c r="K192" s="659">
        <v>2.8920000000000001E-2</v>
      </c>
      <c r="L192" s="659">
        <f t="shared" si="34"/>
        <v>6.6999999999999976E-3</v>
      </c>
      <c r="M192" s="659"/>
      <c r="N192" s="659"/>
      <c r="O192" s="658"/>
      <c r="P192" s="658">
        <v>13.18</v>
      </c>
      <c r="Q192" s="658">
        <v>15.28</v>
      </c>
      <c r="R192" s="658"/>
      <c r="S192" s="658">
        <v>1.08</v>
      </c>
      <c r="T192" s="658">
        <v>1.08</v>
      </c>
      <c r="U192" s="658">
        <f t="shared" si="31"/>
        <v>0</v>
      </c>
      <c r="V192" s="658">
        <f t="shared" si="32"/>
        <v>12.1</v>
      </c>
      <c r="W192" s="658">
        <f t="shared" si="33"/>
        <v>14.2</v>
      </c>
    </row>
    <row r="193" spans="1:23">
      <c r="A193" s="654">
        <v>20140101</v>
      </c>
      <c r="B193" s="655" t="s">
        <v>26</v>
      </c>
      <c r="C193" s="656" t="s">
        <v>26</v>
      </c>
      <c r="D193" s="660" t="s">
        <v>172</v>
      </c>
      <c r="E193" s="657" t="str">
        <f t="shared" si="30"/>
        <v>20140101KUCIE566</v>
      </c>
      <c r="F193" s="658">
        <v>170</v>
      </c>
      <c r="G193" s="659">
        <v>3.5619999999999999E-2</v>
      </c>
      <c r="H193" s="659">
        <v>0</v>
      </c>
      <c r="I193" s="659">
        <v>0</v>
      </c>
      <c r="J193" s="659"/>
      <c r="K193" s="659">
        <v>2.8920000000000001E-2</v>
      </c>
      <c r="L193" s="659">
        <f t="shared" si="34"/>
        <v>6.6999999999999976E-3</v>
      </c>
      <c r="M193" s="659"/>
      <c r="N193" s="659"/>
      <c r="O193" s="658"/>
      <c r="P193" s="658">
        <v>13.18</v>
      </c>
      <c r="Q193" s="658">
        <v>15.28</v>
      </c>
      <c r="R193" s="658"/>
      <c r="S193" s="658">
        <v>1.08</v>
      </c>
      <c r="T193" s="658">
        <v>1.08</v>
      </c>
      <c r="U193" s="658">
        <f t="shared" si="31"/>
        <v>0</v>
      </c>
      <c r="V193" s="658">
        <f t="shared" si="32"/>
        <v>12.1</v>
      </c>
      <c r="W193" s="658">
        <f t="shared" si="33"/>
        <v>14.2</v>
      </c>
    </row>
    <row r="194" spans="1:23">
      <c r="A194" s="654">
        <v>20140101</v>
      </c>
      <c r="B194" s="655" t="s">
        <v>25</v>
      </c>
      <c r="C194" s="656" t="s">
        <v>25</v>
      </c>
      <c r="D194" s="662" t="s">
        <v>170</v>
      </c>
      <c r="E194" s="657" t="str">
        <f t="shared" si="30"/>
        <v>20140101KUCIE562</v>
      </c>
      <c r="F194" s="658">
        <v>90</v>
      </c>
      <c r="G194" s="659">
        <v>3.5640000000000005E-2</v>
      </c>
      <c r="H194" s="659">
        <v>0</v>
      </c>
      <c r="I194" s="659">
        <v>0</v>
      </c>
      <c r="J194" s="659"/>
      <c r="K194" s="659">
        <v>2.8920000000000001E-2</v>
      </c>
      <c r="L194" s="659">
        <f t="shared" si="34"/>
        <v>6.7200000000000037E-3</v>
      </c>
      <c r="M194" s="659"/>
      <c r="N194" s="659"/>
      <c r="O194" s="658"/>
      <c r="P194" s="658">
        <v>13.2</v>
      </c>
      <c r="Q194" s="658">
        <v>15.3</v>
      </c>
      <c r="R194" s="658"/>
      <c r="S194" s="658">
        <v>1.08</v>
      </c>
      <c r="T194" s="658">
        <v>1.08</v>
      </c>
      <c r="U194" s="658">
        <f t="shared" si="31"/>
        <v>0</v>
      </c>
      <c r="V194" s="658">
        <f t="shared" si="32"/>
        <v>12.12</v>
      </c>
      <c r="W194" s="658">
        <f t="shared" si="33"/>
        <v>14.22</v>
      </c>
    </row>
    <row r="195" spans="1:23">
      <c r="A195" s="654">
        <v>20140101</v>
      </c>
      <c r="B195" s="655" t="s">
        <v>25</v>
      </c>
      <c r="C195" s="656" t="s">
        <v>25</v>
      </c>
      <c r="D195" s="656" t="s">
        <v>173</v>
      </c>
      <c r="E195" s="657" t="str">
        <f t="shared" si="30"/>
        <v>20140101KUCIE568</v>
      </c>
      <c r="F195" s="658">
        <v>90</v>
      </c>
      <c r="G195" s="659">
        <v>3.5640000000000005E-2</v>
      </c>
      <c r="H195" s="659">
        <v>0</v>
      </c>
      <c r="I195" s="659">
        <v>0</v>
      </c>
      <c r="J195" s="659"/>
      <c r="K195" s="659">
        <v>2.8920000000000001E-2</v>
      </c>
      <c r="L195" s="659">
        <f t="shared" si="34"/>
        <v>6.7200000000000037E-3</v>
      </c>
      <c r="M195" s="659"/>
      <c r="N195" s="659"/>
      <c r="O195" s="658"/>
      <c r="P195" s="658">
        <v>13.2</v>
      </c>
      <c r="Q195" s="658">
        <v>15.3</v>
      </c>
      <c r="R195" s="658"/>
      <c r="S195" s="658">
        <v>1.08</v>
      </c>
      <c r="T195" s="658">
        <v>1.08</v>
      </c>
      <c r="U195" s="658">
        <f t="shared" si="31"/>
        <v>0</v>
      </c>
      <c r="V195" s="658">
        <f t="shared" si="32"/>
        <v>12.12</v>
      </c>
      <c r="W195" s="658">
        <f t="shared" si="33"/>
        <v>14.22</v>
      </c>
    </row>
    <row r="196" spans="1:23">
      <c r="A196" s="654">
        <v>20140101</v>
      </c>
      <c r="B196" s="655" t="s">
        <v>25</v>
      </c>
      <c r="C196" s="656" t="s">
        <v>230</v>
      </c>
      <c r="D196" s="656" t="s">
        <v>176</v>
      </c>
      <c r="E196" s="657" t="str">
        <f t="shared" si="30"/>
        <v>20140101KUCIE717</v>
      </c>
      <c r="F196" s="658">
        <v>90</v>
      </c>
      <c r="G196" s="659">
        <v>3.5640000000000005E-2</v>
      </c>
      <c r="H196" s="659">
        <v>0</v>
      </c>
      <c r="I196" s="659">
        <v>0</v>
      </c>
      <c r="J196" s="659"/>
      <c r="K196" s="659">
        <v>2.8920000000000001E-2</v>
      </c>
      <c r="L196" s="659">
        <f t="shared" si="34"/>
        <v>6.7200000000000037E-3</v>
      </c>
      <c r="M196" s="659"/>
      <c r="N196" s="659"/>
      <c r="O196" s="658"/>
      <c r="P196" s="658">
        <v>13.2</v>
      </c>
      <c r="Q196" s="658">
        <v>15.3</v>
      </c>
      <c r="R196" s="658"/>
      <c r="S196" s="658">
        <v>1.08</v>
      </c>
      <c r="T196" s="658">
        <v>1.08</v>
      </c>
      <c r="U196" s="658">
        <f t="shared" si="31"/>
        <v>0</v>
      </c>
      <c r="V196" s="658">
        <f t="shared" si="32"/>
        <v>12.12</v>
      </c>
      <c r="W196" s="658">
        <f t="shared" si="33"/>
        <v>14.22</v>
      </c>
    </row>
    <row r="197" spans="1:23">
      <c r="A197" s="654">
        <v>20140101</v>
      </c>
      <c r="B197" s="655" t="s">
        <v>221</v>
      </c>
      <c r="C197" s="656" t="s">
        <v>221</v>
      </c>
      <c r="D197" s="656" t="s">
        <v>171</v>
      </c>
      <c r="E197" s="657" t="str">
        <f t="shared" si="30"/>
        <v>20140101KUCIE563</v>
      </c>
      <c r="F197" s="658">
        <v>300</v>
      </c>
      <c r="G197" s="659">
        <v>3.7650000000000003E-2</v>
      </c>
      <c r="H197" s="659">
        <v>0</v>
      </c>
      <c r="I197" s="659">
        <v>0</v>
      </c>
      <c r="J197" s="659"/>
      <c r="K197" s="659">
        <v>2.8920000000000001E-2</v>
      </c>
      <c r="L197" s="659">
        <f t="shared" si="34"/>
        <v>8.7300000000000016E-3</v>
      </c>
      <c r="M197" s="659"/>
      <c r="N197" s="659"/>
      <c r="O197" s="658">
        <v>1.71</v>
      </c>
      <c r="P197" s="658">
        <v>2.76</v>
      </c>
      <c r="Q197" s="658">
        <v>4.26</v>
      </c>
      <c r="R197" s="658">
        <v>0.26</v>
      </c>
      <c r="S197" s="658">
        <v>0.26</v>
      </c>
      <c r="T197" s="658">
        <v>0.26</v>
      </c>
      <c r="U197" s="658">
        <f t="shared" si="31"/>
        <v>1.45</v>
      </c>
      <c r="V197" s="658">
        <f t="shared" si="32"/>
        <v>2.5</v>
      </c>
      <c r="W197" s="658">
        <f t="shared" si="33"/>
        <v>4</v>
      </c>
    </row>
    <row r="198" spans="1:23">
      <c r="A198" s="654">
        <v>20140101</v>
      </c>
      <c r="B198" s="655" t="s">
        <v>221</v>
      </c>
      <c r="C198" s="656" t="s">
        <v>221</v>
      </c>
      <c r="D198" s="656" t="s">
        <v>174</v>
      </c>
      <c r="E198" s="657" t="str">
        <f t="shared" si="30"/>
        <v>20140101KUCIE571</v>
      </c>
      <c r="F198" s="658">
        <v>300</v>
      </c>
      <c r="G198" s="659">
        <v>3.7650000000000003E-2</v>
      </c>
      <c r="H198" s="659">
        <v>0</v>
      </c>
      <c r="I198" s="659">
        <v>0</v>
      </c>
      <c r="J198" s="659"/>
      <c r="K198" s="659">
        <v>2.8920000000000001E-2</v>
      </c>
      <c r="L198" s="659">
        <f t="shared" si="34"/>
        <v>8.7300000000000016E-3</v>
      </c>
      <c r="M198" s="659"/>
      <c r="N198" s="659"/>
      <c r="O198" s="658">
        <v>1.71</v>
      </c>
      <c r="P198" s="658">
        <v>2.76</v>
      </c>
      <c r="Q198" s="658">
        <v>4.26</v>
      </c>
      <c r="R198" s="658">
        <v>0.26</v>
      </c>
      <c r="S198" s="658">
        <v>0.26</v>
      </c>
      <c r="T198" s="658">
        <v>0.26</v>
      </c>
      <c r="U198" s="658">
        <f t="shared" si="31"/>
        <v>1.45</v>
      </c>
      <c r="V198" s="658">
        <f t="shared" si="32"/>
        <v>2.5</v>
      </c>
      <c r="W198" s="658">
        <f t="shared" si="33"/>
        <v>4</v>
      </c>
    </row>
    <row r="199" spans="1:23">
      <c r="A199" s="654">
        <v>20140101</v>
      </c>
      <c r="B199" s="655" t="s">
        <v>220</v>
      </c>
      <c r="C199" s="656" t="s">
        <v>220</v>
      </c>
      <c r="D199" s="656" t="s">
        <v>175</v>
      </c>
      <c r="E199" s="657" t="str">
        <f t="shared" si="30"/>
        <v>20140101KUCIE572</v>
      </c>
      <c r="F199" s="658">
        <v>200</v>
      </c>
      <c r="G199" s="659">
        <v>3.773E-2</v>
      </c>
      <c r="H199" s="659">
        <v>0</v>
      </c>
      <c r="I199" s="659">
        <v>0</v>
      </c>
      <c r="J199" s="659"/>
      <c r="K199" s="659">
        <v>2.8920000000000001E-2</v>
      </c>
      <c r="L199" s="659">
        <f t="shared" si="34"/>
        <v>8.8099999999999984E-3</v>
      </c>
      <c r="M199" s="659"/>
      <c r="N199" s="659"/>
      <c r="O199" s="658">
        <v>3.62</v>
      </c>
      <c r="P199" s="658">
        <v>2.95</v>
      </c>
      <c r="Q199" s="658">
        <v>4.55</v>
      </c>
      <c r="R199" s="658">
        <v>0.33</v>
      </c>
      <c r="S199" s="658">
        <v>0.33</v>
      </c>
      <c r="T199" s="658">
        <v>0.33</v>
      </c>
      <c r="U199" s="658">
        <f t="shared" si="31"/>
        <v>3.29</v>
      </c>
      <c r="V199" s="658">
        <f t="shared" si="32"/>
        <v>2.62</v>
      </c>
      <c r="W199" s="658">
        <f t="shared" si="33"/>
        <v>4.22</v>
      </c>
    </row>
    <row r="200" spans="1:23">
      <c r="A200" s="654">
        <v>20140101</v>
      </c>
      <c r="B200" s="655" t="s">
        <v>19</v>
      </c>
      <c r="C200" s="656" t="s">
        <v>19</v>
      </c>
      <c r="D200" s="656" t="s">
        <v>168</v>
      </c>
      <c r="E200" s="657" t="str">
        <f t="shared" ref="E200:E212" si="35">A200&amp;D200</f>
        <v>20140101KUCIE550</v>
      </c>
      <c r="F200" s="658">
        <v>750</v>
      </c>
      <c r="G200" s="659">
        <v>3.6339999999999997E-2</v>
      </c>
      <c r="H200" s="659">
        <v>0</v>
      </c>
      <c r="I200" s="659">
        <v>0</v>
      </c>
      <c r="J200" s="659"/>
      <c r="K200" s="659">
        <v>2.8920000000000001E-2</v>
      </c>
      <c r="L200" s="659">
        <f t="shared" si="34"/>
        <v>7.419999999999996E-3</v>
      </c>
      <c r="M200" s="659"/>
      <c r="N200" s="659"/>
      <c r="O200" s="658">
        <v>1.34</v>
      </c>
      <c r="P200" s="658">
        <v>2.87</v>
      </c>
      <c r="Q200" s="658">
        <v>3.97</v>
      </c>
      <c r="R200" s="658">
        <v>0.24</v>
      </c>
      <c r="S200" s="658">
        <v>0.24</v>
      </c>
      <c r="T200" s="658">
        <v>0.24</v>
      </c>
      <c r="U200" s="658">
        <f t="shared" si="31"/>
        <v>1.1000000000000001</v>
      </c>
      <c r="V200" s="658">
        <f t="shared" si="32"/>
        <v>2.63</v>
      </c>
      <c r="W200" s="658">
        <f t="shared" si="33"/>
        <v>3.7300000000000004</v>
      </c>
    </row>
    <row r="201" spans="1:23">
      <c r="A201" s="654">
        <v>20140101</v>
      </c>
      <c r="B201" s="655" t="s">
        <v>27</v>
      </c>
      <c r="C201" s="656" t="s">
        <v>27</v>
      </c>
      <c r="D201" s="656" t="s">
        <v>231</v>
      </c>
      <c r="E201" s="657" t="str">
        <f t="shared" si="35"/>
        <v>20140101KUINE731</v>
      </c>
      <c r="F201" s="658">
        <v>750</v>
      </c>
      <c r="G201" s="659">
        <v>3.6430000000000004E-2</v>
      </c>
      <c r="H201" s="659">
        <v>0</v>
      </c>
      <c r="I201" s="659">
        <v>0</v>
      </c>
      <c r="J201" s="659"/>
      <c r="K201" s="659">
        <v>2.8920000000000001E-2</v>
      </c>
      <c r="L201" s="659">
        <f t="shared" si="34"/>
        <v>7.5100000000000028E-3</v>
      </c>
      <c r="M201" s="659"/>
      <c r="N201" s="659"/>
      <c r="O201" s="658">
        <v>1.8</v>
      </c>
      <c r="P201" s="658">
        <v>1.52</v>
      </c>
      <c r="Q201" s="658">
        <v>2.41</v>
      </c>
      <c r="R201" s="658">
        <v>0.11</v>
      </c>
      <c r="S201" s="658">
        <v>0.11</v>
      </c>
      <c r="T201" s="658">
        <v>0.11</v>
      </c>
      <c r="U201" s="658">
        <f t="shared" si="31"/>
        <v>1.69</v>
      </c>
      <c r="V201" s="658">
        <f t="shared" si="32"/>
        <v>1.41</v>
      </c>
      <c r="W201" s="658">
        <f t="shared" si="33"/>
        <v>2.3000000000000003</v>
      </c>
    </row>
    <row r="202" spans="1:23">
      <c r="A202" s="654">
        <v>20140101</v>
      </c>
      <c r="B202" s="655" t="s">
        <v>28</v>
      </c>
      <c r="C202" s="660" t="s">
        <v>28</v>
      </c>
      <c r="D202" s="660" t="s">
        <v>189</v>
      </c>
      <c r="E202" s="657" t="str">
        <f t="shared" si="35"/>
        <v>20140101KUINE730</v>
      </c>
      <c r="F202" s="658">
        <v>750</v>
      </c>
      <c r="G202" s="659">
        <v>3.261E-2</v>
      </c>
      <c r="H202" s="659">
        <v>0</v>
      </c>
      <c r="I202" s="659">
        <v>0</v>
      </c>
      <c r="J202" s="659"/>
      <c r="K202" s="659">
        <v>2.8920000000000001E-2</v>
      </c>
      <c r="L202" s="659">
        <f t="shared" si="34"/>
        <v>3.6899999999999988E-3</v>
      </c>
      <c r="M202" s="659"/>
      <c r="N202" s="659"/>
      <c r="O202" s="658">
        <v>1.05</v>
      </c>
      <c r="P202" s="658">
        <v>1.52</v>
      </c>
      <c r="Q202" s="658">
        <v>2.41</v>
      </c>
      <c r="R202" s="658">
        <v>0.11</v>
      </c>
      <c r="S202" s="658">
        <v>0.11</v>
      </c>
      <c r="T202" s="658">
        <v>0.11</v>
      </c>
      <c r="U202" s="658">
        <f t="shared" si="31"/>
        <v>0.94000000000000006</v>
      </c>
      <c r="V202" s="658">
        <f t="shared" si="32"/>
        <v>1.41</v>
      </c>
      <c r="W202" s="658">
        <f t="shared" si="33"/>
        <v>2.3000000000000003</v>
      </c>
    </row>
    <row r="203" spans="1:23">
      <c r="A203" s="654">
        <v>20140101</v>
      </c>
      <c r="B203" s="655" t="s">
        <v>1455</v>
      </c>
      <c r="C203" s="656" t="s">
        <v>1459</v>
      </c>
      <c r="D203" s="656" t="s">
        <v>187</v>
      </c>
      <c r="E203" s="657" t="str">
        <f>A203&amp;D203</f>
        <v>20140101KUCSR760</v>
      </c>
      <c r="F203" s="658">
        <v>0</v>
      </c>
      <c r="G203" s="659">
        <v>0</v>
      </c>
      <c r="H203" s="659">
        <v>0</v>
      </c>
      <c r="I203" s="659">
        <v>0</v>
      </c>
      <c r="J203" s="659">
        <v>0</v>
      </c>
      <c r="K203" s="659">
        <v>0</v>
      </c>
      <c r="L203" s="659">
        <f>G203-J203-K203</f>
        <v>0</v>
      </c>
      <c r="M203" s="659"/>
      <c r="N203" s="659"/>
      <c r="O203" s="658">
        <v>-5.4</v>
      </c>
      <c r="P203" s="658">
        <v>0</v>
      </c>
      <c r="Q203" s="658">
        <v>0</v>
      </c>
      <c r="R203" s="658">
        <v>0</v>
      </c>
      <c r="S203" s="658">
        <v>0</v>
      </c>
      <c r="T203" s="658">
        <v>0</v>
      </c>
      <c r="U203" s="658">
        <f t="shared" ref="U203:W207" si="36">O203-R203</f>
        <v>-5.4</v>
      </c>
      <c r="V203" s="658">
        <f t="shared" si="36"/>
        <v>0</v>
      </c>
      <c r="W203" s="658">
        <f t="shared" si="36"/>
        <v>0</v>
      </c>
    </row>
    <row r="204" spans="1:23">
      <c r="A204" s="654">
        <v>20140101</v>
      </c>
      <c r="B204" s="661" t="s">
        <v>1456</v>
      </c>
      <c r="C204" s="656" t="s">
        <v>1459</v>
      </c>
      <c r="D204" s="660" t="s">
        <v>188</v>
      </c>
      <c r="E204" s="657" t="str">
        <f>A204&amp;D204</f>
        <v>20140101KUCSR761</v>
      </c>
      <c r="F204" s="658">
        <v>0</v>
      </c>
      <c r="G204" s="659">
        <v>0</v>
      </c>
      <c r="H204" s="659">
        <v>0</v>
      </c>
      <c r="I204" s="659">
        <v>0</v>
      </c>
      <c r="J204" s="659">
        <v>0</v>
      </c>
      <c r="K204" s="659">
        <v>0</v>
      </c>
      <c r="L204" s="659">
        <f>G204-J204-K204</f>
        <v>0</v>
      </c>
      <c r="M204" s="659"/>
      <c r="N204" s="659"/>
      <c r="O204" s="658">
        <v>-5.5</v>
      </c>
      <c r="P204" s="658">
        <v>0</v>
      </c>
      <c r="Q204" s="658">
        <v>0</v>
      </c>
      <c r="R204" s="658">
        <v>0</v>
      </c>
      <c r="S204" s="658">
        <v>0</v>
      </c>
      <c r="T204" s="658">
        <v>0</v>
      </c>
      <c r="U204" s="658">
        <f t="shared" si="36"/>
        <v>-5.5</v>
      </c>
      <c r="V204" s="658">
        <f t="shared" si="36"/>
        <v>0</v>
      </c>
      <c r="W204" s="658">
        <f t="shared" si="36"/>
        <v>0</v>
      </c>
    </row>
    <row r="205" spans="1:23">
      <c r="A205" s="654">
        <v>20140101</v>
      </c>
      <c r="B205" s="661" t="s">
        <v>1457</v>
      </c>
      <c r="C205" s="660" t="s">
        <v>1460</v>
      </c>
      <c r="D205" s="660" t="s">
        <v>1364</v>
      </c>
      <c r="E205" s="657" t="str">
        <f>A205&amp;D205</f>
        <v>20140101KUCSR780</v>
      </c>
      <c r="F205" s="658">
        <v>0</v>
      </c>
      <c r="G205" s="659">
        <v>0</v>
      </c>
      <c r="H205" s="659">
        <v>0</v>
      </c>
      <c r="I205" s="659">
        <v>0</v>
      </c>
      <c r="J205" s="659">
        <v>0</v>
      </c>
      <c r="K205" s="659">
        <v>0</v>
      </c>
      <c r="L205" s="659">
        <f>G205-J205-K205</f>
        <v>0</v>
      </c>
      <c r="M205" s="659"/>
      <c r="N205" s="659"/>
      <c r="O205" s="658">
        <v>-4.3</v>
      </c>
      <c r="P205" s="658">
        <v>0</v>
      </c>
      <c r="Q205" s="658">
        <v>0</v>
      </c>
      <c r="R205" s="658">
        <v>0</v>
      </c>
      <c r="S205" s="658">
        <v>0</v>
      </c>
      <c r="T205" s="658">
        <v>0</v>
      </c>
      <c r="U205" s="658">
        <f t="shared" si="36"/>
        <v>-4.3</v>
      </c>
      <c r="V205" s="658">
        <f t="shared" si="36"/>
        <v>0</v>
      </c>
      <c r="W205" s="658">
        <f t="shared" si="36"/>
        <v>0</v>
      </c>
    </row>
    <row r="206" spans="1:23">
      <c r="A206" s="654">
        <v>20140101</v>
      </c>
      <c r="B206" s="661" t="s">
        <v>1458</v>
      </c>
      <c r="C206" s="660" t="s">
        <v>1460</v>
      </c>
      <c r="D206" s="660" t="s">
        <v>1358</v>
      </c>
      <c r="E206" s="657" t="str">
        <f>A206&amp;D206</f>
        <v>20140101KUCSR781</v>
      </c>
      <c r="F206" s="658">
        <v>0</v>
      </c>
      <c r="G206" s="659">
        <v>0</v>
      </c>
      <c r="H206" s="659">
        <v>0</v>
      </c>
      <c r="I206" s="659">
        <v>0</v>
      </c>
      <c r="J206" s="659">
        <v>0</v>
      </c>
      <c r="K206" s="659">
        <v>0</v>
      </c>
      <c r="L206" s="659">
        <f>G206-J206-K206</f>
        <v>0</v>
      </c>
      <c r="M206" s="659"/>
      <c r="N206" s="659"/>
      <c r="O206" s="658">
        <v>-4.4000000000000004</v>
      </c>
      <c r="P206" s="658">
        <v>0</v>
      </c>
      <c r="Q206" s="658">
        <v>0</v>
      </c>
      <c r="R206" s="658">
        <v>0</v>
      </c>
      <c r="S206" s="658">
        <v>0</v>
      </c>
      <c r="T206" s="658">
        <v>0</v>
      </c>
      <c r="U206" s="658">
        <f t="shared" si="36"/>
        <v>-4.4000000000000004</v>
      </c>
      <c r="V206" s="658">
        <f t="shared" si="36"/>
        <v>0</v>
      </c>
      <c r="W206" s="658">
        <f t="shared" si="36"/>
        <v>0</v>
      </c>
    </row>
    <row r="207" spans="1:23">
      <c r="A207" s="654">
        <v>20140101</v>
      </c>
      <c r="B207" s="661" t="s">
        <v>1458</v>
      </c>
      <c r="C207" s="660" t="s">
        <v>1460</v>
      </c>
      <c r="D207" s="660" t="s">
        <v>1045</v>
      </c>
      <c r="E207" s="657" t="str">
        <f>A207&amp;D207</f>
        <v>20140101KUCSR783</v>
      </c>
      <c r="F207" s="658">
        <v>0</v>
      </c>
      <c r="G207" s="659">
        <v>0</v>
      </c>
      <c r="H207" s="659">
        <v>0</v>
      </c>
      <c r="I207" s="659">
        <v>0</v>
      </c>
      <c r="J207" s="659">
        <v>0</v>
      </c>
      <c r="K207" s="659">
        <v>0</v>
      </c>
      <c r="L207" s="659">
        <f>G207-J207-K207</f>
        <v>0</v>
      </c>
      <c r="M207" s="659"/>
      <c r="N207" s="659"/>
      <c r="O207" s="658">
        <v>-4.4000000000000004</v>
      </c>
      <c r="P207" s="658">
        <v>0</v>
      </c>
      <c r="Q207" s="658">
        <v>0</v>
      </c>
      <c r="R207" s="658">
        <v>0</v>
      </c>
      <c r="S207" s="658">
        <v>0</v>
      </c>
      <c r="T207" s="658">
        <v>0</v>
      </c>
      <c r="U207" s="658">
        <f t="shared" si="36"/>
        <v>-4.4000000000000004</v>
      </c>
      <c r="V207" s="658">
        <f t="shared" si="36"/>
        <v>0</v>
      </c>
      <c r="W207" s="658">
        <f t="shared" si="36"/>
        <v>0</v>
      </c>
    </row>
    <row r="208" spans="1:23">
      <c r="A208" s="654">
        <v>20140101</v>
      </c>
      <c r="B208" s="655" t="s">
        <v>21</v>
      </c>
      <c r="C208" s="656" t="s">
        <v>21</v>
      </c>
      <c r="D208" s="656" t="s">
        <v>184</v>
      </c>
      <c r="E208" s="657" t="str">
        <f t="shared" si="35"/>
        <v>20140101KUCME295</v>
      </c>
      <c r="F208" s="658">
        <v>3.25</v>
      </c>
      <c r="G208" s="659">
        <v>7.9780000000000004E-2</v>
      </c>
      <c r="H208" s="659">
        <v>0</v>
      </c>
      <c r="I208" s="659">
        <v>0</v>
      </c>
      <c r="J208" s="659">
        <v>3.15E-3</v>
      </c>
      <c r="K208" s="659">
        <v>2.8920000000000001E-2</v>
      </c>
      <c r="L208" s="659">
        <f t="shared" si="34"/>
        <v>4.7710000000000002E-2</v>
      </c>
      <c r="M208" s="659"/>
      <c r="N208" s="659"/>
      <c r="O208" s="658"/>
      <c r="P208" s="658"/>
      <c r="Q208" s="658"/>
      <c r="R208" s="658"/>
      <c r="S208" s="658"/>
      <c r="T208" s="658"/>
      <c r="U208" s="658">
        <f t="shared" si="31"/>
        <v>0</v>
      </c>
      <c r="V208" s="658">
        <f t="shared" si="32"/>
        <v>0</v>
      </c>
      <c r="W208" s="658">
        <f t="shared" si="33"/>
        <v>0</v>
      </c>
    </row>
    <row r="209" spans="1:23">
      <c r="A209" s="654">
        <v>20140101</v>
      </c>
      <c r="B209" s="655" t="s">
        <v>21</v>
      </c>
      <c r="C209" s="656" t="s">
        <v>21</v>
      </c>
      <c r="D209" s="660" t="s">
        <v>652</v>
      </c>
      <c r="E209" s="657" t="str">
        <f t="shared" si="35"/>
        <v>20140101KUCME297</v>
      </c>
      <c r="F209" s="658">
        <v>3.25</v>
      </c>
      <c r="G209" s="659">
        <v>7.9780000000000004E-2</v>
      </c>
      <c r="H209" s="659">
        <v>0</v>
      </c>
      <c r="I209" s="659">
        <v>0</v>
      </c>
      <c r="J209" s="659">
        <v>3.15E-3</v>
      </c>
      <c r="K209" s="659">
        <v>2.8920000000000001E-2</v>
      </c>
      <c r="L209" s="659">
        <f t="shared" si="34"/>
        <v>4.7710000000000002E-2</v>
      </c>
      <c r="M209" s="659"/>
      <c r="N209" s="659"/>
      <c r="O209" s="658"/>
      <c r="P209" s="658"/>
      <c r="Q209" s="658"/>
      <c r="R209" s="658"/>
      <c r="S209" s="658"/>
      <c r="T209" s="658"/>
      <c r="U209" s="658">
        <f t="shared" si="31"/>
        <v>0</v>
      </c>
      <c r="V209" s="658">
        <f t="shared" si="32"/>
        <v>0</v>
      </c>
      <c r="W209" s="658">
        <f t="shared" si="33"/>
        <v>0</v>
      </c>
    </row>
    <row r="210" spans="1:23">
      <c r="A210" s="654">
        <v>20140101</v>
      </c>
      <c r="B210" s="655" t="s">
        <v>20</v>
      </c>
      <c r="C210" s="656" t="s">
        <v>20</v>
      </c>
      <c r="D210" s="660" t="s">
        <v>233</v>
      </c>
      <c r="E210" s="657" t="str">
        <f t="shared" si="35"/>
        <v>20140101KUCME290</v>
      </c>
      <c r="F210" s="658">
        <v>0</v>
      </c>
      <c r="G210" s="659">
        <v>6.3799999999999996E-2</v>
      </c>
      <c r="H210" s="659">
        <v>0</v>
      </c>
      <c r="I210" s="659">
        <v>0</v>
      </c>
      <c r="J210" s="659">
        <v>3.15E-3</v>
      </c>
      <c r="K210" s="659">
        <v>2.8920000000000001E-2</v>
      </c>
      <c r="L210" s="659">
        <f t="shared" si="34"/>
        <v>3.1729999999999994E-2</v>
      </c>
      <c r="M210" s="659"/>
      <c r="N210" s="659"/>
      <c r="O210" s="658"/>
      <c r="P210" s="658"/>
      <c r="Q210" s="658"/>
      <c r="R210" s="658"/>
      <c r="S210" s="658"/>
      <c r="T210" s="658"/>
      <c r="U210" s="658">
        <f t="shared" si="31"/>
        <v>0</v>
      </c>
      <c r="V210" s="658">
        <f t="shared" si="32"/>
        <v>0</v>
      </c>
      <c r="W210" s="658">
        <f t="shared" si="33"/>
        <v>0</v>
      </c>
    </row>
    <row r="211" spans="1:23">
      <c r="A211" s="654">
        <v>20140101</v>
      </c>
      <c r="B211" s="655" t="s">
        <v>20</v>
      </c>
      <c r="C211" s="656" t="s">
        <v>20</v>
      </c>
      <c r="D211" s="656" t="s">
        <v>232</v>
      </c>
      <c r="E211" s="657" t="str">
        <f t="shared" si="35"/>
        <v>20140101KUCME291</v>
      </c>
      <c r="F211" s="658">
        <v>0</v>
      </c>
      <c r="G211" s="659">
        <v>6.3799999999999996E-2</v>
      </c>
      <c r="H211" s="659">
        <v>0</v>
      </c>
      <c r="I211" s="659">
        <v>0</v>
      </c>
      <c r="J211" s="659">
        <v>3.15E-3</v>
      </c>
      <c r="K211" s="659">
        <v>2.8920000000000001E-2</v>
      </c>
      <c r="L211" s="659">
        <f t="shared" si="34"/>
        <v>3.1729999999999994E-2</v>
      </c>
      <c r="M211" s="659"/>
      <c r="N211" s="659"/>
      <c r="O211" s="658"/>
      <c r="P211" s="658"/>
      <c r="Q211" s="658"/>
      <c r="R211" s="658"/>
      <c r="S211" s="658"/>
      <c r="T211" s="658"/>
      <c r="U211" s="658">
        <f t="shared" si="31"/>
        <v>0</v>
      </c>
      <c r="V211" s="658">
        <f t="shared" si="32"/>
        <v>0</v>
      </c>
      <c r="W211" s="658">
        <f t="shared" si="33"/>
        <v>0</v>
      </c>
    </row>
    <row r="212" spans="1:23">
      <c r="A212" s="654">
        <v>20140101</v>
      </c>
      <c r="B212" s="655" t="s">
        <v>20</v>
      </c>
      <c r="C212" s="656" t="s">
        <v>20</v>
      </c>
      <c r="D212" s="660" t="s">
        <v>234</v>
      </c>
      <c r="E212" s="657" t="str">
        <f t="shared" si="35"/>
        <v>20140101KUCME292</v>
      </c>
      <c r="F212" s="658">
        <v>0</v>
      </c>
      <c r="G212" s="659">
        <v>6.3799999999999996E-2</v>
      </c>
      <c r="H212" s="659">
        <v>0</v>
      </c>
      <c r="I212" s="659">
        <v>0</v>
      </c>
      <c r="J212" s="659">
        <v>3.15E-3</v>
      </c>
      <c r="K212" s="659">
        <v>2.8920000000000001E-2</v>
      </c>
      <c r="L212" s="659">
        <f t="shared" si="34"/>
        <v>3.1729999999999994E-2</v>
      </c>
      <c r="M212" s="659"/>
      <c r="N212" s="659"/>
      <c r="O212" s="658"/>
      <c r="P212" s="658"/>
      <c r="Q212" s="658"/>
      <c r="R212" s="658"/>
      <c r="S212" s="658"/>
      <c r="T212" s="658"/>
      <c r="U212" s="658">
        <f t="shared" si="31"/>
        <v>0</v>
      </c>
      <c r="V212" s="658">
        <f t="shared" si="32"/>
        <v>0</v>
      </c>
      <c r="W212" s="658">
        <f t="shared" si="33"/>
        <v>0</v>
      </c>
    </row>
    <row r="218" spans="1:23">
      <c r="F218" s="967"/>
      <c r="G218" s="963"/>
      <c r="H218" s="963"/>
      <c r="I218" s="963"/>
    </row>
    <row r="219" spans="1:23">
      <c r="F219" s="967"/>
      <c r="G219" s="963"/>
      <c r="H219" s="963"/>
      <c r="I219" s="963"/>
    </row>
    <row r="220" spans="1:23">
      <c r="E220" s="601"/>
      <c r="F220" s="600"/>
      <c r="G220" s="600"/>
      <c r="H220" s="600"/>
      <c r="I220" s="600"/>
    </row>
    <row r="221" spans="1:23">
      <c r="E221" s="601"/>
      <c r="F221" s="600"/>
      <c r="G221" s="600"/>
      <c r="H221" s="600"/>
      <c r="I221" s="600"/>
    </row>
    <row r="222" spans="1:23">
      <c r="E222" s="601"/>
      <c r="F222" s="600"/>
      <c r="G222" s="600"/>
      <c r="H222" s="600"/>
      <c r="I222" s="600"/>
    </row>
    <row r="223" spans="1:23">
      <c r="E223" s="601"/>
      <c r="F223" s="600"/>
      <c r="G223" s="600"/>
      <c r="H223" s="600"/>
      <c r="I223" s="600"/>
    </row>
    <row r="224" spans="1:23">
      <c r="E224" s="601"/>
      <c r="F224" s="600"/>
      <c r="G224" s="600"/>
      <c r="H224" s="600"/>
      <c r="I224" s="600"/>
    </row>
    <row r="225" spans="5:9">
      <c r="E225" s="601"/>
      <c r="F225" s="600"/>
      <c r="G225" s="600"/>
      <c r="H225" s="600"/>
      <c r="I225" s="600"/>
    </row>
    <row r="228" spans="5:9">
      <c r="E228" s="601"/>
      <c r="F228" s="600"/>
      <c r="G228" s="600"/>
      <c r="H228" s="600"/>
      <c r="I228" s="600"/>
    </row>
    <row r="229" spans="5:9">
      <c r="E229" s="601"/>
      <c r="F229" s="600"/>
      <c r="G229" s="600"/>
      <c r="H229" s="600"/>
      <c r="I229" s="600"/>
    </row>
    <row r="230" spans="5:9">
      <c r="E230" s="601"/>
      <c r="F230" s="600"/>
      <c r="G230" s="600"/>
      <c r="H230" s="600"/>
      <c r="I230" s="600"/>
    </row>
    <row r="231" spans="5:9">
      <c r="E231" s="601"/>
      <c r="F231" s="600"/>
      <c r="G231" s="600"/>
      <c r="H231" s="600"/>
      <c r="I231" s="600"/>
    </row>
    <row r="232" spans="5:9">
      <c r="E232" s="601"/>
      <c r="F232" s="600"/>
      <c r="G232" s="600"/>
      <c r="H232" s="600"/>
      <c r="I232" s="600"/>
    </row>
    <row r="233" spans="5:9">
      <c r="E233" s="601"/>
      <c r="F233" s="600"/>
      <c r="G233" s="600"/>
      <c r="H233" s="600"/>
      <c r="I233" s="600"/>
    </row>
    <row r="235" spans="5:9">
      <c r="I235" s="448"/>
    </row>
    <row r="236" spans="5:9">
      <c r="I236" s="448"/>
    </row>
    <row r="237" spans="5:9">
      <c r="I237" s="448"/>
    </row>
    <row r="238" spans="5:9">
      <c r="I238" s="448"/>
    </row>
    <row r="239" spans="5:9">
      <c r="I239" s="448"/>
    </row>
    <row r="240" spans="5:9">
      <c r="I240" s="448"/>
    </row>
    <row r="241" spans="9:9">
      <c r="I241" s="448"/>
    </row>
  </sheetData>
  <autoFilter ref="A2:W173"/>
  <sortState ref="D658:M759">
    <sortCondition ref="D658:D759"/>
  </sortState>
  <mergeCells count="3">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A371" sqref="A371"/>
    </sheetView>
  </sheetViews>
  <sheetFormatPr defaultRowHeight="12"/>
  <cols>
    <col min="1" max="1" width="62.6640625" style="407" bestFit="1" customWidth="1"/>
    <col min="2" max="2" width="3.83203125" style="407" customWidth="1"/>
    <col min="3" max="3" width="21.5" style="407" customWidth="1"/>
    <col min="4" max="16384" width="9.33203125" style="407"/>
  </cols>
  <sheetData>
    <row r="1" spans="1:7" ht="12.75">
      <c r="A1" s="959" t="s">
        <v>1441</v>
      </c>
      <c r="C1" s="876"/>
      <c r="D1" s="876"/>
      <c r="E1" s="1023" t="s">
        <v>1537</v>
      </c>
      <c r="F1" s="876"/>
      <c r="G1" s="876"/>
    </row>
    <row r="2" spans="1:7" ht="12.75">
      <c r="A2" s="959" t="s">
        <v>1450</v>
      </c>
      <c r="C2" s="876"/>
      <c r="D2" s="876"/>
      <c r="E2" s="1023" t="s">
        <v>1536</v>
      </c>
      <c r="F2" s="876"/>
      <c r="G2" s="876"/>
    </row>
    <row r="3" spans="1:7" ht="12.75">
      <c r="A3" s="907" t="s">
        <v>1440</v>
      </c>
      <c r="C3" s="876"/>
      <c r="D3" s="876"/>
      <c r="E3" s="909" t="s">
        <v>1532</v>
      </c>
      <c r="F3" s="876"/>
      <c r="G3" s="876"/>
    </row>
    <row r="5" spans="1:7" ht="24">
      <c r="A5" s="1017" t="s">
        <v>1090</v>
      </c>
      <c r="C5" s="440" t="s">
        <v>1538</v>
      </c>
    </row>
    <row r="7" spans="1:7" ht="12.75">
      <c r="A7" s="1026" t="s">
        <v>111</v>
      </c>
      <c r="C7" s="736">
        <f>'Sch M-1.2'!G9</f>
        <v>578410518</v>
      </c>
    </row>
    <row r="8" spans="1:7" ht="12.75">
      <c r="A8" s="1026" t="s">
        <v>1557</v>
      </c>
      <c r="C8" s="736">
        <f>'Sch M-1.2'!G11</f>
        <v>3326</v>
      </c>
    </row>
    <row r="9" spans="1:7" ht="12.75">
      <c r="A9" s="1026" t="s">
        <v>112</v>
      </c>
      <c r="C9" s="736">
        <f>'Sch M-1.2'!G13</f>
        <v>208527160</v>
      </c>
    </row>
    <row r="10" spans="1:7" ht="12.75">
      <c r="A10" s="1026" t="s">
        <v>1533</v>
      </c>
      <c r="C10" s="736">
        <f>'Sch M-1.2'!G15</f>
        <v>12247663</v>
      </c>
    </row>
    <row r="11" spans="1:7" ht="12.75">
      <c r="A11" s="1026" t="s">
        <v>1436</v>
      </c>
      <c r="C11" s="736">
        <f>'Sch M-1.2'!G17</f>
        <v>201846358</v>
      </c>
    </row>
    <row r="12" spans="1:7" ht="12.75">
      <c r="A12" s="1026" t="s">
        <v>1437</v>
      </c>
      <c r="C12" s="736">
        <f>'Sch M-1.2'!G19</f>
        <v>21634765</v>
      </c>
    </row>
    <row r="13" spans="1:7" ht="12.75">
      <c r="A13" s="1026" t="s">
        <v>202</v>
      </c>
      <c r="C13" s="736">
        <f>'Sch M-1.2'!G21</f>
        <v>96203320</v>
      </c>
    </row>
    <row r="14" spans="1:7" ht="12.75">
      <c r="A14" s="1026" t="s">
        <v>198</v>
      </c>
      <c r="C14" s="736">
        <f>'Sch M-1.2'!G23</f>
        <v>259447546</v>
      </c>
    </row>
    <row r="15" spans="1:7" ht="12.75">
      <c r="A15" s="1026" t="s">
        <v>58</v>
      </c>
      <c r="C15" s="736">
        <f>'Sch M-1.2'!G25</f>
        <v>93885306</v>
      </c>
    </row>
    <row r="16" spans="1:7" ht="12.75">
      <c r="A16" s="1026" t="s">
        <v>114</v>
      </c>
      <c r="C16" s="736">
        <f>'Sch M-1.2'!G27</f>
        <v>29875369</v>
      </c>
    </row>
    <row r="17" spans="1:3" ht="12.75">
      <c r="A17" s="1026" t="s">
        <v>1438</v>
      </c>
      <c r="C17" s="736">
        <f>'Sch M-1.2'!G29</f>
        <v>-12322833</v>
      </c>
    </row>
    <row r="18" spans="1:3" ht="12.75">
      <c r="A18" s="1026" t="s">
        <v>651</v>
      </c>
      <c r="C18" s="736">
        <f>'Sch M-1.2'!G31</f>
        <v>12372</v>
      </c>
    </row>
    <row r="19" spans="1:3" ht="12.75">
      <c r="A19" s="1026" t="s">
        <v>59</v>
      </c>
      <c r="C19" s="736">
        <f>'Sch M-1.2'!G33</f>
        <v>138559</v>
      </c>
    </row>
    <row r="20" spans="1:3" ht="12.75">
      <c r="A20" s="1026" t="s">
        <v>1395</v>
      </c>
      <c r="C20" s="1024">
        <f>'Sch M-1.2'!G35</f>
        <v>25922033</v>
      </c>
    </row>
    <row r="21" spans="1:3">
      <c r="A21" s="1029" t="s">
        <v>1543</v>
      </c>
      <c r="C21" s="736">
        <f>SUM(C7:C20)</f>
        <v>1515831462</v>
      </c>
    </row>
    <row r="22" spans="1:3">
      <c r="A22" s="1025" t="s">
        <v>1539</v>
      </c>
    </row>
    <row r="23" spans="1:3">
      <c r="A23" s="1028" t="s">
        <v>1540</v>
      </c>
      <c r="C23" s="736">
        <v>3637410.3215364674</v>
      </c>
    </row>
    <row r="24" spans="1:3">
      <c r="A24" s="1028" t="s">
        <v>781</v>
      </c>
      <c r="C24" s="736">
        <v>2221956.3120572548</v>
      </c>
    </row>
    <row r="25" spans="1:3">
      <c r="A25" s="1028" t="s">
        <v>782</v>
      </c>
      <c r="C25" s="736">
        <v>3169545.8501919108</v>
      </c>
    </row>
    <row r="26" spans="1:3" ht="14.25">
      <c r="A26" s="1028" t="s">
        <v>1541</v>
      </c>
      <c r="C26" s="786">
        <v>17133240.753897283</v>
      </c>
    </row>
    <row r="27" spans="1:3">
      <c r="A27" s="1027" t="s">
        <v>1542</v>
      </c>
      <c r="C27" s="739">
        <f>SUM(C21:C26)</f>
        <v>1541993615.2376828</v>
      </c>
    </row>
  </sheetData>
  <pageMargins left="0.7" right="0.7" top="2.0099999999999998" bottom="0.75" header="1.05" footer="0.3"/>
  <pageSetup orientation="portrait" r:id="rId1"/>
  <headerFooter>
    <oddHeader>&amp;C&amp;"-,Bold"&amp;11Kentucky Utilities Company
Case No. 2014-00371
Base Period Revenue at Present Rates
Twelve Months Ending February 28, 2015</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770"/>
  <sheetViews>
    <sheetView workbookViewId="0"/>
  </sheetViews>
  <sheetFormatPr defaultRowHeight="12"/>
  <cols>
    <col min="1" max="1" width="9.33203125" style="407"/>
    <col min="2" max="2" width="9.33203125" style="598"/>
    <col min="3" max="3" width="15" style="598" bestFit="1" customWidth="1"/>
    <col min="4" max="4" width="23.33203125" style="603" bestFit="1" customWidth="1"/>
    <col min="5" max="5" width="15.1640625" style="403" bestFit="1" customWidth="1"/>
    <col min="6" max="6" width="14.33203125" style="407" customWidth="1"/>
    <col min="7" max="7" width="9.33203125" style="403"/>
    <col min="8" max="9" width="9.33203125" style="407"/>
    <col min="10" max="10" width="9.33203125" style="403"/>
    <col min="11" max="11" width="11.1640625" style="407" customWidth="1"/>
    <col min="12" max="13" width="11.5" style="407" customWidth="1"/>
    <col min="14" max="18" width="9.33203125" style="407"/>
    <col min="19" max="16384" width="9.33203125" style="598"/>
  </cols>
  <sheetData>
    <row r="1" spans="1:22">
      <c r="A1" s="598"/>
      <c r="E1" s="603"/>
      <c r="F1" s="598"/>
      <c r="G1" s="603"/>
      <c r="H1" s="598"/>
      <c r="I1" s="598"/>
      <c r="J1" s="663"/>
      <c r="K1" s="664"/>
      <c r="L1" s="415" t="s">
        <v>755</v>
      </c>
      <c r="M1" s="1055"/>
      <c r="N1" s="1056"/>
      <c r="O1" s="1056"/>
      <c r="P1" s="1055"/>
      <c r="Q1" s="1056"/>
      <c r="R1" s="1056"/>
    </row>
    <row r="2" spans="1:22" ht="48">
      <c r="A2" s="407" t="s">
        <v>10</v>
      </c>
      <c r="B2" s="604" t="s">
        <v>11</v>
      </c>
      <c r="C2" s="604" t="s">
        <v>6</v>
      </c>
      <c r="D2" s="665" t="s">
        <v>12</v>
      </c>
      <c r="E2" s="607" t="s">
        <v>712</v>
      </c>
      <c r="F2" s="606" t="s">
        <v>713</v>
      </c>
      <c r="G2" s="607" t="s">
        <v>13</v>
      </c>
      <c r="H2" s="605" t="s">
        <v>14</v>
      </c>
      <c r="I2" s="605" t="s">
        <v>1370</v>
      </c>
      <c r="J2" s="666"/>
      <c r="L2" s="442"/>
      <c r="S2" s="604"/>
      <c r="T2" s="604"/>
      <c r="U2" s="604"/>
      <c r="V2" s="604"/>
    </row>
    <row r="3" spans="1:22">
      <c r="A3" s="407">
        <v>1</v>
      </c>
      <c r="B3" s="598">
        <v>2</v>
      </c>
      <c r="C3" s="598">
        <v>3</v>
      </c>
      <c r="D3" s="603">
        <v>4</v>
      </c>
      <c r="E3" s="403">
        <v>5</v>
      </c>
      <c r="F3" s="407">
        <v>6</v>
      </c>
      <c r="G3" s="403">
        <v>8</v>
      </c>
      <c r="H3" s="407">
        <v>9</v>
      </c>
      <c r="I3" s="407">
        <v>10</v>
      </c>
    </row>
    <row r="4" spans="1:22">
      <c r="A4" s="614">
        <v>20100801</v>
      </c>
      <c r="B4" s="610" t="s">
        <v>745</v>
      </c>
      <c r="C4" s="615" t="s">
        <v>432</v>
      </c>
      <c r="D4" s="667" t="str">
        <f t="shared" ref="D4:D67" si="0">A4&amp;C4</f>
        <v>20100801KUUM_300</v>
      </c>
      <c r="E4" s="611">
        <f>SUM(G4:I4)</f>
        <v>21.040000000000003</v>
      </c>
      <c r="F4" s="668">
        <v>200</v>
      </c>
      <c r="G4" s="611">
        <v>0.73</v>
      </c>
      <c r="H4" s="611">
        <v>0.55000000000000004</v>
      </c>
      <c r="I4" s="611">
        <v>19.760000000000002</v>
      </c>
      <c r="J4" s="403" t="s">
        <v>434</v>
      </c>
      <c r="K4" s="404"/>
      <c r="L4" s="404"/>
      <c r="M4" s="404"/>
      <c r="N4" s="404"/>
      <c r="O4" s="404"/>
      <c r="P4" s="404"/>
      <c r="Q4" s="599"/>
      <c r="R4" s="599"/>
    </row>
    <row r="5" spans="1:22">
      <c r="A5" s="614">
        <f t="shared" ref="A5:A68" si="1">A4</f>
        <v>20100801</v>
      </c>
      <c r="B5" s="610" t="s">
        <v>745</v>
      </c>
      <c r="C5" s="615" t="s">
        <v>433</v>
      </c>
      <c r="D5" s="667" t="str">
        <f t="shared" si="0"/>
        <v>20100801KUUM_301</v>
      </c>
      <c r="E5" s="611">
        <f t="shared" ref="E5:E68" si="2">SUM(G5:I5)</f>
        <v>21.96</v>
      </c>
      <c r="F5" s="668">
        <v>400</v>
      </c>
      <c r="G5" s="611">
        <v>0.75</v>
      </c>
      <c r="H5" s="611">
        <v>1.07</v>
      </c>
      <c r="I5" s="611">
        <v>20.14</v>
      </c>
      <c r="J5" s="410" t="s">
        <v>435</v>
      </c>
      <c r="K5" s="404"/>
      <c r="L5" s="404"/>
      <c r="M5" s="404"/>
      <c r="N5" s="404"/>
      <c r="O5" s="404"/>
      <c r="P5" s="404"/>
      <c r="Q5" s="599"/>
      <c r="R5" s="599"/>
    </row>
    <row r="6" spans="1:22">
      <c r="A6" s="614">
        <f t="shared" si="1"/>
        <v>20100801</v>
      </c>
      <c r="B6" s="610" t="s">
        <v>702</v>
      </c>
      <c r="C6" s="610" t="s">
        <v>339</v>
      </c>
      <c r="D6" s="667" t="str">
        <f t="shared" si="0"/>
        <v>20100801KUUM_360</v>
      </c>
      <c r="E6" s="611">
        <f t="shared" si="2"/>
        <v>49.340000000000011</v>
      </c>
      <c r="F6" s="668">
        <v>724</v>
      </c>
      <c r="G6" s="611">
        <v>5.44</v>
      </c>
      <c r="H6" s="611">
        <v>1.66</v>
      </c>
      <c r="I6" s="611">
        <v>42.240000000000009</v>
      </c>
      <c r="J6" s="403" t="s">
        <v>248</v>
      </c>
      <c r="K6" s="404"/>
      <c r="L6" s="404"/>
      <c r="M6" s="404"/>
      <c r="N6" s="404"/>
      <c r="O6" s="404"/>
      <c r="P6" s="404"/>
      <c r="Q6" s="599"/>
      <c r="R6" s="599"/>
    </row>
    <row r="7" spans="1:22">
      <c r="A7" s="614">
        <f t="shared" si="1"/>
        <v>20100801</v>
      </c>
      <c r="B7" s="610" t="s">
        <v>702</v>
      </c>
      <c r="C7" s="610" t="s">
        <v>344</v>
      </c>
      <c r="D7" s="667" t="str">
        <f t="shared" si="0"/>
        <v>20100801KUUM_361</v>
      </c>
      <c r="E7" s="611">
        <f t="shared" si="2"/>
        <v>76.12</v>
      </c>
      <c r="F7" s="668">
        <v>724</v>
      </c>
      <c r="G7" s="611">
        <v>5.44</v>
      </c>
      <c r="H7" s="611">
        <v>1.66</v>
      </c>
      <c r="I7" s="611">
        <v>69.02000000000001</v>
      </c>
      <c r="J7" s="403" t="s">
        <v>253</v>
      </c>
      <c r="K7" s="404"/>
      <c r="L7" s="404"/>
      <c r="M7" s="404"/>
      <c r="N7" s="404"/>
      <c r="O7" s="404"/>
      <c r="P7" s="404"/>
      <c r="Q7" s="599"/>
      <c r="R7" s="599"/>
    </row>
    <row r="8" spans="1:22">
      <c r="A8" s="614">
        <f t="shared" si="1"/>
        <v>20100801</v>
      </c>
      <c r="B8" s="610" t="s">
        <v>702</v>
      </c>
      <c r="C8" s="610" t="s">
        <v>347</v>
      </c>
      <c r="D8" s="667" t="str">
        <f t="shared" si="0"/>
        <v>20100801KUUM_362</v>
      </c>
      <c r="E8" s="611">
        <f t="shared" si="2"/>
        <v>53.620000000000005</v>
      </c>
      <c r="F8" s="668">
        <v>724</v>
      </c>
      <c r="G8" s="611">
        <v>5.44</v>
      </c>
      <c r="H8" s="611">
        <v>1.66</v>
      </c>
      <c r="I8" s="611">
        <v>46.52</v>
      </c>
      <c r="J8" s="403" t="s">
        <v>256</v>
      </c>
      <c r="K8" s="599"/>
      <c r="L8" s="599"/>
      <c r="M8" s="599"/>
      <c r="N8" s="599"/>
      <c r="O8" s="599"/>
      <c r="P8" s="599"/>
      <c r="Q8" s="599"/>
      <c r="R8" s="599"/>
    </row>
    <row r="9" spans="1:22">
      <c r="A9" s="614">
        <f t="shared" si="1"/>
        <v>20100801</v>
      </c>
      <c r="B9" s="610" t="s">
        <v>702</v>
      </c>
      <c r="C9" s="610" t="s">
        <v>348</v>
      </c>
      <c r="D9" s="667" t="str">
        <f t="shared" si="0"/>
        <v>20100801KUUM_363</v>
      </c>
      <c r="E9" s="611">
        <f t="shared" si="2"/>
        <v>55.52000000000001</v>
      </c>
      <c r="F9" s="668">
        <v>724</v>
      </c>
      <c r="G9" s="611">
        <v>5.44</v>
      </c>
      <c r="H9" s="611">
        <v>1.66</v>
      </c>
      <c r="I9" s="611">
        <v>48.420000000000009</v>
      </c>
      <c r="J9" s="403" t="s">
        <v>257</v>
      </c>
    </row>
    <row r="10" spans="1:22">
      <c r="A10" s="614">
        <f t="shared" si="1"/>
        <v>20100801</v>
      </c>
      <c r="B10" s="610" t="s">
        <v>702</v>
      </c>
      <c r="C10" s="610" t="s">
        <v>349</v>
      </c>
      <c r="D10" s="667" t="str">
        <f t="shared" si="0"/>
        <v>20100801KUUM_364</v>
      </c>
      <c r="E10" s="611">
        <f t="shared" si="2"/>
        <v>56.830000000000005</v>
      </c>
      <c r="F10" s="668">
        <v>724</v>
      </c>
      <c r="G10" s="611">
        <v>5.44</v>
      </c>
      <c r="H10" s="611">
        <v>1.66</v>
      </c>
      <c r="I10" s="611">
        <v>49.730000000000004</v>
      </c>
      <c r="J10" s="403" t="s">
        <v>258</v>
      </c>
    </row>
    <row r="11" spans="1:22">
      <c r="A11" s="614">
        <f t="shared" si="1"/>
        <v>20100801</v>
      </c>
      <c r="B11" s="610" t="s">
        <v>702</v>
      </c>
      <c r="C11" s="610" t="s">
        <v>351</v>
      </c>
      <c r="D11" s="667" t="str">
        <f t="shared" si="0"/>
        <v>20100801KUUM_365</v>
      </c>
      <c r="E11" s="611">
        <f t="shared" si="2"/>
        <v>73.98</v>
      </c>
      <c r="F11" s="668">
        <v>724</v>
      </c>
      <c r="G11" s="611">
        <v>5.44</v>
      </c>
      <c r="H11" s="611">
        <v>1.66</v>
      </c>
      <c r="I11" s="611">
        <v>66.88000000000001</v>
      </c>
      <c r="J11" s="403" t="s">
        <v>260</v>
      </c>
    </row>
    <row r="12" spans="1:22">
      <c r="A12" s="614">
        <f t="shared" si="1"/>
        <v>20100801</v>
      </c>
      <c r="B12" s="610" t="s">
        <v>702</v>
      </c>
      <c r="C12" s="610" t="s">
        <v>352</v>
      </c>
      <c r="D12" s="667" t="str">
        <f t="shared" si="0"/>
        <v>20100801KUUM_366</v>
      </c>
      <c r="E12" s="611">
        <f t="shared" si="2"/>
        <v>72.08</v>
      </c>
      <c r="F12" s="668">
        <v>724</v>
      </c>
      <c r="G12" s="611">
        <v>5.44</v>
      </c>
      <c r="H12" s="611">
        <v>1.66</v>
      </c>
      <c r="I12" s="611">
        <v>64.98</v>
      </c>
      <c r="J12" s="403" t="s">
        <v>261</v>
      </c>
    </row>
    <row r="13" spans="1:22">
      <c r="A13" s="614">
        <f t="shared" si="1"/>
        <v>20100801</v>
      </c>
      <c r="B13" s="610" t="s">
        <v>702</v>
      </c>
      <c r="C13" s="610" t="s">
        <v>354</v>
      </c>
      <c r="D13" s="667" t="str">
        <f t="shared" si="0"/>
        <v>20100801KUUM_367</v>
      </c>
      <c r="E13" s="611">
        <f t="shared" si="2"/>
        <v>55.02000000000001</v>
      </c>
      <c r="F13" s="668">
        <v>724</v>
      </c>
      <c r="G13" s="611">
        <v>5.44</v>
      </c>
      <c r="H13" s="611">
        <v>1.66</v>
      </c>
      <c r="I13" s="611">
        <v>47.920000000000009</v>
      </c>
      <c r="J13" s="403" t="s">
        <v>263</v>
      </c>
    </row>
    <row r="14" spans="1:22">
      <c r="A14" s="614">
        <f t="shared" si="1"/>
        <v>20100801</v>
      </c>
      <c r="B14" s="610" t="s">
        <v>702</v>
      </c>
      <c r="C14" s="610" t="s">
        <v>355</v>
      </c>
      <c r="D14" s="667" t="str">
        <f t="shared" si="0"/>
        <v>20100801KUUM_368</v>
      </c>
      <c r="E14" s="611">
        <f t="shared" si="2"/>
        <v>50.650000000000006</v>
      </c>
      <c r="F14" s="668">
        <v>724</v>
      </c>
      <c r="G14" s="611">
        <v>5.44</v>
      </c>
      <c r="H14" s="611">
        <v>1.66</v>
      </c>
      <c r="I14" s="611">
        <v>43.550000000000004</v>
      </c>
      <c r="J14" s="403" t="s">
        <v>264</v>
      </c>
    </row>
    <row r="15" spans="1:22">
      <c r="A15" s="614">
        <f t="shared" si="1"/>
        <v>20100801</v>
      </c>
      <c r="B15" s="610" t="s">
        <v>702</v>
      </c>
      <c r="C15" s="610" t="s">
        <v>341</v>
      </c>
      <c r="D15" s="667" t="str">
        <f t="shared" si="0"/>
        <v>20100801KUUM_370</v>
      </c>
      <c r="E15" s="611">
        <f t="shared" si="2"/>
        <v>67.8</v>
      </c>
      <c r="F15" s="668">
        <v>724</v>
      </c>
      <c r="G15" s="611">
        <v>5.44</v>
      </c>
      <c r="H15" s="611">
        <v>1.66</v>
      </c>
      <c r="I15" s="611">
        <v>60.7</v>
      </c>
      <c r="J15" s="403" t="s">
        <v>250</v>
      </c>
    </row>
    <row r="16" spans="1:22">
      <c r="A16" s="614">
        <f t="shared" si="1"/>
        <v>20100801</v>
      </c>
      <c r="B16" s="610" t="s">
        <v>702</v>
      </c>
      <c r="C16" s="610" t="s">
        <v>350</v>
      </c>
      <c r="D16" s="667" t="str">
        <f t="shared" si="0"/>
        <v>20100801KUUM_372</v>
      </c>
      <c r="E16" s="611">
        <f t="shared" si="2"/>
        <v>75.290000000000006</v>
      </c>
      <c r="F16" s="668">
        <v>724</v>
      </c>
      <c r="G16" s="611">
        <v>5.44</v>
      </c>
      <c r="H16" s="611">
        <v>1.66</v>
      </c>
      <c r="I16" s="611">
        <v>68.190000000000012</v>
      </c>
      <c r="J16" s="403" t="s">
        <v>259</v>
      </c>
    </row>
    <row r="17" spans="1:22">
      <c r="A17" s="614">
        <f t="shared" si="1"/>
        <v>20100801</v>
      </c>
      <c r="B17" s="610" t="s">
        <v>702</v>
      </c>
      <c r="C17" s="610" t="s">
        <v>342</v>
      </c>
      <c r="D17" s="667" t="str">
        <f t="shared" si="0"/>
        <v>20100801KUUM_373</v>
      </c>
      <c r="E17" s="611">
        <f t="shared" si="2"/>
        <v>67.8</v>
      </c>
      <c r="F17" s="668">
        <v>724</v>
      </c>
      <c r="G17" s="611">
        <v>5.44</v>
      </c>
      <c r="H17" s="611">
        <v>1.66</v>
      </c>
      <c r="I17" s="611">
        <v>60.7</v>
      </c>
      <c r="J17" s="403" t="s">
        <v>251</v>
      </c>
    </row>
    <row r="18" spans="1:22">
      <c r="A18" s="614">
        <f t="shared" si="1"/>
        <v>20100801</v>
      </c>
      <c r="B18" s="610" t="s">
        <v>702</v>
      </c>
      <c r="C18" s="610" t="s">
        <v>346</v>
      </c>
      <c r="D18" s="667" t="str">
        <f t="shared" si="0"/>
        <v>20100801KUUM_374</v>
      </c>
      <c r="E18" s="611">
        <f t="shared" si="2"/>
        <v>69.11</v>
      </c>
      <c r="F18" s="668">
        <v>724</v>
      </c>
      <c r="G18" s="611">
        <v>5.44</v>
      </c>
      <c r="H18" s="611">
        <v>1.66</v>
      </c>
      <c r="I18" s="611">
        <v>62.010000000000005</v>
      </c>
      <c r="J18" s="403" t="s">
        <v>255</v>
      </c>
    </row>
    <row r="19" spans="1:22" s="407" customFormat="1">
      <c r="A19" s="614">
        <f t="shared" si="1"/>
        <v>20100801</v>
      </c>
      <c r="B19" s="610" t="s">
        <v>702</v>
      </c>
      <c r="C19" s="610" t="s">
        <v>353</v>
      </c>
      <c r="D19" s="667" t="str">
        <f t="shared" si="0"/>
        <v>20100801KUUM_375</v>
      </c>
      <c r="E19" s="611">
        <f t="shared" si="2"/>
        <v>72.08</v>
      </c>
      <c r="F19" s="668">
        <v>724</v>
      </c>
      <c r="G19" s="611">
        <v>5.44</v>
      </c>
      <c r="H19" s="611">
        <v>1.66</v>
      </c>
      <c r="I19" s="611">
        <v>64.98</v>
      </c>
      <c r="J19" s="403" t="s">
        <v>262</v>
      </c>
      <c r="S19" s="598"/>
      <c r="T19" s="598"/>
      <c r="U19" s="598"/>
      <c r="V19" s="598"/>
    </row>
    <row r="20" spans="1:22" s="407" customFormat="1">
      <c r="A20" s="614">
        <f t="shared" si="1"/>
        <v>20100801</v>
      </c>
      <c r="B20" s="610" t="s">
        <v>702</v>
      </c>
      <c r="C20" s="610" t="s">
        <v>345</v>
      </c>
      <c r="D20" s="667" t="str">
        <f t="shared" si="0"/>
        <v>20100801KUUM_376</v>
      </c>
      <c r="E20" s="611">
        <f t="shared" si="2"/>
        <v>70.44</v>
      </c>
      <c r="F20" s="668">
        <v>724</v>
      </c>
      <c r="G20" s="611">
        <v>5.44</v>
      </c>
      <c r="H20" s="611">
        <v>1.66</v>
      </c>
      <c r="I20" s="611">
        <v>63.34</v>
      </c>
      <c r="J20" s="403" t="s">
        <v>254</v>
      </c>
      <c r="S20" s="598"/>
      <c r="T20" s="598"/>
      <c r="U20" s="598"/>
      <c r="V20" s="598"/>
    </row>
    <row r="21" spans="1:22" s="407" customFormat="1">
      <c r="A21" s="614">
        <f t="shared" si="1"/>
        <v>20100801</v>
      </c>
      <c r="B21" s="610" t="s">
        <v>702</v>
      </c>
      <c r="C21" s="610" t="s">
        <v>343</v>
      </c>
      <c r="D21" s="667" t="str">
        <f t="shared" si="0"/>
        <v>20100801KUUM_377</v>
      </c>
      <c r="E21" s="611">
        <f t="shared" si="2"/>
        <v>57.860000000000007</v>
      </c>
      <c r="F21" s="668">
        <v>724</v>
      </c>
      <c r="G21" s="611">
        <v>5.44</v>
      </c>
      <c r="H21" s="611">
        <v>1.66</v>
      </c>
      <c r="I21" s="611">
        <v>50.760000000000005</v>
      </c>
      <c r="J21" s="403" t="s">
        <v>252</v>
      </c>
      <c r="S21" s="598"/>
      <c r="T21" s="598"/>
      <c r="U21" s="598"/>
      <c r="V21" s="598"/>
    </row>
    <row r="22" spans="1:22" s="407" customFormat="1">
      <c r="A22" s="614">
        <f t="shared" si="1"/>
        <v>20100801</v>
      </c>
      <c r="B22" s="610" t="s">
        <v>702</v>
      </c>
      <c r="C22" s="615" t="s">
        <v>472</v>
      </c>
      <c r="D22" s="667" t="str">
        <f t="shared" si="0"/>
        <v>20100801KUUM_378</v>
      </c>
      <c r="E22" s="611">
        <f t="shared" si="2"/>
        <v>69.13</v>
      </c>
      <c r="F22" s="668">
        <v>724</v>
      </c>
      <c r="G22" s="611">
        <v>5.44</v>
      </c>
      <c r="H22" s="611">
        <v>1.66</v>
      </c>
      <c r="I22" s="611">
        <v>62.03</v>
      </c>
      <c r="J22" s="410" t="s">
        <v>714</v>
      </c>
      <c r="S22" s="598"/>
      <c r="T22" s="598"/>
      <c r="U22" s="598"/>
      <c r="V22" s="598"/>
    </row>
    <row r="23" spans="1:22" s="407" customFormat="1">
      <c r="A23" s="614">
        <f>A21</f>
        <v>20100801</v>
      </c>
      <c r="B23" s="610" t="s">
        <v>703</v>
      </c>
      <c r="C23" s="610" t="s">
        <v>340</v>
      </c>
      <c r="D23" s="667" t="str">
        <f t="shared" si="0"/>
        <v>20100801KUUM_395</v>
      </c>
      <c r="E23" s="611">
        <f t="shared" si="2"/>
        <v>49.340000000000011</v>
      </c>
      <c r="F23" s="668">
        <v>724</v>
      </c>
      <c r="G23" s="611">
        <v>5.44</v>
      </c>
      <c r="H23" s="611">
        <v>1.66</v>
      </c>
      <c r="I23" s="611">
        <v>42.240000000000009</v>
      </c>
      <c r="J23" s="403" t="s">
        <v>249</v>
      </c>
      <c r="S23" s="598"/>
      <c r="T23" s="598"/>
      <c r="U23" s="598"/>
      <c r="V23" s="598"/>
    </row>
    <row r="24" spans="1:22" s="407" customFormat="1">
      <c r="A24" s="614">
        <f t="shared" si="1"/>
        <v>20100801</v>
      </c>
      <c r="B24" s="610" t="s">
        <v>702</v>
      </c>
      <c r="C24" s="615" t="s">
        <v>426</v>
      </c>
      <c r="D24" s="667" t="str">
        <f t="shared" si="0"/>
        <v>20100801KUUM_400</v>
      </c>
      <c r="E24" s="611">
        <f t="shared" si="2"/>
        <v>12.51</v>
      </c>
      <c r="F24" s="668">
        <v>240</v>
      </c>
      <c r="G24" s="611">
        <v>0.73</v>
      </c>
      <c r="H24" s="611">
        <v>0.55000000000000004</v>
      </c>
      <c r="I24" s="611">
        <v>11.23</v>
      </c>
      <c r="J24" s="410" t="s">
        <v>427</v>
      </c>
      <c r="S24" s="598"/>
      <c r="T24" s="598"/>
      <c r="U24" s="598"/>
      <c r="V24" s="598"/>
    </row>
    <row r="25" spans="1:22" s="407" customFormat="1">
      <c r="A25" s="614">
        <f t="shared" si="1"/>
        <v>20100801</v>
      </c>
      <c r="B25" s="610" t="s">
        <v>702</v>
      </c>
      <c r="C25" s="610" t="s">
        <v>382</v>
      </c>
      <c r="D25" s="667" t="str">
        <f t="shared" si="0"/>
        <v>20100801KUUM_401</v>
      </c>
      <c r="E25" s="611">
        <f t="shared" si="2"/>
        <v>13.5</v>
      </c>
      <c r="F25" s="668">
        <v>332</v>
      </c>
      <c r="G25" s="611">
        <v>0.94</v>
      </c>
      <c r="H25" s="611">
        <v>0.76</v>
      </c>
      <c r="I25" s="611">
        <v>11.8</v>
      </c>
      <c r="J25" s="403" t="s">
        <v>291</v>
      </c>
      <c r="S25" s="598"/>
      <c r="T25" s="598"/>
      <c r="U25" s="598"/>
      <c r="V25" s="598"/>
    </row>
    <row r="26" spans="1:22" s="407" customFormat="1">
      <c r="A26" s="614">
        <f t="shared" si="1"/>
        <v>20100801</v>
      </c>
      <c r="B26" s="610" t="s">
        <v>703</v>
      </c>
      <c r="C26" s="610" t="s">
        <v>402</v>
      </c>
      <c r="D26" s="667" t="str">
        <f t="shared" si="0"/>
        <v>20100801KUUM_404</v>
      </c>
      <c r="E26" s="611">
        <f t="shared" si="2"/>
        <v>9.52</v>
      </c>
      <c r="F26" s="668">
        <v>828</v>
      </c>
      <c r="G26" s="611">
        <v>0.95</v>
      </c>
      <c r="H26" s="611">
        <v>1.9</v>
      </c>
      <c r="I26" s="611">
        <v>6.67</v>
      </c>
      <c r="J26" s="403" t="s">
        <v>311</v>
      </c>
      <c r="S26" s="598"/>
      <c r="T26" s="598"/>
      <c r="U26" s="598"/>
      <c r="V26" s="598"/>
    </row>
    <row r="27" spans="1:22" s="407" customFormat="1">
      <c r="A27" s="614">
        <f t="shared" si="1"/>
        <v>20100801</v>
      </c>
      <c r="B27" s="610" t="s">
        <v>703</v>
      </c>
      <c r="C27" s="610" t="s">
        <v>358</v>
      </c>
      <c r="D27" s="667" t="str">
        <f t="shared" si="0"/>
        <v>20100801KUUM_405</v>
      </c>
      <c r="E27" s="611">
        <f t="shared" si="2"/>
        <v>12.35</v>
      </c>
      <c r="F27" s="668">
        <v>1812</v>
      </c>
      <c r="G27" s="611">
        <v>1.24</v>
      </c>
      <c r="H27" s="611">
        <v>4.16</v>
      </c>
      <c r="I27" s="611">
        <v>6.9499999999999993</v>
      </c>
      <c r="J27" s="403" t="s">
        <v>267</v>
      </c>
      <c r="S27" s="598"/>
      <c r="T27" s="598"/>
      <c r="U27" s="598"/>
      <c r="V27" s="598"/>
    </row>
    <row r="28" spans="1:22" s="407" customFormat="1">
      <c r="A28" s="614">
        <f t="shared" si="1"/>
        <v>20100801</v>
      </c>
      <c r="B28" s="610" t="s">
        <v>703</v>
      </c>
      <c r="C28" s="610" t="s">
        <v>394</v>
      </c>
      <c r="D28" s="667" t="str">
        <f t="shared" si="0"/>
        <v>20100801KUUM_407</v>
      </c>
      <c r="E28" s="611">
        <f t="shared" si="2"/>
        <v>20.5</v>
      </c>
      <c r="F28" s="668">
        <v>1884</v>
      </c>
      <c r="G28" s="611">
        <v>1.83</v>
      </c>
      <c r="H28" s="611">
        <v>4.32</v>
      </c>
      <c r="I28" s="611">
        <v>14.350000000000001</v>
      </c>
      <c r="J28" s="403" t="s">
        <v>303</v>
      </c>
      <c r="S28" s="598"/>
      <c r="T28" s="598"/>
      <c r="U28" s="598"/>
      <c r="V28" s="598"/>
    </row>
    <row r="29" spans="1:22" s="407" customFormat="1">
      <c r="A29" s="614">
        <f t="shared" si="1"/>
        <v>20100801</v>
      </c>
      <c r="B29" s="610" t="s">
        <v>703</v>
      </c>
      <c r="C29" s="610" t="s">
        <v>359</v>
      </c>
      <c r="D29" s="667" t="str">
        <f t="shared" si="0"/>
        <v>20100801KUUM_408</v>
      </c>
      <c r="E29" s="611">
        <f t="shared" si="2"/>
        <v>7.63</v>
      </c>
      <c r="F29" s="668">
        <v>1812</v>
      </c>
      <c r="G29" s="611">
        <v>1.24</v>
      </c>
      <c r="H29" s="611">
        <v>4.16</v>
      </c>
      <c r="I29" s="611">
        <v>2.2299999999999995</v>
      </c>
      <c r="J29" s="403" t="s">
        <v>268</v>
      </c>
      <c r="S29" s="598"/>
      <c r="T29" s="598"/>
      <c r="U29" s="598"/>
      <c r="V29" s="598"/>
    </row>
    <row r="30" spans="1:22" s="407" customFormat="1">
      <c r="A30" s="614">
        <f t="shared" si="1"/>
        <v>20100801</v>
      </c>
      <c r="B30" s="610" t="s">
        <v>703</v>
      </c>
      <c r="C30" s="610" t="s">
        <v>398</v>
      </c>
      <c r="D30" s="667" t="str">
        <f t="shared" si="0"/>
        <v>20100801KUUM_409</v>
      </c>
      <c r="E30" s="611">
        <f t="shared" si="2"/>
        <v>9.8000000000000007</v>
      </c>
      <c r="F30" s="668">
        <v>1884</v>
      </c>
      <c r="G30" s="611">
        <v>1.83</v>
      </c>
      <c r="H30" s="611">
        <v>4.32</v>
      </c>
      <c r="I30" s="611">
        <v>3.6500000000000004</v>
      </c>
      <c r="J30" s="403" t="s">
        <v>307</v>
      </c>
      <c r="S30" s="598"/>
      <c r="T30" s="598"/>
      <c r="U30" s="598"/>
      <c r="V30" s="598"/>
    </row>
    <row r="31" spans="1:22" s="407" customFormat="1">
      <c r="A31" s="614">
        <f t="shared" si="1"/>
        <v>20100801</v>
      </c>
      <c r="B31" s="610" t="s">
        <v>702</v>
      </c>
      <c r="C31" s="610" t="s">
        <v>376</v>
      </c>
      <c r="D31" s="667" t="str">
        <f t="shared" si="0"/>
        <v>20100801KUUM_410</v>
      </c>
      <c r="E31" s="611">
        <f t="shared" si="2"/>
        <v>18.900000000000002</v>
      </c>
      <c r="F31" s="668">
        <v>240</v>
      </c>
      <c r="G31" s="611">
        <v>0.73</v>
      </c>
      <c r="H31" s="611">
        <v>0.55000000000000004</v>
      </c>
      <c r="I31" s="611">
        <v>17.62</v>
      </c>
      <c r="J31" s="403" t="s">
        <v>285</v>
      </c>
      <c r="S31" s="598"/>
      <c r="T31" s="598"/>
      <c r="U31" s="598"/>
      <c r="V31" s="598"/>
    </row>
    <row r="32" spans="1:22" s="407" customFormat="1">
      <c r="A32" s="614">
        <f t="shared" si="1"/>
        <v>20100801</v>
      </c>
      <c r="B32" s="610" t="s">
        <v>702</v>
      </c>
      <c r="C32" s="610" t="s">
        <v>384</v>
      </c>
      <c r="D32" s="667" t="str">
        <f t="shared" si="0"/>
        <v>20100801KUUM_411</v>
      </c>
      <c r="E32" s="611">
        <f t="shared" si="2"/>
        <v>19.779999999999998</v>
      </c>
      <c r="F32" s="668">
        <v>332</v>
      </c>
      <c r="G32" s="611">
        <v>0.94</v>
      </c>
      <c r="H32" s="611">
        <v>0.76</v>
      </c>
      <c r="I32" s="611">
        <v>18.079999999999998</v>
      </c>
      <c r="J32" s="403" t="s">
        <v>293</v>
      </c>
      <c r="S32" s="598"/>
      <c r="T32" s="598"/>
      <c r="U32" s="598"/>
      <c r="V32" s="598"/>
    </row>
    <row r="33" spans="1:22" s="407" customFormat="1">
      <c r="A33" s="614">
        <f t="shared" si="1"/>
        <v>20100801</v>
      </c>
      <c r="B33" s="610" t="s">
        <v>702</v>
      </c>
      <c r="C33" s="610" t="s">
        <v>386</v>
      </c>
      <c r="D33" s="667" t="str">
        <f t="shared" si="0"/>
        <v>20100801KUUM_412</v>
      </c>
      <c r="E33" s="611">
        <f t="shared" si="2"/>
        <v>28.879999999999995</v>
      </c>
      <c r="F33" s="668">
        <v>332</v>
      </c>
      <c r="G33" s="611">
        <v>0.94</v>
      </c>
      <c r="H33" s="611">
        <v>0.76</v>
      </c>
      <c r="I33" s="611">
        <v>27.179999999999996</v>
      </c>
      <c r="J33" s="403" t="s">
        <v>295</v>
      </c>
      <c r="S33" s="598"/>
      <c r="T33" s="598"/>
      <c r="U33" s="598"/>
      <c r="V33" s="598"/>
    </row>
    <row r="34" spans="1:22" s="407" customFormat="1">
      <c r="A34" s="614">
        <f t="shared" si="1"/>
        <v>20100801</v>
      </c>
      <c r="B34" s="610" t="s">
        <v>702</v>
      </c>
      <c r="C34" s="610" t="s">
        <v>409</v>
      </c>
      <c r="D34" s="667" t="str">
        <f t="shared" si="0"/>
        <v>20100801KUUM_413</v>
      </c>
      <c r="E34" s="611">
        <f t="shared" si="2"/>
        <v>29.39</v>
      </c>
      <c r="F34" s="668">
        <v>468</v>
      </c>
      <c r="G34" s="611">
        <v>0.75</v>
      </c>
      <c r="H34" s="611">
        <v>1.07</v>
      </c>
      <c r="I34" s="611">
        <v>27.57</v>
      </c>
      <c r="J34" s="403" t="s">
        <v>318</v>
      </c>
      <c r="S34" s="598"/>
      <c r="T34" s="598"/>
      <c r="U34" s="598"/>
      <c r="V34" s="598"/>
    </row>
    <row r="35" spans="1:22" s="407" customFormat="1">
      <c r="A35" s="614">
        <f t="shared" si="1"/>
        <v>20100801</v>
      </c>
      <c r="B35" s="610" t="s">
        <v>79</v>
      </c>
      <c r="C35" s="610" t="s">
        <v>387</v>
      </c>
      <c r="D35" s="667" t="str">
        <f t="shared" si="0"/>
        <v>20100801KUUM_414</v>
      </c>
      <c r="E35" s="611">
        <f t="shared" si="2"/>
        <v>28.879999999999995</v>
      </c>
      <c r="F35" s="668">
        <v>332</v>
      </c>
      <c r="G35" s="611">
        <v>0.94</v>
      </c>
      <c r="H35" s="611">
        <v>0.76</v>
      </c>
      <c r="I35" s="611">
        <v>27.179999999999996</v>
      </c>
      <c r="J35" s="403" t="s">
        <v>296</v>
      </c>
      <c r="S35" s="598"/>
      <c r="T35" s="598"/>
      <c r="U35" s="598"/>
      <c r="V35" s="598"/>
    </row>
    <row r="36" spans="1:22" s="407" customFormat="1">
      <c r="A36" s="614">
        <f t="shared" si="1"/>
        <v>20100801</v>
      </c>
      <c r="B36" s="610" t="s">
        <v>79</v>
      </c>
      <c r="C36" s="610" t="s">
        <v>410</v>
      </c>
      <c r="D36" s="667" t="str">
        <f t="shared" si="0"/>
        <v>20100801KUUM_415</v>
      </c>
      <c r="E36" s="611">
        <f t="shared" si="2"/>
        <v>29.39</v>
      </c>
      <c r="F36" s="668">
        <v>468</v>
      </c>
      <c r="G36" s="611">
        <v>0.75</v>
      </c>
      <c r="H36" s="611">
        <v>1.07</v>
      </c>
      <c r="I36" s="611">
        <v>27.57</v>
      </c>
      <c r="J36" s="403" t="s">
        <v>319</v>
      </c>
      <c r="S36" s="598"/>
      <c r="T36" s="598"/>
      <c r="U36" s="598"/>
      <c r="V36" s="598"/>
    </row>
    <row r="37" spans="1:22" s="407" customFormat="1">
      <c r="A37" s="614">
        <f t="shared" si="1"/>
        <v>20100801</v>
      </c>
      <c r="B37" s="610" t="s">
        <v>703</v>
      </c>
      <c r="C37" s="610" t="s">
        <v>405</v>
      </c>
      <c r="D37" s="667" t="str">
        <f t="shared" si="0"/>
        <v>20100801KUUM_420</v>
      </c>
      <c r="E37" s="611">
        <f t="shared" si="2"/>
        <v>14.13</v>
      </c>
      <c r="F37" s="668">
        <v>468</v>
      </c>
      <c r="G37" s="611">
        <v>0.75</v>
      </c>
      <c r="H37" s="611">
        <v>1.07</v>
      </c>
      <c r="I37" s="611">
        <v>12.31</v>
      </c>
      <c r="J37" s="403" t="s">
        <v>314</v>
      </c>
      <c r="S37" s="598"/>
      <c r="T37" s="598"/>
      <c r="U37" s="598"/>
      <c r="V37" s="598"/>
    </row>
    <row r="38" spans="1:22" s="407" customFormat="1">
      <c r="A38" s="614">
        <f t="shared" si="1"/>
        <v>20100801</v>
      </c>
      <c r="B38" s="610" t="s">
        <v>702</v>
      </c>
      <c r="C38" s="610" t="s">
        <v>326</v>
      </c>
      <c r="D38" s="603" t="str">
        <f t="shared" si="0"/>
        <v>20100801KUUM_421</v>
      </c>
      <c r="E38" s="404">
        <f t="shared" si="2"/>
        <v>3.04</v>
      </c>
      <c r="F38" s="510">
        <v>408</v>
      </c>
      <c r="G38" s="611">
        <v>0.31</v>
      </c>
      <c r="H38" s="611">
        <v>0.94</v>
      </c>
      <c r="I38" s="611">
        <v>1.79</v>
      </c>
      <c r="J38" s="404" t="s">
        <v>235</v>
      </c>
      <c r="S38" s="598"/>
      <c r="T38" s="598"/>
      <c r="U38" s="598"/>
      <c r="V38" s="598"/>
    </row>
    <row r="39" spans="1:22" s="407" customFormat="1">
      <c r="A39" s="614">
        <f t="shared" si="1"/>
        <v>20100801</v>
      </c>
      <c r="B39" s="610" t="s">
        <v>702</v>
      </c>
      <c r="C39" s="610" t="s">
        <v>356</v>
      </c>
      <c r="D39" s="603" t="str">
        <f t="shared" si="0"/>
        <v>20100801KUUM_422</v>
      </c>
      <c r="E39" s="404">
        <f t="shared" si="2"/>
        <v>4.05</v>
      </c>
      <c r="F39" s="510">
        <v>804</v>
      </c>
      <c r="G39" s="611">
        <v>0.4</v>
      </c>
      <c r="H39" s="611">
        <v>1.85</v>
      </c>
      <c r="I39" s="611">
        <v>1.7999999999999998</v>
      </c>
      <c r="J39" s="403" t="s">
        <v>265</v>
      </c>
      <c r="S39" s="598"/>
      <c r="T39" s="598"/>
      <c r="U39" s="598"/>
      <c r="V39" s="598"/>
    </row>
    <row r="40" spans="1:22" s="407" customFormat="1">
      <c r="A40" s="614">
        <f t="shared" si="1"/>
        <v>20100801</v>
      </c>
      <c r="B40" s="610" t="s">
        <v>702</v>
      </c>
      <c r="C40" s="610" t="s">
        <v>374</v>
      </c>
      <c r="D40" s="603" t="str">
        <f t="shared" si="0"/>
        <v>20100801KUUM_424</v>
      </c>
      <c r="E40" s="404">
        <f t="shared" si="2"/>
        <v>6.15</v>
      </c>
      <c r="F40" s="601">
        <v>1308</v>
      </c>
      <c r="G40" s="611">
        <v>0.73</v>
      </c>
      <c r="H40" s="611">
        <v>0.55000000000000004</v>
      </c>
      <c r="I40" s="611">
        <v>4.87</v>
      </c>
      <c r="J40" s="403" t="s">
        <v>283</v>
      </c>
      <c r="S40" s="598"/>
      <c r="T40" s="598"/>
      <c r="U40" s="598"/>
      <c r="V40" s="598"/>
    </row>
    <row r="41" spans="1:22" s="407" customFormat="1">
      <c r="A41" s="614">
        <f t="shared" si="1"/>
        <v>20100801</v>
      </c>
      <c r="B41" s="610" t="s">
        <v>702</v>
      </c>
      <c r="C41" s="610" t="s">
        <v>399</v>
      </c>
      <c r="D41" s="603" t="str">
        <f t="shared" si="0"/>
        <v>20100801KUUM_425</v>
      </c>
      <c r="E41" s="404">
        <f t="shared" si="2"/>
        <v>8.06</v>
      </c>
      <c r="F41" s="510">
        <v>1788</v>
      </c>
      <c r="G41" s="611">
        <v>0.83</v>
      </c>
      <c r="H41" s="611">
        <v>4.0999999999999996</v>
      </c>
      <c r="I41" s="611">
        <v>3.1300000000000008</v>
      </c>
      <c r="J41" s="403" t="s">
        <v>308</v>
      </c>
      <c r="S41" s="598"/>
      <c r="T41" s="598"/>
      <c r="U41" s="598"/>
      <c r="V41" s="598"/>
    </row>
    <row r="42" spans="1:22" s="407" customFormat="1">
      <c r="A42" s="614">
        <f t="shared" si="1"/>
        <v>20100801</v>
      </c>
      <c r="B42" s="610" t="s">
        <v>703</v>
      </c>
      <c r="C42" s="610" t="s">
        <v>391</v>
      </c>
      <c r="D42" s="667" t="str">
        <f t="shared" si="0"/>
        <v>20100801KUUM_426</v>
      </c>
      <c r="E42" s="611">
        <f t="shared" si="2"/>
        <v>6.36</v>
      </c>
      <c r="F42" s="668">
        <v>332</v>
      </c>
      <c r="G42" s="611">
        <v>0.94</v>
      </c>
      <c r="H42" s="611">
        <v>0.76</v>
      </c>
      <c r="I42" s="611">
        <v>4.66</v>
      </c>
      <c r="J42" s="403" t="s">
        <v>300</v>
      </c>
      <c r="S42" s="598"/>
      <c r="T42" s="598"/>
      <c r="U42" s="598"/>
      <c r="V42" s="598"/>
    </row>
    <row r="43" spans="1:22" s="407" customFormat="1">
      <c r="A43" s="614">
        <f t="shared" si="1"/>
        <v>20100801</v>
      </c>
      <c r="B43" s="610" t="s">
        <v>703</v>
      </c>
      <c r="C43" s="610" t="s">
        <v>416</v>
      </c>
      <c r="D43" s="667" t="str">
        <f t="shared" si="0"/>
        <v>20100801KUUM_428</v>
      </c>
      <c r="E43" s="611">
        <f t="shared" si="2"/>
        <v>6.9</v>
      </c>
      <c r="F43" s="668">
        <v>468</v>
      </c>
      <c r="G43" s="611">
        <v>0.75</v>
      </c>
      <c r="H43" s="611">
        <v>1.07</v>
      </c>
      <c r="I43" s="611">
        <v>5.08</v>
      </c>
      <c r="J43" s="403" t="s">
        <v>325</v>
      </c>
      <c r="S43" s="598"/>
      <c r="T43" s="598"/>
      <c r="U43" s="598"/>
      <c r="V43" s="598"/>
    </row>
    <row r="44" spans="1:22" s="407" customFormat="1">
      <c r="A44" s="614">
        <f t="shared" si="1"/>
        <v>20100801</v>
      </c>
      <c r="B44" s="610" t="s">
        <v>703</v>
      </c>
      <c r="C44" s="610" t="s">
        <v>362</v>
      </c>
      <c r="D44" s="667" t="str">
        <f t="shared" si="0"/>
        <v>20100801KUUM_429</v>
      </c>
      <c r="E44" s="611">
        <f t="shared" si="2"/>
        <v>12.58</v>
      </c>
      <c r="F44" s="668">
        <v>968</v>
      </c>
      <c r="G44" s="611">
        <v>1.25</v>
      </c>
      <c r="H44" s="611">
        <v>2.2200000000000002</v>
      </c>
      <c r="I44" s="611">
        <v>9.11</v>
      </c>
      <c r="J44" s="403" t="s">
        <v>271</v>
      </c>
      <c r="S44" s="598"/>
      <c r="T44" s="598"/>
      <c r="U44" s="598"/>
      <c r="V44" s="598"/>
    </row>
    <row r="45" spans="1:22" s="407" customFormat="1">
      <c r="A45" s="614">
        <f t="shared" si="1"/>
        <v>20100801</v>
      </c>
      <c r="B45" s="610" t="s">
        <v>703</v>
      </c>
      <c r="C45" s="610" t="s">
        <v>407</v>
      </c>
      <c r="D45" s="667" t="str">
        <f t="shared" si="0"/>
        <v>20100801KUUM_430</v>
      </c>
      <c r="E45" s="611">
        <f t="shared" si="2"/>
        <v>20.52</v>
      </c>
      <c r="F45" s="668">
        <v>468</v>
      </c>
      <c r="G45" s="611">
        <v>0.75</v>
      </c>
      <c r="H45" s="611">
        <v>1.07</v>
      </c>
      <c r="I45" s="611">
        <v>18.7</v>
      </c>
      <c r="J45" s="403" t="s">
        <v>316</v>
      </c>
      <c r="S45" s="598"/>
      <c r="T45" s="598"/>
      <c r="U45" s="598"/>
      <c r="V45" s="598"/>
    </row>
    <row r="46" spans="1:22" s="407" customFormat="1">
      <c r="A46" s="614">
        <f t="shared" si="1"/>
        <v>20100801</v>
      </c>
      <c r="B46" s="610" t="s">
        <v>702</v>
      </c>
      <c r="C46" s="615" t="s">
        <v>418</v>
      </c>
      <c r="D46" s="667" t="str">
        <f t="shared" si="0"/>
        <v>20100801KUUM_431</v>
      </c>
      <c r="E46" s="611">
        <f t="shared" si="2"/>
        <v>3.69</v>
      </c>
      <c r="F46" s="668">
        <v>408</v>
      </c>
      <c r="G46" s="611">
        <v>0.31</v>
      </c>
      <c r="H46" s="611">
        <v>0.94</v>
      </c>
      <c r="I46" s="611">
        <v>2.44</v>
      </c>
      <c r="J46" s="425" t="s">
        <v>419</v>
      </c>
      <c r="S46" s="598"/>
      <c r="T46" s="598"/>
      <c r="U46" s="598"/>
      <c r="V46" s="598"/>
    </row>
    <row r="47" spans="1:22" s="407" customFormat="1">
      <c r="A47" s="614">
        <f t="shared" si="1"/>
        <v>20100801</v>
      </c>
      <c r="B47" s="610" t="s">
        <v>702</v>
      </c>
      <c r="C47" s="615" t="s">
        <v>420</v>
      </c>
      <c r="D47" s="667" t="str">
        <f t="shared" si="0"/>
        <v>20100801KUUM_432</v>
      </c>
      <c r="E47" s="611">
        <f t="shared" si="2"/>
        <v>4.84</v>
      </c>
      <c r="F47" s="668">
        <v>804</v>
      </c>
      <c r="G47" s="611">
        <v>0.4</v>
      </c>
      <c r="H47" s="611">
        <v>1.85</v>
      </c>
      <c r="I47" s="611">
        <v>2.5899999999999994</v>
      </c>
      <c r="J47" s="410" t="s">
        <v>421</v>
      </c>
      <c r="S47" s="598"/>
      <c r="T47" s="598"/>
      <c r="U47" s="598"/>
      <c r="V47" s="598"/>
    </row>
    <row r="48" spans="1:22" s="407" customFormat="1">
      <c r="A48" s="614">
        <f t="shared" si="1"/>
        <v>20100801</v>
      </c>
      <c r="B48" s="610" t="s">
        <v>79</v>
      </c>
      <c r="C48" s="615" t="s">
        <v>422</v>
      </c>
      <c r="D48" s="603" t="str">
        <f t="shared" si="0"/>
        <v>20100801KUUM_433</v>
      </c>
      <c r="E48" s="404">
        <f t="shared" si="2"/>
        <v>49.34</v>
      </c>
      <c r="F48" s="601">
        <v>724</v>
      </c>
      <c r="G48" s="611">
        <v>5.44</v>
      </c>
      <c r="H48" s="611">
        <v>1.66</v>
      </c>
      <c r="I48" s="611">
        <v>42.24</v>
      </c>
      <c r="J48" s="410" t="s">
        <v>423</v>
      </c>
      <c r="S48" s="598"/>
      <c r="T48" s="598"/>
      <c r="U48" s="598"/>
      <c r="V48" s="598"/>
    </row>
    <row r="49" spans="1:22" s="407" customFormat="1">
      <c r="A49" s="614">
        <f t="shared" si="1"/>
        <v>20100801</v>
      </c>
      <c r="B49" s="610" t="s">
        <v>702</v>
      </c>
      <c r="C49" s="610" t="s">
        <v>373</v>
      </c>
      <c r="D49" s="667" t="str">
        <f t="shared" si="0"/>
        <v>20100801KUUM_434</v>
      </c>
      <c r="E49" s="611">
        <f t="shared" si="2"/>
        <v>7.07</v>
      </c>
      <c r="F49" s="668">
        <v>1308</v>
      </c>
      <c r="G49" s="611">
        <v>0.73</v>
      </c>
      <c r="H49" s="611">
        <v>0.55000000000000004</v>
      </c>
      <c r="I49" s="611">
        <v>5.79</v>
      </c>
      <c r="J49" s="403" t="s">
        <v>282</v>
      </c>
      <c r="S49" s="598"/>
      <c r="T49" s="598"/>
      <c r="U49" s="598"/>
      <c r="V49" s="598"/>
    </row>
    <row r="50" spans="1:22" s="407" customFormat="1">
      <c r="A50" s="614">
        <f t="shared" si="1"/>
        <v>20100801</v>
      </c>
      <c r="B50" s="610" t="s">
        <v>702</v>
      </c>
      <c r="C50" s="615" t="s">
        <v>424</v>
      </c>
      <c r="D50" s="667" t="str">
        <f t="shared" si="0"/>
        <v>20100801KUUM_435</v>
      </c>
      <c r="E50" s="611">
        <f t="shared" si="2"/>
        <v>8.06</v>
      </c>
      <c r="F50" s="668">
        <v>1788</v>
      </c>
      <c r="G50" s="611">
        <v>0.83</v>
      </c>
      <c r="H50" s="611">
        <v>4.0999999999999996</v>
      </c>
      <c r="I50" s="611">
        <v>3.1300000000000008</v>
      </c>
      <c r="J50" s="410" t="s">
        <v>425</v>
      </c>
      <c r="S50" s="598"/>
      <c r="T50" s="598"/>
      <c r="U50" s="598"/>
      <c r="V50" s="598"/>
    </row>
    <row r="51" spans="1:22" s="407" customFormat="1">
      <c r="A51" s="614">
        <f t="shared" si="1"/>
        <v>20100801</v>
      </c>
      <c r="B51" s="610" t="s">
        <v>79</v>
      </c>
      <c r="C51" s="610" t="s">
        <v>375</v>
      </c>
      <c r="D51" s="667" t="str">
        <f t="shared" si="0"/>
        <v>20100801KUUM_440</v>
      </c>
      <c r="E51" s="611">
        <f t="shared" si="2"/>
        <v>12.51</v>
      </c>
      <c r="F51" s="668">
        <v>240</v>
      </c>
      <c r="G51" s="611">
        <v>0.73</v>
      </c>
      <c r="H51" s="611">
        <v>0.55000000000000004</v>
      </c>
      <c r="I51" s="611">
        <v>11.23</v>
      </c>
      <c r="J51" s="403" t="s">
        <v>284</v>
      </c>
      <c r="S51" s="598"/>
      <c r="T51" s="598"/>
      <c r="U51" s="598"/>
      <c r="V51" s="598"/>
    </row>
    <row r="52" spans="1:22" s="407" customFormat="1">
      <c r="A52" s="614">
        <f t="shared" si="1"/>
        <v>20100801</v>
      </c>
      <c r="B52" s="610" t="s">
        <v>79</v>
      </c>
      <c r="C52" s="610" t="s">
        <v>383</v>
      </c>
      <c r="D52" s="667" t="str">
        <f t="shared" si="0"/>
        <v>20100801KUUM_441</v>
      </c>
      <c r="E52" s="611">
        <f t="shared" si="2"/>
        <v>13.5</v>
      </c>
      <c r="F52" s="668">
        <v>332</v>
      </c>
      <c r="G52" s="611">
        <v>0.94</v>
      </c>
      <c r="H52" s="611">
        <v>0.76</v>
      </c>
      <c r="I52" s="611">
        <v>11.8</v>
      </c>
      <c r="J52" s="403" t="s">
        <v>292</v>
      </c>
      <c r="S52" s="598"/>
      <c r="T52" s="598"/>
      <c r="U52" s="598"/>
      <c r="V52" s="598"/>
    </row>
    <row r="53" spans="1:22" s="407" customFormat="1">
      <c r="A53" s="614">
        <f t="shared" si="1"/>
        <v>20100801</v>
      </c>
      <c r="B53" s="610" t="s">
        <v>79</v>
      </c>
      <c r="C53" s="610" t="s">
        <v>406</v>
      </c>
      <c r="D53" s="603" t="str">
        <f t="shared" si="0"/>
        <v>20100801KUUM_442</v>
      </c>
      <c r="E53" s="404">
        <f t="shared" si="2"/>
        <v>14.13</v>
      </c>
      <c r="F53" s="601">
        <v>468</v>
      </c>
      <c r="G53" s="611">
        <v>0.75</v>
      </c>
      <c r="H53" s="611">
        <v>1.07</v>
      </c>
      <c r="I53" s="611">
        <v>12.31</v>
      </c>
      <c r="J53" s="403" t="s">
        <v>315</v>
      </c>
      <c r="S53" s="598"/>
      <c r="T53" s="598"/>
      <c r="U53" s="598"/>
      <c r="V53" s="598"/>
    </row>
    <row r="54" spans="1:22" s="407" customFormat="1">
      <c r="A54" s="614">
        <f t="shared" si="1"/>
        <v>20100801</v>
      </c>
      <c r="B54" s="610" t="s">
        <v>79</v>
      </c>
      <c r="C54" s="610" t="s">
        <v>377</v>
      </c>
      <c r="D54" s="667" t="str">
        <f t="shared" si="0"/>
        <v>20100801KUUM_444</v>
      </c>
      <c r="E54" s="611">
        <f t="shared" si="2"/>
        <v>18.900000000000002</v>
      </c>
      <c r="F54" s="668">
        <v>240</v>
      </c>
      <c r="G54" s="611">
        <v>0.73</v>
      </c>
      <c r="H54" s="611">
        <v>0.55000000000000004</v>
      </c>
      <c r="I54" s="611">
        <v>17.62</v>
      </c>
      <c r="J54" s="403" t="s">
        <v>286</v>
      </c>
      <c r="S54" s="598"/>
      <c r="T54" s="598"/>
      <c r="U54" s="598"/>
      <c r="V54" s="598"/>
    </row>
    <row r="55" spans="1:22" s="407" customFormat="1">
      <c r="A55" s="614">
        <f t="shared" si="1"/>
        <v>20100801</v>
      </c>
      <c r="B55" s="610" t="s">
        <v>79</v>
      </c>
      <c r="C55" s="610" t="s">
        <v>385</v>
      </c>
      <c r="D55" s="667" t="str">
        <f t="shared" si="0"/>
        <v>20100801KUUM_445</v>
      </c>
      <c r="E55" s="611">
        <f t="shared" si="2"/>
        <v>19.779999999999998</v>
      </c>
      <c r="F55" s="668">
        <v>332</v>
      </c>
      <c r="G55" s="611">
        <v>0.94</v>
      </c>
      <c r="H55" s="611">
        <v>0.76</v>
      </c>
      <c r="I55" s="611">
        <v>18.079999999999998</v>
      </c>
      <c r="J55" s="403" t="s">
        <v>294</v>
      </c>
      <c r="S55" s="598"/>
      <c r="T55" s="598"/>
      <c r="U55" s="598"/>
      <c r="V55" s="598"/>
    </row>
    <row r="56" spans="1:22" s="407" customFormat="1">
      <c r="A56" s="614">
        <f t="shared" si="1"/>
        <v>20100801</v>
      </c>
      <c r="B56" s="610" t="s">
        <v>702</v>
      </c>
      <c r="C56" s="610" t="s">
        <v>401</v>
      </c>
      <c r="D56" s="667" t="str">
        <f t="shared" si="0"/>
        <v>20100801KUUM_446</v>
      </c>
      <c r="E56" s="611">
        <f t="shared" si="2"/>
        <v>8.5500000000000007</v>
      </c>
      <c r="F56" s="668">
        <v>828</v>
      </c>
      <c r="G56" s="611">
        <v>0.95</v>
      </c>
      <c r="H56" s="611">
        <v>1.9</v>
      </c>
      <c r="I56" s="611">
        <v>5.7000000000000011</v>
      </c>
      <c r="J56" s="416" t="s">
        <v>310</v>
      </c>
      <c r="K56" s="416"/>
      <c r="L56" s="416"/>
      <c r="M56" s="416"/>
      <c r="S56" s="598"/>
      <c r="T56" s="598"/>
      <c r="U56" s="598"/>
      <c r="V56" s="598"/>
    </row>
    <row r="57" spans="1:22" s="407" customFormat="1">
      <c r="A57" s="614">
        <f t="shared" si="1"/>
        <v>20100801</v>
      </c>
      <c r="B57" s="610" t="s">
        <v>702</v>
      </c>
      <c r="C57" s="610" t="s">
        <v>328</v>
      </c>
      <c r="D57" s="603" t="str">
        <f t="shared" si="0"/>
        <v>20100801KUUM_447</v>
      </c>
      <c r="E57" s="404">
        <f t="shared" si="2"/>
        <v>10.09</v>
      </c>
      <c r="F57" s="601">
        <v>1176</v>
      </c>
      <c r="G57" s="611">
        <v>1.0900000000000001</v>
      </c>
      <c r="H57" s="611">
        <v>2.7</v>
      </c>
      <c r="I57" s="611">
        <v>6.3</v>
      </c>
      <c r="J57" s="404" t="s">
        <v>237</v>
      </c>
      <c r="S57" s="598"/>
      <c r="T57" s="598"/>
      <c r="U57" s="598"/>
      <c r="V57" s="598"/>
    </row>
    <row r="58" spans="1:22" s="407" customFormat="1">
      <c r="A58" s="614">
        <f t="shared" si="1"/>
        <v>20100801</v>
      </c>
      <c r="B58" s="610" t="s">
        <v>702</v>
      </c>
      <c r="C58" s="615" t="s">
        <v>437</v>
      </c>
      <c r="D58" s="603" t="str">
        <f t="shared" si="0"/>
        <v>20100801KUUM_448</v>
      </c>
      <c r="E58" s="404">
        <f t="shared" si="2"/>
        <v>12.35</v>
      </c>
      <c r="F58" s="601">
        <v>1812</v>
      </c>
      <c r="G58" s="611">
        <v>1.24</v>
      </c>
      <c r="H58" s="611">
        <v>4.16</v>
      </c>
      <c r="I58" s="611">
        <v>6.9499999999999993</v>
      </c>
      <c r="J58" s="403" t="s">
        <v>438</v>
      </c>
      <c r="S58" s="598"/>
      <c r="T58" s="598"/>
      <c r="U58" s="598"/>
      <c r="V58" s="598"/>
    </row>
    <row r="59" spans="1:22" s="407" customFormat="1">
      <c r="A59" s="614">
        <f t="shared" si="1"/>
        <v>20100801</v>
      </c>
      <c r="B59" s="610" t="s">
        <v>79</v>
      </c>
      <c r="C59" s="610" t="s">
        <v>408</v>
      </c>
      <c r="D59" s="667" t="str">
        <f t="shared" si="0"/>
        <v>20100801KUUM_449</v>
      </c>
      <c r="E59" s="611">
        <f t="shared" si="2"/>
        <v>20.52</v>
      </c>
      <c r="F59" s="668">
        <v>468</v>
      </c>
      <c r="G59" s="611">
        <v>0.75</v>
      </c>
      <c r="H59" s="611">
        <v>1.07</v>
      </c>
      <c r="I59" s="611">
        <v>18.7</v>
      </c>
      <c r="J59" s="403" t="s">
        <v>317</v>
      </c>
      <c r="S59" s="598"/>
      <c r="T59" s="598"/>
      <c r="U59" s="598"/>
      <c r="V59" s="598"/>
    </row>
    <row r="60" spans="1:22" s="407" customFormat="1">
      <c r="A60" s="614">
        <f t="shared" si="1"/>
        <v>20100801</v>
      </c>
      <c r="B60" s="610" t="s">
        <v>703</v>
      </c>
      <c r="C60" s="610" t="s">
        <v>338</v>
      </c>
      <c r="D60" s="667" t="str">
        <f t="shared" si="0"/>
        <v>20100801KUUM_450</v>
      </c>
      <c r="E60" s="611">
        <f t="shared" si="2"/>
        <v>12.379999999999999</v>
      </c>
      <c r="F60" s="668">
        <v>600</v>
      </c>
      <c r="G60" s="611">
        <v>1.38</v>
      </c>
      <c r="H60" s="611">
        <v>1.9</v>
      </c>
      <c r="I60" s="611">
        <v>9.1</v>
      </c>
      <c r="J60" s="403" t="s">
        <v>247</v>
      </c>
      <c r="S60" s="598"/>
      <c r="T60" s="598"/>
      <c r="U60" s="598"/>
      <c r="V60" s="598"/>
    </row>
    <row r="61" spans="1:22" s="407" customFormat="1">
      <c r="A61" s="614">
        <f t="shared" si="1"/>
        <v>20100801</v>
      </c>
      <c r="B61" s="610" t="s">
        <v>703</v>
      </c>
      <c r="C61" s="610" t="s">
        <v>370</v>
      </c>
      <c r="D61" s="667" t="str">
        <f t="shared" si="0"/>
        <v>20100801KUUM_451</v>
      </c>
      <c r="E61" s="611">
        <f t="shared" si="2"/>
        <v>17.75</v>
      </c>
      <c r="F61" s="668">
        <v>1400</v>
      </c>
      <c r="G61" s="611">
        <v>1.79</v>
      </c>
      <c r="H61" s="611">
        <v>4.13</v>
      </c>
      <c r="I61" s="611">
        <v>11.830000000000002</v>
      </c>
      <c r="J61" s="403" t="s">
        <v>279</v>
      </c>
      <c r="S61" s="598"/>
      <c r="T61" s="598"/>
      <c r="U61" s="598"/>
      <c r="V61" s="598"/>
    </row>
    <row r="62" spans="1:22" s="407" customFormat="1">
      <c r="A62" s="614">
        <f t="shared" si="1"/>
        <v>20100801</v>
      </c>
      <c r="B62" s="610" t="s">
        <v>703</v>
      </c>
      <c r="C62" s="610" t="s">
        <v>333</v>
      </c>
      <c r="D62" s="667" t="str">
        <f t="shared" si="0"/>
        <v>20100801KUUM_452</v>
      </c>
      <c r="E62" s="611">
        <f t="shared" si="2"/>
        <v>37.260000000000005</v>
      </c>
      <c r="F62" s="668">
        <v>4320</v>
      </c>
      <c r="G62" s="611">
        <v>3.59</v>
      </c>
      <c r="H62" s="611">
        <v>9.91</v>
      </c>
      <c r="I62" s="611">
        <v>23.76</v>
      </c>
      <c r="J62" s="403" t="s">
        <v>242</v>
      </c>
      <c r="S62" s="598"/>
      <c r="T62" s="598"/>
      <c r="U62" s="598"/>
      <c r="V62" s="598"/>
    </row>
    <row r="63" spans="1:22" s="407" customFormat="1">
      <c r="A63" s="614">
        <f t="shared" si="1"/>
        <v>20100801</v>
      </c>
      <c r="B63" s="610" t="s">
        <v>703</v>
      </c>
      <c r="C63" s="610" t="s">
        <v>336</v>
      </c>
      <c r="D63" s="667" t="str">
        <f t="shared" si="0"/>
        <v>20100801KUUM_454</v>
      </c>
      <c r="E63" s="611">
        <f t="shared" si="2"/>
        <v>16.61</v>
      </c>
      <c r="F63" s="668">
        <v>600</v>
      </c>
      <c r="G63" s="611">
        <v>1.38</v>
      </c>
      <c r="H63" s="611">
        <v>1.9</v>
      </c>
      <c r="I63" s="611">
        <v>13.33</v>
      </c>
      <c r="J63" s="403" t="s">
        <v>245</v>
      </c>
      <c r="S63" s="598"/>
      <c r="T63" s="598"/>
      <c r="U63" s="598"/>
      <c r="V63" s="598"/>
    </row>
    <row r="64" spans="1:22" s="407" customFormat="1">
      <c r="A64" s="614">
        <f t="shared" si="1"/>
        <v>20100801</v>
      </c>
      <c r="B64" s="610" t="s">
        <v>703</v>
      </c>
      <c r="C64" s="610" t="s">
        <v>368</v>
      </c>
      <c r="D64" s="667" t="str">
        <f t="shared" si="0"/>
        <v>20100801KUUM_455</v>
      </c>
      <c r="E64" s="611">
        <f t="shared" si="2"/>
        <v>21.980000000000004</v>
      </c>
      <c r="F64" s="668">
        <v>1400</v>
      </c>
      <c r="G64" s="611">
        <v>1.79</v>
      </c>
      <c r="H64" s="611">
        <v>4.13</v>
      </c>
      <c r="I64" s="611">
        <v>16.060000000000002</v>
      </c>
      <c r="J64" s="403" t="s">
        <v>277</v>
      </c>
      <c r="S64" s="598"/>
      <c r="T64" s="598"/>
      <c r="U64" s="598"/>
      <c r="V64" s="598"/>
    </row>
    <row r="65" spans="1:22" s="407" customFormat="1">
      <c r="A65" s="614">
        <f t="shared" si="1"/>
        <v>20100801</v>
      </c>
      <c r="B65" s="610" t="s">
        <v>702</v>
      </c>
      <c r="C65" s="610" t="s">
        <v>400</v>
      </c>
      <c r="D65" s="667" t="str">
        <f t="shared" si="0"/>
        <v>20100801KUUM_456</v>
      </c>
      <c r="E65" s="611">
        <f t="shared" si="2"/>
        <v>10.77</v>
      </c>
      <c r="F65" s="668">
        <v>828</v>
      </c>
      <c r="G65" s="611">
        <v>0.95</v>
      </c>
      <c r="H65" s="611">
        <v>1.9</v>
      </c>
      <c r="I65" s="611">
        <v>7.92</v>
      </c>
      <c r="J65" s="403" t="s">
        <v>309</v>
      </c>
      <c r="S65" s="598"/>
      <c r="T65" s="598"/>
      <c r="U65" s="598"/>
      <c r="V65" s="598"/>
    </row>
    <row r="66" spans="1:22" s="407" customFormat="1">
      <c r="A66" s="614">
        <f t="shared" si="1"/>
        <v>20100801</v>
      </c>
      <c r="B66" s="610" t="s">
        <v>702</v>
      </c>
      <c r="C66" s="610" t="s">
        <v>327</v>
      </c>
      <c r="D66" s="667" t="str">
        <f t="shared" si="0"/>
        <v>20100801KUUM_457</v>
      </c>
      <c r="E66" s="611">
        <f t="shared" si="2"/>
        <v>12.059999999999999</v>
      </c>
      <c r="F66" s="668">
        <v>1176</v>
      </c>
      <c r="G66" s="611">
        <v>1.0900000000000001</v>
      </c>
      <c r="H66" s="611">
        <v>2.7</v>
      </c>
      <c r="I66" s="611">
        <v>8.27</v>
      </c>
      <c r="J66" s="404" t="s">
        <v>236</v>
      </c>
      <c r="S66" s="598"/>
      <c r="T66" s="598"/>
      <c r="U66" s="598"/>
      <c r="V66" s="598"/>
    </row>
    <row r="67" spans="1:22" s="407" customFormat="1">
      <c r="A67" s="614">
        <f t="shared" si="1"/>
        <v>20100801</v>
      </c>
      <c r="B67" s="610" t="s">
        <v>702</v>
      </c>
      <c r="C67" s="610" t="s">
        <v>357</v>
      </c>
      <c r="D67" s="667" t="str">
        <f t="shared" si="0"/>
        <v>20100801KUUM_458</v>
      </c>
      <c r="E67" s="611">
        <f t="shared" si="2"/>
        <v>13.92</v>
      </c>
      <c r="F67" s="668">
        <v>1812</v>
      </c>
      <c r="G67" s="611">
        <v>1.24</v>
      </c>
      <c r="H67" s="611">
        <v>4.16</v>
      </c>
      <c r="I67" s="611">
        <v>8.52</v>
      </c>
      <c r="J67" s="403" t="s">
        <v>266</v>
      </c>
      <c r="S67" s="598"/>
      <c r="T67" s="598"/>
      <c r="U67" s="598"/>
      <c r="V67" s="598"/>
    </row>
    <row r="68" spans="1:22" s="407" customFormat="1">
      <c r="A68" s="614">
        <f t="shared" si="1"/>
        <v>20100801</v>
      </c>
      <c r="B68" s="610" t="s">
        <v>703</v>
      </c>
      <c r="C68" s="610" t="s">
        <v>331</v>
      </c>
      <c r="D68" s="667" t="str">
        <f t="shared" ref="D68:D136" si="3">A68&amp;C68</f>
        <v>20100801KUUM_459</v>
      </c>
      <c r="E68" s="611">
        <f t="shared" si="2"/>
        <v>41.489999999999995</v>
      </c>
      <c r="F68" s="668">
        <v>4320</v>
      </c>
      <c r="G68" s="611">
        <v>3.59</v>
      </c>
      <c r="H68" s="611">
        <v>9.91</v>
      </c>
      <c r="I68" s="611">
        <v>27.99</v>
      </c>
      <c r="J68" s="404" t="s">
        <v>240</v>
      </c>
      <c r="S68" s="598"/>
      <c r="T68" s="598"/>
      <c r="U68" s="598"/>
      <c r="V68" s="598"/>
    </row>
    <row r="69" spans="1:22" s="407" customFormat="1">
      <c r="A69" s="614">
        <f t="shared" ref="A69:A107" si="4">A68</f>
        <v>20100801</v>
      </c>
      <c r="B69" s="610" t="s">
        <v>703</v>
      </c>
      <c r="C69" s="610" t="s">
        <v>335</v>
      </c>
      <c r="D69" s="667" t="str">
        <f t="shared" si="3"/>
        <v>20100801KUUM_460</v>
      </c>
      <c r="E69" s="611">
        <f t="shared" ref="E69:E137" si="5">SUM(G69:I69)</f>
        <v>24.790000000000003</v>
      </c>
      <c r="F69" s="668">
        <v>600</v>
      </c>
      <c r="G69" s="611">
        <v>1.38</v>
      </c>
      <c r="H69" s="611">
        <v>1.9</v>
      </c>
      <c r="I69" s="611">
        <v>21.51</v>
      </c>
      <c r="J69" s="403" t="s">
        <v>244</v>
      </c>
      <c r="S69" s="598"/>
      <c r="T69" s="598"/>
      <c r="U69" s="598"/>
      <c r="V69" s="598"/>
    </row>
    <row r="70" spans="1:22" s="407" customFormat="1">
      <c r="A70" s="614">
        <f t="shared" si="4"/>
        <v>20100801</v>
      </c>
      <c r="B70" s="610" t="s">
        <v>702</v>
      </c>
      <c r="C70" s="610" t="s">
        <v>372</v>
      </c>
      <c r="D70" s="603" t="str">
        <f t="shared" si="3"/>
        <v>20100801KUUM_461</v>
      </c>
      <c r="E70" s="404">
        <f t="shared" si="5"/>
        <v>6.67</v>
      </c>
      <c r="F70" s="601">
        <v>240</v>
      </c>
      <c r="G70" s="611">
        <v>0.73</v>
      </c>
      <c r="H70" s="611">
        <v>0.55000000000000004</v>
      </c>
      <c r="I70" s="611">
        <v>5.39</v>
      </c>
      <c r="J70" s="403" t="s">
        <v>281</v>
      </c>
      <c r="S70" s="598"/>
      <c r="T70" s="598"/>
      <c r="U70" s="598"/>
      <c r="V70" s="598"/>
    </row>
    <row r="71" spans="1:22" s="407" customFormat="1">
      <c r="A71" s="614">
        <f t="shared" si="4"/>
        <v>20100801</v>
      </c>
      <c r="B71" s="610" t="s">
        <v>702</v>
      </c>
      <c r="C71" s="610" t="s">
        <v>381</v>
      </c>
      <c r="D71" s="603" t="str">
        <f t="shared" si="3"/>
        <v>20100801KUUM_462</v>
      </c>
      <c r="E71" s="404">
        <f t="shared" si="5"/>
        <v>7.54</v>
      </c>
      <c r="F71" s="601">
        <v>332</v>
      </c>
      <c r="G71" s="611">
        <v>0.94</v>
      </c>
      <c r="H71" s="611">
        <v>0.76</v>
      </c>
      <c r="I71" s="611">
        <v>5.84</v>
      </c>
      <c r="J71" s="403" t="s">
        <v>290</v>
      </c>
      <c r="S71" s="598"/>
      <c r="T71" s="598"/>
      <c r="U71" s="598"/>
      <c r="V71" s="598"/>
    </row>
    <row r="72" spans="1:22" s="407" customFormat="1">
      <c r="A72" s="614">
        <f t="shared" si="4"/>
        <v>20100801</v>
      </c>
      <c r="B72" s="610" t="s">
        <v>702</v>
      </c>
      <c r="C72" s="610" t="s">
        <v>404</v>
      </c>
      <c r="D72" s="603" t="str">
        <f t="shared" si="3"/>
        <v>20100801KUUM_463</v>
      </c>
      <c r="E72" s="404">
        <f t="shared" si="5"/>
        <v>8.15</v>
      </c>
      <c r="F72" s="601">
        <v>468</v>
      </c>
      <c r="G72" s="611">
        <v>0.75</v>
      </c>
      <c r="H72" s="611">
        <v>1.07</v>
      </c>
      <c r="I72" s="611">
        <v>6.33</v>
      </c>
      <c r="J72" s="403" t="s">
        <v>313</v>
      </c>
      <c r="S72" s="598"/>
      <c r="T72" s="598"/>
      <c r="U72" s="598"/>
      <c r="V72" s="598"/>
    </row>
    <row r="73" spans="1:22" s="407" customFormat="1">
      <c r="A73" s="614">
        <f t="shared" si="4"/>
        <v>20100801</v>
      </c>
      <c r="B73" s="610" t="s">
        <v>702</v>
      </c>
      <c r="C73" s="610" t="s">
        <v>361</v>
      </c>
      <c r="D73" s="667" t="str">
        <f t="shared" si="3"/>
        <v>20100801KUUM_464</v>
      </c>
      <c r="E73" s="611">
        <f t="shared" si="5"/>
        <v>12.58</v>
      </c>
      <c r="F73" s="668">
        <v>968</v>
      </c>
      <c r="G73" s="611">
        <v>1.25</v>
      </c>
      <c r="H73" s="611">
        <v>2.2200000000000002</v>
      </c>
      <c r="I73" s="611">
        <v>9.11</v>
      </c>
      <c r="J73" s="416" t="s">
        <v>270</v>
      </c>
      <c r="K73" s="416"/>
      <c r="L73" s="416"/>
      <c r="M73" s="416"/>
      <c r="S73" s="598"/>
      <c r="T73" s="598"/>
      <c r="U73" s="598"/>
      <c r="V73" s="598"/>
    </row>
    <row r="74" spans="1:22" s="407" customFormat="1">
      <c r="A74" s="614">
        <f t="shared" si="4"/>
        <v>20100801</v>
      </c>
      <c r="B74" s="610" t="s">
        <v>702</v>
      </c>
      <c r="C74" s="610" t="s">
        <v>393</v>
      </c>
      <c r="D74" s="603" t="str">
        <f t="shared" si="3"/>
        <v>20100801KUUM_465</v>
      </c>
      <c r="E74" s="404">
        <f t="shared" si="5"/>
        <v>20.5</v>
      </c>
      <c r="F74" s="601">
        <v>1884</v>
      </c>
      <c r="G74" s="611">
        <v>1.83</v>
      </c>
      <c r="H74" s="611">
        <v>4.32</v>
      </c>
      <c r="I74" s="611">
        <v>14.350000000000001</v>
      </c>
      <c r="J74" s="403" t="s">
        <v>302</v>
      </c>
      <c r="S74" s="598"/>
      <c r="T74" s="598"/>
      <c r="U74" s="598"/>
      <c r="V74" s="598"/>
    </row>
    <row r="75" spans="1:22" s="407" customFormat="1">
      <c r="A75" s="614">
        <f t="shared" si="4"/>
        <v>20100801</v>
      </c>
      <c r="B75" s="610" t="s">
        <v>702</v>
      </c>
      <c r="C75" s="610" t="s">
        <v>379</v>
      </c>
      <c r="D75" s="667" t="str">
        <f t="shared" si="3"/>
        <v>20100801KUUM_466</v>
      </c>
      <c r="E75" s="611">
        <f t="shared" si="5"/>
        <v>8.67</v>
      </c>
      <c r="F75" s="668">
        <v>240</v>
      </c>
      <c r="G75" s="611">
        <v>0.73</v>
      </c>
      <c r="H75" s="611">
        <v>0.55000000000000004</v>
      </c>
      <c r="I75" s="611">
        <v>7.39</v>
      </c>
      <c r="J75" s="403" t="s">
        <v>288</v>
      </c>
      <c r="S75" s="598"/>
      <c r="T75" s="598"/>
      <c r="U75" s="598"/>
      <c r="V75" s="598"/>
    </row>
    <row r="76" spans="1:22" s="407" customFormat="1">
      <c r="A76" s="614">
        <f t="shared" si="4"/>
        <v>20100801</v>
      </c>
      <c r="B76" s="610" t="s">
        <v>702</v>
      </c>
      <c r="C76" s="610" t="s">
        <v>389</v>
      </c>
      <c r="D76" s="667" t="str">
        <f t="shared" si="3"/>
        <v>20100801KUUM_467</v>
      </c>
      <c r="E76" s="611">
        <f t="shared" si="5"/>
        <v>9.57</v>
      </c>
      <c r="F76" s="668">
        <v>332</v>
      </c>
      <c r="G76" s="611">
        <v>0.94</v>
      </c>
      <c r="H76" s="611">
        <v>0.76</v>
      </c>
      <c r="I76" s="611">
        <v>7.870000000000001</v>
      </c>
      <c r="J76" s="403" t="s">
        <v>298</v>
      </c>
      <c r="S76" s="598"/>
      <c r="T76" s="598"/>
      <c r="U76" s="598"/>
      <c r="V76" s="598"/>
    </row>
    <row r="77" spans="1:22" s="407" customFormat="1">
      <c r="A77" s="614">
        <f t="shared" si="4"/>
        <v>20100801</v>
      </c>
      <c r="B77" s="610" t="s">
        <v>702</v>
      </c>
      <c r="C77" s="610" t="s">
        <v>412</v>
      </c>
      <c r="D77" s="667" t="str">
        <f t="shared" si="3"/>
        <v>20100801KUUM_468</v>
      </c>
      <c r="E77" s="611">
        <f t="shared" si="5"/>
        <v>10.09</v>
      </c>
      <c r="F77" s="668">
        <v>468</v>
      </c>
      <c r="G77" s="611">
        <v>0.75</v>
      </c>
      <c r="H77" s="611">
        <v>1.07</v>
      </c>
      <c r="I77" s="611">
        <v>8.27</v>
      </c>
      <c r="J77" s="403" t="s">
        <v>321</v>
      </c>
      <c r="S77" s="598"/>
      <c r="T77" s="598"/>
      <c r="U77" s="598"/>
      <c r="V77" s="598"/>
    </row>
    <row r="78" spans="1:22" s="407" customFormat="1">
      <c r="A78" s="614">
        <f t="shared" si="4"/>
        <v>20100801</v>
      </c>
      <c r="B78" s="610" t="s">
        <v>703</v>
      </c>
      <c r="C78" s="610" t="s">
        <v>367</v>
      </c>
      <c r="D78" s="667" t="str">
        <f t="shared" si="3"/>
        <v>20100801KUUM_469</v>
      </c>
      <c r="E78" s="611">
        <f t="shared" si="5"/>
        <v>30.160000000000004</v>
      </c>
      <c r="F78" s="668">
        <v>1400</v>
      </c>
      <c r="G78" s="611">
        <v>1.79</v>
      </c>
      <c r="H78" s="611">
        <v>4.13</v>
      </c>
      <c r="I78" s="611">
        <v>24.240000000000002</v>
      </c>
      <c r="J78" s="403" t="s">
        <v>276</v>
      </c>
      <c r="S78" s="598"/>
      <c r="T78" s="598"/>
      <c r="U78" s="598"/>
      <c r="V78" s="598"/>
    </row>
    <row r="79" spans="1:22" s="407" customFormat="1">
      <c r="A79" s="614">
        <f t="shared" si="4"/>
        <v>20100801</v>
      </c>
      <c r="B79" s="610" t="s">
        <v>703</v>
      </c>
      <c r="C79" s="610" t="s">
        <v>330</v>
      </c>
      <c r="D79" s="667" t="str">
        <f t="shared" si="3"/>
        <v>20100801KUUM_470</v>
      </c>
      <c r="E79" s="611">
        <f t="shared" si="5"/>
        <v>49.67</v>
      </c>
      <c r="F79" s="668">
        <v>4320</v>
      </c>
      <c r="G79" s="611">
        <v>3.59</v>
      </c>
      <c r="H79" s="611">
        <v>9.91</v>
      </c>
      <c r="I79" s="611">
        <v>36.17</v>
      </c>
      <c r="J79" s="404" t="s">
        <v>239</v>
      </c>
      <c r="S79" s="598"/>
      <c r="T79" s="598"/>
      <c r="U79" s="598"/>
      <c r="V79" s="598"/>
    </row>
    <row r="80" spans="1:22" s="407" customFormat="1">
      <c r="A80" s="614">
        <f t="shared" si="4"/>
        <v>20100801</v>
      </c>
      <c r="B80" s="610" t="s">
        <v>702</v>
      </c>
      <c r="C80" s="610" t="s">
        <v>371</v>
      </c>
      <c r="D80" s="667" t="str">
        <f t="shared" si="3"/>
        <v>20100801KUUM_471</v>
      </c>
      <c r="E80" s="611">
        <f t="shared" si="5"/>
        <v>9.5</v>
      </c>
      <c r="F80" s="668">
        <v>240</v>
      </c>
      <c r="G80" s="611">
        <v>0.73</v>
      </c>
      <c r="H80" s="611">
        <v>0.55000000000000004</v>
      </c>
      <c r="I80" s="611">
        <v>8.2200000000000006</v>
      </c>
      <c r="J80" s="403" t="s">
        <v>280</v>
      </c>
      <c r="S80" s="598"/>
      <c r="T80" s="598"/>
      <c r="U80" s="598"/>
      <c r="V80" s="598"/>
    </row>
    <row r="81" spans="1:22" s="407" customFormat="1">
      <c r="A81" s="614">
        <f t="shared" si="4"/>
        <v>20100801</v>
      </c>
      <c r="B81" s="610" t="s">
        <v>702</v>
      </c>
      <c r="C81" s="610" t="s">
        <v>380</v>
      </c>
      <c r="D81" s="667" t="str">
        <f t="shared" si="3"/>
        <v>20100801KUUM_472</v>
      </c>
      <c r="E81" s="611">
        <f t="shared" si="5"/>
        <v>10.37</v>
      </c>
      <c r="F81" s="668">
        <v>332</v>
      </c>
      <c r="G81" s="611">
        <v>0.94</v>
      </c>
      <c r="H81" s="611">
        <v>0.76</v>
      </c>
      <c r="I81" s="611">
        <v>8.67</v>
      </c>
      <c r="J81" s="403" t="s">
        <v>289</v>
      </c>
      <c r="S81" s="598"/>
      <c r="T81" s="598"/>
      <c r="U81" s="598"/>
      <c r="V81" s="598"/>
    </row>
    <row r="82" spans="1:22" s="407" customFormat="1">
      <c r="A82" s="614">
        <f t="shared" si="4"/>
        <v>20100801</v>
      </c>
      <c r="B82" s="610" t="s">
        <v>702</v>
      </c>
      <c r="C82" s="610" t="s">
        <v>403</v>
      </c>
      <c r="D82" s="667" t="str">
        <f t="shared" si="3"/>
        <v>20100801KUUM_473</v>
      </c>
      <c r="E82" s="611">
        <f t="shared" si="5"/>
        <v>11.19</v>
      </c>
      <c r="F82" s="668">
        <v>468</v>
      </c>
      <c r="G82" s="611">
        <v>0.75</v>
      </c>
      <c r="H82" s="611">
        <v>1.07</v>
      </c>
      <c r="I82" s="611">
        <v>9.3699999999999992</v>
      </c>
      <c r="J82" s="416" t="s">
        <v>312</v>
      </c>
      <c r="K82" s="416"/>
      <c r="L82" s="416"/>
      <c r="M82" s="416"/>
      <c r="S82" s="598"/>
      <c r="T82" s="598"/>
      <c r="U82" s="598"/>
      <c r="V82" s="598"/>
    </row>
    <row r="83" spans="1:22" s="407" customFormat="1">
      <c r="A83" s="614">
        <f t="shared" si="4"/>
        <v>20100801</v>
      </c>
      <c r="B83" s="610" t="s">
        <v>702</v>
      </c>
      <c r="C83" s="610" t="s">
        <v>360</v>
      </c>
      <c r="D83" s="667" t="str">
        <f t="shared" si="3"/>
        <v>20100801KUUM_474</v>
      </c>
      <c r="E83" s="611">
        <f t="shared" si="5"/>
        <v>15.62</v>
      </c>
      <c r="F83" s="668">
        <v>968</v>
      </c>
      <c r="G83" s="611">
        <v>1.25</v>
      </c>
      <c r="H83" s="611">
        <v>2.2200000000000002</v>
      </c>
      <c r="I83" s="611">
        <v>12.149999999999999</v>
      </c>
      <c r="J83" s="416" t="s">
        <v>269</v>
      </c>
      <c r="K83" s="416"/>
      <c r="L83" s="416"/>
      <c r="M83" s="416"/>
      <c r="S83" s="598"/>
      <c r="T83" s="598"/>
      <c r="U83" s="598"/>
      <c r="V83" s="598"/>
    </row>
    <row r="84" spans="1:22" s="407" customFormat="1">
      <c r="A84" s="614">
        <f t="shared" si="4"/>
        <v>20100801</v>
      </c>
      <c r="B84" s="610" t="s">
        <v>702</v>
      </c>
      <c r="C84" s="610" t="s">
        <v>392</v>
      </c>
      <c r="D84" s="667" t="str">
        <f t="shared" si="3"/>
        <v>20100801KUUM_475</v>
      </c>
      <c r="E84" s="611">
        <f t="shared" si="5"/>
        <v>22.059999999999995</v>
      </c>
      <c r="F84" s="668">
        <v>1884</v>
      </c>
      <c r="G84" s="611">
        <v>1.83</v>
      </c>
      <c r="H84" s="611">
        <v>4.32</v>
      </c>
      <c r="I84" s="611">
        <v>15.909999999999997</v>
      </c>
      <c r="J84" s="403" t="s">
        <v>301</v>
      </c>
      <c r="S84" s="598"/>
      <c r="T84" s="598"/>
      <c r="U84" s="598"/>
      <c r="V84" s="598"/>
    </row>
    <row r="85" spans="1:22" s="407" customFormat="1">
      <c r="A85" s="614">
        <f t="shared" si="4"/>
        <v>20100801</v>
      </c>
      <c r="B85" s="610" t="s">
        <v>79</v>
      </c>
      <c r="C85" s="610" t="s">
        <v>390</v>
      </c>
      <c r="D85" s="667" t="str">
        <f t="shared" si="3"/>
        <v>20100801KUUM_476</v>
      </c>
      <c r="E85" s="611">
        <v>15.3</v>
      </c>
      <c r="F85" s="668">
        <v>332</v>
      </c>
      <c r="G85" s="611">
        <v>0.94</v>
      </c>
      <c r="H85" s="611">
        <v>0.76</v>
      </c>
      <c r="I85" s="611">
        <v>13.600000000000001</v>
      </c>
      <c r="J85" s="403" t="s">
        <v>299</v>
      </c>
      <c r="S85" s="598"/>
      <c r="T85" s="598"/>
      <c r="U85" s="598"/>
      <c r="V85" s="598"/>
    </row>
    <row r="86" spans="1:22" s="407" customFormat="1">
      <c r="A86" s="614">
        <f t="shared" si="4"/>
        <v>20100801</v>
      </c>
      <c r="B86" s="610" t="s">
        <v>79</v>
      </c>
      <c r="C86" s="610" t="s">
        <v>414</v>
      </c>
      <c r="D86" s="667" t="str">
        <f t="shared" si="3"/>
        <v>20100801KUUM_477</v>
      </c>
      <c r="E86" s="611">
        <v>17.93</v>
      </c>
      <c r="F86" s="668">
        <v>468</v>
      </c>
      <c r="G86" s="611">
        <v>0.75</v>
      </c>
      <c r="H86" s="611">
        <v>1.07</v>
      </c>
      <c r="I86" s="611">
        <v>16.11</v>
      </c>
      <c r="J86" s="403" t="s">
        <v>323</v>
      </c>
      <c r="S86" s="598"/>
      <c r="T86" s="598"/>
      <c r="U86" s="598"/>
      <c r="V86" s="598"/>
    </row>
    <row r="87" spans="1:22" s="407" customFormat="1">
      <c r="A87" s="614">
        <f t="shared" si="4"/>
        <v>20100801</v>
      </c>
      <c r="B87" s="610" t="s">
        <v>79</v>
      </c>
      <c r="C87" s="610" t="s">
        <v>364</v>
      </c>
      <c r="D87" s="667" t="str">
        <f t="shared" si="3"/>
        <v>20100801KUUM_478</v>
      </c>
      <c r="E87" s="611">
        <v>21.65</v>
      </c>
      <c r="F87" s="668">
        <v>968</v>
      </c>
      <c r="G87" s="611">
        <v>1.25</v>
      </c>
      <c r="H87" s="611">
        <v>2.2200000000000002</v>
      </c>
      <c r="I87" s="611">
        <v>18.18</v>
      </c>
      <c r="J87" s="403" t="s">
        <v>273</v>
      </c>
      <c r="S87" s="598"/>
      <c r="T87" s="598"/>
      <c r="U87" s="598"/>
      <c r="V87" s="598"/>
    </row>
    <row r="88" spans="1:22" s="407" customFormat="1">
      <c r="A88" s="614">
        <f t="shared" si="4"/>
        <v>20100801</v>
      </c>
      <c r="B88" s="610" t="s">
        <v>79</v>
      </c>
      <c r="C88" s="610" t="s">
        <v>396</v>
      </c>
      <c r="D88" s="667" t="str">
        <f t="shared" si="3"/>
        <v>20100801KUUM_479</v>
      </c>
      <c r="E88" s="611">
        <v>27.68</v>
      </c>
      <c r="F88" s="668">
        <v>1884</v>
      </c>
      <c r="G88" s="611">
        <v>1.83</v>
      </c>
      <c r="H88" s="611">
        <v>4.32</v>
      </c>
      <c r="I88" s="611">
        <v>21.53</v>
      </c>
      <c r="J88" s="403" t="s">
        <v>305</v>
      </c>
      <c r="S88" s="598"/>
      <c r="T88" s="598"/>
      <c r="U88" s="598"/>
      <c r="V88" s="598"/>
    </row>
    <row r="89" spans="1:22" s="407" customFormat="1">
      <c r="A89" s="614">
        <f t="shared" si="4"/>
        <v>20100801</v>
      </c>
      <c r="B89" s="610" t="s">
        <v>79</v>
      </c>
      <c r="C89" s="610" t="s">
        <v>378</v>
      </c>
      <c r="D89" s="667" t="str">
        <f t="shared" si="3"/>
        <v>20100801KUUM_480</v>
      </c>
      <c r="E89" s="611">
        <f t="shared" si="5"/>
        <v>8.67</v>
      </c>
      <c r="F89" s="668">
        <v>240</v>
      </c>
      <c r="G89" s="611">
        <v>0.73</v>
      </c>
      <c r="H89" s="611">
        <v>0.55000000000000004</v>
      </c>
      <c r="I89" s="611">
        <v>7.39</v>
      </c>
      <c r="J89" s="403" t="s">
        <v>287</v>
      </c>
      <c r="S89" s="598"/>
      <c r="T89" s="598"/>
      <c r="U89" s="598"/>
      <c r="V89" s="598"/>
    </row>
    <row r="90" spans="1:22" s="407" customFormat="1">
      <c r="A90" s="614">
        <f t="shared" si="4"/>
        <v>20100801</v>
      </c>
      <c r="B90" s="610" t="s">
        <v>79</v>
      </c>
      <c r="C90" s="610" t="s">
        <v>388</v>
      </c>
      <c r="D90" s="667" t="str">
        <f t="shared" si="3"/>
        <v>20100801KUUM_481</v>
      </c>
      <c r="E90" s="611">
        <f t="shared" si="5"/>
        <v>9.57</v>
      </c>
      <c r="F90" s="668">
        <v>332</v>
      </c>
      <c r="G90" s="611">
        <v>0.94</v>
      </c>
      <c r="H90" s="611">
        <v>0.76</v>
      </c>
      <c r="I90" s="611">
        <v>7.870000000000001</v>
      </c>
      <c r="J90" s="403" t="s">
        <v>297</v>
      </c>
      <c r="S90" s="598"/>
      <c r="T90" s="598"/>
      <c r="U90" s="598"/>
      <c r="V90" s="598"/>
    </row>
    <row r="91" spans="1:22" s="407" customFormat="1">
      <c r="A91" s="614">
        <f t="shared" si="4"/>
        <v>20100801</v>
      </c>
      <c r="B91" s="610" t="s">
        <v>79</v>
      </c>
      <c r="C91" s="610" t="s">
        <v>411</v>
      </c>
      <c r="D91" s="667" t="str">
        <f t="shared" si="3"/>
        <v>20100801KUUM_482</v>
      </c>
      <c r="E91" s="611">
        <f t="shared" si="5"/>
        <v>10.09</v>
      </c>
      <c r="F91" s="668">
        <v>468</v>
      </c>
      <c r="G91" s="611">
        <v>0.75</v>
      </c>
      <c r="H91" s="611">
        <v>1.07</v>
      </c>
      <c r="I91" s="611">
        <v>8.27</v>
      </c>
      <c r="J91" s="403" t="s">
        <v>320</v>
      </c>
      <c r="S91" s="598"/>
      <c r="T91" s="598"/>
      <c r="U91" s="598"/>
      <c r="V91" s="598"/>
    </row>
    <row r="92" spans="1:22" s="407" customFormat="1">
      <c r="A92" s="614">
        <f t="shared" si="4"/>
        <v>20100801</v>
      </c>
      <c r="B92" s="610" t="s">
        <v>703</v>
      </c>
      <c r="C92" s="615" t="s">
        <v>439</v>
      </c>
      <c r="D92" s="667" t="str">
        <f t="shared" si="3"/>
        <v>20100801KUUM_483</v>
      </c>
      <c r="E92" s="611">
        <f t="shared" si="5"/>
        <v>21.449999999999996</v>
      </c>
      <c r="F92" s="668">
        <v>332</v>
      </c>
      <c r="G92" s="611">
        <v>0.94</v>
      </c>
      <c r="H92" s="611">
        <v>0.76</v>
      </c>
      <c r="I92" s="611">
        <v>19.749999999999996</v>
      </c>
      <c r="J92" s="410" t="s">
        <v>417</v>
      </c>
      <c r="S92" s="598"/>
      <c r="T92" s="598"/>
      <c r="U92" s="598"/>
      <c r="V92" s="598"/>
    </row>
    <row r="93" spans="1:22" s="407" customFormat="1">
      <c r="A93" s="614">
        <f t="shared" si="4"/>
        <v>20100801</v>
      </c>
      <c r="B93" s="610" t="s">
        <v>703</v>
      </c>
      <c r="C93" s="610" t="s">
        <v>413</v>
      </c>
      <c r="D93" s="667" t="str">
        <f t="shared" si="3"/>
        <v>20100801KUUM_484</v>
      </c>
      <c r="E93" s="611">
        <f t="shared" si="5"/>
        <v>21.59</v>
      </c>
      <c r="F93" s="668">
        <v>468</v>
      </c>
      <c r="G93" s="611">
        <v>0.75</v>
      </c>
      <c r="H93" s="611">
        <v>1.07</v>
      </c>
      <c r="I93" s="611">
        <v>19.77</v>
      </c>
      <c r="J93" s="403" t="s">
        <v>322</v>
      </c>
      <c r="S93" s="598"/>
      <c r="T93" s="598"/>
      <c r="U93" s="598"/>
      <c r="V93" s="598"/>
    </row>
    <row r="94" spans="1:22" s="407" customFormat="1">
      <c r="A94" s="614">
        <f t="shared" si="4"/>
        <v>20100801</v>
      </c>
      <c r="B94" s="610" t="s">
        <v>79</v>
      </c>
      <c r="C94" s="615" t="s">
        <v>428</v>
      </c>
      <c r="D94" s="603" t="str">
        <f t="shared" si="3"/>
        <v>20100801KUUM_484.1</v>
      </c>
      <c r="E94" s="404">
        <f t="shared" si="5"/>
        <v>14.12</v>
      </c>
      <c r="F94" s="601">
        <v>468</v>
      </c>
      <c r="G94" s="611">
        <v>0.75</v>
      </c>
      <c r="H94" s="611">
        <v>1.07</v>
      </c>
      <c r="I94" s="611">
        <v>12.299999999999999</v>
      </c>
      <c r="J94" s="410" t="s">
        <v>429</v>
      </c>
      <c r="S94" s="598"/>
      <c r="T94" s="598"/>
      <c r="U94" s="598"/>
      <c r="V94" s="598"/>
    </row>
    <row r="95" spans="1:22" s="407" customFormat="1">
      <c r="A95" s="614">
        <f t="shared" si="4"/>
        <v>20100801</v>
      </c>
      <c r="B95" s="610" t="s">
        <v>703</v>
      </c>
      <c r="C95" s="610" t="s">
        <v>363</v>
      </c>
      <c r="D95" s="667" t="str">
        <f t="shared" si="3"/>
        <v>20100801KUUM_485</v>
      </c>
      <c r="E95" s="611">
        <f t="shared" si="5"/>
        <v>27.38</v>
      </c>
      <c r="F95" s="668">
        <v>968</v>
      </c>
      <c r="G95" s="611">
        <v>1.25</v>
      </c>
      <c r="H95" s="611">
        <v>2.2200000000000002</v>
      </c>
      <c r="I95" s="611">
        <v>23.91</v>
      </c>
      <c r="J95" s="403" t="s">
        <v>272</v>
      </c>
      <c r="S95" s="598"/>
      <c r="T95" s="598"/>
      <c r="U95" s="598"/>
      <c r="V95" s="598"/>
    </row>
    <row r="96" spans="1:22" s="407" customFormat="1">
      <c r="A96" s="614">
        <f t="shared" si="4"/>
        <v>20100801</v>
      </c>
      <c r="B96" s="610" t="s">
        <v>79</v>
      </c>
      <c r="C96" s="615" t="s">
        <v>463</v>
      </c>
      <c r="D96" s="667" t="str">
        <f t="shared" si="3"/>
        <v>20100801KUUM_498</v>
      </c>
      <c r="E96" s="611">
        <v>15.91</v>
      </c>
      <c r="F96" s="668">
        <v>968</v>
      </c>
      <c r="G96" s="611">
        <v>1.25</v>
      </c>
      <c r="H96" s="611">
        <v>2.2200000000000002</v>
      </c>
      <c r="I96" s="611">
        <v>12.44</v>
      </c>
      <c r="J96" s="410" t="s">
        <v>431</v>
      </c>
      <c r="S96" s="598"/>
      <c r="T96" s="598"/>
      <c r="U96" s="598"/>
      <c r="V96" s="598"/>
    </row>
    <row r="97" spans="1:22" s="407" customFormat="1">
      <c r="A97" s="614">
        <f t="shared" si="4"/>
        <v>20100801</v>
      </c>
      <c r="B97" s="610" t="s">
        <v>703</v>
      </c>
      <c r="C97" s="610" t="s">
        <v>395</v>
      </c>
      <c r="D97" s="667" t="str">
        <f t="shared" si="3"/>
        <v>20100801KUUM_486</v>
      </c>
      <c r="E97" s="611">
        <f t="shared" si="5"/>
        <v>30.67</v>
      </c>
      <c r="F97" s="668">
        <v>1884</v>
      </c>
      <c r="G97" s="611">
        <v>1.83</v>
      </c>
      <c r="H97" s="611">
        <v>4.32</v>
      </c>
      <c r="I97" s="611">
        <v>24.520000000000003</v>
      </c>
      <c r="J97" s="403" t="s">
        <v>304</v>
      </c>
      <c r="S97" s="598"/>
      <c r="T97" s="598"/>
      <c r="U97" s="598"/>
      <c r="V97" s="598"/>
    </row>
    <row r="98" spans="1:22" s="407" customFormat="1">
      <c r="A98" s="614">
        <f t="shared" si="4"/>
        <v>20100801</v>
      </c>
      <c r="B98" s="610" t="s">
        <v>79</v>
      </c>
      <c r="C98" s="615" t="s">
        <v>653</v>
      </c>
      <c r="D98" s="667" t="str">
        <f t="shared" si="3"/>
        <v>20100801KUUM_499</v>
      </c>
      <c r="E98" s="611">
        <v>19.22</v>
      </c>
      <c r="F98" s="668">
        <v>1884</v>
      </c>
      <c r="G98" s="611">
        <v>1.83</v>
      </c>
      <c r="H98" s="611">
        <v>4.32</v>
      </c>
      <c r="I98" s="611">
        <v>13.07</v>
      </c>
      <c r="J98" s="410" t="s">
        <v>430</v>
      </c>
      <c r="S98" s="598"/>
      <c r="T98" s="598"/>
      <c r="U98" s="598"/>
      <c r="V98" s="598"/>
    </row>
    <row r="99" spans="1:22" s="407" customFormat="1">
      <c r="A99" s="614">
        <f t="shared" si="4"/>
        <v>20100801</v>
      </c>
      <c r="B99" s="610" t="s">
        <v>703</v>
      </c>
      <c r="C99" s="610" t="s">
        <v>415</v>
      </c>
      <c r="D99" s="667" t="str">
        <f t="shared" si="3"/>
        <v>20100801KUUM_487</v>
      </c>
      <c r="E99" s="611">
        <f t="shared" si="5"/>
        <v>8.01</v>
      </c>
      <c r="F99" s="668">
        <v>468</v>
      </c>
      <c r="G99" s="611">
        <v>0.75</v>
      </c>
      <c r="H99" s="611">
        <v>1.07</v>
      </c>
      <c r="I99" s="611">
        <v>6.1899999999999995</v>
      </c>
      <c r="J99" s="403" t="s">
        <v>324</v>
      </c>
      <c r="S99" s="598"/>
      <c r="T99" s="598"/>
      <c r="U99" s="598"/>
      <c r="V99" s="598"/>
    </row>
    <row r="100" spans="1:22">
      <c r="A100" s="614">
        <f t="shared" si="4"/>
        <v>20100801</v>
      </c>
      <c r="B100" s="610" t="s">
        <v>703</v>
      </c>
      <c r="C100" s="610" t="s">
        <v>365</v>
      </c>
      <c r="D100" s="667" t="str">
        <f t="shared" si="3"/>
        <v>20100801KUUM_488</v>
      </c>
      <c r="E100" s="611">
        <f t="shared" si="5"/>
        <v>11.99</v>
      </c>
      <c r="F100" s="668">
        <v>968</v>
      </c>
      <c r="G100" s="611">
        <v>1.25</v>
      </c>
      <c r="H100" s="611">
        <v>2.2200000000000002</v>
      </c>
      <c r="I100" s="611">
        <v>8.52</v>
      </c>
      <c r="J100" s="403" t="s">
        <v>274</v>
      </c>
    </row>
    <row r="101" spans="1:22">
      <c r="A101" s="614">
        <f t="shared" si="4"/>
        <v>20100801</v>
      </c>
      <c r="B101" s="610" t="s">
        <v>703</v>
      </c>
      <c r="C101" s="610" t="s">
        <v>397</v>
      </c>
      <c r="D101" s="667" t="str">
        <f t="shared" si="3"/>
        <v>20100801KUUM_489</v>
      </c>
      <c r="E101" s="611">
        <f t="shared" si="5"/>
        <v>17.25</v>
      </c>
      <c r="F101" s="668">
        <v>1884</v>
      </c>
      <c r="G101" s="611">
        <v>1.83</v>
      </c>
      <c r="H101" s="611">
        <v>4.32</v>
      </c>
      <c r="I101" s="611">
        <v>11.1</v>
      </c>
      <c r="J101" s="403" t="s">
        <v>306</v>
      </c>
    </row>
    <row r="102" spans="1:22">
      <c r="A102" s="614">
        <f t="shared" si="4"/>
        <v>20100801</v>
      </c>
      <c r="B102" s="610" t="s">
        <v>703</v>
      </c>
      <c r="C102" s="610" t="s">
        <v>337</v>
      </c>
      <c r="D102" s="667" t="str">
        <f t="shared" si="3"/>
        <v>20100801KUUM_490</v>
      </c>
      <c r="E102" s="611">
        <f t="shared" si="5"/>
        <v>13.55</v>
      </c>
      <c r="F102" s="668">
        <v>600</v>
      </c>
      <c r="G102" s="611">
        <v>1.38</v>
      </c>
      <c r="H102" s="611">
        <v>1.9</v>
      </c>
      <c r="I102" s="611">
        <v>10.270000000000001</v>
      </c>
      <c r="J102" s="403" t="s">
        <v>246</v>
      </c>
    </row>
    <row r="103" spans="1:22">
      <c r="A103" s="614">
        <f t="shared" si="4"/>
        <v>20100801</v>
      </c>
      <c r="B103" s="610" t="s">
        <v>703</v>
      </c>
      <c r="C103" s="610" t="s">
        <v>369</v>
      </c>
      <c r="D103" s="667" t="str">
        <f t="shared" si="3"/>
        <v>20100801KUUM_491</v>
      </c>
      <c r="E103" s="611">
        <f t="shared" si="5"/>
        <v>19.420000000000002</v>
      </c>
      <c r="F103" s="668">
        <v>1400</v>
      </c>
      <c r="G103" s="611">
        <v>1.79</v>
      </c>
      <c r="H103" s="611">
        <v>4.13</v>
      </c>
      <c r="I103" s="611">
        <v>13.500000000000004</v>
      </c>
      <c r="J103" s="403" t="s">
        <v>278</v>
      </c>
    </row>
    <row r="104" spans="1:22">
      <c r="A104" s="614">
        <f t="shared" si="4"/>
        <v>20100801</v>
      </c>
      <c r="B104" s="610" t="s">
        <v>703</v>
      </c>
      <c r="C104" s="610" t="s">
        <v>332</v>
      </c>
      <c r="D104" s="667" t="str">
        <f t="shared" si="3"/>
        <v>20100801KUUM_493</v>
      </c>
      <c r="E104" s="611">
        <f t="shared" si="5"/>
        <v>40.480000000000004</v>
      </c>
      <c r="F104" s="668">
        <v>4320</v>
      </c>
      <c r="G104" s="611">
        <v>3.59</v>
      </c>
      <c r="H104" s="611">
        <v>9.91</v>
      </c>
      <c r="I104" s="611">
        <v>26.98</v>
      </c>
      <c r="J104" s="403" t="s">
        <v>241</v>
      </c>
    </row>
    <row r="105" spans="1:22">
      <c r="A105" s="614">
        <f t="shared" si="4"/>
        <v>20100801</v>
      </c>
      <c r="B105" s="610" t="s">
        <v>703</v>
      </c>
      <c r="C105" s="610" t="s">
        <v>334</v>
      </c>
      <c r="D105" s="667" t="str">
        <f t="shared" si="3"/>
        <v>20100801KUUM_494</v>
      </c>
      <c r="E105" s="611">
        <f t="shared" si="5"/>
        <v>25.960000000000004</v>
      </c>
      <c r="F105" s="668">
        <v>600</v>
      </c>
      <c r="G105" s="611">
        <v>1.38</v>
      </c>
      <c r="H105" s="611">
        <v>1.9</v>
      </c>
      <c r="I105" s="611">
        <v>22.680000000000003</v>
      </c>
      <c r="J105" s="403" t="s">
        <v>243</v>
      </c>
    </row>
    <row r="106" spans="1:22">
      <c r="A106" s="614">
        <f t="shared" si="4"/>
        <v>20100801</v>
      </c>
      <c r="B106" s="610" t="s">
        <v>703</v>
      </c>
      <c r="C106" s="610" t="s">
        <v>366</v>
      </c>
      <c r="D106" s="667" t="str">
        <f t="shared" si="3"/>
        <v>20100801KUUM_495</v>
      </c>
      <c r="E106" s="611">
        <f t="shared" si="5"/>
        <v>31.83</v>
      </c>
      <c r="F106" s="668">
        <v>1400</v>
      </c>
      <c r="G106" s="611">
        <v>1.79</v>
      </c>
      <c r="H106" s="611">
        <v>4.13</v>
      </c>
      <c r="I106" s="611">
        <v>25.91</v>
      </c>
      <c r="J106" s="403" t="s">
        <v>275</v>
      </c>
    </row>
    <row r="107" spans="1:22">
      <c r="A107" s="614">
        <f t="shared" si="4"/>
        <v>20100801</v>
      </c>
      <c r="B107" s="610" t="s">
        <v>703</v>
      </c>
      <c r="C107" s="610" t="s">
        <v>329</v>
      </c>
      <c r="D107" s="667" t="str">
        <f t="shared" si="3"/>
        <v>20100801KUUM_496</v>
      </c>
      <c r="E107" s="611">
        <f t="shared" si="5"/>
        <v>52.89</v>
      </c>
      <c r="F107" s="668">
        <v>4320</v>
      </c>
      <c r="G107" s="611">
        <v>3.59</v>
      </c>
      <c r="H107" s="611">
        <v>9.91</v>
      </c>
      <c r="I107" s="611">
        <v>39.39</v>
      </c>
      <c r="J107" s="404" t="s">
        <v>238</v>
      </c>
    </row>
    <row r="108" spans="1:22">
      <c r="A108" s="624">
        <v>20110701</v>
      </c>
      <c r="B108" s="620" t="s">
        <v>745</v>
      </c>
      <c r="C108" s="625" t="s">
        <v>432</v>
      </c>
      <c r="D108" s="621" t="str">
        <f t="shared" si="3"/>
        <v>20110701KUUM_300</v>
      </c>
      <c r="E108" s="622">
        <f t="shared" si="5"/>
        <v>21.03</v>
      </c>
      <c r="F108" s="669">
        <v>200</v>
      </c>
      <c r="G108" s="622">
        <v>0.73</v>
      </c>
      <c r="H108" s="622">
        <v>0.54</v>
      </c>
      <c r="I108" s="622">
        <v>19.760000000000002</v>
      </c>
      <c r="J108" s="670" t="s">
        <v>434</v>
      </c>
      <c r="K108" s="622"/>
      <c r="L108" s="622"/>
      <c r="M108" s="622"/>
      <c r="N108" s="404"/>
      <c r="O108" s="404"/>
      <c r="P108" s="404"/>
      <c r="Q108" s="599"/>
      <c r="R108" s="599"/>
    </row>
    <row r="109" spans="1:22">
      <c r="A109" s="624">
        <f t="shared" ref="A109:A177" si="6">A108</f>
        <v>20110701</v>
      </c>
      <c r="B109" s="620" t="s">
        <v>745</v>
      </c>
      <c r="C109" s="625" t="s">
        <v>433</v>
      </c>
      <c r="D109" s="621" t="str">
        <f t="shared" si="3"/>
        <v>20110701KUUM_301</v>
      </c>
      <c r="E109" s="622">
        <f t="shared" si="5"/>
        <v>21.93</v>
      </c>
      <c r="F109" s="669">
        <v>400</v>
      </c>
      <c r="G109" s="622">
        <v>0.75</v>
      </c>
      <c r="H109" s="622">
        <v>1.04</v>
      </c>
      <c r="I109" s="622">
        <v>20.14</v>
      </c>
      <c r="J109" s="671" t="s">
        <v>435</v>
      </c>
      <c r="K109" s="622"/>
      <c r="L109" s="622"/>
      <c r="M109" s="622"/>
      <c r="N109" s="404"/>
      <c r="O109" s="404"/>
      <c r="P109" s="404"/>
      <c r="Q109" s="599"/>
      <c r="R109" s="599"/>
    </row>
    <row r="110" spans="1:22">
      <c r="A110" s="624">
        <f t="shared" si="6"/>
        <v>20110701</v>
      </c>
      <c r="B110" s="620" t="s">
        <v>702</v>
      </c>
      <c r="C110" s="620" t="s">
        <v>339</v>
      </c>
      <c r="D110" s="621" t="str">
        <f t="shared" si="3"/>
        <v>20110701KUUM_360</v>
      </c>
      <c r="E110" s="622">
        <f t="shared" si="5"/>
        <v>49.290000000000006</v>
      </c>
      <c r="F110" s="669">
        <v>724</v>
      </c>
      <c r="G110" s="622">
        <v>5.44</v>
      </c>
      <c r="H110" s="622">
        <v>1.61</v>
      </c>
      <c r="I110" s="622">
        <v>42.240000000000009</v>
      </c>
      <c r="J110" s="670" t="s">
        <v>248</v>
      </c>
      <c r="K110" s="622"/>
      <c r="L110" s="622"/>
      <c r="M110" s="622"/>
      <c r="N110" s="404"/>
      <c r="O110" s="404"/>
      <c r="P110" s="404"/>
      <c r="Q110" s="599"/>
      <c r="R110" s="599"/>
    </row>
    <row r="111" spans="1:22">
      <c r="A111" s="624">
        <f t="shared" si="6"/>
        <v>20110701</v>
      </c>
      <c r="B111" s="620" t="s">
        <v>702</v>
      </c>
      <c r="C111" s="620" t="s">
        <v>344</v>
      </c>
      <c r="D111" s="621" t="str">
        <f t="shared" si="3"/>
        <v>20110701KUUM_361</v>
      </c>
      <c r="E111" s="622">
        <f t="shared" si="5"/>
        <v>76.070000000000007</v>
      </c>
      <c r="F111" s="669">
        <v>724</v>
      </c>
      <c r="G111" s="622">
        <v>5.44</v>
      </c>
      <c r="H111" s="622">
        <v>1.61</v>
      </c>
      <c r="I111" s="622">
        <v>69.02000000000001</v>
      </c>
      <c r="J111" s="670" t="s">
        <v>253</v>
      </c>
      <c r="K111" s="622"/>
      <c r="L111" s="622"/>
      <c r="M111" s="622"/>
      <c r="N111" s="404"/>
      <c r="O111" s="404"/>
      <c r="P111" s="404"/>
      <c r="Q111" s="599"/>
      <c r="R111" s="599"/>
    </row>
    <row r="112" spans="1:22">
      <c r="A112" s="624">
        <f t="shared" si="6"/>
        <v>20110701</v>
      </c>
      <c r="B112" s="620" t="s">
        <v>702</v>
      </c>
      <c r="C112" s="620" t="s">
        <v>347</v>
      </c>
      <c r="D112" s="621" t="str">
        <f t="shared" si="3"/>
        <v>20110701KUUM_362</v>
      </c>
      <c r="E112" s="622">
        <f t="shared" si="5"/>
        <v>53.570000000000007</v>
      </c>
      <c r="F112" s="669">
        <v>724</v>
      </c>
      <c r="G112" s="622">
        <v>5.44</v>
      </c>
      <c r="H112" s="622">
        <v>1.61</v>
      </c>
      <c r="I112" s="622">
        <v>46.52</v>
      </c>
      <c r="J112" s="670" t="s">
        <v>256</v>
      </c>
      <c r="K112" s="622"/>
      <c r="L112" s="622"/>
      <c r="M112" s="622"/>
      <c r="N112" s="599"/>
      <c r="O112" s="599"/>
      <c r="P112" s="599"/>
      <c r="Q112" s="599"/>
      <c r="R112" s="599"/>
    </row>
    <row r="113" spans="1:22">
      <c r="A113" s="624">
        <f t="shared" si="6"/>
        <v>20110701</v>
      </c>
      <c r="B113" s="620" t="s">
        <v>702</v>
      </c>
      <c r="C113" s="620" t="s">
        <v>348</v>
      </c>
      <c r="D113" s="621" t="str">
        <f t="shared" si="3"/>
        <v>20110701KUUM_363</v>
      </c>
      <c r="E113" s="622">
        <f t="shared" si="5"/>
        <v>55.470000000000013</v>
      </c>
      <c r="F113" s="669">
        <v>724</v>
      </c>
      <c r="G113" s="622">
        <v>5.44</v>
      </c>
      <c r="H113" s="622">
        <v>1.61</v>
      </c>
      <c r="I113" s="622">
        <v>48.420000000000009</v>
      </c>
      <c r="J113" s="670" t="s">
        <v>257</v>
      </c>
      <c r="K113" s="670"/>
      <c r="L113" s="670"/>
      <c r="M113" s="670"/>
    </row>
    <row r="114" spans="1:22">
      <c r="A114" s="624">
        <f t="shared" si="6"/>
        <v>20110701</v>
      </c>
      <c r="B114" s="620" t="s">
        <v>702</v>
      </c>
      <c r="C114" s="620" t="s">
        <v>349</v>
      </c>
      <c r="D114" s="621" t="str">
        <f t="shared" si="3"/>
        <v>20110701KUUM_364</v>
      </c>
      <c r="E114" s="622">
        <f t="shared" si="5"/>
        <v>56.78</v>
      </c>
      <c r="F114" s="669">
        <v>724</v>
      </c>
      <c r="G114" s="622">
        <v>5.44</v>
      </c>
      <c r="H114" s="622">
        <v>1.61</v>
      </c>
      <c r="I114" s="622">
        <v>49.730000000000004</v>
      </c>
      <c r="J114" s="670" t="s">
        <v>258</v>
      </c>
      <c r="K114" s="670"/>
      <c r="L114" s="670"/>
      <c r="M114" s="670"/>
    </row>
    <row r="115" spans="1:22">
      <c r="A115" s="624">
        <f t="shared" si="6"/>
        <v>20110701</v>
      </c>
      <c r="B115" s="620" t="s">
        <v>702</v>
      </c>
      <c r="C115" s="620" t="s">
        <v>351</v>
      </c>
      <c r="D115" s="621" t="str">
        <f t="shared" si="3"/>
        <v>20110701KUUM_365</v>
      </c>
      <c r="E115" s="622">
        <f t="shared" si="5"/>
        <v>73.930000000000007</v>
      </c>
      <c r="F115" s="669">
        <v>724</v>
      </c>
      <c r="G115" s="622">
        <v>5.44</v>
      </c>
      <c r="H115" s="622">
        <v>1.61</v>
      </c>
      <c r="I115" s="622">
        <v>66.88000000000001</v>
      </c>
      <c r="J115" s="670" t="s">
        <v>260</v>
      </c>
      <c r="K115" s="670"/>
      <c r="L115" s="670"/>
      <c r="M115" s="670"/>
    </row>
    <row r="116" spans="1:22">
      <c r="A116" s="624">
        <f t="shared" si="6"/>
        <v>20110701</v>
      </c>
      <c r="B116" s="620" t="s">
        <v>702</v>
      </c>
      <c r="C116" s="620" t="s">
        <v>352</v>
      </c>
      <c r="D116" s="621" t="str">
        <f t="shared" si="3"/>
        <v>20110701KUUM_366</v>
      </c>
      <c r="E116" s="622">
        <f t="shared" si="5"/>
        <v>72.03</v>
      </c>
      <c r="F116" s="669">
        <v>724</v>
      </c>
      <c r="G116" s="622">
        <v>5.44</v>
      </c>
      <c r="H116" s="622">
        <v>1.61</v>
      </c>
      <c r="I116" s="622">
        <v>64.98</v>
      </c>
      <c r="J116" s="670" t="s">
        <v>261</v>
      </c>
      <c r="K116" s="670"/>
      <c r="L116" s="670"/>
      <c r="M116" s="670"/>
    </row>
    <row r="117" spans="1:22" s="407" customFormat="1">
      <c r="A117" s="624">
        <f t="shared" si="6"/>
        <v>20110701</v>
      </c>
      <c r="B117" s="620" t="s">
        <v>702</v>
      </c>
      <c r="C117" s="620" t="s">
        <v>354</v>
      </c>
      <c r="D117" s="621" t="str">
        <f t="shared" si="3"/>
        <v>20110701KUUM_367</v>
      </c>
      <c r="E117" s="622">
        <f t="shared" si="5"/>
        <v>54.970000000000013</v>
      </c>
      <c r="F117" s="669">
        <v>724</v>
      </c>
      <c r="G117" s="622">
        <v>5.44</v>
      </c>
      <c r="H117" s="622">
        <v>1.61</v>
      </c>
      <c r="I117" s="622">
        <v>47.920000000000009</v>
      </c>
      <c r="J117" s="670" t="s">
        <v>263</v>
      </c>
      <c r="K117" s="670"/>
      <c r="L117" s="670"/>
      <c r="M117" s="670"/>
      <c r="S117" s="598"/>
      <c r="T117" s="598"/>
      <c r="U117" s="598"/>
      <c r="V117" s="598"/>
    </row>
    <row r="118" spans="1:22" s="407" customFormat="1">
      <c r="A118" s="624">
        <f t="shared" si="6"/>
        <v>20110701</v>
      </c>
      <c r="B118" s="620" t="s">
        <v>702</v>
      </c>
      <c r="C118" s="620" t="s">
        <v>355</v>
      </c>
      <c r="D118" s="621" t="str">
        <f t="shared" si="3"/>
        <v>20110701KUUM_368</v>
      </c>
      <c r="E118" s="622">
        <f t="shared" si="5"/>
        <v>50.600000000000009</v>
      </c>
      <c r="F118" s="669">
        <v>724</v>
      </c>
      <c r="G118" s="622">
        <v>5.44</v>
      </c>
      <c r="H118" s="622">
        <v>1.61</v>
      </c>
      <c r="I118" s="622">
        <v>43.550000000000004</v>
      </c>
      <c r="J118" s="670" t="s">
        <v>264</v>
      </c>
      <c r="K118" s="670"/>
      <c r="L118" s="670"/>
      <c r="M118" s="670"/>
      <c r="S118" s="598"/>
      <c r="T118" s="598"/>
      <c r="U118" s="598"/>
      <c r="V118" s="598"/>
    </row>
    <row r="119" spans="1:22" s="407" customFormat="1">
      <c r="A119" s="624">
        <f t="shared" si="6"/>
        <v>20110701</v>
      </c>
      <c r="B119" s="620" t="s">
        <v>702</v>
      </c>
      <c r="C119" s="620" t="s">
        <v>341</v>
      </c>
      <c r="D119" s="621" t="str">
        <f t="shared" si="3"/>
        <v>20110701KUUM_370</v>
      </c>
      <c r="E119" s="622">
        <f t="shared" si="5"/>
        <v>67.75</v>
      </c>
      <c r="F119" s="669">
        <v>724</v>
      </c>
      <c r="G119" s="622">
        <v>5.44</v>
      </c>
      <c r="H119" s="622">
        <v>1.61</v>
      </c>
      <c r="I119" s="622">
        <v>60.7</v>
      </c>
      <c r="J119" s="670" t="s">
        <v>250</v>
      </c>
      <c r="K119" s="670"/>
      <c r="L119" s="670"/>
      <c r="M119" s="670"/>
      <c r="S119" s="598"/>
      <c r="T119" s="598"/>
      <c r="U119" s="598"/>
      <c r="V119" s="598"/>
    </row>
    <row r="120" spans="1:22" s="407" customFormat="1">
      <c r="A120" s="624">
        <f t="shared" si="6"/>
        <v>20110701</v>
      </c>
      <c r="B120" s="620" t="s">
        <v>702</v>
      </c>
      <c r="C120" s="620" t="s">
        <v>350</v>
      </c>
      <c r="D120" s="621" t="str">
        <f t="shared" si="3"/>
        <v>20110701KUUM_372</v>
      </c>
      <c r="E120" s="622">
        <f t="shared" si="5"/>
        <v>75.240000000000009</v>
      </c>
      <c r="F120" s="669">
        <v>724</v>
      </c>
      <c r="G120" s="622">
        <v>5.44</v>
      </c>
      <c r="H120" s="622">
        <v>1.61</v>
      </c>
      <c r="I120" s="622">
        <v>68.190000000000012</v>
      </c>
      <c r="J120" s="670" t="s">
        <v>259</v>
      </c>
      <c r="K120" s="670"/>
      <c r="L120" s="670"/>
      <c r="M120" s="670"/>
      <c r="S120" s="598"/>
      <c r="T120" s="598"/>
      <c r="U120" s="598"/>
      <c r="V120" s="598"/>
    </row>
    <row r="121" spans="1:22" s="407" customFormat="1">
      <c r="A121" s="624">
        <f t="shared" si="6"/>
        <v>20110701</v>
      </c>
      <c r="B121" s="620" t="s">
        <v>702</v>
      </c>
      <c r="C121" s="620" t="s">
        <v>342</v>
      </c>
      <c r="D121" s="621" t="str">
        <f t="shared" si="3"/>
        <v>20110701KUUM_373</v>
      </c>
      <c r="E121" s="622">
        <f t="shared" si="5"/>
        <v>67.75</v>
      </c>
      <c r="F121" s="669">
        <v>724</v>
      </c>
      <c r="G121" s="622">
        <v>5.44</v>
      </c>
      <c r="H121" s="622">
        <v>1.61</v>
      </c>
      <c r="I121" s="622">
        <v>60.7</v>
      </c>
      <c r="J121" s="670" t="s">
        <v>251</v>
      </c>
      <c r="K121" s="670"/>
      <c r="L121" s="670"/>
      <c r="M121" s="670"/>
      <c r="S121" s="598"/>
      <c r="T121" s="598"/>
      <c r="U121" s="598"/>
      <c r="V121" s="598"/>
    </row>
    <row r="122" spans="1:22" s="407" customFormat="1">
      <c r="A122" s="624">
        <f t="shared" si="6"/>
        <v>20110701</v>
      </c>
      <c r="B122" s="620" t="s">
        <v>702</v>
      </c>
      <c r="C122" s="620" t="s">
        <v>346</v>
      </c>
      <c r="D122" s="621" t="str">
        <f t="shared" si="3"/>
        <v>20110701KUUM_374</v>
      </c>
      <c r="E122" s="622">
        <f t="shared" si="5"/>
        <v>69.06</v>
      </c>
      <c r="F122" s="669">
        <v>724</v>
      </c>
      <c r="G122" s="622">
        <v>5.44</v>
      </c>
      <c r="H122" s="622">
        <v>1.61</v>
      </c>
      <c r="I122" s="622">
        <v>62.010000000000005</v>
      </c>
      <c r="J122" s="670" t="s">
        <v>255</v>
      </c>
      <c r="K122" s="670"/>
      <c r="L122" s="670"/>
      <c r="M122" s="670"/>
      <c r="S122" s="598"/>
      <c r="T122" s="598"/>
      <c r="U122" s="598"/>
      <c r="V122" s="598"/>
    </row>
    <row r="123" spans="1:22" s="407" customFormat="1">
      <c r="A123" s="624">
        <f t="shared" si="6"/>
        <v>20110701</v>
      </c>
      <c r="B123" s="620" t="s">
        <v>702</v>
      </c>
      <c r="C123" s="620" t="s">
        <v>353</v>
      </c>
      <c r="D123" s="621" t="str">
        <f t="shared" si="3"/>
        <v>20110701KUUM_375</v>
      </c>
      <c r="E123" s="622">
        <f t="shared" si="5"/>
        <v>72.03</v>
      </c>
      <c r="F123" s="669">
        <v>724</v>
      </c>
      <c r="G123" s="622">
        <v>5.44</v>
      </c>
      <c r="H123" s="622">
        <v>1.61</v>
      </c>
      <c r="I123" s="622">
        <v>64.98</v>
      </c>
      <c r="J123" s="670" t="s">
        <v>262</v>
      </c>
      <c r="K123" s="670"/>
      <c r="L123" s="670"/>
      <c r="M123" s="670"/>
      <c r="S123" s="598"/>
      <c r="T123" s="598"/>
      <c r="U123" s="598"/>
      <c r="V123" s="598"/>
    </row>
    <row r="124" spans="1:22" s="407" customFormat="1">
      <c r="A124" s="624">
        <f t="shared" si="6"/>
        <v>20110701</v>
      </c>
      <c r="B124" s="620" t="s">
        <v>702</v>
      </c>
      <c r="C124" s="620" t="s">
        <v>345</v>
      </c>
      <c r="D124" s="621" t="str">
        <f t="shared" si="3"/>
        <v>20110701KUUM_376</v>
      </c>
      <c r="E124" s="622">
        <f t="shared" si="5"/>
        <v>70.39</v>
      </c>
      <c r="F124" s="669">
        <v>724</v>
      </c>
      <c r="G124" s="622">
        <v>5.44</v>
      </c>
      <c r="H124" s="622">
        <v>1.61</v>
      </c>
      <c r="I124" s="622">
        <v>63.34</v>
      </c>
      <c r="J124" s="670" t="s">
        <v>254</v>
      </c>
      <c r="K124" s="670"/>
      <c r="L124" s="670"/>
      <c r="M124" s="670"/>
      <c r="S124" s="598"/>
      <c r="T124" s="598"/>
      <c r="U124" s="598"/>
      <c r="V124" s="598"/>
    </row>
    <row r="125" spans="1:22" s="407" customFormat="1">
      <c r="A125" s="624">
        <f t="shared" si="6"/>
        <v>20110701</v>
      </c>
      <c r="B125" s="620" t="s">
        <v>702</v>
      </c>
      <c r="C125" s="620" t="s">
        <v>343</v>
      </c>
      <c r="D125" s="621" t="str">
        <f t="shared" si="3"/>
        <v>20110701KUUM_377</v>
      </c>
      <c r="E125" s="622">
        <f t="shared" si="5"/>
        <v>57.81</v>
      </c>
      <c r="F125" s="669">
        <v>724</v>
      </c>
      <c r="G125" s="622">
        <v>5.44</v>
      </c>
      <c r="H125" s="622">
        <v>1.61</v>
      </c>
      <c r="I125" s="622">
        <v>50.760000000000005</v>
      </c>
      <c r="J125" s="670" t="s">
        <v>252</v>
      </c>
      <c r="K125" s="670"/>
      <c r="L125" s="670"/>
      <c r="M125" s="670"/>
      <c r="S125" s="598"/>
      <c r="T125" s="598"/>
      <c r="U125" s="598"/>
      <c r="V125" s="598"/>
    </row>
    <row r="126" spans="1:22" s="407" customFormat="1">
      <c r="A126" s="624">
        <f t="shared" si="6"/>
        <v>20110701</v>
      </c>
      <c r="B126" s="620" t="s">
        <v>702</v>
      </c>
      <c r="C126" s="625" t="s">
        <v>472</v>
      </c>
      <c r="D126" s="621" t="str">
        <f t="shared" si="3"/>
        <v>20110701KUUM_378</v>
      </c>
      <c r="E126" s="622">
        <f t="shared" si="5"/>
        <v>69.08</v>
      </c>
      <c r="F126" s="669">
        <v>724</v>
      </c>
      <c r="G126" s="622">
        <v>5.44</v>
      </c>
      <c r="H126" s="622">
        <v>1.61</v>
      </c>
      <c r="I126" s="622">
        <v>62.03</v>
      </c>
      <c r="J126" s="671" t="s">
        <v>471</v>
      </c>
      <c r="K126" s="670"/>
      <c r="L126" s="670"/>
      <c r="M126" s="670"/>
      <c r="S126" s="598"/>
      <c r="T126" s="598"/>
      <c r="U126" s="598"/>
      <c r="V126" s="598"/>
    </row>
    <row r="127" spans="1:22" s="407" customFormat="1">
      <c r="A127" s="624">
        <f t="shared" si="6"/>
        <v>20110701</v>
      </c>
      <c r="B127" s="620" t="s">
        <v>702</v>
      </c>
      <c r="C127" s="625" t="s">
        <v>645</v>
      </c>
      <c r="D127" s="621" t="str">
        <f t="shared" si="3"/>
        <v>20110701KUUM_379</v>
      </c>
      <c r="E127" s="622">
        <f t="shared" si="5"/>
        <v>73.83</v>
      </c>
      <c r="F127" s="669">
        <v>724</v>
      </c>
      <c r="G127" s="622">
        <v>5.44</v>
      </c>
      <c r="H127" s="622">
        <v>1.61</v>
      </c>
      <c r="I127" s="622">
        <v>66.78</v>
      </c>
      <c r="J127" s="671" t="s">
        <v>751</v>
      </c>
      <c r="K127" s="670"/>
      <c r="L127" s="670"/>
      <c r="M127" s="670"/>
      <c r="S127" s="598"/>
      <c r="T127" s="598"/>
      <c r="U127" s="598"/>
      <c r="V127" s="598"/>
    </row>
    <row r="128" spans="1:22" s="407" customFormat="1">
      <c r="A128" s="624">
        <f t="shared" si="6"/>
        <v>20110701</v>
      </c>
      <c r="B128" s="620" t="s">
        <v>702</v>
      </c>
      <c r="C128" s="625" t="s">
        <v>646</v>
      </c>
      <c r="D128" s="621" t="str">
        <f t="shared" si="3"/>
        <v>20110701KUUM_380</v>
      </c>
      <c r="E128" s="622">
        <f t="shared" si="5"/>
        <v>77.599999999999994</v>
      </c>
      <c r="F128" s="669">
        <v>724</v>
      </c>
      <c r="G128" s="622">
        <v>5.44</v>
      </c>
      <c r="H128" s="622">
        <v>1.61</v>
      </c>
      <c r="I128" s="622">
        <v>70.55</v>
      </c>
      <c r="J128" s="671" t="s">
        <v>752</v>
      </c>
      <c r="K128" s="670"/>
      <c r="L128" s="670"/>
      <c r="M128" s="670"/>
      <c r="S128" s="598"/>
      <c r="T128" s="598"/>
      <c r="U128" s="598"/>
      <c r="V128" s="598"/>
    </row>
    <row r="129" spans="1:22" s="407" customFormat="1">
      <c r="A129" s="624">
        <f t="shared" si="6"/>
        <v>20110701</v>
      </c>
      <c r="B129" s="620" t="s">
        <v>702</v>
      </c>
      <c r="C129" s="625" t="s">
        <v>647</v>
      </c>
      <c r="D129" s="621" t="str">
        <f t="shared" si="3"/>
        <v>20110701KUUM_381</v>
      </c>
      <c r="E129" s="622">
        <f t="shared" si="5"/>
        <v>78.91</v>
      </c>
      <c r="F129" s="669">
        <v>724</v>
      </c>
      <c r="G129" s="622">
        <v>5.44</v>
      </c>
      <c r="H129" s="622">
        <v>1.61</v>
      </c>
      <c r="I129" s="622">
        <v>71.86</v>
      </c>
      <c r="J129" s="671" t="s">
        <v>753</v>
      </c>
      <c r="K129" s="670"/>
      <c r="L129" s="670"/>
      <c r="M129" s="670"/>
      <c r="S129" s="598"/>
      <c r="T129" s="598"/>
      <c r="U129" s="598"/>
      <c r="V129" s="598"/>
    </row>
    <row r="130" spans="1:22" s="407" customFormat="1">
      <c r="A130" s="624">
        <f t="shared" si="6"/>
        <v>20110701</v>
      </c>
      <c r="B130" s="620" t="s">
        <v>702</v>
      </c>
      <c r="C130" s="625" t="s">
        <v>648</v>
      </c>
      <c r="D130" s="621" t="str">
        <f t="shared" si="3"/>
        <v>20110701KUUM_382</v>
      </c>
      <c r="E130" s="622">
        <f t="shared" si="5"/>
        <v>76.12</v>
      </c>
      <c r="F130" s="669">
        <v>724</v>
      </c>
      <c r="G130" s="622">
        <v>5.44</v>
      </c>
      <c r="H130" s="622">
        <v>1.61</v>
      </c>
      <c r="I130" s="622">
        <v>69.070000000000007</v>
      </c>
      <c r="J130" s="671" t="s">
        <v>754</v>
      </c>
      <c r="K130" s="670"/>
      <c r="L130" s="670"/>
      <c r="M130" s="670"/>
      <c r="S130" s="598"/>
      <c r="T130" s="598"/>
      <c r="U130" s="598"/>
      <c r="V130" s="598"/>
    </row>
    <row r="131" spans="1:22" s="407" customFormat="1">
      <c r="A131" s="624">
        <f t="shared" si="6"/>
        <v>20110701</v>
      </c>
      <c r="B131" s="620" t="s">
        <v>703</v>
      </c>
      <c r="C131" s="620" t="s">
        <v>340</v>
      </c>
      <c r="D131" s="621" t="str">
        <f t="shared" si="3"/>
        <v>20110701KUUM_395</v>
      </c>
      <c r="E131" s="622">
        <f t="shared" si="5"/>
        <v>49.290000000000006</v>
      </c>
      <c r="F131" s="669">
        <v>724</v>
      </c>
      <c r="G131" s="622">
        <v>5.44</v>
      </c>
      <c r="H131" s="622">
        <v>1.61</v>
      </c>
      <c r="I131" s="622">
        <v>42.240000000000009</v>
      </c>
      <c r="J131" s="670" t="s">
        <v>249</v>
      </c>
      <c r="K131" s="670"/>
      <c r="L131" s="670"/>
      <c r="M131" s="670"/>
      <c r="S131" s="598"/>
      <c r="T131" s="598"/>
      <c r="U131" s="598"/>
      <c r="V131" s="598"/>
    </row>
    <row r="132" spans="1:22" s="407" customFormat="1">
      <c r="A132" s="624">
        <f t="shared" si="6"/>
        <v>20110701</v>
      </c>
      <c r="B132" s="620" t="s">
        <v>702</v>
      </c>
      <c r="C132" s="625" t="s">
        <v>426</v>
      </c>
      <c r="D132" s="621" t="str">
        <f t="shared" si="3"/>
        <v>20110701KUUM_400</v>
      </c>
      <c r="E132" s="622">
        <f t="shared" si="5"/>
        <v>12.489999999999998</v>
      </c>
      <c r="F132" s="669">
        <v>240</v>
      </c>
      <c r="G132" s="622">
        <v>0.73</v>
      </c>
      <c r="H132" s="622">
        <v>0.53</v>
      </c>
      <c r="I132" s="622">
        <v>11.229999999999999</v>
      </c>
      <c r="J132" s="671" t="s">
        <v>427</v>
      </c>
      <c r="K132" s="670"/>
      <c r="L132" s="670"/>
      <c r="M132" s="670"/>
      <c r="S132" s="598"/>
      <c r="T132" s="598"/>
      <c r="U132" s="598"/>
      <c r="V132" s="598"/>
    </row>
    <row r="133" spans="1:22" s="407" customFormat="1">
      <c r="A133" s="624">
        <f t="shared" si="6"/>
        <v>20110701</v>
      </c>
      <c r="B133" s="620" t="s">
        <v>702</v>
      </c>
      <c r="C133" s="620" t="s">
        <v>382</v>
      </c>
      <c r="D133" s="621" t="str">
        <f t="shared" si="3"/>
        <v>20110701KUUM_401</v>
      </c>
      <c r="E133" s="622">
        <f t="shared" si="5"/>
        <v>13.48</v>
      </c>
      <c r="F133" s="669">
        <v>332</v>
      </c>
      <c r="G133" s="622">
        <v>0.94</v>
      </c>
      <c r="H133" s="622">
        <v>0.74</v>
      </c>
      <c r="I133" s="622">
        <v>11.8</v>
      </c>
      <c r="J133" s="670" t="s">
        <v>291</v>
      </c>
      <c r="K133" s="670"/>
      <c r="L133" s="670"/>
      <c r="M133" s="670"/>
      <c r="S133" s="598"/>
      <c r="T133" s="598"/>
      <c r="U133" s="598"/>
      <c r="V133" s="598"/>
    </row>
    <row r="134" spans="1:22" s="407" customFormat="1">
      <c r="A134" s="624">
        <f t="shared" si="6"/>
        <v>20110701</v>
      </c>
      <c r="B134" s="620" t="s">
        <v>703</v>
      </c>
      <c r="C134" s="620" t="s">
        <v>402</v>
      </c>
      <c r="D134" s="621" t="str">
        <f t="shared" si="3"/>
        <v>20110701KUUM_404</v>
      </c>
      <c r="E134" s="622">
        <f t="shared" si="5"/>
        <v>9.4600000000000009</v>
      </c>
      <c r="F134" s="669">
        <v>828</v>
      </c>
      <c r="G134" s="622">
        <v>0.95</v>
      </c>
      <c r="H134" s="622">
        <v>1.84</v>
      </c>
      <c r="I134" s="622">
        <v>6.67</v>
      </c>
      <c r="J134" s="670" t="s">
        <v>311</v>
      </c>
      <c r="K134" s="670"/>
      <c r="L134" s="670"/>
      <c r="M134" s="670"/>
      <c r="S134" s="598"/>
      <c r="T134" s="598"/>
      <c r="U134" s="598"/>
      <c r="V134" s="598"/>
    </row>
    <row r="135" spans="1:22" s="407" customFormat="1">
      <c r="A135" s="624">
        <f>A133</f>
        <v>20110701</v>
      </c>
      <c r="B135" s="620" t="s">
        <v>703</v>
      </c>
      <c r="C135" s="620" t="s">
        <v>358</v>
      </c>
      <c r="D135" s="621" t="str">
        <f>A135&amp;C135</f>
        <v>20110701KUUM_405</v>
      </c>
      <c r="E135" s="622">
        <f>SUM(G135:I135)</f>
        <v>12.219999999999999</v>
      </c>
      <c r="F135" s="669">
        <v>1812</v>
      </c>
      <c r="G135" s="622">
        <v>1.24</v>
      </c>
      <c r="H135" s="622">
        <v>4.03</v>
      </c>
      <c r="I135" s="622">
        <v>6.9499999999999993</v>
      </c>
      <c r="J135" s="670" t="s">
        <v>267</v>
      </c>
      <c r="K135" s="670"/>
      <c r="L135" s="670"/>
      <c r="M135" s="670"/>
      <c r="S135" s="598"/>
      <c r="T135" s="598"/>
      <c r="U135" s="598"/>
      <c r="V135" s="598"/>
    </row>
    <row r="136" spans="1:22" s="407" customFormat="1">
      <c r="A136" s="624">
        <f>A134</f>
        <v>20110701</v>
      </c>
      <c r="B136" s="620" t="s">
        <v>703</v>
      </c>
      <c r="C136" s="625" t="s">
        <v>730</v>
      </c>
      <c r="D136" s="621" t="str">
        <f t="shared" si="3"/>
        <v>20110701KUUM_406</v>
      </c>
      <c r="E136" s="622">
        <v>9.82</v>
      </c>
      <c r="F136" s="669">
        <v>828</v>
      </c>
      <c r="G136" s="622">
        <v>0.95</v>
      </c>
      <c r="H136" s="622">
        <v>1.84</v>
      </c>
      <c r="I136" s="622">
        <v>7.03</v>
      </c>
      <c r="J136" s="672" t="s">
        <v>729</v>
      </c>
      <c r="K136" s="670"/>
      <c r="L136" s="670"/>
      <c r="M136" s="670"/>
      <c r="S136" s="598"/>
      <c r="T136" s="598"/>
      <c r="U136" s="598"/>
      <c r="V136" s="598"/>
    </row>
    <row r="137" spans="1:22" s="407" customFormat="1">
      <c r="A137" s="624">
        <f t="shared" si="6"/>
        <v>20110701</v>
      </c>
      <c r="B137" s="620" t="s">
        <v>703</v>
      </c>
      <c r="C137" s="620" t="s">
        <v>394</v>
      </c>
      <c r="D137" s="621" t="str">
        <f t="shared" ref="D137:D200" si="7">A137&amp;C137</f>
        <v>20110701KUUM_407</v>
      </c>
      <c r="E137" s="622">
        <f t="shared" si="5"/>
        <v>20.36</v>
      </c>
      <c r="F137" s="669">
        <v>1884</v>
      </c>
      <c r="G137" s="622">
        <v>1.83</v>
      </c>
      <c r="H137" s="622">
        <v>4.18</v>
      </c>
      <c r="I137" s="622">
        <v>14.350000000000001</v>
      </c>
      <c r="J137" s="670" t="s">
        <v>303</v>
      </c>
      <c r="K137" s="670"/>
      <c r="L137" s="670"/>
      <c r="M137" s="670"/>
      <c r="S137" s="598"/>
      <c r="T137" s="598"/>
      <c r="U137" s="598"/>
      <c r="V137" s="598"/>
    </row>
    <row r="138" spans="1:22" s="407" customFormat="1">
      <c r="A138" s="624">
        <f t="shared" si="6"/>
        <v>20110701</v>
      </c>
      <c r="B138" s="620" t="s">
        <v>703</v>
      </c>
      <c r="C138" s="620" t="s">
        <v>359</v>
      </c>
      <c r="D138" s="621" t="str">
        <f t="shared" si="7"/>
        <v>20110701KUUM_408</v>
      </c>
      <c r="E138" s="622">
        <f t="shared" ref="E138:E200" si="8">SUM(G138:I138)</f>
        <v>7.5</v>
      </c>
      <c r="F138" s="669">
        <v>1812</v>
      </c>
      <c r="G138" s="622">
        <v>1.24</v>
      </c>
      <c r="H138" s="622">
        <v>4.03</v>
      </c>
      <c r="I138" s="622">
        <v>2.2299999999999995</v>
      </c>
      <c r="J138" s="670" t="s">
        <v>268</v>
      </c>
      <c r="K138" s="670"/>
      <c r="L138" s="670"/>
      <c r="M138" s="670"/>
      <c r="S138" s="598"/>
      <c r="T138" s="598"/>
      <c r="U138" s="598"/>
      <c r="V138" s="598"/>
    </row>
    <row r="139" spans="1:22" s="407" customFormat="1">
      <c r="A139" s="624">
        <f t="shared" si="6"/>
        <v>20110701</v>
      </c>
      <c r="B139" s="620" t="s">
        <v>703</v>
      </c>
      <c r="C139" s="620" t="s">
        <v>398</v>
      </c>
      <c r="D139" s="621" t="str">
        <f t="shared" si="7"/>
        <v>20110701KUUM_409</v>
      </c>
      <c r="E139" s="622">
        <f t="shared" si="8"/>
        <v>9.66</v>
      </c>
      <c r="F139" s="669">
        <v>1884</v>
      </c>
      <c r="G139" s="622">
        <v>1.83</v>
      </c>
      <c r="H139" s="622">
        <v>4.18</v>
      </c>
      <c r="I139" s="622">
        <v>3.65</v>
      </c>
      <c r="J139" s="670" t="s">
        <v>307</v>
      </c>
      <c r="K139" s="670"/>
      <c r="L139" s="670"/>
      <c r="M139" s="670"/>
      <c r="S139" s="598"/>
      <c r="T139" s="598"/>
      <c r="U139" s="598"/>
      <c r="V139" s="598"/>
    </row>
    <row r="140" spans="1:22" s="407" customFormat="1">
      <c r="A140" s="624">
        <f t="shared" si="6"/>
        <v>20110701</v>
      </c>
      <c r="B140" s="620" t="s">
        <v>702</v>
      </c>
      <c r="C140" s="620" t="s">
        <v>376</v>
      </c>
      <c r="D140" s="621" t="str">
        <f t="shared" si="7"/>
        <v>20110701KUUM_410</v>
      </c>
      <c r="E140" s="622">
        <f t="shared" si="8"/>
        <v>18.88</v>
      </c>
      <c r="F140" s="669">
        <v>240</v>
      </c>
      <c r="G140" s="622">
        <v>0.73</v>
      </c>
      <c r="H140" s="622">
        <v>0.53</v>
      </c>
      <c r="I140" s="622">
        <v>17.619999999999997</v>
      </c>
      <c r="J140" s="670" t="s">
        <v>285</v>
      </c>
      <c r="K140" s="670"/>
      <c r="L140" s="670"/>
      <c r="M140" s="670"/>
      <c r="S140" s="598"/>
      <c r="T140" s="598"/>
      <c r="U140" s="598"/>
      <c r="V140" s="598"/>
    </row>
    <row r="141" spans="1:22" s="407" customFormat="1">
      <c r="A141" s="624">
        <f t="shared" si="6"/>
        <v>20110701</v>
      </c>
      <c r="B141" s="620" t="s">
        <v>702</v>
      </c>
      <c r="C141" s="620" t="s">
        <v>384</v>
      </c>
      <c r="D141" s="621" t="str">
        <f t="shared" si="7"/>
        <v>20110701KUUM_411</v>
      </c>
      <c r="E141" s="622">
        <f t="shared" si="8"/>
        <v>19.759999999999998</v>
      </c>
      <c r="F141" s="669">
        <v>332</v>
      </c>
      <c r="G141" s="622">
        <v>0.94</v>
      </c>
      <c r="H141" s="622">
        <v>0.74</v>
      </c>
      <c r="I141" s="622">
        <v>18.079999999999998</v>
      </c>
      <c r="J141" s="670" t="s">
        <v>293</v>
      </c>
      <c r="K141" s="670"/>
      <c r="L141" s="670"/>
      <c r="M141" s="670"/>
      <c r="S141" s="598"/>
      <c r="T141" s="598"/>
      <c r="U141" s="598"/>
      <c r="V141" s="598"/>
    </row>
    <row r="142" spans="1:22" s="407" customFormat="1">
      <c r="A142" s="624">
        <f t="shared" si="6"/>
        <v>20110701</v>
      </c>
      <c r="B142" s="620" t="s">
        <v>702</v>
      </c>
      <c r="C142" s="620" t="s">
        <v>386</v>
      </c>
      <c r="D142" s="621" t="str">
        <f t="shared" si="7"/>
        <v>20110701KUUM_412</v>
      </c>
      <c r="E142" s="622">
        <f t="shared" si="8"/>
        <v>28.859999999999996</v>
      </c>
      <c r="F142" s="669">
        <v>332</v>
      </c>
      <c r="G142" s="622">
        <v>0.94</v>
      </c>
      <c r="H142" s="622">
        <v>0.74</v>
      </c>
      <c r="I142" s="622">
        <v>27.179999999999996</v>
      </c>
      <c r="J142" s="670" t="s">
        <v>295</v>
      </c>
      <c r="K142" s="670"/>
      <c r="L142" s="670"/>
      <c r="M142" s="670"/>
      <c r="S142" s="598"/>
      <c r="T142" s="598"/>
      <c r="U142" s="598"/>
      <c r="V142" s="598"/>
    </row>
    <row r="143" spans="1:22" s="407" customFormat="1">
      <c r="A143" s="624">
        <f t="shared" si="6"/>
        <v>20110701</v>
      </c>
      <c r="B143" s="620" t="s">
        <v>702</v>
      </c>
      <c r="C143" s="620" t="s">
        <v>409</v>
      </c>
      <c r="D143" s="621" t="str">
        <f t="shared" si="7"/>
        <v>20110701KUUM_413</v>
      </c>
      <c r="E143" s="622">
        <f t="shared" si="8"/>
        <v>29.36</v>
      </c>
      <c r="F143" s="669">
        <v>468</v>
      </c>
      <c r="G143" s="622">
        <v>0.75</v>
      </c>
      <c r="H143" s="622">
        <v>1.04</v>
      </c>
      <c r="I143" s="622">
        <v>27.57</v>
      </c>
      <c r="J143" s="670" t="s">
        <v>318</v>
      </c>
      <c r="K143" s="670"/>
      <c r="L143" s="670"/>
      <c r="M143" s="670"/>
      <c r="S143" s="598"/>
      <c r="T143" s="598"/>
      <c r="U143" s="598"/>
      <c r="V143" s="598"/>
    </row>
    <row r="144" spans="1:22" s="407" customFormat="1">
      <c r="A144" s="624">
        <f t="shared" si="6"/>
        <v>20110701</v>
      </c>
      <c r="B144" s="620" t="s">
        <v>702</v>
      </c>
      <c r="C144" s="620" t="s">
        <v>387</v>
      </c>
      <c r="D144" s="621" t="str">
        <f t="shared" si="7"/>
        <v>20110701KUUM_414</v>
      </c>
      <c r="E144" s="622">
        <f t="shared" si="8"/>
        <v>28.859999999999996</v>
      </c>
      <c r="F144" s="669">
        <v>332</v>
      </c>
      <c r="G144" s="622">
        <v>0.94</v>
      </c>
      <c r="H144" s="622">
        <v>0.74</v>
      </c>
      <c r="I144" s="622">
        <v>27.179999999999996</v>
      </c>
      <c r="J144" s="670" t="s">
        <v>296</v>
      </c>
      <c r="K144" s="670"/>
      <c r="L144" s="670"/>
      <c r="M144" s="670"/>
      <c r="S144" s="598"/>
      <c r="T144" s="598"/>
      <c r="U144" s="598"/>
      <c r="V144" s="598"/>
    </row>
    <row r="145" spans="1:22" s="407" customFormat="1">
      <c r="A145" s="624">
        <f t="shared" si="6"/>
        <v>20110701</v>
      </c>
      <c r="B145" s="620" t="s">
        <v>702</v>
      </c>
      <c r="C145" s="620" t="s">
        <v>410</v>
      </c>
      <c r="D145" s="621" t="str">
        <f t="shared" si="7"/>
        <v>20110701KUUM_415</v>
      </c>
      <c r="E145" s="622">
        <f t="shared" si="8"/>
        <v>29.36</v>
      </c>
      <c r="F145" s="669">
        <v>468</v>
      </c>
      <c r="G145" s="622">
        <v>0.75</v>
      </c>
      <c r="H145" s="622">
        <v>1.04</v>
      </c>
      <c r="I145" s="622">
        <v>27.57</v>
      </c>
      <c r="J145" s="670" t="s">
        <v>319</v>
      </c>
      <c r="K145" s="670"/>
      <c r="L145" s="670"/>
      <c r="M145" s="670"/>
      <c r="S145" s="598"/>
      <c r="T145" s="598"/>
      <c r="U145" s="598"/>
      <c r="V145" s="598"/>
    </row>
    <row r="146" spans="1:22" s="407" customFormat="1">
      <c r="A146" s="624">
        <f t="shared" si="6"/>
        <v>20110701</v>
      </c>
      <c r="B146" s="620" t="s">
        <v>703</v>
      </c>
      <c r="C146" s="620" t="s">
        <v>405</v>
      </c>
      <c r="D146" s="621" t="str">
        <f t="shared" si="7"/>
        <v>20110701KUUM_420</v>
      </c>
      <c r="E146" s="622">
        <f t="shared" si="8"/>
        <v>14.100000000000001</v>
      </c>
      <c r="F146" s="669">
        <v>468</v>
      </c>
      <c r="G146" s="622">
        <v>0.75</v>
      </c>
      <c r="H146" s="622">
        <v>1.04</v>
      </c>
      <c r="I146" s="622">
        <v>12.31</v>
      </c>
      <c r="J146" s="670" t="s">
        <v>314</v>
      </c>
      <c r="K146" s="670"/>
      <c r="L146" s="670"/>
      <c r="M146" s="670"/>
      <c r="S146" s="598"/>
      <c r="T146" s="598"/>
      <c r="U146" s="598"/>
      <c r="V146" s="598"/>
    </row>
    <row r="147" spans="1:22" s="407" customFormat="1">
      <c r="A147" s="624">
        <f t="shared" si="6"/>
        <v>20110701</v>
      </c>
      <c r="B147" s="620" t="s">
        <v>702</v>
      </c>
      <c r="C147" s="620" t="s">
        <v>326</v>
      </c>
      <c r="D147" s="621" t="str">
        <f t="shared" si="7"/>
        <v>20110701KUUM_421</v>
      </c>
      <c r="E147" s="622">
        <f t="shared" si="8"/>
        <v>3.01</v>
      </c>
      <c r="F147" s="669">
        <v>408</v>
      </c>
      <c r="G147" s="622">
        <v>0.31</v>
      </c>
      <c r="H147" s="622">
        <v>0.91</v>
      </c>
      <c r="I147" s="622">
        <v>1.79</v>
      </c>
      <c r="J147" s="622" t="s">
        <v>235</v>
      </c>
      <c r="K147" s="670"/>
      <c r="L147" s="670"/>
      <c r="M147" s="670"/>
      <c r="S147" s="598"/>
      <c r="T147" s="598"/>
      <c r="U147" s="598"/>
      <c r="V147" s="598"/>
    </row>
    <row r="148" spans="1:22" s="407" customFormat="1">
      <c r="A148" s="624">
        <f t="shared" si="6"/>
        <v>20110701</v>
      </c>
      <c r="B148" s="620" t="s">
        <v>702</v>
      </c>
      <c r="C148" s="620" t="s">
        <v>356</v>
      </c>
      <c r="D148" s="621" t="str">
        <f t="shared" si="7"/>
        <v>20110701KUUM_422</v>
      </c>
      <c r="E148" s="622">
        <f t="shared" si="8"/>
        <v>3.9899999999999998</v>
      </c>
      <c r="F148" s="669">
        <v>804</v>
      </c>
      <c r="G148" s="622">
        <v>0.4</v>
      </c>
      <c r="H148" s="622">
        <v>1.79</v>
      </c>
      <c r="I148" s="622">
        <v>1.7999999999999998</v>
      </c>
      <c r="J148" s="670" t="s">
        <v>265</v>
      </c>
      <c r="K148" s="670"/>
      <c r="L148" s="670"/>
      <c r="M148" s="670"/>
      <c r="S148" s="598"/>
      <c r="T148" s="598"/>
      <c r="U148" s="598"/>
      <c r="V148" s="598"/>
    </row>
    <row r="149" spans="1:22" s="407" customFormat="1">
      <c r="A149" s="624">
        <f t="shared" si="6"/>
        <v>20110701</v>
      </c>
      <c r="B149" s="620" t="s">
        <v>702</v>
      </c>
      <c r="C149" s="620" t="s">
        <v>374</v>
      </c>
      <c r="D149" s="621" t="str">
        <f t="shared" si="7"/>
        <v>20110701KUUM_424</v>
      </c>
      <c r="E149" s="622">
        <f t="shared" si="8"/>
        <v>6.0600000000000005</v>
      </c>
      <c r="F149" s="669">
        <v>1308</v>
      </c>
      <c r="G149" s="622">
        <v>0.73</v>
      </c>
      <c r="H149" s="622">
        <v>0.46</v>
      </c>
      <c r="I149" s="622">
        <v>4.87</v>
      </c>
      <c r="J149" s="670" t="s">
        <v>283</v>
      </c>
      <c r="K149" s="670"/>
      <c r="L149" s="670"/>
      <c r="M149" s="670"/>
      <c r="N149" s="415"/>
      <c r="S149" s="598"/>
      <c r="T149" s="598"/>
      <c r="U149" s="598"/>
      <c r="V149" s="598"/>
    </row>
    <row r="150" spans="1:22" s="407" customFormat="1">
      <c r="A150" s="624">
        <f t="shared" si="6"/>
        <v>20110701</v>
      </c>
      <c r="B150" s="620" t="s">
        <v>702</v>
      </c>
      <c r="C150" s="620" t="s">
        <v>399</v>
      </c>
      <c r="D150" s="621" t="str">
        <f t="shared" si="7"/>
        <v>20110701KUUM_425</v>
      </c>
      <c r="E150" s="622">
        <f t="shared" si="8"/>
        <v>7.9300000000000006</v>
      </c>
      <c r="F150" s="669">
        <v>1788</v>
      </c>
      <c r="G150" s="622">
        <v>0.83</v>
      </c>
      <c r="H150" s="622">
        <v>3.97</v>
      </c>
      <c r="I150" s="622">
        <v>3.1300000000000008</v>
      </c>
      <c r="J150" s="670" t="s">
        <v>308</v>
      </c>
      <c r="K150" s="670"/>
      <c r="L150" s="670"/>
      <c r="M150" s="670"/>
      <c r="S150" s="598"/>
      <c r="T150" s="598"/>
      <c r="U150" s="598"/>
      <c r="V150" s="598"/>
    </row>
    <row r="151" spans="1:22" s="407" customFormat="1">
      <c r="A151" s="624">
        <f t="shared" si="6"/>
        <v>20110701</v>
      </c>
      <c r="B151" s="620" t="s">
        <v>703</v>
      </c>
      <c r="C151" s="620" t="s">
        <v>391</v>
      </c>
      <c r="D151" s="621" t="str">
        <f t="shared" si="7"/>
        <v>20110701KUUM_426</v>
      </c>
      <c r="E151" s="622">
        <f t="shared" si="8"/>
        <v>6.34</v>
      </c>
      <c r="F151" s="669">
        <v>332</v>
      </c>
      <c r="G151" s="622">
        <v>0.94</v>
      </c>
      <c r="H151" s="622">
        <v>0.74</v>
      </c>
      <c r="I151" s="622">
        <v>4.66</v>
      </c>
      <c r="J151" s="670" t="s">
        <v>300</v>
      </c>
      <c r="K151" s="670"/>
      <c r="L151" s="670"/>
      <c r="M151" s="670"/>
      <c r="S151" s="598"/>
      <c r="T151" s="598"/>
      <c r="U151" s="598"/>
      <c r="V151" s="598"/>
    </row>
    <row r="152" spans="1:22" s="407" customFormat="1">
      <c r="A152" s="624">
        <f t="shared" si="6"/>
        <v>20110701</v>
      </c>
      <c r="B152" s="620" t="s">
        <v>703</v>
      </c>
      <c r="C152" s="620" t="s">
        <v>416</v>
      </c>
      <c r="D152" s="621" t="str">
        <f t="shared" si="7"/>
        <v>20110701KUUM_428</v>
      </c>
      <c r="E152" s="622">
        <f t="shared" si="8"/>
        <v>6.87</v>
      </c>
      <c r="F152" s="669">
        <v>468</v>
      </c>
      <c r="G152" s="622">
        <v>0.75</v>
      </c>
      <c r="H152" s="622">
        <v>1.04</v>
      </c>
      <c r="I152" s="622">
        <v>5.08</v>
      </c>
      <c r="J152" s="670" t="s">
        <v>325</v>
      </c>
      <c r="K152" s="670"/>
      <c r="L152" s="670"/>
      <c r="M152" s="670"/>
      <c r="S152" s="598"/>
      <c r="T152" s="598"/>
      <c r="U152" s="598"/>
      <c r="V152" s="598"/>
    </row>
    <row r="153" spans="1:22" s="407" customFormat="1">
      <c r="A153" s="624">
        <f t="shared" si="6"/>
        <v>20110701</v>
      </c>
      <c r="B153" s="620" t="s">
        <v>703</v>
      </c>
      <c r="C153" s="620" t="s">
        <v>362</v>
      </c>
      <c r="D153" s="621" t="str">
        <f t="shared" si="7"/>
        <v>20110701KUUM_429</v>
      </c>
      <c r="E153" s="622">
        <f t="shared" si="8"/>
        <v>12.51</v>
      </c>
      <c r="F153" s="669">
        <v>968</v>
      </c>
      <c r="G153" s="622">
        <v>1.25</v>
      </c>
      <c r="H153" s="622">
        <v>2.15</v>
      </c>
      <c r="I153" s="622">
        <v>9.11</v>
      </c>
      <c r="J153" s="670" t="s">
        <v>271</v>
      </c>
      <c r="K153" s="670"/>
      <c r="L153" s="670"/>
      <c r="M153" s="670"/>
      <c r="S153" s="598"/>
      <c r="T153" s="598"/>
      <c r="U153" s="598"/>
      <c r="V153" s="598"/>
    </row>
    <row r="154" spans="1:22" s="407" customFormat="1">
      <c r="A154" s="624">
        <f t="shared" si="6"/>
        <v>20110701</v>
      </c>
      <c r="B154" s="620" t="s">
        <v>703</v>
      </c>
      <c r="C154" s="620" t="s">
        <v>407</v>
      </c>
      <c r="D154" s="621" t="str">
        <f t="shared" si="7"/>
        <v>20110701KUUM_430</v>
      </c>
      <c r="E154" s="622">
        <f t="shared" si="8"/>
        <v>20.49</v>
      </c>
      <c r="F154" s="669">
        <v>468</v>
      </c>
      <c r="G154" s="622">
        <v>0.75</v>
      </c>
      <c r="H154" s="622">
        <v>1.04</v>
      </c>
      <c r="I154" s="622">
        <v>18.7</v>
      </c>
      <c r="J154" s="670" t="s">
        <v>316</v>
      </c>
      <c r="K154" s="670"/>
      <c r="L154" s="670"/>
      <c r="M154" s="670"/>
      <c r="S154" s="598"/>
      <c r="T154" s="598"/>
      <c r="U154" s="598"/>
      <c r="V154" s="598"/>
    </row>
    <row r="155" spans="1:22" s="407" customFormat="1">
      <c r="A155" s="624">
        <f t="shared" si="6"/>
        <v>20110701</v>
      </c>
      <c r="B155" s="620" t="s">
        <v>702</v>
      </c>
      <c r="C155" s="625" t="s">
        <v>418</v>
      </c>
      <c r="D155" s="621" t="str">
        <f t="shared" si="7"/>
        <v>20110701KUUM_431</v>
      </c>
      <c r="E155" s="622">
        <f t="shared" si="8"/>
        <v>3.66</v>
      </c>
      <c r="F155" s="669">
        <v>408</v>
      </c>
      <c r="G155" s="622">
        <v>0.31</v>
      </c>
      <c r="H155" s="622">
        <v>0.91</v>
      </c>
      <c r="I155" s="622">
        <v>2.44</v>
      </c>
      <c r="J155" s="673" t="s">
        <v>419</v>
      </c>
      <c r="K155" s="670"/>
      <c r="L155" s="670"/>
      <c r="M155" s="670"/>
      <c r="S155" s="598"/>
      <c r="T155" s="598"/>
      <c r="U155" s="598"/>
      <c r="V155" s="598"/>
    </row>
    <row r="156" spans="1:22" s="407" customFormat="1">
      <c r="A156" s="624">
        <f t="shared" si="6"/>
        <v>20110701</v>
      </c>
      <c r="B156" s="620" t="s">
        <v>702</v>
      </c>
      <c r="C156" s="625" t="s">
        <v>420</v>
      </c>
      <c r="D156" s="621" t="str">
        <f t="shared" si="7"/>
        <v>20110701KUUM_432</v>
      </c>
      <c r="E156" s="622">
        <f t="shared" si="8"/>
        <v>4.7799999999999994</v>
      </c>
      <c r="F156" s="669">
        <v>804</v>
      </c>
      <c r="G156" s="622">
        <v>0.4</v>
      </c>
      <c r="H156" s="622">
        <v>1.79</v>
      </c>
      <c r="I156" s="622">
        <v>2.5899999999999994</v>
      </c>
      <c r="J156" s="671" t="s">
        <v>421</v>
      </c>
      <c r="K156" s="670"/>
      <c r="L156" s="670"/>
      <c r="M156" s="670"/>
      <c r="S156" s="598"/>
      <c r="T156" s="598"/>
      <c r="U156" s="598"/>
      <c r="V156" s="598"/>
    </row>
    <row r="157" spans="1:22" s="407" customFormat="1">
      <c r="A157" s="624">
        <f t="shared" si="6"/>
        <v>20110701</v>
      </c>
      <c r="B157" s="620" t="s">
        <v>702</v>
      </c>
      <c r="C157" s="625" t="s">
        <v>422</v>
      </c>
      <c r="D157" s="621" t="str">
        <f t="shared" si="7"/>
        <v>20110701KUUM_433</v>
      </c>
      <c r="E157" s="622">
        <f t="shared" si="8"/>
        <v>49.290000000000006</v>
      </c>
      <c r="F157" s="669">
        <v>724</v>
      </c>
      <c r="G157" s="622">
        <v>5.44</v>
      </c>
      <c r="H157" s="622">
        <v>1.61</v>
      </c>
      <c r="I157" s="622">
        <v>42.24</v>
      </c>
      <c r="J157" s="671" t="s">
        <v>423</v>
      </c>
      <c r="K157" s="670"/>
      <c r="L157" s="670"/>
      <c r="M157" s="670"/>
      <c r="S157" s="598"/>
      <c r="T157" s="598"/>
      <c r="U157" s="598"/>
      <c r="V157" s="598"/>
    </row>
    <row r="158" spans="1:22" s="407" customFormat="1">
      <c r="A158" s="624">
        <f t="shared" si="6"/>
        <v>20110701</v>
      </c>
      <c r="B158" s="620" t="s">
        <v>702</v>
      </c>
      <c r="C158" s="620" t="s">
        <v>373</v>
      </c>
      <c r="D158" s="621" t="str">
        <f t="shared" si="7"/>
        <v>20110701KUUM_434</v>
      </c>
      <c r="E158" s="622">
        <f t="shared" si="8"/>
        <v>6.98</v>
      </c>
      <c r="F158" s="669">
        <v>1308</v>
      </c>
      <c r="G158" s="622">
        <v>0.73</v>
      </c>
      <c r="H158" s="622">
        <v>0.46</v>
      </c>
      <c r="I158" s="622">
        <v>5.79</v>
      </c>
      <c r="J158" s="670" t="s">
        <v>282</v>
      </c>
      <c r="K158" s="670"/>
      <c r="L158" s="670"/>
      <c r="M158" s="670"/>
      <c r="S158" s="598"/>
      <c r="T158" s="598"/>
      <c r="U158" s="598"/>
      <c r="V158" s="598"/>
    </row>
    <row r="159" spans="1:22" s="407" customFormat="1">
      <c r="A159" s="624">
        <f t="shared" si="6"/>
        <v>20110701</v>
      </c>
      <c r="B159" s="620" t="s">
        <v>702</v>
      </c>
      <c r="C159" s="625" t="s">
        <v>424</v>
      </c>
      <c r="D159" s="621" t="str">
        <f t="shared" si="7"/>
        <v>20110701KUUM_435</v>
      </c>
      <c r="E159" s="622">
        <f t="shared" si="8"/>
        <v>8.9499999999999993</v>
      </c>
      <c r="F159" s="669">
        <v>1788</v>
      </c>
      <c r="G159" s="622">
        <v>0.83</v>
      </c>
      <c r="H159" s="622">
        <v>3.97</v>
      </c>
      <c r="I159" s="622">
        <v>4.1500000000000004</v>
      </c>
      <c r="J159" s="671" t="s">
        <v>425</v>
      </c>
      <c r="K159" s="670"/>
      <c r="L159" s="670"/>
      <c r="M159" s="670"/>
      <c r="S159" s="598"/>
      <c r="T159" s="598"/>
      <c r="U159" s="598"/>
      <c r="V159" s="598"/>
    </row>
    <row r="160" spans="1:22" s="407" customFormat="1">
      <c r="A160" s="624">
        <f t="shared" si="6"/>
        <v>20110701</v>
      </c>
      <c r="B160" s="620" t="s">
        <v>703</v>
      </c>
      <c r="C160" s="620" t="s">
        <v>375</v>
      </c>
      <c r="D160" s="621" t="str">
        <f t="shared" si="7"/>
        <v>20110701KUUM_440</v>
      </c>
      <c r="E160" s="622">
        <f t="shared" si="8"/>
        <v>12.489999999999998</v>
      </c>
      <c r="F160" s="669">
        <v>240</v>
      </c>
      <c r="G160" s="622">
        <v>0.73</v>
      </c>
      <c r="H160" s="622">
        <v>0.53</v>
      </c>
      <c r="I160" s="622">
        <v>11.229999999999999</v>
      </c>
      <c r="J160" s="670" t="s">
        <v>284</v>
      </c>
      <c r="K160" s="670"/>
      <c r="L160" s="670"/>
      <c r="M160" s="670"/>
      <c r="S160" s="598"/>
      <c r="T160" s="598"/>
      <c r="U160" s="598"/>
      <c r="V160" s="598"/>
    </row>
    <row r="161" spans="1:22" s="407" customFormat="1">
      <c r="A161" s="624">
        <f t="shared" si="6"/>
        <v>20110701</v>
      </c>
      <c r="B161" s="620" t="s">
        <v>703</v>
      </c>
      <c r="C161" s="620" t="s">
        <v>383</v>
      </c>
      <c r="D161" s="621" t="str">
        <f t="shared" si="7"/>
        <v>20110701KUUM_441</v>
      </c>
      <c r="E161" s="622">
        <f t="shared" si="8"/>
        <v>13.48</v>
      </c>
      <c r="F161" s="669">
        <v>332</v>
      </c>
      <c r="G161" s="622">
        <v>0.94</v>
      </c>
      <c r="H161" s="622">
        <v>0.74</v>
      </c>
      <c r="I161" s="622">
        <v>11.8</v>
      </c>
      <c r="J161" s="670" t="s">
        <v>292</v>
      </c>
      <c r="K161" s="670"/>
      <c r="L161" s="670"/>
      <c r="M161" s="670"/>
      <c r="S161" s="598"/>
      <c r="T161" s="598"/>
      <c r="U161" s="598"/>
      <c r="V161" s="598"/>
    </row>
    <row r="162" spans="1:22" s="407" customFormat="1">
      <c r="A162" s="624">
        <f t="shared" si="6"/>
        <v>20110701</v>
      </c>
      <c r="B162" s="620" t="s">
        <v>703</v>
      </c>
      <c r="C162" s="620" t="s">
        <v>406</v>
      </c>
      <c r="D162" s="621" t="str">
        <f t="shared" si="7"/>
        <v>20110701KUUM_442</v>
      </c>
      <c r="E162" s="622">
        <f t="shared" si="8"/>
        <v>14.100000000000001</v>
      </c>
      <c r="F162" s="669">
        <v>468</v>
      </c>
      <c r="G162" s="622">
        <v>0.75</v>
      </c>
      <c r="H162" s="622">
        <v>1.04</v>
      </c>
      <c r="I162" s="622">
        <v>12.31</v>
      </c>
      <c r="J162" s="670" t="s">
        <v>315</v>
      </c>
      <c r="K162" s="670"/>
      <c r="L162" s="670"/>
      <c r="M162" s="670"/>
      <c r="S162" s="598"/>
      <c r="T162" s="598"/>
      <c r="U162" s="598"/>
      <c r="V162" s="598"/>
    </row>
    <row r="163" spans="1:22" s="407" customFormat="1">
      <c r="A163" s="624">
        <f t="shared" si="6"/>
        <v>20110701</v>
      </c>
      <c r="B163" s="620" t="s">
        <v>703</v>
      </c>
      <c r="C163" s="620" t="s">
        <v>377</v>
      </c>
      <c r="D163" s="621" t="str">
        <f t="shared" si="7"/>
        <v>20110701KUUM_444</v>
      </c>
      <c r="E163" s="622">
        <f t="shared" si="8"/>
        <v>18.88</v>
      </c>
      <c r="F163" s="669">
        <v>240</v>
      </c>
      <c r="G163" s="622">
        <v>0.73</v>
      </c>
      <c r="H163" s="622">
        <v>0.53</v>
      </c>
      <c r="I163" s="622">
        <v>17.619999999999997</v>
      </c>
      <c r="J163" s="670" t="s">
        <v>286</v>
      </c>
      <c r="K163" s="670"/>
      <c r="L163" s="670"/>
      <c r="M163" s="670"/>
      <c r="S163" s="598"/>
      <c r="T163" s="598"/>
      <c r="U163" s="598"/>
      <c r="V163" s="598"/>
    </row>
    <row r="164" spans="1:22" s="407" customFormat="1">
      <c r="A164" s="624">
        <f t="shared" si="6"/>
        <v>20110701</v>
      </c>
      <c r="B164" s="620" t="s">
        <v>703</v>
      </c>
      <c r="C164" s="620" t="s">
        <v>385</v>
      </c>
      <c r="D164" s="621" t="str">
        <f t="shared" si="7"/>
        <v>20110701KUUM_445</v>
      </c>
      <c r="E164" s="622">
        <f t="shared" si="8"/>
        <v>19.759999999999998</v>
      </c>
      <c r="F164" s="669">
        <v>332</v>
      </c>
      <c r="G164" s="622">
        <v>0.94</v>
      </c>
      <c r="H164" s="622">
        <v>0.74</v>
      </c>
      <c r="I164" s="622">
        <v>18.079999999999998</v>
      </c>
      <c r="J164" s="670" t="s">
        <v>294</v>
      </c>
      <c r="K164" s="670"/>
      <c r="L164" s="670"/>
      <c r="M164" s="670"/>
      <c r="S164" s="598"/>
      <c r="T164" s="598"/>
      <c r="U164" s="598"/>
      <c r="V164" s="598"/>
    </row>
    <row r="165" spans="1:22" s="407" customFormat="1">
      <c r="A165" s="624">
        <f t="shared" si="6"/>
        <v>20110701</v>
      </c>
      <c r="B165" s="620" t="s">
        <v>702</v>
      </c>
      <c r="C165" s="620" t="s">
        <v>401</v>
      </c>
      <c r="D165" s="621" t="str">
        <f t="shared" si="7"/>
        <v>20110701KUUM_446</v>
      </c>
      <c r="E165" s="622">
        <f t="shared" si="8"/>
        <v>8.490000000000002</v>
      </c>
      <c r="F165" s="669">
        <v>828</v>
      </c>
      <c r="G165" s="622">
        <v>0.95</v>
      </c>
      <c r="H165" s="622">
        <v>1.84</v>
      </c>
      <c r="I165" s="622">
        <v>5.7000000000000011</v>
      </c>
      <c r="J165" s="670" t="s">
        <v>310</v>
      </c>
      <c r="K165" s="670"/>
      <c r="L165" s="670"/>
      <c r="M165" s="670"/>
      <c r="S165" s="598"/>
      <c r="T165" s="598"/>
      <c r="U165" s="598"/>
      <c r="V165" s="598"/>
    </row>
    <row r="166" spans="1:22" s="407" customFormat="1">
      <c r="A166" s="624">
        <f t="shared" si="6"/>
        <v>20110701</v>
      </c>
      <c r="B166" s="620" t="s">
        <v>702</v>
      </c>
      <c r="C166" s="620" t="s">
        <v>328</v>
      </c>
      <c r="D166" s="621" t="str">
        <f t="shared" si="7"/>
        <v>20110701KUUM_447</v>
      </c>
      <c r="E166" s="622">
        <f t="shared" si="8"/>
        <v>10.01</v>
      </c>
      <c r="F166" s="669">
        <v>1176</v>
      </c>
      <c r="G166" s="622">
        <v>1.0900000000000001</v>
      </c>
      <c r="H166" s="622">
        <v>2.62</v>
      </c>
      <c r="I166" s="622">
        <v>6.3</v>
      </c>
      <c r="J166" s="622" t="s">
        <v>237</v>
      </c>
      <c r="K166" s="670"/>
      <c r="L166" s="670"/>
      <c r="M166" s="670"/>
      <c r="S166" s="598"/>
      <c r="T166" s="598"/>
      <c r="U166" s="598"/>
      <c r="V166" s="598"/>
    </row>
    <row r="167" spans="1:22" s="407" customFormat="1">
      <c r="A167" s="624">
        <f t="shared" si="6"/>
        <v>20110701</v>
      </c>
      <c r="B167" s="620" t="s">
        <v>702</v>
      </c>
      <c r="C167" s="625" t="s">
        <v>437</v>
      </c>
      <c r="D167" s="621" t="str">
        <f t="shared" si="7"/>
        <v>20110701KUUM_448</v>
      </c>
      <c r="E167" s="622">
        <f t="shared" si="8"/>
        <v>12.219999999999999</v>
      </c>
      <c r="F167" s="669">
        <v>1812</v>
      </c>
      <c r="G167" s="622">
        <v>1.24</v>
      </c>
      <c r="H167" s="622">
        <v>4.03</v>
      </c>
      <c r="I167" s="622">
        <v>6.9499999999999993</v>
      </c>
      <c r="J167" s="670" t="s">
        <v>438</v>
      </c>
      <c r="K167" s="670"/>
      <c r="L167" s="670"/>
      <c r="M167" s="670"/>
      <c r="S167" s="598"/>
      <c r="T167" s="598"/>
      <c r="U167" s="598"/>
      <c r="V167" s="598"/>
    </row>
    <row r="168" spans="1:22" s="407" customFormat="1">
      <c r="A168" s="624">
        <f t="shared" si="6"/>
        <v>20110701</v>
      </c>
      <c r="B168" s="620" t="s">
        <v>703</v>
      </c>
      <c r="C168" s="620" t="s">
        <v>408</v>
      </c>
      <c r="D168" s="621" t="str">
        <f t="shared" si="7"/>
        <v>20110701KUUM_449</v>
      </c>
      <c r="E168" s="622">
        <f t="shared" si="8"/>
        <v>20.49</v>
      </c>
      <c r="F168" s="669">
        <v>468</v>
      </c>
      <c r="G168" s="622">
        <v>0.75</v>
      </c>
      <c r="H168" s="622">
        <v>1.04</v>
      </c>
      <c r="I168" s="622">
        <v>18.7</v>
      </c>
      <c r="J168" s="670" t="s">
        <v>317</v>
      </c>
      <c r="K168" s="670"/>
      <c r="L168" s="670"/>
      <c r="M168" s="670"/>
      <c r="S168" s="598"/>
      <c r="T168" s="598"/>
      <c r="U168" s="598"/>
      <c r="V168" s="598"/>
    </row>
    <row r="169" spans="1:22" s="407" customFormat="1">
      <c r="A169" s="624">
        <f t="shared" si="6"/>
        <v>20110701</v>
      </c>
      <c r="B169" s="620" t="s">
        <v>703</v>
      </c>
      <c r="C169" s="620" t="s">
        <v>338</v>
      </c>
      <c r="D169" s="621" t="str">
        <f t="shared" si="7"/>
        <v>20110701KUUM_450</v>
      </c>
      <c r="E169" s="622">
        <f t="shared" si="8"/>
        <v>12.34</v>
      </c>
      <c r="F169" s="669">
        <v>600</v>
      </c>
      <c r="G169" s="622">
        <v>1.38</v>
      </c>
      <c r="H169" s="622">
        <v>1.86</v>
      </c>
      <c r="I169" s="622">
        <v>9.1</v>
      </c>
      <c r="J169" s="670" t="s">
        <v>247</v>
      </c>
      <c r="K169" s="670"/>
      <c r="L169" s="670"/>
      <c r="M169" s="670"/>
      <c r="S169" s="598"/>
      <c r="T169" s="598"/>
      <c r="U169" s="598"/>
      <c r="V169" s="598"/>
    </row>
    <row r="170" spans="1:22" s="407" customFormat="1">
      <c r="A170" s="624">
        <f t="shared" si="6"/>
        <v>20110701</v>
      </c>
      <c r="B170" s="620" t="s">
        <v>703</v>
      </c>
      <c r="C170" s="620" t="s">
        <v>370</v>
      </c>
      <c r="D170" s="621" t="str">
        <f t="shared" si="7"/>
        <v>20110701KUUM_451</v>
      </c>
      <c r="E170" s="622">
        <f t="shared" si="8"/>
        <v>17.650000000000002</v>
      </c>
      <c r="F170" s="669">
        <v>1400</v>
      </c>
      <c r="G170" s="622">
        <v>1.79</v>
      </c>
      <c r="H170" s="622">
        <v>4.03</v>
      </c>
      <c r="I170" s="622">
        <v>11.830000000000002</v>
      </c>
      <c r="J170" s="670" t="s">
        <v>279</v>
      </c>
      <c r="K170" s="670"/>
      <c r="L170" s="670"/>
      <c r="M170" s="670"/>
      <c r="S170" s="598"/>
      <c r="T170" s="598"/>
      <c r="U170" s="598"/>
      <c r="V170" s="598"/>
    </row>
    <row r="171" spans="1:22" s="407" customFormat="1">
      <c r="A171" s="624">
        <f t="shared" si="6"/>
        <v>20110701</v>
      </c>
      <c r="B171" s="620" t="s">
        <v>703</v>
      </c>
      <c r="C171" s="620" t="s">
        <v>333</v>
      </c>
      <c r="D171" s="621" t="str">
        <f t="shared" si="7"/>
        <v>20110701KUUM_452</v>
      </c>
      <c r="E171" s="622">
        <f t="shared" si="8"/>
        <v>36.950000000000003</v>
      </c>
      <c r="F171" s="669">
        <v>4320</v>
      </c>
      <c r="G171" s="622">
        <v>3.59</v>
      </c>
      <c r="H171" s="622">
        <v>9.6</v>
      </c>
      <c r="I171" s="622">
        <v>23.76</v>
      </c>
      <c r="J171" s="670" t="s">
        <v>242</v>
      </c>
      <c r="K171" s="670"/>
      <c r="L171" s="670"/>
      <c r="M171" s="670"/>
      <c r="S171" s="598"/>
      <c r="T171" s="598"/>
      <c r="U171" s="598"/>
      <c r="V171" s="598"/>
    </row>
    <row r="172" spans="1:22" s="407" customFormat="1">
      <c r="A172" s="624">
        <f t="shared" si="6"/>
        <v>20110701</v>
      </c>
      <c r="B172" s="620" t="s">
        <v>703</v>
      </c>
      <c r="C172" s="620" t="s">
        <v>336</v>
      </c>
      <c r="D172" s="621" t="str">
        <f t="shared" si="7"/>
        <v>20110701KUUM_454</v>
      </c>
      <c r="E172" s="622">
        <f t="shared" si="8"/>
        <v>16.57</v>
      </c>
      <c r="F172" s="669">
        <v>600</v>
      </c>
      <c r="G172" s="622">
        <v>1.38</v>
      </c>
      <c r="H172" s="622">
        <v>1.86</v>
      </c>
      <c r="I172" s="622">
        <v>13.33</v>
      </c>
      <c r="J172" s="670" t="s">
        <v>245</v>
      </c>
      <c r="K172" s="670"/>
      <c r="L172" s="670"/>
      <c r="M172" s="670"/>
      <c r="S172" s="598"/>
      <c r="T172" s="598"/>
      <c r="U172" s="598"/>
      <c r="V172" s="598"/>
    </row>
    <row r="173" spans="1:22" s="407" customFormat="1">
      <c r="A173" s="624">
        <f t="shared" si="6"/>
        <v>20110701</v>
      </c>
      <c r="B173" s="620" t="s">
        <v>703</v>
      </c>
      <c r="C173" s="620" t="s">
        <v>368</v>
      </c>
      <c r="D173" s="621" t="str">
        <f t="shared" si="7"/>
        <v>20110701KUUM_455</v>
      </c>
      <c r="E173" s="622">
        <f t="shared" si="8"/>
        <v>21.880000000000003</v>
      </c>
      <c r="F173" s="669">
        <v>1400</v>
      </c>
      <c r="G173" s="622">
        <v>1.79</v>
      </c>
      <c r="H173" s="622">
        <v>4.03</v>
      </c>
      <c r="I173" s="622">
        <v>16.060000000000002</v>
      </c>
      <c r="J173" s="670" t="s">
        <v>277</v>
      </c>
      <c r="K173" s="670"/>
      <c r="L173" s="670"/>
      <c r="M173" s="670"/>
      <c r="S173" s="598"/>
      <c r="T173" s="598"/>
      <c r="U173" s="598"/>
      <c r="V173" s="598"/>
    </row>
    <row r="174" spans="1:22" s="407" customFormat="1">
      <c r="A174" s="624">
        <f t="shared" si="6"/>
        <v>20110701</v>
      </c>
      <c r="B174" s="620" t="s">
        <v>702</v>
      </c>
      <c r="C174" s="620" t="s">
        <v>400</v>
      </c>
      <c r="D174" s="621" t="str">
        <f t="shared" si="7"/>
        <v>20110701KUUM_456</v>
      </c>
      <c r="E174" s="622">
        <f t="shared" si="8"/>
        <v>10.71</v>
      </c>
      <c r="F174" s="669">
        <v>828</v>
      </c>
      <c r="G174" s="622">
        <v>0.95</v>
      </c>
      <c r="H174" s="622">
        <v>1.84</v>
      </c>
      <c r="I174" s="622">
        <v>7.92</v>
      </c>
      <c r="J174" s="670" t="s">
        <v>309</v>
      </c>
      <c r="K174" s="670"/>
      <c r="L174" s="670"/>
      <c r="M174" s="670"/>
      <c r="S174" s="598"/>
      <c r="T174" s="598"/>
      <c r="U174" s="598"/>
      <c r="V174" s="598"/>
    </row>
    <row r="175" spans="1:22" s="407" customFormat="1">
      <c r="A175" s="624">
        <f t="shared" si="6"/>
        <v>20110701</v>
      </c>
      <c r="B175" s="620" t="s">
        <v>702</v>
      </c>
      <c r="C175" s="620" t="s">
        <v>327</v>
      </c>
      <c r="D175" s="621" t="str">
        <f t="shared" si="7"/>
        <v>20110701KUUM_457</v>
      </c>
      <c r="E175" s="622">
        <f t="shared" si="8"/>
        <v>11.98</v>
      </c>
      <c r="F175" s="669">
        <v>1176</v>
      </c>
      <c r="G175" s="622">
        <v>1.0900000000000001</v>
      </c>
      <c r="H175" s="622">
        <v>2.62</v>
      </c>
      <c r="I175" s="622">
        <v>8.27</v>
      </c>
      <c r="J175" s="622" t="s">
        <v>236</v>
      </c>
      <c r="K175" s="670"/>
      <c r="L175" s="670"/>
      <c r="M175" s="670"/>
      <c r="S175" s="598"/>
      <c r="T175" s="598"/>
      <c r="U175" s="598"/>
      <c r="V175" s="598"/>
    </row>
    <row r="176" spans="1:22" s="407" customFormat="1">
      <c r="A176" s="624">
        <f t="shared" si="6"/>
        <v>20110701</v>
      </c>
      <c r="B176" s="620" t="s">
        <v>702</v>
      </c>
      <c r="C176" s="620" t="s">
        <v>357</v>
      </c>
      <c r="D176" s="621" t="str">
        <f t="shared" si="7"/>
        <v>20110701KUUM_458</v>
      </c>
      <c r="E176" s="622">
        <f t="shared" si="8"/>
        <v>13.79</v>
      </c>
      <c r="F176" s="669">
        <v>1812</v>
      </c>
      <c r="G176" s="622">
        <v>1.24</v>
      </c>
      <c r="H176" s="622">
        <v>4.03</v>
      </c>
      <c r="I176" s="622">
        <v>8.52</v>
      </c>
      <c r="J176" s="670" t="s">
        <v>266</v>
      </c>
      <c r="K176" s="670"/>
      <c r="L176" s="670"/>
      <c r="M176" s="670"/>
      <c r="S176" s="598"/>
      <c r="T176" s="598"/>
      <c r="U176" s="598"/>
      <c r="V176" s="598"/>
    </row>
    <row r="177" spans="1:22" s="407" customFormat="1">
      <c r="A177" s="624">
        <f t="shared" si="6"/>
        <v>20110701</v>
      </c>
      <c r="B177" s="620" t="s">
        <v>703</v>
      </c>
      <c r="C177" s="620" t="s">
        <v>331</v>
      </c>
      <c r="D177" s="621" t="str">
        <f t="shared" si="7"/>
        <v>20110701KUUM_459</v>
      </c>
      <c r="E177" s="622">
        <f t="shared" si="8"/>
        <v>41.180000000000007</v>
      </c>
      <c r="F177" s="669">
        <v>4320</v>
      </c>
      <c r="G177" s="622">
        <v>3.59</v>
      </c>
      <c r="H177" s="622">
        <v>9.6</v>
      </c>
      <c r="I177" s="622">
        <v>27.990000000000006</v>
      </c>
      <c r="J177" s="622" t="s">
        <v>240</v>
      </c>
      <c r="K177" s="670"/>
      <c r="L177" s="670"/>
      <c r="M177" s="670"/>
      <c r="S177" s="598"/>
      <c r="T177" s="598"/>
      <c r="U177" s="598"/>
      <c r="V177" s="598"/>
    </row>
    <row r="178" spans="1:22" s="407" customFormat="1">
      <c r="A178" s="624">
        <f t="shared" ref="A178:A200" si="9">A177</f>
        <v>20110701</v>
      </c>
      <c r="B178" s="620" t="s">
        <v>703</v>
      </c>
      <c r="C178" s="620" t="s">
        <v>335</v>
      </c>
      <c r="D178" s="621" t="str">
        <f t="shared" si="7"/>
        <v>20110701KUUM_460</v>
      </c>
      <c r="E178" s="622">
        <f t="shared" si="8"/>
        <v>24.75</v>
      </c>
      <c r="F178" s="669">
        <v>600</v>
      </c>
      <c r="G178" s="622">
        <v>1.38</v>
      </c>
      <c r="H178" s="622">
        <v>1.86</v>
      </c>
      <c r="I178" s="622">
        <v>21.51</v>
      </c>
      <c r="J178" s="670" t="s">
        <v>244</v>
      </c>
      <c r="K178" s="670"/>
      <c r="L178" s="670"/>
      <c r="M178" s="670"/>
      <c r="S178" s="598"/>
      <c r="T178" s="598"/>
      <c r="U178" s="598"/>
      <c r="V178" s="598"/>
    </row>
    <row r="179" spans="1:22" s="407" customFormat="1">
      <c r="A179" s="624">
        <f t="shared" si="9"/>
        <v>20110701</v>
      </c>
      <c r="B179" s="620" t="s">
        <v>702</v>
      </c>
      <c r="C179" s="620" t="s">
        <v>372</v>
      </c>
      <c r="D179" s="621" t="str">
        <f t="shared" si="7"/>
        <v>20110701KUUM_461</v>
      </c>
      <c r="E179" s="622">
        <f t="shared" si="8"/>
        <v>6.6499999999999995</v>
      </c>
      <c r="F179" s="669">
        <v>240</v>
      </c>
      <c r="G179" s="622">
        <v>0.73</v>
      </c>
      <c r="H179" s="622">
        <v>0.53</v>
      </c>
      <c r="I179" s="622">
        <v>5.39</v>
      </c>
      <c r="J179" s="670" t="s">
        <v>281</v>
      </c>
      <c r="K179" s="670"/>
      <c r="L179" s="670"/>
      <c r="M179" s="670"/>
      <c r="N179" s="415"/>
      <c r="S179" s="598"/>
      <c r="T179" s="598"/>
      <c r="U179" s="598"/>
      <c r="V179" s="598"/>
    </row>
    <row r="180" spans="1:22" s="407" customFormat="1">
      <c r="A180" s="624">
        <f t="shared" si="9"/>
        <v>20110701</v>
      </c>
      <c r="B180" s="620" t="s">
        <v>702</v>
      </c>
      <c r="C180" s="620" t="s">
        <v>381</v>
      </c>
      <c r="D180" s="621" t="str">
        <f t="shared" si="7"/>
        <v>20110701KUUM_462</v>
      </c>
      <c r="E180" s="622">
        <f t="shared" si="8"/>
        <v>7.52</v>
      </c>
      <c r="F180" s="669">
        <v>332</v>
      </c>
      <c r="G180" s="622">
        <v>0.94</v>
      </c>
      <c r="H180" s="622">
        <v>0.74</v>
      </c>
      <c r="I180" s="622">
        <v>5.84</v>
      </c>
      <c r="J180" s="670" t="s">
        <v>290</v>
      </c>
      <c r="K180" s="670"/>
      <c r="L180" s="670"/>
      <c r="M180" s="670"/>
      <c r="S180" s="598"/>
      <c r="T180" s="598"/>
      <c r="U180" s="598"/>
      <c r="V180" s="598"/>
    </row>
    <row r="181" spans="1:22" s="407" customFormat="1">
      <c r="A181" s="624">
        <f t="shared" si="9"/>
        <v>20110701</v>
      </c>
      <c r="B181" s="620" t="s">
        <v>702</v>
      </c>
      <c r="C181" s="620" t="s">
        <v>404</v>
      </c>
      <c r="D181" s="621" t="str">
        <f t="shared" si="7"/>
        <v>20110701KUUM_463</v>
      </c>
      <c r="E181" s="622">
        <f t="shared" si="8"/>
        <v>8.120000000000001</v>
      </c>
      <c r="F181" s="669">
        <v>468</v>
      </c>
      <c r="G181" s="622">
        <v>0.75</v>
      </c>
      <c r="H181" s="622">
        <v>1.04</v>
      </c>
      <c r="I181" s="622">
        <v>6.33</v>
      </c>
      <c r="J181" s="670" t="s">
        <v>313</v>
      </c>
      <c r="K181" s="670"/>
      <c r="L181" s="670"/>
      <c r="M181" s="670"/>
      <c r="S181" s="598"/>
      <c r="T181" s="598"/>
      <c r="U181" s="598"/>
      <c r="V181" s="598"/>
    </row>
    <row r="182" spans="1:22" s="407" customFormat="1">
      <c r="A182" s="624">
        <f t="shared" si="9"/>
        <v>20110701</v>
      </c>
      <c r="B182" s="620" t="s">
        <v>702</v>
      </c>
      <c r="C182" s="620" t="s">
        <v>361</v>
      </c>
      <c r="D182" s="621" t="str">
        <f t="shared" si="7"/>
        <v>20110701KUUM_464</v>
      </c>
      <c r="E182" s="622">
        <f t="shared" si="8"/>
        <v>12.51</v>
      </c>
      <c r="F182" s="669">
        <v>968</v>
      </c>
      <c r="G182" s="622">
        <v>1.25</v>
      </c>
      <c r="H182" s="622">
        <v>2.15</v>
      </c>
      <c r="I182" s="622">
        <v>9.11</v>
      </c>
      <c r="J182" s="670" t="s">
        <v>270</v>
      </c>
      <c r="K182" s="670"/>
      <c r="L182" s="670"/>
      <c r="M182" s="670"/>
      <c r="S182" s="598"/>
      <c r="T182" s="598"/>
      <c r="U182" s="598"/>
      <c r="V182" s="598"/>
    </row>
    <row r="183" spans="1:22" s="407" customFormat="1">
      <c r="A183" s="624">
        <f t="shared" si="9"/>
        <v>20110701</v>
      </c>
      <c r="B183" s="620" t="s">
        <v>702</v>
      </c>
      <c r="C183" s="620" t="s">
        <v>393</v>
      </c>
      <c r="D183" s="621" t="str">
        <f t="shared" si="7"/>
        <v>20110701KUUM_465</v>
      </c>
      <c r="E183" s="622">
        <f t="shared" si="8"/>
        <v>20.36</v>
      </c>
      <c r="F183" s="669">
        <v>1884</v>
      </c>
      <c r="G183" s="622">
        <v>1.83</v>
      </c>
      <c r="H183" s="622">
        <v>4.18</v>
      </c>
      <c r="I183" s="622">
        <v>14.35</v>
      </c>
      <c r="J183" s="670" t="s">
        <v>302</v>
      </c>
      <c r="K183" s="670"/>
      <c r="L183" s="670"/>
      <c r="M183" s="670"/>
      <c r="S183" s="598"/>
      <c r="T183" s="598"/>
      <c r="U183" s="598"/>
      <c r="V183" s="598"/>
    </row>
    <row r="184" spans="1:22" s="407" customFormat="1">
      <c r="A184" s="624">
        <f t="shared" si="9"/>
        <v>20110701</v>
      </c>
      <c r="B184" s="620" t="s">
        <v>702</v>
      </c>
      <c r="C184" s="620" t="s">
        <v>379</v>
      </c>
      <c r="D184" s="621" t="str">
        <f t="shared" si="7"/>
        <v>20110701KUUM_466</v>
      </c>
      <c r="E184" s="622">
        <f t="shared" si="8"/>
        <v>8.65</v>
      </c>
      <c r="F184" s="669">
        <v>240</v>
      </c>
      <c r="G184" s="622">
        <v>0.73</v>
      </c>
      <c r="H184" s="622">
        <v>0.53</v>
      </c>
      <c r="I184" s="622">
        <v>7.39</v>
      </c>
      <c r="J184" s="670" t="s">
        <v>288</v>
      </c>
      <c r="K184" s="670"/>
      <c r="L184" s="670"/>
      <c r="M184" s="670"/>
      <c r="S184" s="598"/>
      <c r="T184" s="598"/>
      <c r="U184" s="598"/>
      <c r="V184" s="598"/>
    </row>
    <row r="185" spans="1:22" s="407" customFormat="1">
      <c r="A185" s="624">
        <f t="shared" si="9"/>
        <v>20110701</v>
      </c>
      <c r="B185" s="620" t="s">
        <v>702</v>
      </c>
      <c r="C185" s="620" t="s">
        <v>389</v>
      </c>
      <c r="D185" s="621" t="str">
        <f t="shared" si="7"/>
        <v>20110701KUUM_467</v>
      </c>
      <c r="E185" s="622">
        <f t="shared" si="8"/>
        <v>9.5500000000000007</v>
      </c>
      <c r="F185" s="669">
        <v>332</v>
      </c>
      <c r="G185" s="622">
        <v>0.94</v>
      </c>
      <c r="H185" s="622">
        <v>0.74</v>
      </c>
      <c r="I185" s="622">
        <v>7.870000000000001</v>
      </c>
      <c r="J185" s="670" t="s">
        <v>298</v>
      </c>
      <c r="K185" s="670"/>
      <c r="L185" s="670"/>
      <c r="M185" s="670"/>
      <c r="S185" s="598"/>
      <c r="T185" s="598"/>
      <c r="U185" s="598"/>
      <c r="V185" s="598"/>
    </row>
    <row r="186" spans="1:22" s="407" customFormat="1">
      <c r="A186" s="624">
        <f t="shared" si="9"/>
        <v>20110701</v>
      </c>
      <c r="B186" s="620" t="s">
        <v>702</v>
      </c>
      <c r="C186" s="620" t="s">
        <v>412</v>
      </c>
      <c r="D186" s="621" t="str">
        <f t="shared" si="7"/>
        <v>20110701KUUM_468</v>
      </c>
      <c r="E186" s="622">
        <f t="shared" si="8"/>
        <v>10.059999999999999</v>
      </c>
      <c r="F186" s="669">
        <v>468</v>
      </c>
      <c r="G186" s="622">
        <v>0.75</v>
      </c>
      <c r="H186" s="622">
        <v>1.04</v>
      </c>
      <c r="I186" s="622">
        <v>8.27</v>
      </c>
      <c r="J186" s="670" t="s">
        <v>321</v>
      </c>
      <c r="K186" s="670"/>
      <c r="L186" s="670"/>
      <c r="M186" s="670"/>
      <c r="S186" s="598"/>
      <c r="T186" s="598"/>
      <c r="U186" s="598"/>
      <c r="V186" s="598"/>
    </row>
    <row r="187" spans="1:22" s="407" customFormat="1">
      <c r="A187" s="624">
        <f t="shared" si="9"/>
        <v>20110701</v>
      </c>
      <c r="B187" s="620" t="s">
        <v>703</v>
      </c>
      <c r="C187" s="620" t="s">
        <v>367</v>
      </c>
      <c r="D187" s="621" t="str">
        <f t="shared" si="7"/>
        <v>20110701KUUM_469</v>
      </c>
      <c r="E187" s="622">
        <f t="shared" si="8"/>
        <v>30.060000000000002</v>
      </c>
      <c r="F187" s="669">
        <v>1400</v>
      </c>
      <c r="G187" s="622">
        <v>1.79</v>
      </c>
      <c r="H187" s="622">
        <v>4.03</v>
      </c>
      <c r="I187" s="622">
        <v>24.240000000000002</v>
      </c>
      <c r="J187" s="670" t="s">
        <v>276</v>
      </c>
      <c r="K187" s="670"/>
      <c r="L187" s="670"/>
      <c r="M187" s="670"/>
      <c r="S187" s="598"/>
      <c r="T187" s="598"/>
      <c r="U187" s="598"/>
      <c r="V187" s="598"/>
    </row>
    <row r="188" spans="1:22" s="407" customFormat="1">
      <c r="A188" s="624">
        <f t="shared" si="9"/>
        <v>20110701</v>
      </c>
      <c r="B188" s="620" t="s">
        <v>703</v>
      </c>
      <c r="C188" s="620" t="s">
        <v>330</v>
      </c>
      <c r="D188" s="621" t="str">
        <f t="shared" si="7"/>
        <v>20110701KUUM_470</v>
      </c>
      <c r="E188" s="622">
        <f t="shared" si="8"/>
        <v>49.36</v>
      </c>
      <c r="F188" s="669">
        <v>4320</v>
      </c>
      <c r="G188" s="622">
        <v>3.59</v>
      </c>
      <c r="H188" s="622">
        <v>9.6</v>
      </c>
      <c r="I188" s="622">
        <v>36.17</v>
      </c>
      <c r="J188" s="622" t="s">
        <v>239</v>
      </c>
      <c r="K188" s="670"/>
      <c r="L188" s="670"/>
      <c r="M188" s="670"/>
      <c r="S188" s="598"/>
      <c r="T188" s="598"/>
      <c r="U188" s="598"/>
      <c r="V188" s="598"/>
    </row>
    <row r="189" spans="1:22" s="407" customFormat="1">
      <c r="A189" s="624">
        <f t="shared" si="9"/>
        <v>20110701</v>
      </c>
      <c r="B189" s="620" t="s">
        <v>702</v>
      </c>
      <c r="C189" s="620" t="s">
        <v>371</v>
      </c>
      <c r="D189" s="621" t="str">
        <f t="shared" si="7"/>
        <v>20110701KUUM_471</v>
      </c>
      <c r="E189" s="622">
        <f t="shared" si="8"/>
        <v>9.4799999999999986</v>
      </c>
      <c r="F189" s="669">
        <v>240</v>
      </c>
      <c r="G189" s="622">
        <v>0.73</v>
      </c>
      <c r="H189" s="622">
        <v>0.53</v>
      </c>
      <c r="I189" s="622">
        <v>8.2199999999999989</v>
      </c>
      <c r="J189" s="670" t="s">
        <v>280</v>
      </c>
      <c r="K189" s="670"/>
      <c r="L189" s="670"/>
      <c r="M189" s="670"/>
      <c r="S189" s="598"/>
      <c r="T189" s="598"/>
      <c r="U189" s="598"/>
      <c r="V189" s="598"/>
    </row>
    <row r="190" spans="1:22" s="407" customFormat="1">
      <c r="A190" s="624">
        <f t="shared" si="9"/>
        <v>20110701</v>
      </c>
      <c r="B190" s="620" t="s">
        <v>702</v>
      </c>
      <c r="C190" s="620" t="s">
        <v>380</v>
      </c>
      <c r="D190" s="621" t="str">
        <f t="shared" si="7"/>
        <v>20110701KUUM_472</v>
      </c>
      <c r="E190" s="622">
        <f t="shared" si="8"/>
        <v>10.35</v>
      </c>
      <c r="F190" s="669">
        <v>332</v>
      </c>
      <c r="G190" s="622">
        <v>0.94</v>
      </c>
      <c r="H190" s="622">
        <v>0.74</v>
      </c>
      <c r="I190" s="622">
        <v>8.67</v>
      </c>
      <c r="J190" s="670" t="s">
        <v>289</v>
      </c>
      <c r="K190" s="670"/>
      <c r="L190" s="670"/>
      <c r="M190" s="670"/>
      <c r="S190" s="598"/>
      <c r="T190" s="598"/>
      <c r="U190" s="598"/>
      <c r="V190" s="598"/>
    </row>
    <row r="191" spans="1:22" s="407" customFormat="1">
      <c r="A191" s="624">
        <f t="shared" si="9"/>
        <v>20110701</v>
      </c>
      <c r="B191" s="620" t="s">
        <v>702</v>
      </c>
      <c r="C191" s="620" t="s">
        <v>403</v>
      </c>
      <c r="D191" s="621" t="str">
        <f t="shared" si="7"/>
        <v>20110701KUUM_473</v>
      </c>
      <c r="E191" s="622">
        <f t="shared" si="8"/>
        <v>11.16</v>
      </c>
      <c r="F191" s="669">
        <v>468</v>
      </c>
      <c r="G191" s="622">
        <v>0.75</v>
      </c>
      <c r="H191" s="622">
        <v>1.04</v>
      </c>
      <c r="I191" s="622">
        <v>9.3699999999999992</v>
      </c>
      <c r="J191" s="670" t="s">
        <v>312</v>
      </c>
      <c r="K191" s="670"/>
      <c r="L191" s="670"/>
      <c r="M191" s="670"/>
      <c r="S191" s="598"/>
      <c r="T191" s="598"/>
      <c r="U191" s="598"/>
      <c r="V191" s="598"/>
    </row>
    <row r="192" spans="1:22" s="407" customFormat="1">
      <c r="A192" s="624">
        <f t="shared" si="9"/>
        <v>20110701</v>
      </c>
      <c r="B192" s="620" t="s">
        <v>702</v>
      </c>
      <c r="C192" s="620" t="s">
        <v>360</v>
      </c>
      <c r="D192" s="621" t="str">
        <f t="shared" si="7"/>
        <v>20110701KUUM_474</v>
      </c>
      <c r="E192" s="622">
        <f t="shared" si="8"/>
        <v>15.549999999999999</v>
      </c>
      <c r="F192" s="669">
        <v>968</v>
      </c>
      <c r="G192" s="622">
        <v>1.25</v>
      </c>
      <c r="H192" s="622">
        <v>2.15</v>
      </c>
      <c r="I192" s="622">
        <v>12.149999999999999</v>
      </c>
      <c r="J192" s="670" t="s">
        <v>269</v>
      </c>
      <c r="K192" s="670"/>
      <c r="L192" s="670"/>
      <c r="M192" s="670"/>
      <c r="S192" s="598"/>
      <c r="T192" s="598"/>
      <c r="U192" s="598"/>
      <c r="V192" s="598"/>
    </row>
    <row r="193" spans="1:22" s="407" customFormat="1">
      <c r="A193" s="624">
        <f t="shared" si="9"/>
        <v>20110701</v>
      </c>
      <c r="B193" s="620" t="s">
        <v>702</v>
      </c>
      <c r="C193" s="620" t="s">
        <v>392</v>
      </c>
      <c r="D193" s="621" t="str">
        <f t="shared" si="7"/>
        <v>20110701KUUM_475</v>
      </c>
      <c r="E193" s="622">
        <f t="shared" si="8"/>
        <v>21.92</v>
      </c>
      <c r="F193" s="669">
        <v>1884</v>
      </c>
      <c r="G193" s="622">
        <v>1.83</v>
      </c>
      <c r="H193" s="622">
        <v>4.18</v>
      </c>
      <c r="I193" s="622">
        <v>15.91</v>
      </c>
      <c r="J193" s="670" t="s">
        <v>301</v>
      </c>
      <c r="K193" s="670"/>
      <c r="L193" s="670"/>
      <c r="M193" s="670"/>
      <c r="S193" s="598"/>
      <c r="T193" s="598"/>
      <c r="U193" s="598"/>
      <c r="V193" s="598"/>
    </row>
    <row r="194" spans="1:22" s="407" customFormat="1">
      <c r="A194" s="624">
        <f t="shared" si="9"/>
        <v>20110701</v>
      </c>
      <c r="B194" s="620" t="s">
        <v>703</v>
      </c>
      <c r="C194" s="620" t="s">
        <v>390</v>
      </c>
      <c r="D194" s="621" t="str">
        <f t="shared" si="7"/>
        <v>20110701KUUM_476</v>
      </c>
      <c r="E194" s="622">
        <v>15.28</v>
      </c>
      <c r="F194" s="669">
        <v>332</v>
      </c>
      <c r="G194" s="622">
        <v>0.94</v>
      </c>
      <c r="H194" s="622">
        <v>0.74</v>
      </c>
      <c r="I194" s="622">
        <f>E194-G194-H194</f>
        <v>13.6</v>
      </c>
      <c r="J194" s="670" t="s">
        <v>299</v>
      </c>
      <c r="K194" s="670"/>
      <c r="L194" s="670"/>
      <c r="M194" s="670"/>
      <c r="S194" s="598"/>
      <c r="T194" s="598"/>
      <c r="U194" s="598"/>
      <c r="V194" s="598"/>
    </row>
    <row r="195" spans="1:22" s="407" customFormat="1">
      <c r="A195" s="624">
        <f t="shared" si="9"/>
        <v>20110701</v>
      </c>
      <c r="B195" s="620" t="s">
        <v>703</v>
      </c>
      <c r="C195" s="620" t="s">
        <v>414</v>
      </c>
      <c r="D195" s="621" t="str">
        <f t="shared" si="7"/>
        <v>20110701KUUM_477</v>
      </c>
      <c r="E195" s="622">
        <v>17.899999999999999</v>
      </c>
      <c r="F195" s="669">
        <v>468</v>
      </c>
      <c r="G195" s="622">
        <v>0.75</v>
      </c>
      <c r="H195" s="622">
        <v>1.04</v>
      </c>
      <c r="I195" s="622">
        <f>E195-G195-H195</f>
        <v>16.11</v>
      </c>
      <c r="J195" s="670" t="s">
        <v>323</v>
      </c>
      <c r="K195" s="670"/>
      <c r="L195" s="670"/>
      <c r="M195" s="670"/>
      <c r="S195" s="598"/>
      <c r="T195" s="598"/>
      <c r="U195" s="598"/>
      <c r="V195" s="598"/>
    </row>
    <row r="196" spans="1:22" s="407" customFormat="1">
      <c r="A196" s="624">
        <f t="shared" si="9"/>
        <v>20110701</v>
      </c>
      <c r="B196" s="620" t="s">
        <v>703</v>
      </c>
      <c r="C196" s="620" t="s">
        <v>364</v>
      </c>
      <c r="D196" s="621" t="str">
        <f t="shared" si="7"/>
        <v>20110701KUUM_478</v>
      </c>
      <c r="E196" s="622">
        <v>21.58</v>
      </c>
      <c r="F196" s="669">
        <v>968</v>
      </c>
      <c r="G196" s="622">
        <v>1.25</v>
      </c>
      <c r="H196" s="622">
        <v>2.15</v>
      </c>
      <c r="I196" s="622">
        <f>E196-G196-H196</f>
        <v>18.18</v>
      </c>
      <c r="J196" s="670" t="s">
        <v>273</v>
      </c>
      <c r="K196" s="670"/>
      <c r="L196" s="670"/>
      <c r="M196" s="670"/>
      <c r="S196" s="598"/>
      <c r="T196" s="598"/>
      <c r="U196" s="598"/>
      <c r="V196" s="598"/>
    </row>
    <row r="197" spans="1:22" s="407" customFormat="1">
      <c r="A197" s="624">
        <f t="shared" si="9"/>
        <v>20110701</v>
      </c>
      <c r="B197" s="620" t="s">
        <v>703</v>
      </c>
      <c r="C197" s="620" t="s">
        <v>396</v>
      </c>
      <c r="D197" s="621" t="str">
        <f t="shared" si="7"/>
        <v>20110701KUUM_479</v>
      </c>
      <c r="E197" s="622">
        <v>27.54</v>
      </c>
      <c r="F197" s="669">
        <v>1884</v>
      </c>
      <c r="G197" s="622">
        <v>1.83</v>
      </c>
      <c r="H197" s="622">
        <v>4.18</v>
      </c>
      <c r="I197" s="622">
        <f>E197-G197-H197</f>
        <v>21.53</v>
      </c>
      <c r="J197" s="670" t="s">
        <v>305</v>
      </c>
      <c r="K197" s="670"/>
      <c r="L197" s="670"/>
      <c r="M197" s="670"/>
      <c r="S197" s="598"/>
      <c r="T197" s="598"/>
      <c r="U197" s="598"/>
      <c r="V197" s="598"/>
    </row>
    <row r="198" spans="1:22" s="407" customFormat="1">
      <c r="A198" s="624">
        <f t="shared" si="9"/>
        <v>20110701</v>
      </c>
      <c r="B198" s="620" t="s">
        <v>703</v>
      </c>
      <c r="C198" s="620" t="s">
        <v>378</v>
      </c>
      <c r="D198" s="621" t="str">
        <f t="shared" si="7"/>
        <v>20110701KUUM_480</v>
      </c>
      <c r="E198" s="622">
        <f t="shared" si="8"/>
        <v>8.65</v>
      </c>
      <c r="F198" s="669">
        <v>240</v>
      </c>
      <c r="G198" s="622">
        <v>0.73</v>
      </c>
      <c r="H198" s="622">
        <v>0.53</v>
      </c>
      <c r="I198" s="622">
        <v>7.39</v>
      </c>
      <c r="J198" s="670" t="s">
        <v>287</v>
      </c>
      <c r="K198" s="670"/>
      <c r="L198" s="670"/>
      <c r="M198" s="670"/>
      <c r="S198" s="598"/>
      <c r="T198" s="598"/>
      <c r="U198" s="598"/>
      <c r="V198" s="598"/>
    </row>
    <row r="199" spans="1:22" s="407" customFormat="1">
      <c r="A199" s="624">
        <f t="shared" si="9"/>
        <v>20110701</v>
      </c>
      <c r="B199" s="620" t="s">
        <v>703</v>
      </c>
      <c r="C199" s="620" t="s">
        <v>388</v>
      </c>
      <c r="D199" s="621" t="str">
        <f t="shared" si="7"/>
        <v>20110701KUUM_481</v>
      </c>
      <c r="E199" s="622">
        <f t="shared" si="8"/>
        <v>9.5500000000000007</v>
      </c>
      <c r="F199" s="669">
        <v>332</v>
      </c>
      <c r="G199" s="622">
        <v>0.94</v>
      </c>
      <c r="H199" s="622">
        <v>0.74</v>
      </c>
      <c r="I199" s="622">
        <v>7.870000000000001</v>
      </c>
      <c r="J199" s="670" t="s">
        <v>297</v>
      </c>
      <c r="K199" s="670"/>
      <c r="L199" s="670"/>
      <c r="M199" s="670"/>
      <c r="S199" s="598"/>
      <c r="T199" s="598"/>
      <c r="U199" s="598"/>
      <c r="V199" s="598"/>
    </row>
    <row r="200" spans="1:22" s="407" customFormat="1">
      <c r="A200" s="624">
        <f t="shared" si="9"/>
        <v>20110701</v>
      </c>
      <c r="B200" s="620" t="s">
        <v>703</v>
      </c>
      <c r="C200" s="620" t="s">
        <v>411</v>
      </c>
      <c r="D200" s="621" t="str">
        <f t="shared" si="7"/>
        <v>20110701KUUM_482</v>
      </c>
      <c r="E200" s="622">
        <f t="shared" si="8"/>
        <v>10.059999999999999</v>
      </c>
      <c r="F200" s="669">
        <v>468</v>
      </c>
      <c r="G200" s="622">
        <v>0.75</v>
      </c>
      <c r="H200" s="622">
        <v>1.04</v>
      </c>
      <c r="I200" s="622">
        <v>8.27</v>
      </c>
      <c r="J200" s="670" t="s">
        <v>320</v>
      </c>
      <c r="K200" s="670"/>
      <c r="L200" s="670"/>
      <c r="M200" s="670"/>
      <c r="S200" s="598"/>
      <c r="T200" s="598"/>
      <c r="U200" s="598"/>
      <c r="V200" s="598"/>
    </row>
    <row r="201" spans="1:22" s="407" customFormat="1">
      <c r="A201" s="624">
        <f t="shared" ref="A201:A215" si="10">A200</f>
        <v>20110701</v>
      </c>
      <c r="B201" s="620" t="s">
        <v>703</v>
      </c>
      <c r="C201" s="625" t="s">
        <v>439</v>
      </c>
      <c r="D201" s="621" t="str">
        <f t="shared" ref="D201:D215" si="11">A201&amp;C201</f>
        <v>20110701KUUM_483</v>
      </c>
      <c r="E201" s="622">
        <f t="shared" ref="E201:E215" si="12">SUM(G201:I201)</f>
        <v>21.429999999999996</v>
      </c>
      <c r="F201" s="669">
        <v>332</v>
      </c>
      <c r="G201" s="622">
        <v>0.94</v>
      </c>
      <c r="H201" s="622">
        <v>0.74</v>
      </c>
      <c r="I201" s="622">
        <v>19.749999999999996</v>
      </c>
      <c r="J201" s="671" t="s">
        <v>417</v>
      </c>
      <c r="K201" s="670"/>
      <c r="L201" s="670"/>
      <c r="M201" s="670"/>
      <c r="S201" s="598"/>
      <c r="T201" s="598"/>
      <c r="U201" s="598"/>
      <c r="V201" s="598"/>
    </row>
    <row r="202" spans="1:22" s="407" customFormat="1">
      <c r="A202" s="624">
        <f t="shared" si="10"/>
        <v>20110701</v>
      </c>
      <c r="B202" s="620" t="s">
        <v>703</v>
      </c>
      <c r="C202" s="620" t="s">
        <v>413</v>
      </c>
      <c r="D202" s="621" t="str">
        <f t="shared" si="11"/>
        <v>20110701KUUM_484</v>
      </c>
      <c r="E202" s="622">
        <f t="shared" si="12"/>
        <v>21.56</v>
      </c>
      <c r="F202" s="669">
        <v>468</v>
      </c>
      <c r="G202" s="622">
        <v>0.75</v>
      </c>
      <c r="H202" s="622">
        <v>1.04</v>
      </c>
      <c r="I202" s="622">
        <v>19.77</v>
      </c>
      <c r="J202" s="670" t="s">
        <v>322</v>
      </c>
      <c r="K202" s="670"/>
      <c r="L202" s="670"/>
      <c r="M202" s="670"/>
      <c r="S202" s="598"/>
      <c r="T202" s="598"/>
      <c r="U202" s="598"/>
      <c r="V202" s="598"/>
    </row>
    <row r="203" spans="1:22" s="407" customFormat="1">
      <c r="A203" s="624">
        <f t="shared" si="10"/>
        <v>20110701</v>
      </c>
      <c r="B203" s="620" t="s">
        <v>703</v>
      </c>
      <c r="C203" s="625" t="s">
        <v>428</v>
      </c>
      <c r="D203" s="621" t="str">
        <f t="shared" si="11"/>
        <v>20110701KUUM_484.1</v>
      </c>
      <c r="E203" s="622">
        <f t="shared" si="12"/>
        <v>35.65</v>
      </c>
      <c r="F203" s="669">
        <v>936</v>
      </c>
      <c r="G203" s="622">
        <v>1.5</v>
      </c>
      <c r="H203" s="622">
        <v>2.08</v>
      </c>
      <c r="I203" s="622">
        <v>32.07</v>
      </c>
      <c r="J203" s="671" t="s">
        <v>429</v>
      </c>
      <c r="K203" s="670"/>
      <c r="L203" s="670"/>
      <c r="M203" s="670"/>
      <c r="S203" s="598"/>
      <c r="T203" s="598"/>
      <c r="U203" s="598"/>
      <c r="V203" s="598"/>
    </row>
    <row r="204" spans="1:22" s="407" customFormat="1">
      <c r="A204" s="624">
        <f t="shared" si="10"/>
        <v>20110701</v>
      </c>
      <c r="B204" s="620" t="s">
        <v>703</v>
      </c>
      <c r="C204" s="620" t="s">
        <v>363</v>
      </c>
      <c r="D204" s="621" t="str">
        <f t="shared" si="11"/>
        <v>20110701KUUM_485</v>
      </c>
      <c r="E204" s="622">
        <f t="shared" si="12"/>
        <v>27.31</v>
      </c>
      <c r="F204" s="669">
        <v>968</v>
      </c>
      <c r="G204" s="622">
        <v>1.25</v>
      </c>
      <c r="H204" s="622">
        <v>2.15</v>
      </c>
      <c r="I204" s="622">
        <v>23.91</v>
      </c>
      <c r="J204" s="670" t="s">
        <v>272</v>
      </c>
      <c r="K204" s="670"/>
      <c r="L204" s="670"/>
      <c r="M204" s="670"/>
      <c r="S204" s="598"/>
      <c r="T204" s="598"/>
      <c r="U204" s="598"/>
      <c r="V204" s="598"/>
    </row>
    <row r="205" spans="1:22" s="407" customFormat="1">
      <c r="A205" s="624">
        <f t="shared" si="10"/>
        <v>20110701</v>
      </c>
      <c r="B205" s="620" t="s">
        <v>703</v>
      </c>
      <c r="C205" s="620" t="s">
        <v>395</v>
      </c>
      <c r="D205" s="621" t="str">
        <f t="shared" si="11"/>
        <v>20110701KUUM_486</v>
      </c>
      <c r="E205" s="622">
        <f t="shared" si="12"/>
        <v>30.53</v>
      </c>
      <c r="F205" s="669">
        <v>1884</v>
      </c>
      <c r="G205" s="622">
        <v>1.83</v>
      </c>
      <c r="H205" s="622">
        <v>4.18</v>
      </c>
      <c r="I205" s="622">
        <v>24.52</v>
      </c>
      <c r="J205" s="670" t="s">
        <v>304</v>
      </c>
      <c r="K205" s="670"/>
      <c r="L205" s="670"/>
      <c r="M205" s="670"/>
      <c r="S205" s="598"/>
      <c r="T205" s="598"/>
      <c r="U205" s="598"/>
      <c r="V205" s="598"/>
    </row>
    <row r="206" spans="1:22" s="407" customFormat="1">
      <c r="A206" s="624">
        <f t="shared" si="10"/>
        <v>20110701</v>
      </c>
      <c r="B206" s="620" t="s">
        <v>703</v>
      </c>
      <c r="C206" s="620" t="s">
        <v>415</v>
      </c>
      <c r="D206" s="621" t="str">
        <f t="shared" si="11"/>
        <v>20110701KUUM_487</v>
      </c>
      <c r="E206" s="622">
        <f t="shared" si="12"/>
        <v>7.9799999999999995</v>
      </c>
      <c r="F206" s="669">
        <v>468</v>
      </c>
      <c r="G206" s="622">
        <v>0.75</v>
      </c>
      <c r="H206" s="622">
        <v>1.04</v>
      </c>
      <c r="I206" s="622">
        <v>6.1899999999999995</v>
      </c>
      <c r="J206" s="670" t="s">
        <v>324</v>
      </c>
      <c r="K206" s="670"/>
      <c r="L206" s="670"/>
      <c r="M206" s="670"/>
      <c r="S206" s="598"/>
      <c r="T206" s="598"/>
      <c r="U206" s="598"/>
      <c r="V206" s="598"/>
    </row>
    <row r="207" spans="1:22" s="407" customFormat="1">
      <c r="A207" s="624">
        <f t="shared" si="10"/>
        <v>20110701</v>
      </c>
      <c r="B207" s="620" t="s">
        <v>703</v>
      </c>
      <c r="C207" s="620" t="s">
        <v>365</v>
      </c>
      <c r="D207" s="621" t="str">
        <f t="shared" si="11"/>
        <v>20110701KUUM_488</v>
      </c>
      <c r="E207" s="622">
        <f t="shared" si="12"/>
        <v>11.92</v>
      </c>
      <c r="F207" s="669">
        <v>968</v>
      </c>
      <c r="G207" s="622">
        <v>1.25</v>
      </c>
      <c r="H207" s="622">
        <v>2.15</v>
      </c>
      <c r="I207" s="622">
        <v>8.52</v>
      </c>
      <c r="J207" s="670" t="s">
        <v>274</v>
      </c>
      <c r="K207" s="670"/>
      <c r="L207" s="670"/>
      <c r="M207" s="670"/>
      <c r="S207" s="598"/>
      <c r="T207" s="598"/>
      <c r="U207" s="598"/>
      <c r="V207" s="598"/>
    </row>
    <row r="208" spans="1:22" s="407" customFormat="1">
      <c r="A208" s="624">
        <f t="shared" si="10"/>
        <v>20110701</v>
      </c>
      <c r="B208" s="620" t="s">
        <v>703</v>
      </c>
      <c r="C208" s="620" t="s">
        <v>397</v>
      </c>
      <c r="D208" s="621" t="str">
        <f t="shared" si="11"/>
        <v>20110701KUUM_489</v>
      </c>
      <c r="E208" s="622">
        <f t="shared" si="12"/>
        <v>17.11</v>
      </c>
      <c r="F208" s="669">
        <v>1884</v>
      </c>
      <c r="G208" s="622">
        <v>1.83</v>
      </c>
      <c r="H208" s="622">
        <v>4.18</v>
      </c>
      <c r="I208" s="622">
        <v>11.1</v>
      </c>
      <c r="J208" s="670" t="s">
        <v>306</v>
      </c>
      <c r="K208" s="670"/>
      <c r="L208" s="670"/>
      <c r="M208" s="670"/>
      <c r="S208" s="598"/>
      <c r="T208" s="598"/>
      <c r="U208" s="598"/>
      <c r="V208" s="598"/>
    </row>
    <row r="209" spans="1:22" s="407" customFormat="1">
      <c r="A209" s="624">
        <f t="shared" si="10"/>
        <v>20110701</v>
      </c>
      <c r="B209" s="620" t="s">
        <v>703</v>
      </c>
      <c r="C209" s="620" t="s">
        <v>337</v>
      </c>
      <c r="D209" s="621" t="str">
        <f t="shared" si="11"/>
        <v>20110701KUUM_490</v>
      </c>
      <c r="E209" s="622">
        <f t="shared" si="12"/>
        <v>13.510000000000002</v>
      </c>
      <c r="F209" s="669">
        <v>600</v>
      </c>
      <c r="G209" s="622">
        <v>1.38</v>
      </c>
      <c r="H209" s="622">
        <v>1.86</v>
      </c>
      <c r="I209" s="622">
        <v>10.270000000000001</v>
      </c>
      <c r="J209" s="670" t="s">
        <v>246</v>
      </c>
      <c r="K209" s="670"/>
      <c r="L209" s="670"/>
      <c r="M209" s="670"/>
      <c r="S209" s="598"/>
      <c r="T209" s="598"/>
      <c r="U209" s="598"/>
      <c r="V209" s="598"/>
    </row>
    <row r="210" spans="1:22" s="407" customFormat="1">
      <c r="A210" s="624">
        <f t="shared" si="10"/>
        <v>20110701</v>
      </c>
      <c r="B210" s="620" t="s">
        <v>703</v>
      </c>
      <c r="C210" s="620" t="s">
        <v>369</v>
      </c>
      <c r="D210" s="621" t="str">
        <f t="shared" si="11"/>
        <v>20110701KUUM_491</v>
      </c>
      <c r="E210" s="622">
        <f t="shared" si="12"/>
        <v>19.320000000000004</v>
      </c>
      <c r="F210" s="669">
        <v>1400</v>
      </c>
      <c r="G210" s="622">
        <v>1.79</v>
      </c>
      <c r="H210" s="622">
        <v>4.03</v>
      </c>
      <c r="I210" s="622">
        <v>13.500000000000004</v>
      </c>
      <c r="J210" s="670" t="s">
        <v>278</v>
      </c>
      <c r="K210" s="670"/>
      <c r="L210" s="670"/>
      <c r="M210" s="670"/>
      <c r="S210" s="598"/>
      <c r="T210" s="598"/>
      <c r="U210" s="598"/>
      <c r="V210" s="598"/>
    </row>
    <row r="211" spans="1:22" s="407" customFormat="1">
      <c r="A211" s="624">
        <f t="shared" si="10"/>
        <v>20110701</v>
      </c>
      <c r="B211" s="620" t="s">
        <v>703</v>
      </c>
      <c r="C211" s="625" t="s">
        <v>715</v>
      </c>
      <c r="D211" s="621" t="str">
        <f t="shared" si="11"/>
        <v>20110701KUUM_492</v>
      </c>
      <c r="E211" s="622">
        <v>13.97</v>
      </c>
      <c r="F211" s="669">
        <v>332</v>
      </c>
      <c r="G211" s="622">
        <v>0.94</v>
      </c>
      <c r="H211" s="622">
        <v>0.74</v>
      </c>
      <c r="I211" s="622">
        <f>E211-G211-H211</f>
        <v>12.290000000000001</v>
      </c>
      <c r="J211" s="671" t="s">
        <v>681</v>
      </c>
      <c r="K211" s="670"/>
      <c r="L211" s="670"/>
      <c r="M211" s="670"/>
      <c r="S211" s="598"/>
      <c r="T211" s="598"/>
      <c r="U211" s="598"/>
      <c r="V211" s="598"/>
    </row>
    <row r="212" spans="1:22" s="407" customFormat="1">
      <c r="A212" s="624">
        <f t="shared" si="10"/>
        <v>20110701</v>
      </c>
      <c r="B212" s="620" t="s">
        <v>703</v>
      </c>
      <c r="C212" s="620" t="s">
        <v>332</v>
      </c>
      <c r="D212" s="621" t="str">
        <f t="shared" si="11"/>
        <v>20110701KUUM_493</v>
      </c>
      <c r="E212" s="622">
        <f t="shared" si="12"/>
        <v>40.17</v>
      </c>
      <c r="F212" s="669">
        <v>4320</v>
      </c>
      <c r="G212" s="622">
        <v>3.59</v>
      </c>
      <c r="H212" s="622">
        <v>9.6</v>
      </c>
      <c r="I212" s="622">
        <v>26.98</v>
      </c>
      <c r="J212" s="670" t="s">
        <v>241</v>
      </c>
      <c r="K212" s="670"/>
      <c r="L212" s="670"/>
      <c r="M212" s="670"/>
      <c r="S212" s="598"/>
      <c r="T212" s="598"/>
      <c r="U212" s="598"/>
      <c r="V212" s="598"/>
    </row>
    <row r="213" spans="1:22" s="407" customFormat="1">
      <c r="A213" s="624">
        <f t="shared" si="10"/>
        <v>20110701</v>
      </c>
      <c r="B213" s="620" t="s">
        <v>703</v>
      </c>
      <c r="C213" s="620" t="s">
        <v>334</v>
      </c>
      <c r="D213" s="621" t="str">
        <f t="shared" si="11"/>
        <v>20110701KUUM_494</v>
      </c>
      <c r="E213" s="622">
        <f t="shared" si="12"/>
        <v>25.92</v>
      </c>
      <c r="F213" s="669">
        <v>600</v>
      </c>
      <c r="G213" s="622">
        <v>1.38</v>
      </c>
      <c r="H213" s="622">
        <v>1.86</v>
      </c>
      <c r="I213" s="622">
        <v>22.680000000000003</v>
      </c>
      <c r="J213" s="670" t="s">
        <v>243</v>
      </c>
      <c r="K213" s="670"/>
      <c r="L213" s="670"/>
      <c r="M213" s="670"/>
      <c r="S213" s="598"/>
      <c r="T213" s="598"/>
      <c r="U213" s="598"/>
      <c r="V213" s="598"/>
    </row>
    <row r="214" spans="1:22">
      <c r="A214" s="624">
        <f t="shared" si="10"/>
        <v>20110701</v>
      </c>
      <c r="B214" s="620" t="s">
        <v>703</v>
      </c>
      <c r="C214" s="620" t="s">
        <v>366</v>
      </c>
      <c r="D214" s="621" t="str">
        <f t="shared" si="11"/>
        <v>20110701KUUM_495</v>
      </c>
      <c r="E214" s="622">
        <f t="shared" si="12"/>
        <v>31.73</v>
      </c>
      <c r="F214" s="669">
        <v>1400</v>
      </c>
      <c r="G214" s="622">
        <v>1.79</v>
      </c>
      <c r="H214" s="622">
        <v>4.03</v>
      </c>
      <c r="I214" s="622">
        <v>25.91</v>
      </c>
      <c r="J214" s="670" t="s">
        <v>275</v>
      </c>
      <c r="K214" s="670"/>
      <c r="L214" s="670"/>
      <c r="M214" s="670"/>
      <c r="N214" s="404"/>
    </row>
    <row r="215" spans="1:22">
      <c r="A215" s="624">
        <f t="shared" si="10"/>
        <v>20110701</v>
      </c>
      <c r="B215" s="620" t="s">
        <v>703</v>
      </c>
      <c r="C215" s="620" t="s">
        <v>329</v>
      </c>
      <c r="D215" s="621" t="str">
        <f t="shared" si="11"/>
        <v>20110701KUUM_496</v>
      </c>
      <c r="E215" s="622">
        <f t="shared" si="12"/>
        <v>52.58</v>
      </c>
      <c r="F215" s="669">
        <v>4320</v>
      </c>
      <c r="G215" s="622">
        <v>3.59</v>
      </c>
      <c r="H215" s="622">
        <v>9.6</v>
      </c>
      <c r="I215" s="622">
        <v>39.39</v>
      </c>
      <c r="J215" s="622" t="s">
        <v>238</v>
      </c>
      <c r="K215" s="670"/>
      <c r="L215" s="670"/>
      <c r="M215" s="670"/>
      <c r="N215" s="404"/>
      <c r="O215" s="404"/>
      <c r="P215" s="404"/>
      <c r="Q215" s="599"/>
      <c r="R215" s="599"/>
    </row>
    <row r="216" spans="1:22">
      <c r="A216" s="624">
        <f>A214</f>
        <v>20110701</v>
      </c>
      <c r="B216" s="620" t="s">
        <v>703</v>
      </c>
      <c r="C216" s="625" t="s">
        <v>463</v>
      </c>
      <c r="D216" s="621" t="str">
        <f t="shared" ref="D216:D246" si="13">A216&amp;C216</f>
        <v>20110701KUUM_498</v>
      </c>
      <c r="E216" s="622">
        <v>15.84</v>
      </c>
      <c r="F216" s="669">
        <v>968</v>
      </c>
      <c r="G216" s="622">
        <v>1.25</v>
      </c>
      <c r="H216" s="622">
        <v>2.15</v>
      </c>
      <c r="I216" s="622">
        <f>E216-G216-H216</f>
        <v>12.44</v>
      </c>
      <c r="J216" s="673" t="s">
        <v>680</v>
      </c>
      <c r="K216" s="670"/>
      <c r="L216" s="670"/>
      <c r="M216" s="670"/>
      <c r="N216" s="404"/>
      <c r="O216" s="404"/>
      <c r="P216" s="404"/>
      <c r="Q216" s="599"/>
      <c r="R216" s="599"/>
    </row>
    <row r="217" spans="1:22">
      <c r="A217" s="624">
        <f>A215</f>
        <v>20110701</v>
      </c>
      <c r="B217" s="620" t="s">
        <v>703</v>
      </c>
      <c r="C217" s="625" t="s">
        <v>653</v>
      </c>
      <c r="D217" s="621" t="str">
        <f t="shared" si="13"/>
        <v>20110701KUUM_499</v>
      </c>
      <c r="E217" s="622">
        <v>19.059999999999999</v>
      </c>
      <c r="F217" s="669">
        <v>3768</v>
      </c>
      <c r="G217" s="622">
        <v>1.83</v>
      </c>
      <c r="H217" s="622">
        <v>4.16</v>
      </c>
      <c r="I217" s="622">
        <f>E217-G217-H217</f>
        <v>13.069999999999997</v>
      </c>
      <c r="J217" s="671" t="s">
        <v>430</v>
      </c>
      <c r="K217" s="670"/>
      <c r="L217" s="670"/>
      <c r="M217" s="670"/>
      <c r="N217" s="404"/>
      <c r="O217" s="404"/>
      <c r="P217" s="404"/>
      <c r="Q217" s="599"/>
      <c r="R217" s="599"/>
    </row>
    <row r="218" spans="1:22">
      <c r="A218" s="628">
        <v>20120301</v>
      </c>
      <c r="B218" s="630" t="s">
        <v>745</v>
      </c>
      <c r="C218" s="634" t="s">
        <v>432</v>
      </c>
      <c r="D218" s="631" t="str">
        <f t="shared" si="13"/>
        <v>20120301KUUM_300</v>
      </c>
      <c r="E218" s="674">
        <v>21.310000000000002</v>
      </c>
      <c r="F218" s="675">
        <v>200</v>
      </c>
      <c r="G218" s="632">
        <v>1.01</v>
      </c>
      <c r="H218" s="632">
        <v>0.54</v>
      </c>
      <c r="I218" s="632">
        <f>E218-G218-H218</f>
        <v>19.760000000000002</v>
      </c>
      <c r="J218" s="676" t="s">
        <v>434</v>
      </c>
      <c r="K218" s="632"/>
      <c r="L218" s="632"/>
      <c r="M218" s="632"/>
      <c r="N218" s="599"/>
      <c r="O218" s="404"/>
      <c r="P218" s="404"/>
      <c r="Q218" s="599"/>
      <c r="R218" s="599"/>
    </row>
    <row r="219" spans="1:22">
      <c r="A219" s="628">
        <f t="shared" ref="A219:A287" si="14">A218</f>
        <v>20120301</v>
      </c>
      <c r="B219" s="630" t="s">
        <v>745</v>
      </c>
      <c r="C219" s="634" t="s">
        <v>433</v>
      </c>
      <c r="D219" s="631" t="str">
        <f t="shared" si="13"/>
        <v>20120301KUUM_301</v>
      </c>
      <c r="E219" s="674">
        <v>22.22</v>
      </c>
      <c r="F219" s="675">
        <v>400</v>
      </c>
      <c r="G219" s="632">
        <v>1.04</v>
      </c>
      <c r="H219" s="632">
        <v>1.04</v>
      </c>
      <c r="I219" s="632">
        <f t="shared" ref="I219:I282" si="15">E219-G219-H219</f>
        <v>20.14</v>
      </c>
      <c r="J219" s="677" t="s">
        <v>435</v>
      </c>
      <c r="K219" s="632"/>
      <c r="L219" s="632"/>
      <c r="M219" s="632"/>
      <c r="O219" s="404"/>
      <c r="P219" s="404"/>
      <c r="Q219" s="599"/>
      <c r="R219" s="599"/>
    </row>
    <row r="220" spans="1:22">
      <c r="A220" s="628">
        <f t="shared" si="14"/>
        <v>20120301</v>
      </c>
      <c r="B220" s="630" t="s">
        <v>702</v>
      </c>
      <c r="C220" s="630" t="s">
        <v>339</v>
      </c>
      <c r="D220" s="631" t="str">
        <f t="shared" si="13"/>
        <v>20120301KUUM_360</v>
      </c>
      <c r="E220" s="674">
        <v>51.000000000000007</v>
      </c>
      <c r="F220" s="675">
        <v>724</v>
      </c>
      <c r="G220" s="632">
        <v>7.15</v>
      </c>
      <c r="H220" s="632">
        <v>1.61</v>
      </c>
      <c r="I220" s="632">
        <f t="shared" si="15"/>
        <v>42.240000000000009</v>
      </c>
      <c r="J220" s="676" t="s">
        <v>248</v>
      </c>
      <c r="K220" s="632"/>
      <c r="L220" s="632"/>
      <c r="M220" s="632"/>
      <c r="N220" s="415" t="s">
        <v>755</v>
      </c>
      <c r="O220" s="404"/>
      <c r="P220" s="404"/>
      <c r="Q220" s="599"/>
    </row>
    <row r="221" spans="1:22">
      <c r="A221" s="628">
        <f t="shared" si="14"/>
        <v>20120301</v>
      </c>
      <c r="B221" s="630" t="s">
        <v>702</v>
      </c>
      <c r="C221" s="630" t="s">
        <v>344</v>
      </c>
      <c r="D221" s="631" t="str">
        <f t="shared" si="13"/>
        <v>20120301KUUM_361</v>
      </c>
      <c r="E221" s="674">
        <v>77.780000000000015</v>
      </c>
      <c r="F221" s="675">
        <v>724</v>
      </c>
      <c r="G221" s="632">
        <v>7.15</v>
      </c>
      <c r="H221" s="632">
        <v>1.61</v>
      </c>
      <c r="I221" s="632">
        <f t="shared" si="15"/>
        <v>69.02000000000001</v>
      </c>
      <c r="J221" s="676" t="s">
        <v>253</v>
      </c>
      <c r="K221" s="632"/>
      <c r="L221" s="632"/>
      <c r="M221" s="632"/>
      <c r="N221" s="415" t="s">
        <v>755</v>
      </c>
      <c r="O221" s="404"/>
      <c r="P221" s="404"/>
      <c r="Q221" s="599"/>
    </row>
    <row r="222" spans="1:22">
      <c r="A222" s="628">
        <f t="shared" si="14"/>
        <v>20120301</v>
      </c>
      <c r="B222" s="630" t="s">
        <v>702</v>
      </c>
      <c r="C222" s="630" t="s">
        <v>347</v>
      </c>
      <c r="D222" s="631" t="str">
        <f t="shared" si="13"/>
        <v>20120301KUUM_362</v>
      </c>
      <c r="E222" s="674">
        <v>55.28</v>
      </c>
      <c r="F222" s="675">
        <v>724</v>
      </c>
      <c r="G222" s="632">
        <v>7.15</v>
      </c>
      <c r="H222" s="632">
        <v>1.61</v>
      </c>
      <c r="I222" s="632">
        <f t="shared" si="15"/>
        <v>46.52</v>
      </c>
      <c r="J222" s="676" t="s">
        <v>256</v>
      </c>
      <c r="K222" s="632"/>
      <c r="L222" s="632"/>
      <c r="M222" s="632"/>
      <c r="N222" s="415" t="s">
        <v>755</v>
      </c>
      <c r="O222" s="599"/>
      <c r="P222" s="599"/>
      <c r="Q222" s="599"/>
    </row>
    <row r="223" spans="1:22">
      <c r="A223" s="628">
        <f t="shared" si="14"/>
        <v>20120301</v>
      </c>
      <c r="B223" s="630" t="s">
        <v>702</v>
      </c>
      <c r="C223" s="630" t="s">
        <v>348</v>
      </c>
      <c r="D223" s="631" t="str">
        <f t="shared" si="13"/>
        <v>20120301KUUM_363</v>
      </c>
      <c r="E223" s="674">
        <v>57.180000000000007</v>
      </c>
      <c r="F223" s="675">
        <v>724</v>
      </c>
      <c r="G223" s="632">
        <v>7.15</v>
      </c>
      <c r="H223" s="632">
        <v>1.61</v>
      </c>
      <c r="I223" s="632">
        <f t="shared" si="15"/>
        <v>48.420000000000009</v>
      </c>
      <c r="J223" s="676" t="s">
        <v>257</v>
      </c>
      <c r="K223" s="676"/>
      <c r="L223" s="676"/>
      <c r="M223" s="676"/>
      <c r="N223" s="415" t="s">
        <v>755</v>
      </c>
    </row>
    <row r="224" spans="1:22">
      <c r="A224" s="628">
        <f t="shared" si="14"/>
        <v>20120301</v>
      </c>
      <c r="B224" s="630" t="s">
        <v>702</v>
      </c>
      <c r="C224" s="630" t="s">
        <v>349</v>
      </c>
      <c r="D224" s="631" t="str">
        <f t="shared" si="13"/>
        <v>20120301KUUM_364</v>
      </c>
      <c r="E224" s="674">
        <v>58.49</v>
      </c>
      <c r="F224" s="675">
        <v>724</v>
      </c>
      <c r="G224" s="632">
        <v>7.15</v>
      </c>
      <c r="H224" s="632">
        <v>1.61</v>
      </c>
      <c r="I224" s="632">
        <f t="shared" si="15"/>
        <v>49.730000000000004</v>
      </c>
      <c r="J224" s="676" t="s">
        <v>258</v>
      </c>
      <c r="K224" s="676"/>
      <c r="L224" s="676"/>
      <c r="M224" s="676"/>
      <c r="N224" s="415" t="s">
        <v>755</v>
      </c>
    </row>
    <row r="225" spans="1:22">
      <c r="A225" s="628">
        <f t="shared" si="14"/>
        <v>20120301</v>
      </c>
      <c r="B225" s="630" t="s">
        <v>702</v>
      </c>
      <c r="C225" s="630" t="s">
        <v>351</v>
      </c>
      <c r="D225" s="631" t="str">
        <f t="shared" si="13"/>
        <v>20120301KUUM_365</v>
      </c>
      <c r="E225" s="674">
        <v>75.640000000000015</v>
      </c>
      <c r="F225" s="675">
        <v>724</v>
      </c>
      <c r="G225" s="632">
        <v>7.15</v>
      </c>
      <c r="H225" s="632">
        <v>1.61</v>
      </c>
      <c r="I225" s="632">
        <f t="shared" si="15"/>
        <v>66.88000000000001</v>
      </c>
      <c r="J225" s="676" t="s">
        <v>260</v>
      </c>
      <c r="K225" s="676"/>
      <c r="L225" s="676"/>
      <c r="M225" s="676"/>
      <c r="N225" s="415" t="s">
        <v>755</v>
      </c>
    </row>
    <row r="226" spans="1:22">
      <c r="A226" s="628">
        <f t="shared" si="14"/>
        <v>20120301</v>
      </c>
      <c r="B226" s="630" t="s">
        <v>702</v>
      </c>
      <c r="C226" s="630" t="s">
        <v>352</v>
      </c>
      <c r="D226" s="631" t="str">
        <f t="shared" si="13"/>
        <v>20120301KUUM_366</v>
      </c>
      <c r="E226" s="674">
        <v>73.740000000000009</v>
      </c>
      <c r="F226" s="675">
        <v>724</v>
      </c>
      <c r="G226" s="632">
        <v>7.15</v>
      </c>
      <c r="H226" s="632">
        <v>1.61</v>
      </c>
      <c r="I226" s="632">
        <f t="shared" si="15"/>
        <v>64.98</v>
      </c>
      <c r="J226" s="676" t="s">
        <v>261</v>
      </c>
      <c r="K226" s="676"/>
      <c r="L226" s="676"/>
      <c r="M226" s="676"/>
      <c r="N226" s="415" t="s">
        <v>755</v>
      </c>
    </row>
    <row r="227" spans="1:22">
      <c r="A227" s="628">
        <f t="shared" si="14"/>
        <v>20120301</v>
      </c>
      <c r="B227" s="630" t="s">
        <v>702</v>
      </c>
      <c r="C227" s="630" t="s">
        <v>354</v>
      </c>
      <c r="D227" s="631" t="str">
        <f t="shared" si="13"/>
        <v>20120301KUUM_367</v>
      </c>
      <c r="E227" s="674">
        <v>56.680000000000007</v>
      </c>
      <c r="F227" s="675">
        <v>724</v>
      </c>
      <c r="G227" s="632">
        <v>7.15</v>
      </c>
      <c r="H227" s="632">
        <v>1.61</v>
      </c>
      <c r="I227" s="632">
        <f t="shared" si="15"/>
        <v>47.920000000000009</v>
      </c>
      <c r="J227" s="676" t="s">
        <v>263</v>
      </c>
      <c r="K227" s="676"/>
      <c r="L227" s="676"/>
      <c r="M227" s="676"/>
      <c r="N227" s="415" t="s">
        <v>755</v>
      </c>
    </row>
    <row r="228" spans="1:22">
      <c r="A228" s="628">
        <f t="shared" si="14"/>
        <v>20120301</v>
      </c>
      <c r="B228" s="630" t="s">
        <v>702</v>
      </c>
      <c r="C228" s="630" t="s">
        <v>355</v>
      </c>
      <c r="D228" s="631" t="str">
        <f t="shared" si="13"/>
        <v>20120301KUUM_368</v>
      </c>
      <c r="E228" s="674">
        <v>52.31</v>
      </c>
      <c r="F228" s="675">
        <v>724</v>
      </c>
      <c r="G228" s="632">
        <v>7.15</v>
      </c>
      <c r="H228" s="632">
        <v>1.61</v>
      </c>
      <c r="I228" s="632">
        <f t="shared" si="15"/>
        <v>43.550000000000004</v>
      </c>
      <c r="J228" s="676" t="s">
        <v>264</v>
      </c>
      <c r="K228" s="676"/>
      <c r="L228" s="676"/>
      <c r="M228" s="676"/>
      <c r="N228" s="415" t="s">
        <v>755</v>
      </c>
    </row>
    <row r="229" spans="1:22">
      <c r="A229" s="628">
        <f t="shared" si="14"/>
        <v>20120301</v>
      </c>
      <c r="B229" s="630" t="s">
        <v>702</v>
      </c>
      <c r="C229" s="630" t="s">
        <v>341</v>
      </c>
      <c r="D229" s="631" t="str">
        <f t="shared" si="13"/>
        <v>20120301KUUM_370</v>
      </c>
      <c r="E229" s="674">
        <v>69.460000000000008</v>
      </c>
      <c r="F229" s="675">
        <v>724</v>
      </c>
      <c r="G229" s="632">
        <v>7.15</v>
      </c>
      <c r="H229" s="632">
        <v>1.61</v>
      </c>
      <c r="I229" s="632">
        <f t="shared" si="15"/>
        <v>60.70000000000001</v>
      </c>
      <c r="J229" s="676" t="s">
        <v>250</v>
      </c>
      <c r="K229" s="676"/>
      <c r="L229" s="676"/>
      <c r="M229" s="676"/>
      <c r="N229" s="415" t="s">
        <v>755</v>
      </c>
    </row>
    <row r="230" spans="1:22">
      <c r="A230" s="628">
        <f t="shared" si="14"/>
        <v>20120301</v>
      </c>
      <c r="B230" s="630" t="s">
        <v>702</v>
      </c>
      <c r="C230" s="630" t="s">
        <v>350</v>
      </c>
      <c r="D230" s="631" t="str">
        <f t="shared" si="13"/>
        <v>20120301KUUM_372</v>
      </c>
      <c r="E230" s="674">
        <v>76.950000000000017</v>
      </c>
      <c r="F230" s="675">
        <v>724</v>
      </c>
      <c r="G230" s="632">
        <v>7.15</v>
      </c>
      <c r="H230" s="632">
        <v>1.61</v>
      </c>
      <c r="I230" s="632">
        <f t="shared" si="15"/>
        <v>68.190000000000012</v>
      </c>
      <c r="J230" s="676" t="s">
        <v>259</v>
      </c>
      <c r="K230" s="676"/>
      <c r="L230" s="676"/>
      <c r="M230" s="676"/>
      <c r="N230" s="415" t="s">
        <v>755</v>
      </c>
    </row>
    <row r="231" spans="1:22" s="407" customFormat="1">
      <c r="A231" s="628">
        <f t="shared" si="14"/>
        <v>20120301</v>
      </c>
      <c r="B231" s="630" t="s">
        <v>702</v>
      </c>
      <c r="C231" s="630" t="s">
        <v>342</v>
      </c>
      <c r="D231" s="631" t="str">
        <f t="shared" si="13"/>
        <v>20120301KUUM_373</v>
      </c>
      <c r="E231" s="674">
        <v>69.460000000000008</v>
      </c>
      <c r="F231" s="675">
        <v>724</v>
      </c>
      <c r="G231" s="632">
        <v>7.15</v>
      </c>
      <c r="H231" s="632">
        <v>1.61</v>
      </c>
      <c r="I231" s="632">
        <f t="shared" si="15"/>
        <v>60.70000000000001</v>
      </c>
      <c r="J231" s="676" t="s">
        <v>251</v>
      </c>
      <c r="K231" s="676"/>
      <c r="L231" s="676"/>
      <c r="M231" s="676"/>
      <c r="N231" s="415" t="s">
        <v>755</v>
      </c>
      <c r="S231" s="598"/>
      <c r="T231" s="598"/>
      <c r="U231" s="598"/>
      <c r="V231" s="598"/>
    </row>
    <row r="232" spans="1:22" s="407" customFormat="1">
      <c r="A232" s="628">
        <f t="shared" si="14"/>
        <v>20120301</v>
      </c>
      <c r="B232" s="630" t="s">
        <v>702</v>
      </c>
      <c r="C232" s="630" t="s">
        <v>346</v>
      </c>
      <c r="D232" s="631" t="str">
        <f t="shared" si="13"/>
        <v>20120301KUUM_374</v>
      </c>
      <c r="E232" s="674">
        <v>70.77000000000001</v>
      </c>
      <c r="F232" s="675">
        <v>724</v>
      </c>
      <c r="G232" s="632">
        <v>7.15</v>
      </c>
      <c r="H232" s="632">
        <v>1.61</v>
      </c>
      <c r="I232" s="632">
        <f t="shared" si="15"/>
        <v>62.010000000000012</v>
      </c>
      <c r="J232" s="676" t="s">
        <v>255</v>
      </c>
      <c r="K232" s="676"/>
      <c r="L232" s="676"/>
      <c r="M232" s="676"/>
      <c r="N232" s="415" t="s">
        <v>755</v>
      </c>
      <c r="S232" s="598"/>
      <c r="T232" s="598"/>
      <c r="U232" s="598"/>
      <c r="V232" s="598"/>
    </row>
    <row r="233" spans="1:22" s="678" customFormat="1">
      <c r="A233" s="628">
        <f t="shared" si="14"/>
        <v>20120301</v>
      </c>
      <c r="B233" s="630" t="s">
        <v>702</v>
      </c>
      <c r="C233" s="630" t="s">
        <v>353</v>
      </c>
      <c r="D233" s="631" t="str">
        <f t="shared" si="13"/>
        <v>20120301KUUM_375</v>
      </c>
      <c r="E233" s="674">
        <v>73.740000000000009</v>
      </c>
      <c r="F233" s="675">
        <v>724</v>
      </c>
      <c r="G233" s="632">
        <v>7.15</v>
      </c>
      <c r="H233" s="632">
        <v>1.61</v>
      </c>
      <c r="I233" s="632">
        <f t="shared" si="15"/>
        <v>64.98</v>
      </c>
      <c r="J233" s="676" t="s">
        <v>262</v>
      </c>
      <c r="K233" s="676"/>
      <c r="L233" s="676"/>
      <c r="M233" s="676"/>
      <c r="N233" s="415" t="s">
        <v>755</v>
      </c>
      <c r="O233" s="407"/>
      <c r="P233" s="407"/>
      <c r="Q233" s="407"/>
      <c r="S233" s="679"/>
      <c r="T233" s="679"/>
      <c r="U233" s="679"/>
      <c r="V233" s="679"/>
    </row>
    <row r="234" spans="1:22" s="678" customFormat="1">
      <c r="A234" s="628">
        <f t="shared" si="14"/>
        <v>20120301</v>
      </c>
      <c r="B234" s="630" t="s">
        <v>702</v>
      </c>
      <c r="C234" s="630" t="s">
        <v>345</v>
      </c>
      <c r="D234" s="631" t="str">
        <f t="shared" si="13"/>
        <v>20120301KUUM_376</v>
      </c>
      <c r="E234" s="674">
        <v>72.100000000000009</v>
      </c>
      <c r="F234" s="675">
        <v>724</v>
      </c>
      <c r="G234" s="632">
        <v>7.15</v>
      </c>
      <c r="H234" s="632">
        <v>1.61</v>
      </c>
      <c r="I234" s="632">
        <f t="shared" si="15"/>
        <v>63.34</v>
      </c>
      <c r="J234" s="676" t="s">
        <v>254</v>
      </c>
      <c r="K234" s="676"/>
      <c r="L234" s="676"/>
      <c r="M234" s="676"/>
      <c r="N234" s="415" t="s">
        <v>755</v>
      </c>
      <c r="O234" s="407"/>
      <c r="P234" s="407"/>
      <c r="Q234" s="407"/>
      <c r="S234" s="679"/>
      <c r="T234" s="679"/>
      <c r="U234" s="679"/>
      <c r="V234" s="679"/>
    </row>
    <row r="235" spans="1:22" s="678" customFormat="1">
      <c r="A235" s="628">
        <f t="shared" si="14"/>
        <v>20120301</v>
      </c>
      <c r="B235" s="630" t="s">
        <v>702</v>
      </c>
      <c r="C235" s="630" t="s">
        <v>343</v>
      </c>
      <c r="D235" s="631" t="str">
        <f t="shared" si="13"/>
        <v>20120301KUUM_377</v>
      </c>
      <c r="E235" s="674">
        <v>59.52</v>
      </c>
      <c r="F235" s="675">
        <v>724</v>
      </c>
      <c r="G235" s="632">
        <v>7.15</v>
      </c>
      <c r="H235" s="632">
        <v>1.61</v>
      </c>
      <c r="I235" s="632">
        <f t="shared" si="15"/>
        <v>50.760000000000005</v>
      </c>
      <c r="J235" s="676" t="s">
        <v>252</v>
      </c>
      <c r="K235" s="676"/>
      <c r="L235" s="676"/>
      <c r="M235" s="676"/>
      <c r="N235" s="415" t="s">
        <v>755</v>
      </c>
      <c r="O235" s="407"/>
      <c r="P235" s="407"/>
      <c r="Q235" s="407"/>
      <c r="S235" s="679"/>
      <c r="T235" s="679"/>
      <c r="U235" s="679"/>
      <c r="V235" s="679"/>
    </row>
    <row r="236" spans="1:22" s="678" customFormat="1">
      <c r="A236" s="628">
        <f t="shared" si="14"/>
        <v>20120301</v>
      </c>
      <c r="B236" s="630" t="s">
        <v>702</v>
      </c>
      <c r="C236" s="634" t="s">
        <v>472</v>
      </c>
      <c r="D236" s="631" t="str">
        <f t="shared" si="13"/>
        <v>20120301KUUM_378</v>
      </c>
      <c r="E236" s="674">
        <v>70.790000000000006</v>
      </c>
      <c r="F236" s="675">
        <v>724</v>
      </c>
      <c r="G236" s="632">
        <v>7.15</v>
      </c>
      <c r="H236" s="632">
        <v>1.61</v>
      </c>
      <c r="I236" s="632">
        <f t="shared" si="15"/>
        <v>62.030000000000008</v>
      </c>
      <c r="J236" s="677" t="s">
        <v>471</v>
      </c>
      <c r="K236" s="676"/>
      <c r="L236" s="676"/>
      <c r="M236" s="676"/>
      <c r="N236" s="415" t="s">
        <v>755</v>
      </c>
      <c r="O236" s="407"/>
      <c r="P236" s="407"/>
      <c r="Q236" s="407"/>
      <c r="S236" s="679"/>
      <c r="T236" s="679"/>
      <c r="U236" s="679"/>
      <c r="V236" s="679"/>
    </row>
    <row r="237" spans="1:22" s="407" customFormat="1">
      <c r="A237" s="680">
        <f t="shared" si="14"/>
        <v>20120301</v>
      </c>
      <c r="B237" s="681" t="s">
        <v>702</v>
      </c>
      <c r="C237" s="682" t="s">
        <v>645</v>
      </c>
      <c r="D237" s="683" t="str">
        <f t="shared" si="13"/>
        <v>20120301KUUM_379</v>
      </c>
      <c r="E237" s="684">
        <v>75.540000000000006</v>
      </c>
      <c r="F237" s="685">
        <v>724</v>
      </c>
      <c r="G237" s="632">
        <v>7.15</v>
      </c>
      <c r="H237" s="686">
        <v>1.61</v>
      </c>
      <c r="I237" s="632">
        <f t="shared" si="15"/>
        <v>66.78</v>
      </c>
      <c r="J237" s="687" t="s">
        <v>716</v>
      </c>
      <c r="K237" s="688"/>
      <c r="L237" s="688"/>
      <c r="M237" s="688"/>
      <c r="N237" s="415" t="s">
        <v>755</v>
      </c>
      <c r="S237" s="598"/>
      <c r="T237" s="598"/>
      <c r="U237" s="598"/>
      <c r="V237" s="598"/>
    </row>
    <row r="238" spans="1:22" s="407" customFormat="1">
      <c r="A238" s="680">
        <f t="shared" si="14"/>
        <v>20120301</v>
      </c>
      <c r="B238" s="681" t="s">
        <v>702</v>
      </c>
      <c r="C238" s="682" t="s">
        <v>646</v>
      </c>
      <c r="D238" s="683" t="str">
        <f t="shared" si="13"/>
        <v>20120301KUUM_380</v>
      </c>
      <c r="E238" s="684">
        <v>79.31</v>
      </c>
      <c r="F238" s="685">
        <v>724</v>
      </c>
      <c r="G238" s="632">
        <v>7.15</v>
      </c>
      <c r="H238" s="686">
        <v>1.61</v>
      </c>
      <c r="I238" s="632">
        <f t="shared" si="15"/>
        <v>70.55</v>
      </c>
      <c r="J238" s="687" t="s">
        <v>717</v>
      </c>
      <c r="K238" s="688"/>
      <c r="L238" s="688"/>
      <c r="M238" s="688"/>
      <c r="N238" s="415" t="s">
        <v>755</v>
      </c>
      <c r="S238" s="598"/>
      <c r="T238" s="598"/>
      <c r="U238" s="598"/>
      <c r="V238" s="598"/>
    </row>
    <row r="239" spans="1:22" s="407" customFormat="1">
      <c r="A239" s="680">
        <f t="shared" si="14"/>
        <v>20120301</v>
      </c>
      <c r="B239" s="681" t="s">
        <v>702</v>
      </c>
      <c r="C239" s="682" t="s">
        <v>647</v>
      </c>
      <c r="D239" s="683" t="str">
        <f t="shared" si="13"/>
        <v>20120301KUUM_381</v>
      </c>
      <c r="E239" s="684">
        <v>80.62</v>
      </c>
      <c r="F239" s="685">
        <v>724</v>
      </c>
      <c r="G239" s="632">
        <v>7.15</v>
      </c>
      <c r="H239" s="686">
        <v>1.61</v>
      </c>
      <c r="I239" s="632">
        <f t="shared" si="15"/>
        <v>71.86</v>
      </c>
      <c r="J239" s="687" t="s">
        <v>718</v>
      </c>
      <c r="K239" s="688"/>
      <c r="L239" s="688"/>
      <c r="M239" s="688"/>
      <c r="N239" s="415" t="s">
        <v>755</v>
      </c>
      <c r="S239" s="598"/>
      <c r="T239" s="598"/>
      <c r="U239" s="598"/>
      <c r="V239" s="598"/>
    </row>
    <row r="240" spans="1:22" s="407" customFormat="1">
      <c r="A240" s="680">
        <f t="shared" si="14"/>
        <v>20120301</v>
      </c>
      <c r="B240" s="681" t="s">
        <v>702</v>
      </c>
      <c r="C240" s="682" t="s">
        <v>648</v>
      </c>
      <c r="D240" s="683" t="str">
        <f t="shared" si="13"/>
        <v>20120301KUUM_382</v>
      </c>
      <c r="E240" s="684">
        <v>77.83</v>
      </c>
      <c r="F240" s="685">
        <v>724</v>
      </c>
      <c r="G240" s="632">
        <v>7.15</v>
      </c>
      <c r="H240" s="686">
        <v>1.61</v>
      </c>
      <c r="I240" s="632">
        <f t="shared" si="15"/>
        <v>69.069999999999993</v>
      </c>
      <c r="J240" s="687" t="s">
        <v>719</v>
      </c>
      <c r="K240" s="688"/>
      <c r="L240" s="688"/>
      <c r="M240" s="688"/>
      <c r="N240" s="415" t="s">
        <v>755</v>
      </c>
      <c r="S240" s="598"/>
      <c r="T240" s="598"/>
      <c r="U240" s="598"/>
      <c r="V240" s="598"/>
    </row>
    <row r="241" spans="1:22" s="407" customFormat="1">
      <c r="A241" s="628">
        <f>A235</f>
        <v>20120301</v>
      </c>
      <c r="B241" s="630" t="s">
        <v>703</v>
      </c>
      <c r="C241" s="630" t="s">
        <v>340</v>
      </c>
      <c r="D241" s="631" t="str">
        <f t="shared" si="13"/>
        <v>20120301KUUM_395</v>
      </c>
      <c r="E241" s="674">
        <v>51.000000000000007</v>
      </c>
      <c r="F241" s="675">
        <v>724</v>
      </c>
      <c r="G241" s="632">
        <v>7.15</v>
      </c>
      <c r="H241" s="632">
        <v>1.61</v>
      </c>
      <c r="I241" s="632">
        <f t="shared" si="15"/>
        <v>42.240000000000009</v>
      </c>
      <c r="J241" s="676" t="s">
        <v>249</v>
      </c>
      <c r="K241" s="676"/>
      <c r="L241" s="676"/>
      <c r="M241" s="676"/>
      <c r="N241" s="415" t="s">
        <v>755</v>
      </c>
      <c r="S241" s="598"/>
      <c r="T241" s="598"/>
      <c r="U241" s="598"/>
      <c r="V241" s="598"/>
    </row>
    <row r="242" spans="1:22" s="407" customFormat="1">
      <c r="A242" s="628">
        <f t="shared" si="14"/>
        <v>20120301</v>
      </c>
      <c r="B242" s="630" t="s">
        <v>702</v>
      </c>
      <c r="C242" s="634" t="s">
        <v>426</v>
      </c>
      <c r="D242" s="631" t="str">
        <f t="shared" si="13"/>
        <v>20120301KUUM_400</v>
      </c>
      <c r="E242" s="674">
        <v>12.77</v>
      </c>
      <c r="F242" s="675">
        <v>240</v>
      </c>
      <c r="G242" s="632">
        <v>1.01</v>
      </c>
      <c r="H242" s="632">
        <v>0.53</v>
      </c>
      <c r="I242" s="632">
        <f t="shared" si="15"/>
        <v>11.23</v>
      </c>
      <c r="J242" s="677" t="s">
        <v>427</v>
      </c>
      <c r="K242" s="676"/>
      <c r="L242" s="676"/>
      <c r="M242" s="676"/>
      <c r="N242" s="415" t="s">
        <v>755</v>
      </c>
      <c r="S242" s="598"/>
      <c r="T242" s="598"/>
      <c r="U242" s="598"/>
      <c r="V242" s="598"/>
    </row>
    <row r="243" spans="1:22" s="407" customFormat="1">
      <c r="A243" s="628">
        <f t="shared" si="14"/>
        <v>20120301</v>
      </c>
      <c r="B243" s="630" t="s">
        <v>702</v>
      </c>
      <c r="C243" s="630" t="s">
        <v>382</v>
      </c>
      <c r="D243" s="631" t="str">
        <f t="shared" si="13"/>
        <v>20120301KUUM_401</v>
      </c>
      <c r="E243" s="674">
        <v>13.860000000000001</v>
      </c>
      <c r="F243" s="675">
        <v>332</v>
      </c>
      <c r="G243" s="632">
        <v>1.32</v>
      </c>
      <c r="H243" s="632">
        <v>0.74</v>
      </c>
      <c r="I243" s="632">
        <f t="shared" si="15"/>
        <v>11.8</v>
      </c>
      <c r="J243" s="676" t="s">
        <v>291</v>
      </c>
      <c r="K243" s="676"/>
      <c r="L243" s="676"/>
      <c r="M243" s="676"/>
      <c r="N243" s="415" t="s">
        <v>755</v>
      </c>
      <c r="S243" s="598"/>
      <c r="T243" s="598"/>
      <c r="U243" s="598"/>
      <c r="V243" s="598"/>
    </row>
    <row r="244" spans="1:22" s="407" customFormat="1">
      <c r="A244" s="628">
        <f t="shared" si="14"/>
        <v>20120301</v>
      </c>
      <c r="B244" s="630" t="s">
        <v>703</v>
      </c>
      <c r="C244" s="630" t="s">
        <v>402</v>
      </c>
      <c r="D244" s="631" t="str">
        <f t="shared" si="13"/>
        <v>20120301KUUM_404</v>
      </c>
      <c r="E244" s="674">
        <v>9.69</v>
      </c>
      <c r="F244" s="675">
        <v>828</v>
      </c>
      <c r="G244" s="632">
        <v>1.18</v>
      </c>
      <c r="H244" s="632">
        <v>1.84</v>
      </c>
      <c r="I244" s="632">
        <f t="shared" si="15"/>
        <v>6.67</v>
      </c>
      <c r="J244" s="676" t="s">
        <v>311</v>
      </c>
      <c r="K244" s="676"/>
      <c r="L244" s="676"/>
      <c r="M244" s="676"/>
      <c r="N244" s="415" t="s">
        <v>755</v>
      </c>
      <c r="S244" s="598"/>
      <c r="T244" s="598"/>
      <c r="U244" s="598"/>
      <c r="V244" s="598"/>
    </row>
    <row r="245" spans="1:22" s="407" customFormat="1">
      <c r="A245" s="628">
        <f t="shared" si="14"/>
        <v>20120301</v>
      </c>
      <c r="B245" s="630" t="s">
        <v>703</v>
      </c>
      <c r="C245" s="630" t="s">
        <v>358</v>
      </c>
      <c r="D245" s="631" t="str">
        <f t="shared" si="13"/>
        <v>20120301KUUM_405</v>
      </c>
      <c r="E245" s="674">
        <v>12.57</v>
      </c>
      <c r="F245" s="675">
        <v>1812</v>
      </c>
      <c r="G245" s="632">
        <v>1.59</v>
      </c>
      <c r="H245" s="632">
        <v>4.03</v>
      </c>
      <c r="I245" s="632">
        <f t="shared" si="15"/>
        <v>6.95</v>
      </c>
      <c r="J245" s="676" t="s">
        <v>267</v>
      </c>
      <c r="K245" s="676"/>
      <c r="L245" s="676"/>
      <c r="M245" s="676"/>
      <c r="N245" s="415" t="s">
        <v>755</v>
      </c>
      <c r="S245" s="598"/>
      <c r="T245" s="598"/>
      <c r="U245" s="598"/>
      <c r="V245" s="598"/>
    </row>
    <row r="246" spans="1:22" s="407" customFormat="1">
      <c r="A246" s="628">
        <f t="shared" si="14"/>
        <v>20120301</v>
      </c>
      <c r="B246" s="630" t="s">
        <v>703</v>
      </c>
      <c r="C246" s="634" t="s">
        <v>730</v>
      </c>
      <c r="D246" s="631" t="str">
        <f t="shared" si="13"/>
        <v>20120301KUUM_406</v>
      </c>
      <c r="E246" s="674">
        <v>10.050000000000001</v>
      </c>
      <c r="F246" s="675">
        <v>828</v>
      </c>
      <c r="G246" s="632">
        <v>1.18</v>
      </c>
      <c r="H246" s="632">
        <v>1.84</v>
      </c>
      <c r="I246" s="632">
        <f t="shared" si="15"/>
        <v>7.0300000000000011</v>
      </c>
      <c r="J246" s="676" t="s">
        <v>729</v>
      </c>
      <c r="K246" s="676"/>
      <c r="L246" s="676"/>
      <c r="M246" s="676"/>
      <c r="S246" s="598"/>
      <c r="T246" s="598"/>
      <c r="U246" s="598"/>
      <c r="V246" s="598"/>
    </row>
    <row r="247" spans="1:22" s="407" customFormat="1">
      <c r="A247" s="628">
        <f t="shared" si="14"/>
        <v>20120301</v>
      </c>
      <c r="B247" s="630" t="s">
        <v>703</v>
      </c>
      <c r="C247" s="630" t="s">
        <v>394</v>
      </c>
      <c r="D247" s="631" t="str">
        <f>A247&amp;C247</f>
        <v>20120301KUUM_407</v>
      </c>
      <c r="E247" s="674">
        <v>20.95</v>
      </c>
      <c r="F247" s="675">
        <v>1884</v>
      </c>
      <c r="G247" s="632">
        <v>2.42</v>
      </c>
      <c r="H247" s="632">
        <v>4.18</v>
      </c>
      <c r="I247" s="632">
        <f t="shared" si="15"/>
        <v>14.350000000000001</v>
      </c>
      <c r="J247" s="676" t="s">
        <v>303</v>
      </c>
      <c r="K247" s="676"/>
      <c r="L247" s="676"/>
      <c r="M247" s="676"/>
      <c r="N247" s="415" t="s">
        <v>755</v>
      </c>
      <c r="S247" s="598"/>
      <c r="T247" s="598"/>
      <c r="U247" s="598"/>
      <c r="V247" s="598"/>
    </row>
    <row r="248" spans="1:22" s="407" customFormat="1">
      <c r="A248" s="628">
        <f t="shared" si="14"/>
        <v>20120301</v>
      </c>
      <c r="B248" s="630" t="s">
        <v>703</v>
      </c>
      <c r="C248" s="630" t="s">
        <v>359</v>
      </c>
      <c r="D248" s="631" t="str">
        <f>A248&amp;C248</f>
        <v>20120301KUUM_408</v>
      </c>
      <c r="E248" s="674">
        <v>7.85</v>
      </c>
      <c r="F248" s="675">
        <v>1812</v>
      </c>
      <c r="G248" s="632">
        <v>1.59</v>
      </c>
      <c r="H248" s="632">
        <v>4.03</v>
      </c>
      <c r="I248" s="632">
        <f t="shared" si="15"/>
        <v>2.2299999999999995</v>
      </c>
      <c r="J248" s="676" t="s">
        <v>268</v>
      </c>
      <c r="K248" s="676"/>
      <c r="L248" s="676"/>
      <c r="M248" s="676"/>
      <c r="N248" s="415" t="s">
        <v>755</v>
      </c>
      <c r="S248" s="598"/>
      <c r="T248" s="598"/>
      <c r="U248" s="598"/>
      <c r="V248" s="598"/>
    </row>
    <row r="249" spans="1:22" s="407" customFormat="1">
      <c r="A249" s="628">
        <f t="shared" si="14"/>
        <v>20120301</v>
      </c>
      <c r="B249" s="630" t="s">
        <v>703</v>
      </c>
      <c r="C249" s="630" t="s">
        <v>398</v>
      </c>
      <c r="D249" s="631" t="str">
        <f>A249&amp;C249</f>
        <v>20120301KUUM_409</v>
      </c>
      <c r="E249" s="674">
        <v>10.25</v>
      </c>
      <c r="F249" s="675">
        <v>1884</v>
      </c>
      <c r="G249" s="632">
        <v>2.42</v>
      </c>
      <c r="H249" s="632">
        <v>4.18</v>
      </c>
      <c r="I249" s="632">
        <f t="shared" si="15"/>
        <v>3.6500000000000004</v>
      </c>
      <c r="J249" s="676" t="s">
        <v>307</v>
      </c>
      <c r="K249" s="676"/>
      <c r="L249" s="676"/>
      <c r="M249" s="676"/>
      <c r="N249" s="415" t="s">
        <v>755</v>
      </c>
      <c r="S249" s="598"/>
      <c r="T249" s="598"/>
      <c r="U249" s="598"/>
      <c r="V249" s="598"/>
    </row>
    <row r="250" spans="1:22" s="407" customFormat="1">
      <c r="A250" s="628">
        <f t="shared" si="14"/>
        <v>20120301</v>
      </c>
      <c r="B250" s="630" t="s">
        <v>702</v>
      </c>
      <c r="C250" s="630" t="s">
        <v>376</v>
      </c>
      <c r="D250" s="631" t="str">
        <f>A250&amp;C250</f>
        <v>20120301KUUM_410</v>
      </c>
      <c r="E250" s="674">
        <v>19.16</v>
      </c>
      <c r="F250" s="675">
        <v>240</v>
      </c>
      <c r="G250" s="632">
        <v>1.01</v>
      </c>
      <c r="H250" s="632">
        <v>0.53</v>
      </c>
      <c r="I250" s="632">
        <f t="shared" si="15"/>
        <v>17.619999999999997</v>
      </c>
      <c r="J250" s="676" t="s">
        <v>285</v>
      </c>
      <c r="K250" s="676"/>
      <c r="L250" s="676"/>
      <c r="M250" s="676"/>
      <c r="N250" s="415" t="s">
        <v>755</v>
      </c>
      <c r="S250" s="598"/>
      <c r="T250" s="598"/>
      <c r="U250" s="598"/>
      <c r="V250" s="598"/>
    </row>
    <row r="251" spans="1:22" s="407" customFormat="1">
      <c r="A251" s="628">
        <f t="shared" si="14"/>
        <v>20120301</v>
      </c>
      <c r="B251" s="630" t="s">
        <v>702</v>
      </c>
      <c r="C251" s="630" t="s">
        <v>384</v>
      </c>
      <c r="D251" s="631" t="str">
        <f>A251&amp;C251</f>
        <v>20120301KUUM_411</v>
      </c>
      <c r="E251" s="674">
        <v>20.139999999999997</v>
      </c>
      <c r="F251" s="675">
        <v>332</v>
      </c>
      <c r="G251" s="632">
        <v>1.32</v>
      </c>
      <c r="H251" s="632">
        <v>0.74</v>
      </c>
      <c r="I251" s="632">
        <f t="shared" si="15"/>
        <v>18.079999999999998</v>
      </c>
      <c r="J251" s="676" t="s">
        <v>293</v>
      </c>
      <c r="K251" s="676"/>
      <c r="L251" s="676"/>
      <c r="M251" s="676"/>
      <c r="N251" s="415" t="s">
        <v>755</v>
      </c>
      <c r="S251" s="598"/>
      <c r="T251" s="598"/>
      <c r="U251" s="598"/>
      <c r="V251" s="598"/>
    </row>
    <row r="252" spans="1:22" s="407" customFormat="1">
      <c r="A252" s="628">
        <f t="shared" si="14"/>
        <v>20120301</v>
      </c>
      <c r="B252" s="630" t="s">
        <v>702</v>
      </c>
      <c r="C252" s="630" t="s">
        <v>386</v>
      </c>
      <c r="D252" s="631" t="str">
        <f t="shared" ref="D252:D263" si="16">A252&amp;C252</f>
        <v>20120301KUUM_412</v>
      </c>
      <c r="E252" s="674">
        <v>29.239999999999995</v>
      </c>
      <c r="F252" s="675">
        <v>332</v>
      </c>
      <c r="G252" s="632">
        <v>1.32</v>
      </c>
      <c r="H252" s="632">
        <v>0.74</v>
      </c>
      <c r="I252" s="632">
        <f t="shared" si="15"/>
        <v>27.179999999999996</v>
      </c>
      <c r="J252" s="676" t="s">
        <v>295</v>
      </c>
      <c r="K252" s="676"/>
      <c r="L252" s="676"/>
      <c r="M252" s="676"/>
      <c r="N252" s="415" t="s">
        <v>755</v>
      </c>
      <c r="S252" s="598"/>
      <c r="T252" s="598"/>
      <c r="U252" s="598"/>
      <c r="V252" s="598"/>
    </row>
    <row r="253" spans="1:22" s="407" customFormat="1">
      <c r="A253" s="628">
        <f t="shared" si="14"/>
        <v>20120301</v>
      </c>
      <c r="B253" s="630" t="s">
        <v>702</v>
      </c>
      <c r="C253" s="630" t="s">
        <v>409</v>
      </c>
      <c r="D253" s="631" t="str">
        <f t="shared" si="16"/>
        <v>20120301KUUM_413</v>
      </c>
      <c r="E253" s="674">
        <v>29.65</v>
      </c>
      <c r="F253" s="675">
        <v>468</v>
      </c>
      <c r="G253" s="632">
        <v>1.04</v>
      </c>
      <c r="H253" s="632">
        <v>1.04</v>
      </c>
      <c r="I253" s="632">
        <f t="shared" si="15"/>
        <v>27.57</v>
      </c>
      <c r="J253" s="676" t="s">
        <v>318</v>
      </c>
      <c r="K253" s="676"/>
      <c r="L253" s="676"/>
      <c r="M253" s="676"/>
      <c r="N253" s="415" t="s">
        <v>755</v>
      </c>
      <c r="S253" s="598"/>
      <c r="T253" s="598"/>
      <c r="U253" s="598"/>
      <c r="V253" s="598"/>
    </row>
    <row r="254" spans="1:22" s="407" customFormat="1">
      <c r="A254" s="628">
        <f t="shared" si="14"/>
        <v>20120301</v>
      </c>
      <c r="B254" s="630" t="s">
        <v>703</v>
      </c>
      <c r="C254" s="630" t="s">
        <v>387</v>
      </c>
      <c r="D254" s="631" t="str">
        <f t="shared" si="16"/>
        <v>20120301KUUM_414</v>
      </c>
      <c r="E254" s="674">
        <v>29.239999999999995</v>
      </c>
      <c r="F254" s="675">
        <v>332</v>
      </c>
      <c r="G254" s="632">
        <v>1.32</v>
      </c>
      <c r="H254" s="632">
        <v>0.74</v>
      </c>
      <c r="I254" s="632">
        <f t="shared" si="15"/>
        <v>27.179999999999996</v>
      </c>
      <c r="J254" s="676" t="s">
        <v>296</v>
      </c>
      <c r="K254" s="676"/>
      <c r="L254" s="676"/>
      <c r="M254" s="676"/>
      <c r="N254" s="415" t="s">
        <v>755</v>
      </c>
      <c r="S254" s="598"/>
      <c r="T254" s="598"/>
      <c r="U254" s="598"/>
      <c r="V254" s="598"/>
    </row>
    <row r="255" spans="1:22" s="407" customFormat="1">
      <c r="A255" s="628">
        <f t="shared" si="14"/>
        <v>20120301</v>
      </c>
      <c r="B255" s="630" t="s">
        <v>703</v>
      </c>
      <c r="C255" s="630" t="s">
        <v>410</v>
      </c>
      <c r="D255" s="631" t="str">
        <f t="shared" si="16"/>
        <v>20120301KUUM_415</v>
      </c>
      <c r="E255" s="674">
        <v>29.65</v>
      </c>
      <c r="F255" s="675">
        <v>468</v>
      </c>
      <c r="G255" s="632">
        <v>1.04</v>
      </c>
      <c r="H255" s="632">
        <v>1.04</v>
      </c>
      <c r="I255" s="632">
        <f t="shared" si="15"/>
        <v>27.57</v>
      </c>
      <c r="J255" s="676" t="s">
        <v>319</v>
      </c>
      <c r="K255" s="676"/>
      <c r="L255" s="676"/>
      <c r="M255" s="676"/>
      <c r="N255" s="415" t="s">
        <v>755</v>
      </c>
      <c r="S255" s="598"/>
      <c r="T255" s="598"/>
      <c r="U255" s="598"/>
      <c r="V255" s="598"/>
    </row>
    <row r="256" spans="1:22" s="407" customFormat="1">
      <c r="A256" s="628">
        <f t="shared" si="14"/>
        <v>20120301</v>
      </c>
      <c r="B256" s="630" t="s">
        <v>703</v>
      </c>
      <c r="C256" s="630" t="s">
        <v>405</v>
      </c>
      <c r="D256" s="631" t="str">
        <f t="shared" si="16"/>
        <v>20120301KUUM_420</v>
      </c>
      <c r="E256" s="674">
        <v>14.39</v>
      </c>
      <c r="F256" s="675">
        <v>468</v>
      </c>
      <c r="G256" s="632">
        <v>1.04</v>
      </c>
      <c r="H256" s="632">
        <v>1.04</v>
      </c>
      <c r="I256" s="632">
        <f t="shared" si="15"/>
        <v>12.310000000000002</v>
      </c>
      <c r="J256" s="676" t="s">
        <v>314</v>
      </c>
      <c r="K256" s="676"/>
      <c r="L256" s="676"/>
      <c r="M256" s="676"/>
      <c r="N256" s="415" t="s">
        <v>755</v>
      </c>
      <c r="S256" s="598"/>
      <c r="T256" s="598"/>
      <c r="U256" s="598"/>
      <c r="V256" s="598"/>
    </row>
    <row r="257" spans="1:22" s="407" customFormat="1">
      <c r="A257" s="628">
        <f t="shared" si="14"/>
        <v>20120301</v>
      </c>
      <c r="B257" s="630" t="s">
        <v>702</v>
      </c>
      <c r="C257" s="630" t="s">
        <v>326</v>
      </c>
      <c r="D257" s="631" t="str">
        <f t="shared" si="16"/>
        <v>20120301KUUM_421</v>
      </c>
      <c r="E257" s="674">
        <v>3.08</v>
      </c>
      <c r="F257" s="675">
        <v>408</v>
      </c>
      <c r="G257" s="632">
        <v>0.38</v>
      </c>
      <c r="H257" s="632">
        <v>0.91</v>
      </c>
      <c r="I257" s="632">
        <f t="shared" si="15"/>
        <v>1.79</v>
      </c>
      <c r="J257" s="632" t="s">
        <v>235</v>
      </c>
      <c r="K257" s="676"/>
      <c r="L257" s="676"/>
      <c r="M257" s="676"/>
      <c r="N257" s="415" t="s">
        <v>755</v>
      </c>
      <c r="S257" s="598"/>
      <c r="T257" s="598"/>
      <c r="U257" s="598"/>
      <c r="V257" s="598"/>
    </row>
    <row r="258" spans="1:22" s="407" customFormat="1">
      <c r="A258" s="628">
        <f t="shared" si="14"/>
        <v>20120301</v>
      </c>
      <c r="B258" s="630" t="s">
        <v>702</v>
      </c>
      <c r="C258" s="630" t="s">
        <v>356</v>
      </c>
      <c r="D258" s="631" t="str">
        <f t="shared" si="16"/>
        <v>20120301KUUM_422</v>
      </c>
      <c r="E258" s="674">
        <v>4.09</v>
      </c>
      <c r="F258" s="675">
        <v>804</v>
      </c>
      <c r="G258" s="632">
        <v>0.5</v>
      </c>
      <c r="H258" s="632">
        <v>1.79</v>
      </c>
      <c r="I258" s="632">
        <f t="shared" si="15"/>
        <v>1.7999999999999998</v>
      </c>
      <c r="J258" s="676" t="s">
        <v>265</v>
      </c>
      <c r="K258" s="676"/>
      <c r="L258" s="676"/>
      <c r="M258" s="676"/>
      <c r="N258" s="415" t="s">
        <v>755</v>
      </c>
      <c r="S258" s="598"/>
      <c r="T258" s="598"/>
      <c r="U258" s="598"/>
      <c r="V258" s="598"/>
    </row>
    <row r="259" spans="1:22" s="407" customFormat="1">
      <c r="A259" s="628">
        <f t="shared" si="14"/>
        <v>20120301</v>
      </c>
      <c r="B259" s="630" t="s">
        <v>702</v>
      </c>
      <c r="C259" s="630" t="s">
        <v>374</v>
      </c>
      <c r="D259" s="631" t="str">
        <f t="shared" si="16"/>
        <v>20120301KUUM_424</v>
      </c>
      <c r="E259" s="674">
        <v>6.08</v>
      </c>
      <c r="F259" s="675">
        <v>1308</v>
      </c>
      <c r="G259" s="632">
        <v>0.75</v>
      </c>
      <c r="H259" s="632">
        <v>0.46</v>
      </c>
      <c r="I259" s="632">
        <f t="shared" si="15"/>
        <v>4.87</v>
      </c>
      <c r="J259" s="676" t="s">
        <v>283</v>
      </c>
      <c r="K259" s="676"/>
      <c r="L259" s="676"/>
      <c r="M259" s="676"/>
      <c r="N259" s="415" t="s">
        <v>755</v>
      </c>
      <c r="S259" s="598"/>
      <c r="T259" s="598"/>
      <c r="U259" s="598"/>
      <c r="V259" s="598"/>
    </row>
    <row r="260" spans="1:22" s="407" customFormat="1">
      <c r="A260" s="628">
        <f t="shared" si="14"/>
        <v>20120301</v>
      </c>
      <c r="B260" s="630" t="s">
        <v>702</v>
      </c>
      <c r="C260" s="630" t="s">
        <v>399</v>
      </c>
      <c r="D260" s="631" t="str">
        <f t="shared" si="16"/>
        <v>20120301KUUM_425</v>
      </c>
      <c r="E260" s="674">
        <v>8.1100000000000012</v>
      </c>
      <c r="F260" s="675">
        <v>1788</v>
      </c>
      <c r="G260" s="632">
        <v>1.01</v>
      </c>
      <c r="H260" s="632">
        <v>3.97</v>
      </c>
      <c r="I260" s="632">
        <f t="shared" si="15"/>
        <v>3.1300000000000012</v>
      </c>
      <c r="J260" s="676" t="s">
        <v>308</v>
      </c>
      <c r="K260" s="676"/>
      <c r="L260" s="676"/>
      <c r="M260" s="676"/>
      <c r="N260" s="415" t="s">
        <v>755</v>
      </c>
      <c r="S260" s="598"/>
      <c r="T260" s="598"/>
      <c r="U260" s="598"/>
      <c r="V260" s="598"/>
    </row>
    <row r="261" spans="1:22" s="407" customFormat="1">
      <c r="A261" s="628">
        <f t="shared" si="14"/>
        <v>20120301</v>
      </c>
      <c r="B261" s="630" t="s">
        <v>703</v>
      </c>
      <c r="C261" s="630" t="s">
        <v>391</v>
      </c>
      <c r="D261" s="631" t="str">
        <f t="shared" si="16"/>
        <v>20120301KUUM_426</v>
      </c>
      <c r="E261" s="674">
        <v>6.7200000000000006</v>
      </c>
      <c r="F261" s="675">
        <v>332</v>
      </c>
      <c r="G261" s="632">
        <v>1.32</v>
      </c>
      <c r="H261" s="632">
        <v>0.74</v>
      </c>
      <c r="I261" s="632">
        <f t="shared" si="15"/>
        <v>4.66</v>
      </c>
      <c r="J261" s="676" t="s">
        <v>300</v>
      </c>
      <c r="K261" s="676"/>
      <c r="L261" s="676"/>
      <c r="M261" s="676"/>
      <c r="N261" s="415" t="s">
        <v>755</v>
      </c>
      <c r="S261" s="598"/>
      <c r="T261" s="598"/>
      <c r="U261" s="598"/>
      <c r="V261" s="598"/>
    </row>
    <row r="262" spans="1:22" s="407" customFormat="1">
      <c r="A262" s="628">
        <f t="shared" si="14"/>
        <v>20120301</v>
      </c>
      <c r="B262" s="630" t="s">
        <v>703</v>
      </c>
      <c r="C262" s="630" t="s">
        <v>416</v>
      </c>
      <c r="D262" s="631" t="str">
        <f t="shared" si="16"/>
        <v>20120301KUUM_428</v>
      </c>
      <c r="E262" s="674">
        <v>7.16</v>
      </c>
      <c r="F262" s="675">
        <v>468</v>
      </c>
      <c r="G262" s="632">
        <v>1.04</v>
      </c>
      <c r="H262" s="632">
        <v>1.04</v>
      </c>
      <c r="I262" s="632">
        <f t="shared" si="15"/>
        <v>5.08</v>
      </c>
      <c r="J262" s="676" t="s">
        <v>325</v>
      </c>
      <c r="K262" s="676"/>
      <c r="L262" s="676"/>
      <c r="M262" s="676"/>
      <c r="N262" s="415" t="s">
        <v>755</v>
      </c>
      <c r="S262" s="598"/>
      <c r="T262" s="598"/>
      <c r="U262" s="598"/>
      <c r="V262" s="598"/>
    </row>
    <row r="263" spans="1:22" s="407" customFormat="1">
      <c r="A263" s="628">
        <f t="shared" si="14"/>
        <v>20120301</v>
      </c>
      <c r="B263" s="630" t="s">
        <v>703</v>
      </c>
      <c r="C263" s="630" t="s">
        <v>362</v>
      </c>
      <c r="D263" s="631" t="str">
        <f t="shared" si="16"/>
        <v>20120301KUUM_429</v>
      </c>
      <c r="E263" s="674">
        <v>13.04</v>
      </c>
      <c r="F263" s="675">
        <v>968</v>
      </c>
      <c r="G263" s="632">
        <v>1.78</v>
      </c>
      <c r="H263" s="632">
        <v>2.15</v>
      </c>
      <c r="I263" s="632">
        <f t="shared" si="15"/>
        <v>9.11</v>
      </c>
      <c r="J263" s="676" t="s">
        <v>271</v>
      </c>
      <c r="K263" s="676"/>
      <c r="L263" s="676"/>
      <c r="M263" s="676"/>
      <c r="N263" s="415" t="s">
        <v>755</v>
      </c>
      <c r="S263" s="598"/>
      <c r="T263" s="598"/>
      <c r="U263" s="598"/>
      <c r="V263" s="598"/>
    </row>
    <row r="264" spans="1:22" s="407" customFormat="1">
      <c r="A264" s="628">
        <f t="shared" si="14"/>
        <v>20120301</v>
      </c>
      <c r="B264" s="630" t="s">
        <v>703</v>
      </c>
      <c r="C264" s="630" t="s">
        <v>407</v>
      </c>
      <c r="D264" s="631" t="str">
        <f t="shared" ref="D264:D327" si="17">A264&amp;C264</f>
        <v>20120301KUUM_430</v>
      </c>
      <c r="E264" s="674">
        <v>20.78</v>
      </c>
      <c r="F264" s="675">
        <v>468</v>
      </c>
      <c r="G264" s="632">
        <v>1.04</v>
      </c>
      <c r="H264" s="632">
        <v>1.04</v>
      </c>
      <c r="I264" s="632">
        <f t="shared" si="15"/>
        <v>18.700000000000003</v>
      </c>
      <c r="J264" s="676" t="s">
        <v>316</v>
      </c>
      <c r="K264" s="676"/>
      <c r="L264" s="676"/>
      <c r="M264" s="676"/>
      <c r="N264" s="415" t="s">
        <v>755</v>
      </c>
      <c r="S264" s="598"/>
      <c r="T264" s="598"/>
      <c r="U264" s="598"/>
      <c r="V264" s="598"/>
    </row>
    <row r="265" spans="1:22" s="407" customFormat="1">
      <c r="A265" s="628">
        <f t="shared" si="14"/>
        <v>20120301</v>
      </c>
      <c r="B265" s="630" t="s">
        <v>702</v>
      </c>
      <c r="C265" s="634" t="s">
        <v>418</v>
      </c>
      <c r="D265" s="631" t="str">
        <f t="shared" si="17"/>
        <v>20120301KUUM_431</v>
      </c>
      <c r="E265" s="674">
        <v>3.73</v>
      </c>
      <c r="F265" s="675">
        <v>408</v>
      </c>
      <c r="G265" s="632">
        <v>0.38</v>
      </c>
      <c r="H265" s="632">
        <v>0.91</v>
      </c>
      <c r="I265" s="632">
        <f t="shared" si="15"/>
        <v>2.44</v>
      </c>
      <c r="J265" s="689" t="s">
        <v>419</v>
      </c>
      <c r="K265" s="676"/>
      <c r="L265" s="676"/>
      <c r="M265" s="676"/>
      <c r="N265" s="415" t="s">
        <v>755</v>
      </c>
      <c r="S265" s="598"/>
      <c r="T265" s="598"/>
      <c r="U265" s="598"/>
      <c r="V265" s="598"/>
    </row>
    <row r="266" spans="1:22" s="407" customFormat="1">
      <c r="A266" s="628">
        <f t="shared" si="14"/>
        <v>20120301</v>
      </c>
      <c r="B266" s="630" t="s">
        <v>702</v>
      </c>
      <c r="C266" s="634" t="s">
        <v>420</v>
      </c>
      <c r="D266" s="631" t="str">
        <f t="shared" si="17"/>
        <v>20120301KUUM_432</v>
      </c>
      <c r="E266" s="674">
        <v>4.879999999999999</v>
      </c>
      <c r="F266" s="675">
        <v>804</v>
      </c>
      <c r="G266" s="632">
        <v>0.5</v>
      </c>
      <c r="H266" s="632">
        <v>1.79</v>
      </c>
      <c r="I266" s="632">
        <f t="shared" si="15"/>
        <v>2.589999999999999</v>
      </c>
      <c r="J266" s="677" t="s">
        <v>421</v>
      </c>
      <c r="K266" s="676"/>
      <c r="L266" s="676"/>
      <c r="M266" s="676"/>
      <c r="N266" s="415" t="s">
        <v>755</v>
      </c>
      <c r="S266" s="598"/>
      <c r="T266" s="598"/>
      <c r="U266" s="598"/>
      <c r="V266" s="598"/>
    </row>
    <row r="267" spans="1:22" s="407" customFormat="1">
      <c r="A267" s="628">
        <f t="shared" si="14"/>
        <v>20120301</v>
      </c>
      <c r="B267" s="630" t="s">
        <v>702</v>
      </c>
      <c r="C267" s="634" t="s">
        <v>422</v>
      </c>
      <c r="D267" s="631" t="str">
        <f t="shared" si="17"/>
        <v>20120301KUUM_433</v>
      </c>
      <c r="E267" s="674">
        <v>51.000000000000007</v>
      </c>
      <c r="F267" s="675">
        <v>724</v>
      </c>
      <c r="G267" s="632">
        <v>7.15</v>
      </c>
      <c r="H267" s="632">
        <v>1.61</v>
      </c>
      <c r="I267" s="632">
        <f t="shared" si="15"/>
        <v>42.240000000000009</v>
      </c>
      <c r="J267" s="677" t="s">
        <v>423</v>
      </c>
      <c r="K267" s="676"/>
      <c r="L267" s="676"/>
      <c r="M267" s="676"/>
      <c r="N267" s="415" t="s">
        <v>755</v>
      </c>
      <c r="S267" s="598"/>
      <c r="T267" s="598"/>
      <c r="U267" s="598"/>
      <c r="V267" s="598"/>
    </row>
    <row r="268" spans="1:22" s="407" customFormat="1">
      <c r="A268" s="628">
        <f t="shared" si="14"/>
        <v>20120301</v>
      </c>
      <c r="B268" s="630" t="s">
        <v>702</v>
      </c>
      <c r="C268" s="630" t="s">
        <v>373</v>
      </c>
      <c r="D268" s="631" t="str">
        <f t="shared" si="17"/>
        <v>20120301KUUM_434</v>
      </c>
      <c r="E268" s="674">
        <v>7</v>
      </c>
      <c r="F268" s="675">
        <v>1308</v>
      </c>
      <c r="G268" s="632">
        <v>0.75</v>
      </c>
      <c r="H268" s="632">
        <v>0.46</v>
      </c>
      <c r="I268" s="632">
        <f t="shared" si="15"/>
        <v>5.79</v>
      </c>
      <c r="J268" s="676" t="s">
        <v>282</v>
      </c>
      <c r="K268" s="676"/>
      <c r="L268" s="676"/>
      <c r="M268" s="676"/>
      <c r="N268" s="415" t="s">
        <v>755</v>
      </c>
      <c r="S268" s="598"/>
      <c r="T268" s="598"/>
      <c r="U268" s="598"/>
      <c r="V268" s="598"/>
    </row>
    <row r="269" spans="1:22" s="407" customFormat="1">
      <c r="A269" s="628">
        <f t="shared" si="14"/>
        <v>20120301</v>
      </c>
      <c r="B269" s="630" t="s">
        <v>702</v>
      </c>
      <c r="C269" s="634" t="s">
        <v>424</v>
      </c>
      <c r="D269" s="631" t="str">
        <f t="shared" si="17"/>
        <v>20120301KUUM_435</v>
      </c>
      <c r="E269" s="674">
        <v>9.1300000000000008</v>
      </c>
      <c r="F269" s="675">
        <v>1788</v>
      </c>
      <c r="G269" s="632">
        <v>1.01</v>
      </c>
      <c r="H269" s="632">
        <v>3.97</v>
      </c>
      <c r="I269" s="632">
        <f t="shared" si="15"/>
        <v>4.1500000000000004</v>
      </c>
      <c r="J269" s="677" t="s">
        <v>425</v>
      </c>
      <c r="K269" s="676"/>
      <c r="L269" s="676"/>
      <c r="M269" s="676"/>
      <c r="N269" s="415" t="s">
        <v>755</v>
      </c>
      <c r="S269" s="598"/>
      <c r="T269" s="598"/>
      <c r="U269" s="598"/>
      <c r="V269" s="598"/>
    </row>
    <row r="270" spans="1:22" s="407" customFormat="1">
      <c r="A270" s="628">
        <f t="shared" si="14"/>
        <v>20120301</v>
      </c>
      <c r="B270" s="630" t="s">
        <v>703</v>
      </c>
      <c r="C270" s="630" t="s">
        <v>375</v>
      </c>
      <c r="D270" s="631" t="str">
        <f t="shared" si="17"/>
        <v>20120301KUUM_440</v>
      </c>
      <c r="E270" s="674">
        <v>12.77</v>
      </c>
      <c r="F270" s="675">
        <v>240</v>
      </c>
      <c r="G270" s="632">
        <v>1.01</v>
      </c>
      <c r="H270" s="632">
        <v>0.53</v>
      </c>
      <c r="I270" s="632">
        <f t="shared" si="15"/>
        <v>11.23</v>
      </c>
      <c r="J270" s="676" t="s">
        <v>284</v>
      </c>
      <c r="K270" s="676"/>
      <c r="L270" s="676"/>
      <c r="M270" s="676"/>
      <c r="N270" s="415" t="s">
        <v>755</v>
      </c>
      <c r="S270" s="598"/>
      <c r="T270" s="598"/>
      <c r="U270" s="598"/>
      <c r="V270" s="598"/>
    </row>
    <row r="271" spans="1:22" s="407" customFormat="1">
      <c r="A271" s="628">
        <f t="shared" si="14"/>
        <v>20120301</v>
      </c>
      <c r="B271" s="630" t="s">
        <v>703</v>
      </c>
      <c r="C271" s="630" t="s">
        <v>383</v>
      </c>
      <c r="D271" s="631" t="str">
        <f t="shared" si="17"/>
        <v>20120301KUUM_441</v>
      </c>
      <c r="E271" s="674">
        <v>13.860000000000001</v>
      </c>
      <c r="F271" s="675">
        <v>332</v>
      </c>
      <c r="G271" s="632">
        <v>1.32</v>
      </c>
      <c r="H271" s="632">
        <v>0.74</v>
      </c>
      <c r="I271" s="632">
        <f t="shared" si="15"/>
        <v>11.8</v>
      </c>
      <c r="J271" s="676" t="s">
        <v>292</v>
      </c>
      <c r="K271" s="676"/>
      <c r="L271" s="676"/>
      <c r="M271" s="676"/>
      <c r="N271" s="415" t="s">
        <v>755</v>
      </c>
      <c r="S271" s="598"/>
      <c r="T271" s="598"/>
      <c r="U271" s="598"/>
      <c r="V271" s="598"/>
    </row>
    <row r="272" spans="1:22" s="407" customFormat="1">
      <c r="A272" s="628">
        <f t="shared" si="14"/>
        <v>20120301</v>
      </c>
      <c r="B272" s="630" t="s">
        <v>702</v>
      </c>
      <c r="C272" s="630" t="s">
        <v>406</v>
      </c>
      <c r="D272" s="631" t="str">
        <f t="shared" si="17"/>
        <v>20120301KUUM_442</v>
      </c>
      <c r="E272" s="674">
        <v>14.39</v>
      </c>
      <c r="F272" s="675">
        <v>468</v>
      </c>
      <c r="G272" s="632">
        <v>1.04</v>
      </c>
      <c r="H272" s="632">
        <v>1.04</v>
      </c>
      <c r="I272" s="632">
        <f t="shared" si="15"/>
        <v>12.310000000000002</v>
      </c>
      <c r="J272" s="676" t="s">
        <v>315</v>
      </c>
      <c r="K272" s="676"/>
      <c r="L272" s="676"/>
      <c r="M272" s="676"/>
      <c r="N272" s="415" t="s">
        <v>755</v>
      </c>
      <c r="S272" s="598"/>
      <c r="T272" s="598"/>
      <c r="U272" s="598"/>
      <c r="V272" s="598"/>
    </row>
    <row r="273" spans="1:22" s="407" customFormat="1">
      <c r="A273" s="628">
        <f t="shared" si="14"/>
        <v>20120301</v>
      </c>
      <c r="B273" s="630" t="s">
        <v>703</v>
      </c>
      <c r="C273" s="630" t="s">
        <v>377</v>
      </c>
      <c r="D273" s="631" t="str">
        <f t="shared" si="17"/>
        <v>20120301KUUM_444</v>
      </c>
      <c r="E273" s="674">
        <v>19.16</v>
      </c>
      <c r="F273" s="675">
        <v>240</v>
      </c>
      <c r="G273" s="632">
        <v>1.01</v>
      </c>
      <c r="H273" s="632">
        <v>0.53</v>
      </c>
      <c r="I273" s="632">
        <f t="shared" si="15"/>
        <v>17.619999999999997</v>
      </c>
      <c r="J273" s="676" t="s">
        <v>286</v>
      </c>
      <c r="K273" s="676"/>
      <c r="L273" s="676"/>
      <c r="M273" s="676"/>
      <c r="N273" s="415" t="s">
        <v>755</v>
      </c>
      <c r="S273" s="598"/>
      <c r="T273" s="598"/>
      <c r="U273" s="598"/>
      <c r="V273" s="598"/>
    </row>
    <row r="274" spans="1:22" s="407" customFormat="1">
      <c r="A274" s="628">
        <f t="shared" si="14"/>
        <v>20120301</v>
      </c>
      <c r="B274" s="630" t="s">
        <v>703</v>
      </c>
      <c r="C274" s="630" t="s">
        <v>385</v>
      </c>
      <c r="D274" s="631" t="str">
        <f t="shared" si="17"/>
        <v>20120301KUUM_445</v>
      </c>
      <c r="E274" s="674">
        <v>20.139999999999997</v>
      </c>
      <c r="F274" s="675">
        <v>332</v>
      </c>
      <c r="G274" s="632">
        <v>1.32</v>
      </c>
      <c r="H274" s="632">
        <v>0.74</v>
      </c>
      <c r="I274" s="632">
        <f t="shared" si="15"/>
        <v>18.079999999999998</v>
      </c>
      <c r="J274" s="676" t="s">
        <v>294</v>
      </c>
      <c r="K274" s="676"/>
      <c r="L274" s="676"/>
      <c r="M274" s="676"/>
      <c r="N274" s="415" t="s">
        <v>755</v>
      </c>
      <c r="S274" s="598"/>
      <c r="T274" s="598"/>
      <c r="U274" s="598"/>
      <c r="V274" s="598"/>
    </row>
    <row r="275" spans="1:22" s="407" customFormat="1">
      <c r="A275" s="628">
        <f t="shared" si="14"/>
        <v>20120301</v>
      </c>
      <c r="B275" s="630" t="s">
        <v>702</v>
      </c>
      <c r="C275" s="630" t="s">
        <v>401</v>
      </c>
      <c r="D275" s="631" t="str">
        <f t="shared" si="17"/>
        <v>20120301KUUM_446</v>
      </c>
      <c r="E275" s="674">
        <v>8.7200000000000006</v>
      </c>
      <c r="F275" s="675">
        <v>828</v>
      </c>
      <c r="G275" s="632">
        <v>1.18</v>
      </c>
      <c r="H275" s="632">
        <v>1.84</v>
      </c>
      <c r="I275" s="632">
        <f t="shared" si="15"/>
        <v>5.7000000000000011</v>
      </c>
      <c r="J275" s="676" t="s">
        <v>310</v>
      </c>
      <c r="K275" s="676"/>
      <c r="L275" s="676"/>
      <c r="M275" s="676"/>
      <c r="N275" s="415"/>
      <c r="S275" s="598"/>
      <c r="T275" s="598"/>
      <c r="U275" s="598"/>
      <c r="V275" s="598"/>
    </row>
    <row r="276" spans="1:22" s="407" customFormat="1">
      <c r="A276" s="628">
        <f t="shared" si="14"/>
        <v>20120301</v>
      </c>
      <c r="B276" s="630" t="s">
        <v>702</v>
      </c>
      <c r="C276" s="630" t="s">
        <v>328</v>
      </c>
      <c r="D276" s="631" t="str">
        <f t="shared" si="17"/>
        <v>20120301KUUM_447</v>
      </c>
      <c r="E276" s="674">
        <v>10.29</v>
      </c>
      <c r="F276" s="675">
        <v>1176</v>
      </c>
      <c r="G276" s="632">
        <v>1.37</v>
      </c>
      <c r="H276" s="632">
        <v>2.62</v>
      </c>
      <c r="I276" s="632">
        <f t="shared" si="15"/>
        <v>6.299999999999998</v>
      </c>
      <c r="J276" s="632" t="s">
        <v>237</v>
      </c>
      <c r="K276" s="676"/>
      <c r="L276" s="676"/>
      <c r="M276" s="676"/>
      <c r="N276" s="415" t="s">
        <v>755</v>
      </c>
      <c r="S276" s="598"/>
      <c r="T276" s="598"/>
      <c r="U276" s="598"/>
      <c r="V276" s="598"/>
    </row>
    <row r="277" spans="1:22" s="407" customFormat="1">
      <c r="A277" s="628">
        <f t="shared" si="14"/>
        <v>20120301</v>
      </c>
      <c r="B277" s="630" t="s">
        <v>702</v>
      </c>
      <c r="C277" s="634" t="s">
        <v>437</v>
      </c>
      <c r="D277" s="631" t="str">
        <f t="shared" si="17"/>
        <v>20120301KUUM_448</v>
      </c>
      <c r="E277" s="674">
        <v>12.57</v>
      </c>
      <c r="F277" s="675">
        <v>1812</v>
      </c>
      <c r="G277" s="632">
        <v>1.59</v>
      </c>
      <c r="H277" s="632">
        <v>4.03</v>
      </c>
      <c r="I277" s="632">
        <f t="shared" si="15"/>
        <v>6.95</v>
      </c>
      <c r="J277" s="676" t="s">
        <v>438</v>
      </c>
      <c r="K277" s="676"/>
      <c r="L277" s="676"/>
      <c r="M277" s="676"/>
      <c r="N277" s="415" t="s">
        <v>755</v>
      </c>
      <c r="S277" s="598"/>
      <c r="T277" s="598"/>
      <c r="U277" s="598"/>
      <c r="V277" s="598"/>
    </row>
    <row r="278" spans="1:22" s="407" customFormat="1">
      <c r="A278" s="628">
        <f t="shared" si="14"/>
        <v>20120301</v>
      </c>
      <c r="B278" s="630" t="s">
        <v>702</v>
      </c>
      <c r="C278" s="630" t="s">
        <v>408</v>
      </c>
      <c r="D278" s="631" t="str">
        <f t="shared" si="17"/>
        <v>20120301KUUM_449</v>
      </c>
      <c r="E278" s="674">
        <v>20.78</v>
      </c>
      <c r="F278" s="675">
        <v>468</v>
      </c>
      <c r="G278" s="632">
        <v>1.04</v>
      </c>
      <c r="H278" s="632">
        <v>1.04</v>
      </c>
      <c r="I278" s="632">
        <f t="shared" si="15"/>
        <v>18.700000000000003</v>
      </c>
      <c r="J278" s="676" t="s">
        <v>317</v>
      </c>
      <c r="K278" s="676"/>
      <c r="L278" s="676"/>
      <c r="M278" s="676"/>
      <c r="N278" s="415" t="s">
        <v>755</v>
      </c>
      <c r="S278" s="598"/>
      <c r="T278" s="598"/>
      <c r="U278" s="598"/>
      <c r="V278" s="598"/>
    </row>
    <row r="279" spans="1:22" s="407" customFormat="1">
      <c r="A279" s="628">
        <f t="shared" si="14"/>
        <v>20120301</v>
      </c>
      <c r="B279" s="630" t="s">
        <v>703</v>
      </c>
      <c r="C279" s="630" t="s">
        <v>338</v>
      </c>
      <c r="D279" s="631" t="str">
        <f t="shared" si="17"/>
        <v>20120301KUUM_450</v>
      </c>
      <c r="E279" s="674">
        <v>13.04</v>
      </c>
      <c r="F279" s="675">
        <v>600</v>
      </c>
      <c r="G279" s="632">
        <v>2.08</v>
      </c>
      <c r="H279" s="632">
        <v>1.86</v>
      </c>
      <c r="I279" s="632">
        <f t="shared" si="15"/>
        <v>9.1</v>
      </c>
      <c r="J279" s="676" t="s">
        <v>247</v>
      </c>
      <c r="K279" s="676"/>
      <c r="L279" s="676"/>
      <c r="M279" s="676"/>
      <c r="N279" s="415" t="s">
        <v>755</v>
      </c>
      <c r="S279" s="598"/>
      <c r="T279" s="598"/>
      <c r="U279" s="598"/>
      <c r="V279" s="598"/>
    </row>
    <row r="280" spans="1:22" s="407" customFormat="1">
      <c r="A280" s="628">
        <f t="shared" si="14"/>
        <v>20120301</v>
      </c>
      <c r="B280" s="630" t="s">
        <v>703</v>
      </c>
      <c r="C280" s="630" t="s">
        <v>370</v>
      </c>
      <c r="D280" s="631" t="str">
        <f t="shared" si="17"/>
        <v>20120301KUUM_451</v>
      </c>
      <c r="E280" s="674">
        <v>18.450000000000003</v>
      </c>
      <c r="F280" s="675">
        <v>1400</v>
      </c>
      <c r="G280" s="632">
        <v>2.59</v>
      </c>
      <c r="H280" s="632">
        <v>4.03</v>
      </c>
      <c r="I280" s="632">
        <f t="shared" si="15"/>
        <v>11.830000000000002</v>
      </c>
      <c r="J280" s="676" t="s">
        <v>279</v>
      </c>
      <c r="K280" s="676"/>
      <c r="L280" s="676"/>
      <c r="M280" s="676"/>
      <c r="N280" s="415" t="s">
        <v>755</v>
      </c>
      <c r="S280" s="598"/>
      <c r="T280" s="598"/>
      <c r="U280" s="598"/>
      <c r="V280" s="598"/>
    </row>
    <row r="281" spans="1:22" s="407" customFormat="1">
      <c r="A281" s="628">
        <f t="shared" si="14"/>
        <v>20120301</v>
      </c>
      <c r="B281" s="630" t="s">
        <v>703</v>
      </c>
      <c r="C281" s="630" t="s">
        <v>333</v>
      </c>
      <c r="D281" s="631" t="str">
        <f t="shared" si="17"/>
        <v>20120301KUUM_452</v>
      </c>
      <c r="E281" s="674">
        <v>38.480000000000004</v>
      </c>
      <c r="F281" s="675">
        <v>4320</v>
      </c>
      <c r="G281" s="632">
        <v>5.12</v>
      </c>
      <c r="H281" s="632">
        <v>9.6</v>
      </c>
      <c r="I281" s="632">
        <f t="shared" si="15"/>
        <v>23.760000000000005</v>
      </c>
      <c r="J281" s="676" t="s">
        <v>242</v>
      </c>
      <c r="K281" s="676"/>
      <c r="L281" s="676"/>
      <c r="M281" s="676"/>
      <c r="N281" s="415" t="s">
        <v>755</v>
      </c>
      <c r="S281" s="598"/>
      <c r="T281" s="598"/>
      <c r="U281" s="598"/>
      <c r="V281" s="598"/>
    </row>
    <row r="282" spans="1:22" s="407" customFormat="1">
      <c r="A282" s="628">
        <f t="shared" si="14"/>
        <v>20120301</v>
      </c>
      <c r="B282" s="630" t="s">
        <v>703</v>
      </c>
      <c r="C282" s="630" t="s">
        <v>336</v>
      </c>
      <c r="D282" s="631" t="str">
        <f t="shared" si="17"/>
        <v>20120301KUUM_454</v>
      </c>
      <c r="E282" s="674">
        <v>17.27</v>
      </c>
      <c r="F282" s="675">
        <v>600</v>
      </c>
      <c r="G282" s="632">
        <v>2.08</v>
      </c>
      <c r="H282" s="632">
        <v>1.86</v>
      </c>
      <c r="I282" s="632">
        <f t="shared" si="15"/>
        <v>13.33</v>
      </c>
      <c r="J282" s="676" t="s">
        <v>245</v>
      </c>
      <c r="K282" s="676"/>
      <c r="L282" s="676"/>
      <c r="M282" s="676"/>
      <c r="N282" s="415" t="s">
        <v>755</v>
      </c>
      <c r="S282" s="598"/>
      <c r="T282" s="598"/>
      <c r="U282" s="598"/>
      <c r="V282" s="598"/>
    </row>
    <row r="283" spans="1:22" s="407" customFormat="1">
      <c r="A283" s="628">
        <f t="shared" si="14"/>
        <v>20120301</v>
      </c>
      <c r="B283" s="630" t="s">
        <v>703</v>
      </c>
      <c r="C283" s="630" t="s">
        <v>368</v>
      </c>
      <c r="D283" s="631" t="str">
        <f t="shared" si="17"/>
        <v>20120301KUUM_455</v>
      </c>
      <c r="E283" s="674">
        <v>22.68</v>
      </c>
      <c r="F283" s="675">
        <v>1400</v>
      </c>
      <c r="G283" s="632">
        <v>2.59</v>
      </c>
      <c r="H283" s="632">
        <v>4.03</v>
      </c>
      <c r="I283" s="632">
        <f t="shared" ref="I283:I327" si="18">E283-G283-H283</f>
        <v>16.059999999999999</v>
      </c>
      <c r="J283" s="676" t="s">
        <v>277</v>
      </c>
      <c r="K283" s="676"/>
      <c r="L283" s="676"/>
      <c r="M283" s="676"/>
      <c r="N283" s="415" t="s">
        <v>755</v>
      </c>
      <c r="S283" s="598"/>
      <c r="T283" s="598"/>
      <c r="U283" s="598"/>
      <c r="V283" s="598"/>
    </row>
    <row r="284" spans="1:22" s="407" customFormat="1">
      <c r="A284" s="628">
        <f t="shared" si="14"/>
        <v>20120301</v>
      </c>
      <c r="B284" s="630" t="s">
        <v>702</v>
      </c>
      <c r="C284" s="630" t="s">
        <v>400</v>
      </c>
      <c r="D284" s="631" t="str">
        <f t="shared" si="17"/>
        <v>20120301KUUM_456</v>
      </c>
      <c r="E284" s="674">
        <v>10.94</v>
      </c>
      <c r="F284" s="675">
        <v>828</v>
      </c>
      <c r="G284" s="632">
        <v>1.18</v>
      </c>
      <c r="H284" s="632">
        <v>1.84</v>
      </c>
      <c r="I284" s="632">
        <f t="shared" si="18"/>
        <v>7.92</v>
      </c>
      <c r="J284" s="676" t="s">
        <v>309</v>
      </c>
      <c r="K284" s="676"/>
      <c r="L284" s="676"/>
      <c r="M284" s="676"/>
      <c r="N284" s="415" t="s">
        <v>755</v>
      </c>
      <c r="S284" s="598"/>
      <c r="T284" s="598"/>
      <c r="U284" s="598"/>
      <c r="V284" s="598"/>
    </row>
    <row r="285" spans="1:22" s="407" customFormat="1">
      <c r="A285" s="628">
        <f t="shared" si="14"/>
        <v>20120301</v>
      </c>
      <c r="B285" s="630" t="s">
        <v>702</v>
      </c>
      <c r="C285" s="630" t="s">
        <v>327</v>
      </c>
      <c r="D285" s="631" t="str">
        <f t="shared" si="17"/>
        <v>20120301KUUM_457</v>
      </c>
      <c r="E285" s="674">
        <v>12.26</v>
      </c>
      <c r="F285" s="675">
        <v>1176</v>
      </c>
      <c r="G285" s="632">
        <v>1.37</v>
      </c>
      <c r="H285" s="632">
        <v>2.62</v>
      </c>
      <c r="I285" s="632">
        <f t="shared" si="18"/>
        <v>8.27</v>
      </c>
      <c r="J285" s="632" t="s">
        <v>236</v>
      </c>
      <c r="K285" s="676"/>
      <c r="L285" s="676"/>
      <c r="M285" s="676"/>
      <c r="N285" s="415" t="s">
        <v>755</v>
      </c>
      <c r="S285" s="598"/>
      <c r="T285" s="598"/>
      <c r="U285" s="598"/>
      <c r="V285" s="598"/>
    </row>
    <row r="286" spans="1:22" s="407" customFormat="1">
      <c r="A286" s="628">
        <f t="shared" si="14"/>
        <v>20120301</v>
      </c>
      <c r="B286" s="630" t="s">
        <v>702</v>
      </c>
      <c r="C286" s="630" t="s">
        <v>357</v>
      </c>
      <c r="D286" s="631" t="str">
        <f t="shared" si="17"/>
        <v>20120301KUUM_458</v>
      </c>
      <c r="E286" s="674">
        <v>14.14</v>
      </c>
      <c r="F286" s="675">
        <v>1812</v>
      </c>
      <c r="G286" s="632">
        <v>1.59</v>
      </c>
      <c r="H286" s="632">
        <v>4.03</v>
      </c>
      <c r="I286" s="632">
        <f t="shared" si="18"/>
        <v>8.52</v>
      </c>
      <c r="J286" s="676" t="s">
        <v>266</v>
      </c>
      <c r="K286" s="676"/>
      <c r="L286" s="676"/>
      <c r="M286" s="676"/>
      <c r="N286" s="415" t="s">
        <v>755</v>
      </c>
      <c r="S286" s="598"/>
      <c r="T286" s="598"/>
      <c r="U286" s="598"/>
      <c r="V286" s="598"/>
    </row>
    <row r="287" spans="1:22" s="407" customFormat="1">
      <c r="A287" s="628">
        <f t="shared" si="14"/>
        <v>20120301</v>
      </c>
      <c r="B287" s="630" t="s">
        <v>703</v>
      </c>
      <c r="C287" s="630" t="s">
        <v>331</v>
      </c>
      <c r="D287" s="631" t="str">
        <f t="shared" si="17"/>
        <v>20120301KUUM_459</v>
      </c>
      <c r="E287" s="674">
        <v>42.709999999999994</v>
      </c>
      <c r="F287" s="675">
        <v>4320</v>
      </c>
      <c r="G287" s="632">
        <v>5.12</v>
      </c>
      <c r="H287" s="632">
        <v>9.6</v>
      </c>
      <c r="I287" s="632">
        <f t="shared" si="18"/>
        <v>27.989999999999995</v>
      </c>
      <c r="J287" s="632" t="s">
        <v>240</v>
      </c>
      <c r="K287" s="676"/>
      <c r="L287" s="676"/>
      <c r="M287" s="676"/>
      <c r="N287" s="415" t="s">
        <v>755</v>
      </c>
      <c r="S287" s="598"/>
      <c r="T287" s="598"/>
      <c r="U287" s="598"/>
      <c r="V287" s="598"/>
    </row>
    <row r="288" spans="1:22" s="407" customFormat="1">
      <c r="A288" s="628">
        <f t="shared" ref="A288:A310" si="19">A287</f>
        <v>20120301</v>
      </c>
      <c r="B288" s="630" t="s">
        <v>703</v>
      </c>
      <c r="C288" s="630" t="s">
        <v>335</v>
      </c>
      <c r="D288" s="631" t="str">
        <f t="shared" si="17"/>
        <v>20120301KUUM_460</v>
      </c>
      <c r="E288" s="674">
        <v>25.450000000000003</v>
      </c>
      <c r="F288" s="675">
        <v>600</v>
      </c>
      <c r="G288" s="632">
        <v>2.08</v>
      </c>
      <c r="H288" s="632">
        <v>1.86</v>
      </c>
      <c r="I288" s="632">
        <f t="shared" si="18"/>
        <v>21.510000000000005</v>
      </c>
      <c r="J288" s="676" t="s">
        <v>244</v>
      </c>
      <c r="K288" s="676"/>
      <c r="L288" s="676"/>
      <c r="M288" s="676"/>
      <c r="N288" s="415" t="s">
        <v>755</v>
      </c>
      <c r="S288" s="598"/>
      <c r="T288" s="598"/>
      <c r="U288" s="598"/>
      <c r="V288" s="598"/>
    </row>
    <row r="289" spans="1:22" s="407" customFormat="1">
      <c r="A289" s="628">
        <f t="shared" si="19"/>
        <v>20120301</v>
      </c>
      <c r="B289" s="630" t="s">
        <v>702</v>
      </c>
      <c r="C289" s="630" t="s">
        <v>372</v>
      </c>
      <c r="D289" s="631" t="str">
        <f t="shared" si="17"/>
        <v>20120301KUUM_461</v>
      </c>
      <c r="E289" s="674">
        <v>6.93</v>
      </c>
      <c r="F289" s="675">
        <v>240</v>
      </c>
      <c r="G289" s="632">
        <v>1.01</v>
      </c>
      <c r="H289" s="632">
        <v>0.53</v>
      </c>
      <c r="I289" s="632">
        <f t="shared" si="18"/>
        <v>5.39</v>
      </c>
      <c r="J289" s="676" t="s">
        <v>281</v>
      </c>
      <c r="K289" s="676"/>
      <c r="L289" s="676"/>
      <c r="M289" s="676"/>
      <c r="N289" s="415" t="s">
        <v>755</v>
      </c>
      <c r="S289" s="598"/>
      <c r="T289" s="598"/>
      <c r="U289" s="598"/>
      <c r="V289" s="598"/>
    </row>
    <row r="290" spans="1:22" s="407" customFormat="1">
      <c r="A290" s="628">
        <f t="shared" si="19"/>
        <v>20120301</v>
      </c>
      <c r="B290" s="630" t="s">
        <v>702</v>
      </c>
      <c r="C290" s="630" t="s">
        <v>381</v>
      </c>
      <c r="D290" s="631" t="str">
        <f t="shared" si="17"/>
        <v>20120301KUUM_462</v>
      </c>
      <c r="E290" s="674">
        <v>7.9</v>
      </c>
      <c r="F290" s="675">
        <v>332</v>
      </c>
      <c r="G290" s="632">
        <v>1.32</v>
      </c>
      <c r="H290" s="632">
        <v>0.74</v>
      </c>
      <c r="I290" s="632">
        <f t="shared" si="18"/>
        <v>5.84</v>
      </c>
      <c r="J290" s="676" t="s">
        <v>290</v>
      </c>
      <c r="K290" s="676"/>
      <c r="L290" s="676"/>
      <c r="M290" s="676"/>
      <c r="N290" s="415" t="s">
        <v>755</v>
      </c>
      <c r="S290" s="598"/>
      <c r="T290" s="598"/>
      <c r="U290" s="598"/>
      <c r="V290" s="598"/>
    </row>
    <row r="291" spans="1:22" s="407" customFormat="1">
      <c r="A291" s="628">
        <f t="shared" si="19"/>
        <v>20120301</v>
      </c>
      <c r="B291" s="630" t="s">
        <v>702</v>
      </c>
      <c r="C291" s="630" t="s">
        <v>404</v>
      </c>
      <c r="D291" s="631" t="str">
        <f t="shared" si="17"/>
        <v>20120301KUUM_463</v>
      </c>
      <c r="E291" s="674">
        <v>8.41</v>
      </c>
      <c r="F291" s="675">
        <v>468</v>
      </c>
      <c r="G291" s="632">
        <v>1.04</v>
      </c>
      <c r="H291" s="632">
        <v>1.04</v>
      </c>
      <c r="I291" s="632">
        <f t="shared" si="18"/>
        <v>6.33</v>
      </c>
      <c r="J291" s="676" t="s">
        <v>313</v>
      </c>
      <c r="K291" s="676"/>
      <c r="L291" s="676"/>
      <c r="M291" s="676"/>
      <c r="N291" s="415" t="s">
        <v>755</v>
      </c>
      <c r="S291" s="598"/>
      <c r="T291" s="598"/>
      <c r="U291" s="598"/>
      <c r="V291" s="598"/>
    </row>
    <row r="292" spans="1:22" s="407" customFormat="1">
      <c r="A292" s="628">
        <f t="shared" si="19"/>
        <v>20120301</v>
      </c>
      <c r="B292" s="630" t="s">
        <v>702</v>
      </c>
      <c r="C292" s="630" t="s">
        <v>361</v>
      </c>
      <c r="D292" s="631" t="str">
        <f t="shared" si="17"/>
        <v>20120301KUUM_464</v>
      </c>
      <c r="E292" s="674">
        <v>13.04</v>
      </c>
      <c r="F292" s="675">
        <v>968</v>
      </c>
      <c r="G292" s="632">
        <v>1.78</v>
      </c>
      <c r="H292" s="632">
        <v>2.15</v>
      </c>
      <c r="I292" s="632">
        <f t="shared" si="18"/>
        <v>9.11</v>
      </c>
      <c r="J292" s="676" t="s">
        <v>270</v>
      </c>
      <c r="K292" s="676"/>
      <c r="L292" s="676"/>
      <c r="M292" s="676"/>
      <c r="N292" s="415"/>
      <c r="S292" s="598"/>
      <c r="T292" s="598"/>
      <c r="U292" s="598"/>
      <c r="V292" s="598"/>
    </row>
    <row r="293" spans="1:22" s="407" customFormat="1">
      <c r="A293" s="628">
        <f t="shared" si="19"/>
        <v>20120301</v>
      </c>
      <c r="B293" s="630" t="s">
        <v>702</v>
      </c>
      <c r="C293" s="630" t="s">
        <v>393</v>
      </c>
      <c r="D293" s="631" t="str">
        <f t="shared" si="17"/>
        <v>20120301KUUM_465</v>
      </c>
      <c r="E293" s="674">
        <v>20.95</v>
      </c>
      <c r="F293" s="675">
        <v>1884</v>
      </c>
      <c r="G293" s="632">
        <v>2.42</v>
      </c>
      <c r="H293" s="632">
        <v>4.18</v>
      </c>
      <c r="I293" s="632">
        <f t="shared" si="18"/>
        <v>14.350000000000001</v>
      </c>
      <c r="J293" s="676" t="s">
        <v>302</v>
      </c>
      <c r="K293" s="676"/>
      <c r="L293" s="676"/>
      <c r="M293" s="676"/>
      <c r="N293" s="415" t="s">
        <v>755</v>
      </c>
      <c r="S293" s="598"/>
      <c r="T293" s="598"/>
      <c r="U293" s="598"/>
      <c r="V293" s="598"/>
    </row>
    <row r="294" spans="1:22" s="407" customFormat="1">
      <c r="A294" s="628">
        <f t="shared" si="19"/>
        <v>20120301</v>
      </c>
      <c r="B294" s="636" t="s">
        <v>702</v>
      </c>
      <c r="C294" s="630" t="s">
        <v>379</v>
      </c>
      <c r="D294" s="631" t="str">
        <f t="shared" si="17"/>
        <v>20120301KUUM_466</v>
      </c>
      <c r="E294" s="674">
        <v>8.93</v>
      </c>
      <c r="F294" s="675">
        <v>240</v>
      </c>
      <c r="G294" s="632">
        <v>1.01</v>
      </c>
      <c r="H294" s="632">
        <v>0.53</v>
      </c>
      <c r="I294" s="632">
        <f t="shared" si="18"/>
        <v>7.39</v>
      </c>
      <c r="J294" s="676" t="s">
        <v>288</v>
      </c>
      <c r="K294" s="676"/>
      <c r="L294" s="676"/>
      <c r="M294" s="676"/>
      <c r="N294" s="415" t="s">
        <v>755</v>
      </c>
      <c r="S294" s="598"/>
      <c r="T294" s="598"/>
      <c r="U294" s="598"/>
      <c r="V294" s="598"/>
    </row>
    <row r="295" spans="1:22" s="407" customFormat="1">
      <c r="A295" s="628">
        <f t="shared" si="19"/>
        <v>20120301</v>
      </c>
      <c r="B295" s="630" t="s">
        <v>702</v>
      </c>
      <c r="C295" s="630" t="s">
        <v>389</v>
      </c>
      <c r="D295" s="631" t="str">
        <f t="shared" si="17"/>
        <v>20120301KUUM_467</v>
      </c>
      <c r="E295" s="674">
        <v>9.9300000000000015</v>
      </c>
      <c r="F295" s="675">
        <v>332</v>
      </c>
      <c r="G295" s="632">
        <v>1.32</v>
      </c>
      <c r="H295" s="632">
        <v>0.74</v>
      </c>
      <c r="I295" s="632">
        <f t="shared" si="18"/>
        <v>7.870000000000001</v>
      </c>
      <c r="J295" s="676" t="s">
        <v>298</v>
      </c>
      <c r="K295" s="676"/>
      <c r="L295" s="676"/>
      <c r="M295" s="676"/>
      <c r="N295" s="415" t="s">
        <v>755</v>
      </c>
      <c r="S295" s="598"/>
      <c r="T295" s="598"/>
      <c r="U295" s="598"/>
      <c r="V295" s="598"/>
    </row>
    <row r="296" spans="1:22" s="407" customFormat="1">
      <c r="A296" s="628">
        <f t="shared" si="19"/>
        <v>20120301</v>
      </c>
      <c r="B296" s="630" t="s">
        <v>702</v>
      </c>
      <c r="C296" s="630" t="s">
        <v>412</v>
      </c>
      <c r="D296" s="631" t="str">
        <f t="shared" si="17"/>
        <v>20120301KUUM_468</v>
      </c>
      <c r="E296" s="674">
        <v>10.35</v>
      </c>
      <c r="F296" s="675">
        <v>468</v>
      </c>
      <c r="G296" s="632">
        <v>1.04</v>
      </c>
      <c r="H296" s="632">
        <v>1.04</v>
      </c>
      <c r="I296" s="632">
        <f t="shared" si="18"/>
        <v>8.27</v>
      </c>
      <c r="J296" s="676" t="s">
        <v>321</v>
      </c>
      <c r="K296" s="676"/>
      <c r="L296" s="676"/>
      <c r="M296" s="676"/>
      <c r="N296" s="415" t="s">
        <v>755</v>
      </c>
      <c r="S296" s="598"/>
      <c r="T296" s="598"/>
      <c r="U296" s="598"/>
      <c r="V296" s="598"/>
    </row>
    <row r="297" spans="1:22" s="407" customFormat="1">
      <c r="A297" s="628">
        <f t="shared" si="19"/>
        <v>20120301</v>
      </c>
      <c r="B297" s="630" t="s">
        <v>703</v>
      </c>
      <c r="C297" s="630" t="s">
        <v>367</v>
      </c>
      <c r="D297" s="631" t="str">
        <f t="shared" si="17"/>
        <v>20120301KUUM_469</v>
      </c>
      <c r="E297" s="674">
        <v>30.860000000000003</v>
      </c>
      <c r="F297" s="675">
        <v>1400</v>
      </c>
      <c r="G297" s="632">
        <v>2.59</v>
      </c>
      <c r="H297" s="632">
        <v>4.03</v>
      </c>
      <c r="I297" s="632">
        <f t="shared" si="18"/>
        <v>24.240000000000002</v>
      </c>
      <c r="J297" s="676" t="s">
        <v>276</v>
      </c>
      <c r="K297" s="676"/>
      <c r="L297" s="676"/>
      <c r="M297" s="676"/>
      <c r="N297" s="415" t="s">
        <v>755</v>
      </c>
      <c r="S297" s="598"/>
      <c r="T297" s="598"/>
      <c r="U297" s="598"/>
      <c r="V297" s="598"/>
    </row>
    <row r="298" spans="1:22" s="407" customFormat="1">
      <c r="A298" s="628">
        <f t="shared" si="19"/>
        <v>20120301</v>
      </c>
      <c r="B298" s="630" t="s">
        <v>703</v>
      </c>
      <c r="C298" s="630" t="s">
        <v>330</v>
      </c>
      <c r="D298" s="631" t="str">
        <f t="shared" si="17"/>
        <v>20120301KUUM_470</v>
      </c>
      <c r="E298" s="674">
        <v>50.89</v>
      </c>
      <c r="F298" s="675">
        <v>4320</v>
      </c>
      <c r="G298" s="632">
        <v>5.12</v>
      </c>
      <c r="H298" s="632">
        <v>9.6</v>
      </c>
      <c r="I298" s="632">
        <f t="shared" si="18"/>
        <v>36.17</v>
      </c>
      <c r="J298" s="632" t="s">
        <v>239</v>
      </c>
      <c r="K298" s="676"/>
      <c r="L298" s="676"/>
      <c r="M298" s="676"/>
      <c r="N298" s="415" t="s">
        <v>755</v>
      </c>
      <c r="S298" s="598"/>
      <c r="T298" s="598"/>
      <c r="U298" s="598"/>
      <c r="V298" s="598"/>
    </row>
    <row r="299" spans="1:22" s="407" customFormat="1">
      <c r="A299" s="628">
        <f t="shared" si="19"/>
        <v>20120301</v>
      </c>
      <c r="B299" s="630" t="s">
        <v>702</v>
      </c>
      <c r="C299" s="630" t="s">
        <v>371</v>
      </c>
      <c r="D299" s="631" t="str">
        <f t="shared" si="17"/>
        <v>20120301KUUM_471</v>
      </c>
      <c r="E299" s="674">
        <v>9.7600000000000016</v>
      </c>
      <c r="F299" s="675">
        <v>240</v>
      </c>
      <c r="G299" s="632">
        <v>1.01</v>
      </c>
      <c r="H299" s="632">
        <v>0.53</v>
      </c>
      <c r="I299" s="632">
        <f t="shared" si="18"/>
        <v>8.2200000000000024</v>
      </c>
      <c r="J299" s="676" t="s">
        <v>280</v>
      </c>
      <c r="K299" s="676"/>
      <c r="L299" s="676"/>
      <c r="M299" s="676"/>
      <c r="N299" s="415" t="s">
        <v>755</v>
      </c>
      <c r="S299" s="598"/>
      <c r="T299" s="598"/>
      <c r="U299" s="598"/>
      <c r="V299" s="598"/>
    </row>
    <row r="300" spans="1:22" s="407" customFormat="1">
      <c r="A300" s="628">
        <f t="shared" si="19"/>
        <v>20120301</v>
      </c>
      <c r="B300" s="630" t="s">
        <v>702</v>
      </c>
      <c r="C300" s="630" t="s">
        <v>380</v>
      </c>
      <c r="D300" s="631" t="str">
        <f t="shared" si="17"/>
        <v>20120301KUUM_472</v>
      </c>
      <c r="E300" s="674">
        <v>10.73</v>
      </c>
      <c r="F300" s="675">
        <v>332</v>
      </c>
      <c r="G300" s="632">
        <v>1.32</v>
      </c>
      <c r="H300" s="632">
        <v>0.74</v>
      </c>
      <c r="I300" s="632">
        <f t="shared" si="18"/>
        <v>8.67</v>
      </c>
      <c r="J300" s="676" t="s">
        <v>289</v>
      </c>
      <c r="K300" s="676"/>
      <c r="L300" s="676"/>
      <c r="M300" s="676"/>
      <c r="N300" s="415" t="s">
        <v>755</v>
      </c>
      <c r="S300" s="598"/>
      <c r="T300" s="598"/>
      <c r="U300" s="598"/>
      <c r="V300" s="598"/>
    </row>
    <row r="301" spans="1:22" s="407" customFormat="1">
      <c r="A301" s="628">
        <f t="shared" si="19"/>
        <v>20120301</v>
      </c>
      <c r="B301" s="630" t="s">
        <v>702</v>
      </c>
      <c r="C301" s="630" t="s">
        <v>403</v>
      </c>
      <c r="D301" s="631" t="str">
        <f t="shared" si="17"/>
        <v>20120301KUUM_473</v>
      </c>
      <c r="E301" s="674">
        <v>11.45</v>
      </c>
      <c r="F301" s="675">
        <v>468</v>
      </c>
      <c r="G301" s="632">
        <v>1.04</v>
      </c>
      <c r="H301" s="632">
        <v>1.04</v>
      </c>
      <c r="I301" s="632">
        <f t="shared" si="18"/>
        <v>9.370000000000001</v>
      </c>
      <c r="J301" s="676" t="s">
        <v>312</v>
      </c>
      <c r="K301" s="676"/>
      <c r="L301" s="676"/>
      <c r="M301" s="676"/>
      <c r="N301" s="415"/>
      <c r="S301" s="598"/>
      <c r="T301" s="598"/>
      <c r="U301" s="598"/>
      <c r="V301" s="598"/>
    </row>
    <row r="302" spans="1:22" s="407" customFormat="1">
      <c r="A302" s="628">
        <f t="shared" si="19"/>
        <v>20120301</v>
      </c>
      <c r="B302" s="630" t="s">
        <v>702</v>
      </c>
      <c r="C302" s="630" t="s">
        <v>360</v>
      </c>
      <c r="D302" s="631" t="str">
        <f t="shared" si="17"/>
        <v>20120301KUUM_474</v>
      </c>
      <c r="E302" s="674">
        <v>16.079999999999998</v>
      </c>
      <c r="F302" s="675">
        <v>968</v>
      </c>
      <c r="G302" s="632">
        <v>1.78</v>
      </c>
      <c r="H302" s="632">
        <v>2.15</v>
      </c>
      <c r="I302" s="632">
        <f t="shared" si="18"/>
        <v>12.149999999999999</v>
      </c>
      <c r="J302" s="676" t="s">
        <v>269</v>
      </c>
      <c r="K302" s="676"/>
      <c r="L302" s="676"/>
      <c r="M302" s="676"/>
      <c r="N302" s="415"/>
      <c r="S302" s="598"/>
      <c r="T302" s="598"/>
      <c r="U302" s="598"/>
      <c r="V302" s="598"/>
    </row>
    <row r="303" spans="1:22" s="407" customFormat="1">
      <c r="A303" s="628">
        <f t="shared" si="19"/>
        <v>20120301</v>
      </c>
      <c r="B303" s="630" t="s">
        <v>702</v>
      </c>
      <c r="C303" s="630" t="s">
        <v>392</v>
      </c>
      <c r="D303" s="631" t="str">
        <f t="shared" si="17"/>
        <v>20120301KUUM_475</v>
      </c>
      <c r="E303" s="674">
        <v>22.509999999999998</v>
      </c>
      <c r="F303" s="675">
        <v>1884</v>
      </c>
      <c r="G303" s="632">
        <v>2.42</v>
      </c>
      <c r="H303" s="632">
        <v>4.18</v>
      </c>
      <c r="I303" s="632">
        <f t="shared" si="18"/>
        <v>15.909999999999997</v>
      </c>
      <c r="J303" s="676" t="s">
        <v>301</v>
      </c>
      <c r="K303" s="676"/>
      <c r="L303" s="676"/>
      <c r="M303" s="676"/>
      <c r="N303" s="415" t="s">
        <v>755</v>
      </c>
      <c r="S303" s="598"/>
      <c r="T303" s="598"/>
      <c r="U303" s="598"/>
      <c r="V303" s="598"/>
    </row>
    <row r="304" spans="1:22" s="407" customFormat="1">
      <c r="A304" s="628">
        <f t="shared" si="19"/>
        <v>20120301</v>
      </c>
      <c r="B304" s="630" t="s">
        <v>702</v>
      </c>
      <c r="C304" s="630" t="s">
        <v>390</v>
      </c>
      <c r="D304" s="631" t="str">
        <f t="shared" si="17"/>
        <v>20120301KUUM_476</v>
      </c>
      <c r="E304" s="674">
        <v>15.66</v>
      </c>
      <c r="F304" s="675">
        <v>332</v>
      </c>
      <c r="G304" s="632">
        <v>1.32</v>
      </c>
      <c r="H304" s="632">
        <v>0.74</v>
      </c>
      <c r="I304" s="632">
        <f>E304-G304-H304</f>
        <v>13.6</v>
      </c>
      <c r="J304" s="676" t="s">
        <v>299</v>
      </c>
      <c r="K304" s="676"/>
      <c r="L304" s="676"/>
      <c r="M304" s="676"/>
      <c r="N304" s="415" t="s">
        <v>755</v>
      </c>
      <c r="S304" s="598"/>
      <c r="T304" s="598"/>
      <c r="U304" s="598"/>
      <c r="V304" s="598"/>
    </row>
    <row r="305" spans="1:22" s="407" customFormat="1">
      <c r="A305" s="628">
        <f t="shared" si="19"/>
        <v>20120301</v>
      </c>
      <c r="B305" s="630" t="s">
        <v>702</v>
      </c>
      <c r="C305" s="630" t="s">
        <v>414</v>
      </c>
      <c r="D305" s="631" t="str">
        <f t="shared" si="17"/>
        <v>20120301KUUM_477</v>
      </c>
      <c r="E305" s="674">
        <v>18.190000000000001</v>
      </c>
      <c r="F305" s="675">
        <v>468</v>
      </c>
      <c r="G305" s="632">
        <v>1.04</v>
      </c>
      <c r="H305" s="632">
        <v>1.04</v>
      </c>
      <c r="I305" s="632">
        <f>E305-G305-H305</f>
        <v>16.110000000000003</v>
      </c>
      <c r="J305" s="676" t="s">
        <v>323</v>
      </c>
      <c r="K305" s="676"/>
      <c r="L305" s="676"/>
      <c r="M305" s="676"/>
      <c r="N305" s="415" t="s">
        <v>755</v>
      </c>
      <c r="S305" s="598"/>
      <c r="T305" s="598"/>
      <c r="U305" s="598"/>
      <c r="V305" s="598"/>
    </row>
    <row r="306" spans="1:22" s="407" customFormat="1">
      <c r="A306" s="628">
        <f t="shared" si="19"/>
        <v>20120301</v>
      </c>
      <c r="B306" s="630" t="s">
        <v>702</v>
      </c>
      <c r="C306" s="630" t="s">
        <v>364</v>
      </c>
      <c r="D306" s="631" t="str">
        <f t="shared" si="17"/>
        <v>20120301KUUM_478</v>
      </c>
      <c r="E306" s="674">
        <v>22.11</v>
      </c>
      <c r="F306" s="675">
        <v>968</v>
      </c>
      <c r="G306" s="632">
        <v>1.78</v>
      </c>
      <c r="H306" s="632">
        <v>2.15</v>
      </c>
      <c r="I306" s="632">
        <f>E306-G306-H306</f>
        <v>18.18</v>
      </c>
      <c r="J306" s="676" t="s">
        <v>273</v>
      </c>
      <c r="K306" s="676"/>
      <c r="L306" s="676"/>
      <c r="M306" s="676"/>
      <c r="N306" s="415" t="s">
        <v>755</v>
      </c>
      <c r="S306" s="598"/>
      <c r="T306" s="598"/>
      <c r="U306" s="598"/>
      <c r="V306" s="598"/>
    </row>
    <row r="307" spans="1:22" s="407" customFormat="1">
      <c r="A307" s="628">
        <f t="shared" si="19"/>
        <v>20120301</v>
      </c>
      <c r="B307" s="630" t="s">
        <v>702</v>
      </c>
      <c r="C307" s="630" t="s">
        <v>396</v>
      </c>
      <c r="D307" s="631" t="str">
        <f t="shared" si="17"/>
        <v>20120301KUUM_479</v>
      </c>
      <c r="E307" s="674">
        <v>28.13</v>
      </c>
      <c r="F307" s="675">
        <v>1884</v>
      </c>
      <c r="G307" s="632">
        <v>2.42</v>
      </c>
      <c r="H307" s="632">
        <v>4.18</v>
      </c>
      <c r="I307" s="632">
        <f>E307-G307-H307</f>
        <v>21.53</v>
      </c>
      <c r="J307" s="676" t="s">
        <v>305</v>
      </c>
      <c r="K307" s="676"/>
      <c r="L307" s="676"/>
      <c r="M307" s="676"/>
      <c r="N307" s="415" t="s">
        <v>755</v>
      </c>
      <c r="S307" s="598"/>
      <c r="T307" s="598"/>
      <c r="U307" s="598"/>
      <c r="V307" s="598"/>
    </row>
    <row r="308" spans="1:22" s="407" customFormat="1">
      <c r="A308" s="628">
        <f t="shared" si="19"/>
        <v>20120301</v>
      </c>
      <c r="B308" s="630" t="s">
        <v>703</v>
      </c>
      <c r="C308" s="630" t="s">
        <v>378</v>
      </c>
      <c r="D308" s="631" t="str">
        <f t="shared" si="17"/>
        <v>20120301KUUM_480</v>
      </c>
      <c r="E308" s="674">
        <v>8.93</v>
      </c>
      <c r="F308" s="675">
        <v>240</v>
      </c>
      <c r="G308" s="632">
        <v>1.01</v>
      </c>
      <c r="H308" s="632">
        <v>0.53</v>
      </c>
      <c r="I308" s="632">
        <f t="shared" si="18"/>
        <v>7.39</v>
      </c>
      <c r="J308" s="676" t="s">
        <v>287</v>
      </c>
      <c r="K308" s="676"/>
      <c r="L308" s="676"/>
      <c r="M308" s="676"/>
      <c r="N308" s="415" t="s">
        <v>755</v>
      </c>
      <c r="S308" s="598"/>
      <c r="T308" s="598"/>
      <c r="U308" s="598"/>
      <c r="V308" s="598"/>
    </row>
    <row r="309" spans="1:22" s="407" customFormat="1">
      <c r="A309" s="628">
        <f t="shared" si="19"/>
        <v>20120301</v>
      </c>
      <c r="B309" s="630" t="s">
        <v>703</v>
      </c>
      <c r="C309" s="630" t="s">
        <v>388</v>
      </c>
      <c r="D309" s="631" t="str">
        <f t="shared" si="17"/>
        <v>20120301KUUM_481</v>
      </c>
      <c r="E309" s="674">
        <v>9.9300000000000015</v>
      </c>
      <c r="F309" s="675">
        <v>332</v>
      </c>
      <c r="G309" s="632">
        <v>1.32</v>
      </c>
      <c r="H309" s="632">
        <v>0.74</v>
      </c>
      <c r="I309" s="632">
        <f t="shared" si="18"/>
        <v>7.870000000000001</v>
      </c>
      <c r="J309" s="676" t="s">
        <v>297</v>
      </c>
      <c r="K309" s="676"/>
      <c r="L309" s="676"/>
      <c r="M309" s="676"/>
      <c r="N309" s="415" t="s">
        <v>755</v>
      </c>
      <c r="S309" s="598"/>
      <c r="T309" s="598"/>
      <c r="U309" s="598"/>
      <c r="V309" s="598"/>
    </row>
    <row r="310" spans="1:22" s="407" customFormat="1">
      <c r="A310" s="628">
        <f t="shared" si="19"/>
        <v>20120301</v>
      </c>
      <c r="B310" s="630" t="s">
        <v>703</v>
      </c>
      <c r="C310" s="630" t="s">
        <v>411</v>
      </c>
      <c r="D310" s="631" t="str">
        <f t="shared" si="17"/>
        <v>20120301KUUM_482</v>
      </c>
      <c r="E310" s="674">
        <v>10.35</v>
      </c>
      <c r="F310" s="675">
        <v>468</v>
      </c>
      <c r="G310" s="632">
        <v>1.04</v>
      </c>
      <c r="H310" s="632">
        <v>1.04</v>
      </c>
      <c r="I310" s="632">
        <f t="shared" si="18"/>
        <v>8.27</v>
      </c>
      <c r="J310" s="676" t="s">
        <v>320</v>
      </c>
      <c r="K310" s="676"/>
      <c r="L310" s="676"/>
      <c r="M310" s="676"/>
      <c r="N310" s="415" t="s">
        <v>755</v>
      </c>
      <c r="S310" s="598"/>
      <c r="T310" s="598"/>
      <c r="U310" s="598"/>
      <c r="V310" s="598"/>
    </row>
    <row r="311" spans="1:22" s="407" customFormat="1">
      <c r="A311" s="628">
        <f>A310</f>
        <v>20120301</v>
      </c>
      <c r="B311" s="630" t="s">
        <v>703</v>
      </c>
      <c r="C311" s="634" t="s">
        <v>439</v>
      </c>
      <c r="D311" s="631" t="str">
        <f t="shared" si="17"/>
        <v>20120301KUUM_483</v>
      </c>
      <c r="E311" s="674">
        <v>21.809999999999995</v>
      </c>
      <c r="F311" s="675">
        <v>332</v>
      </c>
      <c r="G311" s="632">
        <v>1.32</v>
      </c>
      <c r="H311" s="632">
        <v>0.74</v>
      </c>
      <c r="I311" s="632">
        <f t="shared" si="18"/>
        <v>19.749999999999996</v>
      </c>
      <c r="J311" s="677" t="s">
        <v>417</v>
      </c>
      <c r="K311" s="676"/>
      <c r="L311" s="676"/>
      <c r="M311" s="676"/>
      <c r="N311" s="415" t="s">
        <v>755</v>
      </c>
      <c r="S311" s="598"/>
      <c r="T311" s="598"/>
      <c r="U311" s="598"/>
      <c r="V311" s="598"/>
    </row>
    <row r="312" spans="1:22" s="407" customFormat="1">
      <c r="A312" s="628">
        <f>A310</f>
        <v>20120301</v>
      </c>
      <c r="B312" s="630" t="s">
        <v>703</v>
      </c>
      <c r="C312" s="630" t="s">
        <v>413</v>
      </c>
      <c r="D312" s="631" t="str">
        <f t="shared" si="17"/>
        <v>20120301KUUM_484</v>
      </c>
      <c r="E312" s="674">
        <v>21.85</v>
      </c>
      <c r="F312" s="675">
        <v>468</v>
      </c>
      <c r="G312" s="632">
        <v>1.04</v>
      </c>
      <c r="H312" s="632">
        <v>1.04</v>
      </c>
      <c r="I312" s="632">
        <f t="shared" si="18"/>
        <v>19.770000000000003</v>
      </c>
      <c r="J312" s="676" t="s">
        <v>322</v>
      </c>
      <c r="K312" s="676"/>
      <c r="L312" s="676"/>
      <c r="M312" s="676"/>
      <c r="N312" s="415" t="s">
        <v>755</v>
      </c>
      <c r="S312" s="598"/>
      <c r="T312" s="598"/>
      <c r="U312" s="598"/>
      <c r="V312" s="598"/>
    </row>
    <row r="313" spans="1:22" s="407" customFormat="1">
      <c r="A313" s="628">
        <f t="shared" ref="A313:A326" si="20">A312</f>
        <v>20120301</v>
      </c>
      <c r="B313" s="630" t="s">
        <v>703</v>
      </c>
      <c r="C313" s="630" t="s">
        <v>363</v>
      </c>
      <c r="D313" s="631" t="str">
        <f t="shared" si="17"/>
        <v>20120301KUUM_485</v>
      </c>
      <c r="E313" s="674">
        <v>27.84</v>
      </c>
      <c r="F313" s="675">
        <v>968</v>
      </c>
      <c r="G313" s="632">
        <v>1.78</v>
      </c>
      <c r="H313" s="632">
        <v>2.15</v>
      </c>
      <c r="I313" s="632">
        <f t="shared" si="18"/>
        <v>23.91</v>
      </c>
      <c r="J313" s="676" t="s">
        <v>272</v>
      </c>
      <c r="K313" s="676"/>
      <c r="L313" s="676"/>
      <c r="M313" s="676"/>
      <c r="N313" s="415" t="s">
        <v>755</v>
      </c>
      <c r="S313" s="598"/>
      <c r="T313" s="598"/>
      <c r="U313" s="598"/>
      <c r="V313" s="598"/>
    </row>
    <row r="314" spans="1:22" s="407" customFormat="1">
      <c r="A314" s="628">
        <f t="shared" si="20"/>
        <v>20120301</v>
      </c>
      <c r="B314" s="630" t="s">
        <v>703</v>
      </c>
      <c r="C314" s="630" t="s">
        <v>395</v>
      </c>
      <c r="D314" s="631" t="str">
        <f t="shared" si="17"/>
        <v>20120301KUUM_486</v>
      </c>
      <c r="E314" s="674">
        <v>31.119999999999997</v>
      </c>
      <c r="F314" s="675">
        <v>1884</v>
      </c>
      <c r="G314" s="632">
        <v>2.42</v>
      </c>
      <c r="H314" s="632">
        <v>4.18</v>
      </c>
      <c r="I314" s="632">
        <f t="shared" si="18"/>
        <v>24.519999999999996</v>
      </c>
      <c r="J314" s="676" t="s">
        <v>304</v>
      </c>
      <c r="K314" s="676"/>
      <c r="L314" s="676"/>
      <c r="M314" s="676"/>
      <c r="N314" s="415" t="s">
        <v>755</v>
      </c>
      <c r="S314" s="598"/>
      <c r="T314" s="598"/>
      <c r="U314" s="598"/>
      <c r="V314" s="598"/>
    </row>
    <row r="315" spans="1:22" s="407" customFormat="1">
      <c r="A315" s="628">
        <f t="shared" si="20"/>
        <v>20120301</v>
      </c>
      <c r="B315" s="630" t="s">
        <v>703</v>
      </c>
      <c r="C315" s="630" t="s">
        <v>415</v>
      </c>
      <c r="D315" s="631" t="str">
        <f t="shared" si="17"/>
        <v>20120301KUUM_487</v>
      </c>
      <c r="E315" s="674">
        <v>8.27</v>
      </c>
      <c r="F315" s="675">
        <v>468</v>
      </c>
      <c r="G315" s="632">
        <v>1.04</v>
      </c>
      <c r="H315" s="632">
        <v>1.04</v>
      </c>
      <c r="I315" s="632">
        <f t="shared" si="18"/>
        <v>6.1899999999999995</v>
      </c>
      <c r="J315" s="676" t="s">
        <v>324</v>
      </c>
      <c r="K315" s="676"/>
      <c r="L315" s="676"/>
      <c r="M315" s="676"/>
      <c r="N315" s="415" t="s">
        <v>755</v>
      </c>
      <c r="S315" s="598"/>
      <c r="T315" s="598"/>
      <c r="U315" s="598"/>
      <c r="V315" s="598"/>
    </row>
    <row r="316" spans="1:22" s="407" customFormat="1">
      <c r="A316" s="628">
        <f t="shared" si="20"/>
        <v>20120301</v>
      </c>
      <c r="B316" s="630" t="s">
        <v>703</v>
      </c>
      <c r="C316" s="630" t="s">
        <v>365</v>
      </c>
      <c r="D316" s="631" t="str">
        <f t="shared" si="17"/>
        <v>20120301KUUM_488</v>
      </c>
      <c r="E316" s="674">
        <v>12.45</v>
      </c>
      <c r="F316" s="675">
        <v>968</v>
      </c>
      <c r="G316" s="632">
        <v>1.78</v>
      </c>
      <c r="H316" s="632">
        <v>2.15</v>
      </c>
      <c r="I316" s="632">
        <f t="shared" si="18"/>
        <v>8.52</v>
      </c>
      <c r="J316" s="676" t="s">
        <v>274</v>
      </c>
      <c r="K316" s="676"/>
      <c r="L316" s="676"/>
      <c r="M316" s="676"/>
      <c r="N316" s="415" t="s">
        <v>755</v>
      </c>
      <c r="S316" s="598"/>
      <c r="T316" s="598"/>
      <c r="U316" s="598"/>
      <c r="V316" s="598"/>
    </row>
    <row r="317" spans="1:22" s="407" customFormat="1">
      <c r="A317" s="628">
        <f t="shared" si="20"/>
        <v>20120301</v>
      </c>
      <c r="B317" s="630" t="s">
        <v>703</v>
      </c>
      <c r="C317" s="630" t="s">
        <v>397</v>
      </c>
      <c r="D317" s="631" t="str">
        <f t="shared" si="17"/>
        <v>20120301KUUM_489</v>
      </c>
      <c r="E317" s="674">
        <v>17.7</v>
      </c>
      <c r="F317" s="675">
        <v>1884</v>
      </c>
      <c r="G317" s="632">
        <v>2.42</v>
      </c>
      <c r="H317" s="632">
        <v>4.18</v>
      </c>
      <c r="I317" s="632">
        <f t="shared" si="18"/>
        <v>11.1</v>
      </c>
      <c r="J317" s="676" t="s">
        <v>306</v>
      </c>
      <c r="K317" s="676"/>
      <c r="L317" s="676"/>
      <c r="M317" s="676"/>
      <c r="N317" s="415" t="s">
        <v>755</v>
      </c>
      <c r="S317" s="598"/>
      <c r="T317" s="598"/>
      <c r="U317" s="598"/>
      <c r="V317" s="598"/>
    </row>
    <row r="318" spans="1:22" s="407" customFormat="1">
      <c r="A318" s="628">
        <f t="shared" si="20"/>
        <v>20120301</v>
      </c>
      <c r="B318" s="630" t="s">
        <v>703</v>
      </c>
      <c r="C318" s="630" t="s">
        <v>337</v>
      </c>
      <c r="D318" s="631" t="str">
        <f t="shared" si="17"/>
        <v>20120301KUUM_490</v>
      </c>
      <c r="E318" s="674">
        <v>14.21</v>
      </c>
      <c r="F318" s="675">
        <v>600</v>
      </c>
      <c r="G318" s="632">
        <v>2.08</v>
      </c>
      <c r="H318" s="632">
        <v>1.86</v>
      </c>
      <c r="I318" s="632">
        <f t="shared" si="18"/>
        <v>10.270000000000001</v>
      </c>
      <c r="J318" s="676" t="s">
        <v>246</v>
      </c>
      <c r="K318" s="676"/>
      <c r="L318" s="676"/>
      <c r="M318" s="676"/>
      <c r="N318" s="415" t="s">
        <v>755</v>
      </c>
      <c r="S318" s="598"/>
      <c r="T318" s="598"/>
      <c r="U318" s="598"/>
      <c r="V318" s="598"/>
    </row>
    <row r="319" spans="1:22" s="407" customFormat="1">
      <c r="A319" s="628">
        <f t="shared" si="20"/>
        <v>20120301</v>
      </c>
      <c r="B319" s="630" t="s">
        <v>703</v>
      </c>
      <c r="C319" s="630" t="s">
        <v>369</v>
      </c>
      <c r="D319" s="631" t="str">
        <f t="shared" si="17"/>
        <v>20120301KUUM_491</v>
      </c>
      <c r="E319" s="674">
        <v>20.120000000000005</v>
      </c>
      <c r="F319" s="675">
        <v>1400</v>
      </c>
      <c r="G319" s="632">
        <v>2.59</v>
      </c>
      <c r="H319" s="632">
        <v>4.03</v>
      </c>
      <c r="I319" s="632">
        <f t="shared" si="18"/>
        <v>13.500000000000004</v>
      </c>
      <c r="J319" s="676" t="s">
        <v>278</v>
      </c>
      <c r="K319" s="676"/>
      <c r="L319" s="676"/>
      <c r="M319" s="676"/>
      <c r="N319" s="415" t="s">
        <v>755</v>
      </c>
      <c r="S319" s="598"/>
      <c r="T319" s="598"/>
      <c r="U319" s="598"/>
      <c r="V319" s="598"/>
    </row>
    <row r="320" spans="1:22" s="407" customFormat="1">
      <c r="A320" s="628">
        <f t="shared" si="20"/>
        <v>20120301</v>
      </c>
      <c r="B320" s="630" t="s">
        <v>703</v>
      </c>
      <c r="C320" s="634" t="s">
        <v>715</v>
      </c>
      <c r="D320" s="631" t="str">
        <f t="shared" si="17"/>
        <v>20120301KUUM_492</v>
      </c>
      <c r="E320" s="632">
        <v>14.35</v>
      </c>
      <c r="F320" s="675">
        <v>332</v>
      </c>
      <c r="G320" s="632">
        <v>1.32</v>
      </c>
      <c r="H320" s="632">
        <v>0.74</v>
      </c>
      <c r="I320" s="632">
        <f>E320-G320-H320</f>
        <v>12.29</v>
      </c>
      <c r="J320" s="677" t="s">
        <v>681</v>
      </c>
      <c r="K320" s="676"/>
      <c r="L320" s="676"/>
      <c r="M320" s="676"/>
      <c r="N320" s="415" t="s">
        <v>755</v>
      </c>
      <c r="S320" s="598"/>
      <c r="T320" s="598"/>
      <c r="U320" s="598"/>
      <c r="V320" s="598"/>
    </row>
    <row r="321" spans="1:22" s="407" customFormat="1">
      <c r="A321" s="628">
        <f t="shared" si="20"/>
        <v>20120301</v>
      </c>
      <c r="B321" s="630" t="s">
        <v>703</v>
      </c>
      <c r="C321" s="630" t="s">
        <v>332</v>
      </c>
      <c r="D321" s="631" t="str">
        <f t="shared" si="17"/>
        <v>20120301KUUM_493</v>
      </c>
      <c r="E321" s="674">
        <v>41.7</v>
      </c>
      <c r="F321" s="675">
        <v>4320</v>
      </c>
      <c r="G321" s="632">
        <v>5.12</v>
      </c>
      <c r="H321" s="632">
        <v>9.6</v>
      </c>
      <c r="I321" s="632">
        <f t="shared" si="18"/>
        <v>26.980000000000004</v>
      </c>
      <c r="J321" s="676" t="s">
        <v>241</v>
      </c>
      <c r="K321" s="676"/>
      <c r="L321" s="676"/>
      <c r="M321" s="676"/>
      <c r="N321" s="415" t="s">
        <v>755</v>
      </c>
      <c r="S321" s="598"/>
      <c r="T321" s="598"/>
      <c r="U321" s="598"/>
      <c r="V321" s="598"/>
    </row>
    <row r="322" spans="1:22" s="407" customFormat="1">
      <c r="A322" s="628">
        <f t="shared" si="20"/>
        <v>20120301</v>
      </c>
      <c r="B322" s="630" t="s">
        <v>703</v>
      </c>
      <c r="C322" s="630" t="s">
        <v>334</v>
      </c>
      <c r="D322" s="631" t="str">
        <f t="shared" si="17"/>
        <v>20120301KUUM_494</v>
      </c>
      <c r="E322" s="674">
        <v>26.620000000000005</v>
      </c>
      <c r="F322" s="675">
        <v>600</v>
      </c>
      <c r="G322" s="632">
        <v>2.08</v>
      </c>
      <c r="H322" s="632">
        <v>1.86</v>
      </c>
      <c r="I322" s="632">
        <f t="shared" si="18"/>
        <v>22.680000000000007</v>
      </c>
      <c r="J322" s="676" t="s">
        <v>243</v>
      </c>
      <c r="K322" s="676"/>
      <c r="L322" s="676"/>
      <c r="M322" s="676"/>
      <c r="N322" s="415" t="s">
        <v>755</v>
      </c>
      <c r="S322" s="598"/>
      <c r="T322" s="598"/>
      <c r="U322" s="598"/>
      <c r="V322" s="598"/>
    </row>
    <row r="323" spans="1:22" s="407" customFormat="1">
      <c r="A323" s="628">
        <f t="shared" si="20"/>
        <v>20120301</v>
      </c>
      <c r="B323" s="630" t="s">
        <v>703</v>
      </c>
      <c r="C323" s="630" t="s">
        <v>366</v>
      </c>
      <c r="D323" s="631" t="str">
        <f t="shared" si="17"/>
        <v>20120301KUUM_495</v>
      </c>
      <c r="E323" s="674">
        <v>32.53</v>
      </c>
      <c r="F323" s="675">
        <v>1400</v>
      </c>
      <c r="G323" s="632">
        <v>2.59</v>
      </c>
      <c r="H323" s="632">
        <v>4.03</v>
      </c>
      <c r="I323" s="632">
        <f t="shared" si="18"/>
        <v>25.91</v>
      </c>
      <c r="J323" s="676" t="s">
        <v>275</v>
      </c>
      <c r="K323" s="676"/>
      <c r="L323" s="676"/>
      <c r="M323" s="676"/>
      <c r="N323" s="415" t="s">
        <v>755</v>
      </c>
      <c r="S323" s="598"/>
      <c r="T323" s="598"/>
      <c r="U323" s="598"/>
      <c r="V323" s="598"/>
    </row>
    <row r="324" spans="1:22" s="407" customFormat="1">
      <c r="A324" s="628">
        <f t="shared" si="20"/>
        <v>20120301</v>
      </c>
      <c r="B324" s="630" t="s">
        <v>703</v>
      </c>
      <c r="C324" s="630" t="s">
        <v>329</v>
      </c>
      <c r="D324" s="631" t="str">
        <f t="shared" si="17"/>
        <v>20120301KUUM_496</v>
      </c>
      <c r="E324" s="674">
        <v>54.11</v>
      </c>
      <c r="F324" s="675">
        <v>4320</v>
      </c>
      <c r="G324" s="632">
        <v>5.12</v>
      </c>
      <c r="H324" s="632">
        <v>9.6</v>
      </c>
      <c r="I324" s="632">
        <f t="shared" si="18"/>
        <v>39.39</v>
      </c>
      <c r="J324" s="632" t="s">
        <v>238</v>
      </c>
      <c r="K324" s="676"/>
      <c r="L324" s="676"/>
      <c r="M324" s="676"/>
      <c r="N324" s="415" t="s">
        <v>755</v>
      </c>
      <c r="S324" s="598"/>
      <c r="T324" s="598"/>
      <c r="U324" s="598"/>
      <c r="V324" s="598"/>
    </row>
    <row r="325" spans="1:22">
      <c r="A325" s="628">
        <f t="shared" si="20"/>
        <v>20120301</v>
      </c>
      <c r="B325" s="630" t="s">
        <v>703</v>
      </c>
      <c r="C325" s="634" t="s">
        <v>683</v>
      </c>
      <c r="D325" s="631" t="str">
        <f t="shared" si="17"/>
        <v>20120301KUUM_497</v>
      </c>
      <c r="E325" s="674">
        <v>14.38</v>
      </c>
      <c r="F325" s="675">
        <v>468</v>
      </c>
      <c r="G325" s="632">
        <v>1.04</v>
      </c>
      <c r="H325" s="632">
        <v>1.04</v>
      </c>
      <c r="I325" s="632">
        <f t="shared" si="18"/>
        <v>12.3</v>
      </c>
      <c r="J325" s="677" t="s">
        <v>429</v>
      </c>
      <c r="K325" s="676"/>
      <c r="L325" s="676"/>
      <c r="M325" s="676"/>
      <c r="N325" s="415" t="s">
        <v>755</v>
      </c>
      <c r="O325" s="404"/>
      <c r="P325" s="404"/>
      <c r="Q325" s="599"/>
    </row>
    <row r="326" spans="1:22">
      <c r="A326" s="628">
        <f t="shared" si="20"/>
        <v>20120301</v>
      </c>
      <c r="B326" s="630" t="s">
        <v>703</v>
      </c>
      <c r="C326" s="634" t="s">
        <v>463</v>
      </c>
      <c r="D326" s="631" t="str">
        <f t="shared" si="17"/>
        <v>20120301KUUM_498</v>
      </c>
      <c r="E326" s="674">
        <v>16.37</v>
      </c>
      <c r="F326" s="675">
        <v>968</v>
      </c>
      <c r="G326" s="632">
        <v>1.78</v>
      </c>
      <c r="H326" s="632">
        <v>2.15</v>
      </c>
      <c r="I326" s="632">
        <f t="shared" si="18"/>
        <v>12.440000000000001</v>
      </c>
      <c r="J326" s="689" t="s">
        <v>680</v>
      </c>
      <c r="K326" s="676"/>
      <c r="L326" s="676"/>
      <c r="M326" s="676"/>
      <c r="N326" s="415" t="s">
        <v>755</v>
      </c>
      <c r="O326" s="404"/>
      <c r="P326" s="404"/>
      <c r="Q326" s="599"/>
    </row>
    <row r="327" spans="1:22">
      <c r="A327" s="628">
        <f>A325</f>
        <v>20120301</v>
      </c>
      <c r="B327" s="630" t="s">
        <v>703</v>
      </c>
      <c r="C327" s="634" t="s">
        <v>653</v>
      </c>
      <c r="D327" s="631" t="str">
        <f t="shared" si="17"/>
        <v>20120301KUUM_499</v>
      </c>
      <c r="E327" s="674">
        <v>19.649999999999999</v>
      </c>
      <c r="F327" s="675">
        <v>1884</v>
      </c>
      <c r="G327" s="632">
        <v>2.42</v>
      </c>
      <c r="H327" s="632">
        <v>4.18</v>
      </c>
      <c r="I327" s="632">
        <f t="shared" si="18"/>
        <v>13.049999999999997</v>
      </c>
      <c r="J327" s="677" t="s">
        <v>430</v>
      </c>
      <c r="K327" s="676"/>
      <c r="L327" s="676"/>
      <c r="M327" s="676"/>
      <c r="N327" s="415" t="s">
        <v>755</v>
      </c>
      <c r="O327" s="404"/>
      <c r="P327" s="404"/>
      <c r="Q327" s="599"/>
    </row>
    <row r="328" spans="1:22">
      <c r="A328" s="637">
        <v>20130101</v>
      </c>
      <c r="B328" s="639" t="s">
        <v>1035</v>
      </c>
      <c r="C328" s="450" t="s">
        <v>432</v>
      </c>
      <c r="D328" s="640" t="str">
        <f t="shared" ref="D328:D357" si="21">A328&amp;C328</f>
        <v>20130101KUUM_300</v>
      </c>
      <c r="E328" s="690">
        <v>22.15</v>
      </c>
      <c r="F328" s="447">
        <v>200</v>
      </c>
      <c r="G328" s="641">
        <v>0.03</v>
      </c>
      <c r="H328" s="641">
        <v>0.54</v>
      </c>
      <c r="I328" s="641">
        <f>E328-G328-H328</f>
        <v>21.58</v>
      </c>
      <c r="J328" s="428" t="s">
        <v>434</v>
      </c>
      <c r="K328" s="641"/>
      <c r="L328" s="641"/>
      <c r="M328" s="641"/>
    </row>
    <row r="329" spans="1:22">
      <c r="A329" s="637">
        <v>20130101</v>
      </c>
      <c r="B329" s="639" t="s">
        <v>1035</v>
      </c>
      <c r="C329" s="450" t="s">
        <v>433</v>
      </c>
      <c r="D329" s="640" t="str">
        <f t="shared" si="21"/>
        <v>20130101KUUM_301</v>
      </c>
      <c r="E329" s="690">
        <v>23.1</v>
      </c>
      <c r="F329" s="447">
        <v>400</v>
      </c>
      <c r="G329" s="641">
        <v>0.03</v>
      </c>
      <c r="H329" s="641">
        <v>1.04</v>
      </c>
      <c r="I329" s="641">
        <f t="shared" ref="I329:I393" si="22">E329-G329-H329</f>
        <v>22.03</v>
      </c>
      <c r="J329" s="691" t="s">
        <v>435</v>
      </c>
      <c r="K329" s="641"/>
      <c r="L329" s="641"/>
      <c r="M329" s="641"/>
    </row>
    <row r="330" spans="1:22">
      <c r="A330" s="637">
        <v>20130101</v>
      </c>
      <c r="B330" s="639" t="s">
        <v>1035</v>
      </c>
      <c r="C330" s="639" t="s">
        <v>339</v>
      </c>
      <c r="D330" s="640" t="str">
        <f t="shared" si="21"/>
        <v>20130101KUUM_360</v>
      </c>
      <c r="E330" s="690">
        <v>53.01</v>
      </c>
      <c r="F330" s="447">
        <v>724</v>
      </c>
      <c r="G330" s="641">
        <v>0.23</v>
      </c>
      <c r="H330" s="641">
        <v>1.61</v>
      </c>
      <c r="I330" s="641">
        <f t="shared" si="22"/>
        <v>51.17</v>
      </c>
      <c r="J330" s="428" t="s">
        <v>248</v>
      </c>
      <c r="K330" s="641"/>
      <c r="L330" s="641"/>
      <c r="M330" s="641"/>
    </row>
    <row r="331" spans="1:22">
      <c r="A331" s="637">
        <v>20130101</v>
      </c>
      <c r="B331" s="639" t="s">
        <v>1035</v>
      </c>
      <c r="C331" s="639" t="s">
        <v>344</v>
      </c>
      <c r="D331" s="640" t="str">
        <f t="shared" si="21"/>
        <v>20130101KUUM_361</v>
      </c>
      <c r="E331" s="690">
        <v>80.84</v>
      </c>
      <c r="F331" s="447">
        <v>724</v>
      </c>
      <c r="G331" s="641">
        <v>0.23</v>
      </c>
      <c r="H331" s="641">
        <v>1.61</v>
      </c>
      <c r="I331" s="641">
        <f t="shared" si="22"/>
        <v>79</v>
      </c>
      <c r="J331" s="428" t="s">
        <v>253</v>
      </c>
      <c r="K331" s="641"/>
      <c r="L331" s="641"/>
      <c r="M331" s="641"/>
    </row>
    <row r="332" spans="1:22">
      <c r="A332" s="637">
        <v>20130101</v>
      </c>
      <c r="B332" s="639" t="s">
        <v>1035</v>
      </c>
      <c r="C332" s="639" t="s">
        <v>347</v>
      </c>
      <c r="D332" s="640" t="str">
        <f t="shared" si="21"/>
        <v>20130101KUUM_362</v>
      </c>
      <c r="E332" s="690">
        <v>57.46</v>
      </c>
      <c r="F332" s="447">
        <v>724</v>
      </c>
      <c r="G332" s="641">
        <v>0.23</v>
      </c>
      <c r="H332" s="641">
        <v>1.61</v>
      </c>
      <c r="I332" s="641">
        <f t="shared" si="22"/>
        <v>55.620000000000005</v>
      </c>
      <c r="J332" s="428" t="s">
        <v>256</v>
      </c>
      <c r="K332" s="641"/>
      <c r="L332" s="641"/>
      <c r="M332" s="641"/>
    </row>
    <row r="333" spans="1:22">
      <c r="A333" s="637">
        <v>20130101</v>
      </c>
      <c r="B333" s="639" t="s">
        <v>1035</v>
      </c>
      <c r="C333" s="639" t="s">
        <v>348</v>
      </c>
      <c r="D333" s="640" t="str">
        <f t="shared" si="21"/>
        <v>20130101KUUM_363</v>
      </c>
      <c r="E333" s="690">
        <v>59.43</v>
      </c>
      <c r="F333" s="447">
        <v>724</v>
      </c>
      <c r="G333" s="641">
        <v>0.23</v>
      </c>
      <c r="H333" s="641">
        <v>1.61</v>
      </c>
      <c r="I333" s="641">
        <f t="shared" si="22"/>
        <v>57.59</v>
      </c>
      <c r="J333" s="428" t="s">
        <v>257</v>
      </c>
      <c r="K333" s="428"/>
      <c r="L333" s="428"/>
      <c r="M333" s="428"/>
    </row>
    <row r="334" spans="1:22">
      <c r="A334" s="637">
        <v>20130101</v>
      </c>
      <c r="B334" s="639" t="s">
        <v>1035</v>
      </c>
      <c r="C334" s="639" t="s">
        <v>349</v>
      </c>
      <c r="D334" s="640" t="str">
        <f t="shared" si="21"/>
        <v>20130101KUUM_364</v>
      </c>
      <c r="E334" s="690">
        <v>60.79</v>
      </c>
      <c r="F334" s="447">
        <v>724</v>
      </c>
      <c r="G334" s="641">
        <v>0.23</v>
      </c>
      <c r="H334" s="641">
        <v>1.61</v>
      </c>
      <c r="I334" s="641">
        <f t="shared" si="22"/>
        <v>58.95</v>
      </c>
      <c r="J334" s="428" t="s">
        <v>258</v>
      </c>
      <c r="K334" s="428"/>
      <c r="L334" s="428"/>
      <c r="M334" s="428"/>
    </row>
    <row r="335" spans="1:22">
      <c r="A335" s="637">
        <v>20130101</v>
      </c>
      <c r="B335" s="639" t="s">
        <v>1035</v>
      </c>
      <c r="C335" s="639" t="s">
        <v>351</v>
      </c>
      <c r="D335" s="640" t="str">
        <f t="shared" si="21"/>
        <v>20130101KUUM_365</v>
      </c>
      <c r="E335" s="690">
        <v>78.62</v>
      </c>
      <c r="F335" s="447">
        <v>724</v>
      </c>
      <c r="G335" s="641">
        <v>0.23</v>
      </c>
      <c r="H335" s="641">
        <v>1.61</v>
      </c>
      <c r="I335" s="641">
        <f t="shared" si="22"/>
        <v>76.78</v>
      </c>
      <c r="J335" s="428" t="s">
        <v>260</v>
      </c>
      <c r="K335" s="428"/>
      <c r="L335" s="428"/>
      <c r="M335" s="428"/>
    </row>
    <row r="336" spans="1:22">
      <c r="A336" s="637">
        <v>20130101</v>
      </c>
      <c r="B336" s="639" t="s">
        <v>1035</v>
      </c>
      <c r="C336" s="639" t="s">
        <v>352</v>
      </c>
      <c r="D336" s="640" t="str">
        <f t="shared" si="21"/>
        <v>20130101KUUM_366</v>
      </c>
      <c r="E336" s="690">
        <v>76.650000000000006</v>
      </c>
      <c r="F336" s="447">
        <v>724</v>
      </c>
      <c r="G336" s="641">
        <v>0.23</v>
      </c>
      <c r="H336" s="641">
        <v>1.61</v>
      </c>
      <c r="I336" s="641">
        <f t="shared" si="22"/>
        <v>74.81</v>
      </c>
      <c r="J336" s="428" t="s">
        <v>261</v>
      </c>
      <c r="K336" s="428"/>
      <c r="L336" s="428"/>
      <c r="M336" s="428"/>
    </row>
    <row r="337" spans="1:13">
      <c r="A337" s="637">
        <v>20130101</v>
      </c>
      <c r="B337" s="639" t="s">
        <v>1035</v>
      </c>
      <c r="C337" s="639" t="s">
        <v>354</v>
      </c>
      <c r="D337" s="640" t="str">
        <f t="shared" si="21"/>
        <v>20130101KUUM_367</v>
      </c>
      <c r="E337" s="690">
        <v>58.910000000000004</v>
      </c>
      <c r="F337" s="447">
        <v>724</v>
      </c>
      <c r="G337" s="641">
        <v>0.23</v>
      </c>
      <c r="H337" s="641">
        <v>1.61</v>
      </c>
      <c r="I337" s="641">
        <f t="shared" si="22"/>
        <v>57.070000000000007</v>
      </c>
      <c r="J337" s="428" t="s">
        <v>263</v>
      </c>
      <c r="K337" s="428"/>
      <c r="L337" s="428"/>
      <c r="M337" s="428"/>
    </row>
    <row r="338" spans="1:13">
      <c r="A338" s="637">
        <v>20130101</v>
      </c>
      <c r="B338" s="639" t="s">
        <v>1035</v>
      </c>
      <c r="C338" s="639" t="s">
        <v>355</v>
      </c>
      <c r="D338" s="640" t="str">
        <f t="shared" si="21"/>
        <v>20130101KUUM_368</v>
      </c>
      <c r="E338" s="690">
        <v>54.37</v>
      </c>
      <c r="F338" s="447">
        <v>724</v>
      </c>
      <c r="G338" s="641">
        <v>0.23</v>
      </c>
      <c r="H338" s="641">
        <v>1.61</v>
      </c>
      <c r="I338" s="641">
        <f t="shared" si="22"/>
        <v>52.53</v>
      </c>
      <c r="J338" s="428" t="s">
        <v>264</v>
      </c>
      <c r="K338" s="428"/>
      <c r="L338" s="428"/>
      <c r="M338" s="428"/>
    </row>
    <row r="339" spans="1:13">
      <c r="A339" s="637">
        <v>20130101</v>
      </c>
      <c r="B339" s="639" t="s">
        <v>1035</v>
      </c>
      <c r="C339" s="639" t="s">
        <v>341</v>
      </c>
      <c r="D339" s="640" t="str">
        <f t="shared" si="21"/>
        <v>20130101KUUM_370</v>
      </c>
      <c r="E339" s="690">
        <v>72.2</v>
      </c>
      <c r="F339" s="447">
        <v>724</v>
      </c>
      <c r="G339" s="641">
        <v>0.23</v>
      </c>
      <c r="H339" s="641">
        <v>1.61</v>
      </c>
      <c r="I339" s="641">
        <f t="shared" si="22"/>
        <v>70.36</v>
      </c>
      <c r="J339" s="428" t="s">
        <v>250</v>
      </c>
      <c r="K339" s="428"/>
      <c r="L339" s="428"/>
      <c r="M339" s="428"/>
    </row>
    <row r="340" spans="1:13">
      <c r="A340" s="637">
        <v>20130101</v>
      </c>
      <c r="B340" s="639" t="s">
        <v>1035</v>
      </c>
      <c r="C340" s="450" t="s">
        <v>631</v>
      </c>
      <c r="D340" s="640" t="str">
        <f t="shared" si="21"/>
        <v>20130101KUUM_371</v>
      </c>
      <c r="E340" s="690">
        <v>100.03</v>
      </c>
      <c r="F340" s="447">
        <v>724</v>
      </c>
      <c r="G340" s="641">
        <v>0.23</v>
      </c>
      <c r="H340" s="641">
        <v>1.61</v>
      </c>
      <c r="I340" s="641">
        <f t="shared" si="22"/>
        <v>98.19</v>
      </c>
      <c r="J340" s="691" t="s">
        <v>1056</v>
      </c>
      <c r="K340" s="428"/>
      <c r="L340" s="428"/>
      <c r="M340" s="428"/>
    </row>
    <row r="341" spans="1:13">
      <c r="A341" s="637">
        <v>20130101</v>
      </c>
      <c r="B341" s="639" t="s">
        <v>1035</v>
      </c>
      <c r="C341" s="639" t="s">
        <v>350</v>
      </c>
      <c r="D341" s="640" t="str">
        <f t="shared" si="21"/>
        <v>20130101KUUM_372</v>
      </c>
      <c r="E341" s="690">
        <v>79.98</v>
      </c>
      <c r="F341" s="447">
        <v>724</v>
      </c>
      <c r="G341" s="641">
        <v>0.23</v>
      </c>
      <c r="H341" s="641">
        <v>1.61</v>
      </c>
      <c r="I341" s="641">
        <f t="shared" si="22"/>
        <v>78.14</v>
      </c>
      <c r="J341" s="428" t="s">
        <v>259</v>
      </c>
      <c r="K341" s="428"/>
      <c r="L341" s="428"/>
      <c r="M341" s="428"/>
    </row>
    <row r="342" spans="1:13">
      <c r="A342" s="637">
        <v>20130101</v>
      </c>
      <c r="B342" s="639" t="s">
        <v>1035</v>
      </c>
      <c r="C342" s="639" t="s">
        <v>342</v>
      </c>
      <c r="D342" s="640" t="str">
        <f t="shared" si="21"/>
        <v>20130101KUUM_373</v>
      </c>
      <c r="E342" s="690">
        <v>72.2</v>
      </c>
      <c r="F342" s="447">
        <v>724</v>
      </c>
      <c r="G342" s="641">
        <v>0.23</v>
      </c>
      <c r="H342" s="641">
        <v>1.61</v>
      </c>
      <c r="I342" s="641">
        <f t="shared" si="22"/>
        <v>70.36</v>
      </c>
      <c r="J342" s="428" t="s">
        <v>251</v>
      </c>
      <c r="K342" s="428"/>
      <c r="L342" s="428"/>
      <c r="M342" s="428"/>
    </row>
    <row r="343" spans="1:13">
      <c r="A343" s="637">
        <v>20130101</v>
      </c>
      <c r="B343" s="639" t="s">
        <v>1035</v>
      </c>
      <c r="C343" s="639" t="s">
        <v>346</v>
      </c>
      <c r="D343" s="640" t="str">
        <f t="shared" si="21"/>
        <v>20130101KUUM_374</v>
      </c>
      <c r="E343" s="690">
        <v>73.56</v>
      </c>
      <c r="F343" s="447">
        <v>724</v>
      </c>
      <c r="G343" s="641">
        <v>0.23</v>
      </c>
      <c r="H343" s="641">
        <v>1.61</v>
      </c>
      <c r="I343" s="641">
        <f t="shared" si="22"/>
        <v>71.72</v>
      </c>
      <c r="J343" s="428" t="s">
        <v>255</v>
      </c>
      <c r="K343" s="428"/>
      <c r="L343" s="428"/>
      <c r="M343" s="428"/>
    </row>
    <row r="344" spans="1:13">
      <c r="A344" s="637">
        <v>20130101</v>
      </c>
      <c r="B344" s="639" t="s">
        <v>1035</v>
      </c>
      <c r="C344" s="639" t="s">
        <v>353</v>
      </c>
      <c r="D344" s="640" t="str">
        <f t="shared" si="21"/>
        <v>20130101KUUM_375</v>
      </c>
      <c r="E344" s="690">
        <v>76.650000000000006</v>
      </c>
      <c r="F344" s="447">
        <v>724</v>
      </c>
      <c r="G344" s="641">
        <v>0.23</v>
      </c>
      <c r="H344" s="641">
        <v>1.61</v>
      </c>
      <c r="I344" s="641">
        <f t="shared" si="22"/>
        <v>74.81</v>
      </c>
      <c r="J344" s="428" t="s">
        <v>262</v>
      </c>
      <c r="K344" s="428"/>
      <c r="L344" s="428"/>
      <c r="M344" s="428"/>
    </row>
    <row r="345" spans="1:13">
      <c r="A345" s="637">
        <v>20130101</v>
      </c>
      <c r="B345" s="639" t="s">
        <v>1035</v>
      </c>
      <c r="C345" s="639" t="s">
        <v>345</v>
      </c>
      <c r="D345" s="640" t="str">
        <f t="shared" si="21"/>
        <v>20130101KUUM_376</v>
      </c>
      <c r="E345" s="690">
        <v>74.94</v>
      </c>
      <c r="F345" s="447">
        <v>724</v>
      </c>
      <c r="G345" s="641">
        <v>0.23</v>
      </c>
      <c r="H345" s="641">
        <v>1.61</v>
      </c>
      <c r="I345" s="641">
        <f t="shared" si="22"/>
        <v>73.099999999999994</v>
      </c>
      <c r="J345" s="428" t="s">
        <v>254</v>
      </c>
      <c r="K345" s="428"/>
      <c r="L345" s="428"/>
      <c r="M345" s="428"/>
    </row>
    <row r="346" spans="1:13">
      <c r="A346" s="637">
        <v>20130101</v>
      </c>
      <c r="B346" s="639" t="s">
        <v>1035</v>
      </c>
      <c r="C346" s="639" t="s">
        <v>343</v>
      </c>
      <c r="D346" s="640" t="str">
        <f t="shared" si="21"/>
        <v>20130101KUUM_377</v>
      </c>
      <c r="E346" s="690">
        <v>61.87</v>
      </c>
      <c r="F346" s="447">
        <v>724</v>
      </c>
      <c r="G346" s="641">
        <v>0.23</v>
      </c>
      <c r="H346" s="641">
        <v>1.61</v>
      </c>
      <c r="I346" s="641">
        <f t="shared" si="22"/>
        <v>60.03</v>
      </c>
      <c r="J346" s="428" t="s">
        <v>252</v>
      </c>
      <c r="K346" s="428"/>
      <c r="L346" s="428"/>
      <c r="M346" s="428"/>
    </row>
    <row r="347" spans="1:13">
      <c r="A347" s="637">
        <v>20130101</v>
      </c>
      <c r="B347" s="639" t="s">
        <v>1035</v>
      </c>
      <c r="C347" s="450" t="s">
        <v>472</v>
      </c>
      <c r="D347" s="640" t="str">
        <f t="shared" si="21"/>
        <v>20130101KUUM_378</v>
      </c>
      <c r="E347" s="692">
        <v>73.58</v>
      </c>
      <c r="F347" s="447">
        <v>724</v>
      </c>
      <c r="G347" s="641">
        <v>0.23</v>
      </c>
      <c r="H347" s="641">
        <v>1.61</v>
      </c>
      <c r="I347" s="641">
        <f t="shared" si="22"/>
        <v>71.739999999999995</v>
      </c>
      <c r="J347" s="691" t="s">
        <v>471</v>
      </c>
      <c r="K347" s="428"/>
      <c r="L347" s="428"/>
      <c r="M347" s="428"/>
    </row>
    <row r="348" spans="1:13">
      <c r="A348" s="637">
        <v>20130101</v>
      </c>
      <c r="B348" s="639" t="s">
        <v>1035</v>
      </c>
      <c r="C348" s="693" t="s">
        <v>645</v>
      </c>
      <c r="D348" s="694" t="str">
        <f t="shared" si="21"/>
        <v>20130101KUUM_379</v>
      </c>
      <c r="E348" s="692">
        <v>78.52</v>
      </c>
      <c r="F348" s="695">
        <v>724</v>
      </c>
      <c r="G348" s="696">
        <v>0.23</v>
      </c>
      <c r="H348" s="696">
        <v>1.61</v>
      </c>
      <c r="I348" s="641">
        <f t="shared" si="22"/>
        <v>76.679999999999993</v>
      </c>
      <c r="J348" s="697" t="s">
        <v>716</v>
      </c>
      <c r="K348" s="698"/>
      <c r="L348" s="698"/>
      <c r="M348" s="698"/>
    </row>
    <row r="349" spans="1:13">
      <c r="A349" s="637">
        <v>20130101</v>
      </c>
      <c r="B349" s="639" t="s">
        <v>1035</v>
      </c>
      <c r="C349" s="693" t="s">
        <v>646</v>
      </c>
      <c r="D349" s="694" t="str">
        <f t="shared" si="21"/>
        <v>20130101KUUM_380</v>
      </c>
      <c r="E349" s="692">
        <v>82.44</v>
      </c>
      <c r="F349" s="695">
        <v>724</v>
      </c>
      <c r="G349" s="696">
        <v>0.23</v>
      </c>
      <c r="H349" s="696">
        <v>1.61</v>
      </c>
      <c r="I349" s="641">
        <f t="shared" si="22"/>
        <v>80.599999999999994</v>
      </c>
      <c r="J349" s="697" t="s">
        <v>717</v>
      </c>
      <c r="K349" s="698"/>
      <c r="L349" s="698"/>
      <c r="M349" s="698"/>
    </row>
    <row r="350" spans="1:13">
      <c r="A350" s="637">
        <v>20130101</v>
      </c>
      <c r="B350" s="639" t="s">
        <v>1035</v>
      </c>
      <c r="C350" s="693" t="s">
        <v>647</v>
      </c>
      <c r="D350" s="694" t="str">
        <f t="shared" si="21"/>
        <v>20130101KUUM_381</v>
      </c>
      <c r="E350" s="692">
        <v>83.8</v>
      </c>
      <c r="F350" s="695">
        <v>724</v>
      </c>
      <c r="G350" s="696">
        <v>0.23</v>
      </c>
      <c r="H350" s="696">
        <v>1.61</v>
      </c>
      <c r="I350" s="641">
        <f t="shared" si="22"/>
        <v>81.96</v>
      </c>
      <c r="J350" s="697" t="s">
        <v>718</v>
      </c>
      <c r="K350" s="698"/>
      <c r="L350" s="698"/>
      <c r="M350" s="698"/>
    </row>
    <row r="351" spans="1:13">
      <c r="A351" s="637">
        <v>20130101</v>
      </c>
      <c r="B351" s="639" t="s">
        <v>1035</v>
      </c>
      <c r="C351" s="693" t="s">
        <v>648</v>
      </c>
      <c r="D351" s="694" t="str">
        <f t="shared" si="21"/>
        <v>20130101KUUM_382</v>
      </c>
      <c r="E351" s="690">
        <v>80.899999999999991</v>
      </c>
      <c r="F351" s="695">
        <v>724</v>
      </c>
      <c r="G351" s="696">
        <v>0.23</v>
      </c>
      <c r="H351" s="696">
        <v>1.61</v>
      </c>
      <c r="I351" s="641">
        <f t="shared" si="22"/>
        <v>79.059999999999988</v>
      </c>
      <c r="J351" s="697" t="s">
        <v>719</v>
      </c>
      <c r="K351" s="698"/>
      <c r="L351" s="698"/>
      <c r="M351" s="698"/>
    </row>
    <row r="352" spans="1:13">
      <c r="A352" s="637">
        <v>20130101</v>
      </c>
      <c r="B352" s="639" t="s">
        <v>1035</v>
      </c>
      <c r="C352" s="639" t="s">
        <v>340</v>
      </c>
      <c r="D352" s="640" t="str">
        <f t="shared" si="21"/>
        <v>20130101KUUM_395</v>
      </c>
      <c r="E352" s="690">
        <v>53.01</v>
      </c>
      <c r="F352" s="447">
        <v>724</v>
      </c>
      <c r="G352" s="641">
        <v>0.23</v>
      </c>
      <c r="H352" s="641">
        <v>1.61</v>
      </c>
      <c r="I352" s="641">
        <f t="shared" si="22"/>
        <v>51.17</v>
      </c>
      <c r="J352" s="428" t="s">
        <v>249</v>
      </c>
      <c r="K352" s="428"/>
      <c r="L352" s="428"/>
      <c r="M352" s="428"/>
    </row>
    <row r="353" spans="1:13">
      <c r="A353" s="637">
        <v>20130101</v>
      </c>
      <c r="B353" s="639"/>
      <c r="C353" s="450" t="s">
        <v>426</v>
      </c>
      <c r="D353" s="640" t="str">
        <f t="shared" si="21"/>
        <v>20130101KUUM_400</v>
      </c>
      <c r="E353" s="690"/>
      <c r="F353" s="447">
        <v>240</v>
      </c>
      <c r="G353" s="641">
        <v>0.03</v>
      </c>
      <c r="H353" s="641">
        <v>0.53</v>
      </c>
      <c r="I353" s="641">
        <f t="shared" si="22"/>
        <v>-0.56000000000000005</v>
      </c>
      <c r="J353" s="691" t="s">
        <v>427</v>
      </c>
      <c r="K353" s="428"/>
      <c r="L353" s="428"/>
      <c r="M353" s="428"/>
    </row>
    <row r="354" spans="1:13">
      <c r="A354" s="637">
        <v>20130101</v>
      </c>
      <c r="B354" s="639" t="s">
        <v>1035</v>
      </c>
      <c r="C354" s="639" t="s">
        <v>382</v>
      </c>
      <c r="D354" s="640" t="str">
        <f t="shared" si="21"/>
        <v>20130101KUUM_401</v>
      </c>
      <c r="E354" s="690">
        <v>14.41</v>
      </c>
      <c r="F354" s="447">
        <v>332</v>
      </c>
      <c r="G354" s="641">
        <v>0.04</v>
      </c>
      <c r="H354" s="641">
        <v>0.74</v>
      </c>
      <c r="I354" s="641">
        <f t="shared" si="22"/>
        <v>13.63</v>
      </c>
      <c r="J354" s="428" t="s">
        <v>291</v>
      </c>
      <c r="K354" s="428"/>
      <c r="L354" s="428"/>
      <c r="M354" s="428"/>
    </row>
    <row r="355" spans="1:13">
      <c r="A355" s="637">
        <v>20130101</v>
      </c>
      <c r="B355" s="639" t="s">
        <v>1036</v>
      </c>
      <c r="C355" s="639" t="s">
        <v>402</v>
      </c>
      <c r="D355" s="640" t="str">
        <f t="shared" si="21"/>
        <v>20130101KUUM_404</v>
      </c>
      <c r="E355" s="690">
        <v>10.07</v>
      </c>
      <c r="F355" s="447">
        <v>828</v>
      </c>
      <c r="G355" s="641">
        <v>0.04</v>
      </c>
      <c r="H355" s="641">
        <v>1.84</v>
      </c>
      <c r="I355" s="641">
        <f t="shared" si="22"/>
        <v>8.1900000000000013</v>
      </c>
      <c r="J355" s="428" t="s">
        <v>311</v>
      </c>
      <c r="K355" s="428"/>
      <c r="L355" s="428"/>
      <c r="M355" s="428"/>
    </row>
    <row r="356" spans="1:13">
      <c r="A356" s="637">
        <v>20130101</v>
      </c>
      <c r="B356" s="639" t="s">
        <v>1036</v>
      </c>
      <c r="C356" s="639" t="s">
        <v>358</v>
      </c>
      <c r="D356" s="640" t="str">
        <f t="shared" si="21"/>
        <v>20130101KUUM_405</v>
      </c>
      <c r="E356" s="690">
        <v>14.28</v>
      </c>
      <c r="F356" s="447">
        <v>1812</v>
      </c>
      <c r="G356" s="641">
        <v>0.05</v>
      </c>
      <c r="H356" s="641">
        <v>4.03</v>
      </c>
      <c r="I356" s="641">
        <f t="shared" si="22"/>
        <v>10.199999999999999</v>
      </c>
      <c r="J356" s="428" t="s">
        <v>267</v>
      </c>
      <c r="K356" s="428"/>
      <c r="L356" s="428"/>
      <c r="M356" s="428"/>
    </row>
    <row r="357" spans="1:13">
      <c r="A357" s="637">
        <v>20130101</v>
      </c>
      <c r="B357" s="639"/>
      <c r="C357" s="450" t="s">
        <v>730</v>
      </c>
      <c r="D357" s="640" t="str">
        <f t="shared" si="21"/>
        <v>20130101KUUM_406</v>
      </c>
      <c r="E357" s="690"/>
      <c r="F357" s="447">
        <v>828</v>
      </c>
      <c r="G357" s="641">
        <v>0.04</v>
      </c>
      <c r="H357" s="641">
        <v>1.84</v>
      </c>
      <c r="I357" s="641">
        <f t="shared" si="22"/>
        <v>-1.8800000000000001</v>
      </c>
      <c r="J357" s="428" t="s">
        <v>729</v>
      </c>
      <c r="K357" s="428"/>
      <c r="L357" s="428"/>
      <c r="M357" s="428"/>
    </row>
    <row r="358" spans="1:13">
      <c r="A358" s="637">
        <v>20130101</v>
      </c>
      <c r="B358" s="639" t="s">
        <v>1035</v>
      </c>
      <c r="C358" s="639" t="s">
        <v>394</v>
      </c>
      <c r="D358" s="640" t="str">
        <f>A358&amp;C358</f>
        <v>20130101KUUM_407</v>
      </c>
      <c r="E358" s="690">
        <v>21.78</v>
      </c>
      <c r="F358" s="447">
        <v>1884</v>
      </c>
      <c r="G358" s="641">
        <v>0.08</v>
      </c>
      <c r="H358" s="641">
        <v>4.18</v>
      </c>
      <c r="I358" s="641">
        <f t="shared" si="22"/>
        <v>17.520000000000003</v>
      </c>
      <c r="J358" s="428" t="s">
        <v>303</v>
      </c>
      <c r="K358" s="428"/>
      <c r="L358" s="428"/>
      <c r="M358" s="428"/>
    </row>
    <row r="359" spans="1:13">
      <c r="A359" s="637">
        <v>20130101</v>
      </c>
      <c r="B359" s="639" t="s">
        <v>1036</v>
      </c>
      <c r="C359" s="639" t="s">
        <v>359</v>
      </c>
      <c r="D359" s="640" t="str">
        <f>A359&amp;C359</f>
        <v>20130101KUUM_408</v>
      </c>
      <c r="E359" s="690">
        <v>12.01</v>
      </c>
      <c r="F359" s="447">
        <v>1812</v>
      </c>
      <c r="G359" s="641">
        <v>0.05</v>
      </c>
      <c r="H359" s="641">
        <v>4.03</v>
      </c>
      <c r="I359" s="641">
        <f t="shared" si="22"/>
        <v>7.9299999999999988</v>
      </c>
      <c r="J359" s="428" t="s">
        <v>268</v>
      </c>
      <c r="K359" s="428"/>
      <c r="L359" s="428"/>
      <c r="M359" s="428"/>
    </row>
    <row r="360" spans="1:13">
      <c r="A360" s="637">
        <v>20130101</v>
      </c>
      <c r="B360" s="639" t="s">
        <v>1036</v>
      </c>
      <c r="C360" s="639" t="s">
        <v>398</v>
      </c>
      <c r="D360" s="640" t="str">
        <f>A360&amp;C360</f>
        <v>20130101KUUM_409</v>
      </c>
      <c r="E360" s="690">
        <v>10.65</v>
      </c>
      <c r="F360" s="447">
        <v>1884</v>
      </c>
      <c r="G360" s="641">
        <v>0.08</v>
      </c>
      <c r="H360" s="641">
        <v>4.18</v>
      </c>
      <c r="I360" s="641">
        <f t="shared" si="22"/>
        <v>6.3900000000000006</v>
      </c>
      <c r="J360" s="428" t="s">
        <v>307</v>
      </c>
      <c r="K360" s="428"/>
      <c r="L360" s="428"/>
      <c r="M360" s="428"/>
    </row>
    <row r="361" spans="1:13">
      <c r="A361" s="637">
        <v>20130101</v>
      </c>
      <c r="B361" s="639" t="s">
        <v>1036</v>
      </c>
      <c r="C361" s="639" t="s">
        <v>376</v>
      </c>
      <c r="D361" s="640" t="str">
        <f>A361&amp;C361</f>
        <v>20130101KUUM_410</v>
      </c>
      <c r="E361" s="690">
        <v>19.920000000000002</v>
      </c>
      <c r="F361" s="447">
        <v>240</v>
      </c>
      <c r="G361" s="641">
        <v>0.03</v>
      </c>
      <c r="H361" s="641">
        <v>0.53</v>
      </c>
      <c r="I361" s="641">
        <f t="shared" si="22"/>
        <v>19.36</v>
      </c>
      <c r="J361" s="428" t="s">
        <v>285</v>
      </c>
      <c r="K361" s="428"/>
      <c r="L361" s="428"/>
      <c r="M361" s="428"/>
    </row>
    <row r="362" spans="1:13">
      <c r="A362" s="637">
        <v>20130101</v>
      </c>
      <c r="B362" s="639" t="s">
        <v>1035</v>
      </c>
      <c r="C362" s="639" t="s">
        <v>384</v>
      </c>
      <c r="D362" s="640" t="str">
        <f>A362&amp;C362</f>
        <v>20130101KUUM_411</v>
      </c>
      <c r="E362" s="690">
        <v>20.93</v>
      </c>
      <c r="F362" s="447">
        <v>332</v>
      </c>
      <c r="G362" s="641">
        <v>0.04</v>
      </c>
      <c r="H362" s="641">
        <v>0.74</v>
      </c>
      <c r="I362" s="641">
        <f t="shared" si="22"/>
        <v>20.150000000000002</v>
      </c>
      <c r="J362" s="428" t="s">
        <v>293</v>
      </c>
      <c r="K362" s="428"/>
      <c r="L362" s="428"/>
      <c r="M362" s="428"/>
    </row>
    <row r="363" spans="1:13">
      <c r="A363" s="637">
        <v>20130101</v>
      </c>
      <c r="B363" s="639" t="s">
        <v>1036</v>
      </c>
      <c r="C363" s="639" t="s">
        <v>386</v>
      </c>
      <c r="D363" s="640" t="str">
        <f t="shared" ref="D363:D426" si="23">A363&amp;C363</f>
        <v>20130101KUUM_412</v>
      </c>
      <c r="E363" s="690">
        <v>30.39</v>
      </c>
      <c r="F363" s="447">
        <v>332</v>
      </c>
      <c r="G363" s="641">
        <v>0.04</v>
      </c>
      <c r="H363" s="641">
        <v>0.74</v>
      </c>
      <c r="I363" s="641">
        <f t="shared" si="22"/>
        <v>29.610000000000003</v>
      </c>
      <c r="J363" s="428" t="s">
        <v>295</v>
      </c>
      <c r="K363" s="428"/>
      <c r="L363" s="428"/>
      <c r="M363" s="428"/>
    </row>
    <row r="364" spans="1:13">
      <c r="A364" s="637">
        <v>20130101</v>
      </c>
      <c r="B364" s="639" t="s">
        <v>1036</v>
      </c>
      <c r="C364" s="639" t="s">
        <v>409</v>
      </c>
      <c r="D364" s="640" t="str">
        <f t="shared" si="23"/>
        <v>20130101KUUM_413</v>
      </c>
      <c r="E364" s="690">
        <v>30.82</v>
      </c>
      <c r="F364" s="447">
        <v>468</v>
      </c>
      <c r="G364" s="641">
        <v>0.03</v>
      </c>
      <c r="H364" s="641">
        <v>1.04</v>
      </c>
      <c r="I364" s="641">
        <f t="shared" si="22"/>
        <v>29.75</v>
      </c>
      <c r="J364" s="428" t="s">
        <v>318</v>
      </c>
      <c r="K364" s="428"/>
      <c r="L364" s="428"/>
      <c r="M364" s="428"/>
    </row>
    <row r="365" spans="1:13">
      <c r="A365" s="637">
        <v>20130101</v>
      </c>
      <c r="B365" s="639" t="s">
        <v>1035</v>
      </c>
      <c r="C365" s="639" t="s">
        <v>387</v>
      </c>
      <c r="D365" s="640" t="str">
        <f t="shared" si="23"/>
        <v>20130101KUUM_414</v>
      </c>
      <c r="E365" s="690">
        <v>30.39</v>
      </c>
      <c r="F365" s="447">
        <v>332</v>
      </c>
      <c r="G365" s="641">
        <v>0.04</v>
      </c>
      <c r="H365" s="641">
        <v>0.74</v>
      </c>
      <c r="I365" s="641">
        <f t="shared" si="22"/>
        <v>29.610000000000003</v>
      </c>
      <c r="J365" s="428" t="s">
        <v>296</v>
      </c>
      <c r="K365" s="428"/>
      <c r="L365" s="428"/>
      <c r="M365" s="428"/>
    </row>
    <row r="366" spans="1:13">
      <c r="A366" s="637">
        <v>20130101</v>
      </c>
      <c r="B366" s="639" t="s">
        <v>1035</v>
      </c>
      <c r="C366" s="639" t="s">
        <v>410</v>
      </c>
      <c r="D366" s="640" t="str">
        <f t="shared" si="23"/>
        <v>20130101KUUM_415</v>
      </c>
      <c r="E366" s="690">
        <v>30.82</v>
      </c>
      <c r="F366" s="447">
        <v>468</v>
      </c>
      <c r="G366" s="641">
        <v>0.03</v>
      </c>
      <c r="H366" s="641">
        <v>1.04</v>
      </c>
      <c r="I366" s="641">
        <f t="shared" si="22"/>
        <v>29.75</v>
      </c>
      <c r="J366" s="428" t="s">
        <v>319</v>
      </c>
      <c r="K366" s="428"/>
      <c r="L366" s="428"/>
      <c r="M366" s="428"/>
    </row>
    <row r="367" spans="1:13">
      <c r="A367" s="637">
        <v>20130101</v>
      </c>
      <c r="B367" s="639" t="s">
        <v>1035</v>
      </c>
      <c r="C367" s="639" t="s">
        <v>405</v>
      </c>
      <c r="D367" s="640" t="str">
        <f t="shared" si="23"/>
        <v>20130101KUUM_420</v>
      </c>
      <c r="E367" s="690">
        <v>14.96</v>
      </c>
      <c r="F367" s="447">
        <v>468</v>
      </c>
      <c r="G367" s="641">
        <v>0.03</v>
      </c>
      <c r="H367" s="641">
        <v>1.04</v>
      </c>
      <c r="I367" s="641">
        <f t="shared" si="22"/>
        <v>13.89</v>
      </c>
      <c r="J367" s="428" t="s">
        <v>314</v>
      </c>
      <c r="K367" s="428"/>
      <c r="L367" s="428"/>
      <c r="M367" s="428"/>
    </row>
    <row r="368" spans="1:13">
      <c r="A368" s="637">
        <v>20130101</v>
      </c>
      <c r="B368" s="639" t="s">
        <v>1036</v>
      </c>
      <c r="C368" s="639" t="s">
        <v>326</v>
      </c>
      <c r="D368" s="640" t="str">
        <f t="shared" si="23"/>
        <v>20130101KUUM_421</v>
      </c>
      <c r="E368" s="690">
        <v>3.2</v>
      </c>
      <c r="F368" s="447">
        <v>408</v>
      </c>
      <c r="G368" s="641">
        <v>0.01</v>
      </c>
      <c r="H368" s="641">
        <v>0.91</v>
      </c>
      <c r="I368" s="641">
        <f t="shared" si="22"/>
        <v>2.2800000000000002</v>
      </c>
      <c r="J368" s="641" t="s">
        <v>235</v>
      </c>
      <c r="K368" s="428"/>
      <c r="L368" s="428"/>
      <c r="M368" s="428"/>
    </row>
    <row r="369" spans="1:13">
      <c r="A369" s="637">
        <v>20130101</v>
      </c>
      <c r="B369" s="639" t="s">
        <v>1036</v>
      </c>
      <c r="C369" s="639" t="s">
        <v>356</v>
      </c>
      <c r="D369" s="640" t="str">
        <f t="shared" si="23"/>
        <v>20130101KUUM_422</v>
      </c>
      <c r="E369" s="690">
        <v>4.25</v>
      </c>
      <c r="F369" s="447">
        <v>804</v>
      </c>
      <c r="G369" s="641">
        <v>0.02</v>
      </c>
      <c r="H369" s="641">
        <v>1.79</v>
      </c>
      <c r="I369" s="641">
        <f t="shared" si="22"/>
        <v>2.4400000000000004</v>
      </c>
      <c r="J369" s="428" t="s">
        <v>265</v>
      </c>
      <c r="K369" s="428"/>
      <c r="L369" s="428"/>
      <c r="M369" s="428"/>
    </row>
    <row r="370" spans="1:13">
      <c r="A370" s="637">
        <v>20130101</v>
      </c>
      <c r="B370" s="639" t="s">
        <v>1036</v>
      </c>
      <c r="C370" s="639" t="s">
        <v>374</v>
      </c>
      <c r="D370" s="640" t="str">
        <f t="shared" si="23"/>
        <v>20130101KUUM_424</v>
      </c>
      <c r="E370" s="690">
        <v>6.32</v>
      </c>
      <c r="F370" s="447">
        <v>1308</v>
      </c>
      <c r="G370" s="641">
        <v>0.02</v>
      </c>
      <c r="H370" s="641">
        <v>0.46</v>
      </c>
      <c r="I370" s="641">
        <f t="shared" si="22"/>
        <v>5.8400000000000007</v>
      </c>
      <c r="J370" s="428" t="s">
        <v>283</v>
      </c>
      <c r="K370" s="428"/>
      <c r="L370" s="428"/>
      <c r="M370" s="428"/>
    </row>
    <row r="371" spans="1:13">
      <c r="A371" s="637">
        <v>20130101</v>
      </c>
      <c r="B371" s="639" t="s">
        <v>1036</v>
      </c>
      <c r="C371" s="639" t="s">
        <v>399</v>
      </c>
      <c r="D371" s="640" t="str">
        <f t="shared" si="23"/>
        <v>20130101KUUM_425</v>
      </c>
      <c r="E371" s="690">
        <v>8.43</v>
      </c>
      <c r="F371" s="447">
        <v>1788</v>
      </c>
      <c r="G371" s="641">
        <v>0.03</v>
      </c>
      <c r="H371" s="641">
        <v>3.97</v>
      </c>
      <c r="I371" s="641">
        <f t="shared" si="22"/>
        <v>4.43</v>
      </c>
      <c r="J371" s="428" t="s">
        <v>308</v>
      </c>
      <c r="K371" s="428"/>
      <c r="L371" s="428"/>
      <c r="M371" s="428"/>
    </row>
    <row r="372" spans="1:13">
      <c r="A372" s="637">
        <v>20130101</v>
      </c>
      <c r="B372" s="639" t="s">
        <v>1036</v>
      </c>
      <c r="C372" s="639" t="s">
        <v>391</v>
      </c>
      <c r="D372" s="640" t="str">
        <f t="shared" si="23"/>
        <v>20130101KUUM_426</v>
      </c>
      <c r="E372" s="690">
        <v>6.99</v>
      </c>
      <c r="F372" s="447">
        <v>332</v>
      </c>
      <c r="G372" s="641">
        <v>0.04</v>
      </c>
      <c r="H372" s="641">
        <v>0.74</v>
      </c>
      <c r="I372" s="641">
        <f t="shared" si="22"/>
        <v>6.21</v>
      </c>
      <c r="J372" s="428" t="s">
        <v>300</v>
      </c>
      <c r="K372" s="428"/>
      <c r="L372" s="428"/>
      <c r="M372" s="428"/>
    </row>
    <row r="373" spans="1:13">
      <c r="A373" s="637">
        <v>20130101</v>
      </c>
      <c r="B373" s="639" t="s">
        <v>1035</v>
      </c>
      <c r="C373" s="639" t="s">
        <v>416</v>
      </c>
      <c r="D373" s="640" t="str">
        <f t="shared" si="23"/>
        <v>20130101KUUM_428</v>
      </c>
      <c r="E373" s="690">
        <v>7.44</v>
      </c>
      <c r="F373" s="447">
        <v>468</v>
      </c>
      <c r="G373" s="641">
        <v>0.03</v>
      </c>
      <c r="H373" s="641">
        <v>1.04</v>
      </c>
      <c r="I373" s="641">
        <f t="shared" si="22"/>
        <v>6.37</v>
      </c>
      <c r="J373" s="428" t="s">
        <v>325</v>
      </c>
      <c r="K373" s="428"/>
      <c r="L373" s="428"/>
      <c r="M373" s="428"/>
    </row>
    <row r="374" spans="1:13">
      <c r="A374" s="637">
        <v>20130101</v>
      </c>
      <c r="B374" s="639" t="s">
        <v>1035</v>
      </c>
      <c r="C374" s="639" t="s">
        <v>362</v>
      </c>
      <c r="D374" s="640" t="str">
        <f t="shared" si="23"/>
        <v>20130101KUUM_429</v>
      </c>
      <c r="E374" s="690">
        <v>13.55</v>
      </c>
      <c r="F374" s="447">
        <v>968</v>
      </c>
      <c r="G374" s="641">
        <v>0.06</v>
      </c>
      <c r="H374" s="641">
        <v>2.15</v>
      </c>
      <c r="I374" s="641">
        <f t="shared" si="22"/>
        <v>11.34</v>
      </c>
      <c r="J374" s="428" t="s">
        <v>271</v>
      </c>
      <c r="K374" s="428"/>
      <c r="L374" s="428"/>
      <c r="M374" s="428"/>
    </row>
    <row r="375" spans="1:13">
      <c r="A375" s="637">
        <v>20130101</v>
      </c>
      <c r="B375" s="639" t="s">
        <v>1035</v>
      </c>
      <c r="C375" s="639" t="s">
        <v>407</v>
      </c>
      <c r="D375" s="640" t="str">
        <f t="shared" si="23"/>
        <v>20130101KUUM_430</v>
      </c>
      <c r="E375" s="690">
        <v>21.6</v>
      </c>
      <c r="F375" s="447">
        <v>468</v>
      </c>
      <c r="G375" s="641">
        <v>0.03</v>
      </c>
      <c r="H375" s="641">
        <v>1.04</v>
      </c>
      <c r="I375" s="641">
        <f t="shared" si="22"/>
        <v>20.53</v>
      </c>
      <c r="J375" s="428" t="s">
        <v>316</v>
      </c>
      <c r="K375" s="428"/>
      <c r="L375" s="428"/>
      <c r="M375" s="428"/>
    </row>
    <row r="376" spans="1:13">
      <c r="A376" s="637">
        <v>20130101</v>
      </c>
      <c r="B376" s="639"/>
      <c r="C376" s="450" t="s">
        <v>418</v>
      </c>
      <c r="D376" s="640" t="str">
        <f t="shared" si="23"/>
        <v>20130101KUUM_431</v>
      </c>
      <c r="E376" s="690"/>
      <c r="F376" s="447">
        <v>408</v>
      </c>
      <c r="G376" s="641">
        <v>0.01</v>
      </c>
      <c r="H376" s="641">
        <v>0.91</v>
      </c>
      <c r="I376" s="641">
        <f t="shared" si="22"/>
        <v>-0.92</v>
      </c>
      <c r="J376" s="699" t="s">
        <v>419</v>
      </c>
      <c r="K376" s="428"/>
      <c r="L376" s="428"/>
      <c r="M376" s="428"/>
    </row>
    <row r="377" spans="1:13">
      <c r="A377" s="637">
        <v>20130101</v>
      </c>
      <c r="B377" s="639"/>
      <c r="C377" s="450" t="s">
        <v>420</v>
      </c>
      <c r="D377" s="640" t="str">
        <f t="shared" si="23"/>
        <v>20130101KUUM_432</v>
      </c>
      <c r="E377" s="690"/>
      <c r="F377" s="447">
        <v>804</v>
      </c>
      <c r="G377" s="641">
        <v>0.02</v>
      </c>
      <c r="H377" s="641">
        <v>1.79</v>
      </c>
      <c r="I377" s="641">
        <f t="shared" si="22"/>
        <v>-1.81</v>
      </c>
      <c r="J377" s="691" t="s">
        <v>421</v>
      </c>
      <c r="K377" s="428"/>
      <c r="L377" s="428"/>
      <c r="M377" s="428"/>
    </row>
    <row r="378" spans="1:13">
      <c r="A378" s="637">
        <v>20130101</v>
      </c>
      <c r="B378" s="639"/>
      <c r="C378" s="450" t="s">
        <v>422</v>
      </c>
      <c r="D378" s="640" t="str">
        <f t="shared" si="23"/>
        <v>20130101KUUM_433</v>
      </c>
      <c r="E378" s="690"/>
      <c r="F378" s="447">
        <v>724</v>
      </c>
      <c r="G378" s="641">
        <v>0.23</v>
      </c>
      <c r="H378" s="641">
        <v>1.61</v>
      </c>
      <c r="I378" s="641">
        <f t="shared" si="22"/>
        <v>-1.84</v>
      </c>
      <c r="J378" s="691" t="s">
        <v>423</v>
      </c>
      <c r="K378" s="428"/>
      <c r="L378" s="428"/>
      <c r="M378" s="428"/>
    </row>
    <row r="379" spans="1:13">
      <c r="A379" s="637">
        <v>20130101</v>
      </c>
      <c r="B379" s="639" t="s">
        <v>1036</v>
      </c>
      <c r="C379" s="639" t="s">
        <v>373</v>
      </c>
      <c r="D379" s="640" t="str">
        <f t="shared" si="23"/>
        <v>20130101KUUM_434</v>
      </c>
      <c r="E379" s="690">
        <v>7.28</v>
      </c>
      <c r="F379" s="447">
        <v>1308</v>
      </c>
      <c r="G379" s="641">
        <v>0.02</v>
      </c>
      <c r="H379" s="641">
        <v>0.46</v>
      </c>
      <c r="I379" s="641">
        <f t="shared" si="22"/>
        <v>6.8000000000000007</v>
      </c>
      <c r="J379" s="428" t="s">
        <v>282</v>
      </c>
      <c r="K379" s="428"/>
      <c r="L379" s="428"/>
      <c r="M379" s="428"/>
    </row>
    <row r="380" spans="1:13">
      <c r="A380" s="637">
        <v>20130101</v>
      </c>
      <c r="B380" s="639"/>
      <c r="C380" s="450" t="s">
        <v>424</v>
      </c>
      <c r="D380" s="640" t="str">
        <f t="shared" si="23"/>
        <v>20130101KUUM_435</v>
      </c>
      <c r="E380" s="690"/>
      <c r="F380" s="447">
        <v>1788</v>
      </c>
      <c r="G380" s="641">
        <v>0.03</v>
      </c>
      <c r="H380" s="641">
        <v>3.97</v>
      </c>
      <c r="I380" s="641">
        <f t="shared" si="22"/>
        <v>-4</v>
      </c>
      <c r="J380" s="691" t="s">
        <v>425</v>
      </c>
      <c r="K380" s="428"/>
      <c r="L380" s="428"/>
      <c r="M380" s="428"/>
    </row>
    <row r="381" spans="1:13">
      <c r="A381" s="637">
        <v>20130101</v>
      </c>
      <c r="B381" s="639" t="s">
        <v>1036</v>
      </c>
      <c r="C381" s="639" t="s">
        <v>375</v>
      </c>
      <c r="D381" s="640" t="str">
        <f t="shared" si="23"/>
        <v>20130101KUUM_440</v>
      </c>
      <c r="E381" s="690">
        <v>13.27</v>
      </c>
      <c r="F381" s="447">
        <v>240</v>
      </c>
      <c r="G381" s="641">
        <v>0.03</v>
      </c>
      <c r="H381" s="641">
        <v>0.53</v>
      </c>
      <c r="I381" s="641">
        <f t="shared" si="22"/>
        <v>12.71</v>
      </c>
      <c r="J381" s="428" t="s">
        <v>284</v>
      </c>
      <c r="K381" s="428"/>
      <c r="L381" s="428"/>
      <c r="M381" s="428"/>
    </row>
    <row r="382" spans="1:13">
      <c r="A382" s="637">
        <v>20130101</v>
      </c>
      <c r="B382" s="639" t="s">
        <v>1035</v>
      </c>
      <c r="C382" s="639" t="s">
        <v>383</v>
      </c>
      <c r="D382" s="640" t="str">
        <f t="shared" si="23"/>
        <v>20130101KUUM_441</v>
      </c>
      <c r="E382" s="690">
        <v>14.41</v>
      </c>
      <c r="F382" s="447">
        <v>332</v>
      </c>
      <c r="G382" s="641">
        <v>0.04</v>
      </c>
      <c r="H382" s="641">
        <v>0.74</v>
      </c>
      <c r="I382" s="641">
        <f t="shared" si="22"/>
        <v>13.63</v>
      </c>
      <c r="J382" s="428" t="s">
        <v>292</v>
      </c>
      <c r="K382" s="428"/>
      <c r="L382" s="428"/>
      <c r="M382" s="428"/>
    </row>
    <row r="383" spans="1:13">
      <c r="A383" s="637">
        <v>20130101</v>
      </c>
      <c r="B383" s="639" t="s">
        <v>1035</v>
      </c>
      <c r="C383" s="639" t="s">
        <v>406</v>
      </c>
      <c r="D383" s="640" t="str">
        <f t="shared" si="23"/>
        <v>20130101KUUM_442</v>
      </c>
      <c r="E383" s="690">
        <v>14.96</v>
      </c>
      <c r="F383" s="447">
        <v>468</v>
      </c>
      <c r="G383" s="641">
        <v>0.03</v>
      </c>
      <c r="H383" s="641">
        <v>1.04</v>
      </c>
      <c r="I383" s="641">
        <f t="shared" si="22"/>
        <v>13.89</v>
      </c>
      <c r="J383" s="428" t="s">
        <v>315</v>
      </c>
      <c r="K383" s="428"/>
      <c r="L383" s="428"/>
      <c r="M383" s="428"/>
    </row>
    <row r="384" spans="1:13">
      <c r="A384" s="637">
        <v>20130101</v>
      </c>
      <c r="B384" s="639"/>
      <c r="C384" s="639" t="s">
        <v>377</v>
      </c>
      <c r="D384" s="640" t="str">
        <f t="shared" si="23"/>
        <v>20130101KUUM_444</v>
      </c>
      <c r="E384" s="690"/>
      <c r="F384" s="447">
        <v>240</v>
      </c>
      <c r="G384" s="641">
        <v>0.03</v>
      </c>
      <c r="H384" s="641">
        <v>0.53</v>
      </c>
      <c r="I384" s="641">
        <f t="shared" si="22"/>
        <v>-0.56000000000000005</v>
      </c>
      <c r="J384" s="428" t="s">
        <v>286</v>
      </c>
      <c r="K384" s="428"/>
      <c r="L384" s="428"/>
      <c r="M384" s="428"/>
    </row>
    <row r="385" spans="1:13">
      <c r="A385" s="637">
        <v>20130101</v>
      </c>
      <c r="B385" s="639"/>
      <c r="C385" s="639" t="s">
        <v>385</v>
      </c>
      <c r="D385" s="640" t="str">
        <f t="shared" si="23"/>
        <v>20130101KUUM_445</v>
      </c>
      <c r="E385" s="690"/>
      <c r="F385" s="447">
        <v>332</v>
      </c>
      <c r="G385" s="641">
        <v>0.04</v>
      </c>
      <c r="H385" s="641">
        <v>0.74</v>
      </c>
      <c r="I385" s="641">
        <f t="shared" si="22"/>
        <v>-0.78</v>
      </c>
      <c r="J385" s="428" t="s">
        <v>294</v>
      </c>
      <c r="K385" s="428"/>
      <c r="L385" s="428"/>
      <c r="M385" s="428"/>
    </row>
    <row r="386" spans="1:13">
      <c r="A386" s="637">
        <v>20130101</v>
      </c>
      <c r="B386" s="639" t="s">
        <v>1036</v>
      </c>
      <c r="C386" s="639" t="s">
        <v>401</v>
      </c>
      <c r="D386" s="640" t="str">
        <f t="shared" si="23"/>
        <v>20130101KUUM_446</v>
      </c>
      <c r="E386" s="690">
        <v>9.06</v>
      </c>
      <c r="F386" s="447">
        <v>828</v>
      </c>
      <c r="G386" s="641">
        <v>0.04</v>
      </c>
      <c r="H386" s="641">
        <v>1.84</v>
      </c>
      <c r="I386" s="641">
        <f t="shared" si="22"/>
        <v>7.1800000000000015</v>
      </c>
      <c r="J386" s="428" t="s">
        <v>310</v>
      </c>
      <c r="K386" s="428"/>
      <c r="L386" s="428"/>
      <c r="M386" s="428"/>
    </row>
    <row r="387" spans="1:13">
      <c r="A387" s="637">
        <v>20130101</v>
      </c>
      <c r="B387" s="639" t="s">
        <v>1036</v>
      </c>
      <c r="C387" s="639" t="s">
        <v>328</v>
      </c>
      <c r="D387" s="640" t="str">
        <f t="shared" si="23"/>
        <v>20130101KUUM_447</v>
      </c>
      <c r="E387" s="690">
        <v>10.7</v>
      </c>
      <c r="F387" s="447">
        <v>1176</v>
      </c>
      <c r="G387" s="641">
        <v>0.04</v>
      </c>
      <c r="H387" s="641">
        <v>2.62</v>
      </c>
      <c r="I387" s="641">
        <f t="shared" si="22"/>
        <v>8.0399999999999991</v>
      </c>
      <c r="J387" s="641" t="s">
        <v>237</v>
      </c>
      <c r="K387" s="428"/>
      <c r="L387" s="428"/>
      <c r="M387" s="428"/>
    </row>
    <row r="388" spans="1:13">
      <c r="A388" s="637">
        <v>20130101</v>
      </c>
      <c r="B388" s="639" t="s">
        <v>1036</v>
      </c>
      <c r="C388" s="450" t="s">
        <v>437</v>
      </c>
      <c r="D388" s="640" t="str">
        <f t="shared" si="23"/>
        <v>20130101KUUM_448</v>
      </c>
      <c r="E388" s="690">
        <v>12.01</v>
      </c>
      <c r="F388" s="447">
        <v>1812</v>
      </c>
      <c r="G388" s="641">
        <v>0.05</v>
      </c>
      <c r="H388" s="641">
        <v>4.03</v>
      </c>
      <c r="I388" s="641">
        <f t="shared" si="22"/>
        <v>7.9299999999999988</v>
      </c>
      <c r="J388" s="428" t="s">
        <v>438</v>
      </c>
      <c r="K388" s="428"/>
      <c r="L388" s="428"/>
      <c r="M388" s="428"/>
    </row>
    <row r="389" spans="1:13">
      <c r="A389" s="637">
        <v>20130101</v>
      </c>
      <c r="B389" s="639" t="s">
        <v>1035</v>
      </c>
      <c r="C389" s="639" t="s">
        <v>408</v>
      </c>
      <c r="D389" s="640" t="str">
        <f t="shared" si="23"/>
        <v>20130101KUUM_449</v>
      </c>
      <c r="E389" s="690">
        <v>21.6</v>
      </c>
      <c r="F389" s="447">
        <v>468</v>
      </c>
      <c r="G389" s="641">
        <v>0.03</v>
      </c>
      <c r="H389" s="641">
        <v>1.04</v>
      </c>
      <c r="I389" s="641">
        <f t="shared" si="22"/>
        <v>20.53</v>
      </c>
      <c r="J389" s="428" t="s">
        <v>317</v>
      </c>
      <c r="K389" s="428"/>
      <c r="L389" s="428"/>
      <c r="M389" s="428"/>
    </row>
    <row r="390" spans="1:13">
      <c r="A390" s="637">
        <v>20130101</v>
      </c>
      <c r="B390" s="639" t="s">
        <v>1035</v>
      </c>
      <c r="C390" s="639" t="s">
        <v>338</v>
      </c>
      <c r="D390" s="640" t="str">
        <f t="shared" si="23"/>
        <v>20130101KUUM_450</v>
      </c>
      <c r="E390" s="690">
        <v>13.55</v>
      </c>
      <c r="F390" s="447">
        <v>600</v>
      </c>
      <c r="G390" s="641">
        <v>7.0000000000000007E-2</v>
      </c>
      <c r="H390" s="641">
        <v>1.86</v>
      </c>
      <c r="I390" s="641">
        <f t="shared" si="22"/>
        <v>11.620000000000001</v>
      </c>
      <c r="J390" s="428" t="s">
        <v>247</v>
      </c>
      <c r="K390" s="428"/>
      <c r="L390" s="428"/>
      <c r="M390" s="428"/>
    </row>
    <row r="391" spans="1:13">
      <c r="A391" s="637">
        <v>20130101</v>
      </c>
      <c r="B391" s="639" t="s">
        <v>1035</v>
      </c>
      <c r="C391" s="639" t="s">
        <v>370</v>
      </c>
      <c r="D391" s="640" t="str">
        <f t="shared" si="23"/>
        <v>20130101KUUM_451</v>
      </c>
      <c r="E391" s="690">
        <v>19.18</v>
      </c>
      <c r="F391" s="447">
        <v>1400</v>
      </c>
      <c r="G391" s="641">
        <v>0.08</v>
      </c>
      <c r="H391" s="641">
        <v>4.03</v>
      </c>
      <c r="I391" s="641">
        <f t="shared" si="22"/>
        <v>15.07</v>
      </c>
      <c r="J391" s="428" t="s">
        <v>279</v>
      </c>
      <c r="K391" s="428"/>
      <c r="L391" s="428"/>
      <c r="M391" s="428"/>
    </row>
    <row r="392" spans="1:13">
      <c r="A392" s="637">
        <v>20130101</v>
      </c>
      <c r="B392" s="639" t="s">
        <v>1035</v>
      </c>
      <c r="C392" s="639" t="s">
        <v>333</v>
      </c>
      <c r="D392" s="640" t="str">
        <f t="shared" si="23"/>
        <v>20130101KUUM_452</v>
      </c>
      <c r="E392" s="690">
        <v>40</v>
      </c>
      <c r="F392" s="447">
        <v>4320</v>
      </c>
      <c r="G392" s="641">
        <v>0.16</v>
      </c>
      <c r="H392" s="641">
        <v>9.6</v>
      </c>
      <c r="I392" s="641">
        <f t="shared" si="22"/>
        <v>30.240000000000002</v>
      </c>
      <c r="J392" s="428" t="s">
        <v>242</v>
      </c>
      <c r="K392" s="428"/>
      <c r="L392" s="428"/>
      <c r="M392" s="428"/>
    </row>
    <row r="393" spans="1:13">
      <c r="A393" s="637">
        <v>20130101</v>
      </c>
      <c r="B393" s="639" t="s">
        <v>1036</v>
      </c>
      <c r="C393" s="639" t="s">
        <v>336</v>
      </c>
      <c r="D393" s="640" t="str">
        <f t="shared" si="23"/>
        <v>20130101KUUM_454</v>
      </c>
      <c r="E393" s="690">
        <v>17.95</v>
      </c>
      <c r="F393" s="447">
        <v>600</v>
      </c>
      <c r="G393" s="641">
        <v>7.0000000000000007E-2</v>
      </c>
      <c r="H393" s="641">
        <v>1.86</v>
      </c>
      <c r="I393" s="641">
        <f t="shared" si="22"/>
        <v>16.02</v>
      </c>
      <c r="J393" s="428" t="s">
        <v>245</v>
      </c>
      <c r="K393" s="428"/>
      <c r="L393" s="428"/>
      <c r="M393" s="428"/>
    </row>
    <row r="394" spans="1:13">
      <c r="A394" s="637">
        <v>20130101</v>
      </c>
      <c r="B394" s="639" t="s">
        <v>1036</v>
      </c>
      <c r="C394" s="639" t="s">
        <v>368</v>
      </c>
      <c r="D394" s="640" t="str">
        <f t="shared" si="23"/>
        <v>20130101KUUM_455</v>
      </c>
      <c r="E394" s="690">
        <v>23.57</v>
      </c>
      <c r="F394" s="447">
        <v>1400</v>
      </c>
      <c r="G394" s="641">
        <v>0.08</v>
      </c>
      <c r="H394" s="641">
        <v>4.03</v>
      </c>
      <c r="I394" s="641">
        <f t="shared" ref="I394:I414" si="24">E394-G394-H394</f>
        <v>19.46</v>
      </c>
      <c r="J394" s="428" t="s">
        <v>277</v>
      </c>
      <c r="K394" s="428"/>
      <c r="L394" s="428"/>
      <c r="M394" s="428"/>
    </row>
    <row r="395" spans="1:13">
      <c r="A395" s="637">
        <v>20130101</v>
      </c>
      <c r="B395" s="639" t="s">
        <v>1036</v>
      </c>
      <c r="C395" s="639" t="s">
        <v>400</v>
      </c>
      <c r="D395" s="640" t="str">
        <f t="shared" si="23"/>
        <v>20130101KUUM_456</v>
      </c>
      <c r="E395" s="690">
        <v>11.37</v>
      </c>
      <c r="F395" s="447">
        <v>828</v>
      </c>
      <c r="G395" s="641">
        <v>0.04</v>
      </c>
      <c r="H395" s="641">
        <v>1.84</v>
      </c>
      <c r="I395" s="641">
        <f t="shared" si="24"/>
        <v>9.49</v>
      </c>
      <c r="J395" s="428" t="s">
        <v>309</v>
      </c>
      <c r="K395" s="428"/>
      <c r="L395" s="428"/>
      <c r="M395" s="428"/>
    </row>
    <row r="396" spans="1:13">
      <c r="A396" s="637">
        <v>20130101</v>
      </c>
      <c r="B396" s="639" t="s">
        <v>1036</v>
      </c>
      <c r="C396" s="639" t="s">
        <v>327</v>
      </c>
      <c r="D396" s="640" t="str">
        <f t="shared" si="23"/>
        <v>20130101KUUM_457</v>
      </c>
      <c r="E396" s="690">
        <v>12.74</v>
      </c>
      <c r="F396" s="447">
        <v>1176</v>
      </c>
      <c r="G396" s="641">
        <v>0.04</v>
      </c>
      <c r="H396" s="641">
        <v>2.62</v>
      </c>
      <c r="I396" s="641">
        <f t="shared" si="24"/>
        <v>10.080000000000002</v>
      </c>
      <c r="J396" s="641" t="s">
        <v>236</v>
      </c>
      <c r="K396" s="428"/>
      <c r="L396" s="428"/>
      <c r="M396" s="428"/>
    </row>
    <row r="397" spans="1:13">
      <c r="A397" s="637">
        <v>20130101</v>
      </c>
      <c r="B397" s="639" t="s">
        <v>1036</v>
      </c>
      <c r="C397" s="639" t="s">
        <v>357</v>
      </c>
      <c r="D397" s="640" t="str">
        <f t="shared" si="23"/>
        <v>20130101KUUM_458</v>
      </c>
      <c r="E397" s="690">
        <v>14.28</v>
      </c>
      <c r="F397" s="447">
        <v>1812</v>
      </c>
      <c r="G397" s="641">
        <v>0.05</v>
      </c>
      <c r="H397" s="641">
        <v>4.03</v>
      </c>
      <c r="I397" s="641">
        <f t="shared" si="24"/>
        <v>10.199999999999999</v>
      </c>
      <c r="J397" s="428" t="s">
        <v>266</v>
      </c>
      <c r="K397" s="428"/>
      <c r="L397" s="428"/>
      <c r="M397" s="428"/>
    </row>
    <row r="398" spans="1:13">
      <c r="A398" s="637">
        <v>20130101</v>
      </c>
      <c r="B398" s="639" t="s">
        <v>1036</v>
      </c>
      <c r="C398" s="639" t="s">
        <v>331</v>
      </c>
      <c r="D398" s="640" t="str">
        <f t="shared" si="23"/>
        <v>20130101KUUM_459</v>
      </c>
      <c r="E398" s="690">
        <v>44.39</v>
      </c>
      <c r="F398" s="447">
        <v>4320</v>
      </c>
      <c r="G398" s="641">
        <v>0.16</v>
      </c>
      <c r="H398" s="641">
        <v>9.6</v>
      </c>
      <c r="I398" s="641">
        <f t="shared" si="24"/>
        <v>34.630000000000003</v>
      </c>
      <c r="J398" s="641" t="s">
        <v>240</v>
      </c>
      <c r="K398" s="428"/>
      <c r="L398" s="428"/>
      <c r="M398" s="428"/>
    </row>
    <row r="399" spans="1:13">
      <c r="A399" s="637">
        <v>20130101</v>
      </c>
      <c r="B399" s="639" t="s">
        <v>1036</v>
      </c>
      <c r="C399" s="639" t="s">
        <v>335</v>
      </c>
      <c r="D399" s="640" t="str">
        <f t="shared" si="23"/>
        <v>20130101KUUM_460</v>
      </c>
      <c r="E399" s="690">
        <v>26.45</v>
      </c>
      <c r="F399" s="447">
        <v>600</v>
      </c>
      <c r="G399" s="641">
        <v>7.0000000000000007E-2</v>
      </c>
      <c r="H399" s="641">
        <v>1.86</v>
      </c>
      <c r="I399" s="641">
        <f t="shared" si="24"/>
        <v>24.52</v>
      </c>
      <c r="J399" s="428" t="s">
        <v>244</v>
      </c>
      <c r="K399" s="428"/>
      <c r="L399" s="428"/>
      <c r="M399" s="428"/>
    </row>
    <row r="400" spans="1:13">
      <c r="A400" s="637">
        <v>20130101</v>
      </c>
      <c r="B400" s="639" t="s">
        <v>1036</v>
      </c>
      <c r="C400" s="639" t="s">
        <v>372</v>
      </c>
      <c r="D400" s="640" t="str">
        <f t="shared" si="23"/>
        <v>20130101KUUM_461</v>
      </c>
      <c r="E400" s="690">
        <v>7.2</v>
      </c>
      <c r="F400" s="447">
        <v>240</v>
      </c>
      <c r="G400" s="641">
        <v>0.03</v>
      </c>
      <c r="H400" s="641">
        <v>0.53</v>
      </c>
      <c r="I400" s="641">
        <f t="shared" si="24"/>
        <v>6.64</v>
      </c>
      <c r="J400" s="428" t="s">
        <v>281</v>
      </c>
      <c r="K400" s="428"/>
      <c r="L400" s="428"/>
      <c r="M400" s="428"/>
    </row>
    <row r="401" spans="1:13">
      <c r="A401" s="637">
        <v>20130101</v>
      </c>
      <c r="B401" s="639" t="s">
        <v>1035</v>
      </c>
      <c r="C401" s="639" t="s">
        <v>381</v>
      </c>
      <c r="D401" s="640" t="str">
        <f t="shared" si="23"/>
        <v>20130101KUUM_462</v>
      </c>
      <c r="E401" s="690">
        <v>8.2100000000000009</v>
      </c>
      <c r="F401" s="447">
        <v>332</v>
      </c>
      <c r="G401" s="641">
        <v>0.04</v>
      </c>
      <c r="H401" s="641">
        <v>0.74</v>
      </c>
      <c r="I401" s="641">
        <f t="shared" si="24"/>
        <v>7.4300000000000015</v>
      </c>
      <c r="J401" s="428" t="s">
        <v>290</v>
      </c>
      <c r="K401" s="428"/>
      <c r="L401" s="428"/>
      <c r="M401" s="428"/>
    </row>
    <row r="402" spans="1:13">
      <c r="A402" s="637">
        <v>20130101</v>
      </c>
      <c r="B402" s="639" t="s">
        <v>1035</v>
      </c>
      <c r="C402" s="639" t="s">
        <v>404</v>
      </c>
      <c r="D402" s="640" t="str">
        <f t="shared" si="23"/>
        <v>20130101KUUM_463</v>
      </c>
      <c r="E402" s="690">
        <v>8.74</v>
      </c>
      <c r="F402" s="447">
        <v>468</v>
      </c>
      <c r="G402" s="641">
        <v>0.03</v>
      </c>
      <c r="H402" s="641">
        <v>1.04</v>
      </c>
      <c r="I402" s="641">
        <f t="shared" si="24"/>
        <v>7.6700000000000008</v>
      </c>
      <c r="J402" s="428" t="s">
        <v>313</v>
      </c>
      <c r="K402" s="428"/>
      <c r="L402" s="428"/>
      <c r="M402" s="428"/>
    </row>
    <row r="403" spans="1:13">
      <c r="A403" s="637">
        <v>20130101</v>
      </c>
      <c r="B403" s="639" t="s">
        <v>1035</v>
      </c>
      <c r="C403" s="639" t="s">
        <v>361</v>
      </c>
      <c r="D403" s="640" t="str">
        <f t="shared" si="23"/>
        <v>20130101KUUM_464</v>
      </c>
      <c r="E403" s="690">
        <v>13.55</v>
      </c>
      <c r="F403" s="447">
        <v>968</v>
      </c>
      <c r="G403" s="641">
        <v>0.06</v>
      </c>
      <c r="H403" s="641">
        <v>2.15</v>
      </c>
      <c r="I403" s="641">
        <f t="shared" si="24"/>
        <v>11.34</v>
      </c>
      <c r="J403" s="428" t="s">
        <v>270</v>
      </c>
      <c r="K403" s="428"/>
      <c r="L403" s="428"/>
      <c r="M403" s="428"/>
    </row>
    <row r="404" spans="1:13">
      <c r="A404" s="637">
        <v>20130101</v>
      </c>
      <c r="B404" s="639" t="s">
        <v>1035</v>
      </c>
      <c r="C404" s="639" t="s">
        <v>393</v>
      </c>
      <c r="D404" s="640" t="str">
        <f t="shared" si="23"/>
        <v>20130101KUUM_465</v>
      </c>
      <c r="E404" s="690">
        <v>21.78</v>
      </c>
      <c r="F404" s="447">
        <v>1884</v>
      </c>
      <c r="G404" s="641">
        <v>0.08</v>
      </c>
      <c r="H404" s="641">
        <v>4.18</v>
      </c>
      <c r="I404" s="641">
        <f t="shared" si="24"/>
        <v>17.520000000000003</v>
      </c>
      <c r="J404" s="428" t="s">
        <v>302</v>
      </c>
      <c r="K404" s="428"/>
      <c r="L404" s="428"/>
      <c r="M404" s="428"/>
    </row>
    <row r="405" spans="1:13">
      <c r="A405" s="637">
        <v>20130101</v>
      </c>
      <c r="B405" s="644" t="s">
        <v>1036</v>
      </c>
      <c r="C405" s="639" t="s">
        <v>379</v>
      </c>
      <c r="D405" s="640" t="str">
        <f t="shared" si="23"/>
        <v>20130101KUUM_466</v>
      </c>
      <c r="E405" s="690">
        <v>9.2799999999999994</v>
      </c>
      <c r="F405" s="447">
        <v>240</v>
      </c>
      <c r="G405" s="641">
        <v>0.03</v>
      </c>
      <c r="H405" s="641">
        <v>0.53</v>
      </c>
      <c r="I405" s="641">
        <f t="shared" si="24"/>
        <v>8.7200000000000006</v>
      </c>
      <c r="J405" s="428" t="s">
        <v>288</v>
      </c>
      <c r="K405" s="428"/>
      <c r="L405" s="428"/>
      <c r="M405" s="428"/>
    </row>
    <row r="406" spans="1:13">
      <c r="A406" s="637">
        <v>20130101</v>
      </c>
      <c r="B406" s="639" t="s">
        <v>1035</v>
      </c>
      <c r="C406" s="639" t="s">
        <v>389</v>
      </c>
      <c r="D406" s="640" t="str">
        <f t="shared" si="23"/>
        <v>20130101KUUM_467</v>
      </c>
      <c r="E406" s="690">
        <v>10.32</v>
      </c>
      <c r="F406" s="447">
        <v>332</v>
      </c>
      <c r="G406" s="641">
        <v>0.04</v>
      </c>
      <c r="H406" s="641">
        <v>0.74</v>
      </c>
      <c r="I406" s="641">
        <f t="shared" si="24"/>
        <v>9.5400000000000009</v>
      </c>
      <c r="J406" s="428" t="s">
        <v>298</v>
      </c>
      <c r="K406" s="428"/>
      <c r="L406" s="428"/>
      <c r="M406" s="428"/>
    </row>
    <row r="407" spans="1:13">
      <c r="A407" s="637">
        <v>20130101</v>
      </c>
      <c r="B407" s="639" t="s">
        <v>1035</v>
      </c>
      <c r="C407" s="639" t="s">
        <v>412</v>
      </c>
      <c r="D407" s="640" t="str">
        <f t="shared" si="23"/>
        <v>20130101KUUM_468</v>
      </c>
      <c r="E407" s="690">
        <v>10.76</v>
      </c>
      <c r="F407" s="447">
        <v>468</v>
      </c>
      <c r="G407" s="641">
        <v>0.03</v>
      </c>
      <c r="H407" s="641">
        <v>1.04</v>
      </c>
      <c r="I407" s="641">
        <f t="shared" si="24"/>
        <v>9.6900000000000013</v>
      </c>
      <c r="J407" s="428" t="s">
        <v>321</v>
      </c>
      <c r="K407" s="428"/>
      <c r="L407" s="428"/>
      <c r="M407" s="428"/>
    </row>
    <row r="408" spans="1:13">
      <c r="A408" s="637">
        <v>20130101</v>
      </c>
      <c r="B408" s="639" t="s">
        <v>1036</v>
      </c>
      <c r="C408" s="639" t="s">
        <v>367</v>
      </c>
      <c r="D408" s="640" t="str">
        <f t="shared" si="23"/>
        <v>20130101KUUM_469</v>
      </c>
      <c r="E408" s="690">
        <v>32.08</v>
      </c>
      <c r="F408" s="447">
        <v>1400</v>
      </c>
      <c r="G408" s="641">
        <v>0.08</v>
      </c>
      <c r="H408" s="641">
        <v>4.03</v>
      </c>
      <c r="I408" s="641">
        <f t="shared" si="24"/>
        <v>27.97</v>
      </c>
      <c r="J408" s="428" t="s">
        <v>276</v>
      </c>
      <c r="K408" s="428"/>
      <c r="L408" s="428"/>
      <c r="M408" s="428"/>
    </row>
    <row r="409" spans="1:13">
      <c r="A409" s="637">
        <v>20130101</v>
      </c>
      <c r="B409" s="639" t="s">
        <v>1036</v>
      </c>
      <c r="C409" s="639" t="s">
        <v>330</v>
      </c>
      <c r="D409" s="640" t="str">
        <f t="shared" si="23"/>
        <v>20130101KUUM_470</v>
      </c>
      <c r="E409" s="690">
        <v>52.9</v>
      </c>
      <c r="F409" s="447">
        <v>4320</v>
      </c>
      <c r="G409" s="641">
        <v>0.16</v>
      </c>
      <c r="H409" s="641">
        <v>9.6</v>
      </c>
      <c r="I409" s="641">
        <f t="shared" si="24"/>
        <v>43.14</v>
      </c>
      <c r="J409" s="641" t="s">
        <v>239</v>
      </c>
      <c r="K409" s="428"/>
      <c r="L409" s="428"/>
      <c r="M409" s="428"/>
    </row>
    <row r="410" spans="1:13">
      <c r="A410" s="637">
        <v>20130101</v>
      </c>
      <c r="B410" s="639" t="s">
        <v>1036</v>
      </c>
      <c r="C410" s="639" t="s">
        <v>371</v>
      </c>
      <c r="D410" s="640" t="str">
        <f t="shared" si="23"/>
        <v>20130101KUUM_471</v>
      </c>
      <c r="E410" s="690">
        <v>10.15</v>
      </c>
      <c r="F410" s="447">
        <v>240</v>
      </c>
      <c r="G410" s="641">
        <v>0.03</v>
      </c>
      <c r="H410" s="641">
        <v>0.53</v>
      </c>
      <c r="I410" s="641">
        <f t="shared" si="24"/>
        <v>9.5900000000000016</v>
      </c>
      <c r="J410" s="428" t="s">
        <v>280</v>
      </c>
      <c r="K410" s="428"/>
      <c r="L410" s="428"/>
      <c r="M410" s="428"/>
    </row>
    <row r="411" spans="1:13">
      <c r="A411" s="637">
        <v>20130101</v>
      </c>
      <c r="B411" s="639" t="s">
        <v>1035</v>
      </c>
      <c r="C411" s="639" t="s">
        <v>380</v>
      </c>
      <c r="D411" s="640" t="str">
        <f t="shared" si="23"/>
        <v>20130101KUUM_472</v>
      </c>
      <c r="E411" s="690">
        <v>11.15</v>
      </c>
      <c r="F411" s="447">
        <v>332</v>
      </c>
      <c r="G411" s="641">
        <v>0.04</v>
      </c>
      <c r="H411" s="641">
        <v>0.74</v>
      </c>
      <c r="I411" s="641">
        <f t="shared" si="24"/>
        <v>10.370000000000001</v>
      </c>
      <c r="J411" s="428" t="s">
        <v>289</v>
      </c>
      <c r="K411" s="428"/>
      <c r="L411" s="428"/>
      <c r="M411" s="428"/>
    </row>
    <row r="412" spans="1:13">
      <c r="A412" s="637">
        <v>20130101</v>
      </c>
      <c r="B412" s="639" t="s">
        <v>1035</v>
      </c>
      <c r="C412" s="639" t="s">
        <v>403</v>
      </c>
      <c r="D412" s="640" t="str">
        <f t="shared" si="23"/>
        <v>20130101KUUM_473</v>
      </c>
      <c r="E412" s="690">
        <v>11.9</v>
      </c>
      <c r="F412" s="447">
        <v>468</v>
      </c>
      <c r="G412" s="641">
        <v>0.03</v>
      </c>
      <c r="H412" s="641">
        <v>1.04</v>
      </c>
      <c r="I412" s="641">
        <f t="shared" si="24"/>
        <v>10.830000000000002</v>
      </c>
      <c r="J412" s="428" t="s">
        <v>312</v>
      </c>
      <c r="K412" s="428"/>
      <c r="L412" s="428"/>
      <c r="M412" s="428"/>
    </row>
    <row r="413" spans="1:13">
      <c r="A413" s="637">
        <v>20130101</v>
      </c>
      <c r="B413" s="639" t="s">
        <v>1035</v>
      </c>
      <c r="C413" s="639" t="s">
        <v>360</v>
      </c>
      <c r="D413" s="640" t="str">
        <f t="shared" si="23"/>
        <v>20130101KUUM_474</v>
      </c>
      <c r="E413" s="690">
        <v>16.71</v>
      </c>
      <c r="F413" s="447">
        <v>968</v>
      </c>
      <c r="G413" s="641">
        <v>0.06</v>
      </c>
      <c r="H413" s="641">
        <v>2.15</v>
      </c>
      <c r="I413" s="641">
        <f t="shared" si="24"/>
        <v>14.500000000000002</v>
      </c>
      <c r="J413" s="428" t="s">
        <v>269</v>
      </c>
      <c r="K413" s="428"/>
      <c r="L413" s="428"/>
      <c r="M413" s="428"/>
    </row>
    <row r="414" spans="1:13">
      <c r="A414" s="637">
        <v>20130101</v>
      </c>
      <c r="B414" s="639" t="s">
        <v>1035</v>
      </c>
      <c r="C414" s="639" t="s">
        <v>392</v>
      </c>
      <c r="D414" s="640" t="str">
        <f t="shared" si="23"/>
        <v>20130101KUUM_475</v>
      </c>
      <c r="E414" s="690">
        <v>23.4</v>
      </c>
      <c r="F414" s="447">
        <v>1884</v>
      </c>
      <c r="G414" s="641">
        <v>0.08</v>
      </c>
      <c r="H414" s="641">
        <v>4.18</v>
      </c>
      <c r="I414" s="641">
        <f t="shared" si="24"/>
        <v>19.14</v>
      </c>
      <c r="J414" s="428" t="s">
        <v>301</v>
      </c>
      <c r="K414" s="428"/>
      <c r="L414" s="428"/>
      <c r="M414" s="428"/>
    </row>
    <row r="415" spans="1:13">
      <c r="A415" s="637">
        <v>20130101</v>
      </c>
      <c r="B415" s="639" t="s">
        <v>1035</v>
      </c>
      <c r="C415" s="639" t="s">
        <v>390</v>
      </c>
      <c r="D415" s="640" t="str">
        <f t="shared" si="23"/>
        <v>20130101KUUM_476</v>
      </c>
      <c r="E415" s="690">
        <v>16.34</v>
      </c>
      <c r="F415" s="447">
        <v>332</v>
      </c>
      <c r="G415" s="641">
        <v>0.04</v>
      </c>
      <c r="H415" s="641">
        <v>0.74</v>
      </c>
      <c r="I415" s="641">
        <f>E415-G415-H415</f>
        <v>15.56</v>
      </c>
      <c r="J415" s="428" t="s">
        <v>299</v>
      </c>
      <c r="K415" s="428"/>
      <c r="L415" s="428"/>
      <c r="M415" s="428"/>
    </row>
    <row r="416" spans="1:13">
      <c r="A416" s="637">
        <v>20130101</v>
      </c>
      <c r="B416" s="639" t="s">
        <v>1035</v>
      </c>
      <c r="C416" s="639" t="s">
        <v>414</v>
      </c>
      <c r="D416" s="640" t="str">
        <f t="shared" si="23"/>
        <v>20130101KUUM_477</v>
      </c>
      <c r="E416" s="690">
        <v>20.57</v>
      </c>
      <c r="F416" s="447">
        <v>468</v>
      </c>
      <c r="G416" s="641">
        <v>0.03</v>
      </c>
      <c r="H416" s="641">
        <v>1.04</v>
      </c>
      <c r="I416" s="641">
        <f t="shared" ref="I416:I430" si="25">E416-G416-H416</f>
        <v>19.5</v>
      </c>
      <c r="J416" s="428" t="s">
        <v>323</v>
      </c>
      <c r="K416" s="428"/>
      <c r="L416" s="428"/>
      <c r="M416" s="428"/>
    </row>
    <row r="417" spans="1:13">
      <c r="A417" s="637">
        <v>20130101</v>
      </c>
      <c r="B417" s="639" t="s">
        <v>1035</v>
      </c>
      <c r="C417" s="639" t="s">
        <v>364</v>
      </c>
      <c r="D417" s="640" t="str">
        <f t="shared" si="23"/>
        <v>20130101KUUM_478</v>
      </c>
      <c r="E417" s="690">
        <v>26.16</v>
      </c>
      <c r="F417" s="447">
        <v>968</v>
      </c>
      <c r="G417" s="641">
        <v>0.06</v>
      </c>
      <c r="H417" s="641">
        <v>2.15</v>
      </c>
      <c r="I417" s="641">
        <f t="shared" si="25"/>
        <v>23.950000000000003</v>
      </c>
      <c r="J417" s="428" t="s">
        <v>273</v>
      </c>
      <c r="K417" s="428"/>
      <c r="L417" s="428"/>
      <c r="M417" s="428"/>
    </row>
    <row r="418" spans="1:13">
      <c r="A418" s="637">
        <v>20130101</v>
      </c>
      <c r="B418" s="639" t="s">
        <v>1035</v>
      </c>
      <c r="C418" s="639" t="s">
        <v>396</v>
      </c>
      <c r="D418" s="640" t="str">
        <f t="shared" si="23"/>
        <v>20130101KUUM_479</v>
      </c>
      <c r="E418" s="690">
        <v>32.06</v>
      </c>
      <c r="F418" s="447">
        <v>1884</v>
      </c>
      <c r="G418" s="641">
        <v>0.08</v>
      </c>
      <c r="H418" s="641">
        <v>4.18</v>
      </c>
      <c r="I418" s="641">
        <f t="shared" si="25"/>
        <v>27.800000000000004</v>
      </c>
      <c r="J418" s="428" t="s">
        <v>305</v>
      </c>
      <c r="K418" s="428"/>
      <c r="L418" s="428"/>
      <c r="M418" s="428"/>
    </row>
    <row r="419" spans="1:13">
      <c r="A419" s="637">
        <v>20130101</v>
      </c>
      <c r="B419" s="639"/>
      <c r="C419" s="639" t="s">
        <v>378</v>
      </c>
      <c r="D419" s="640" t="str">
        <f t="shared" si="23"/>
        <v>20130101KUUM_480</v>
      </c>
      <c r="E419" s="690"/>
      <c r="F419" s="447">
        <v>240</v>
      </c>
      <c r="G419" s="641">
        <v>0.03</v>
      </c>
      <c r="H419" s="641">
        <v>0.53</v>
      </c>
      <c r="I419" s="641">
        <f t="shared" si="25"/>
        <v>-0.56000000000000005</v>
      </c>
      <c r="J419" s="428" t="s">
        <v>287</v>
      </c>
      <c r="K419" s="428"/>
      <c r="L419" s="428"/>
      <c r="M419" s="428"/>
    </row>
    <row r="420" spans="1:13">
      <c r="A420" s="637">
        <v>20130101</v>
      </c>
      <c r="B420" s="639"/>
      <c r="C420" s="639" t="s">
        <v>388</v>
      </c>
      <c r="D420" s="640" t="str">
        <f t="shared" si="23"/>
        <v>20130101KUUM_481</v>
      </c>
      <c r="E420" s="690"/>
      <c r="F420" s="447">
        <v>332</v>
      </c>
      <c r="G420" s="641">
        <v>0.04</v>
      </c>
      <c r="H420" s="641">
        <v>0.74</v>
      </c>
      <c r="I420" s="641">
        <f t="shared" si="25"/>
        <v>-0.78</v>
      </c>
      <c r="J420" s="428" t="s">
        <v>297</v>
      </c>
      <c r="K420" s="428"/>
      <c r="L420" s="428"/>
      <c r="M420" s="428"/>
    </row>
    <row r="421" spans="1:13">
      <c r="A421" s="637">
        <v>20130101</v>
      </c>
      <c r="B421" s="639" t="s">
        <v>1035</v>
      </c>
      <c r="C421" s="639" t="s">
        <v>411</v>
      </c>
      <c r="D421" s="640" t="str">
        <f t="shared" si="23"/>
        <v>20130101KUUM_482</v>
      </c>
      <c r="E421" s="690">
        <v>10.76</v>
      </c>
      <c r="F421" s="447">
        <v>468</v>
      </c>
      <c r="G421" s="641">
        <v>0.03</v>
      </c>
      <c r="H421" s="641">
        <v>1.04</v>
      </c>
      <c r="I421" s="641">
        <f t="shared" si="25"/>
        <v>9.6900000000000013</v>
      </c>
      <c r="J421" s="428" t="s">
        <v>320</v>
      </c>
      <c r="K421" s="428"/>
      <c r="L421" s="428"/>
      <c r="M421" s="428"/>
    </row>
    <row r="422" spans="1:13">
      <c r="A422" s="637">
        <v>20130101</v>
      </c>
      <c r="B422" s="639" t="s">
        <v>1035</v>
      </c>
      <c r="C422" s="450" t="s">
        <v>439</v>
      </c>
      <c r="D422" s="640" t="str">
        <f t="shared" si="23"/>
        <v>20130101KUUM_483</v>
      </c>
      <c r="E422" s="690">
        <v>16.34</v>
      </c>
      <c r="F422" s="447">
        <v>332</v>
      </c>
      <c r="G422" s="641">
        <v>0.04</v>
      </c>
      <c r="H422" s="641">
        <v>0.74</v>
      </c>
      <c r="I422" s="641">
        <f t="shared" si="25"/>
        <v>15.56</v>
      </c>
      <c r="J422" s="691" t="s">
        <v>417</v>
      </c>
      <c r="K422" s="428"/>
      <c r="L422" s="428"/>
      <c r="M422" s="428"/>
    </row>
    <row r="423" spans="1:13">
      <c r="A423" s="637">
        <v>20130101</v>
      </c>
      <c r="B423" s="639" t="s">
        <v>1035</v>
      </c>
      <c r="C423" s="639" t="s">
        <v>413</v>
      </c>
      <c r="D423" s="640" t="str">
        <f t="shared" si="23"/>
        <v>20130101KUUM_484</v>
      </c>
      <c r="E423" s="690">
        <v>20.57</v>
      </c>
      <c r="F423" s="447">
        <v>468</v>
      </c>
      <c r="G423" s="641">
        <v>0.03</v>
      </c>
      <c r="H423" s="641">
        <v>1.04</v>
      </c>
      <c r="I423" s="641">
        <f t="shared" si="25"/>
        <v>19.5</v>
      </c>
      <c r="J423" s="428" t="s">
        <v>322</v>
      </c>
      <c r="K423" s="428"/>
      <c r="L423" s="428"/>
      <c r="M423" s="428"/>
    </row>
    <row r="424" spans="1:13">
      <c r="A424" s="637">
        <v>20130101</v>
      </c>
      <c r="B424" s="639" t="s">
        <v>1035</v>
      </c>
      <c r="C424" s="639" t="s">
        <v>363</v>
      </c>
      <c r="D424" s="640" t="str">
        <f t="shared" si="23"/>
        <v>20130101KUUM_485</v>
      </c>
      <c r="E424" s="690">
        <v>26.16</v>
      </c>
      <c r="F424" s="447">
        <v>968</v>
      </c>
      <c r="G424" s="641">
        <v>0.06</v>
      </c>
      <c r="H424" s="641">
        <v>2.15</v>
      </c>
      <c r="I424" s="641">
        <f t="shared" si="25"/>
        <v>23.950000000000003</v>
      </c>
      <c r="J424" s="428" t="s">
        <v>272</v>
      </c>
      <c r="K424" s="428"/>
      <c r="L424" s="428"/>
      <c r="M424" s="428"/>
    </row>
    <row r="425" spans="1:13">
      <c r="A425" s="637">
        <v>20130101</v>
      </c>
      <c r="B425" s="639" t="s">
        <v>1035</v>
      </c>
      <c r="C425" s="639" t="s">
        <v>395</v>
      </c>
      <c r="D425" s="640" t="str">
        <f t="shared" si="23"/>
        <v>20130101KUUM_486</v>
      </c>
      <c r="E425" s="690">
        <v>32.06</v>
      </c>
      <c r="F425" s="447">
        <v>1884</v>
      </c>
      <c r="G425" s="641">
        <v>0.08</v>
      </c>
      <c r="H425" s="641">
        <v>4.18</v>
      </c>
      <c r="I425" s="641">
        <f t="shared" si="25"/>
        <v>27.800000000000004</v>
      </c>
      <c r="J425" s="428" t="s">
        <v>304</v>
      </c>
      <c r="K425" s="428"/>
      <c r="L425" s="428"/>
      <c r="M425" s="428"/>
    </row>
    <row r="426" spans="1:13">
      <c r="A426" s="637">
        <v>20130101</v>
      </c>
      <c r="B426" s="639" t="s">
        <v>1035</v>
      </c>
      <c r="C426" s="639" t="s">
        <v>415</v>
      </c>
      <c r="D426" s="640" t="str">
        <f t="shared" si="23"/>
        <v>20130101KUUM_487</v>
      </c>
      <c r="E426" s="690">
        <v>8.6</v>
      </c>
      <c r="F426" s="447">
        <v>468</v>
      </c>
      <c r="G426" s="641">
        <v>0.03</v>
      </c>
      <c r="H426" s="641">
        <v>1.04</v>
      </c>
      <c r="I426" s="641">
        <f t="shared" si="25"/>
        <v>7.53</v>
      </c>
      <c r="J426" s="428" t="s">
        <v>324</v>
      </c>
      <c r="K426" s="428"/>
      <c r="L426" s="428"/>
      <c r="M426" s="428"/>
    </row>
    <row r="427" spans="1:13">
      <c r="A427" s="637">
        <v>20130101</v>
      </c>
      <c r="B427" s="639" t="s">
        <v>1035</v>
      </c>
      <c r="C427" s="639" t="s">
        <v>365</v>
      </c>
      <c r="D427" s="640" t="str">
        <f t="shared" ref="D427:D468" si="26">A427&amp;C427</f>
        <v>20130101KUUM_488</v>
      </c>
      <c r="E427" s="690">
        <v>12.94</v>
      </c>
      <c r="F427" s="447">
        <v>968</v>
      </c>
      <c r="G427" s="641">
        <v>0.06</v>
      </c>
      <c r="H427" s="641">
        <v>2.15</v>
      </c>
      <c r="I427" s="641">
        <f t="shared" si="25"/>
        <v>10.729999999999999</v>
      </c>
      <c r="J427" s="428" t="s">
        <v>274</v>
      </c>
      <c r="K427" s="428"/>
      <c r="L427" s="428"/>
      <c r="M427" s="428"/>
    </row>
    <row r="428" spans="1:13">
      <c r="A428" s="637">
        <v>20130101</v>
      </c>
      <c r="B428" s="639" t="s">
        <v>1035</v>
      </c>
      <c r="C428" s="639" t="s">
        <v>397</v>
      </c>
      <c r="D428" s="640" t="str">
        <f t="shared" si="26"/>
        <v>20130101KUUM_489</v>
      </c>
      <c r="E428" s="690">
        <v>18.399999999999999</v>
      </c>
      <c r="F428" s="447">
        <v>1884</v>
      </c>
      <c r="G428" s="641">
        <v>0.08</v>
      </c>
      <c r="H428" s="641">
        <v>4.18</v>
      </c>
      <c r="I428" s="641">
        <f t="shared" si="25"/>
        <v>14.14</v>
      </c>
      <c r="J428" s="428" t="s">
        <v>306</v>
      </c>
      <c r="K428" s="428"/>
      <c r="L428" s="428"/>
      <c r="M428" s="428"/>
    </row>
    <row r="429" spans="1:13">
      <c r="A429" s="637">
        <v>20130101</v>
      </c>
      <c r="B429" s="639" t="s">
        <v>1035</v>
      </c>
      <c r="C429" s="639" t="s">
        <v>337</v>
      </c>
      <c r="D429" s="640" t="str">
        <f t="shared" si="26"/>
        <v>20130101KUUM_490</v>
      </c>
      <c r="E429" s="690">
        <v>14.77</v>
      </c>
      <c r="F429" s="447">
        <v>600</v>
      </c>
      <c r="G429" s="641">
        <v>7.0000000000000007E-2</v>
      </c>
      <c r="H429" s="641">
        <v>1.86</v>
      </c>
      <c r="I429" s="641">
        <f t="shared" si="25"/>
        <v>12.84</v>
      </c>
      <c r="J429" s="428" t="s">
        <v>246</v>
      </c>
      <c r="K429" s="428"/>
      <c r="L429" s="428"/>
      <c r="M429" s="428"/>
    </row>
    <row r="430" spans="1:13">
      <c r="A430" s="637">
        <v>20130101</v>
      </c>
      <c r="B430" s="639" t="s">
        <v>1035</v>
      </c>
      <c r="C430" s="639" t="s">
        <v>369</v>
      </c>
      <c r="D430" s="640" t="str">
        <f t="shared" si="26"/>
        <v>20130101KUUM_491</v>
      </c>
      <c r="E430" s="690">
        <v>20.91</v>
      </c>
      <c r="F430" s="447">
        <v>1400</v>
      </c>
      <c r="G430" s="641">
        <v>0.08</v>
      </c>
      <c r="H430" s="641">
        <v>4.03</v>
      </c>
      <c r="I430" s="641">
        <f t="shared" si="25"/>
        <v>16.8</v>
      </c>
      <c r="J430" s="428" t="s">
        <v>278</v>
      </c>
      <c r="K430" s="428"/>
      <c r="L430" s="428"/>
      <c r="M430" s="428"/>
    </row>
    <row r="431" spans="1:13">
      <c r="A431" s="637">
        <v>20130101</v>
      </c>
      <c r="B431" s="639" t="s">
        <v>1035</v>
      </c>
      <c r="C431" s="450" t="s">
        <v>715</v>
      </c>
      <c r="D431" s="640" t="str">
        <f t="shared" si="26"/>
        <v>20130101KUUM_492</v>
      </c>
      <c r="E431" s="641">
        <v>14.92</v>
      </c>
      <c r="F431" s="447">
        <v>332</v>
      </c>
      <c r="G431" s="641">
        <v>0.04</v>
      </c>
      <c r="H431" s="641">
        <v>0.74</v>
      </c>
      <c r="I431" s="641">
        <f>E431-G431-H431</f>
        <v>14.14</v>
      </c>
      <c r="J431" s="691" t="s">
        <v>681</v>
      </c>
      <c r="K431" s="428"/>
      <c r="L431" s="428"/>
      <c r="M431" s="428"/>
    </row>
    <row r="432" spans="1:13">
      <c r="A432" s="637">
        <v>20130101</v>
      </c>
      <c r="B432" s="639" t="s">
        <v>1035</v>
      </c>
      <c r="C432" s="639" t="s">
        <v>332</v>
      </c>
      <c r="D432" s="640" t="str">
        <f t="shared" si="26"/>
        <v>20130101KUUM_493</v>
      </c>
      <c r="E432" s="690">
        <v>43.35</v>
      </c>
      <c r="F432" s="447">
        <v>4320</v>
      </c>
      <c r="G432" s="641">
        <v>0.16</v>
      </c>
      <c r="H432" s="641">
        <v>9.6</v>
      </c>
      <c r="I432" s="641">
        <f t="shared" ref="I432:I438" si="27">E432-G432-H432</f>
        <v>33.590000000000003</v>
      </c>
      <c r="J432" s="428" t="s">
        <v>241</v>
      </c>
      <c r="K432" s="428"/>
      <c r="L432" s="428"/>
      <c r="M432" s="428"/>
    </row>
    <row r="433" spans="1:13">
      <c r="A433" s="637">
        <v>20130101</v>
      </c>
      <c r="B433" s="639" t="s">
        <v>1035</v>
      </c>
      <c r="C433" s="639" t="s">
        <v>334</v>
      </c>
      <c r="D433" s="640" t="str">
        <f t="shared" si="26"/>
        <v>20130101KUUM_494</v>
      </c>
      <c r="E433" s="690">
        <v>27.67</v>
      </c>
      <c r="F433" s="447">
        <v>600</v>
      </c>
      <c r="G433" s="641">
        <v>7.0000000000000007E-2</v>
      </c>
      <c r="H433" s="641">
        <v>1.86</v>
      </c>
      <c r="I433" s="641">
        <f t="shared" si="27"/>
        <v>25.740000000000002</v>
      </c>
      <c r="J433" s="428" t="s">
        <v>243</v>
      </c>
      <c r="K433" s="428"/>
      <c r="L433" s="428"/>
      <c r="M433" s="428"/>
    </row>
    <row r="434" spans="1:13">
      <c r="A434" s="637">
        <v>20130101</v>
      </c>
      <c r="B434" s="639" t="s">
        <v>1035</v>
      </c>
      <c r="C434" s="639" t="s">
        <v>366</v>
      </c>
      <c r="D434" s="640" t="str">
        <f t="shared" si="26"/>
        <v>20130101KUUM_495</v>
      </c>
      <c r="E434" s="690">
        <v>33.81</v>
      </c>
      <c r="F434" s="447">
        <v>1400</v>
      </c>
      <c r="G434" s="641">
        <v>0.08</v>
      </c>
      <c r="H434" s="641">
        <v>4.03</v>
      </c>
      <c r="I434" s="641">
        <f t="shared" si="27"/>
        <v>29.700000000000003</v>
      </c>
      <c r="J434" s="428" t="s">
        <v>275</v>
      </c>
      <c r="K434" s="428"/>
      <c r="L434" s="428"/>
      <c r="M434" s="428"/>
    </row>
    <row r="435" spans="1:13">
      <c r="A435" s="637">
        <v>20130101</v>
      </c>
      <c r="B435" s="639" t="s">
        <v>1035</v>
      </c>
      <c r="C435" s="639" t="s">
        <v>329</v>
      </c>
      <c r="D435" s="640" t="str">
        <f t="shared" si="26"/>
        <v>20130101KUUM_496</v>
      </c>
      <c r="E435" s="690">
        <v>56.24</v>
      </c>
      <c r="F435" s="447">
        <v>4320</v>
      </c>
      <c r="G435" s="641">
        <v>0.16</v>
      </c>
      <c r="H435" s="641">
        <v>9.6</v>
      </c>
      <c r="I435" s="641">
        <f t="shared" si="27"/>
        <v>46.480000000000004</v>
      </c>
      <c r="J435" s="641" t="s">
        <v>238</v>
      </c>
      <c r="K435" s="428"/>
      <c r="L435" s="428"/>
      <c r="M435" s="428"/>
    </row>
    <row r="436" spans="1:13">
      <c r="A436" s="637">
        <v>20130101</v>
      </c>
      <c r="B436" s="639" t="s">
        <v>1035</v>
      </c>
      <c r="C436" s="450" t="s">
        <v>683</v>
      </c>
      <c r="D436" s="640" t="str">
        <f t="shared" si="26"/>
        <v>20130101KUUM_497</v>
      </c>
      <c r="E436" s="690">
        <v>14.95</v>
      </c>
      <c r="F436" s="447">
        <v>468</v>
      </c>
      <c r="G436" s="641">
        <v>0.03</v>
      </c>
      <c r="H436" s="641">
        <v>1.04</v>
      </c>
      <c r="I436" s="641">
        <f t="shared" si="27"/>
        <v>13.879999999999999</v>
      </c>
      <c r="J436" s="691" t="s">
        <v>429</v>
      </c>
      <c r="K436" s="428"/>
      <c r="L436" s="428"/>
      <c r="M436" s="428"/>
    </row>
    <row r="437" spans="1:13">
      <c r="A437" s="637">
        <v>20130101</v>
      </c>
      <c r="B437" s="639" t="s">
        <v>1035</v>
      </c>
      <c r="C437" s="450" t="s">
        <v>463</v>
      </c>
      <c r="D437" s="640" t="str">
        <f t="shared" si="26"/>
        <v>20130101KUUM_498</v>
      </c>
      <c r="E437" s="690">
        <v>17.02</v>
      </c>
      <c r="F437" s="447">
        <v>968</v>
      </c>
      <c r="G437" s="641">
        <v>0.06</v>
      </c>
      <c r="H437" s="641">
        <v>2.15</v>
      </c>
      <c r="I437" s="641">
        <f t="shared" si="27"/>
        <v>14.81</v>
      </c>
      <c r="J437" s="699" t="s">
        <v>680</v>
      </c>
      <c r="K437" s="428"/>
      <c r="L437" s="428"/>
      <c r="M437" s="428"/>
    </row>
    <row r="438" spans="1:13">
      <c r="A438" s="637">
        <v>20130101</v>
      </c>
      <c r="B438" s="639" t="s">
        <v>1035</v>
      </c>
      <c r="C438" s="450" t="s">
        <v>653</v>
      </c>
      <c r="D438" s="640" t="str">
        <f t="shared" si="26"/>
        <v>20130101KUUM_499</v>
      </c>
      <c r="E438" s="690">
        <v>20.43</v>
      </c>
      <c r="F438" s="447">
        <v>1884</v>
      </c>
      <c r="G438" s="641">
        <v>0.08</v>
      </c>
      <c r="H438" s="641">
        <v>4.18</v>
      </c>
      <c r="I438" s="641">
        <f t="shared" si="27"/>
        <v>16.170000000000002</v>
      </c>
      <c r="J438" s="691" t="s">
        <v>430</v>
      </c>
      <c r="K438" s="428"/>
      <c r="L438" s="428"/>
      <c r="M438" s="428"/>
    </row>
    <row r="439" spans="1:13">
      <c r="A439" s="645">
        <v>20130701</v>
      </c>
      <c r="B439" s="647" t="s">
        <v>1035</v>
      </c>
      <c r="C439" s="651" t="s">
        <v>432</v>
      </c>
      <c r="D439" s="648" t="str">
        <f t="shared" si="26"/>
        <v>20130701KUUM_300</v>
      </c>
      <c r="E439" s="700">
        <v>22.19</v>
      </c>
      <c r="F439" s="701">
        <v>200</v>
      </c>
      <c r="G439" s="649">
        <v>0.03</v>
      </c>
      <c r="H439" s="649">
        <v>0.58000000000000185</v>
      </c>
      <c r="I439" s="649">
        <f>E439-G439-H439</f>
        <v>21.58</v>
      </c>
      <c r="J439" s="702" t="s">
        <v>434</v>
      </c>
      <c r="K439" s="649"/>
      <c r="L439" s="649"/>
      <c r="M439" s="649"/>
    </row>
    <row r="440" spans="1:13">
      <c r="A440" s="645">
        <v>20130701</v>
      </c>
      <c r="B440" s="647" t="s">
        <v>1035</v>
      </c>
      <c r="C440" s="651" t="s">
        <v>433</v>
      </c>
      <c r="D440" s="648" t="str">
        <f t="shared" si="26"/>
        <v>20130701KUUM_301</v>
      </c>
      <c r="E440" s="700">
        <v>23.19</v>
      </c>
      <c r="F440" s="701">
        <v>400</v>
      </c>
      <c r="G440" s="649">
        <v>0.03</v>
      </c>
      <c r="H440" s="649">
        <v>1.129999999999999</v>
      </c>
      <c r="I440" s="649">
        <f t="shared" ref="I440:I504" si="28">E440-G440-H440</f>
        <v>22.03</v>
      </c>
      <c r="J440" s="703" t="s">
        <v>435</v>
      </c>
      <c r="K440" s="649"/>
      <c r="L440" s="649"/>
      <c r="M440" s="649"/>
    </row>
    <row r="441" spans="1:13">
      <c r="A441" s="645">
        <v>20130701</v>
      </c>
      <c r="B441" s="647" t="s">
        <v>1035</v>
      </c>
      <c r="C441" s="647" t="s">
        <v>339</v>
      </c>
      <c r="D441" s="648" t="str">
        <f t="shared" si="26"/>
        <v>20130701KUUM_360</v>
      </c>
      <c r="E441" s="700">
        <v>53.15</v>
      </c>
      <c r="F441" s="701">
        <v>724</v>
      </c>
      <c r="G441" s="649">
        <v>0.23</v>
      </c>
      <c r="H441" s="649">
        <v>1.75</v>
      </c>
      <c r="I441" s="649">
        <f t="shared" si="28"/>
        <v>51.17</v>
      </c>
      <c r="J441" s="702" t="s">
        <v>248</v>
      </c>
      <c r="K441" s="649"/>
      <c r="L441" s="649"/>
      <c r="M441" s="649"/>
    </row>
    <row r="442" spans="1:13">
      <c r="A442" s="645">
        <v>20130701</v>
      </c>
      <c r="B442" s="647" t="s">
        <v>1035</v>
      </c>
      <c r="C442" s="647" t="s">
        <v>344</v>
      </c>
      <c r="D442" s="648" t="str">
        <f t="shared" si="26"/>
        <v>20130701KUUM_361</v>
      </c>
      <c r="E442" s="700">
        <v>80.98</v>
      </c>
      <c r="F442" s="701">
        <v>724</v>
      </c>
      <c r="G442" s="649">
        <v>0.23</v>
      </c>
      <c r="H442" s="649">
        <v>1.75</v>
      </c>
      <c r="I442" s="649">
        <f t="shared" si="28"/>
        <v>79</v>
      </c>
      <c r="J442" s="702" t="s">
        <v>253</v>
      </c>
      <c r="K442" s="649"/>
      <c r="L442" s="649"/>
      <c r="M442" s="649"/>
    </row>
    <row r="443" spans="1:13">
      <c r="A443" s="645">
        <v>20130701</v>
      </c>
      <c r="B443" s="647" t="s">
        <v>1035</v>
      </c>
      <c r="C443" s="647" t="s">
        <v>347</v>
      </c>
      <c r="D443" s="648" t="str">
        <f t="shared" si="26"/>
        <v>20130701KUUM_362</v>
      </c>
      <c r="E443" s="700">
        <v>57.6</v>
      </c>
      <c r="F443" s="701">
        <v>724</v>
      </c>
      <c r="G443" s="649">
        <v>0.23</v>
      </c>
      <c r="H443" s="649">
        <v>1.75</v>
      </c>
      <c r="I443" s="649">
        <f t="shared" si="28"/>
        <v>55.620000000000005</v>
      </c>
      <c r="J443" s="702" t="s">
        <v>256</v>
      </c>
      <c r="K443" s="649"/>
      <c r="L443" s="649"/>
      <c r="M443" s="649"/>
    </row>
    <row r="444" spans="1:13">
      <c r="A444" s="645">
        <v>20130701</v>
      </c>
      <c r="B444" s="647" t="s">
        <v>1035</v>
      </c>
      <c r="C444" s="647" t="s">
        <v>348</v>
      </c>
      <c r="D444" s="648" t="str">
        <f t="shared" si="26"/>
        <v>20130701KUUM_363</v>
      </c>
      <c r="E444" s="700">
        <v>59.57</v>
      </c>
      <c r="F444" s="701">
        <v>724</v>
      </c>
      <c r="G444" s="649">
        <v>0.23</v>
      </c>
      <c r="H444" s="649">
        <v>1.75</v>
      </c>
      <c r="I444" s="649">
        <f t="shared" si="28"/>
        <v>57.59</v>
      </c>
      <c r="J444" s="702" t="s">
        <v>257</v>
      </c>
      <c r="K444" s="702"/>
      <c r="L444" s="702"/>
      <c r="M444" s="702"/>
    </row>
    <row r="445" spans="1:13">
      <c r="A445" s="645">
        <v>20130701</v>
      </c>
      <c r="B445" s="647" t="s">
        <v>1035</v>
      </c>
      <c r="C445" s="647" t="s">
        <v>349</v>
      </c>
      <c r="D445" s="648" t="str">
        <f t="shared" si="26"/>
        <v>20130701KUUM_364</v>
      </c>
      <c r="E445" s="700">
        <v>60.93</v>
      </c>
      <c r="F445" s="701">
        <v>724</v>
      </c>
      <c r="G445" s="649">
        <v>0.23</v>
      </c>
      <c r="H445" s="649">
        <v>1.75</v>
      </c>
      <c r="I445" s="649">
        <f t="shared" si="28"/>
        <v>58.95</v>
      </c>
      <c r="J445" s="702" t="s">
        <v>258</v>
      </c>
      <c r="K445" s="702"/>
      <c r="L445" s="702"/>
      <c r="M445" s="702"/>
    </row>
    <row r="446" spans="1:13">
      <c r="A446" s="645">
        <v>20130701</v>
      </c>
      <c r="B446" s="647" t="s">
        <v>1035</v>
      </c>
      <c r="C446" s="647" t="s">
        <v>351</v>
      </c>
      <c r="D446" s="648" t="str">
        <f t="shared" si="26"/>
        <v>20130701KUUM_365</v>
      </c>
      <c r="E446" s="700">
        <v>78.760000000000005</v>
      </c>
      <c r="F446" s="701">
        <v>724</v>
      </c>
      <c r="G446" s="649">
        <v>0.23</v>
      </c>
      <c r="H446" s="649">
        <v>1.75</v>
      </c>
      <c r="I446" s="649">
        <f t="shared" si="28"/>
        <v>76.78</v>
      </c>
      <c r="J446" s="702" t="s">
        <v>260</v>
      </c>
      <c r="K446" s="702"/>
      <c r="L446" s="702"/>
      <c r="M446" s="702"/>
    </row>
    <row r="447" spans="1:13">
      <c r="A447" s="645">
        <v>20130701</v>
      </c>
      <c r="B447" s="647" t="s">
        <v>1035</v>
      </c>
      <c r="C447" s="647" t="s">
        <v>352</v>
      </c>
      <c r="D447" s="648" t="str">
        <f t="shared" si="26"/>
        <v>20130701KUUM_366</v>
      </c>
      <c r="E447" s="700">
        <v>76.790000000000006</v>
      </c>
      <c r="F447" s="701">
        <v>724</v>
      </c>
      <c r="G447" s="649">
        <v>0.23</v>
      </c>
      <c r="H447" s="649">
        <v>1.75</v>
      </c>
      <c r="I447" s="649">
        <f t="shared" si="28"/>
        <v>74.81</v>
      </c>
      <c r="J447" s="702" t="s">
        <v>261</v>
      </c>
      <c r="K447" s="702"/>
      <c r="L447" s="702"/>
      <c r="M447" s="702"/>
    </row>
    <row r="448" spans="1:13">
      <c r="A448" s="645">
        <v>20130701</v>
      </c>
      <c r="B448" s="647" t="s">
        <v>1035</v>
      </c>
      <c r="C448" s="647" t="s">
        <v>354</v>
      </c>
      <c r="D448" s="648" t="str">
        <f t="shared" si="26"/>
        <v>20130701KUUM_367</v>
      </c>
      <c r="E448" s="700">
        <v>59.050000000000004</v>
      </c>
      <c r="F448" s="701">
        <v>724</v>
      </c>
      <c r="G448" s="649">
        <v>0.23</v>
      </c>
      <c r="H448" s="649">
        <v>1.75</v>
      </c>
      <c r="I448" s="649">
        <f t="shared" si="28"/>
        <v>57.070000000000007</v>
      </c>
      <c r="J448" s="702" t="s">
        <v>263</v>
      </c>
      <c r="K448" s="702"/>
      <c r="L448" s="702"/>
      <c r="M448" s="702"/>
    </row>
    <row r="449" spans="1:13">
      <c r="A449" s="645">
        <v>20130701</v>
      </c>
      <c r="B449" s="647" t="s">
        <v>1035</v>
      </c>
      <c r="C449" s="647" t="s">
        <v>355</v>
      </c>
      <c r="D449" s="648" t="str">
        <f t="shared" si="26"/>
        <v>20130701KUUM_368</v>
      </c>
      <c r="E449" s="700">
        <v>54.51</v>
      </c>
      <c r="F449" s="701">
        <v>724</v>
      </c>
      <c r="G449" s="649">
        <v>0.23</v>
      </c>
      <c r="H449" s="649">
        <v>1.75</v>
      </c>
      <c r="I449" s="649">
        <f t="shared" si="28"/>
        <v>52.53</v>
      </c>
      <c r="J449" s="702" t="s">
        <v>264</v>
      </c>
      <c r="K449" s="702"/>
      <c r="L449" s="702"/>
      <c r="M449" s="702"/>
    </row>
    <row r="450" spans="1:13">
      <c r="A450" s="645">
        <v>20130701</v>
      </c>
      <c r="B450" s="647" t="s">
        <v>1035</v>
      </c>
      <c r="C450" s="647" t="s">
        <v>341</v>
      </c>
      <c r="D450" s="648" t="str">
        <f t="shared" si="26"/>
        <v>20130701KUUM_370</v>
      </c>
      <c r="E450" s="700">
        <v>72.34</v>
      </c>
      <c r="F450" s="701">
        <v>724</v>
      </c>
      <c r="G450" s="649">
        <v>0.23</v>
      </c>
      <c r="H450" s="649">
        <v>1.75</v>
      </c>
      <c r="I450" s="649">
        <f t="shared" si="28"/>
        <v>70.36</v>
      </c>
      <c r="J450" s="702" t="s">
        <v>250</v>
      </c>
      <c r="K450" s="702"/>
      <c r="L450" s="702"/>
      <c r="M450" s="702"/>
    </row>
    <row r="451" spans="1:13">
      <c r="A451" s="645">
        <v>20130701</v>
      </c>
      <c r="B451" s="647" t="s">
        <v>1035</v>
      </c>
      <c r="C451" s="651" t="s">
        <v>631</v>
      </c>
      <c r="D451" s="648" t="str">
        <f t="shared" si="26"/>
        <v>20130701KUUM_371</v>
      </c>
      <c r="E451" s="700">
        <v>100.17</v>
      </c>
      <c r="F451" s="701">
        <v>724</v>
      </c>
      <c r="G451" s="649">
        <v>0.23</v>
      </c>
      <c r="H451" s="649">
        <v>1.75</v>
      </c>
      <c r="I451" s="649">
        <f t="shared" si="28"/>
        <v>98.19</v>
      </c>
      <c r="J451" s="703" t="s">
        <v>1056</v>
      </c>
      <c r="K451" s="702"/>
      <c r="L451" s="702"/>
      <c r="M451" s="702"/>
    </row>
    <row r="452" spans="1:13">
      <c r="A452" s="645">
        <v>20130701</v>
      </c>
      <c r="B452" s="647" t="s">
        <v>1035</v>
      </c>
      <c r="C452" s="647" t="s">
        <v>350</v>
      </c>
      <c r="D452" s="648" t="str">
        <f t="shared" si="26"/>
        <v>20130701KUUM_372</v>
      </c>
      <c r="E452" s="700">
        <v>80.12</v>
      </c>
      <c r="F452" s="701">
        <v>724</v>
      </c>
      <c r="G452" s="649">
        <v>0.23</v>
      </c>
      <c r="H452" s="649">
        <v>1.75</v>
      </c>
      <c r="I452" s="649">
        <f t="shared" si="28"/>
        <v>78.14</v>
      </c>
      <c r="J452" s="702" t="s">
        <v>259</v>
      </c>
      <c r="K452" s="702"/>
      <c r="L452" s="702"/>
      <c r="M452" s="702"/>
    </row>
    <row r="453" spans="1:13">
      <c r="A453" s="645">
        <v>20130701</v>
      </c>
      <c r="B453" s="647" t="s">
        <v>1035</v>
      </c>
      <c r="C453" s="647" t="s">
        <v>342</v>
      </c>
      <c r="D453" s="648" t="str">
        <f t="shared" si="26"/>
        <v>20130701KUUM_373</v>
      </c>
      <c r="E453" s="700">
        <v>72.34</v>
      </c>
      <c r="F453" s="701">
        <v>724</v>
      </c>
      <c r="G453" s="649">
        <v>0.23</v>
      </c>
      <c r="H453" s="649">
        <v>1.75</v>
      </c>
      <c r="I453" s="649">
        <f t="shared" si="28"/>
        <v>70.36</v>
      </c>
      <c r="J453" s="702" t="s">
        <v>251</v>
      </c>
      <c r="K453" s="702"/>
      <c r="L453" s="702"/>
      <c r="M453" s="702"/>
    </row>
    <row r="454" spans="1:13">
      <c r="A454" s="645">
        <v>20130701</v>
      </c>
      <c r="B454" s="647" t="s">
        <v>1035</v>
      </c>
      <c r="C454" s="647" t="s">
        <v>346</v>
      </c>
      <c r="D454" s="648" t="str">
        <f t="shared" si="26"/>
        <v>20130701KUUM_374</v>
      </c>
      <c r="E454" s="700">
        <v>73.7</v>
      </c>
      <c r="F454" s="701">
        <v>724</v>
      </c>
      <c r="G454" s="649">
        <v>0.23</v>
      </c>
      <c r="H454" s="649">
        <v>1.75</v>
      </c>
      <c r="I454" s="649">
        <f t="shared" si="28"/>
        <v>71.72</v>
      </c>
      <c r="J454" s="702" t="s">
        <v>255</v>
      </c>
      <c r="K454" s="702"/>
      <c r="L454" s="702"/>
      <c r="M454" s="702"/>
    </row>
    <row r="455" spans="1:13">
      <c r="A455" s="645">
        <v>20130701</v>
      </c>
      <c r="B455" s="647" t="s">
        <v>1035</v>
      </c>
      <c r="C455" s="647" t="s">
        <v>353</v>
      </c>
      <c r="D455" s="648" t="str">
        <f t="shared" si="26"/>
        <v>20130701KUUM_375</v>
      </c>
      <c r="E455" s="700">
        <v>76.790000000000006</v>
      </c>
      <c r="F455" s="701">
        <v>724</v>
      </c>
      <c r="G455" s="649">
        <v>0.23</v>
      </c>
      <c r="H455" s="649">
        <v>1.75</v>
      </c>
      <c r="I455" s="649">
        <f t="shared" si="28"/>
        <v>74.81</v>
      </c>
      <c r="J455" s="702" t="s">
        <v>262</v>
      </c>
      <c r="K455" s="702"/>
      <c r="L455" s="702"/>
      <c r="M455" s="702"/>
    </row>
    <row r="456" spans="1:13">
      <c r="A456" s="645">
        <v>20130701</v>
      </c>
      <c r="B456" s="647" t="s">
        <v>1035</v>
      </c>
      <c r="C456" s="647" t="s">
        <v>345</v>
      </c>
      <c r="D456" s="648" t="str">
        <f t="shared" si="26"/>
        <v>20130701KUUM_376</v>
      </c>
      <c r="E456" s="700">
        <v>75.08</v>
      </c>
      <c r="F456" s="701">
        <v>724</v>
      </c>
      <c r="G456" s="649">
        <v>0.23</v>
      </c>
      <c r="H456" s="649">
        <v>1.75</v>
      </c>
      <c r="I456" s="649">
        <f t="shared" si="28"/>
        <v>73.099999999999994</v>
      </c>
      <c r="J456" s="702" t="s">
        <v>254</v>
      </c>
      <c r="K456" s="702"/>
      <c r="L456" s="702"/>
      <c r="M456" s="702"/>
    </row>
    <row r="457" spans="1:13">
      <c r="A457" s="645">
        <v>20130701</v>
      </c>
      <c r="B457" s="647" t="s">
        <v>1035</v>
      </c>
      <c r="C457" s="647" t="s">
        <v>343</v>
      </c>
      <c r="D457" s="648" t="str">
        <f t="shared" si="26"/>
        <v>20130701KUUM_377</v>
      </c>
      <c r="E457" s="700">
        <v>62.01</v>
      </c>
      <c r="F457" s="701">
        <v>724</v>
      </c>
      <c r="G457" s="649">
        <v>0.23</v>
      </c>
      <c r="H457" s="649">
        <v>1.75</v>
      </c>
      <c r="I457" s="649">
        <f t="shared" si="28"/>
        <v>60.03</v>
      </c>
      <c r="J457" s="702" t="s">
        <v>252</v>
      </c>
      <c r="K457" s="702"/>
      <c r="L457" s="702"/>
      <c r="M457" s="702"/>
    </row>
    <row r="458" spans="1:13">
      <c r="A458" s="645">
        <v>20130701</v>
      </c>
      <c r="B458" s="647" t="s">
        <v>1035</v>
      </c>
      <c r="C458" s="651" t="s">
        <v>472</v>
      </c>
      <c r="D458" s="648" t="str">
        <f t="shared" si="26"/>
        <v>20130701KUUM_378</v>
      </c>
      <c r="E458" s="704">
        <v>73.72</v>
      </c>
      <c r="F458" s="701">
        <v>724</v>
      </c>
      <c r="G458" s="649">
        <v>0.23</v>
      </c>
      <c r="H458" s="649">
        <v>1.75</v>
      </c>
      <c r="I458" s="649">
        <f t="shared" si="28"/>
        <v>71.739999999999995</v>
      </c>
      <c r="J458" s="703" t="s">
        <v>471</v>
      </c>
      <c r="K458" s="702"/>
      <c r="L458" s="702"/>
      <c r="M458" s="702"/>
    </row>
    <row r="459" spans="1:13">
      <c r="A459" s="645">
        <v>20130701</v>
      </c>
      <c r="B459" s="647" t="s">
        <v>1035</v>
      </c>
      <c r="C459" s="705" t="s">
        <v>645</v>
      </c>
      <c r="D459" s="706" t="str">
        <f t="shared" si="26"/>
        <v>20130701KUUM_379</v>
      </c>
      <c r="E459" s="704">
        <v>78.66</v>
      </c>
      <c r="F459" s="707">
        <v>724</v>
      </c>
      <c r="G459" s="708">
        <v>0.23</v>
      </c>
      <c r="H459" s="708">
        <v>1.75</v>
      </c>
      <c r="I459" s="649">
        <f t="shared" si="28"/>
        <v>76.679999999999993</v>
      </c>
      <c r="J459" s="709" t="s">
        <v>716</v>
      </c>
      <c r="K459" s="710"/>
      <c r="L459" s="710"/>
      <c r="M459" s="710"/>
    </row>
    <row r="460" spans="1:13">
      <c r="A460" s="645">
        <v>20130701</v>
      </c>
      <c r="B460" s="647" t="s">
        <v>1035</v>
      </c>
      <c r="C460" s="705" t="s">
        <v>646</v>
      </c>
      <c r="D460" s="706" t="str">
        <f t="shared" si="26"/>
        <v>20130701KUUM_380</v>
      </c>
      <c r="E460" s="704">
        <v>82.58</v>
      </c>
      <c r="F460" s="707">
        <v>724</v>
      </c>
      <c r="G460" s="708">
        <v>0.23</v>
      </c>
      <c r="H460" s="708">
        <v>1.75</v>
      </c>
      <c r="I460" s="649">
        <f t="shared" si="28"/>
        <v>80.599999999999994</v>
      </c>
      <c r="J460" s="709" t="s">
        <v>717</v>
      </c>
      <c r="K460" s="710"/>
      <c r="L460" s="710"/>
      <c r="M460" s="710"/>
    </row>
    <row r="461" spans="1:13">
      <c r="A461" s="645">
        <v>20130701</v>
      </c>
      <c r="B461" s="647" t="s">
        <v>1035</v>
      </c>
      <c r="C461" s="705" t="s">
        <v>647</v>
      </c>
      <c r="D461" s="706" t="str">
        <f t="shared" si="26"/>
        <v>20130701KUUM_381</v>
      </c>
      <c r="E461" s="704">
        <v>83.94</v>
      </c>
      <c r="F461" s="707">
        <v>724</v>
      </c>
      <c r="G461" s="708">
        <v>0.23</v>
      </c>
      <c r="H461" s="708">
        <v>1.75</v>
      </c>
      <c r="I461" s="649">
        <f t="shared" si="28"/>
        <v>81.96</v>
      </c>
      <c r="J461" s="709" t="s">
        <v>718</v>
      </c>
      <c r="K461" s="710"/>
      <c r="L461" s="710"/>
      <c r="M461" s="710"/>
    </row>
    <row r="462" spans="1:13">
      <c r="A462" s="645">
        <v>20130701</v>
      </c>
      <c r="B462" s="647" t="s">
        <v>1035</v>
      </c>
      <c r="C462" s="705" t="s">
        <v>648</v>
      </c>
      <c r="D462" s="706" t="str">
        <f t="shared" si="26"/>
        <v>20130701KUUM_382</v>
      </c>
      <c r="E462" s="700">
        <v>81.039999999999992</v>
      </c>
      <c r="F462" s="707">
        <v>724</v>
      </c>
      <c r="G462" s="708">
        <v>0.23</v>
      </c>
      <c r="H462" s="708">
        <v>1.75</v>
      </c>
      <c r="I462" s="649">
        <f t="shared" si="28"/>
        <v>79.059999999999988</v>
      </c>
      <c r="J462" s="709" t="s">
        <v>719</v>
      </c>
      <c r="K462" s="710"/>
      <c r="L462" s="710"/>
      <c r="M462" s="710"/>
    </row>
    <row r="463" spans="1:13">
      <c r="A463" s="645">
        <v>20130701</v>
      </c>
      <c r="B463" s="647" t="s">
        <v>1035</v>
      </c>
      <c r="C463" s="647" t="s">
        <v>340</v>
      </c>
      <c r="D463" s="648" t="str">
        <f t="shared" si="26"/>
        <v>20130701KUUM_395</v>
      </c>
      <c r="E463" s="700">
        <v>53.15</v>
      </c>
      <c r="F463" s="701">
        <v>724</v>
      </c>
      <c r="G463" s="649">
        <v>0.23</v>
      </c>
      <c r="H463" s="649">
        <v>1.75</v>
      </c>
      <c r="I463" s="649">
        <f t="shared" si="28"/>
        <v>51.17</v>
      </c>
      <c r="J463" s="702" t="s">
        <v>249</v>
      </c>
      <c r="K463" s="702"/>
      <c r="L463" s="702"/>
      <c r="M463" s="702"/>
    </row>
    <row r="464" spans="1:13">
      <c r="A464" s="645">
        <v>20130701</v>
      </c>
      <c r="B464" s="647"/>
      <c r="C464" s="651" t="s">
        <v>426</v>
      </c>
      <c r="D464" s="648" t="str">
        <f t="shared" si="26"/>
        <v>20130701KUUM_400</v>
      </c>
      <c r="E464" s="700"/>
      <c r="F464" s="701">
        <v>240</v>
      </c>
      <c r="G464" s="649"/>
      <c r="H464" s="649"/>
      <c r="I464" s="649">
        <f t="shared" si="28"/>
        <v>0</v>
      </c>
      <c r="J464" s="703" t="s">
        <v>427</v>
      </c>
      <c r="K464" s="702"/>
      <c r="L464" s="702"/>
      <c r="M464" s="702"/>
    </row>
    <row r="465" spans="1:13">
      <c r="A465" s="645">
        <v>20130701</v>
      </c>
      <c r="B465" s="647" t="s">
        <v>1035</v>
      </c>
      <c r="C465" s="647" t="s">
        <v>382</v>
      </c>
      <c r="D465" s="648" t="str">
        <f t="shared" si="26"/>
        <v>20130701KUUM_401</v>
      </c>
      <c r="E465" s="700">
        <v>14.47</v>
      </c>
      <c r="F465" s="701">
        <v>332</v>
      </c>
      <c r="G465" s="649">
        <v>0.04</v>
      </c>
      <c r="H465" s="649">
        <v>0.80000000000000071</v>
      </c>
      <c r="I465" s="649">
        <f t="shared" si="28"/>
        <v>13.63</v>
      </c>
      <c r="J465" s="702" t="s">
        <v>291</v>
      </c>
      <c r="K465" s="702"/>
      <c r="L465" s="702"/>
      <c r="M465" s="702"/>
    </row>
    <row r="466" spans="1:13">
      <c r="A466" s="645">
        <v>20130701</v>
      </c>
      <c r="B466" s="647" t="s">
        <v>1036</v>
      </c>
      <c r="C466" s="647" t="s">
        <v>402</v>
      </c>
      <c r="D466" s="648" t="str">
        <f t="shared" si="26"/>
        <v>20130701KUUM_404</v>
      </c>
      <c r="E466" s="700">
        <v>10.220000000000001</v>
      </c>
      <c r="F466" s="701">
        <v>828</v>
      </c>
      <c r="G466" s="649">
        <v>0.04</v>
      </c>
      <c r="H466" s="649">
        <v>1.9900000000000002</v>
      </c>
      <c r="I466" s="649">
        <f t="shared" si="28"/>
        <v>8.1900000000000013</v>
      </c>
      <c r="J466" s="702" t="s">
        <v>311</v>
      </c>
      <c r="K466" s="702"/>
      <c r="L466" s="702"/>
      <c r="M466" s="702"/>
    </row>
    <row r="467" spans="1:13">
      <c r="A467" s="645">
        <v>20130701</v>
      </c>
      <c r="B467" s="647" t="s">
        <v>1036</v>
      </c>
      <c r="C467" s="647" t="s">
        <v>358</v>
      </c>
      <c r="D467" s="648" t="str">
        <f t="shared" si="26"/>
        <v>20130701KUUM_405</v>
      </c>
      <c r="E467" s="700"/>
      <c r="F467" s="701">
        <v>1812</v>
      </c>
      <c r="G467" s="649"/>
      <c r="H467" s="649"/>
      <c r="I467" s="649">
        <f t="shared" si="28"/>
        <v>0</v>
      </c>
      <c r="J467" s="702" t="s">
        <v>267</v>
      </c>
      <c r="K467" s="702"/>
      <c r="L467" s="702"/>
      <c r="M467" s="702"/>
    </row>
    <row r="468" spans="1:13">
      <c r="A468" s="645">
        <v>20130701</v>
      </c>
      <c r="B468" s="647"/>
      <c r="C468" s="651" t="s">
        <v>730</v>
      </c>
      <c r="D468" s="648" t="str">
        <f t="shared" si="26"/>
        <v>20130701KUUM_406</v>
      </c>
      <c r="E468" s="700"/>
      <c r="F468" s="701">
        <v>828</v>
      </c>
      <c r="G468" s="649"/>
      <c r="H468" s="649"/>
      <c r="I468" s="649">
        <f t="shared" si="28"/>
        <v>0</v>
      </c>
      <c r="J468" s="702" t="s">
        <v>729</v>
      </c>
      <c r="K468" s="702"/>
      <c r="L468" s="702"/>
      <c r="M468" s="702"/>
    </row>
    <row r="469" spans="1:13">
      <c r="A469" s="645">
        <v>20130701</v>
      </c>
      <c r="B469" s="647" t="s">
        <v>1035</v>
      </c>
      <c r="C469" s="647" t="s">
        <v>394</v>
      </c>
      <c r="D469" s="648" t="str">
        <f>A469&amp;C469</f>
        <v>20130701KUUM_407</v>
      </c>
      <c r="E469" s="700"/>
      <c r="F469" s="701">
        <v>1884</v>
      </c>
      <c r="G469" s="649"/>
      <c r="H469" s="649"/>
      <c r="I469" s="649">
        <f t="shared" si="28"/>
        <v>0</v>
      </c>
      <c r="J469" s="702" t="s">
        <v>303</v>
      </c>
      <c r="K469" s="702"/>
      <c r="L469" s="702"/>
      <c r="M469" s="702"/>
    </row>
    <row r="470" spans="1:13">
      <c r="A470" s="645">
        <v>20130701</v>
      </c>
      <c r="B470" s="647" t="s">
        <v>1036</v>
      </c>
      <c r="C470" s="647" t="s">
        <v>359</v>
      </c>
      <c r="D470" s="648" t="str">
        <f>A470&amp;C470</f>
        <v>20130701KUUM_408</v>
      </c>
      <c r="E470" s="700"/>
      <c r="F470" s="701">
        <v>1812</v>
      </c>
      <c r="G470" s="649"/>
      <c r="H470" s="649"/>
      <c r="I470" s="649">
        <f t="shared" si="28"/>
        <v>0</v>
      </c>
      <c r="J470" s="702" t="s">
        <v>268</v>
      </c>
      <c r="K470" s="702"/>
      <c r="L470" s="702"/>
      <c r="M470" s="702"/>
    </row>
    <row r="471" spans="1:13">
      <c r="A471" s="645">
        <v>20130701</v>
      </c>
      <c r="B471" s="647" t="s">
        <v>1036</v>
      </c>
      <c r="C471" s="647" t="s">
        <v>398</v>
      </c>
      <c r="D471" s="648" t="str">
        <f>A471&amp;C471</f>
        <v>20130701KUUM_409</v>
      </c>
      <c r="E471" s="700">
        <v>11</v>
      </c>
      <c r="F471" s="701">
        <v>1884</v>
      </c>
      <c r="G471" s="649">
        <v>0.08</v>
      </c>
      <c r="H471" s="649">
        <v>4.5299999999999994</v>
      </c>
      <c r="I471" s="649">
        <f t="shared" si="28"/>
        <v>6.3900000000000006</v>
      </c>
      <c r="J471" s="702" t="s">
        <v>307</v>
      </c>
      <c r="K471" s="702"/>
      <c r="L471" s="702"/>
      <c r="M471" s="702"/>
    </row>
    <row r="472" spans="1:13">
      <c r="A472" s="645">
        <v>20130701</v>
      </c>
      <c r="B472" s="647" t="s">
        <v>1036</v>
      </c>
      <c r="C472" s="647" t="s">
        <v>376</v>
      </c>
      <c r="D472" s="648" t="str">
        <f>A472&amp;C472</f>
        <v>20130701KUUM_410</v>
      </c>
      <c r="E472" s="700">
        <v>19.96</v>
      </c>
      <c r="F472" s="701">
        <v>240</v>
      </c>
      <c r="G472" s="649">
        <v>0.03</v>
      </c>
      <c r="H472" s="649">
        <v>0.57000000000000028</v>
      </c>
      <c r="I472" s="649">
        <f t="shared" si="28"/>
        <v>19.36</v>
      </c>
      <c r="J472" s="702" t="s">
        <v>285</v>
      </c>
      <c r="K472" s="702"/>
      <c r="L472" s="702"/>
      <c r="M472" s="702"/>
    </row>
    <row r="473" spans="1:13">
      <c r="A473" s="645">
        <v>20130701</v>
      </c>
      <c r="B473" s="647" t="s">
        <v>1035</v>
      </c>
      <c r="C473" s="647" t="s">
        <v>384</v>
      </c>
      <c r="D473" s="648" t="str">
        <f>A473&amp;C473</f>
        <v>20130701KUUM_411</v>
      </c>
      <c r="E473" s="700">
        <v>20.99</v>
      </c>
      <c r="F473" s="701">
        <v>332</v>
      </c>
      <c r="G473" s="649">
        <v>0.04</v>
      </c>
      <c r="H473" s="649">
        <v>0.79999999999999716</v>
      </c>
      <c r="I473" s="649">
        <f t="shared" si="28"/>
        <v>20.150000000000002</v>
      </c>
      <c r="J473" s="702" t="s">
        <v>293</v>
      </c>
      <c r="K473" s="702"/>
      <c r="L473" s="702"/>
      <c r="M473" s="702"/>
    </row>
    <row r="474" spans="1:13">
      <c r="A474" s="645">
        <v>20130701</v>
      </c>
      <c r="B474" s="647" t="s">
        <v>1036</v>
      </c>
      <c r="C474" s="647" t="s">
        <v>386</v>
      </c>
      <c r="D474" s="648" t="str">
        <f t="shared" ref="D474:D537" si="29">A474&amp;C474</f>
        <v>20130701KUUM_412</v>
      </c>
      <c r="E474" s="700">
        <v>30.45</v>
      </c>
      <c r="F474" s="701">
        <v>332</v>
      </c>
      <c r="G474" s="649">
        <v>0.04</v>
      </c>
      <c r="H474" s="649">
        <v>0.79999999999999716</v>
      </c>
      <c r="I474" s="649">
        <f t="shared" si="28"/>
        <v>29.610000000000003</v>
      </c>
      <c r="J474" s="702" t="s">
        <v>295</v>
      </c>
      <c r="K474" s="702"/>
      <c r="L474" s="702"/>
      <c r="M474" s="702"/>
    </row>
    <row r="475" spans="1:13">
      <c r="A475" s="645">
        <v>20130701</v>
      </c>
      <c r="B475" s="647" t="s">
        <v>1036</v>
      </c>
      <c r="C475" s="647" t="s">
        <v>409</v>
      </c>
      <c r="D475" s="648" t="str">
        <f t="shared" si="29"/>
        <v>20130701KUUM_413</v>
      </c>
      <c r="E475" s="700">
        <v>30.91</v>
      </c>
      <c r="F475" s="701">
        <v>468</v>
      </c>
      <c r="G475" s="649">
        <v>0.03</v>
      </c>
      <c r="H475" s="649">
        <v>1.129999999999999</v>
      </c>
      <c r="I475" s="649">
        <f t="shared" si="28"/>
        <v>29.75</v>
      </c>
      <c r="J475" s="702" t="s">
        <v>318</v>
      </c>
      <c r="K475" s="702"/>
      <c r="L475" s="702"/>
      <c r="M475" s="702"/>
    </row>
    <row r="476" spans="1:13">
      <c r="A476" s="645">
        <v>20130701</v>
      </c>
      <c r="B476" s="647" t="s">
        <v>1035</v>
      </c>
      <c r="C476" s="647" t="s">
        <v>387</v>
      </c>
      <c r="D476" s="648" t="str">
        <f t="shared" si="29"/>
        <v>20130701KUUM_414</v>
      </c>
      <c r="E476" s="700">
        <v>30.45</v>
      </c>
      <c r="F476" s="701">
        <v>332</v>
      </c>
      <c r="G476" s="649">
        <v>0.04</v>
      </c>
      <c r="H476" s="649">
        <v>0.79999999999999716</v>
      </c>
      <c r="I476" s="649">
        <f t="shared" si="28"/>
        <v>29.610000000000003</v>
      </c>
      <c r="J476" s="702" t="s">
        <v>296</v>
      </c>
      <c r="K476" s="702"/>
      <c r="L476" s="702"/>
      <c r="M476" s="702"/>
    </row>
    <row r="477" spans="1:13">
      <c r="A477" s="645">
        <v>20130701</v>
      </c>
      <c r="B477" s="647" t="s">
        <v>1035</v>
      </c>
      <c r="C477" s="647" t="s">
        <v>410</v>
      </c>
      <c r="D477" s="648" t="str">
        <f t="shared" si="29"/>
        <v>20130701KUUM_415</v>
      </c>
      <c r="E477" s="700">
        <v>30.91</v>
      </c>
      <c r="F477" s="701">
        <v>468</v>
      </c>
      <c r="G477" s="649">
        <v>0.03</v>
      </c>
      <c r="H477" s="649">
        <v>1.129999999999999</v>
      </c>
      <c r="I477" s="649">
        <f t="shared" si="28"/>
        <v>29.75</v>
      </c>
      <c r="J477" s="702" t="s">
        <v>319</v>
      </c>
      <c r="K477" s="702"/>
      <c r="L477" s="702"/>
      <c r="M477" s="702"/>
    </row>
    <row r="478" spans="1:13">
      <c r="A478" s="645">
        <v>20130701</v>
      </c>
      <c r="B478" s="647" t="s">
        <v>1035</v>
      </c>
      <c r="C478" s="647" t="s">
        <v>405</v>
      </c>
      <c r="D478" s="648" t="str">
        <f t="shared" si="29"/>
        <v>20130701KUUM_420</v>
      </c>
      <c r="E478" s="700">
        <v>15.05</v>
      </c>
      <c r="F478" s="701">
        <v>468</v>
      </c>
      <c r="G478" s="649">
        <v>0.03</v>
      </c>
      <c r="H478" s="649">
        <v>1.1300000000000008</v>
      </c>
      <c r="I478" s="649">
        <f t="shared" si="28"/>
        <v>13.89</v>
      </c>
      <c r="J478" s="702" t="s">
        <v>314</v>
      </c>
      <c r="K478" s="702"/>
      <c r="L478" s="702"/>
      <c r="M478" s="702"/>
    </row>
    <row r="479" spans="1:13">
      <c r="A479" s="645">
        <v>20130701</v>
      </c>
      <c r="B479" s="647" t="s">
        <v>1036</v>
      </c>
      <c r="C479" s="647" t="s">
        <v>326</v>
      </c>
      <c r="D479" s="648" t="str">
        <f t="shared" si="29"/>
        <v>20130701KUUM_421</v>
      </c>
      <c r="E479" s="700">
        <v>3.28</v>
      </c>
      <c r="F479" s="701">
        <v>408</v>
      </c>
      <c r="G479" s="649">
        <v>0.01</v>
      </c>
      <c r="H479" s="649">
        <v>0.98999999999999977</v>
      </c>
      <c r="I479" s="649">
        <f t="shared" si="28"/>
        <v>2.2800000000000002</v>
      </c>
      <c r="J479" s="649" t="s">
        <v>235</v>
      </c>
      <c r="K479" s="702"/>
      <c r="L479" s="702"/>
      <c r="M479" s="702"/>
    </row>
    <row r="480" spans="1:13">
      <c r="A480" s="645">
        <v>20130701</v>
      </c>
      <c r="B480" s="647" t="s">
        <v>1036</v>
      </c>
      <c r="C480" s="647" t="s">
        <v>356</v>
      </c>
      <c r="D480" s="648" t="str">
        <f t="shared" si="29"/>
        <v>20130701KUUM_422</v>
      </c>
      <c r="E480" s="700">
        <v>4.4000000000000004</v>
      </c>
      <c r="F480" s="701">
        <v>804</v>
      </c>
      <c r="G480" s="649">
        <v>0.02</v>
      </c>
      <c r="H480" s="649">
        <v>1.9400000000000004</v>
      </c>
      <c r="I480" s="649">
        <f t="shared" si="28"/>
        <v>2.4400000000000004</v>
      </c>
      <c r="J480" s="702" t="s">
        <v>265</v>
      </c>
      <c r="K480" s="702"/>
      <c r="L480" s="702"/>
      <c r="M480" s="702"/>
    </row>
    <row r="481" spans="1:13">
      <c r="A481" s="645">
        <v>20130701</v>
      </c>
      <c r="B481" s="647" t="s">
        <v>1036</v>
      </c>
      <c r="C481" s="647" t="s">
        <v>374</v>
      </c>
      <c r="D481" s="648" t="str">
        <f t="shared" si="29"/>
        <v>20130701KUUM_424</v>
      </c>
      <c r="E481" s="700">
        <v>6.56</v>
      </c>
      <c r="F481" s="701">
        <v>1308</v>
      </c>
      <c r="G481" s="649">
        <v>0.02</v>
      </c>
      <c r="H481" s="649">
        <v>0.69999999999999929</v>
      </c>
      <c r="I481" s="649">
        <f t="shared" si="28"/>
        <v>5.8400000000000007</v>
      </c>
      <c r="J481" s="702" t="s">
        <v>283</v>
      </c>
      <c r="K481" s="702"/>
      <c r="L481" s="702"/>
      <c r="M481" s="702"/>
    </row>
    <row r="482" spans="1:13">
      <c r="A482" s="645">
        <v>20130701</v>
      </c>
      <c r="B482" s="647" t="s">
        <v>1036</v>
      </c>
      <c r="C482" s="647" t="s">
        <v>399</v>
      </c>
      <c r="D482" s="648" t="str">
        <f t="shared" si="29"/>
        <v>20130701KUUM_425</v>
      </c>
      <c r="E482" s="700">
        <v>8.76</v>
      </c>
      <c r="F482" s="701">
        <v>1788</v>
      </c>
      <c r="G482" s="649">
        <v>0.03</v>
      </c>
      <c r="H482" s="649">
        <v>4.3000000000000007</v>
      </c>
      <c r="I482" s="649">
        <f t="shared" si="28"/>
        <v>4.43</v>
      </c>
      <c r="J482" s="702" t="s">
        <v>308</v>
      </c>
      <c r="K482" s="702"/>
      <c r="L482" s="702"/>
      <c r="M482" s="702"/>
    </row>
    <row r="483" spans="1:13">
      <c r="A483" s="645">
        <v>20130701</v>
      </c>
      <c r="B483" s="647" t="s">
        <v>1036</v>
      </c>
      <c r="C483" s="647" t="s">
        <v>391</v>
      </c>
      <c r="D483" s="648" t="str">
        <f t="shared" si="29"/>
        <v>20130701KUUM_426</v>
      </c>
      <c r="E483" s="700">
        <v>7.05</v>
      </c>
      <c r="F483" s="701">
        <v>332</v>
      </c>
      <c r="G483" s="649">
        <v>0.04</v>
      </c>
      <c r="H483" s="649">
        <v>0.79999999999999982</v>
      </c>
      <c r="I483" s="649">
        <f t="shared" si="28"/>
        <v>6.21</v>
      </c>
      <c r="J483" s="702" t="s">
        <v>300</v>
      </c>
      <c r="K483" s="702"/>
      <c r="L483" s="702"/>
      <c r="M483" s="702"/>
    </row>
    <row r="484" spans="1:13">
      <c r="A484" s="645">
        <v>20130701</v>
      </c>
      <c r="B484" s="647" t="s">
        <v>1035</v>
      </c>
      <c r="C484" s="647" t="s">
        <v>416</v>
      </c>
      <c r="D484" s="648" t="str">
        <f t="shared" si="29"/>
        <v>20130701KUUM_428</v>
      </c>
      <c r="E484" s="700">
        <v>7.53</v>
      </c>
      <c r="F484" s="701">
        <v>468</v>
      </c>
      <c r="G484" s="649">
        <v>0.03</v>
      </c>
      <c r="H484" s="649">
        <v>1.1299999999999999</v>
      </c>
      <c r="I484" s="649">
        <f t="shared" si="28"/>
        <v>6.37</v>
      </c>
      <c r="J484" s="702" t="s">
        <v>325</v>
      </c>
      <c r="K484" s="702"/>
      <c r="L484" s="702"/>
      <c r="M484" s="702"/>
    </row>
    <row r="485" spans="1:13">
      <c r="A485" s="645">
        <v>20130701</v>
      </c>
      <c r="B485" s="647" t="s">
        <v>1035</v>
      </c>
      <c r="C485" s="647" t="s">
        <v>362</v>
      </c>
      <c r="D485" s="648" t="str">
        <f t="shared" si="29"/>
        <v>20130701KUUM_429</v>
      </c>
      <c r="E485" s="700"/>
      <c r="F485" s="701">
        <v>968</v>
      </c>
      <c r="G485" s="649"/>
      <c r="H485" s="649"/>
      <c r="I485" s="649">
        <f t="shared" si="28"/>
        <v>0</v>
      </c>
      <c r="J485" s="702" t="s">
        <v>271</v>
      </c>
      <c r="K485" s="702"/>
      <c r="L485" s="702"/>
      <c r="M485" s="702"/>
    </row>
    <row r="486" spans="1:13">
      <c r="A486" s="645">
        <v>20130701</v>
      </c>
      <c r="B486" s="647" t="s">
        <v>1035</v>
      </c>
      <c r="C486" s="647" t="s">
        <v>407</v>
      </c>
      <c r="D486" s="648" t="str">
        <f t="shared" si="29"/>
        <v>20130701KUUM_430</v>
      </c>
      <c r="E486" s="700">
        <v>21.69</v>
      </c>
      <c r="F486" s="701">
        <v>468</v>
      </c>
      <c r="G486" s="649">
        <v>0.03</v>
      </c>
      <c r="H486" s="649">
        <v>1.129999999999999</v>
      </c>
      <c r="I486" s="649">
        <f t="shared" si="28"/>
        <v>20.53</v>
      </c>
      <c r="J486" s="702" t="s">
        <v>316</v>
      </c>
      <c r="K486" s="702"/>
      <c r="L486" s="702"/>
      <c r="M486" s="702"/>
    </row>
    <row r="487" spans="1:13">
      <c r="A487" s="645">
        <v>20130701</v>
      </c>
      <c r="B487" s="647"/>
      <c r="C487" s="651" t="s">
        <v>418</v>
      </c>
      <c r="D487" s="648" t="str">
        <f t="shared" si="29"/>
        <v>20130701KUUM_431</v>
      </c>
      <c r="E487" s="700"/>
      <c r="F487" s="701">
        <v>408</v>
      </c>
      <c r="G487" s="649"/>
      <c r="H487" s="649"/>
      <c r="I487" s="649">
        <f t="shared" si="28"/>
        <v>0</v>
      </c>
      <c r="J487" s="711" t="s">
        <v>419</v>
      </c>
      <c r="K487" s="702"/>
      <c r="L487" s="702"/>
      <c r="M487" s="702"/>
    </row>
    <row r="488" spans="1:13">
      <c r="A488" s="645">
        <v>20130701</v>
      </c>
      <c r="B488" s="647"/>
      <c r="C488" s="651" t="s">
        <v>420</v>
      </c>
      <c r="D488" s="648" t="str">
        <f t="shared" si="29"/>
        <v>20130701KUUM_432</v>
      </c>
      <c r="E488" s="700"/>
      <c r="F488" s="701">
        <v>804</v>
      </c>
      <c r="G488" s="649"/>
      <c r="H488" s="649"/>
      <c r="I488" s="649">
        <f t="shared" si="28"/>
        <v>0</v>
      </c>
      <c r="J488" s="703" t="s">
        <v>421</v>
      </c>
      <c r="K488" s="702"/>
      <c r="L488" s="702"/>
      <c r="M488" s="702"/>
    </row>
    <row r="489" spans="1:13">
      <c r="A489" s="645">
        <v>20130701</v>
      </c>
      <c r="B489" s="647"/>
      <c r="C489" s="651" t="s">
        <v>422</v>
      </c>
      <c r="D489" s="648" t="str">
        <f t="shared" si="29"/>
        <v>20130701KUUM_433</v>
      </c>
      <c r="E489" s="700"/>
      <c r="F489" s="701">
        <v>724</v>
      </c>
      <c r="G489" s="649"/>
      <c r="H489" s="649"/>
      <c r="I489" s="649">
        <f t="shared" si="28"/>
        <v>0</v>
      </c>
      <c r="J489" s="703" t="s">
        <v>423</v>
      </c>
      <c r="K489" s="702"/>
      <c r="L489" s="702"/>
      <c r="M489" s="702"/>
    </row>
    <row r="490" spans="1:13">
      <c r="A490" s="645">
        <v>20130701</v>
      </c>
      <c r="B490" s="647" t="s">
        <v>1036</v>
      </c>
      <c r="C490" s="647" t="s">
        <v>373</v>
      </c>
      <c r="D490" s="648" t="str">
        <f t="shared" si="29"/>
        <v>20130701KUUM_434</v>
      </c>
      <c r="E490" s="700">
        <v>7.52</v>
      </c>
      <c r="F490" s="701">
        <v>1308</v>
      </c>
      <c r="G490" s="649">
        <v>0.02</v>
      </c>
      <c r="H490" s="649">
        <v>0.69999999999999929</v>
      </c>
      <c r="I490" s="649">
        <f t="shared" si="28"/>
        <v>6.8000000000000007</v>
      </c>
      <c r="J490" s="702" t="s">
        <v>282</v>
      </c>
      <c r="K490" s="702"/>
      <c r="L490" s="702"/>
      <c r="M490" s="702"/>
    </row>
    <row r="491" spans="1:13">
      <c r="A491" s="645">
        <v>20130701</v>
      </c>
      <c r="B491" s="647"/>
      <c r="C491" s="651" t="s">
        <v>424</v>
      </c>
      <c r="D491" s="648" t="str">
        <f t="shared" si="29"/>
        <v>20130701KUUM_435</v>
      </c>
      <c r="E491" s="700"/>
      <c r="F491" s="701">
        <v>1788</v>
      </c>
      <c r="G491" s="649"/>
      <c r="H491" s="649"/>
      <c r="I491" s="649">
        <f t="shared" si="28"/>
        <v>0</v>
      </c>
      <c r="J491" s="703" t="s">
        <v>425</v>
      </c>
      <c r="K491" s="702"/>
      <c r="L491" s="702"/>
      <c r="M491" s="702"/>
    </row>
    <row r="492" spans="1:13">
      <c r="A492" s="645">
        <v>20130701</v>
      </c>
      <c r="B492" s="647" t="s">
        <v>1036</v>
      </c>
      <c r="C492" s="647" t="s">
        <v>375</v>
      </c>
      <c r="D492" s="648" t="str">
        <f t="shared" si="29"/>
        <v>20130701KUUM_440</v>
      </c>
      <c r="E492" s="700">
        <v>13.31</v>
      </c>
      <c r="F492" s="701">
        <v>240</v>
      </c>
      <c r="G492" s="649">
        <v>0.03</v>
      </c>
      <c r="H492" s="649">
        <v>0.57000000000000028</v>
      </c>
      <c r="I492" s="649">
        <f t="shared" si="28"/>
        <v>12.71</v>
      </c>
      <c r="J492" s="702" t="s">
        <v>284</v>
      </c>
      <c r="K492" s="702"/>
      <c r="L492" s="702"/>
      <c r="M492" s="702"/>
    </row>
    <row r="493" spans="1:13">
      <c r="A493" s="645">
        <v>20130701</v>
      </c>
      <c r="B493" s="647" t="s">
        <v>1035</v>
      </c>
      <c r="C493" s="647" t="s">
        <v>383</v>
      </c>
      <c r="D493" s="648" t="str">
        <f t="shared" si="29"/>
        <v>20130701KUUM_441</v>
      </c>
      <c r="E493" s="700"/>
      <c r="F493" s="701">
        <v>332</v>
      </c>
      <c r="G493" s="649"/>
      <c r="H493" s="649"/>
      <c r="I493" s="649">
        <f t="shared" si="28"/>
        <v>0</v>
      </c>
      <c r="J493" s="702" t="s">
        <v>292</v>
      </c>
      <c r="K493" s="702"/>
      <c r="L493" s="702"/>
      <c r="M493" s="702"/>
    </row>
    <row r="494" spans="1:13">
      <c r="A494" s="645">
        <v>20130701</v>
      </c>
      <c r="B494" s="647" t="s">
        <v>1035</v>
      </c>
      <c r="C494" s="647" t="s">
        <v>406</v>
      </c>
      <c r="D494" s="648" t="str">
        <f t="shared" si="29"/>
        <v>20130701KUUM_442</v>
      </c>
      <c r="E494" s="700"/>
      <c r="F494" s="701">
        <v>468</v>
      </c>
      <c r="G494" s="649"/>
      <c r="H494" s="649"/>
      <c r="I494" s="649">
        <f t="shared" si="28"/>
        <v>0</v>
      </c>
      <c r="J494" s="702" t="s">
        <v>315</v>
      </c>
      <c r="K494" s="702"/>
      <c r="L494" s="702"/>
      <c r="M494" s="702"/>
    </row>
    <row r="495" spans="1:13">
      <c r="A495" s="645">
        <v>20130701</v>
      </c>
      <c r="B495" s="647"/>
      <c r="C495" s="647" t="s">
        <v>377</v>
      </c>
      <c r="D495" s="648" t="str">
        <f t="shared" si="29"/>
        <v>20130701KUUM_444</v>
      </c>
      <c r="E495" s="700"/>
      <c r="F495" s="701">
        <v>240</v>
      </c>
      <c r="G495" s="649"/>
      <c r="H495" s="649"/>
      <c r="I495" s="649">
        <f t="shared" si="28"/>
        <v>0</v>
      </c>
      <c r="J495" s="702" t="s">
        <v>286</v>
      </c>
      <c r="K495" s="702"/>
      <c r="L495" s="702"/>
      <c r="M495" s="702"/>
    </row>
    <row r="496" spans="1:13">
      <c r="A496" s="645">
        <v>20130701</v>
      </c>
      <c r="B496" s="647"/>
      <c r="C496" s="647" t="s">
        <v>385</v>
      </c>
      <c r="D496" s="648" t="str">
        <f t="shared" si="29"/>
        <v>20130701KUUM_445</v>
      </c>
      <c r="E496" s="700"/>
      <c r="F496" s="701">
        <v>332</v>
      </c>
      <c r="G496" s="649"/>
      <c r="H496" s="649"/>
      <c r="I496" s="649">
        <f t="shared" si="28"/>
        <v>0</v>
      </c>
      <c r="J496" s="702" t="s">
        <v>294</v>
      </c>
      <c r="K496" s="702"/>
      <c r="L496" s="702"/>
      <c r="M496" s="702"/>
    </row>
    <row r="497" spans="1:13">
      <c r="A497" s="645">
        <v>20130701</v>
      </c>
      <c r="B497" s="647" t="s">
        <v>1036</v>
      </c>
      <c r="C497" s="647" t="s">
        <v>401</v>
      </c>
      <c r="D497" s="648" t="str">
        <f t="shared" si="29"/>
        <v>20130701KUUM_446</v>
      </c>
      <c r="E497" s="700">
        <v>9.2100000000000009</v>
      </c>
      <c r="F497" s="701">
        <v>828</v>
      </c>
      <c r="G497" s="649">
        <v>0.04</v>
      </c>
      <c r="H497" s="649">
        <v>1.9900000000000002</v>
      </c>
      <c r="I497" s="649">
        <f t="shared" si="28"/>
        <v>7.1800000000000015</v>
      </c>
      <c r="J497" s="702" t="s">
        <v>310</v>
      </c>
      <c r="K497" s="702"/>
      <c r="L497" s="702"/>
      <c r="M497" s="702"/>
    </row>
    <row r="498" spans="1:13">
      <c r="A498" s="645">
        <v>20130701</v>
      </c>
      <c r="B498" s="647" t="s">
        <v>1036</v>
      </c>
      <c r="C498" s="647" t="s">
        <v>328</v>
      </c>
      <c r="D498" s="648" t="str">
        <f t="shared" si="29"/>
        <v>20130701KUUM_447</v>
      </c>
      <c r="E498" s="700">
        <v>10.92</v>
      </c>
      <c r="F498" s="701">
        <v>1176</v>
      </c>
      <c r="G498" s="649">
        <v>0.04</v>
      </c>
      <c r="H498" s="649">
        <v>2.8400000000000016</v>
      </c>
      <c r="I498" s="649">
        <f t="shared" si="28"/>
        <v>8.0399999999999991</v>
      </c>
      <c r="J498" s="649" t="s">
        <v>237</v>
      </c>
      <c r="K498" s="702"/>
      <c r="L498" s="702"/>
      <c r="M498" s="702"/>
    </row>
    <row r="499" spans="1:13">
      <c r="A499" s="645">
        <v>20130701</v>
      </c>
      <c r="B499" s="647" t="s">
        <v>1036</v>
      </c>
      <c r="C499" s="651" t="s">
        <v>437</v>
      </c>
      <c r="D499" s="648" t="str">
        <f t="shared" si="29"/>
        <v>20130701KUUM_448</v>
      </c>
      <c r="E499" s="700">
        <v>12.35</v>
      </c>
      <c r="F499" s="701">
        <v>1812</v>
      </c>
      <c r="G499" s="649">
        <v>0.05</v>
      </c>
      <c r="H499" s="649">
        <v>4.37</v>
      </c>
      <c r="I499" s="649">
        <f t="shared" si="28"/>
        <v>7.9299999999999988</v>
      </c>
      <c r="J499" s="702" t="s">
        <v>438</v>
      </c>
      <c r="K499" s="702"/>
      <c r="L499" s="702"/>
      <c r="M499" s="702"/>
    </row>
    <row r="500" spans="1:13">
      <c r="A500" s="645">
        <v>20130701</v>
      </c>
      <c r="B500" s="647" t="s">
        <v>1035</v>
      </c>
      <c r="C500" s="647" t="s">
        <v>408</v>
      </c>
      <c r="D500" s="648" t="str">
        <f t="shared" si="29"/>
        <v>20130701KUUM_449</v>
      </c>
      <c r="E500" s="700"/>
      <c r="F500" s="701">
        <v>468</v>
      </c>
      <c r="G500" s="649"/>
      <c r="H500" s="649"/>
      <c r="I500" s="649">
        <f t="shared" si="28"/>
        <v>0</v>
      </c>
      <c r="J500" s="702" t="s">
        <v>317</v>
      </c>
      <c r="K500" s="702"/>
      <c r="L500" s="702"/>
      <c r="M500" s="702"/>
    </row>
    <row r="501" spans="1:13">
      <c r="A501" s="645">
        <v>20130701</v>
      </c>
      <c r="B501" s="647" t="s">
        <v>1035</v>
      </c>
      <c r="C501" s="647" t="s">
        <v>338</v>
      </c>
      <c r="D501" s="648" t="str">
        <f t="shared" si="29"/>
        <v>20130701KUUM_450</v>
      </c>
      <c r="E501" s="700">
        <v>13.66</v>
      </c>
      <c r="F501" s="701">
        <v>600</v>
      </c>
      <c r="G501" s="649">
        <v>7.0000000000000007E-2</v>
      </c>
      <c r="H501" s="649">
        <v>1.9699999999999989</v>
      </c>
      <c r="I501" s="649">
        <f t="shared" si="28"/>
        <v>11.620000000000001</v>
      </c>
      <c r="J501" s="702" t="s">
        <v>247</v>
      </c>
      <c r="K501" s="702"/>
      <c r="L501" s="702"/>
      <c r="M501" s="702"/>
    </row>
    <row r="502" spans="1:13">
      <c r="A502" s="645">
        <v>20130701</v>
      </c>
      <c r="B502" s="647" t="s">
        <v>1035</v>
      </c>
      <c r="C502" s="647" t="s">
        <v>370</v>
      </c>
      <c r="D502" s="648" t="str">
        <f t="shared" si="29"/>
        <v>20130701KUUM_451</v>
      </c>
      <c r="E502" s="700">
        <v>19.440000000000001</v>
      </c>
      <c r="F502" s="701">
        <v>1400</v>
      </c>
      <c r="G502" s="649">
        <v>0.08</v>
      </c>
      <c r="H502" s="649">
        <v>4.2900000000000027</v>
      </c>
      <c r="I502" s="649">
        <f t="shared" si="28"/>
        <v>15.07</v>
      </c>
      <c r="J502" s="702" t="s">
        <v>279</v>
      </c>
      <c r="K502" s="702"/>
      <c r="L502" s="702"/>
      <c r="M502" s="702"/>
    </row>
    <row r="503" spans="1:13">
      <c r="A503" s="645">
        <v>20130701</v>
      </c>
      <c r="B503" s="647" t="s">
        <v>1035</v>
      </c>
      <c r="C503" s="647" t="s">
        <v>333</v>
      </c>
      <c r="D503" s="648" t="str">
        <f t="shared" si="29"/>
        <v>20130701KUUM_452</v>
      </c>
      <c r="E503" s="700">
        <v>40.81</v>
      </c>
      <c r="F503" s="701">
        <v>4320</v>
      </c>
      <c r="G503" s="649">
        <v>0.16</v>
      </c>
      <c r="H503" s="649">
        <v>10.410000000000004</v>
      </c>
      <c r="I503" s="649">
        <f t="shared" si="28"/>
        <v>30.240000000000002</v>
      </c>
      <c r="J503" s="702" t="s">
        <v>242</v>
      </c>
      <c r="K503" s="702"/>
      <c r="L503" s="702"/>
      <c r="M503" s="702"/>
    </row>
    <row r="504" spans="1:13">
      <c r="A504" s="645">
        <v>20130701</v>
      </c>
      <c r="B504" s="647" t="s">
        <v>1036</v>
      </c>
      <c r="C504" s="647" t="s">
        <v>336</v>
      </c>
      <c r="D504" s="648" t="str">
        <f t="shared" si="29"/>
        <v>20130701KUUM_454</v>
      </c>
      <c r="E504" s="700">
        <v>18.059999999999999</v>
      </c>
      <c r="F504" s="701">
        <v>600</v>
      </c>
      <c r="G504" s="649">
        <v>7.0000000000000007E-2</v>
      </c>
      <c r="H504" s="649">
        <v>1.9699999999999989</v>
      </c>
      <c r="I504" s="649">
        <f t="shared" si="28"/>
        <v>16.02</v>
      </c>
      <c r="J504" s="702" t="s">
        <v>245</v>
      </c>
      <c r="K504" s="702"/>
      <c r="L504" s="702"/>
      <c r="M504" s="702"/>
    </row>
    <row r="505" spans="1:13">
      <c r="A505" s="645">
        <v>20130701</v>
      </c>
      <c r="B505" s="647" t="s">
        <v>1036</v>
      </c>
      <c r="C505" s="647" t="s">
        <v>368</v>
      </c>
      <c r="D505" s="648" t="str">
        <f t="shared" si="29"/>
        <v>20130701KUUM_455</v>
      </c>
      <c r="E505" s="700">
        <v>23.83</v>
      </c>
      <c r="F505" s="701">
        <v>1400</v>
      </c>
      <c r="G505" s="649">
        <v>0.08</v>
      </c>
      <c r="H505" s="649">
        <v>4.2899999999999991</v>
      </c>
      <c r="I505" s="649">
        <f t="shared" ref="I505:I525" si="30">E505-G505-H505</f>
        <v>19.46</v>
      </c>
      <c r="J505" s="702" t="s">
        <v>277</v>
      </c>
      <c r="K505" s="702"/>
      <c r="L505" s="702"/>
      <c r="M505" s="702"/>
    </row>
    <row r="506" spans="1:13">
      <c r="A506" s="645">
        <v>20130701</v>
      </c>
      <c r="B506" s="647" t="s">
        <v>1036</v>
      </c>
      <c r="C506" s="647" t="s">
        <v>400</v>
      </c>
      <c r="D506" s="648" t="str">
        <f t="shared" si="29"/>
        <v>20130701KUUM_456</v>
      </c>
      <c r="E506" s="700">
        <v>11.52</v>
      </c>
      <c r="F506" s="701">
        <v>828</v>
      </c>
      <c r="G506" s="649">
        <v>0.04</v>
      </c>
      <c r="H506" s="649">
        <v>1.9900000000000002</v>
      </c>
      <c r="I506" s="649">
        <f t="shared" si="30"/>
        <v>9.49</v>
      </c>
      <c r="J506" s="702" t="s">
        <v>309</v>
      </c>
      <c r="K506" s="702"/>
      <c r="L506" s="702"/>
      <c r="M506" s="702"/>
    </row>
    <row r="507" spans="1:13">
      <c r="A507" s="645">
        <v>20130701</v>
      </c>
      <c r="B507" s="647" t="s">
        <v>1036</v>
      </c>
      <c r="C507" s="647" t="s">
        <v>327</v>
      </c>
      <c r="D507" s="648" t="str">
        <f t="shared" si="29"/>
        <v>20130701KUUM_457</v>
      </c>
      <c r="E507" s="700">
        <v>12.96</v>
      </c>
      <c r="F507" s="701">
        <v>1176</v>
      </c>
      <c r="G507" s="649">
        <v>0.04</v>
      </c>
      <c r="H507" s="649">
        <v>2.84</v>
      </c>
      <c r="I507" s="649">
        <f t="shared" si="30"/>
        <v>10.080000000000002</v>
      </c>
      <c r="J507" s="649" t="s">
        <v>236</v>
      </c>
      <c r="K507" s="702"/>
      <c r="L507" s="702"/>
      <c r="M507" s="702"/>
    </row>
    <row r="508" spans="1:13">
      <c r="A508" s="645">
        <v>20130701</v>
      </c>
      <c r="B508" s="647" t="s">
        <v>1036</v>
      </c>
      <c r="C508" s="647" t="s">
        <v>357</v>
      </c>
      <c r="D508" s="648" t="str">
        <f t="shared" si="29"/>
        <v>20130701KUUM_458</v>
      </c>
      <c r="E508" s="700">
        <v>14.62</v>
      </c>
      <c r="F508" s="701">
        <v>1812</v>
      </c>
      <c r="G508" s="649">
        <v>0.05</v>
      </c>
      <c r="H508" s="649">
        <v>4.3699999999999992</v>
      </c>
      <c r="I508" s="649">
        <f t="shared" si="30"/>
        <v>10.199999999999999</v>
      </c>
      <c r="J508" s="702" t="s">
        <v>266</v>
      </c>
      <c r="K508" s="702"/>
      <c r="L508" s="702"/>
      <c r="M508" s="702"/>
    </row>
    <row r="509" spans="1:13">
      <c r="A509" s="645">
        <v>20130701</v>
      </c>
      <c r="B509" s="647" t="s">
        <v>1036</v>
      </c>
      <c r="C509" s="647" t="s">
        <v>331</v>
      </c>
      <c r="D509" s="648" t="str">
        <f t="shared" si="29"/>
        <v>20130701KUUM_459</v>
      </c>
      <c r="E509" s="700">
        <v>45.2</v>
      </c>
      <c r="F509" s="701">
        <v>4320</v>
      </c>
      <c r="G509" s="649">
        <v>0.16</v>
      </c>
      <c r="H509" s="649">
        <v>10.410000000000004</v>
      </c>
      <c r="I509" s="649">
        <f t="shared" si="30"/>
        <v>34.630000000000003</v>
      </c>
      <c r="J509" s="649" t="s">
        <v>240</v>
      </c>
      <c r="K509" s="702"/>
      <c r="L509" s="702"/>
      <c r="M509" s="702"/>
    </row>
    <row r="510" spans="1:13">
      <c r="A510" s="645">
        <v>20130701</v>
      </c>
      <c r="B510" s="647" t="s">
        <v>1036</v>
      </c>
      <c r="C510" s="647" t="s">
        <v>335</v>
      </c>
      <c r="D510" s="648" t="str">
        <f t="shared" si="29"/>
        <v>20130701KUUM_460</v>
      </c>
      <c r="E510" s="700">
        <v>26.56</v>
      </c>
      <c r="F510" s="701">
        <v>600</v>
      </c>
      <c r="G510" s="649">
        <v>7.0000000000000007E-2</v>
      </c>
      <c r="H510" s="649">
        <v>1.9699999999999989</v>
      </c>
      <c r="I510" s="649">
        <f t="shared" si="30"/>
        <v>24.52</v>
      </c>
      <c r="J510" s="702" t="s">
        <v>244</v>
      </c>
      <c r="K510" s="702"/>
      <c r="L510" s="702"/>
      <c r="M510" s="702"/>
    </row>
    <row r="511" spans="1:13">
      <c r="A511" s="645">
        <v>20130701</v>
      </c>
      <c r="B511" s="647" t="s">
        <v>1036</v>
      </c>
      <c r="C511" s="647" t="s">
        <v>372</v>
      </c>
      <c r="D511" s="648" t="str">
        <f t="shared" si="29"/>
        <v>20130701KUUM_461</v>
      </c>
      <c r="E511" s="700">
        <v>7.24</v>
      </c>
      <c r="F511" s="701">
        <v>240</v>
      </c>
      <c r="G511" s="649">
        <v>0.03</v>
      </c>
      <c r="H511" s="649">
        <v>0.57000000000000028</v>
      </c>
      <c r="I511" s="649">
        <f t="shared" si="30"/>
        <v>6.64</v>
      </c>
      <c r="J511" s="702" t="s">
        <v>281</v>
      </c>
      <c r="K511" s="702"/>
      <c r="L511" s="702"/>
      <c r="M511" s="702"/>
    </row>
    <row r="512" spans="1:13">
      <c r="A512" s="645">
        <v>20130701</v>
      </c>
      <c r="B512" s="647" t="s">
        <v>1035</v>
      </c>
      <c r="C512" s="647" t="s">
        <v>381</v>
      </c>
      <c r="D512" s="648" t="str">
        <f t="shared" si="29"/>
        <v>20130701KUUM_462</v>
      </c>
      <c r="E512" s="700">
        <v>8.27</v>
      </c>
      <c r="F512" s="701">
        <v>332</v>
      </c>
      <c r="G512" s="649">
        <v>0.04</v>
      </c>
      <c r="H512" s="649">
        <v>0.79999999999999893</v>
      </c>
      <c r="I512" s="649">
        <f t="shared" si="30"/>
        <v>7.4300000000000015</v>
      </c>
      <c r="J512" s="702" t="s">
        <v>290</v>
      </c>
      <c r="K512" s="702"/>
      <c r="L512" s="702"/>
      <c r="M512" s="702"/>
    </row>
    <row r="513" spans="1:13">
      <c r="A513" s="645">
        <v>20130701</v>
      </c>
      <c r="B513" s="647" t="s">
        <v>1035</v>
      </c>
      <c r="C513" s="647" t="s">
        <v>404</v>
      </c>
      <c r="D513" s="648" t="str">
        <f t="shared" si="29"/>
        <v>20130701KUUM_463</v>
      </c>
      <c r="E513" s="700">
        <v>8.83</v>
      </c>
      <c r="F513" s="701">
        <v>468</v>
      </c>
      <c r="G513" s="649">
        <v>0.03</v>
      </c>
      <c r="H513" s="649">
        <v>1.1299999999999999</v>
      </c>
      <c r="I513" s="649">
        <f t="shared" si="30"/>
        <v>7.6700000000000008</v>
      </c>
      <c r="J513" s="702" t="s">
        <v>313</v>
      </c>
      <c r="K513" s="702"/>
      <c r="L513" s="702"/>
      <c r="M513" s="702"/>
    </row>
    <row r="514" spans="1:13">
      <c r="A514" s="645">
        <v>20130701</v>
      </c>
      <c r="B514" s="647" t="s">
        <v>1035</v>
      </c>
      <c r="C514" s="647" t="s">
        <v>361</v>
      </c>
      <c r="D514" s="648" t="str">
        <f t="shared" si="29"/>
        <v>20130701KUUM_464</v>
      </c>
      <c r="E514" s="700">
        <v>13.73</v>
      </c>
      <c r="F514" s="701">
        <v>968</v>
      </c>
      <c r="G514" s="649">
        <v>0.06</v>
      </c>
      <c r="H514" s="649">
        <v>2.33</v>
      </c>
      <c r="I514" s="649">
        <f t="shared" si="30"/>
        <v>11.34</v>
      </c>
      <c r="J514" s="702" t="s">
        <v>270</v>
      </c>
      <c r="K514" s="702"/>
      <c r="L514" s="702"/>
      <c r="M514" s="702"/>
    </row>
    <row r="515" spans="1:13">
      <c r="A515" s="645">
        <v>20130701</v>
      </c>
      <c r="B515" s="647" t="s">
        <v>1035</v>
      </c>
      <c r="C515" s="647" t="s">
        <v>393</v>
      </c>
      <c r="D515" s="648" t="str">
        <f t="shared" si="29"/>
        <v>20130701KUUM_465</v>
      </c>
      <c r="E515" s="700">
        <v>22.13</v>
      </c>
      <c r="F515" s="701">
        <v>1884</v>
      </c>
      <c r="G515" s="649">
        <v>0.08</v>
      </c>
      <c r="H515" s="649">
        <v>4.5299999999999976</v>
      </c>
      <c r="I515" s="649">
        <f t="shared" si="30"/>
        <v>17.520000000000003</v>
      </c>
      <c r="J515" s="702" t="s">
        <v>302</v>
      </c>
      <c r="K515" s="702"/>
      <c r="L515" s="702"/>
      <c r="M515" s="702"/>
    </row>
    <row r="516" spans="1:13">
      <c r="A516" s="645">
        <v>20130701</v>
      </c>
      <c r="B516" s="653" t="s">
        <v>1036</v>
      </c>
      <c r="C516" s="647" t="s">
        <v>379</v>
      </c>
      <c r="D516" s="648" t="str">
        <f t="shared" si="29"/>
        <v>20130701KUUM_466</v>
      </c>
      <c r="E516" s="700">
        <v>9.32</v>
      </c>
      <c r="F516" s="701">
        <v>240</v>
      </c>
      <c r="G516" s="649">
        <v>0.03</v>
      </c>
      <c r="H516" s="649">
        <v>0.57000000000000028</v>
      </c>
      <c r="I516" s="649">
        <f t="shared" si="30"/>
        <v>8.7200000000000006</v>
      </c>
      <c r="J516" s="702" t="s">
        <v>288</v>
      </c>
      <c r="K516" s="702"/>
      <c r="L516" s="702"/>
      <c r="M516" s="702"/>
    </row>
    <row r="517" spans="1:13">
      <c r="A517" s="645">
        <v>20130701</v>
      </c>
      <c r="B517" s="647" t="s">
        <v>1035</v>
      </c>
      <c r="C517" s="647" t="s">
        <v>389</v>
      </c>
      <c r="D517" s="648" t="str">
        <f t="shared" si="29"/>
        <v>20130701KUUM_467</v>
      </c>
      <c r="E517" s="700">
        <v>10.38</v>
      </c>
      <c r="F517" s="701">
        <v>332</v>
      </c>
      <c r="G517" s="649">
        <v>0.04</v>
      </c>
      <c r="H517" s="649">
        <v>0.80000000000000071</v>
      </c>
      <c r="I517" s="649">
        <f t="shared" si="30"/>
        <v>9.5400000000000009</v>
      </c>
      <c r="J517" s="702" t="s">
        <v>298</v>
      </c>
      <c r="K517" s="702"/>
      <c r="L517" s="702"/>
      <c r="M517" s="702"/>
    </row>
    <row r="518" spans="1:13">
      <c r="A518" s="645">
        <v>20130701</v>
      </c>
      <c r="B518" s="647" t="s">
        <v>1035</v>
      </c>
      <c r="C518" s="647" t="s">
        <v>412</v>
      </c>
      <c r="D518" s="648" t="str">
        <f t="shared" si="29"/>
        <v>20130701KUUM_468</v>
      </c>
      <c r="E518" s="700">
        <v>10.85</v>
      </c>
      <c r="F518" s="701">
        <v>468</v>
      </c>
      <c r="G518" s="649">
        <v>0.03</v>
      </c>
      <c r="H518" s="649">
        <v>1.129999999999999</v>
      </c>
      <c r="I518" s="649">
        <f t="shared" si="30"/>
        <v>9.6900000000000013</v>
      </c>
      <c r="J518" s="702" t="s">
        <v>321</v>
      </c>
      <c r="K518" s="702"/>
      <c r="L518" s="702"/>
      <c r="M518" s="702"/>
    </row>
    <row r="519" spans="1:13">
      <c r="A519" s="645">
        <v>20130701</v>
      </c>
      <c r="B519" s="647" t="s">
        <v>1036</v>
      </c>
      <c r="C519" s="647" t="s">
        <v>367</v>
      </c>
      <c r="D519" s="648" t="str">
        <f t="shared" si="29"/>
        <v>20130701KUUM_469</v>
      </c>
      <c r="E519" s="700">
        <v>32.340000000000003</v>
      </c>
      <c r="F519" s="701">
        <v>1400</v>
      </c>
      <c r="G519" s="649">
        <v>0.08</v>
      </c>
      <c r="H519" s="649">
        <v>4.2900000000000063</v>
      </c>
      <c r="I519" s="649">
        <f t="shared" si="30"/>
        <v>27.97</v>
      </c>
      <c r="J519" s="702" t="s">
        <v>276</v>
      </c>
      <c r="K519" s="702"/>
      <c r="L519" s="702"/>
      <c r="M519" s="702"/>
    </row>
    <row r="520" spans="1:13">
      <c r="A520" s="645">
        <v>20130701</v>
      </c>
      <c r="B520" s="647" t="s">
        <v>1036</v>
      </c>
      <c r="C520" s="647" t="s">
        <v>330</v>
      </c>
      <c r="D520" s="648" t="str">
        <f t="shared" si="29"/>
        <v>20130701KUUM_470</v>
      </c>
      <c r="E520" s="700">
        <v>53.71</v>
      </c>
      <c r="F520" s="701">
        <v>4320</v>
      </c>
      <c r="G520" s="649">
        <v>0.16</v>
      </c>
      <c r="H520" s="649">
        <v>10.410000000000004</v>
      </c>
      <c r="I520" s="649">
        <f t="shared" si="30"/>
        <v>43.14</v>
      </c>
      <c r="J520" s="649" t="s">
        <v>239</v>
      </c>
      <c r="K520" s="702"/>
      <c r="L520" s="702"/>
      <c r="M520" s="702"/>
    </row>
    <row r="521" spans="1:13">
      <c r="A521" s="645">
        <v>20130701</v>
      </c>
      <c r="B521" s="647" t="s">
        <v>1036</v>
      </c>
      <c r="C521" s="647" t="s">
        <v>371</v>
      </c>
      <c r="D521" s="648" t="str">
        <f t="shared" si="29"/>
        <v>20130701KUUM_471</v>
      </c>
      <c r="E521" s="700">
        <v>10.19</v>
      </c>
      <c r="F521" s="701">
        <v>240</v>
      </c>
      <c r="G521" s="649">
        <v>0.03</v>
      </c>
      <c r="H521" s="649">
        <v>0.56999999999999851</v>
      </c>
      <c r="I521" s="649">
        <f t="shared" si="30"/>
        <v>9.5900000000000016</v>
      </c>
      <c r="J521" s="702" t="s">
        <v>280</v>
      </c>
      <c r="K521" s="702"/>
      <c r="L521" s="702"/>
      <c r="M521" s="702"/>
    </row>
    <row r="522" spans="1:13">
      <c r="A522" s="645">
        <v>20130701</v>
      </c>
      <c r="B522" s="647" t="s">
        <v>1035</v>
      </c>
      <c r="C522" s="647" t="s">
        <v>380</v>
      </c>
      <c r="D522" s="648" t="str">
        <f t="shared" si="29"/>
        <v>20130701KUUM_472</v>
      </c>
      <c r="E522" s="700">
        <v>11.21</v>
      </c>
      <c r="F522" s="701">
        <v>332</v>
      </c>
      <c r="G522" s="649">
        <v>0.04</v>
      </c>
      <c r="H522" s="649">
        <v>0.80000000000000071</v>
      </c>
      <c r="I522" s="649">
        <f t="shared" si="30"/>
        <v>10.370000000000001</v>
      </c>
      <c r="J522" s="702" t="s">
        <v>289</v>
      </c>
      <c r="K522" s="702"/>
      <c r="L522" s="702"/>
      <c r="M522" s="702"/>
    </row>
    <row r="523" spans="1:13">
      <c r="A523" s="645">
        <v>20130701</v>
      </c>
      <c r="B523" s="647" t="s">
        <v>1035</v>
      </c>
      <c r="C523" s="647" t="s">
        <v>403</v>
      </c>
      <c r="D523" s="648" t="str">
        <f t="shared" si="29"/>
        <v>20130701KUUM_473</v>
      </c>
      <c r="E523" s="700">
        <v>11.99</v>
      </c>
      <c r="F523" s="701">
        <v>468</v>
      </c>
      <c r="G523" s="649">
        <v>0.03</v>
      </c>
      <c r="H523" s="649">
        <v>1.129999999999999</v>
      </c>
      <c r="I523" s="649">
        <f t="shared" si="30"/>
        <v>10.830000000000002</v>
      </c>
      <c r="J523" s="702" t="s">
        <v>312</v>
      </c>
      <c r="K523" s="702"/>
      <c r="L523" s="702"/>
      <c r="M523" s="702"/>
    </row>
    <row r="524" spans="1:13">
      <c r="A524" s="645">
        <v>20130701</v>
      </c>
      <c r="B524" s="647" t="s">
        <v>1035</v>
      </c>
      <c r="C524" s="647" t="s">
        <v>360</v>
      </c>
      <c r="D524" s="648" t="str">
        <f t="shared" si="29"/>
        <v>20130701KUUM_474</v>
      </c>
      <c r="E524" s="700">
        <v>16.89</v>
      </c>
      <c r="F524" s="701">
        <v>968</v>
      </c>
      <c r="G524" s="649">
        <v>0.06</v>
      </c>
      <c r="H524" s="649">
        <v>2.33</v>
      </c>
      <c r="I524" s="649">
        <f t="shared" si="30"/>
        <v>14.500000000000002</v>
      </c>
      <c r="J524" s="702" t="s">
        <v>269</v>
      </c>
      <c r="K524" s="702"/>
      <c r="L524" s="702"/>
      <c r="M524" s="702"/>
    </row>
    <row r="525" spans="1:13">
      <c r="A525" s="645">
        <v>20130701</v>
      </c>
      <c r="B525" s="647" t="s">
        <v>1035</v>
      </c>
      <c r="C525" s="647" t="s">
        <v>392</v>
      </c>
      <c r="D525" s="648" t="str">
        <f t="shared" si="29"/>
        <v>20130701KUUM_475</v>
      </c>
      <c r="E525" s="700">
        <v>23.75</v>
      </c>
      <c r="F525" s="701">
        <v>1884</v>
      </c>
      <c r="G525" s="649">
        <v>0.08</v>
      </c>
      <c r="H525" s="649">
        <v>4.5300000000000011</v>
      </c>
      <c r="I525" s="649">
        <f t="shared" si="30"/>
        <v>19.14</v>
      </c>
      <c r="J525" s="702" t="s">
        <v>301</v>
      </c>
      <c r="K525" s="702"/>
      <c r="L525" s="702"/>
      <c r="M525" s="702"/>
    </row>
    <row r="526" spans="1:13">
      <c r="A526" s="645">
        <v>20130701</v>
      </c>
      <c r="B526" s="647" t="s">
        <v>1035</v>
      </c>
      <c r="C526" s="647" t="s">
        <v>390</v>
      </c>
      <c r="D526" s="648" t="str">
        <f t="shared" si="29"/>
        <v>20130701KUUM_476</v>
      </c>
      <c r="E526" s="700">
        <v>16.399999999999999</v>
      </c>
      <c r="F526" s="701">
        <v>332</v>
      </c>
      <c r="G526" s="649">
        <v>0.04</v>
      </c>
      <c r="H526" s="649">
        <v>0.79999999999999893</v>
      </c>
      <c r="I526" s="649">
        <f>E526-G526-H526</f>
        <v>15.56</v>
      </c>
      <c r="J526" s="702" t="s">
        <v>299</v>
      </c>
      <c r="K526" s="702"/>
      <c r="L526" s="702"/>
      <c r="M526" s="702"/>
    </row>
    <row r="527" spans="1:13">
      <c r="A527" s="645">
        <v>20130701</v>
      </c>
      <c r="B527" s="647" t="s">
        <v>1035</v>
      </c>
      <c r="C527" s="647" t="s">
        <v>414</v>
      </c>
      <c r="D527" s="648" t="str">
        <f t="shared" si="29"/>
        <v>20130701KUUM_477</v>
      </c>
      <c r="E527" s="700">
        <v>20.66</v>
      </c>
      <c r="F527" s="701">
        <v>468</v>
      </c>
      <c r="G527" s="649">
        <v>0.03</v>
      </c>
      <c r="H527" s="649">
        <v>1.129999999999999</v>
      </c>
      <c r="I527" s="649">
        <f t="shared" ref="I527:I541" si="31">E527-G527-H527</f>
        <v>19.5</v>
      </c>
      <c r="J527" s="702" t="s">
        <v>323</v>
      </c>
      <c r="K527" s="702"/>
      <c r="L527" s="702"/>
      <c r="M527" s="702"/>
    </row>
    <row r="528" spans="1:13">
      <c r="A528" s="645">
        <v>20130701</v>
      </c>
      <c r="B528" s="647" t="s">
        <v>1035</v>
      </c>
      <c r="C528" s="647" t="s">
        <v>364</v>
      </c>
      <c r="D528" s="648" t="str">
        <f t="shared" si="29"/>
        <v>20130701KUUM_478</v>
      </c>
      <c r="E528" s="700">
        <v>26.34</v>
      </c>
      <c r="F528" s="701">
        <v>968</v>
      </c>
      <c r="G528" s="649">
        <v>0.06</v>
      </c>
      <c r="H528" s="649">
        <v>2.3299999999999983</v>
      </c>
      <c r="I528" s="649">
        <f t="shared" si="31"/>
        <v>23.950000000000003</v>
      </c>
      <c r="J528" s="702" t="s">
        <v>273</v>
      </c>
      <c r="K528" s="702"/>
      <c r="L528" s="702"/>
      <c r="M528" s="702"/>
    </row>
    <row r="529" spans="1:13">
      <c r="A529" s="645">
        <v>20130701</v>
      </c>
      <c r="B529" s="647" t="s">
        <v>1035</v>
      </c>
      <c r="C529" s="647" t="s">
        <v>396</v>
      </c>
      <c r="D529" s="648" t="str">
        <f t="shared" si="29"/>
        <v>20130701KUUM_479</v>
      </c>
      <c r="E529" s="700">
        <v>32.409999999999997</v>
      </c>
      <c r="F529" s="701">
        <v>1884</v>
      </c>
      <c r="G529" s="649">
        <v>0.08</v>
      </c>
      <c r="H529" s="649">
        <v>4.529999999999994</v>
      </c>
      <c r="I529" s="649">
        <f t="shared" si="31"/>
        <v>27.800000000000004</v>
      </c>
      <c r="J529" s="702" t="s">
        <v>305</v>
      </c>
      <c r="K529" s="702"/>
      <c r="L529" s="702"/>
      <c r="M529" s="702"/>
    </row>
    <row r="530" spans="1:13">
      <c r="A530" s="645">
        <v>20130701</v>
      </c>
      <c r="B530" s="647"/>
      <c r="C530" s="647" t="s">
        <v>378</v>
      </c>
      <c r="D530" s="648" t="str">
        <f t="shared" si="29"/>
        <v>20130701KUUM_480</v>
      </c>
      <c r="E530" s="700"/>
      <c r="F530" s="701">
        <v>240</v>
      </c>
      <c r="G530" s="649"/>
      <c r="H530" s="649"/>
      <c r="I530" s="649">
        <f t="shared" si="31"/>
        <v>0</v>
      </c>
      <c r="J530" s="702" t="s">
        <v>287</v>
      </c>
      <c r="K530" s="702"/>
      <c r="L530" s="702"/>
      <c r="M530" s="702"/>
    </row>
    <row r="531" spans="1:13">
      <c r="A531" s="645">
        <v>20130701</v>
      </c>
      <c r="B531" s="647"/>
      <c r="C531" s="647" t="s">
        <v>388</v>
      </c>
      <c r="D531" s="648" t="str">
        <f t="shared" si="29"/>
        <v>20130701KUUM_481</v>
      </c>
      <c r="E531" s="700"/>
      <c r="F531" s="701">
        <v>332</v>
      </c>
      <c r="G531" s="649"/>
      <c r="H531" s="649"/>
      <c r="I531" s="649">
        <f t="shared" si="31"/>
        <v>0</v>
      </c>
      <c r="J531" s="702" t="s">
        <v>297</v>
      </c>
      <c r="K531" s="702"/>
      <c r="L531" s="702"/>
      <c r="M531" s="702"/>
    </row>
    <row r="532" spans="1:13">
      <c r="A532" s="645">
        <v>20130701</v>
      </c>
      <c r="B532" s="647" t="s">
        <v>1035</v>
      </c>
      <c r="C532" s="647" t="s">
        <v>411</v>
      </c>
      <c r="D532" s="648" t="str">
        <f t="shared" si="29"/>
        <v>20130701KUUM_482</v>
      </c>
      <c r="E532" s="700"/>
      <c r="F532" s="701">
        <v>468</v>
      </c>
      <c r="G532" s="649"/>
      <c r="H532" s="649"/>
      <c r="I532" s="649">
        <f t="shared" si="31"/>
        <v>0</v>
      </c>
      <c r="J532" s="702" t="s">
        <v>320</v>
      </c>
      <c r="K532" s="702"/>
      <c r="L532" s="702"/>
      <c r="M532" s="702"/>
    </row>
    <row r="533" spans="1:13">
      <c r="A533" s="645">
        <v>20130701</v>
      </c>
      <c r="B533" s="647" t="s">
        <v>1035</v>
      </c>
      <c r="C533" s="651" t="s">
        <v>439</v>
      </c>
      <c r="D533" s="648" t="str">
        <f t="shared" si="29"/>
        <v>20130701KUUM_483</v>
      </c>
      <c r="E533" s="700"/>
      <c r="F533" s="701">
        <v>332</v>
      </c>
      <c r="G533" s="649"/>
      <c r="H533" s="649"/>
      <c r="I533" s="649">
        <f t="shared" si="31"/>
        <v>0</v>
      </c>
      <c r="J533" s="703" t="s">
        <v>417</v>
      </c>
      <c r="K533" s="702"/>
      <c r="L533" s="702"/>
      <c r="M533" s="702"/>
    </row>
    <row r="534" spans="1:13">
      <c r="A534" s="645">
        <v>20130701</v>
      </c>
      <c r="B534" s="647" t="s">
        <v>1035</v>
      </c>
      <c r="C534" s="647" t="s">
        <v>413</v>
      </c>
      <c r="D534" s="648" t="str">
        <f t="shared" si="29"/>
        <v>20130701KUUM_484</v>
      </c>
      <c r="E534" s="700"/>
      <c r="F534" s="701">
        <v>468</v>
      </c>
      <c r="G534" s="649"/>
      <c r="H534" s="649"/>
      <c r="I534" s="649">
        <f t="shared" si="31"/>
        <v>0</v>
      </c>
      <c r="J534" s="702" t="s">
        <v>322</v>
      </c>
      <c r="K534" s="702"/>
      <c r="L534" s="702"/>
      <c r="M534" s="702"/>
    </row>
    <row r="535" spans="1:13">
      <c r="A535" s="645">
        <v>20130701</v>
      </c>
      <c r="B535" s="647" t="s">
        <v>1035</v>
      </c>
      <c r="C535" s="647" t="s">
        <v>363</v>
      </c>
      <c r="D535" s="648" t="str">
        <f t="shared" si="29"/>
        <v>20130701KUUM_485</v>
      </c>
      <c r="E535" s="700"/>
      <c r="F535" s="701">
        <v>968</v>
      </c>
      <c r="G535" s="649"/>
      <c r="H535" s="649"/>
      <c r="I535" s="649">
        <f t="shared" si="31"/>
        <v>0</v>
      </c>
      <c r="J535" s="702" t="s">
        <v>272</v>
      </c>
      <c r="K535" s="702"/>
      <c r="L535" s="702"/>
      <c r="M535" s="702"/>
    </row>
    <row r="536" spans="1:13">
      <c r="A536" s="645">
        <v>20130701</v>
      </c>
      <c r="B536" s="647" t="s">
        <v>1035</v>
      </c>
      <c r="C536" s="647" t="s">
        <v>395</v>
      </c>
      <c r="D536" s="648" t="str">
        <f t="shared" si="29"/>
        <v>20130701KUUM_486</v>
      </c>
      <c r="E536" s="700"/>
      <c r="F536" s="701">
        <v>1884</v>
      </c>
      <c r="G536" s="649"/>
      <c r="H536" s="649"/>
      <c r="I536" s="649">
        <f t="shared" si="31"/>
        <v>0</v>
      </c>
      <c r="J536" s="702" t="s">
        <v>304</v>
      </c>
      <c r="K536" s="702"/>
      <c r="L536" s="702"/>
      <c r="M536" s="702"/>
    </row>
    <row r="537" spans="1:13">
      <c r="A537" s="645">
        <v>20130701</v>
      </c>
      <c r="B537" s="647" t="s">
        <v>1035</v>
      </c>
      <c r="C537" s="647" t="s">
        <v>415</v>
      </c>
      <c r="D537" s="648" t="str">
        <f t="shared" si="29"/>
        <v>20130701KUUM_487</v>
      </c>
      <c r="E537" s="700">
        <v>8.69</v>
      </c>
      <c r="F537" s="701">
        <v>468</v>
      </c>
      <c r="G537" s="649">
        <v>0.03</v>
      </c>
      <c r="H537" s="649">
        <v>1.1299999999999999</v>
      </c>
      <c r="I537" s="649">
        <f t="shared" si="31"/>
        <v>7.53</v>
      </c>
      <c r="J537" s="702" t="s">
        <v>324</v>
      </c>
      <c r="K537" s="702"/>
      <c r="L537" s="702"/>
      <c r="M537" s="702"/>
    </row>
    <row r="538" spans="1:13">
      <c r="A538" s="645">
        <v>20130701</v>
      </c>
      <c r="B538" s="647" t="s">
        <v>1035</v>
      </c>
      <c r="C538" s="647" t="s">
        <v>365</v>
      </c>
      <c r="D538" s="648" t="str">
        <f t="shared" ref="D538:D549" si="32">A538&amp;C538</f>
        <v>20130701KUUM_488</v>
      </c>
      <c r="E538" s="700">
        <v>13.12</v>
      </c>
      <c r="F538" s="701">
        <v>968</v>
      </c>
      <c r="G538" s="649">
        <v>0.06</v>
      </c>
      <c r="H538" s="649">
        <v>2.33</v>
      </c>
      <c r="I538" s="649">
        <f t="shared" si="31"/>
        <v>10.729999999999999</v>
      </c>
      <c r="J538" s="702" t="s">
        <v>274</v>
      </c>
      <c r="K538" s="702"/>
      <c r="L538" s="702"/>
      <c r="M538" s="702"/>
    </row>
    <row r="539" spans="1:13">
      <c r="A539" s="645">
        <v>20130701</v>
      </c>
      <c r="B539" s="647" t="s">
        <v>1035</v>
      </c>
      <c r="C539" s="647" t="s">
        <v>397</v>
      </c>
      <c r="D539" s="648" t="str">
        <f t="shared" si="32"/>
        <v>20130701KUUM_489</v>
      </c>
      <c r="E539" s="700">
        <v>18.75</v>
      </c>
      <c r="F539" s="701">
        <v>1884</v>
      </c>
      <c r="G539" s="649">
        <v>0.08</v>
      </c>
      <c r="H539" s="649">
        <v>4.5300000000000011</v>
      </c>
      <c r="I539" s="649">
        <f t="shared" si="31"/>
        <v>14.14</v>
      </c>
      <c r="J539" s="702" t="s">
        <v>306</v>
      </c>
      <c r="K539" s="702"/>
      <c r="L539" s="702"/>
      <c r="M539" s="702"/>
    </row>
    <row r="540" spans="1:13">
      <c r="A540" s="645">
        <v>20130701</v>
      </c>
      <c r="B540" s="647" t="s">
        <v>1035</v>
      </c>
      <c r="C540" s="647" t="s">
        <v>337</v>
      </c>
      <c r="D540" s="648" t="str">
        <f t="shared" si="32"/>
        <v>20130701KUUM_490</v>
      </c>
      <c r="E540" s="700">
        <v>14.88</v>
      </c>
      <c r="F540" s="701">
        <v>600</v>
      </c>
      <c r="G540" s="649">
        <v>7.0000000000000007E-2</v>
      </c>
      <c r="H540" s="649">
        <v>1.9700000000000006</v>
      </c>
      <c r="I540" s="649">
        <f t="shared" si="31"/>
        <v>12.84</v>
      </c>
      <c r="J540" s="702" t="s">
        <v>246</v>
      </c>
      <c r="K540" s="702"/>
      <c r="L540" s="702"/>
      <c r="M540" s="702"/>
    </row>
    <row r="541" spans="1:13">
      <c r="A541" s="645">
        <v>20130701</v>
      </c>
      <c r="B541" s="647" t="s">
        <v>1035</v>
      </c>
      <c r="C541" s="647" t="s">
        <v>369</v>
      </c>
      <c r="D541" s="648" t="str">
        <f t="shared" si="32"/>
        <v>20130701KUUM_491</v>
      </c>
      <c r="E541" s="700">
        <v>21.17</v>
      </c>
      <c r="F541" s="701">
        <v>1400</v>
      </c>
      <c r="G541" s="649">
        <v>0.08</v>
      </c>
      <c r="H541" s="649">
        <v>4.2900000000000027</v>
      </c>
      <c r="I541" s="649">
        <f t="shared" si="31"/>
        <v>16.8</v>
      </c>
      <c r="J541" s="702" t="s">
        <v>278</v>
      </c>
      <c r="K541" s="702"/>
      <c r="L541" s="702"/>
      <c r="M541" s="702"/>
    </row>
    <row r="542" spans="1:13">
      <c r="A542" s="645">
        <v>20130701</v>
      </c>
      <c r="B542" s="647" t="s">
        <v>1035</v>
      </c>
      <c r="C542" s="651" t="s">
        <v>715</v>
      </c>
      <c r="D542" s="648" t="str">
        <f t="shared" si="32"/>
        <v>20130701KUUM_492</v>
      </c>
      <c r="E542" s="649">
        <v>14.98</v>
      </c>
      <c r="F542" s="701">
        <v>332</v>
      </c>
      <c r="G542" s="649">
        <v>0.04</v>
      </c>
      <c r="H542" s="649">
        <v>0.80000000000000071</v>
      </c>
      <c r="I542" s="649">
        <f>E542-G542-H542</f>
        <v>14.14</v>
      </c>
      <c r="J542" s="703" t="s">
        <v>681</v>
      </c>
      <c r="K542" s="702"/>
      <c r="L542" s="702"/>
      <c r="M542" s="702"/>
    </row>
    <row r="543" spans="1:13">
      <c r="A543" s="645">
        <v>20130701</v>
      </c>
      <c r="B543" s="647" t="s">
        <v>1035</v>
      </c>
      <c r="C543" s="647" t="s">
        <v>332</v>
      </c>
      <c r="D543" s="648" t="str">
        <f t="shared" si="32"/>
        <v>20130701KUUM_493</v>
      </c>
      <c r="E543" s="700">
        <v>44.16</v>
      </c>
      <c r="F543" s="701">
        <v>4320</v>
      </c>
      <c r="G543" s="649">
        <v>0.16</v>
      </c>
      <c r="H543" s="649">
        <v>10.409999999999997</v>
      </c>
      <c r="I543" s="649">
        <f t="shared" ref="I543:I549" si="33">E543-G543-H543</f>
        <v>33.590000000000003</v>
      </c>
      <c r="J543" s="702" t="s">
        <v>241</v>
      </c>
      <c r="K543" s="702"/>
      <c r="L543" s="702"/>
      <c r="M543" s="702"/>
    </row>
    <row r="544" spans="1:13">
      <c r="A544" s="645">
        <v>20130701</v>
      </c>
      <c r="B544" s="647" t="s">
        <v>1035</v>
      </c>
      <c r="C544" s="647" t="s">
        <v>334</v>
      </c>
      <c r="D544" s="648" t="str">
        <f t="shared" si="32"/>
        <v>20130701KUUM_494</v>
      </c>
      <c r="E544" s="700">
        <v>27.78</v>
      </c>
      <c r="F544" s="701">
        <v>600</v>
      </c>
      <c r="G544" s="649">
        <v>7.0000000000000007E-2</v>
      </c>
      <c r="H544" s="649">
        <v>1.9699999999999989</v>
      </c>
      <c r="I544" s="649">
        <f t="shared" si="33"/>
        <v>25.740000000000002</v>
      </c>
      <c r="J544" s="702" t="s">
        <v>243</v>
      </c>
      <c r="K544" s="702"/>
      <c r="L544" s="702"/>
      <c r="M544" s="702"/>
    </row>
    <row r="545" spans="1:13">
      <c r="A545" s="645">
        <v>20130701</v>
      </c>
      <c r="B545" s="647" t="s">
        <v>1035</v>
      </c>
      <c r="C545" s="647" t="s">
        <v>366</v>
      </c>
      <c r="D545" s="648" t="str">
        <f t="shared" si="32"/>
        <v>20130701KUUM_495</v>
      </c>
      <c r="E545" s="700">
        <v>34.07</v>
      </c>
      <c r="F545" s="701">
        <v>1400</v>
      </c>
      <c r="G545" s="649">
        <v>0.08</v>
      </c>
      <c r="H545" s="649">
        <v>4.2899999999999991</v>
      </c>
      <c r="I545" s="649">
        <f t="shared" si="33"/>
        <v>29.700000000000003</v>
      </c>
      <c r="J545" s="702" t="s">
        <v>275</v>
      </c>
      <c r="K545" s="702"/>
      <c r="L545" s="702"/>
      <c r="M545" s="702"/>
    </row>
    <row r="546" spans="1:13">
      <c r="A546" s="645">
        <v>20130701</v>
      </c>
      <c r="B546" s="647" t="s">
        <v>1035</v>
      </c>
      <c r="C546" s="647" t="s">
        <v>329</v>
      </c>
      <c r="D546" s="648" t="str">
        <f t="shared" si="32"/>
        <v>20130701KUUM_496</v>
      </c>
      <c r="E546" s="700">
        <v>57.05</v>
      </c>
      <c r="F546" s="701">
        <v>4320</v>
      </c>
      <c r="G546" s="649">
        <v>0.16</v>
      </c>
      <c r="H546" s="649">
        <v>10.409999999999997</v>
      </c>
      <c r="I546" s="649">
        <f t="shared" si="33"/>
        <v>46.480000000000004</v>
      </c>
      <c r="J546" s="649" t="s">
        <v>238</v>
      </c>
      <c r="K546" s="702"/>
      <c r="L546" s="702"/>
      <c r="M546" s="702"/>
    </row>
    <row r="547" spans="1:13">
      <c r="A547" s="645">
        <v>20130701</v>
      </c>
      <c r="B547" s="647" t="s">
        <v>1035</v>
      </c>
      <c r="C547" s="651" t="s">
        <v>683</v>
      </c>
      <c r="D547" s="648" t="str">
        <f t="shared" si="32"/>
        <v>20130701KUUM_497</v>
      </c>
      <c r="E547" s="700">
        <v>15.04</v>
      </c>
      <c r="F547" s="701">
        <v>468</v>
      </c>
      <c r="G547" s="649">
        <v>0.03</v>
      </c>
      <c r="H547" s="649">
        <v>1.1300000000000008</v>
      </c>
      <c r="I547" s="649">
        <f t="shared" si="33"/>
        <v>13.879999999999999</v>
      </c>
      <c r="J547" s="703" t="s">
        <v>429</v>
      </c>
      <c r="K547" s="702"/>
      <c r="L547" s="702"/>
      <c r="M547" s="702"/>
    </row>
    <row r="548" spans="1:13">
      <c r="A548" s="645">
        <v>20130701</v>
      </c>
      <c r="B548" s="647" t="s">
        <v>1035</v>
      </c>
      <c r="C548" s="651" t="s">
        <v>463</v>
      </c>
      <c r="D548" s="648" t="str">
        <f t="shared" si="32"/>
        <v>20130701KUUM_498</v>
      </c>
      <c r="E548" s="700">
        <v>17.2</v>
      </c>
      <c r="F548" s="701">
        <v>968</v>
      </c>
      <c r="G548" s="649">
        <v>0.06</v>
      </c>
      <c r="H548" s="649">
        <v>2.33</v>
      </c>
      <c r="I548" s="649">
        <f t="shared" si="33"/>
        <v>14.81</v>
      </c>
      <c r="J548" s="711" t="s">
        <v>680</v>
      </c>
      <c r="K548" s="702"/>
      <c r="L548" s="702"/>
      <c r="M548" s="702"/>
    </row>
    <row r="549" spans="1:13">
      <c r="A549" s="645">
        <v>20130701</v>
      </c>
      <c r="B549" s="647" t="s">
        <v>1035</v>
      </c>
      <c r="C549" s="651" t="s">
        <v>653</v>
      </c>
      <c r="D549" s="648" t="str">
        <f t="shared" si="32"/>
        <v>20130701KUUM_499</v>
      </c>
      <c r="E549" s="700">
        <v>20.78</v>
      </c>
      <c r="F549" s="701">
        <v>1884</v>
      </c>
      <c r="G549" s="649">
        <v>0.08</v>
      </c>
      <c r="H549" s="649">
        <v>4.5300000000000011</v>
      </c>
      <c r="I549" s="649">
        <f t="shared" si="33"/>
        <v>16.170000000000002</v>
      </c>
      <c r="J549" s="703" t="s">
        <v>430</v>
      </c>
      <c r="K549" s="702"/>
      <c r="L549" s="702"/>
      <c r="M549" s="702"/>
    </row>
    <row r="550" spans="1:13">
      <c r="A550" s="654">
        <v>20140101</v>
      </c>
      <c r="B550" s="656" t="s">
        <v>1035</v>
      </c>
      <c r="C550" s="660" t="s">
        <v>432</v>
      </c>
      <c r="D550" s="657" t="str">
        <f t="shared" ref="D550:D579" si="34">A550&amp;C550</f>
        <v>20140101KUUM_300</v>
      </c>
      <c r="E550" s="712">
        <v>22.49</v>
      </c>
      <c r="F550" s="713">
        <v>200</v>
      </c>
      <c r="G550" s="658">
        <v>0.33</v>
      </c>
      <c r="H550" s="658">
        <v>0.58000000000000185</v>
      </c>
      <c r="I550" s="658">
        <f>E550-G550-H550</f>
        <v>21.58</v>
      </c>
      <c r="J550" s="714" t="s">
        <v>434</v>
      </c>
      <c r="K550" s="658"/>
      <c r="L550" s="658"/>
      <c r="M550" s="658"/>
    </row>
    <row r="551" spans="1:13">
      <c r="A551" s="654">
        <v>20140101</v>
      </c>
      <c r="B551" s="656" t="s">
        <v>1035</v>
      </c>
      <c r="C551" s="660" t="s">
        <v>433</v>
      </c>
      <c r="D551" s="657" t="str">
        <f t="shared" si="34"/>
        <v>20140101KUUM_301</v>
      </c>
      <c r="E551" s="712">
        <v>23.5</v>
      </c>
      <c r="F551" s="713">
        <v>400</v>
      </c>
      <c r="G551" s="658">
        <v>0.34</v>
      </c>
      <c r="H551" s="658">
        <v>1.129999999999999</v>
      </c>
      <c r="I551" s="658">
        <f t="shared" ref="I551:I615" si="35">E551-G551-H551</f>
        <v>22.03</v>
      </c>
      <c r="J551" s="715" t="s">
        <v>435</v>
      </c>
      <c r="K551" s="658"/>
      <c r="L551" s="658"/>
      <c r="M551" s="658"/>
    </row>
    <row r="552" spans="1:13">
      <c r="A552" s="654">
        <v>20140101</v>
      </c>
      <c r="B552" s="656" t="s">
        <v>1035</v>
      </c>
      <c r="C552" s="656" t="s">
        <v>339</v>
      </c>
      <c r="D552" s="657" t="str">
        <f t="shared" si="34"/>
        <v>20140101KUUM_360</v>
      </c>
      <c r="E552" s="712">
        <v>55.33</v>
      </c>
      <c r="F552" s="713">
        <v>724</v>
      </c>
      <c r="G552" s="658">
        <v>2.41</v>
      </c>
      <c r="H552" s="658">
        <v>1.75</v>
      </c>
      <c r="I552" s="658">
        <f t="shared" si="35"/>
        <v>51.17</v>
      </c>
      <c r="J552" s="714" t="s">
        <v>248</v>
      </c>
      <c r="K552" s="658"/>
      <c r="L552" s="658"/>
      <c r="M552" s="658"/>
    </row>
    <row r="553" spans="1:13">
      <c r="A553" s="654">
        <v>20140101</v>
      </c>
      <c r="B553" s="656" t="s">
        <v>1035</v>
      </c>
      <c r="C553" s="656" t="s">
        <v>344</v>
      </c>
      <c r="D553" s="657" t="str">
        <f t="shared" si="34"/>
        <v>20140101KUUM_361</v>
      </c>
      <c r="E553" s="712">
        <v>83.16</v>
      </c>
      <c r="F553" s="713">
        <v>724</v>
      </c>
      <c r="G553" s="658">
        <v>2.41</v>
      </c>
      <c r="H553" s="658">
        <v>1.75</v>
      </c>
      <c r="I553" s="658">
        <f t="shared" si="35"/>
        <v>79</v>
      </c>
      <c r="J553" s="714" t="s">
        <v>253</v>
      </c>
      <c r="K553" s="658"/>
      <c r="L553" s="658"/>
      <c r="M553" s="658"/>
    </row>
    <row r="554" spans="1:13">
      <c r="A554" s="654">
        <v>20140101</v>
      </c>
      <c r="B554" s="656" t="s">
        <v>1035</v>
      </c>
      <c r="C554" s="656" t="s">
        <v>347</v>
      </c>
      <c r="D554" s="657" t="str">
        <f t="shared" si="34"/>
        <v>20140101KUUM_362</v>
      </c>
      <c r="E554" s="712">
        <v>59.78</v>
      </c>
      <c r="F554" s="713">
        <v>724</v>
      </c>
      <c r="G554" s="658">
        <v>2.41</v>
      </c>
      <c r="H554" s="658">
        <v>1.75</v>
      </c>
      <c r="I554" s="658">
        <f t="shared" si="35"/>
        <v>55.620000000000005</v>
      </c>
      <c r="J554" s="714" t="s">
        <v>256</v>
      </c>
      <c r="K554" s="658"/>
      <c r="L554" s="658"/>
      <c r="M554" s="658"/>
    </row>
    <row r="555" spans="1:13">
      <c r="A555" s="654">
        <v>20140101</v>
      </c>
      <c r="B555" s="656" t="s">
        <v>1035</v>
      </c>
      <c r="C555" s="656" t="s">
        <v>348</v>
      </c>
      <c r="D555" s="657" t="str">
        <f t="shared" si="34"/>
        <v>20140101KUUM_363</v>
      </c>
      <c r="E555" s="712">
        <v>61.75</v>
      </c>
      <c r="F555" s="713">
        <v>724</v>
      </c>
      <c r="G555" s="658">
        <v>2.41</v>
      </c>
      <c r="H555" s="658">
        <v>1.75</v>
      </c>
      <c r="I555" s="658">
        <f t="shared" si="35"/>
        <v>57.59</v>
      </c>
      <c r="J555" s="714" t="s">
        <v>257</v>
      </c>
      <c r="K555" s="714"/>
      <c r="L555" s="714"/>
      <c r="M555" s="714"/>
    </row>
    <row r="556" spans="1:13">
      <c r="A556" s="654">
        <v>20140101</v>
      </c>
      <c r="B556" s="656" t="s">
        <v>1035</v>
      </c>
      <c r="C556" s="656" t="s">
        <v>349</v>
      </c>
      <c r="D556" s="657" t="str">
        <f t="shared" si="34"/>
        <v>20140101KUUM_364</v>
      </c>
      <c r="E556" s="712">
        <v>63.11</v>
      </c>
      <c r="F556" s="713">
        <v>724</v>
      </c>
      <c r="G556" s="658">
        <v>2.41</v>
      </c>
      <c r="H556" s="658">
        <v>1.75</v>
      </c>
      <c r="I556" s="658">
        <f t="shared" si="35"/>
        <v>58.95</v>
      </c>
      <c r="J556" s="714" t="s">
        <v>258</v>
      </c>
      <c r="K556" s="714"/>
      <c r="L556" s="714"/>
      <c r="M556" s="714"/>
    </row>
    <row r="557" spans="1:13">
      <c r="A557" s="654">
        <v>20140101</v>
      </c>
      <c r="B557" s="656" t="s">
        <v>1035</v>
      </c>
      <c r="C557" s="656" t="s">
        <v>351</v>
      </c>
      <c r="D557" s="657" t="str">
        <f t="shared" si="34"/>
        <v>20140101KUUM_365</v>
      </c>
      <c r="E557" s="712">
        <v>80.94</v>
      </c>
      <c r="F557" s="713">
        <v>724</v>
      </c>
      <c r="G557" s="658">
        <v>2.41</v>
      </c>
      <c r="H557" s="658">
        <v>1.75</v>
      </c>
      <c r="I557" s="658">
        <f t="shared" si="35"/>
        <v>76.78</v>
      </c>
      <c r="J557" s="714" t="s">
        <v>260</v>
      </c>
      <c r="K557" s="714"/>
      <c r="L557" s="714"/>
      <c r="M557" s="714"/>
    </row>
    <row r="558" spans="1:13">
      <c r="A558" s="654">
        <v>20140101</v>
      </c>
      <c r="B558" s="656" t="s">
        <v>1035</v>
      </c>
      <c r="C558" s="656" t="s">
        <v>352</v>
      </c>
      <c r="D558" s="657" t="str">
        <f t="shared" si="34"/>
        <v>20140101KUUM_366</v>
      </c>
      <c r="E558" s="712">
        <v>78.97</v>
      </c>
      <c r="F558" s="713">
        <v>724</v>
      </c>
      <c r="G558" s="658">
        <v>2.41</v>
      </c>
      <c r="H558" s="658">
        <v>1.75</v>
      </c>
      <c r="I558" s="658">
        <f t="shared" si="35"/>
        <v>74.81</v>
      </c>
      <c r="J558" s="714" t="s">
        <v>261</v>
      </c>
      <c r="K558" s="714"/>
      <c r="L558" s="714"/>
      <c r="M558" s="714"/>
    </row>
    <row r="559" spans="1:13">
      <c r="A559" s="654">
        <v>20140101</v>
      </c>
      <c r="B559" s="656" t="s">
        <v>1035</v>
      </c>
      <c r="C559" s="656" t="s">
        <v>354</v>
      </c>
      <c r="D559" s="657" t="str">
        <f t="shared" si="34"/>
        <v>20140101KUUM_367</v>
      </c>
      <c r="E559" s="712">
        <v>61.230000000000004</v>
      </c>
      <c r="F559" s="713">
        <v>724</v>
      </c>
      <c r="G559" s="658">
        <v>2.41</v>
      </c>
      <c r="H559" s="658">
        <v>1.75</v>
      </c>
      <c r="I559" s="658">
        <f t="shared" si="35"/>
        <v>57.070000000000007</v>
      </c>
      <c r="J559" s="714" t="s">
        <v>263</v>
      </c>
      <c r="K559" s="714"/>
      <c r="L559" s="714"/>
      <c r="M559" s="714"/>
    </row>
    <row r="560" spans="1:13">
      <c r="A560" s="654">
        <v>20140101</v>
      </c>
      <c r="B560" s="656" t="s">
        <v>1035</v>
      </c>
      <c r="C560" s="656" t="s">
        <v>355</v>
      </c>
      <c r="D560" s="657" t="str">
        <f t="shared" si="34"/>
        <v>20140101KUUM_368</v>
      </c>
      <c r="E560" s="712">
        <v>56.69</v>
      </c>
      <c r="F560" s="713">
        <v>724</v>
      </c>
      <c r="G560" s="658">
        <v>2.41</v>
      </c>
      <c r="H560" s="658">
        <v>1.75</v>
      </c>
      <c r="I560" s="658">
        <f t="shared" si="35"/>
        <v>52.53</v>
      </c>
      <c r="J560" s="714" t="s">
        <v>264</v>
      </c>
      <c r="K560" s="714"/>
      <c r="L560" s="714"/>
      <c r="M560" s="714"/>
    </row>
    <row r="561" spans="1:13">
      <c r="A561" s="654">
        <v>20140101</v>
      </c>
      <c r="B561" s="656" t="s">
        <v>1035</v>
      </c>
      <c r="C561" s="656" t="s">
        <v>341</v>
      </c>
      <c r="D561" s="657" t="str">
        <f t="shared" si="34"/>
        <v>20140101KUUM_370</v>
      </c>
      <c r="E561" s="712">
        <v>74.52</v>
      </c>
      <c r="F561" s="713">
        <v>724</v>
      </c>
      <c r="G561" s="658">
        <v>2.41</v>
      </c>
      <c r="H561" s="658">
        <v>1.75</v>
      </c>
      <c r="I561" s="658">
        <f t="shared" si="35"/>
        <v>70.36</v>
      </c>
      <c r="J561" s="714" t="s">
        <v>250</v>
      </c>
      <c r="K561" s="714"/>
      <c r="L561" s="714"/>
      <c r="M561" s="714"/>
    </row>
    <row r="562" spans="1:13">
      <c r="A562" s="654">
        <v>20140101</v>
      </c>
      <c r="B562" s="656" t="s">
        <v>1035</v>
      </c>
      <c r="C562" s="660" t="s">
        <v>631</v>
      </c>
      <c r="D562" s="657" t="str">
        <f>A562&amp;C562</f>
        <v>20140101KUUM_371</v>
      </c>
      <c r="E562" s="712">
        <v>102.35</v>
      </c>
      <c r="F562" s="713">
        <v>724</v>
      </c>
      <c r="G562" s="658">
        <v>2.41</v>
      </c>
      <c r="H562" s="658">
        <v>1.75</v>
      </c>
      <c r="I562" s="658">
        <f>E562-G562-H562</f>
        <v>98.19</v>
      </c>
      <c r="J562" s="715" t="s">
        <v>1056</v>
      </c>
      <c r="K562" s="714"/>
      <c r="L562" s="714"/>
      <c r="M562" s="714"/>
    </row>
    <row r="563" spans="1:13">
      <c r="A563" s="654">
        <v>20140101</v>
      </c>
      <c r="B563" s="656" t="s">
        <v>1035</v>
      </c>
      <c r="C563" s="656" t="s">
        <v>350</v>
      </c>
      <c r="D563" s="657" t="str">
        <f t="shared" si="34"/>
        <v>20140101KUUM_372</v>
      </c>
      <c r="E563" s="712">
        <v>82.3</v>
      </c>
      <c r="F563" s="713">
        <v>724</v>
      </c>
      <c r="G563" s="658">
        <v>2.41</v>
      </c>
      <c r="H563" s="658">
        <v>1.75</v>
      </c>
      <c r="I563" s="658">
        <f t="shared" si="35"/>
        <v>78.14</v>
      </c>
      <c r="J563" s="714" t="s">
        <v>259</v>
      </c>
      <c r="K563" s="714"/>
      <c r="L563" s="714"/>
      <c r="M563" s="714"/>
    </row>
    <row r="564" spans="1:13">
      <c r="A564" s="654">
        <v>20140101</v>
      </c>
      <c r="B564" s="656" t="s">
        <v>1035</v>
      </c>
      <c r="C564" s="656" t="s">
        <v>342</v>
      </c>
      <c r="D564" s="657" t="str">
        <f t="shared" si="34"/>
        <v>20140101KUUM_373</v>
      </c>
      <c r="E564" s="712">
        <v>74.52</v>
      </c>
      <c r="F564" s="713">
        <v>724</v>
      </c>
      <c r="G564" s="658">
        <v>2.41</v>
      </c>
      <c r="H564" s="658">
        <v>1.75</v>
      </c>
      <c r="I564" s="658">
        <f t="shared" si="35"/>
        <v>70.36</v>
      </c>
      <c r="J564" s="714" t="s">
        <v>251</v>
      </c>
      <c r="K564" s="714"/>
      <c r="L564" s="714"/>
      <c r="M564" s="714"/>
    </row>
    <row r="565" spans="1:13">
      <c r="A565" s="654">
        <v>20140101</v>
      </c>
      <c r="B565" s="656" t="s">
        <v>1035</v>
      </c>
      <c r="C565" s="656" t="s">
        <v>346</v>
      </c>
      <c r="D565" s="657" t="str">
        <f t="shared" si="34"/>
        <v>20140101KUUM_374</v>
      </c>
      <c r="E565" s="712">
        <v>75.88</v>
      </c>
      <c r="F565" s="713">
        <v>724</v>
      </c>
      <c r="G565" s="658">
        <v>2.41</v>
      </c>
      <c r="H565" s="658">
        <v>1.75</v>
      </c>
      <c r="I565" s="658">
        <f t="shared" si="35"/>
        <v>71.72</v>
      </c>
      <c r="J565" s="714" t="s">
        <v>255</v>
      </c>
      <c r="K565" s="714"/>
      <c r="L565" s="714"/>
      <c r="M565" s="714"/>
    </row>
    <row r="566" spans="1:13">
      <c r="A566" s="654">
        <v>20140101</v>
      </c>
      <c r="B566" s="656" t="s">
        <v>1035</v>
      </c>
      <c r="C566" s="656" t="s">
        <v>353</v>
      </c>
      <c r="D566" s="657" t="str">
        <f t="shared" si="34"/>
        <v>20140101KUUM_375</v>
      </c>
      <c r="E566" s="712">
        <v>78.97</v>
      </c>
      <c r="F566" s="713">
        <v>724</v>
      </c>
      <c r="G566" s="658">
        <v>2.41</v>
      </c>
      <c r="H566" s="658">
        <v>1.75</v>
      </c>
      <c r="I566" s="658">
        <f t="shared" si="35"/>
        <v>74.81</v>
      </c>
      <c r="J566" s="714" t="s">
        <v>262</v>
      </c>
      <c r="K566" s="714"/>
      <c r="L566" s="714"/>
      <c r="M566" s="714"/>
    </row>
    <row r="567" spans="1:13">
      <c r="A567" s="654">
        <v>20140101</v>
      </c>
      <c r="B567" s="656" t="s">
        <v>1035</v>
      </c>
      <c r="C567" s="656" t="s">
        <v>345</v>
      </c>
      <c r="D567" s="657" t="str">
        <f t="shared" si="34"/>
        <v>20140101KUUM_376</v>
      </c>
      <c r="E567" s="712">
        <v>77.259999999999991</v>
      </c>
      <c r="F567" s="713">
        <v>724</v>
      </c>
      <c r="G567" s="658">
        <v>2.41</v>
      </c>
      <c r="H567" s="658">
        <v>1.75</v>
      </c>
      <c r="I567" s="658">
        <f t="shared" si="35"/>
        <v>73.099999999999994</v>
      </c>
      <c r="J567" s="714" t="s">
        <v>254</v>
      </c>
      <c r="K567" s="714"/>
      <c r="L567" s="714"/>
      <c r="M567" s="714"/>
    </row>
    <row r="568" spans="1:13">
      <c r="A568" s="654">
        <v>20140101</v>
      </c>
      <c r="B568" s="656" t="s">
        <v>1035</v>
      </c>
      <c r="C568" s="656" t="s">
        <v>343</v>
      </c>
      <c r="D568" s="657" t="str">
        <f t="shared" si="34"/>
        <v>20140101KUUM_377</v>
      </c>
      <c r="E568" s="712">
        <v>64.19</v>
      </c>
      <c r="F568" s="713">
        <v>724</v>
      </c>
      <c r="G568" s="658">
        <v>2.41</v>
      </c>
      <c r="H568" s="658">
        <v>1.75</v>
      </c>
      <c r="I568" s="658">
        <f t="shared" si="35"/>
        <v>60.03</v>
      </c>
      <c r="J568" s="714" t="s">
        <v>252</v>
      </c>
      <c r="K568" s="714"/>
      <c r="L568" s="714"/>
      <c r="M568" s="714"/>
    </row>
    <row r="569" spans="1:13">
      <c r="A569" s="654">
        <v>20140101</v>
      </c>
      <c r="B569" s="656" t="s">
        <v>1035</v>
      </c>
      <c r="C569" s="660" t="s">
        <v>472</v>
      </c>
      <c r="D569" s="657" t="str">
        <f t="shared" si="34"/>
        <v>20140101KUUM_378</v>
      </c>
      <c r="E569" s="712">
        <v>75.899999999999991</v>
      </c>
      <c r="F569" s="713">
        <v>724</v>
      </c>
      <c r="G569" s="658">
        <v>2.41</v>
      </c>
      <c r="H569" s="658">
        <v>1.75</v>
      </c>
      <c r="I569" s="658">
        <f t="shared" si="35"/>
        <v>71.739999999999995</v>
      </c>
      <c r="J569" s="715" t="s">
        <v>471</v>
      </c>
      <c r="K569" s="714"/>
      <c r="L569" s="714"/>
      <c r="M569" s="714"/>
    </row>
    <row r="570" spans="1:13">
      <c r="A570" s="654">
        <v>20140101</v>
      </c>
      <c r="B570" s="656" t="s">
        <v>1035</v>
      </c>
      <c r="C570" s="716" t="s">
        <v>645</v>
      </c>
      <c r="D570" s="717" t="str">
        <f t="shared" si="34"/>
        <v>20140101KUUM_379</v>
      </c>
      <c r="E570" s="712">
        <v>80.839999999999989</v>
      </c>
      <c r="F570" s="718">
        <v>724</v>
      </c>
      <c r="G570" s="658">
        <v>2.41</v>
      </c>
      <c r="H570" s="719">
        <v>1.75</v>
      </c>
      <c r="I570" s="658">
        <f t="shared" si="35"/>
        <v>76.679999999999993</v>
      </c>
      <c r="J570" s="720" t="s">
        <v>716</v>
      </c>
      <c r="K570" s="721"/>
      <c r="L570" s="721"/>
      <c r="M570" s="721"/>
    </row>
    <row r="571" spans="1:13">
      <c r="A571" s="654">
        <v>20140101</v>
      </c>
      <c r="B571" s="656" t="s">
        <v>1035</v>
      </c>
      <c r="C571" s="716" t="s">
        <v>646</v>
      </c>
      <c r="D571" s="717" t="str">
        <f t="shared" si="34"/>
        <v>20140101KUUM_380</v>
      </c>
      <c r="E571" s="712">
        <v>84.759999999999991</v>
      </c>
      <c r="F571" s="718">
        <v>724</v>
      </c>
      <c r="G571" s="658">
        <v>2.41</v>
      </c>
      <c r="H571" s="719">
        <v>1.75</v>
      </c>
      <c r="I571" s="658">
        <f t="shared" si="35"/>
        <v>80.599999999999994</v>
      </c>
      <c r="J571" s="720" t="s">
        <v>717</v>
      </c>
      <c r="K571" s="721"/>
      <c r="L571" s="721"/>
      <c r="M571" s="721"/>
    </row>
    <row r="572" spans="1:13">
      <c r="A572" s="654">
        <v>20140101</v>
      </c>
      <c r="B572" s="656" t="s">
        <v>1035</v>
      </c>
      <c r="C572" s="716" t="s">
        <v>647</v>
      </c>
      <c r="D572" s="717" t="str">
        <f t="shared" si="34"/>
        <v>20140101KUUM_381</v>
      </c>
      <c r="E572" s="712">
        <v>86.11999999999999</v>
      </c>
      <c r="F572" s="718">
        <v>724</v>
      </c>
      <c r="G572" s="658">
        <v>2.41</v>
      </c>
      <c r="H572" s="719">
        <v>1.75</v>
      </c>
      <c r="I572" s="658">
        <f t="shared" si="35"/>
        <v>81.96</v>
      </c>
      <c r="J572" s="720" t="s">
        <v>718</v>
      </c>
      <c r="K572" s="721"/>
      <c r="L572" s="721"/>
      <c r="M572" s="721"/>
    </row>
    <row r="573" spans="1:13">
      <c r="A573" s="654">
        <v>20140101</v>
      </c>
      <c r="B573" s="656" t="s">
        <v>1035</v>
      </c>
      <c r="C573" s="716" t="s">
        <v>648</v>
      </c>
      <c r="D573" s="717" t="str">
        <f t="shared" si="34"/>
        <v>20140101KUUM_382</v>
      </c>
      <c r="E573" s="712">
        <v>83.219999999999985</v>
      </c>
      <c r="F573" s="718">
        <v>724</v>
      </c>
      <c r="G573" s="658">
        <v>2.41</v>
      </c>
      <c r="H573" s="719">
        <v>1.75</v>
      </c>
      <c r="I573" s="658">
        <f t="shared" si="35"/>
        <v>79.059999999999988</v>
      </c>
      <c r="J573" s="720" t="s">
        <v>719</v>
      </c>
      <c r="K573" s="721"/>
      <c r="L573" s="721"/>
      <c r="M573" s="721"/>
    </row>
    <row r="574" spans="1:13">
      <c r="A574" s="654">
        <v>20140101</v>
      </c>
      <c r="B574" s="656" t="s">
        <v>1035</v>
      </c>
      <c r="C574" s="656" t="s">
        <v>340</v>
      </c>
      <c r="D574" s="657" t="str">
        <f t="shared" si="34"/>
        <v>20140101KUUM_395</v>
      </c>
      <c r="E574" s="712">
        <v>55.33</v>
      </c>
      <c r="F574" s="713">
        <v>724</v>
      </c>
      <c r="G574" s="658">
        <v>2.41</v>
      </c>
      <c r="H574" s="658">
        <v>1.75</v>
      </c>
      <c r="I574" s="658">
        <f t="shared" si="35"/>
        <v>51.17</v>
      </c>
      <c r="J574" s="714" t="s">
        <v>249</v>
      </c>
      <c r="K574" s="714"/>
      <c r="L574" s="714"/>
      <c r="M574" s="714"/>
    </row>
    <row r="575" spans="1:13">
      <c r="A575" s="654">
        <v>20140101</v>
      </c>
      <c r="B575" s="656"/>
      <c r="C575" s="660" t="s">
        <v>426</v>
      </c>
      <c r="D575" s="657" t="str">
        <f t="shared" si="34"/>
        <v>20140101KUUM_400</v>
      </c>
      <c r="E575" s="712"/>
      <c r="F575" s="713">
        <v>240</v>
      </c>
      <c r="G575" s="658"/>
      <c r="H575" s="658"/>
      <c r="I575" s="658">
        <f t="shared" si="35"/>
        <v>0</v>
      </c>
      <c r="J575" s="715" t="s">
        <v>427</v>
      </c>
      <c r="K575" s="714"/>
      <c r="L575" s="714"/>
      <c r="M575" s="714"/>
    </row>
    <row r="576" spans="1:13">
      <c r="A576" s="654">
        <v>20140101</v>
      </c>
      <c r="B576" s="656" t="s">
        <v>1035</v>
      </c>
      <c r="C576" s="656" t="s">
        <v>382</v>
      </c>
      <c r="D576" s="657" t="str">
        <f t="shared" si="34"/>
        <v>20140101KUUM_401</v>
      </c>
      <c r="E576" s="712">
        <v>14.860000000000001</v>
      </c>
      <c r="F576" s="713">
        <v>332</v>
      </c>
      <c r="G576" s="658">
        <v>0.43</v>
      </c>
      <c r="H576" s="658">
        <v>0.80000000000000071</v>
      </c>
      <c r="I576" s="658">
        <f t="shared" si="35"/>
        <v>13.63</v>
      </c>
      <c r="J576" s="714" t="s">
        <v>291</v>
      </c>
      <c r="K576" s="714"/>
      <c r="L576" s="714"/>
      <c r="M576" s="714"/>
    </row>
    <row r="577" spans="1:13">
      <c r="A577" s="654">
        <v>20140101</v>
      </c>
      <c r="B577" s="656" t="s">
        <v>1036</v>
      </c>
      <c r="C577" s="656" t="s">
        <v>402</v>
      </c>
      <c r="D577" s="657" t="str">
        <f t="shared" si="34"/>
        <v>20140101KUUM_404</v>
      </c>
      <c r="E577" s="712">
        <v>10.570000000000002</v>
      </c>
      <c r="F577" s="713">
        <v>828</v>
      </c>
      <c r="G577" s="658">
        <v>0.39</v>
      </c>
      <c r="H577" s="658">
        <v>1.9900000000000002</v>
      </c>
      <c r="I577" s="658">
        <f t="shared" si="35"/>
        <v>8.1900000000000013</v>
      </c>
      <c r="J577" s="714" t="s">
        <v>311</v>
      </c>
      <c r="K577" s="714"/>
      <c r="L577" s="714"/>
      <c r="M577" s="714"/>
    </row>
    <row r="578" spans="1:13">
      <c r="A578" s="654">
        <v>20140101</v>
      </c>
      <c r="B578" s="656" t="s">
        <v>1036</v>
      </c>
      <c r="C578" s="656" t="s">
        <v>358</v>
      </c>
      <c r="D578" s="657" t="str">
        <f t="shared" si="34"/>
        <v>20140101KUUM_405</v>
      </c>
      <c r="E578" s="712"/>
      <c r="F578" s="713">
        <v>1812</v>
      </c>
      <c r="G578" s="658"/>
      <c r="H578" s="658"/>
      <c r="I578" s="658">
        <f t="shared" si="35"/>
        <v>0</v>
      </c>
      <c r="J578" s="714" t="s">
        <v>267</v>
      </c>
      <c r="K578" s="714"/>
      <c r="L578" s="714"/>
      <c r="M578" s="714"/>
    </row>
    <row r="579" spans="1:13">
      <c r="A579" s="654">
        <v>20140101</v>
      </c>
      <c r="B579" s="656"/>
      <c r="C579" s="660" t="s">
        <v>730</v>
      </c>
      <c r="D579" s="657" t="str">
        <f t="shared" si="34"/>
        <v>20140101KUUM_406</v>
      </c>
      <c r="E579" s="712"/>
      <c r="F579" s="713">
        <v>828</v>
      </c>
      <c r="G579" s="658"/>
      <c r="H579" s="658"/>
      <c r="I579" s="658">
        <f t="shared" si="35"/>
        <v>0</v>
      </c>
      <c r="J579" s="714" t="s">
        <v>729</v>
      </c>
      <c r="K579" s="714"/>
      <c r="L579" s="714"/>
      <c r="M579" s="714"/>
    </row>
    <row r="580" spans="1:13">
      <c r="A580" s="654">
        <v>20140101</v>
      </c>
      <c r="B580" s="656" t="s">
        <v>1035</v>
      </c>
      <c r="C580" s="656" t="s">
        <v>394</v>
      </c>
      <c r="D580" s="657" t="str">
        <f>A580&amp;C580</f>
        <v>20140101KUUM_407</v>
      </c>
      <c r="E580" s="712"/>
      <c r="F580" s="713">
        <v>1884</v>
      </c>
      <c r="G580" s="658"/>
      <c r="H580" s="658"/>
      <c r="I580" s="658">
        <f t="shared" si="35"/>
        <v>0</v>
      </c>
      <c r="J580" s="714" t="s">
        <v>303</v>
      </c>
      <c r="K580" s="714"/>
      <c r="L580" s="714"/>
      <c r="M580" s="714"/>
    </row>
    <row r="581" spans="1:13">
      <c r="A581" s="654">
        <v>20140101</v>
      </c>
      <c r="B581" s="656" t="s">
        <v>1036</v>
      </c>
      <c r="C581" s="656" t="s">
        <v>359</v>
      </c>
      <c r="D581" s="657" t="str">
        <f>A581&amp;C581</f>
        <v>20140101KUUM_408</v>
      </c>
      <c r="E581" s="712"/>
      <c r="F581" s="713">
        <v>1812</v>
      </c>
      <c r="G581" s="658"/>
      <c r="H581" s="658"/>
      <c r="I581" s="658">
        <f t="shared" si="35"/>
        <v>0</v>
      </c>
      <c r="J581" s="714" t="s">
        <v>268</v>
      </c>
      <c r="K581" s="714"/>
      <c r="L581" s="714"/>
      <c r="M581" s="714"/>
    </row>
    <row r="582" spans="1:13">
      <c r="A582" s="654">
        <v>20140101</v>
      </c>
      <c r="B582" s="656" t="s">
        <v>1036</v>
      </c>
      <c r="C582" s="656" t="s">
        <v>398</v>
      </c>
      <c r="D582" s="657" t="str">
        <f>A582&amp;C582</f>
        <v>20140101KUUM_409</v>
      </c>
      <c r="E582" s="712">
        <v>11.71</v>
      </c>
      <c r="F582" s="713">
        <v>1884</v>
      </c>
      <c r="G582" s="658">
        <v>0.79</v>
      </c>
      <c r="H582" s="658">
        <v>4.5299999999999994</v>
      </c>
      <c r="I582" s="658">
        <f t="shared" si="35"/>
        <v>6.3900000000000023</v>
      </c>
      <c r="J582" s="714" t="s">
        <v>307</v>
      </c>
      <c r="K582" s="714"/>
      <c r="L582" s="714"/>
      <c r="M582" s="714"/>
    </row>
    <row r="583" spans="1:13">
      <c r="A583" s="654">
        <v>20140101</v>
      </c>
      <c r="B583" s="656" t="s">
        <v>1036</v>
      </c>
      <c r="C583" s="656" t="s">
        <v>376</v>
      </c>
      <c r="D583" s="657" t="str">
        <f>A583&amp;C583</f>
        <v>20140101KUUM_410</v>
      </c>
      <c r="E583" s="712">
        <v>20.259999999999998</v>
      </c>
      <c r="F583" s="713">
        <v>240</v>
      </c>
      <c r="G583" s="658">
        <v>0.33</v>
      </c>
      <c r="H583" s="658">
        <v>0.57000000000000028</v>
      </c>
      <c r="I583" s="658">
        <f t="shared" si="35"/>
        <v>19.36</v>
      </c>
      <c r="J583" s="714" t="s">
        <v>285</v>
      </c>
      <c r="K583" s="714"/>
      <c r="L583" s="714"/>
      <c r="M583" s="714"/>
    </row>
    <row r="584" spans="1:13">
      <c r="A584" s="654">
        <v>20140101</v>
      </c>
      <c r="B584" s="656" t="s">
        <v>1035</v>
      </c>
      <c r="C584" s="656" t="s">
        <v>384</v>
      </c>
      <c r="D584" s="657" t="str">
        <f>A584&amp;C584</f>
        <v>20140101KUUM_411</v>
      </c>
      <c r="E584" s="712">
        <v>21.38</v>
      </c>
      <c r="F584" s="713">
        <v>332</v>
      </c>
      <c r="G584" s="658">
        <v>0.43</v>
      </c>
      <c r="H584" s="658">
        <v>0.79999999999999716</v>
      </c>
      <c r="I584" s="658">
        <f t="shared" si="35"/>
        <v>20.150000000000002</v>
      </c>
      <c r="J584" s="714" t="s">
        <v>293</v>
      </c>
      <c r="K584" s="714"/>
      <c r="L584" s="714"/>
      <c r="M584" s="714"/>
    </row>
    <row r="585" spans="1:13">
      <c r="A585" s="654">
        <v>20140101</v>
      </c>
      <c r="B585" s="656" t="s">
        <v>1036</v>
      </c>
      <c r="C585" s="656" t="s">
        <v>386</v>
      </c>
      <c r="D585" s="657" t="str">
        <f t="shared" ref="D585:D648" si="36">A585&amp;C585</f>
        <v>20140101KUUM_412</v>
      </c>
      <c r="E585" s="712">
        <v>30.84</v>
      </c>
      <c r="F585" s="713">
        <v>332</v>
      </c>
      <c r="G585" s="658">
        <v>0.43</v>
      </c>
      <c r="H585" s="658">
        <v>0.79999999999999716</v>
      </c>
      <c r="I585" s="658">
        <f t="shared" si="35"/>
        <v>29.610000000000003</v>
      </c>
      <c r="J585" s="714" t="s">
        <v>295</v>
      </c>
      <c r="K585" s="714"/>
      <c r="L585" s="714"/>
      <c r="M585" s="714"/>
    </row>
    <row r="586" spans="1:13">
      <c r="A586" s="654">
        <v>20140101</v>
      </c>
      <c r="B586" s="656" t="s">
        <v>1036</v>
      </c>
      <c r="C586" s="656" t="s">
        <v>409</v>
      </c>
      <c r="D586" s="657" t="str">
        <f t="shared" si="36"/>
        <v>20140101KUUM_413</v>
      </c>
      <c r="E586" s="712">
        <v>31.22</v>
      </c>
      <c r="F586" s="713">
        <v>468</v>
      </c>
      <c r="G586" s="658">
        <v>0.34</v>
      </c>
      <c r="H586" s="658">
        <v>1.129999999999999</v>
      </c>
      <c r="I586" s="658">
        <f t="shared" si="35"/>
        <v>29.75</v>
      </c>
      <c r="J586" s="714" t="s">
        <v>318</v>
      </c>
      <c r="K586" s="714"/>
      <c r="L586" s="714"/>
      <c r="M586" s="714"/>
    </row>
    <row r="587" spans="1:13">
      <c r="A587" s="654">
        <v>20140101</v>
      </c>
      <c r="B587" s="656" t="s">
        <v>1035</v>
      </c>
      <c r="C587" s="656" t="s">
        <v>387</v>
      </c>
      <c r="D587" s="657" t="str">
        <f t="shared" si="36"/>
        <v>20140101KUUM_414</v>
      </c>
      <c r="E587" s="712">
        <v>30.84</v>
      </c>
      <c r="F587" s="713">
        <v>332</v>
      </c>
      <c r="G587" s="658">
        <v>0.43</v>
      </c>
      <c r="H587" s="658">
        <v>0.79999999999999716</v>
      </c>
      <c r="I587" s="658">
        <f t="shared" si="35"/>
        <v>29.610000000000003</v>
      </c>
      <c r="J587" s="714" t="s">
        <v>296</v>
      </c>
      <c r="K587" s="714"/>
      <c r="L587" s="714"/>
      <c r="M587" s="714"/>
    </row>
    <row r="588" spans="1:13">
      <c r="A588" s="654">
        <v>20140101</v>
      </c>
      <c r="B588" s="656" t="s">
        <v>1035</v>
      </c>
      <c r="C588" s="656" t="s">
        <v>410</v>
      </c>
      <c r="D588" s="657" t="str">
        <f t="shared" si="36"/>
        <v>20140101KUUM_415</v>
      </c>
      <c r="E588" s="712">
        <v>31.22</v>
      </c>
      <c r="F588" s="713">
        <v>468</v>
      </c>
      <c r="G588" s="658">
        <v>0.34</v>
      </c>
      <c r="H588" s="658">
        <v>1.129999999999999</v>
      </c>
      <c r="I588" s="658">
        <f t="shared" si="35"/>
        <v>29.75</v>
      </c>
      <c r="J588" s="714" t="s">
        <v>319</v>
      </c>
      <c r="K588" s="714"/>
      <c r="L588" s="714"/>
      <c r="M588" s="714"/>
    </row>
    <row r="589" spans="1:13">
      <c r="A589" s="654">
        <v>20140101</v>
      </c>
      <c r="B589" s="656" t="s">
        <v>1035</v>
      </c>
      <c r="C589" s="656" t="s">
        <v>405</v>
      </c>
      <c r="D589" s="657" t="str">
        <f t="shared" si="36"/>
        <v>20140101KUUM_420</v>
      </c>
      <c r="E589" s="712">
        <v>15.360000000000001</v>
      </c>
      <c r="F589" s="713">
        <v>468</v>
      </c>
      <c r="G589" s="658">
        <v>0.34</v>
      </c>
      <c r="H589" s="658">
        <v>1.1300000000000008</v>
      </c>
      <c r="I589" s="658">
        <f t="shared" si="35"/>
        <v>13.89</v>
      </c>
      <c r="J589" s="714" t="s">
        <v>314</v>
      </c>
      <c r="K589" s="714"/>
      <c r="L589" s="714"/>
      <c r="M589" s="714"/>
    </row>
    <row r="590" spans="1:13">
      <c r="A590" s="654">
        <v>20140101</v>
      </c>
      <c r="B590" s="656" t="s">
        <v>1036</v>
      </c>
      <c r="C590" s="656" t="s">
        <v>326</v>
      </c>
      <c r="D590" s="657" t="str">
        <f t="shared" si="36"/>
        <v>20140101KUUM_421</v>
      </c>
      <c r="E590" s="712">
        <v>3.39</v>
      </c>
      <c r="F590" s="713">
        <v>408</v>
      </c>
      <c r="G590" s="658">
        <v>0.12</v>
      </c>
      <c r="H590" s="658">
        <v>0.98999999999999977</v>
      </c>
      <c r="I590" s="658">
        <f t="shared" si="35"/>
        <v>2.2800000000000002</v>
      </c>
      <c r="J590" s="658" t="s">
        <v>235</v>
      </c>
      <c r="K590" s="714"/>
      <c r="L590" s="714"/>
      <c r="M590" s="714"/>
    </row>
    <row r="591" spans="1:13">
      <c r="A591" s="654">
        <v>20140101</v>
      </c>
      <c r="B591" s="656" t="s">
        <v>1036</v>
      </c>
      <c r="C591" s="656" t="s">
        <v>356</v>
      </c>
      <c r="D591" s="657" t="str">
        <f t="shared" si="36"/>
        <v>20140101KUUM_422</v>
      </c>
      <c r="E591" s="712">
        <v>4.5400000000000009</v>
      </c>
      <c r="F591" s="713">
        <v>804</v>
      </c>
      <c r="G591" s="658">
        <v>0.16</v>
      </c>
      <c r="H591" s="658">
        <v>1.9400000000000004</v>
      </c>
      <c r="I591" s="658">
        <f t="shared" si="35"/>
        <v>2.4400000000000004</v>
      </c>
      <c r="J591" s="714" t="s">
        <v>265</v>
      </c>
      <c r="K591" s="714"/>
      <c r="L591" s="714"/>
      <c r="M591" s="714"/>
    </row>
    <row r="592" spans="1:13">
      <c r="A592" s="654">
        <v>20140101</v>
      </c>
      <c r="B592" s="656" t="s">
        <v>1036</v>
      </c>
      <c r="C592" s="656" t="s">
        <v>374</v>
      </c>
      <c r="D592" s="657" t="str">
        <f t="shared" si="36"/>
        <v>20140101KUUM_424</v>
      </c>
      <c r="E592" s="712">
        <v>6.78</v>
      </c>
      <c r="F592" s="713">
        <v>1308</v>
      </c>
      <c r="G592" s="658">
        <v>0.24</v>
      </c>
      <c r="H592" s="658">
        <v>0.69999999999999929</v>
      </c>
      <c r="I592" s="658">
        <f t="shared" si="35"/>
        <v>5.8400000000000007</v>
      </c>
      <c r="J592" s="714" t="s">
        <v>283</v>
      </c>
      <c r="K592" s="714"/>
      <c r="L592" s="714"/>
      <c r="M592" s="714"/>
    </row>
    <row r="593" spans="1:13">
      <c r="A593" s="654">
        <v>20140101</v>
      </c>
      <c r="B593" s="656" t="s">
        <v>1036</v>
      </c>
      <c r="C593" s="656" t="s">
        <v>399</v>
      </c>
      <c r="D593" s="657" t="str">
        <f t="shared" si="36"/>
        <v>20140101KUUM_425</v>
      </c>
      <c r="E593" s="712">
        <v>9.06</v>
      </c>
      <c r="F593" s="713">
        <v>1788</v>
      </c>
      <c r="G593" s="658">
        <v>0.33</v>
      </c>
      <c r="H593" s="658">
        <v>4.3000000000000007</v>
      </c>
      <c r="I593" s="658">
        <f t="shared" si="35"/>
        <v>4.43</v>
      </c>
      <c r="J593" s="714" t="s">
        <v>308</v>
      </c>
      <c r="K593" s="714"/>
      <c r="L593" s="714"/>
      <c r="M593" s="714"/>
    </row>
    <row r="594" spans="1:13">
      <c r="A594" s="654">
        <v>20140101</v>
      </c>
      <c r="B594" s="656" t="s">
        <v>1036</v>
      </c>
      <c r="C594" s="656" t="s">
        <v>391</v>
      </c>
      <c r="D594" s="657" t="str">
        <f t="shared" si="36"/>
        <v>20140101KUUM_426</v>
      </c>
      <c r="E594" s="712">
        <v>7.4399999999999995</v>
      </c>
      <c r="F594" s="713">
        <v>332</v>
      </c>
      <c r="G594" s="658">
        <v>0.43</v>
      </c>
      <c r="H594" s="658">
        <v>0.79999999999999982</v>
      </c>
      <c r="I594" s="658">
        <f t="shared" si="35"/>
        <v>6.21</v>
      </c>
      <c r="J594" s="714" t="s">
        <v>300</v>
      </c>
      <c r="K594" s="714"/>
      <c r="L594" s="714"/>
      <c r="M594" s="714"/>
    </row>
    <row r="595" spans="1:13">
      <c r="A595" s="654">
        <v>20140101</v>
      </c>
      <c r="B595" s="656" t="s">
        <v>1035</v>
      </c>
      <c r="C595" s="656" t="s">
        <v>416</v>
      </c>
      <c r="D595" s="657" t="str">
        <f t="shared" si="36"/>
        <v>20140101KUUM_428</v>
      </c>
      <c r="E595" s="712">
        <v>7.84</v>
      </c>
      <c r="F595" s="713">
        <v>468</v>
      </c>
      <c r="G595" s="658">
        <v>0.34</v>
      </c>
      <c r="H595" s="658">
        <v>1.1299999999999999</v>
      </c>
      <c r="I595" s="658">
        <f t="shared" si="35"/>
        <v>6.37</v>
      </c>
      <c r="J595" s="714" t="s">
        <v>325</v>
      </c>
      <c r="K595" s="714"/>
      <c r="L595" s="714"/>
      <c r="M595" s="714"/>
    </row>
    <row r="596" spans="1:13">
      <c r="A596" s="654">
        <v>20140101</v>
      </c>
      <c r="B596" s="656" t="s">
        <v>1035</v>
      </c>
      <c r="C596" s="656" t="s">
        <v>362</v>
      </c>
      <c r="D596" s="657" t="str">
        <f t="shared" si="36"/>
        <v>20140101KUUM_429</v>
      </c>
      <c r="E596" s="712"/>
      <c r="F596" s="713">
        <v>968</v>
      </c>
      <c r="G596" s="658"/>
      <c r="H596" s="658"/>
      <c r="I596" s="658">
        <f t="shared" si="35"/>
        <v>0</v>
      </c>
      <c r="J596" s="714" t="s">
        <v>271</v>
      </c>
      <c r="K596" s="714"/>
      <c r="L596" s="714"/>
      <c r="M596" s="714"/>
    </row>
    <row r="597" spans="1:13">
      <c r="A597" s="654">
        <v>20140101</v>
      </c>
      <c r="B597" s="656" t="s">
        <v>1035</v>
      </c>
      <c r="C597" s="656" t="s">
        <v>407</v>
      </c>
      <c r="D597" s="657" t="str">
        <f t="shared" si="36"/>
        <v>20140101KUUM_430</v>
      </c>
      <c r="E597" s="712">
        <v>22</v>
      </c>
      <c r="F597" s="713">
        <v>468</v>
      </c>
      <c r="G597" s="658">
        <v>0.34</v>
      </c>
      <c r="H597" s="658">
        <v>1.129999999999999</v>
      </c>
      <c r="I597" s="658">
        <f t="shared" si="35"/>
        <v>20.53</v>
      </c>
      <c r="J597" s="714" t="s">
        <v>316</v>
      </c>
      <c r="K597" s="714"/>
      <c r="L597" s="714"/>
      <c r="M597" s="714"/>
    </row>
    <row r="598" spans="1:13">
      <c r="A598" s="654">
        <v>20140101</v>
      </c>
      <c r="B598" s="656"/>
      <c r="C598" s="660" t="s">
        <v>418</v>
      </c>
      <c r="D598" s="657" t="str">
        <f t="shared" si="36"/>
        <v>20140101KUUM_431</v>
      </c>
      <c r="E598" s="712"/>
      <c r="F598" s="713">
        <v>408</v>
      </c>
      <c r="G598" s="658"/>
      <c r="H598" s="658"/>
      <c r="I598" s="658">
        <f t="shared" si="35"/>
        <v>0</v>
      </c>
      <c r="J598" s="722" t="s">
        <v>419</v>
      </c>
      <c r="K598" s="714"/>
      <c r="L598" s="714"/>
      <c r="M598" s="714"/>
    </row>
    <row r="599" spans="1:13">
      <c r="A599" s="654">
        <v>20140101</v>
      </c>
      <c r="B599" s="656"/>
      <c r="C599" s="660" t="s">
        <v>420</v>
      </c>
      <c r="D599" s="657" t="str">
        <f t="shared" si="36"/>
        <v>20140101KUUM_432</v>
      </c>
      <c r="E599" s="712"/>
      <c r="F599" s="713">
        <v>804</v>
      </c>
      <c r="G599" s="658"/>
      <c r="H599" s="658"/>
      <c r="I599" s="658">
        <f t="shared" si="35"/>
        <v>0</v>
      </c>
      <c r="J599" s="715" t="s">
        <v>421</v>
      </c>
      <c r="K599" s="714"/>
      <c r="L599" s="714"/>
      <c r="M599" s="714"/>
    </row>
    <row r="600" spans="1:13">
      <c r="A600" s="654">
        <v>20140101</v>
      </c>
      <c r="B600" s="656"/>
      <c r="C600" s="660" t="s">
        <v>422</v>
      </c>
      <c r="D600" s="657" t="str">
        <f t="shared" si="36"/>
        <v>20140101KUUM_433</v>
      </c>
      <c r="E600" s="712"/>
      <c r="F600" s="713">
        <v>724</v>
      </c>
      <c r="G600" s="658"/>
      <c r="H600" s="658"/>
      <c r="I600" s="658">
        <f t="shared" si="35"/>
        <v>0</v>
      </c>
      <c r="J600" s="715" t="s">
        <v>423</v>
      </c>
      <c r="K600" s="714"/>
      <c r="L600" s="714"/>
      <c r="M600" s="714"/>
    </row>
    <row r="601" spans="1:13">
      <c r="A601" s="654">
        <v>20140101</v>
      </c>
      <c r="B601" s="656" t="s">
        <v>1036</v>
      </c>
      <c r="C601" s="656" t="s">
        <v>373</v>
      </c>
      <c r="D601" s="657" t="str">
        <f t="shared" si="36"/>
        <v>20140101KUUM_434</v>
      </c>
      <c r="E601" s="712">
        <v>7.74</v>
      </c>
      <c r="F601" s="713">
        <v>1308</v>
      </c>
      <c r="G601" s="658">
        <v>0.24</v>
      </c>
      <c r="H601" s="658">
        <v>0.69999999999999929</v>
      </c>
      <c r="I601" s="658">
        <f t="shared" si="35"/>
        <v>6.8000000000000007</v>
      </c>
      <c r="J601" s="714" t="s">
        <v>282</v>
      </c>
      <c r="K601" s="714"/>
      <c r="L601" s="714"/>
      <c r="M601" s="714"/>
    </row>
    <row r="602" spans="1:13">
      <c r="A602" s="654">
        <v>20140101</v>
      </c>
      <c r="B602" s="656"/>
      <c r="C602" s="660" t="s">
        <v>424</v>
      </c>
      <c r="D602" s="657" t="str">
        <f t="shared" si="36"/>
        <v>20140101KUUM_435</v>
      </c>
      <c r="E602" s="712"/>
      <c r="F602" s="713">
        <v>1788</v>
      </c>
      <c r="G602" s="658"/>
      <c r="H602" s="658"/>
      <c r="I602" s="658">
        <f t="shared" si="35"/>
        <v>0</v>
      </c>
      <c r="J602" s="715" t="s">
        <v>425</v>
      </c>
      <c r="K602" s="714"/>
      <c r="L602" s="714"/>
      <c r="M602" s="714"/>
    </row>
    <row r="603" spans="1:13">
      <c r="A603" s="654">
        <v>20140101</v>
      </c>
      <c r="B603" s="656" t="s">
        <v>1036</v>
      </c>
      <c r="C603" s="656" t="s">
        <v>375</v>
      </c>
      <c r="D603" s="657" t="str">
        <f t="shared" si="36"/>
        <v>20140101KUUM_440</v>
      </c>
      <c r="E603" s="712">
        <v>13.610000000000001</v>
      </c>
      <c r="F603" s="713">
        <v>240</v>
      </c>
      <c r="G603" s="658">
        <v>0.33</v>
      </c>
      <c r="H603" s="658">
        <v>0.57000000000000028</v>
      </c>
      <c r="I603" s="658">
        <f t="shared" si="35"/>
        <v>12.71</v>
      </c>
      <c r="J603" s="714" t="s">
        <v>284</v>
      </c>
      <c r="K603" s="714"/>
      <c r="L603" s="714"/>
      <c r="M603" s="714"/>
    </row>
    <row r="604" spans="1:13">
      <c r="A604" s="654">
        <v>20140101</v>
      </c>
      <c r="B604" s="656" t="s">
        <v>1035</v>
      </c>
      <c r="C604" s="656" t="s">
        <v>383</v>
      </c>
      <c r="D604" s="657" t="str">
        <f t="shared" si="36"/>
        <v>20140101KUUM_441</v>
      </c>
      <c r="E604" s="712"/>
      <c r="F604" s="713">
        <v>332</v>
      </c>
      <c r="G604" s="658"/>
      <c r="H604" s="658"/>
      <c r="I604" s="658">
        <f t="shared" si="35"/>
        <v>0</v>
      </c>
      <c r="J604" s="714" t="s">
        <v>292</v>
      </c>
      <c r="K604" s="714"/>
      <c r="L604" s="714"/>
      <c r="M604" s="714"/>
    </row>
    <row r="605" spans="1:13">
      <c r="A605" s="654">
        <v>20140101</v>
      </c>
      <c r="B605" s="656" t="s">
        <v>1035</v>
      </c>
      <c r="C605" s="656" t="s">
        <v>406</v>
      </c>
      <c r="D605" s="657" t="str">
        <f t="shared" si="36"/>
        <v>20140101KUUM_442</v>
      </c>
      <c r="E605" s="712"/>
      <c r="F605" s="713">
        <v>468</v>
      </c>
      <c r="G605" s="658"/>
      <c r="H605" s="658"/>
      <c r="I605" s="658">
        <f t="shared" si="35"/>
        <v>0</v>
      </c>
      <c r="J605" s="714" t="s">
        <v>315</v>
      </c>
      <c r="K605" s="714"/>
      <c r="L605" s="714"/>
      <c r="M605" s="714"/>
    </row>
    <row r="606" spans="1:13">
      <c r="A606" s="654">
        <v>20140101</v>
      </c>
      <c r="B606" s="656"/>
      <c r="C606" s="656" t="s">
        <v>377</v>
      </c>
      <c r="D606" s="657" t="str">
        <f t="shared" si="36"/>
        <v>20140101KUUM_444</v>
      </c>
      <c r="E606" s="712"/>
      <c r="F606" s="713">
        <v>240</v>
      </c>
      <c r="G606" s="658"/>
      <c r="H606" s="658"/>
      <c r="I606" s="658">
        <f t="shared" si="35"/>
        <v>0</v>
      </c>
      <c r="J606" s="714" t="s">
        <v>286</v>
      </c>
      <c r="K606" s="714"/>
      <c r="L606" s="714"/>
      <c r="M606" s="714"/>
    </row>
    <row r="607" spans="1:13">
      <c r="A607" s="654">
        <v>20140101</v>
      </c>
      <c r="B607" s="656"/>
      <c r="C607" s="656" t="s">
        <v>385</v>
      </c>
      <c r="D607" s="657" t="str">
        <f t="shared" si="36"/>
        <v>20140101KUUM_445</v>
      </c>
      <c r="E607" s="712"/>
      <c r="F607" s="713">
        <v>332</v>
      </c>
      <c r="G607" s="658"/>
      <c r="H607" s="658"/>
      <c r="I607" s="658">
        <f t="shared" si="35"/>
        <v>0</v>
      </c>
      <c r="J607" s="714" t="s">
        <v>294</v>
      </c>
      <c r="K607" s="714"/>
      <c r="L607" s="714"/>
      <c r="M607" s="714"/>
    </row>
    <row r="608" spans="1:13">
      <c r="A608" s="654">
        <v>20140101</v>
      </c>
      <c r="B608" s="656" t="s">
        <v>1036</v>
      </c>
      <c r="C608" s="656" t="s">
        <v>401</v>
      </c>
      <c r="D608" s="657" t="str">
        <f t="shared" si="36"/>
        <v>20140101KUUM_446</v>
      </c>
      <c r="E608" s="712">
        <v>9.5600000000000023</v>
      </c>
      <c r="F608" s="713">
        <v>828</v>
      </c>
      <c r="G608" s="658">
        <v>0.39</v>
      </c>
      <c r="H608" s="658">
        <v>1.9900000000000002</v>
      </c>
      <c r="I608" s="658">
        <f t="shared" si="35"/>
        <v>7.1800000000000015</v>
      </c>
      <c r="J608" s="714" t="s">
        <v>310</v>
      </c>
      <c r="K608" s="714"/>
      <c r="L608" s="714"/>
      <c r="M608" s="714"/>
    </row>
    <row r="609" spans="1:13">
      <c r="A609" s="654">
        <v>20140101</v>
      </c>
      <c r="B609" s="656" t="s">
        <v>1036</v>
      </c>
      <c r="C609" s="656" t="s">
        <v>328</v>
      </c>
      <c r="D609" s="657" t="str">
        <f t="shared" si="36"/>
        <v>20140101KUUM_447</v>
      </c>
      <c r="E609" s="712">
        <v>11.32</v>
      </c>
      <c r="F609" s="713">
        <v>1176</v>
      </c>
      <c r="G609" s="658">
        <v>0.44</v>
      </c>
      <c r="H609" s="658">
        <v>2.8400000000000016</v>
      </c>
      <c r="I609" s="658">
        <f t="shared" si="35"/>
        <v>8.0399999999999991</v>
      </c>
      <c r="J609" s="658" t="s">
        <v>237</v>
      </c>
      <c r="K609" s="714"/>
      <c r="L609" s="714"/>
      <c r="M609" s="714"/>
    </row>
    <row r="610" spans="1:13">
      <c r="A610" s="654">
        <v>20140101</v>
      </c>
      <c r="B610" s="656" t="s">
        <v>1036</v>
      </c>
      <c r="C610" s="660" t="s">
        <v>437</v>
      </c>
      <c r="D610" s="657" t="str">
        <f t="shared" si="36"/>
        <v>20140101KUUM_448</v>
      </c>
      <c r="E610" s="712">
        <v>12.809999999999999</v>
      </c>
      <c r="F610" s="713">
        <v>1812</v>
      </c>
      <c r="G610" s="658">
        <v>0.51</v>
      </c>
      <c r="H610" s="658">
        <v>4.37</v>
      </c>
      <c r="I610" s="658">
        <f t="shared" si="35"/>
        <v>7.9299999999999988</v>
      </c>
      <c r="J610" s="714" t="s">
        <v>438</v>
      </c>
      <c r="K610" s="714"/>
      <c r="L610" s="714"/>
      <c r="M610" s="714"/>
    </row>
    <row r="611" spans="1:13">
      <c r="A611" s="654">
        <v>20140101</v>
      </c>
      <c r="B611" s="656" t="s">
        <v>1035</v>
      </c>
      <c r="C611" s="656" t="s">
        <v>408</v>
      </c>
      <c r="D611" s="657" t="str">
        <f t="shared" si="36"/>
        <v>20140101KUUM_449</v>
      </c>
      <c r="E611" s="712"/>
      <c r="F611" s="713">
        <v>468</v>
      </c>
      <c r="G611" s="658"/>
      <c r="H611" s="658"/>
      <c r="I611" s="658">
        <f t="shared" si="35"/>
        <v>0</v>
      </c>
      <c r="J611" s="714" t="s">
        <v>317</v>
      </c>
      <c r="K611" s="714"/>
      <c r="L611" s="714"/>
      <c r="M611" s="714"/>
    </row>
    <row r="612" spans="1:13">
      <c r="A612" s="654">
        <v>20140101</v>
      </c>
      <c r="B612" s="656" t="s">
        <v>1035</v>
      </c>
      <c r="C612" s="656" t="s">
        <v>338</v>
      </c>
      <c r="D612" s="657" t="str">
        <f t="shared" si="36"/>
        <v>20140101KUUM_450</v>
      </c>
      <c r="E612" s="712">
        <v>14.25</v>
      </c>
      <c r="F612" s="713">
        <v>600</v>
      </c>
      <c r="G612" s="658">
        <v>0.66</v>
      </c>
      <c r="H612" s="658">
        <v>1.9699999999999989</v>
      </c>
      <c r="I612" s="658">
        <f t="shared" si="35"/>
        <v>11.620000000000001</v>
      </c>
      <c r="J612" s="714" t="s">
        <v>247</v>
      </c>
      <c r="K612" s="714"/>
      <c r="L612" s="714"/>
      <c r="M612" s="714"/>
    </row>
    <row r="613" spans="1:13">
      <c r="A613" s="654">
        <v>20140101</v>
      </c>
      <c r="B613" s="656" t="s">
        <v>1035</v>
      </c>
      <c r="C613" s="656" t="s">
        <v>370</v>
      </c>
      <c r="D613" s="657" t="str">
        <f t="shared" si="36"/>
        <v>20140101KUUM_451</v>
      </c>
      <c r="E613" s="712">
        <v>20.200000000000003</v>
      </c>
      <c r="F613" s="713">
        <v>1400</v>
      </c>
      <c r="G613" s="658">
        <v>0.84</v>
      </c>
      <c r="H613" s="658">
        <v>4.2900000000000027</v>
      </c>
      <c r="I613" s="658">
        <f t="shared" si="35"/>
        <v>15.07</v>
      </c>
      <c r="J613" s="714" t="s">
        <v>279</v>
      </c>
      <c r="K613" s="714"/>
      <c r="L613" s="714"/>
      <c r="M613" s="714"/>
    </row>
    <row r="614" spans="1:13">
      <c r="A614" s="654">
        <v>20140101</v>
      </c>
      <c r="B614" s="656" t="s">
        <v>1035</v>
      </c>
      <c r="C614" s="656" t="s">
        <v>333</v>
      </c>
      <c r="D614" s="657" t="str">
        <f t="shared" si="36"/>
        <v>20140101KUUM_452</v>
      </c>
      <c r="E614" s="712">
        <v>42.350000000000009</v>
      </c>
      <c r="F614" s="713">
        <v>4320</v>
      </c>
      <c r="G614" s="658">
        <v>1.7</v>
      </c>
      <c r="H614" s="658">
        <v>10.410000000000004</v>
      </c>
      <c r="I614" s="658">
        <f t="shared" si="35"/>
        <v>30.240000000000002</v>
      </c>
      <c r="J614" s="714" t="s">
        <v>242</v>
      </c>
      <c r="K614" s="714"/>
      <c r="L614" s="714"/>
      <c r="M614" s="714"/>
    </row>
    <row r="615" spans="1:13">
      <c r="A615" s="654">
        <v>20140101</v>
      </c>
      <c r="B615" s="656" t="s">
        <v>1036</v>
      </c>
      <c r="C615" s="656" t="s">
        <v>336</v>
      </c>
      <c r="D615" s="657" t="str">
        <f t="shared" si="36"/>
        <v>20140101KUUM_454</v>
      </c>
      <c r="E615" s="712">
        <v>18.649999999999999</v>
      </c>
      <c r="F615" s="713">
        <v>600</v>
      </c>
      <c r="G615" s="658">
        <v>0.66</v>
      </c>
      <c r="H615" s="658">
        <v>1.9699999999999989</v>
      </c>
      <c r="I615" s="658">
        <f t="shared" si="35"/>
        <v>16.02</v>
      </c>
      <c r="J615" s="714" t="s">
        <v>245</v>
      </c>
      <c r="K615" s="714"/>
      <c r="L615" s="714"/>
      <c r="M615" s="714"/>
    </row>
    <row r="616" spans="1:13">
      <c r="A616" s="654">
        <v>20140101</v>
      </c>
      <c r="B616" s="656" t="s">
        <v>1036</v>
      </c>
      <c r="C616" s="656" t="s">
        <v>368</v>
      </c>
      <c r="D616" s="657" t="str">
        <f t="shared" si="36"/>
        <v>20140101KUUM_455</v>
      </c>
      <c r="E616" s="712">
        <v>24.59</v>
      </c>
      <c r="F616" s="713">
        <v>1400</v>
      </c>
      <c r="G616" s="658">
        <v>0.84</v>
      </c>
      <c r="H616" s="658">
        <v>4.2899999999999991</v>
      </c>
      <c r="I616" s="658">
        <f t="shared" ref="I616:I660" si="37">E616-G616-H616</f>
        <v>19.46</v>
      </c>
      <c r="J616" s="714" t="s">
        <v>277</v>
      </c>
      <c r="K616" s="714"/>
      <c r="L616" s="714"/>
      <c r="M616" s="714"/>
    </row>
    <row r="617" spans="1:13">
      <c r="A617" s="654">
        <v>20140101</v>
      </c>
      <c r="B617" s="656" t="s">
        <v>1036</v>
      </c>
      <c r="C617" s="656" t="s">
        <v>400</v>
      </c>
      <c r="D617" s="657" t="str">
        <f t="shared" si="36"/>
        <v>20140101KUUM_456</v>
      </c>
      <c r="E617" s="712">
        <v>11.870000000000001</v>
      </c>
      <c r="F617" s="713">
        <v>828</v>
      </c>
      <c r="G617" s="658">
        <v>0.39</v>
      </c>
      <c r="H617" s="658">
        <v>1.9900000000000002</v>
      </c>
      <c r="I617" s="658">
        <f t="shared" si="37"/>
        <v>9.49</v>
      </c>
      <c r="J617" s="714" t="s">
        <v>309</v>
      </c>
      <c r="K617" s="714"/>
      <c r="L617" s="714"/>
      <c r="M617" s="714"/>
    </row>
    <row r="618" spans="1:13">
      <c r="A618" s="654">
        <v>20140101</v>
      </c>
      <c r="B618" s="656" t="s">
        <v>1036</v>
      </c>
      <c r="C618" s="656" t="s">
        <v>327</v>
      </c>
      <c r="D618" s="657" t="str">
        <f t="shared" si="36"/>
        <v>20140101KUUM_457</v>
      </c>
      <c r="E618" s="712">
        <v>13.360000000000001</v>
      </c>
      <c r="F618" s="713">
        <v>1176</v>
      </c>
      <c r="G618" s="658">
        <v>0.44</v>
      </c>
      <c r="H618" s="658">
        <v>2.84</v>
      </c>
      <c r="I618" s="658">
        <f t="shared" si="37"/>
        <v>10.080000000000002</v>
      </c>
      <c r="J618" s="658" t="s">
        <v>236</v>
      </c>
      <c r="K618" s="714"/>
      <c r="L618" s="714"/>
      <c r="M618" s="714"/>
    </row>
    <row r="619" spans="1:13">
      <c r="A619" s="654">
        <v>20140101</v>
      </c>
      <c r="B619" s="656" t="s">
        <v>1036</v>
      </c>
      <c r="C619" s="656" t="s">
        <v>357</v>
      </c>
      <c r="D619" s="657" t="str">
        <f t="shared" si="36"/>
        <v>20140101KUUM_458</v>
      </c>
      <c r="E619" s="712">
        <v>15.079999999999998</v>
      </c>
      <c r="F619" s="713">
        <v>1812</v>
      </c>
      <c r="G619" s="658">
        <v>0.51</v>
      </c>
      <c r="H619" s="658">
        <v>4.3699999999999992</v>
      </c>
      <c r="I619" s="658">
        <f t="shared" si="37"/>
        <v>10.199999999999999</v>
      </c>
      <c r="J619" s="714" t="s">
        <v>266</v>
      </c>
      <c r="K619" s="714"/>
      <c r="L619" s="714"/>
      <c r="M619" s="714"/>
    </row>
    <row r="620" spans="1:13">
      <c r="A620" s="654">
        <v>20140101</v>
      </c>
      <c r="B620" s="656" t="s">
        <v>1036</v>
      </c>
      <c r="C620" s="656" t="s">
        <v>331</v>
      </c>
      <c r="D620" s="657" t="str">
        <f t="shared" si="36"/>
        <v>20140101KUUM_459</v>
      </c>
      <c r="E620" s="712">
        <v>46.740000000000009</v>
      </c>
      <c r="F620" s="713">
        <v>4320</v>
      </c>
      <c r="G620" s="658">
        <v>1.7</v>
      </c>
      <c r="H620" s="658">
        <v>10.410000000000004</v>
      </c>
      <c r="I620" s="658">
        <f t="shared" si="37"/>
        <v>34.630000000000003</v>
      </c>
      <c r="J620" s="658" t="s">
        <v>240</v>
      </c>
      <c r="K620" s="714"/>
      <c r="L620" s="714"/>
      <c r="M620" s="714"/>
    </row>
    <row r="621" spans="1:13">
      <c r="A621" s="654">
        <v>20140101</v>
      </c>
      <c r="B621" s="656" t="s">
        <v>1036</v>
      </c>
      <c r="C621" s="656" t="s">
        <v>335</v>
      </c>
      <c r="D621" s="657" t="str">
        <f t="shared" si="36"/>
        <v>20140101KUUM_460</v>
      </c>
      <c r="E621" s="712">
        <v>27.15</v>
      </c>
      <c r="F621" s="713">
        <v>600</v>
      </c>
      <c r="G621" s="658">
        <v>0.66</v>
      </c>
      <c r="H621" s="658">
        <v>1.9699999999999989</v>
      </c>
      <c r="I621" s="658">
        <f t="shared" si="37"/>
        <v>24.52</v>
      </c>
      <c r="J621" s="714" t="s">
        <v>244</v>
      </c>
      <c r="K621" s="714"/>
      <c r="L621" s="714"/>
      <c r="M621" s="714"/>
    </row>
    <row r="622" spans="1:13">
      <c r="A622" s="654">
        <v>20140101</v>
      </c>
      <c r="B622" s="656" t="s">
        <v>1036</v>
      </c>
      <c r="C622" s="656" t="s">
        <v>372</v>
      </c>
      <c r="D622" s="657" t="str">
        <f t="shared" si="36"/>
        <v>20140101KUUM_461</v>
      </c>
      <c r="E622" s="712">
        <v>7.54</v>
      </c>
      <c r="F622" s="713">
        <v>240</v>
      </c>
      <c r="G622" s="658">
        <v>0.33</v>
      </c>
      <c r="H622" s="658">
        <v>0.57000000000000028</v>
      </c>
      <c r="I622" s="658">
        <f t="shared" si="37"/>
        <v>6.64</v>
      </c>
      <c r="J622" s="714" t="s">
        <v>281</v>
      </c>
      <c r="K622" s="714"/>
      <c r="L622" s="714"/>
      <c r="M622" s="714"/>
    </row>
    <row r="623" spans="1:13">
      <c r="A623" s="654">
        <v>20140101</v>
      </c>
      <c r="B623" s="656" t="s">
        <v>1035</v>
      </c>
      <c r="C623" s="656" t="s">
        <v>381</v>
      </c>
      <c r="D623" s="657" t="str">
        <f t="shared" si="36"/>
        <v>20140101KUUM_462</v>
      </c>
      <c r="E623" s="712">
        <v>8.66</v>
      </c>
      <c r="F623" s="713">
        <v>332</v>
      </c>
      <c r="G623" s="658">
        <v>0.43</v>
      </c>
      <c r="H623" s="658">
        <v>0.79999999999999893</v>
      </c>
      <c r="I623" s="658">
        <f t="shared" si="37"/>
        <v>7.4300000000000015</v>
      </c>
      <c r="J623" s="714" t="s">
        <v>290</v>
      </c>
      <c r="K623" s="714"/>
      <c r="L623" s="714"/>
      <c r="M623" s="714"/>
    </row>
    <row r="624" spans="1:13">
      <c r="A624" s="654">
        <v>20140101</v>
      </c>
      <c r="B624" s="656" t="s">
        <v>1035</v>
      </c>
      <c r="C624" s="656" t="s">
        <v>404</v>
      </c>
      <c r="D624" s="657" t="str">
        <f t="shared" si="36"/>
        <v>20140101KUUM_463</v>
      </c>
      <c r="E624" s="712">
        <v>9.14</v>
      </c>
      <c r="F624" s="713">
        <v>468</v>
      </c>
      <c r="G624" s="658">
        <v>0.34</v>
      </c>
      <c r="H624" s="658">
        <v>1.1299999999999999</v>
      </c>
      <c r="I624" s="658">
        <f t="shared" si="37"/>
        <v>7.6700000000000008</v>
      </c>
      <c r="J624" s="714" t="s">
        <v>313</v>
      </c>
      <c r="K624" s="714"/>
      <c r="L624" s="714"/>
      <c r="M624" s="714"/>
    </row>
    <row r="625" spans="1:13">
      <c r="A625" s="654">
        <v>20140101</v>
      </c>
      <c r="B625" s="656" t="s">
        <v>1035</v>
      </c>
      <c r="C625" s="656" t="s">
        <v>361</v>
      </c>
      <c r="D625" s="657" t="str">
        <f t="shared" si="36"/>
        <v>20140101KUUM_464</v>
      </c>
      <c r="E625" s="712">
        <v>14.25</v>
      </c>
      <c r="F625" s="713">
        <v>968</v>
      </c>
      <c r="G625" s="658">
        <v>0.57999999999999996</v>
      </c>
      <c r="H625" s="658">
        <v>2.33</v>
      </c>
      <c r="I625" s="658">
        <f t="shared" si="37"/>
        <v>11.34</v>
      </c>
      <c r="J625" s="714" t="s">
        <v>270</v>
      </c>
      <c r="K625" s="714"/>
      <c r="L625" s="714"/>
      <c r="M625" s="714"/>
    </row>
    <row r="626" spans="1:13">
      <c r="A626" s="654">
        <v>20140101</v>
      </c>
      <c r="B626" s="656" t="s">
        <v>1035</v>
      </c>
      <c r="C626" s="656" t="s">
        <v>393</v>
      </c>
      <c r="D626" s="657" t="str">
        <f t="shared" si="36"/>
        <v>20140101KUUM_465</v>
      </c>
      <c r="E626" s="712">
        <v>22.84</v>
      </c>
      <c r="F626" s="713">
        <v>1884</v>
      </c>
      <c r="G626" s="658">
        <v>0.79</v>
      </c>
      <c r="H626" s="658">
        <v>4.5299999999999976</v>
      </c>
      <c r="I626" s="658">
        <f t="shared" si="37"/>
        <v>17.520000000000003</v>
      </c>
      <c r="J626" s="714" t="s">
        <v>302</v>
      </c>
      <c r="K626" s="714"/>
      <c r="L626" s="714"/>
      <c r="M626" s="714"/>
    </row>
    <row r="627" spans="1:13">
      <c r="A627" s="654">
        <v>20140101</v>
      </c>
      <c r="B627" s="662" t="s">
        <v>1036</v>
      </c>
      <c r="C627" s="656" t="s">
        <v>379</v>
      </c>
      <c r="D627" s="657" t="str">
        <f t="shared" si="36"/>
        <v>20140101KUUM_466</v>
      </c>
      <c r="E627" s="712">
        <v>9.620000000000001</v>
      </c>
      <c r="F627" s="713">
        <v>240</v>
      </c>
      <c r="G627" s="658">
        <v>0.33</v>
      </c>
      <c r="H627" s="658">
        <v>0.57000000000000028</v>
      </c>
      <c r="I627" s="658">
        <f t="shared" si="37"/>
        <v>8.7200000000000006</v>
      </c>
      <c r="J627" s="714" t="s">
        <v>288</v>
      </c>
      <c r="K627" s="714"/>
      <c r="L627" s="714"/>
      <c r="M627" s="714"/>
    </row>
    <row r="628" spans="1:13">
      <c r="A628" s="654">
        <v>20140101</v>
      </c>
      <c r="B628" s="656" t="s">
        <v>1035</v>
      </c>
      <c r="C628" s="656" t="s">
        <v>389</v>
      </c>
      <c r="D628" s="657" t="str">
        <f t="shared" si="36"/>
        <v>20140101KUUM_467</v>
      </c>
      <c r="E628" s="712">
        <v>10.770000000000001</v>
      </c>
      <c r="F628" s="713">
        <v>332</v>
      </c>
      <c r="G628" s="658">
        <v>0.43</v>
      </c>
      <c r="H628" s="658">
        <v>0.80000000000000071</v>
      </c>
      <c r="I628" s="658">
        <f t="shared" si="37"/>
        <v>9.5400000000000009</v>
      </c>
      <c r="J628" s="714" t="s">
        <v>298</v>
      </c>
      <c r="K628" s="714"/>
      <c r="L628" s="714"/>
      <c r="M628" s="714"/>
    </row>
    <row r="629" spans="1:13">
      <c r="A629" s="654">
        <v>20140101</v>
      </c>
      <c r="B629" s="656" t="s">
        <v>1035</v>
      </c>
      <c r="C629" s="656" t="s">
        <v>412</v>
      </c>
      <c r="D629" s="657" t="str">
        <f t="shared" si="36"/>
        <v>20140101KUUM_468</v>
      </c>
      <c r="E629" s="712">
        <v>11.16</v>
      </c>
      <c r="F629" s="713">
        <v>468</v>
      </c>
      <c r="G629" s="658">
        <v>0.34</v>
      </c>
      <c r="H629" s="658">
        <v>1.129999999999999</v>
      </c>
      <c r="I629" s="658">
        <f t="shared" si="37"/>
        <v>9.6900000000000013</v>
      </c>
      <c r="J629" s="714" t="s">
        <v>321</v>
      </c>
      <c r="K629" s="714"/>
      <c r="L629" s="714"/>
      <c r="M629" s="714"/>
    </row>
    <row r="630" spans="1:13">
      <c r="A630" s="654">
        <v>20140101</v>
      </c>
      <c r="B630" s="656" t="s">
        <v>1036</v>
      </c>
      <c r="C630" s="656" t="s">
        <v>367</v>
      </c>
      <c r="D630" s="657" t="str">
        <f t="shared" si="36"/>
        <v>20140101KUUM_469</v>
      </c>
      <c r="E630" s="712">
        <v>33.100000000000009</v>
      </c>
      <c r="F630" s="713">
        <v>1400</v>
      </c>
      <c r="G630" s="658">
        <v>0.84</v>
      </c>
      <c r="H630" s="658">
        <v>4.2900000000000063</v>
      </c>
      <c r="I630" s="658">
        <f t="shared" si="37"/>
        <v>27.97</v>
      </c>
      <c r="J630" s="714" t="s">
        <v>276</v>
      </c>
      <c r="K630" s="714"/>
      <c r="L630" s="714"/>
      <c r="M630" s="714"/>
    </row>
    <row r="631" spans="1:13">
      <c r="A631" s="654">
        <v>20140101</v>
      </c>
      <c r="B631" s="656" t="s">
        <v>1036</v>
      </c>
      <c r="C631" s="656" t="s">
        <v>330</v>
      </c>
      <c r="D631" s="657" t="str">
        <f t="shared" si="36"/>
        <v>20140101KUUM_470</v>
      </c>
      <c r="E631" s="712">
        <v>55.250000000000007</v>
      </c>
      <c r="F631" s="713">
        <v>4320</v>
      </c>
      <c r="G631" s="658">
        <v>1.7</v>
      </c>
      <c r="H631" s="658">
        <v>10.410000000000004</v>
      </c>
      <c r="I631" s="658">
        <f t="shared" si="37"/>
        <v>43.14</v>
      </c>
      <c r="J631" s="658" t="s">
        <v>239</v>
      </c>
      <c r="K631" s="714"/>
      <c r="L631" s="714"/>
      <c r="M631" s="714"/>
    </row>
    <row r="632" spans="1:13">
      <c r="A632" s="654">
        <v>20140101</v>
      </c>
      <c r="B632" s="656" t="s">
        <v>1036</v>
      </c>
      <c r="C632" s="656" t="s">
        <v>371</v>
      </c>
      <c r="D632" s="657" t="str">
        <f t="shared" si="36"/>
        <v>20140101KUUM_471</v>
      </c>
      <c r="E632" s="712">
        <v>10.49</v>
      </c>
      <c r="F632" s="713">
        <v>240</v>
      </c>
      <c r="G632" s="658">
        <v>0.33</v>
      </c>
      <c r="H632" s="658">
        <v>0.56999999999999851</v>
      </c>
      <c r="I632" s="658">
        <f t="shared" si="37"/>
        <v>9.5900000000000016</v>
      </c>
      <c r="J632" s="714" t="s">
        <v>280</v>
      </c>
      <c r="K632" s="714"/>
      <c r="L632" s="714"/>
      <c r="M632" s="714"/>
    </row>
    <row r="633" spans="1:13">
      <c r="A633" s="654">
        <v>20140101</v>
      </c>
      <c r="B633" s="656" t="s">
        <v>1035</v>
      </c>
      <c r="C633" s="656" t="s">
        <v>380</v>
      </c>
      <c r="D633" s="657" t="str">
        <f t="shared" si="36"/>
        <v>20140101KUUM_472</v>
      </c>
      <c r="E633" s="712">
        <v>11.600000000000001</v>
      </c>
      <c r="F633" s="713">
        <v>332</v>
      </c>
      <c r="G633" s="658">
        <v>0.43</v>
      </c>
      <c r="H633" s="658">
        <v>0.80000000000000071</v>
      </c>
      <c r="I633" s="658">
        <f t="shared" si="37"/>
        <v>10.370000000000001</v>
      </c>
      <c r="J633" s="714" t="s">
        <v>289</v>
      </c>
      <c r="K633" s="714"/>
      <c r="L633" s="714"/>
      <c r="M633" s="714"/>
    </row>
    <row r="634" spans="1:13">
      <c r="A634" s="654">
        <v>20140101</v>
      </c>
      <c r="B634" s="656" t="s">
        <v>1035</v>
      </c>
      <c r="C634" s="656" t="s">
        <v>403</v>
      </c>
      <c r="D634" s="657" t="str">
        <f t="shared" si="36"/>
        <v>20140101KUUM_473</v>
      </c>
      <c r="E634" s="712">
        <v>12.3</v>
      </c>
      <c r="F634" s="713">
        <v>468</v>
      </c>
      <c r="G634" s="658">
        <v>0.34</v>
      </c>
      <c r="H634" s="658">
        <v>1.129999999999999</v>
      </c>
      <c r="I634" s="658">
        <f t="shared" si="37"/>
        <v>10.830000000000002</v>
      </c>
      <c r="J634" s="714" t="s">
        <v>312</v>
      </c>
      <c r="K634" s="714"/>
      <c r="L634" s="714"/>
      <c r="M634" s="714"/>
    </row>
    <row r="635" spans="1:13">
      <c r="A635" s="654">
        <v>20140101</v>
      </c>
      <c r="B635" s="656" t="s">
        <v>1035</v>
      </c>
      <c r="C635" s="656" t="s">
        <v>360</v>
      </c>
      <c r="D635" s="657" t="str">
        <f t="shared" si="36"/>
        <v>20140101KUUM_474</v>
      </c>
      <c r="E635" s="712">
        <v>17.41</v>
      </c>
      <c r="F635" s="713">
        <v>968</v>
      </c>
      <c r="G635" s="658">
        <v>0.57999999999999996</v>
      </c>
      <c r="H635" s="658">
        <v>2.33</v>
      </c>
      <c r="I635" s="658">
        <f t="shared" si="37"/>
        <v>14.500000000000002</v>
      </c>
      <c r="J635" s="714" t="s">
        <v>269</v>
      </c>
      <c r="K635" s="714"/>
      <c r="L635" s="714"/>
      <c r="M635" s="714"/>
    </row>
    <row r="636" spans="1:13">
      <c r="A636" s="654">
        <v>20140101</v>
      </c>
      <c r="B636" s="656" t="s">
        <v>1035</v>
      </c>
      <c r="C636" s="656" t="s">
        <v>392</v>
      </c>
      <c r="D636" s="657" t="str">
        <f t="shared" si="36"/>
        <v>20140101KUUM_475</v>
      </c>
      <c r="E636" s="712">
        <v>24.46</v>
      </c>
      <c r="F636" s="713">
        <v>1884</v>
      </c>
      <c r="G636" s="658">
        <v>0.79</v>
      </c>
      <c r="H636" s="658">
        <v>4.5300000000000011</v>
      </c>
      <c r="I636" s="658">
        <f t="shared" si="37"/>
        <v>19.14</v>
      </c>
      <c r="J636" s="714" t="s">
        <v>301</v>
      </c>
      <c r="K636" s="714"/>
      <c r="L636" s="714"/>
      <c r="M636" s="714"/>
    </row>
    <row r="637" spans="1:13">
      <c r="A637" s="654">
        <v>20140101</v>
      </c>
      <c r="B637" s="656" t="s">
        <v>1035</v>
      </c>
      <c r="C637" s="656" t="s">
        <v>390</v>
      </c>
      <c r="D637" s="657" t="str">
        <f t="shared" si="36"/>
        <v>20140101KUUM_476</v>
      </c>
      <c r="E637" s="712">
        <v>16.79</v>
      </c>
      <c r="F637" s="713">
        <v>332</v>
      </c>
      <c r="G637" s="658">
        <v>0.43</v>
      </c>
      <c r="H637" s="658">
        <v>0.79999999999999893</v>
      </c>
      <c r="I637" s="658">
        <f>E637-G637-H637</f>
        <v>15.56</v>
      </c>
      <c r="J637" s="714" t="s">
        <v>299</v>
      </c>
      <c r="K637" s="714"/>
      <c r="L637" s="714"/>
      <c r="M637" s="714"/>
    </row>
    <row r="638" spans="1:13">
      <c r="A638" s="654">
        <v>20140101</v>
      </c>
      <c r="B638" s="656" t="s">
        <v>1035</v>
      </c>
      <c r="C638" s="656" t="s">
        <v>414</v>
      </c>
      <c r="D638" s="657" t="str">
        <f t="shared" si="36"/>
        <v>20140101KUUM_477</v>
      </c>
      <c r="E638" s="712">
        <v>20.97</v>
      </c>
      <c r="F638" s="713">
        <v>468</v>
      </c>
      <c r="G638" s="658">
        <v>0.34</v>
      </c>
      <c r="H638" s="658">
        <v>1.129999999999999</v>
      </c>
      <c r="I638" s="658">
        <f>E638-G638-H638</f>
        <v>19.5</v>
      </c>
      <c r="J638" s="714" t="s">
        <v>323</v>
      </c>
      <c r="K638" s="714"/>
      <c r="L638" s="714"/>
      <c r="M638" s="714"/>
    </row>
    <row r="639" spans="1:13">
      <c r="A639" s="654">
        <v>20140101</v>
      </c>
      <c r="B639" s="656" t="s">
        <v>1035</v>
      </c>
      <c r="C639" s="656" t="s">
        <v>364</v>
      </c>
      <c r="D639" s="657" t="str">
        <f t="shared" si="36"/>
        <v>20140101KUUM_478</v>
      </c>
      <c r="E639" s="712">
        <v>26.86</v>
      </c>
      <c r="F639" s="713">
        <v>968</v>
      </c>
      <c r="G639" s="658">
        <v>0.57999999999999996</v>
      </c>
      <c r="H639" s="658">
        <v>2.3299999999999983</v>
      </c>
      <c r="I639" s="658">
        <f>E639-G639-H639</f>
        <v>23.950000000000003</v>
      </c>
      <c r="J639" s="714" t="s">
        <v>273</v>
      </c>
      <c r="K639" s="714"/>
      <c r="L639" s="714"/>
      <c r="M639" s="714"/>
    </row>
    <row r="640" spans="1:13">
      <c r="A640" s="654">
        <v>20140101</v>
      </c>
      <c r="B640" s="656" t="s">
        <v>1035</v>
      </c>
      <c r="C640" s="656" t="s">
        <v>396</v>
      </c>
      <c r="D640" s="657" t="str">
        <f t="shared" si="36"/>
        <v>20140101KUUM_479</v>
      </c>
      <c r="E640" s="712">
        <v>33.119999999999997</v>
      </c>
      <c r="F640" s="713">
        <v>1884</v>
      </c>
      <c r="G640" s="658">
        <v>0.79</v>
      </c>
      <c r="H640" s="658">
        <v>4.529999999999994</v>
      </c>
      <c r="I640" s="658">
        <f>E640-G640-H640</f>
        <v>27.800000000000004</v>
      </c>
      <c r="J640" s="714" t="s">
        <v>305</v>
      </c>
      <c r="K640" s="714"/>
      <c r="L640" s="714"/>
      <c r="M640" s="714"/>
    </row>
    <row r="641" spans="1:13">
      <c r="A641" s="654">
        <v>20140101</v>
      </c>
      <c r="B641" s="656"/>
      <c r="C641" s="656" t="s">
        <v>378</v>
      </c>
      <c r="D641" s="657" t="str">
        <f t="shared" si="36"/>
        <v>20140101KUUM_480</v>
      </c>
      <c r="E641" s="712"/>
      <c r="F641" s="713">
        <v>240</v>
      </c>
      <c r="G641" s="658"/>
      <c r="H641" s="658"/>
      <c r="I641" s="658">
        <f t="shared" si="37"/>
        <v>0</v>
      </c>
      <c r="J641" s="714" t="s">
        <v>287</v>
      </c>
      <c r="K641" s="714"/>
      <c r="L641" s="714"/>
      <c r="M641" s="714"/>
    </row>
    <row r="642" spans="1:13">
      <c r="A642" s="654">
        <v>20140101</v>
      </c>
      <c r="B642" s="656"/>
      <c r="C642" s="656" t="s">
        <v>388</v>
      </c>
      <c r="D642" s="657" t="str">
        <f t="shared" si="36"/>
        <v>20140101KUUM_481</v>
      </c>
      <c r="E642" s="712"/>
      <c r="F642" s="713">
        <v>332</v>
      </c>
      <c r="G642" s="658"/>
      <c r="H642" s="658"/>
      <c r="I642" s="658">
        <f t="shared" si="37"/>
        <v>0</v>
      </c>
      <c r="J642" s="714" t="s">
        <v>297</v>
      </c>
      <c r="K642" s="714"/>
      <c r="L642" s="714"/>
      <c r="M642" s="714"/>
    </row>
    <row r="643" spans="1:13">
      <c r="A643" s="654">
        <v>20140101</v>
      </c>
      <c r="B643" s="656" t="s">
        <v>1035</v>
      </c>
      <c r="C643" s="656" t="s">
        <v>411</v>
      </c>
      <c r="D643" s="657" t="str">
        <f t="shared" si="36"/>
        <v>20140101KUUM_482</v>
      </c>
      <c r="E643" s="712"/>
      <c r="F643" s="713">
        <v>468</v>
      </c>
      <c r="G643" s="658"/>
      <c r="H643" s="658"/>
      <c r="I643" s="658">
        <f t="shared" si="37"/>
        <v>0</v>
      </c>
      <c r="J643" s="714" t="s">
        <v>320</v>
      </c>
      <c r="K643" s="714"/>
      <c r="L643" s="714"/>
      <c r="M643" s="714"/>
    </row>
    <row r="644" spans="1:13">
      <c r="A644" s="654">
        <v>20140101</v>
      </c>
      <c r="B644" s="656" t="s">
        <v>1035</v>
      </c>
      <c r="C644" s="660" t="s">
        <v>439</v>
      </c>
      <c r="D644" s="657" t="str">
        <f t="shared" si="36"/>
        <v>20140101KUUM_483</v>
      </c>
      <c r="E644" s="712"/>
      <c r="F644" s="713">
        <v>332</v>
      </c>
      <c r="G644" s="658"/>
      <c r="H644" s="658"/>
      <c r="I644" s="658">
        <f t="shared" si="37"/>
        <v>0</v>
      </c>
      <c r="J644" s="715" t="s">
        <v>417</v>
      </c>
      <c r="K644" s="714"/>
      <c r="L644" s="714"/>
      <c r="M644" s="714"/>
    </row>
    <row r="645" spans="1:13">
      <c r="A645" s="654">
        <v>20140101</v>
      </c>
      <c r="B645" s="656" t="s">
        <v>1035</v>
      </c>
      <c r="C645" s="656" t="s">
        <v>413</v>
      </c>
      <c r="D645" s="657" t="str">
        <f t="shared" si="36"/>
        <v>20140101KUUM_484</v>
      </c>
      <c r="E645" s="712"/>
      <c r="F645" s="713">
        <v>468</v>
      </c>
      <c r="G645" s="658"/>
      <c r="H645" s="658"/>
      <c r="I645" s="658">
        <f t="shared" si="37"/>
        <v>0</v>
      </c>
      <c r="J645" s="714" t="s">
        <v>322</v>
      </c>
      <c r="K645" s="714"/>
      <c r="L645" s="714"/>
      <c r="M645" s="714"/>
    </row>
    <row r="646" spans="1:13">
      <c r="A646" s="654">
        <v>20140101</v>
      </c>
      <c r="B646" s="656" t="s">
        <v>1035</v>
      </c>
      <c r="C646" s="656" t="s">
        <v>363</v>
      </c>
      <c r="D646" s="657" t="str">
        <f t="shared" si="36"/>
        <v>20140101KUUM_485</v>
      </c>
      <c r="E646" s="712"/>
      <c r="F646" s="713">
        <v>968</v>
      </c>
      <c r="G646" s="658"/>
      <c r="H646" s="658"/>
      <c r="I646" s="658">
        <f t="shared" si="37"/>
        <v>0</v>
      </c>
      <c r="J646" s="714" t="s">
        <v>272</v>
      </c>
      <c r="K646" s="714"/>
      <c r="L646" s="714"/>
      <c r="M646" s="714"/>
    </row>
    <row r="647" spans="1:13">
      <c r="A647" s="654">
        <v>20140101</v>
      </c>
      <c r="B647" s="656" t="s">
        <v>1035</v>
      </c>
      <c r="C647" s="656" t="s">
        <v>395</v>
      </c>
      <c r="D647" s="657" t="str">
        <f t="shared" si="36"/>
        <v>20140101KUUM_486</v>
      </c>
      <c r="E647" s="712"/>
      <c r="F647" s="713">
        <v>1884</v>
      </c>
      <c r="G647" s="658"/>
      <c r="H647" s="658"/>
      <c r="I647" s="658">
        <f t="shared" si="37"/>
        <v>0</v>
      </c>
      <c r="J647" s="714" t="s">
        <v>304</v>
      </c>
      <c r="K647" s="714"/>
      <c r="L647" s="714"/>
      <c r="M647" s="714"/>
    </row>
    <row r="648" spans="1:13">
      <c r="A648" s="654">
        <v>20140101</v>
      </c>
      <c r="B648" s="656" t="s">
        <v>1035</v>
      </c>
      <c r="C648" s="656" t="s">
        <v>415</v>
      </c>
      <c r="D648" s="657" t="str">
        <f t="shared" si="36"/>
        <v>20140101KUUM_487</v>
      </c>
      <c r="E648" s="712">
        <v>9</v>
      </c>
      <c r="F648" s="713">
        <v>468</v>
      </c>
      <c r="G648" s="658">
        <v>0.34</v>
      </c>
      <c r="H648" s="658">
        <v>1.1299999999999999</v>
      </c>
      <c r="I648" s="658">
        <f t="shared" si="37"/>
        <v>7.53</v>
      </c>
      <c r="J648" s="714" t="s">
        <v>324</v>
      </c>
      <c r="K648" s="714"/>
      <c r="L648" s="714"/>
      <c r="M648" s="714"/>
    </row>
    <row r="649" spans="1:13">
      <c r="A649" s="654">
        <v>20140101</v>
      </c>
      <c r="B649" s="656" t="s">
        <v>1035</v>
      </c>
      <c r="C649" s="656" t="s">
        <v>365</v>
      </c>
      <c r="D649" s="657" t="str">
        <f t="shared" ref="D649:D660" si="38">A649&amp;C649</f>
        <v>20140101KUUM_488</v>
      </c>
      <c r="E649" s="712">
        <v>13.639999999999999</v>
      </c>
      <c r="F649" s="713">
        <v>968</v>
      </c>
      <c r="G649" s="658">
        <v>0.57999999999999996</v>
      </c>
      <c r="H649" s="658">
        <v>2.33</v>
      </c>
      <c r="I649" s="658">
        <f t="shared" si="37"/>
        <v>10.729999999999999</v>
      </c>
      <c r="J649" s="714" t="s">
        <v>274</v>
      </c>
      <c r="K649" s="714"/>
      <c r="L649" s="714"/>
      <c r="M649" s="714"/>
    </row>
    <row r="650" spans="1:13">
      <c r="A650" s="654">
        <v>20140101</v>
      </c>
      <c r="B650" s="656" t="s">
        <v>1035</v>
      </c>
      <c r="C650" s="656" t="s">
        <v>397</v>
      </c>
      <c r="D650" s="657" t="str">
        <f t="shared" si="38"/>
        <v>20140101KUUM_489</v>
      </c>
      <c r="E650" s="712">
        <v>19.46</v>
      </c>
      <c r="F650" s="713">
        <v>1884</v>
      </c>
      <c r="G650" s="658">
        <v>0.79</v>
      </c>
      <c r="H650" s="658">
        <v>4.5300000000000011</v>
      </c>
      <c r="I650" s="658">
        <f t="shared" si="37"/>
        <v>14.14</v>
      </c>
      <c r="J650" s="714" t="s">
        <v>306</v>
      </c>
      <c r="K650" s="714"/>
      <c r="L650" s="714"/>
      <c r="M650" s="714"/>
    </row>
    <row r="651" spans="1:13">
      <c r="A651" s="654">
        <v>20140101</v>
      </c>
      <c r="B651" s="656" t="s">
        <v>1035</v>
      </c>
      <c r="C651" s="656" t="s">
        <v>337</v>
      </c>
      <c r="D651" s="657" t="str">
        <f t="shared" si="38"/>
        <v>20140101KUUM_490</v>
      </c>
      <c r="E651" s="712">
        <v>15.47</v>
      </c>
      <c r="F651" s="713">
        <v>600</v>
      </c>
      <c r="G651" s="658">
        <v>0.66</v>
      </c>
      <c r="H651" s="658">
        <v>1.9700000000000006</v>
      </c>
      <c r="I651" s="658">
        <f t="shared" si="37"/>
        <v>12.84</v>
      </c>
      <c r="J651" s="714" t="s">
        <v>246</v>
      </c>
      <c r="K651" s="714"/>
      <c r="L651" s="714"/>
      <c r="M651" s="714"/>
    </row>
    <row r="652" spans="1:13">
      <c r="A652" s="654">
        <v>20140101</v>
      </c>
      <c r="B652" s="656" t="s">
        <v>1035</v>
      </c>
      <c r="C652" s="656" t="s">
        <v>369</v>
      </c>
      <c r="D652" s="657" t="str">
        <f t="shared" si="38"/>
        <v>20140101KUUM_491</v>
      </c>
      <c r="E652" s="712">
        <v>21.930000000000003</v>
      </c>
      <c r="F652" s="713">
        <v>1400</v>
      </c>
      <c r="G652" s="658">
        <v>0.84</v>
      </c>
      <c r="H652" s="658">
        <v>4.2900000000000027</v>
      </c>
      <c r="I652" s="658">
        <f t="shared" si="37"/>
        <v>16.8</v>
      </c>
      <c r="J652" s="714" t="s">
        <v>278</v>
      </c>
      <c r="K652" s="714"/>
      <c r="L652" s="714"/>
      <c r="M652" s="714"/>
    </row>
    <row r="653" spans="1:13">
      <c r="A653" s="654">
        <v>20140101</v>
      </c>
      <c r="B653" s="656" t="s">
        <v>1035</v>
      </c>
      <c r="C653" s="660" t="s">
        <v>715</v>
      </c>
      <c r="D653" s="657" t="str">
        <f t="shared" si="38"/>
        <v>20140101KUUM_492</v>
      </c>
      <c r="E653" s="712">
        <v>15.370000000000001</v>
      </c>
      <c r="F653" s="713">
        <v>332</v>
      </c>
      <c r="G653" s="658">
        <v>0.43</v>
      </c>
      <c r="H653" s="658">
        <v>0.80000000000000071</v>
      </c>
      <c r="I653" s="658">
        <f>E653-G653-H653</f>
        <v>14.14</v>
      </c>
      <c r="J653" s="715" t="s">
        <v>681</v>
      </c>
      <c r="K653" s="714"/>
      <c r="L653" s="714"/>
      <c r="M653" s="714"/>
    </row>
    <row r="654" spans="1:13">
      <c r="A654" s="654">
        <v>20140101</v>
      </c>
      <c r="B654" s="656" t="s">
        <v>1035</v>
      </c>
      <c r="C654" s="656" t="s">
        <v>332</v>
      </c>
      <c r="D654" s="657" t="str">
        <f t="shared" si="38"/>
        <v>20140101KUUM_493</v>
      </c>
      <c r="E654" s="712">
        <v>45.7</v>
      </c>
      <c r="F654" s="713">
        <v>4320</v>
      </c>
      <c r="G654" s="658">
        <v>1.7</v>
      </c>
      <c r="H654" s="658">
        <v>10.409999999999997</v>
      </c>
      <c r="I654" s="658">
        <f t="shared" si="37"/>
        <v>33.590000000000003</v>
      </c>
      <c r="J654" s="714" t="s">
        <v>241</v>
      </c>
      <c r="K654" s="714"/>
      <c r="L654" s="714"/>
      <c r="M654" s="714"/>
    </row>
    <row r="655" spans="1:13">
      <c r="A655" s="654">
        <v>20140101</v>
      </c>
      <c r="B655" s="656" t="s">
        <v>1035</v>
      </c>
      <c r="C655" s="656" t="s">
        <v>334</v>
      </c>
      <c r="D655" s="657" t="str">
        <f t="shared" si="38"/>
        <v>20140101KUUM_494</v>
      </c>
      <c r="E655" s="712">
        <v>28.37</v>
      </c>
      <c r="F655" s="713">
        <v>600</v>
      </c>
      <c r="G655" s="658">
        <v>0.66</v>
      </c>
      <c r="H655" s="658">
        <v>1.9699999999999989</v>
      </c>
      <c r="I655" s="658">
        <f t="shared" si="37"/>
        <v>25.740000000000002</v>
      </c>
      <c r="J655" s="714" t="s">
        <v>243</v>
      </c>
      <c r="K655" s="714"/>
      <c r="L655" s="714"/>
      <c r="M655" s="714"/>
    </row>
    <row r="656" spans="1:13">
      <c r="A656" s="654">
        <v>20140101</v>
      </c>
      <c r="B656" s="656" t="s">
        <v>1035</v>
      </c>
      <c r="C656" s="656" t="s">
        <v>366</v>
      </c>
      <c r="D656" s="657" t="str">
        <f t="shared" si="38"/>
        <v>20140101KUUM_495</v>
      </c>
      <c r="E656" s="712">
        <v>34.830000000000005</v>
      </c>
      <c r="F656" s="713">
        <v>1400</v>
      </c>
      <c r="G656" s="658">
        <v>0.84</v>
      </c>
      <c r="H656" s="658">
        <v>4.2899999999999991</v>
      </c>
      <c r="I656" s="658">
        <f t="shared" si="37"/>
        <v>29.700000000000003</v>
      </c>
      <c r="J656" s="714" t="s">
        <v>275</v>
      </c>
      <c r="K656" s="714"/>
      <c r="L656" s="714"/>
      <c r="M656" s="714"/>
    </row>
    <row r="657" spans="1:13">
      <c r="A657" s="654">
        <v>20140101</v>
      </c>
      <c r="B657" s="656" t="s">
        <v>1035</v>
      </c>
      <c r="C657" s="656" t="s">
        <v>329</v>
      </c>
      <c r="D657" s="657" t="str">
        <f t="shared" si="38"/>
        <v>20140101KUUM_496</v>
      </c>
      <c r="E657" s="712">
        <v>58.59</v>
      </c>
      <c r="F657" s="713">
        <v>4320</v>
      </c>
      <c r="G657" s="658">
        <v>1.7</v>
      </c>
      <c r="H657" s="658">
        <v>10.409999999999997</v>
      </c>
      <c r="I657" s="658">
        <f t="shared" si="37"/>
        <v>46.480000000000004</v>
      </c>
      <c r="J657" s="658" t="s">
        <v>238</v>
      </c>
      <c r="K657" s="714"/>
      <c r="L657" s="714"/>
      <c r="M657" s="714"/>
    </row>
    <row r="658" spans="1:13">
      <c r="A658" s="654">
        <v>20140101</v>
      </c>
      <c r="B658" s="656" t="s">
        <v>1035</v>
      </c>
      <c r="C658" s="660" t="s">
        <v>683</v>
      </c>
      <c r="D658" s="657" t="str">
        <f t="shared" si="38"/>
        <v>20140101KUUM_497</v>
      </c>
      <c r="E658" s="712">
        <v>15.35</v>
      </c>
      <c r="F658" s="713">
        <v>468</v>
      </c>
      <c r="G658" s="658">
        <v>0.34</v>
      </c>
      <c r="H658" s="658">
        <v>1.1300000000000008</v>
      </c>
      <c r="I658" s="658">
        <f t="shared" si="37"/>
        <v>13.879999999999999</v>
      </c>
      <c r="J658" s="715" t="s">
        <v>429</v>
      </c>
      <c r="K658" s="714"/>
      <c r="L658" s="714"/>
      <c r="M658" s="714"/>
    </row>
    <row r="659" spans="1:13">
      <c r="A659" s="654">
        <v>20140101</v>
      </c>
      <c r="B659" s="656" t="s">
        <v>1035</v>
      </c>
      <c r="C659" s="660" t="s">
        <v>463</v>
      </c>
      <c r="D659" s="657" t="str">
        <f t="shared" si="38"/>
        <v>20140101KUUM_498</v>
      </c>
      <c r="E659" s="712">
        <v>17.72</v>
      </c>
      <c r="F659" s="713">
        <v>968</v>
      </c>
      <c r="G659" s="658">
        <v>0.57999999999999996</v>
      </c>
      <c r="H659" s="658">
        <v>2.33</v>
      </c>
      <c r="I659" s="658">
        <f t="shared" si="37"/>
        <v>14.81</v>
      </c>
      <c r="J659" s="722" t="s">
        <v>680</v>
      </c>
      <c r="K659" s="714"/>
      <c r="L659" s="714"/>
      <c r="M659" s="714"/>
    </row>
    <row r="660" spans="1:13">
      <c r="A660" s="654">
        <v>20140101</v>
      </c>
      <c r="B660" s="656" t="s">
        <v>1035</v>
      </c>
      <c r="C660" s="660" t="s">
        <v>653</v>
      </c>
      <c r="D660" s="657" t="str">
        <f t="shared" si="38"/>
        <v>20140101KUUM_499</v>
      </c>
      <c r="E660" s="712">
        <v>21.490000000000002</v>
      </c>
      <c r="F660" s="713">
        <v>1884</v>
      </c>
      <c r="G660" s="658">
        <v>0.79</v>
      </c>
      <c r="H660" s="658">
        <v>4.5300000000000011</v>
      </c>
      <c r="I660" s="658">
        <f t="shared" si="37"/>
        <v>16.170000000000002</v>
      </c>
      <c r="J660" s="715" t="s">
        <v>430</v>
      </c>
      <c r="K660" s="714"/>
      <c r="L660" s="714"/>
      <c r="M660" s="714"/>
    </row>
    <row r="661" spans="1:13">
      <c r="A661" s="432"/>
      <c r="B661" s="723"/>
      <c r="C661" s="724"/>
      <c r="E661" s="597"/>
      <c r="F661" s="510"/>
      <c r="G661" s="404"/>
      <c r="H661" s="404"/>
      <c r="I661" s="404"/>
      <c r="K661" s="404"/>
      <c r="L661" s="404"/>
      <c r="M661" s="404"/>
    </row>
    <row r="662" spans="1:13">
      <c r="A662" s="432"/>
      <c r="B662" s="723"/>
      <c r="C662" s="724"/>
      <c r="E662" s="597"/>
      <c r="F662" s="510"/>
      <c r="G662" s="404"/>
      <c r="H662" s="404"/>
      <c r="I662" s="404"/>
      <c r="J662" s="410"/>
      <c r="K662" s="404"/>
      <c r="L662" s="404"/>
      <c r="M662" s="404"/>
    </row>
    <row r="663" spans="1:13">
      <c r="A663" s="432"/>
      <c r="B663" s="723"/>
      <c r="C663" s="723"/>
      <c r="E663" s="597"/>
      <c r="F663" s="510"/>
      <c r="G663" s="404"/>
      <c r="H663" s="404"/>
      <c r="I663" s="404"/>
      <c r="K663" s="404"/>
      <c r="L663" s="404"/>
      <c r="M663" s="404"/>
    </row>
    <row r="664" spans="1:13">
      <c r="A664" s="432"/>
      <c r="B664" s="723"/>
      <c r="C664" s="723"/>
      <c r="E664" s="597"/>
      <c r="F664" s="510"/>
      <c r="G664" s="404"/>
      <c r="H664" s="404"/>
      <c r="I664" s="404"/>
      <c r="K664" s="404"/>
      <c r="L664" s="404"/>
      <c r="M664" s="404"/>
    </row>
    <row r="665" spans="1:13">
      <c r="A665" s="432"/>
      <c r="B665" s="723"/>
      <c r="C665" s="723"/>
      <c r="E665" s="597"/>
      <c r="F665" s="510"/>
      <c r="G665" s="404"/>
      <c r="H665" s="404"/>
      <c r="I665" s="404"/>
      <c r="K665" s="404"/>
      <c r="L665" s="404"/>
      <c r="M665" s="404"/>
    </row>
    <row r="666" spans="1:13">
      <c r="A666" s="432"/>
      <c r="B666" s="723"/>
      <c r="C666" s="723"/>
      <c r="E666" s="597"/>
      <c r="F666" s="510"/>
      <c r="G666" s="404"/>
      <c r="H666" s="404"/>
      <c r="I666" s="404"/>
      <c r="K666" s="403"/>
      <c r="L666" s="403"/>
      <c r="M666" s="403"/>
    </row>
    <row r="667" spans="1:13">
      <c r="A667" s="432"/>
      <c r="B667" s="723"/>
      <c r="C667" s="723"/>
      <c r="E667" s="597"/>
      <c r="F667" s="510"/>
      <c r="G667" s="404"/>
      <c r="H667" s="404"/>
      <c r="I667" s="404"/>
      <c r="K667" s="403"/>
      <c r="L667" s="403"/>
      <c r="M667" s="403"/>
    </row>
    <row r="668" spans="1:13">
      <c r="A668" s="432"/>
      <c r="B668" s="723"/>
      <c r="C668" s="723"/>
      <c r="E668" s="597"/>
      <c r="F668" s="510"/>
      <c r="G668" s="404"/>
      <c r="H668" s="404"/>
      <c r="I668" s="404"/>
      <c r="K668" s="403"/>
      <c r="L668" s="403"/>
      <c r="M668" s="403"/>
    </row>
    <row r="669" spans="1:13">
      <c r="A669" s="432"/>
      <c r="B669" s="723"/>
      <c r="C669" s="723"/>
      <c r="E669" s="597"/>
      <c r="F669" s="510"/>
      <c r="G669" s="404"/>
      <c r="H669" s="404"/>
      <c r="I669" s="404"/>
      <c r="K669" s="403"/>
      <c r="L669" s="403"/>
      <c r="M669" s="403"/>
    </row>
    <row r="670" spans="1:13">
      <c r="A670" s="432"/>
      <c r="B670" s="723"/>
      <c r="C670" s="723"/>
      <c r="E670" s="597"/>
      <c r="F670" s="510"/>
      <c r="G670" s="404"/>
      <c r="H670" s="404"/>
      <c r="I670" s="404"/>
      <c r="K670" s="403"/>
      <c r="L670" s="403"/>
      <c r="M670" s="403"/>
    </row>
    <row r="671" spans="1:13">
      <c r="A671" s="432"/>
      <c r="B671" s="723"/>
      <c r="C671" s="723"/>
      <c r="E671" s="597"/>
      <c r="F671" s="510"/>
      <c r="G671" s="404"/>
      <c r="H671" s="404"/>
      <c r="I671" s="404"/>
      <c r="K671" s="403"/>
      <c r="L671" s="403"/>
      <c r="M671" s="403"/>
    </row>
    <row r="672" spans="1:13">
      <c r="A672" s="432"/>
      <c r="B672" s="723"/>
      <c r="C672" s="723"/>
      <c r="E672" s="597"/>
      <c r="F672" s="510"/>
      <c r="G672" s="404"/>
      <c r="H672" s="404"/>
      <c r="I672" s="404"/>
      <c r="K672" s="403"/>
      <c r="L672" s="403"/>
      <c r="M672" s="403"/>
    </row>
    <row r="673" spans="1:13">
      <c r="A673" s="432"/>
      <c r="B673" s="723"/>
      <c r="C673" s="723"/>
      <c r="E673" s="597"/>
      <c r="F673" s="510"/>
      <c r="G673" s="404"/>
      <c r="H673" s="404"/>
      <c r="I673" s="404"/>
      <c r="K673" s="403"/>
      <c r="L673" s="403"/>
      <c r="M673" s="403"/>
    </row>
    <row r="674" spans="1:13">
      <c r="A674" s="432"/>
      <c r="B674" s="723"/>
      <c r="C674" s="723"/>
      <c r="E674" s="597"/>
      <c r="F674" s="510"/>
      <c r="G674" s="404"/>
      <c r="H674" s="404"/>
      <c r="I674" s="404"/>
      <c r="K674" s="403"/>
      <c r="L674" s="403"/>
      <c r="M674" s="403"/>
    </row>
    <row r="675" spans="1:13">
      <c r="A675" s="432"/>
      <c r="B675" s="723"/>
      <c r="C675" s="723"/>
      <c r="E675" s="597"/>
      <c r="F675" s="510"/>
      <c r="G675" s="404"/>
      <c r="H675" s="404"/>
      <c r="I675" s="404"/>
      <c r="K675" s="403"/>
      <c r="L675" s="403"/>
      <c r="M675" s="403"/>
    </row>
    <row r="676" spans="1:13">
      <c r="A676" s="432"/>
      <c r="B676" s="723"/>
      <c r="C676" s="723"/>
      <c r="E676" s="597"/>
      <c r="F676" s="510"/>
      <c r="G676" s="404"/>
      <c r="H676" s="404"/>
      <c r="I676" s="404"/>
      <c r="K676" s="403"/>
      <c r="L676" s="403"/>
      <c r="M676" s="403"/>
    </row>
    <row r="677" spans="1:13">
      <c r="A677" s="432"/>
      <c r="B677" s="723"/>
      <c r="C677" s="723"/>
      <c r="E677" s="597"/>
      <c r="F677" s="510"/>
      <c r="G677" s="404"/>
      <c r="H677" s="404"/>
      <c r="I677" s="404"/>
      <c r="K677" s="403"/>
      <c r="L677" s="403"/>
      <c r="M677" s="403"/>
    </row>
    <row r="678" spans="1:13">
      <c r="A678" s="432"/>
      <c r="B678" s="723"/>
      <c r="C678" s="723"/>
      <c r="E678" s="597"/>
      <c r="F678" s="510"/>
      <c r="G678" s="404"/>
      <c r="H678" s="404"/>
      <c r="I678" s="404"/>
      <c r="K678" s="403"/>
      <c r="L678" s="403"/>
      <c r="M678" s="403"/>
    </row>
    <row r="679" spans="1:13">
      <c r="A679" s="432"/>
      <c r="B679" s="723"/>
      <c r="C679" s="724"/>
      <c r="E679" s="597"/>
      <c r="F679" s="510"/>
      <c r="G679" s="404"/>
      <c r="H679" s="404"/>
      <c r="I679" s="404"/>
      <c r="J679" s="410"/>
      <c r="K679" s="403"/>
      <c r="L679" s="403"/>
      <c r="M679" s="403"/>
    </row>
    <row r="680" spans="1:13">
      <c r="A680" s="725"/>
      <c r="B680" s="726"/>
      <c r="C680" s="727"/>
      <c r="D680" s="728"/>
      <c r="E680" s="729"/>
      <c r="F680" s="730"/>
      <c r="G680" s="404"/>
      <c r="H680" s="731"/>
      <c r="I680" s="404"/>
      <c r="J680" s="732"/>
      <c r="K680" s="733"/>
      <c r="L680" s="733"/>
      <c r="M680" s="733"/>
    </row>
    <row r="681" spans="1:13">
      <c r="A681" s="725"/>
      <c r="B681" s="726"/>
      <c r="C681" s="727"/>
      <c r="D681" s="728"/>
      <c r="E681" s="729"/>
      <c r="F681" s="730"/>
      <c r="G681" s="404"/>
      <c r="H681" s="731"/>
      <c r="I681" s="404"/>
      <c r="J681" s="732"/>
      <c r="K681" s="733"/>
      <c r="L681" s="733"/>
      <c r="M681" s="733"/>
    </row>
    <row r="682" spans="1:13">
      <c r="A682" s="725"/>
      <c r="B682" s="726"/>
      <c r="C682" s="727"/>
      <c r="D682" s="728"/>
      <c r="E682" s="729"/>
      <c r="F682" s="730"/>
      <c r="G682" s="404"/>
      <c r="H682" s="731"/>
      <c r="I682" s="404"/>
      <c r="J682" s="732"/>
      <c r="K682" s="733"/>
      <c r="L682" s="733"/>
      <c r="M682" s="733"/>
    </row>
    <row r="683" spans="1:13">
      <c r="A683" s="725"/>
      <c r="B683" s="726"/>
      <c r="C683" s="727"/>
      <c r="D683" s="728"/>
      <c r="E683" s="729"/>
      <c r="F683" s="730"/>
      <c r="G683" s="404"/>
      <c r="H683" s="731"/>
      <c r="I683" s="404"/>
      <c r="J683" s="732"/>
      <c r="K683" s="733"/>
      <c r="L683" s="733"/>
      <c r="M683" s="733"/>
    </row>
    <row r="684" spans="1:13">
      <c r="A684" s="432"/>
      <c r="B684" s="723"/>
      <c r="C684" s="723"/>
      <c r="E684" s="597"/>
      <c r="F684" s="510"/>
      <c r="G684" s="404"/>
      <c r="H684" s="404"/>
      <c r="I684" s="404"/>
      <c r="K684" s="403"/>
      <c r="L684" s="403"/>
      <c r="M684" s="403"/>
    </row>
    <row r="685" spans="1:13">
      <c r="A685" s="432"/>
      <c r="B685" s="723"/>
      <c r="C685" s="724"/>
      <c r="E685" s="597"/>
      <c r="F685" s="510"/>
      <c r="G685" s="404"/>
      <c r="H685" s="404"/>
      <c r="I685" s="404"/>
      <c r="J685" s="410"/>
      <c r="K685" s="403"/>
      <c r="L685" s="403"/>
      <c r="M685" s="403"/>
    </row>
    <row r="686" spans="1:13">
      <c r="A686" s="432"/>
      <c r="B686" s="723"/>
      <c r="C686" s="723"/>
      <c r="E686" s="597"/>
      <c r="F686" s="510"/>
      <c r="G686" s="404"/>
      <c r="H686" s="404"/>
      <c r="I686" s="404"/>
      <c r="K686" s="403"/>
      <c r="L686" s="403"/>
      <c r="M686" s="403"/>
    </row>
    <row r="687" spans="1:13">
      <c r="A687" s="432"/>
      <c r="B687" s="723"/>
      <c r="C687" s="723"/>
      <c r="E687" s="597"/>
      <c r="F687" s="510"/>
      <c r="G687" s="404"/>
      <c r="H687" s="404"/>
      <c r="I687" s="404"/>
      <c r="K687" s="403"/>
      <c r="L687" s="403"/>
      <c r="M687" s="403"/>
    </row>
    <row r="688" spans="1:13">
      <c r="A688" s="432"/>
      <c r="B688" s="723"/>
      <c r="C688" s="723"/>
      <c r="E688" s="597"/>
      <c r="F688" s="510"/>
      <c r="G688" s="404"/>
      <c r="H688" s="404"/>
      <c r="I688" s="404"/>
      <c r="K688" s="403"/>
      <c r="L688" s="403"/>
      <c r="M688" s="403"/>
    </row>
    <row r="689" spans="1:13">
      <c r="A689" s="432"/>
      <c r="B689" s="723"/>
      <c r="C689" s="724"/>
      <c r="E689" s="597"/>
      <c r="F689" s="510"/>
      <c r="G689" s="404"/>
      <c r="H689" s="404"/>
      <c r="I689" s="404"/>
      <c r="K689" s="403"/>
      <c r="L689" s="403"/>
      <c r="M689" s="403"/>
    </row>
    <row r="690" spans="1:13">
      <c r="A690" s="432"/>
      <c r="B690" s="723"/>
      <c r="C690" s="723"/>
      <c r="E690" s="597"/>
      <c r="F690" s="510"/>
      <c r="G690" s="404"/>
      <c r="H690" s="404"/>
      <c r="I690" s="404"/>
      <c r="K690" s="403"/>
      <c r="L690" s="403"/>
      <c r="M690" s="403"/>
    </row>
    <row r="691" spans="1:13">
      <c r="A691" s="432"/>
      <c r="B691" s="723"/>
      <c r="C691" s="723"/>
      <c r="E691" s="597"/>
      <c r="F691" s="510"/>
      <c r="G691" s="404"/>
      <c r="H691" s="404"/>
      <c r="I691" s="404"/>
      <c r="K691" s="403"/>
      <c r="L691" s="403"/>
      <c r="M691" s="403"/>
    </row>
    <row r="692" spans="1:13">
      <c r="A692" s="432"/>
      <c r="B692" s="723"/>
      <c r="C692" s="723"/>
      <c r="E692" s="597"/>
      <c r="F692" s="510"/>
      <c r="G692" s="404"/>
      <c r="H692" s="404"/>
      <c r="I692" s="404"/>
      <c r="K692" s="403"/>
      <c r="L692" s="403"/>
      <c r="M692" s="403"/>
    </row>
    <row r="693" spans="1:13">
      <c r="A693" s="432"/>
      <c r="B693" s="723"/>
      <c r="C693" s="723"/>
      <c r="E693" s="597"/>
      <c r="F693" s="510"/>
      <c r="G693" s="404"/>
      <c r="H693" s="404"/>
      <c r="I693" s="404"/>
      <c r="K693" s="403"/>
      <c r="L693" s="403"/>
      <c r="M693" s="403"/>
    </row>
    <row r="694" spans="1:13">
      <c r="A694" s="432"/>
      <c r="B694" s="723"/>
      <c r="C694" s="723"/>
      <c r="E694" s="597"/>
      <c r="F694" s="510"/>
      <c r="G694" s="404"/>
      <c r="H694" s="404"/>
      <c r="I694" s="404"/>
      <c r="K694" s="403"/>
      <c r="L694" s="403"/>
      <c r="M694" s="403"/>
    </row>
    <row r="695" spans="1:13">
      <c r="A695" s="432"/>
      <c r="B695" s="723"/>
      <c r="C695" s="723"/>
      <c r="E695" s="597"/>
      <c r="F695" s="510"/>
      <c r="G695" s="404"/>
      <c r="H695" s="404"/>
      <c r="I695" s="404"/>
      <c r="K695" s="403"/>
      <c r="L695" s="403"/>
      <c r="M695" s="403"/>
    </row>
    <row r="696" spans="1:13">
      <c r="A696" s="432"/>
      <c r="B696" s="723"/>
      <c r="C696" s="723"/>
      <c r="E696" s="597"/>
      <c r="F696" s="510"/>
      <c r="G696" s="404"/>
      <c r="H696" s="404"/>
      <c r="I696" s="404"/>
      <c r="K696" s="403"/>
      <c r="L696" s="403"/>
      <c r="M696" s="403"/>
    </row>
    <row r="697" spans="1:13">
      <c r="A697" s="432"/>
      <c r="B697" s="723"/>
      <c r="C697" s="723"/>
      <c r="E697" s="597"/>
      <c r="F697" s="510"/>
      <c r="G697" s="404"/>
      <c r="H697" s="404"/>
      <c r="I697" s="404"/>
      <c r="K697" s="403"/>
      <c r="L697" s="403"/>
      <c r="M697" s="403"/>
    </row>
    <row r="698" spans="1:13">
      <c r="A698" s="432"/>
      <c r="B698" s="723"/>
      <c r="C698" s="723"/>
      <c r="E698" s="597"/>
      <c r="F698" s="510"/>
      <c r="G698" s="404"/>
      <c r="H698" s="404"/>
      <c r="I698" s="404"/>
      <c r="K698" s="403"/>
      <c r="L698" s="403"/>
      <c r="M698" s="403"/>
    </row>
    <row r="699" spans="1:13">
      <c r="A699" s="432"/>
      <c r="B699" s="723"/>
      <c r="C699" s="723"/>
      <c r="E699" s="597"/>
      <c r="F699" s="510"/>
      <c r="G699" s="404"/>
      <c r="H699" s="404"/>
      <c r="I699" s="404"/>
      <c r="K699" s="403"/>
      <c r="L699" s="403"/>
      <c r="M699" s="403"/>
    </row>
    <row r="700" spans="1:13">
      <c r="A700" s="432"/>
      <c r="B700" s="723"/>
      <c r="C700" s="723"/>
      <c r="E700" s="597"/>
      <c r="F700" s="510"/>
      <c r="G700" s="404"/>
      <c r="H700" s="404"/>
      <c r="I700" s="404"/>
      <c r="J700" s="404"/>
      <c r="K700" s="403"/>
      <c r="L700" s="403"/>
      <c r="M700" s="403"/>
    </row>
    <row r="701" spans="1:13">
      <c r="A701" s="432"/>
      <c r="B701" s="723"/>
      <c r="C701" s="723"/>
      <c r="E701" s="597"/>
      <c r="F701" s="510"/>
      <c r="G701" s="404"/>
      <c r="H701" s="404"/>
      <c r="I701" s="404"/>
      <c r="K701" s="403"/>
      <c r="L701" s="403"/>
      <c r="M701" s="403"/>
    </row>
    <row r="702" spans="1:13">
      <c r="A702" s="432"/>
      <c r="B702" s="723"/>
      <c r="C702" s="723"/>
      <c r="E702" s="597"/>
      <c r="F702" s="510"/>
      <c r="G702" s="404"/>
      <c r="H702" s="404"/>
      <c r="I702" s="404"/>
      <c r="K702" s="403"/>
      <c r="L702" s="403"/>
      <c r="M702" s="403"/>
    </row>
    <row r="703" spans="1:13">
      <c r="A703" s="432"/>
      <c r="B703" s="723"/>
      <c r="C703" s="723"/>
      <c r="E703" s="597"/>
      <c r="F703" s="510"/>
      <c r="G703" s="404"/>
      <c r="H703" s="404"/>
      <c r="I703" s="404"/>
      <c r="K703" s="403"/>
      <c r="L703" s="403"/>
      <c r="M703" s="403"/>
    </row>
    <row r="704" spans="1:13">
      <c r="A704" s="432"/>
      <c r="B704" s="723"/>
      <c r="C704" s="723"/>
      <c r="E704" s="597"/>
      <c r="F704" s="510"/>
      <c r="G704" s="404"/>
      <c r="H704" s="404"/>
      <c r="I704" s="404"/>
      <c r="K704" s="403"/>
      <c r="L704" s="403"/>
      <c r="M704" s="403"/>
    </row>
    <row r="705" spans="1:13">
      <c r="A705" s="432"/>
      <c r="B705" s="723"/>
      <c r="C705" s="723"/>
      <c r="E705" s="597"/>
      <c r="F705" s="510"/>
      <c r="G705" s="404"/>
      <c r="H705" s="404"/>
      <c r="I705" s="404"/>
      <c r="K705" s="403"/>
      <c r="L705" s="403"/>
      <c r="M705" s="403"/>
    </row>
    <row r="706" spans="1:13">
      <c r="A706" s="432"/>
      <c r="B706" s="723"/>
      <c r="C706" s="723"/>
      <c r="E706" s="597"/>
      <c r="F706" s="510"/>
      <c r="G706" s="404"/>
      <c r="H706" s="404"/>
      <c r="I706" s="404"/>
      <c r="K706" s="403"/>
      <c r="L706" s="403"/>
      <c r="M706" s="403"/>
    </row>
    <row r="707" spans="1:13">
      <c r="A707" s="432"/>
      <c r="B707" s="723"/>
      <c r="C707" s="723"/>
      <c r="E707" s="597"/>
      <c r="F707" s="510"/>
      <c r="G707" s="404"/>
      <c r="H707" s="404"/>
      <c r="I707" s="404"/>
      <c r="K707" s="403"/>
      <c r="L707" s="403"/>
      <c r="M707" s="403"/>
    </row>
    <row r="708" spans="1:13">
      <c r="A708" s="432"/>
      <c r="B708" s="723"/>
      <c r="C708" s="724"/>
      <c r="E708" s="597"/>
      <c r="F708" s="510"/>
      <c r="G708" s="404"/>
      <c r="H708" s="404"/>
      <c r="I708" s="404"/>
      <c r="J708" s="425"/>
      <c r="K708" s="403"/>
      <c r="L708" s="403"/>
      <c r="M708" s="403"/>
    </row>
    <row r="709" spans="1:13">
      <c r="A709" s="432"/>
      <c r="B709" s="723"/>
      <c r="C709" s="724"/>
      <c r="E709" s="597"/>
      <c r="F709" s="510"/>
      <c r="G709" s="404"/>
      <c r="H709" s="404"/>
      <c r="I709" s="404"/>
      <c r="J709" s="410"/>
      <c r="K709" s="403"/>
      <c r="L709" s="403"/>
      <c r="M709" s="403"/>
    </row>
    <row r="710" spans="1:13">
      <c r="A710" s="432"/>
      <c r="B710" s="723"/>
      <c r="C710" s="724"/>
      <c r="E710" s="597"/>
      <c r="F710" s="510"/>
      <c r="G710" s="404"/>
      <c r="H710" s="404"/>
      <c r="I710" s="404"/>
      <c r="J710" s="410"/>
      <c r="K710" s="403"/>
      <c r="L710" s="403"/>
      <c r="M710" s="403"/>
    </row>
    <row r="711" spans="1:13">
      <c r="A711" s="432"/>
      <c r="B711" s="723"/>
      <c r="C711" s="723"/>
      <c r="E711" s="597"/>
      <c r="F711" s="510"/>
      <c r="G711" s="404"/>
      <c r="H711" s="404"/>
      <c r="I711" s="404"/>
      <c r="K711" s="403"/>
      <c r="L711" s="403"/>
      <c r="M711" s="403"/>
    </row>
    <row r="712" spans="1:13">
      <c r="A712" s="432"/>
      <c r="B712" s="723"/>
      <c r="C712" s="724"/>
      <c r="E712" s="597"/>
      <c r="F712" s="510"/>
      <c r="G712" s="404"/>
      <c r="H712" s="404"/>
      <c r="I712" s="404"/>
      <c r="J712" s="410"/>
      <c r="K712" s="403"/>
      <c r="L712" s="403"/>
      <c r="M712" s="403"/>
    </row>
    <row r="713" spans="1:13">
      <c r="A713" s="432"/>
      <c r="B713" s="723"/>
      <c r="C713" s="723"/>
      <c r="E713" s="597"/>
      <c r="F713" s="510"/>
      <c r="G713" s="404"/>
      <c r="H713" s="404"/>
      <c r="I713" s="404"/>
      <c r="K713" s="403"/>
      <c r="L713" s="403"/>
      <c r="M713" s="403"/>
    </row>
    <row r="714" spans="1:13">
      <c r="A714" s="432"/>
      <c r="B714" s="723"/>
      <c r="C714" s="723"/>
      <c r="E714" s="597"/>
      <c r="F714" s="510"/>
      <c r="G714" s="404"/>
      <c r="H714" s="404"/>
      <c r="I714" s="404"/>
      <c r="K714" s="403"/>
      <c r="L714" s="403"/>
      <c r="M714" s="403"/>
    </row>
    <row r="715" spans="1:13">
      <c r="A715" s="432"/>
      <c r="B715" s="723"/>
      <c r="C715" s="723"/>
      <c r="E715" s="597"/>
      <c r="F715" s="510"/>
      <c r="G715" s="404"/>
      <c r="H715" s="404"/>
      <c r="I715" s="404"/>
      <c r="K715" s="403"/>
      <c r="L715" s="403"/>
      <c r="M715" s="403"/>
    </row>
    <row r="716" spans="1:13">
      <c r="A716" s="432"/>
      <c r="B716" s="723"/>
      <c r="C716" s="723"/>
      <c r="E716" s="597"/>
      <c r="F716" s="510"/>
      <c r="G716" s="404"/>
      <c r="H716" s="404"/>
      <c r="I716" s="404"/>
      <c r="K716" s="403"/>
      <c r="L716" s="403"/>
      <c r="M716" s="403"/>
    </row>
    <row r="717" spans="1:13">
      <c r="A717" s="432"/>
      <c r="B717" s="723"/>
      <c r="C717" s="723"/>
      <c r="E717" s="597"/>
      <c r="F717" s="510"/>
      <c r="G717" s="404"/>
      <c r="H717" s="404"/>
      <c r="I717" s="404"/>
      <c r="K717" s="403"/>
      <c r="L717" s="403"/>
      <c r="M717" s="403"/>
    </row>
    <row r="718" spans="1:13">
      <c r="A718" s="432"/>
      <c r="B718" s="723"/>
      <c r="C718" s="723"/>
      <c r="E718" s="597"/>
      <c r="F718" s="510"/>
      <c r="G718" s="404"/>
      <c r="H718" s="404"/>
      <c r="I718" s="404"/>
      <c r="K718" s="403"/>
      <c r="L718" s="403"/>
      <c r="M718" s="403"/>
    </row>
    <row r="719" spans="1:13">
      <c r="A719" s="432"/>
      <c r="B719" s="723"/>
      <c r="C719" s="723"/>
      <c r="E719" s="597"/>
      <c r="F719" s="510"/>
      <c r="G719" s="404"/>
      <c r="H719" s="404"/>
      <c r="I719" s="404"/>
      <c r="J719" s="404"/>
      <c r="K719" s="403"/>
      <c r="L719" s="403"/>
      <c r="M719" s="403"/>
    </row>
    <row r="720" spans="1:13">
      <c r="A720" s="432"/>
      <c r="B720" s="723"/>
      <c r="C720" s="724"/>
      <c r="E720" s="597"/>
      <c r="F720" s="510"/>
      <c r="G720" s="404"/>
      <c r="H720" s="404"/>
      <c r="I720" s="404"/>
      <c r="K720" s="403"/>
      <c r="L720" s="403"/>
      <c r="M720" s="403"/>
    </row>
    <row r="721" spans="1:13">
      <c r="A721" s="432"/>
      <c r="B721" s="723"/>
      <c r="C721" s="723"/>
      <c r="E721" s="597"/>
      <c r="F721" s="510"/>
      <c r="G721" s="404"/>
      <c r="H721" s="404"/>
      <c r="I721" s="404"/>
      <c r="K721" s="403"/>
      <c r="L721" s="403"/>
      <c r="M721" s="403"/>
    </row>
    <row r="722" spans="1:13">
      <c r="A722" s="432"/>
      <c r="B722" s="723"/>
      <c r="C722" s="723"/>
      <c r="E722" s="597"/>
      <c r="F722" s="510"/>
      <c r="G722" s="404"/>
      <c r="H722" s="404"/>
      <c r="I722" s="404"/>
      <c r="K722" s="403"/>
      <c r="L722" s="403"/>
      <c r="M722" s="403"/>
    </row>
    <row r="723" spans="1:13">
      <c r="A723" s="432"/>
      <c r="B723" s="723"/>
      <c r="C723" s="723"/>
      <c r="E723" s="597"/>
      <c r="F723" s="510"/>
      <c r="G723" s="404"/>
      <c r="H723" s="404"/>
      <c r="I723" s="404"/>
      <c r="K723" s="403"/>
      <c r="L723" s="403"/>
      <c r="M723" s="403"/>
    </row>
    <row r="724" spans="1:13">
      <c r="A724" s="432"/>
      <c r="B724" s="723"/>
      <c r="C724" s="723"/>
      <c r="E724" s="597"/>
      <c r="F724" s="510"/>
      <c r="G724" s="404"/>
      <c r="H724" s="404"/>
      <c r="I724" s="404"/>
      <c r="K724" s="403"/>
      <c r="L724" s="403"/>
      <c r="M724" s="403"/>
    </row>
    <row r="725" spans="1:13">
      <c r="A725" s="432"/>
      <c r="B725" s="723"/>
      <c r="C725" s="723"/>
      <c r="E725" s="597"/>
      <c r="F725" s="510"/>
      <c r="G725" s="404"/>
      <c r="H725" s="404"/>
      <c r="I725" s="404"/>
      <c r="K725" s="403"/>
      <c r="L725" s="403"/>
      <c r="M725" s="403"/>
    </row>
    <row r="726" spans="1:13">
      <c r="A726" s="432"/>
      <c r="B726" s="723"/>
      <c r="C726" s="723"/>
      <c r="E726" s="597"/>
      <c r="F726" s="510"/>
      <c r="G726" s="404"/>
      <c r="H726" s="404"/>
      <c r="I726" s="404"/>
      <c r="K726" s="403"/>
      <c r="L726" s="403"/>
      <c r="M726" s="403"/>
    </row>
    <row r="727" spans="1:13">
      <c r="A727" s="432"/>
      <c r="B727" s="723"/>
      <c r="C727" s="723"/>
      <c r="E727" s="597"/>
      <c r="F727" s="510"/>
      <c r="G727" s="404"/>
      <c r="H727" s="404"/>
      <c r="I727" s="404"/>
      <c r="K727" s="403"/>
      <c r="L727" s="403"/>
      <c r="M727" s="403"/>
    </row>
    <row r="728" spans="1:13">
      <c r="A728" s="432"/>
      <c r="B728" s="723"/>
      <c r="C728" s="723"/>
      <c r="E728" s="597"/>
      <c r="F728" s="510"/>
      <c r="G728" s="404"/>
      <c r="H728" s="404"/>
      <c r="I728" s="404"/>
      <c r="J728" s="404"/>
      <c r="K728" s="403"/>
      <c r="L728" s="403"/>
      <c r="M728" s="403"/>
    </row>
    <row r="729" spans="1:13">
      <c r="A729" s="432"/>
      <c r="B729" s="723"/>
      <c r="C729" s="723"/>
      <c r="E729" s="597"/>
      <c r="F729" s="510"/>
      <c r="G729" s="404"/>
      <c r="H729" s="404"/>
      <c r="I729" s="404"/>
      <c r="K729" s="403"/>
      <c r="L729" s="403"/>
      <c r="M729" s="403"/>
    </row>
    <row r="730" spans="1:13">
      <c r="A730" s="432"/>
      <c r="B730" s="723"/>
      <c r="C730" s="723"/>
      <c r="E730" s="597"/>
      <c r="F730" s="510"/>
      <c r="G730" s="404"/>
      <c r="H730" s="404"/>
      <c r="I730" s="404"/>
      <c r="J730" s="404"/>
      <c r="K730" s="403"/>
      <c r="L730" s="403"/>
      <c r="M730" s="403"/>
    </row>
    <row r="731" spans="1:13">
      <c r="A731" s="432"/>
      <c r="B731" s="723"/>
      <c r="C731" s="723"/>
      <c r="E731" s="597"/>
      <c r="F731" s="510"/>
      <c r="G731" s="404"/>
      <c r="H731" s="404"/>
      <c r="I731" s="404"/>
      <c r="K731" s="403"/>
      <c r="L731" s="403"/>
      <c r="M731" s="403"/>
    </row>
    <row r="732" spans="1:13">
      <c r="A732" s="432"/>
      <c r="B732" s="723"/>
      <c r="C732" s="723"/>
      <c r="E732" s="597"/>
      <c r="F732" s="510"/>
      <c r="G732" s="404"/>
      <c r="H732" s="404"/>
      <c r="I732" s="404"/>
      <c r="K732" s="403"/>
      <c r="L732" s="403"/>
      <c r="M732" s="403"/>
    </row>
    <row r="733" spans="1:13">
      <c r="A733" s="432"/>
      <c r="B733" s="723"/>
      <c r="C733" s="723"/>
      <c r="E733" s="597"/>
      <c r="F733" s="510"/>
      <c r="G733" s="404"/>
      <c r="H733" s="404"/>
      <c r="I733" s="404"/>
      <c r="K733" s="403"/>
      <c r="L733" s="403"/>
      <c r="M733" s="403"/>
    </row>
    <row r="734" spans="1:13">
      <c r="A734" s="432"/>
      <c r="B734" s="723"/>
      <c r="C734" s="723"/>
      <c r="E734" s="597"/>
      <c r="F734" s="510"/>
      <c r="G734" s="404"/>
      <c r="H734" s="404"/>
      <c r="I734" s="404"/>
      <c r="K734" s="403"/>
      <c r="L734" s="403"/>
      <c r="M734" s="403"/>
    </row>
    <row r="735" spans="1:13">
      <c r="A735" s="432"/>
      <c r="B735" s="723"/>
      <c r="C735" s="723"/>
      <c r="E735" s="597"/>
      <c r="F735" s="510"/>
      <c r="G735" s="404"/>
      <c r="H735" s="404"/>
      <c r="I735" s="404"/>
      <c r="K735" s="403"/>
      <c r="L735" s="403"/>
      <c r="M735" s="403"/>
    </row>
    <row r="736" spans="1:13">
      <c r="A736" s="432"/>
      <c r="B736" s="723"/>
      <c r="C736" s="723"/>
      <c r="E736" s="597"/>
      <c r="F736" s="510"/>
      <c r="G736" s="404"/>
      <c r="H736" s="404"/>
      <c r="I736" s="404"/>
      <c r="K736" s="403"/>
      <c r="L736" s="403"/>
      <c r="M736" s="403"/>
    </row>
    <row r="737" spans="1:13">
      <c r="A737" s="432"/>
      <c r="B737" s="734"/>
      <c r="C737" s="723"/>
      <c r="E737" s="597"/>
      <c r="F737" s="510"/>
      <c r="G737" s="404"/>
      <c r="H737" s="404"/>
      <c r="I737" s="404"/>
      <c r="K737" s="403"/>
      <c r="L737" s="403"/>
      <c r="M737" s="403"/>
    </row>
    <row r="738" spans="1:13">
      <c r="A738" s="432"/>
      <c r="B738" s="723"/>
      <c r="C738" s="723"/>
      <c r="E738" s="597"/>
      <c r="F738" s="510"/>
      <c r="G738" s="404"/>
      <c r="H738" s="404"/>
      <c r="I738" s="404"/>
      <c r="K738" s="403"/>
      <c r="L738" s="403"/>
      <c r="M738" s="403"/>
    </row>
    <row r="739" spans="1:13">
      <c r="A739" s="432"/>
      <c r="B739" s="723"/>
      <c r="C739" s="723"/>
      <c r="E739" s="597"/>
      <c r="F739" s="510"/>
      <c r="G739" s="404"/>
      <c r="H739" s="404"/>
      <c r="I739" s="404"/>
      <c r="K739" s="403"/>
      <c r="L739" s="403"/>
      <c r="M739" s="403"/>
    </row>
    <row r="740" spans="1:13">
      <c r="A740" s="432"/>
      <c r="B740" s="723"/>
      <c r="C740" s="723"/>
      <c r="E740" s="597"/>
      <c r="F740" s="510"/>
      <c r="G740" s="404"/>
      <c r="H740" s="404"/>
      <c r="I740" s="404"/>
      <c r="K740" s="403"/>
      <c r="L740" s="403"/>
      <c r="M740" s="403"/>
    </row>
    <row r="741" spans="1:13">
      <c r="A741" s="432"/>
      <c r="B741" s="723"/>
      <c r="C741" s="723"/>
      <c r="E741" s="597"/>
      <c r="F741" s="510"/>
      <c r="G741" s="404"/>
      <c r="H741" s="404"/>
      <c r="I741" s="404"/>
      <c r="J741" s="404"/>
      <c r="K741" s="403"/>
      <c r="L741" s="403"/>
      <c r="M741" s="403"/>
    </row>
    <row r="742" spans="1:13">
      <c r="A742" s="432"/>
      <c r="B742" s="723"/>
      <c r="C742" s="723"/>
      <c r="E742" s="597"/>
      <c r="F742" s="510"/>
      <c r="G742" s="404"/>
      <c r="H742" s="404"/>
      <c r="I742" s="404"/>
      <c r="K742" s="403"/>
      <c r="L742" s="403"/>
      <c r="M742" s="403"/>
    </row>
    <row r="743" spans="1:13">
      <c r="A743" s="432"/>
      <c r="B743" s="723"/>
      <c r="C743" s="723"/>
      <c r="E743" s="597"/>
      <c r="F743" s="510"/>
      <c r="G743" s="404"/>
      <c r="H743" s="404"/>
      <c r="I743" s="404"/>
      <c r="K743" s="403"/>
      <c r="L743" s="403"/>
      <c r="M743" s="403"/>
    </row>
    <row r="744" spans="1:13">
      <c r="A744" s="432"/>
      <c r="B744" s="723"/>
      <c r="C744" s="723"/>
      <c r="E744" s="597"/>
      <c r="F744" s="510"/>
      <c r="G744" s="404"/>
      <c r="H744" s="404"/>
      <c r="I744" s="404"/>
      <c r="K744" s="403"/>
      <c r="L744" s="403"/>
      <c r="M744" s="403"/>
    </row>
    <row r="745" spans="1:13">
      <c r="A745" s="432"/>
      <c r="B745" s="723"/>
      <c r="C745" s="723"/>
      <c r="E745" s="597"/>
      <c r="F745" s="510"/>
      <c r="G745" s="404"/>
      <c r="H745" s="404"/>
      <c r="I745" s="404"/>
      <c r="K745" s="403"/>
      <c r="L745" s="403"/>
      <c r="M745" s="403"/>
    </row>
    <row r="746" spans="1:13">
      <c r="A746" s="432"/>
      <c r="B746" s="723"/>
      <c r="C746" s="723"/>
      <c r="E746" s="597"/>
      <c r="F746" s="510"/>
      <c r="G746" s="404"/>
      <c r="H746" s="404"/>
      <c r="I746" s="404"/>
      <c r="K746" s="403"/>
      <c r="L746" s="403"/>
      <c r="M746" s="403"/>
    </row>
    <row r="747" spans="1:13">
      <c r="A747" s="432"/>
      <c r="B747" s="723"/>
      <c r="C747" s="723"/>
      <c r="E747" s="597"/>
      <c r="F747" s="510"/>
      <c r="G747" s="404"/>
      <c r="H747" s="404"/>
      <c r="I747" s="404"/>
      <c r="K747" s="403"/>
      <c r="L747" s="403"/>
      <c r="M747" s="403"/>
    </row>
    <row r="748" spans="1:13">
      <c r="A748" s="432"/>
      <c r="B748" s="723"/>
      <c r="C748" s="723"/>
      <c r="E748" s="597"/>
      <c r="F748" s="510"/>
      <c r="G748" s="404"/>
      <c r="H748" s="404"/>
      <c r="I748" s="404"/>
      <c r="K748" s="403"/>
      <c r="L748" s="403"/>
      <c r="M748" s="403"/>
    </row>
    <row r="749" spans="1:13">
      <c r="A749" s="432"/>
      <c r="B749" s="723"/>
      <c r="C749" s="723"/>
      <c r="E749" s="597"/>
      <c r="F749" s="510"/>
      <c r="G749" s="404"/>
      <c r="H749" s="404"/>
      <c r="I749" s="404"/>
      <c r="K749" s="403"/>
      <c r="L749" s="403"/>
      <c r="M749" s="403"/>
    </row>
    <row r="750" spans="1:13">
      <c r="A750" s="432"/>
      <c r="B750" s="723"/>
      <c r="C750" s="723"/>
      <c r="E750" s="597"/>
      <c r="F750" s="510"/>
      <c r="G750" s="404"/>
      <c r="H750" s="404"/>
      <c r="I750" s="404"/>
      <c r="K750" s="403"/>
      <c r="L750" s="403"/>
      <c r="M750" s="403"/>
    </row>
    <row r="751" spans="1:13">
      <c r="A751" s="432"/>
      <c r="B751" s="723"/>
      <c r="C751" s="723"/>
      <c r="E751" s="597"/>
      <c r="F751" s="510"/>
      <c r="G751" s="404"/>
      <c r="H751" s="404"/>
      <c r="I751" s="404"/>
      <c r="K751" s="403"/>
      <c r="L751" s="403"/>
      <c r="M751" s="403"/>
    </row>
    <row r="752" spans="1:13">
      <c r="A752" s="432"/>
      <c r="B752" s="723"/>
      <c r="C752" s="723"/>
      <c r="E752" s="597"/>
      <c r="F752" s="510"/>
      <c r="G752" s="404"/>
      <c r="H752" s="404"/>
      <c r="I752" s="404"/>
      <c r="K752" s="403"/>
      <c r="L752" s="403"/>
      <c r="M752" s="403"/>
    </row>
    <row r="753" spans="1:13">
      <c r="A753" s="432"/>
      <c r="B753" s="723"/>
      <c r="C753" s="723"/>
      <c r="E753" s="597"/>
      <c r="F753" s="510"/>
      <c r="G753" s="404"/>
      <c r="H753" s="404"/>
      <c r="I753" s="404"/>
      <c r="K753" s="403"/>
      <c r="L753" s="403"/>
      <c r="M753" s="403"/>
    </row>
    <row r="754" spans="1:13">
      <c r="A754" s="432"/>
      <c r="B754" s="723"/>
      <c r="C754" s="724"/>
      <c r="E754" s="597"/>
      <c r="F754" s="510"/>
      <c r="G754" s="404"/>
      <c r="H754" s="404"/>
      <c r="I754" s="404"/>
      <c r="J754" s="410"/>
      <c r="K754" s="403"/>
      <c r="L754" s="403"/>
      <c r="M754" s="403"/>
    </row>
    <row r="755" spans="1:13">
      <c r="A755" s="432"/>
      <c r="B755" s="723"/>
      <c r="C755" s="723"/>
      <c r="E755" s="597"/>
      <c r="F755" s="510"/>
      <c r="G755" s="404"/>
      <c r="H755" s="404"/>
      <c r="I755" s="404"/>
      <c r="K755" s="403"/>
      <c r="L755" s="403"/>
      <c r="M755" s="403"/>
    </row>
    <row r="756" spans="1:13">
      <c r="A756" s="432"/>
      <c r="B756" s="723"/>
      <c r="C756" s="723"/>
      <c r="E756" s="597"/>
      <c r="F756" s="510"/>
      <c r="G756" s="404"/>
      <c r="H756" s="404"/>
      <c r="I756" s="404"/>
      <c r="K756" s="403"/>
      <c r="L756" s="403"/>
      <c r="M756" s="403"/>
    </row>
    <row r="757" spans="1:13">
      <c r="A757" s="432"/>
      <c r="B757" s="723"/>
      <c r="C757" s="723"/>
      <c r="E757" s="597"/>
      <c r="F757" s="510"/>
      <c r="G757" s="404"/>
      <c r="H757" s="404"/>
      <c r="I757" s="404"/>
      <c r="K757" s="403"/>
      <c r="L757" s="403"/>
      <c r="M757" s="403"/>
    </row>
    <row r="758" spans="1:13">
      <c r="A758" s="432"/>
      <c r="B758" s="723"/>
      <c r="C758" s="723"/>
      <c r="E758" s="597"/>
      <c r="F758" s="510"/>
      <c r="G758" s="404"/>
      <c r="H758" s="404"/>
      <c r="I758" s="404"/>
      <c r="K758" s="403"/>
      <c r="L758" s="403"/>
      <c r="M758" s="403"/>
    </row>
    <row r="759" spans="1:13">
      <c r="A759" s="432"/>
      <c r="B759" s="723"/>
      <c r="C759" s="723"/>
      <c r="E759" s="597"/>
      <c r="F759" s="510"/>
      <c r="G759" s="404"/>
      <c r="H759" s="404"/>
      <c r="I759" s="404"/>
      <c r="K759" s="403"/>
      <c r="L759" s="403"/>
      <c r="M759" s="403"/>
    </row>
    <row r="760" spans="1:13">
      <c r="A760" s="432"/>
      <c r="B760" s="723"/>
      <c r="C760" s="723"/>
      <c r="E760" s="597"/>
      <c r="F760" s="510"/>
      <c r="G760" s="404"/>
      <c r="H760" s="404"/>
      <c r="I760" s="404"/>
      <c r="K760" s="403"/>
      <c r="L760" s="403"/>
      <c r="M760" s="403"/>
    </row>
    <row r="761" spans="1:13">
      <c r="A761" s="432"/>
      <c r="B761" s="723"/>
      <c r="C761" s="723"/>
      <c r="E761" s="597"/>
      <c r="F761" s="510"/>
      <c r="G761" s="404"/>
      <c r="H761" s="404"/>
      <c r="I761" s="404"/>
      <c r="K761" s="403"/>
      <c r="L761" s="403"/>
      <c r="M761" s="403"/>
    </row>
    <row r="762" spans="1:13">
      <c r="A762" s="432"/>
      <c r="B762" s="723"/>
      <c r="C762" s="723"/>
      <c r="E762" s="597"/>
      <c r="F762" s="510"/>
      <c r="G762" s="404"/>
      <c r="H762" s="404"/>
      <c r="I762" s="404"/>
      <c r="K762" s="403"/>
      <c r="L762" s="403"/>
      <c r="M762" s="403"/>
    </row>
    <row r="763" spans="1:13">
      <c r="A763" s="432"/>
      <c r="B763" s="723"/>
      <c r="C763" s="724"/>
      <c r="E763" s="404"/>
      <c r="F763" s="510"/>
      <c r="G763" s="404"/>
      <c r="H763" s="404"/>
      <c r="I763" s="404"/>
      <c r="J763" s="410"/>
      <c r="K763" s="403"/>
      <c r="L763" s="403"/>
      <c r="M763" s="403"/>
    </row>
    <row r="764" spans="1:13">
      <c r="A764" s="432"/>
      <c r="B764" s="723"/>
      <c r="C764" s="723"/>
      <c r="E764" s="597"/>
      <c r="F764" s="510"/>
      <c r="G764" s="404"/>
      <c r="H764" s="404"/>
      <c r="I764" s="404"/>
      <c r="K764" s="403"/>
      <c r="L764" s="403"/>
      <c r="M764" s="403"/>
    </row>
    <row r="765" spans="1:13">
      <c r="A765" s="432"/>
      <c r="B765" s="723"/>
      <c r="C765" s="723"/>
      <c r="E765" s="597"/>
      <c r="F765" s="510"/>
      <c r="G765" s="404"/>
      <c r="H765" s="404"/>
      <c r="I765" s="404"/>
      <c r="K765" s="403"/>
      <c r="L765" s="403"/>
      <c r="M765" s="403"/>
    </row>
    <row r="766" spans="1:13">
      <c r="A766" s="432"/>
      <c r="B766" s="723"/>
      <c r="C766" s="723"/>
      <c r="E766" s="597"/>
      <c r="F766" s="510"/>
      <c r="G766" s="404"/>
      <c r="H766" s="404"/>
      <c r="I766" s="404"/>
      <c r="K766" s="403"/>
      <c r="L766" s="403"/>
      <c r="M766" s="403"/>
    </row>
    <row r="767" spans="1:13">
      <c r="A767" s="432"/>
      <c r="B767" s="723"/>
      <c r="C767" s="723"/>
      <c r="E767" s="597"/>
      <c r="F767" s="510"/>
      <c r="G767" s="404"/>
      <c r="H767" s="404"/>
      <c r="I767" s="404"/>
      <c r="J767" s="404"/>
      <c r="K767" s="403"/>
      <c r="L767" s="403"/>
      <c r="M767" s="403"/>
    </row>
    <row r="768" spans="1:13">
      <c r="A768" s="432"/>
      <c r="B768" s="723"/>
      <c r="C768" s="724"/>
      <c r="E768" s="597"/>
      <c r="F768" s="510"/>
      <c r="G768" s="404"/>
      <c r="H768" s="404"/>
      <c r="I768" s="404"/>
      <c r="J768" s="410"/>
      <c r="K768" s="403"/>
      <c r="L768" s="403"/>
      <c r="M768" s="403"/>
    </row>
    <row r="769" spans="1:13">
      <c r="A769" s="432"/>
      <c r="B769" s="723"/>
      <c r="C769" s="724"/>
      <c r="E769" s="597"/>
      <c r="F769" s="510"/>
      <c r="G769" s="404"/>
      <c r="H769" s="404"/>
      <c r="I769" s="404"/>
      <c r="J769" s="425"/>
      <c r="K769" s="403"/>
      <c r="L769" s="403"/>
      <c r="M769" s="403"/>
    </row>
    <row r="770" spans="1:13">
      <c r="A770" s="432"/>
      <c r="B770" s="723"/>
      <c r="C770" s="724"/>
      <c r="E770" s="597"/>
      <c r="F770" s="510"/>
      <c r="G770" s="404"/>
      <c r="H770" s="404"/>
      <c r="I770" s="404"/>
      <c r="J770" s="410"/>
      <c r="K770" s="403"/>
      <c r="L770" s="403"/>
      <c r="M770" s="403"/>
    </row>
  </sheetData>
  <autoFilter ref="A2:J660"/>
  <sortState ref="A306:K322">
    <sortCondition ref="C306:C322"/>
  </sortState>
  <mergeCells count="2">
    <mergeCell ref="M1:O1"/>
    <mergeCell ref="P1:R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17"/>
  <sheetViews>
    <sheetView workbookViewId="0"/>
  </sheetViews>
  <sheetFormatPr defaultRowHeight="12"/>
  <cols>
    <col min="1" max="1" width="12.5" bestFit="1" customWidth="1"/>
  </cols>
  <sheetData>
    <row r="1" spans="1:2">
      <c r="A1">
        <v>1022</v>
      </c>
      <c r="B1" s="12" t="s">
        <v>126</v>
      </c>
    </row>
    <row r="2" spans="1:2">
      <c r="A2">
        <v>1040</v>
      </c>
      <c r="B2" s="12" t="s">
        <v>125</v>
      </c>
    </row>
    <row r="3" spans="1:2">
      <c r="A3">
        <v>1055</v>
      </c>
      <c r="B3" s="12" t="s">
        <v>124</v>
      </c>
    </row>
    <row r="4" spans="1:2">
      <c r="A4">
        <v>1051</v>
      </c>
      <c r="B4" s="12" t="s">
        <v>123</v>
      </c>
    </row>
    <row r="6" spans="1:2">
      <c r="A6" t="s">
        <v>127</v>
      </c>
      <c r="B6" t="s">
        <v>128</v>
      </c>
    </row>
    <row r="8" spans="1:2">
      <c r="A8" t="s">
        <v>129</v>
      </c>
      <c r="B8" s="12" t="s">
        <v>130</v>
      </c>
    </row>
    <row r="10" spans="1:2">
      <c r="A10" t="s">
        <v>131</v>
      </c>
      <c r="B10" t="s">
        <v>132</v>
      </c>
    </row>
    <row r="11" spans="1:2">
      <c r="B11" s="12" t="s">
        <v>133</v>
      </c>
    </row>
    <row r="12" spans="1:2">
      <c r="B12" s="43" t="s">
        <v>134</v>
      </c>
    </row>
    <row r="13" spans="1:2">
      <c r="B13" t="s">
        <v>135</v>
      </c>
    </row>
    <row r="14" spans="1:2">
      <c r="B14" t="s">
        <v>136</v>
      </c>
    </row>
    <row r="15" spans="1:2">
      <c r="B15" t="s">
        <v>137</v>
      </c>
    </row>
    <row r="16" spans="1:2">
      <c r="B16" s="43" t="s">
        <v>138</v>
      </c>
    </row>
    <row r="17" spans="2:2">
      <c r="B17" t="s">
        <v>139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BA586"/>
  <sheetViews>
    <sheetView workbookViewId="0">
      <selection activeCell="D531" sqref="D531"/>
    </sheetView>
  </sheetViews>
  <sheetFormatPr defaultRowHeight="11.25"/>
  <cols>
    <col min="1" max="1" width="9.33203125" style="844"/>
    <col min="2" max="2" width="13.83203125" style="844" bestFit="1" customWidth="1"/>
    <col min="3" max="3" width="15" style="844" bestFit="1" customWidth="1"/>
    <col min="4" max="4" width="9.33203125" style="858"/>
    <col min="5" max="5" width="14.83203125" style="873" bestFit="1" customWidth="1"/>
    <col min="6" max="6" width="18.5" style="873" bestFit="1" customWidth="1"/>
    <col min="7" max="8" width="22.1640625" style="873" bestFit="1" customWidth="1"/>
    <col min="9" max="9" width="22" style="866" bestFit="1" customWidth="1"/>
    <col min="10" max="10" width="14.1640625" style="866" bestFit="1" customWidth="1"/>
    <col min="11" max="11" width="17.33203125" style="866" bestFit="1" customWidth="1"/>
    <col min="12" max="12" width="16.83203125" style="866" bestFit="1" customWidth="1"/>
    <col min="13" max="13" width="19" style="866" bestFit="1" customWidth="1"/>
    <col min="14" max="14" width="14.1640625" style="866" bestFit="1" customWidth="1"/>
    <col min="15" max="15" width="16.1640625" style="866" bestFit="1" customWidth="1"/>
    <col min="16" max="16" width="24.6640625" style="866" bestFit="1" customWidth="1"/>
    <col min="17" max="17" width="17" style="866" bestFit="1" customWidth="1"/>
    <col min="18" max="18" width="24.5" style="866" bestFit="1" customWidth="1"/>
    <col min="19" max="19" width="21.6640625" style="866" bestFit="1" customWidth="1"/>
    <col min="20" max="20" width="9.33203125" style="844"/>
    <col min="21" max="21" width="24.5" style="844" bestFit="1" customWidth="1"/>
    <col min="22" max="28" width="9.33203125" style="844"/>
    <col min="29" max="29" width="17.1640625" style="844" bestFit="1" customWidth="1"/>
    <col min="30" max="30" width="20.5" style="844" bestFit="1" customWidth="1"/>
    <col min="31" max="16384" width="9.33203125" style="844"/>
  </cols>
  <sheetData>
    <row r="1" spans="1:47" ht="12" thickBot="1">
      <c r="A1" s="840"/>
      <c r="B1" s="841"/>
      <c r="C1" s="842"/>
      <c r="D1" s="851" t="s">
        <v>1</v>
      </c>
      <c r="E1" s="867" t="s">
        <v>677</v>
      </c>
      <c r="F1" s="867" t="s">
        <v>678</v>
      </c>
      <c r="G1" s="867" t="s">
        <v>679</v>
      </c>
      <c r="H1" s="867" t="s">
        <v>2</v>
      </c>
      <c r="I1" s="859" t="s">
        <v>487</v>
      </c>
      <c r="J1" s="859" t="s">
        <v>488</v>
      </c>
      <c r="K1" s="859" t="s">
        <v>489</v>
      </c>
      <c r="L1" s="859" t="s">
        <v>1264</v>
      </c>
      <c r="M1" s="859" t="s">
        <v>1265</v>
      </c>
      <c r="N1" s="859" t="s">
        <v>1055</v>
      </c>
      <c r="O1" s="859" t="s">
        <v>1266</v>
      </c>
      <c r="P1" s="859" t="s">
        <v>1267</v>
      </c>
      <c r="Q1" s="859" t="s">
        <v>1268</v>
      </c>
      <c r="R1" s="859" t="s">
        <v>1269</v>
      </c>
      <c r="S1" s="859" t="s">
        <v>4</v>
      </c>
    </row>
    <row r="2" spans="1:47" s="585" customFormat="1" ht="12" hidden="1" thickBot="1">
      <c r="A2" s="522" t="s">
        <v>5</v>
      </c>
      <c r="B2" s="522" t="s">
        <v>0</v>
      </c>
      <c r="C2" s="522" t="s">
        <v>6</v>
      </c>
      <c r="D2" s="541"/>
      <c r="E2" s="541" t="s">
        <v>7</v>
      </c>
      <c r="F2" s="541" t="s">
        <v>7</v>
      </c>
      <c r="G2" s="541" t="s">
        <v>7</v>
      </c>
      <c r="H2" s="541" t="s">
        <v>7</v>
      </c>
      <c r="I2" s="541"/>
      <c r="J2" s="541"/>
      <c r="K2" s="541"/>
      <c r="L2" s="541"/>
      <c r="M2" s="541"/>
      <c r="N2" s="541"/>
      <c r="O2" s="541"/>
      <c r="P2" s="541"/>
      <c r="Q2" s="541"/>
      <c r="R2" s="541"/>
      <c r="S2" s="541" t="s">
        <v>8</v>
      </c>
    </row>
    <row r="3" spans="1:47" s="585" customFormat="1" ht="12" hidden="1" thickBot="1">
      <c r="A3" s="565" t="s">
        <v>195</v>
      </c>
      <c r="B3" s="921" t="s">
        <v>1468</v>
      </c>
      <c r="C3" s="565" t="s">
        <v>440</v>
      </c>
      <c r="D3" s="829"/>
      <c r="E3" s="829"/>
      <c r="F3" s="829"/>
      <c r="G3" s="829"/>
      <c r="H3" s="829"/>
      <c r="I3" s="829"/>
      <c r="J3" s="829"/>
      <c r="K3" s="829"/>
      <c r="L3" s="829"/>
      <c r="M3" s="829"/>
      <c r="N3" s="829"/>
      <c r="O3" s="829"/>
      <c r="P3" s="829"/>
      <c r="Q3" s="829"/>
      <c r="R3" s="829"/>
      <c r="S3" s="829"/>
      <c r="AR3" s="569"/>
      <c r="AS3" s="569"/>
      <c r="AT3" s="569"/>
      <c r="AU3" s="569"/>
    </row>
    <row r="4" spans="1:47" s="585" customFormat="1" ht="12" hidden="1" thickBot="1">
      <c r="A4" s="565" t="s">
        <v>195</v>
      </c>
      <c r="B4" s="921" t="s">
        <v>1468</v>
      </c>
      <c r="C4" s="565" t="s">
        <v>441</v>
      </c>
      <c r="D4" s="829"/>
      <c r="E4" s="829"/>
      <c r="F4" s="829"/>
      <c r="G4" s="829"/>
      <c r="H4" s="829"/>
      <c r="I4" s="829"/>
      <c r="J4" s="829"/>
      <c r="K4" s="829"/>
      <c r="L4" s="829"/>
      <c r="M4" s="829"/>
      <c r="N4" s="829"/>
      <c r="O4" s="829"/>
      <c r="P4" s="829"/>
      <c r="Q4" s="829"/>
      <c r="R4" s="829"/>
      <c r="S4" s="829"/>
      <c r="AR4" s="569"/>
      <c r="AS4" s="569"/>
      <c r="AT4" s="569"/>
      <c r="AU4" s="569"/>
    </row>
    <row r="5" spans="1:47" s="585" customFormat="1" ht="12" hidden="1" thickBot="1">
      <c r="A5" s="565" t="s">
        <v>195</v>
      </c>
      <c r="B5" s="921" t="s">
        <v>1468</v>
      </c>
      <c r="C5" s="565" t="s">
        <v>168</v>
      </c>
      <c r="D5" s="829">
        <v>32</v>
      </c>
      <c r="E5" s="829"/>
      <c r="F5" s="829"/>
      <c r="G5" s="829"/>
      <c r="H5" s="829">
        <v>137626552</v>
      </c>
      <c r="I5" s="864">
        <v>305144.33</v>
      </c>
      <c r="J5" s="864">
        <v>294071.15999999997</v>
      </c>
      <c r="K5" s="864">
        <v>282439.21000000002</v>
      </c>
      <c r="L5" s="829"/>
      <c r="M5" s="829"/>
      <c r="N5" s="829"/>
      <c r="O5" s="864">
        <v>305144.33</v>
      </c>
      <c r="P5" s="864">
        <v>294071.15999999997</v>
      </c>
      <c r="Q5" s="864">
        <v>282439.21000000002</v>
      </c>
      <c r="R5" s="829"/>
      <c r="S5" s="829"/>
      <c r="AR5" s="569"/>
      <c r="AS5" s="569"/>
      <c r="AT5" s="569"/>
      <c r="AU5" s="569"/>
    </row>
    <row r="6" spans="1:47" s="585" customFormat="1" ht="12" hidden="1" thickBot="1">
      <c r="A6" s="565" t="s">
        <v>195</v>
      </c>
      <c r="B6" s="921" t="s">
        <v>1468</v>
      </c>
      <c r="C6" s="565" t="s">
        <v>169</v>
      </c>
      <c r="D6" s="829">
        <v>213</v>
      </c>
      <c r="E6" s="829"/>
      <c r="F6" s="829"/>
      <c r="G6" s="829"/>
      <c r="H6" s="829">
        <v>18555214</v>
      </c>
      <c r="I6" s="829"/>
      <c r="J6" s="864">
        <v>53480.55</v>
      </c>
      <c r="K6" s="864"/>
      <c r="L6" s="864">
        <v>53480.55</v>
      </c>
      <c r="M6" s="829"/>
      <c r="N6" s="829"/>
      <c r="O6" s="829"/>
      <c r="P6" s="864">
        <v>53480.55</v>
      </c>
      <c r="Q6" s="864"/>
      <c r="R6" s="864">
        <v>53480.55</v>
      </c>
      <c r="S6" s="829"/>
      <c r="AR6" s="569"/>
      <c r="AS6" s="569"/>
      <c r="AT6" s="569"/>
      <c r="AU6" s="569"/>
    </row>
    <row r="7" spans="1:47" s="585" customFormat="1" ht="12" hidden="1" thickBot="1">
      <c r="A7" s="565" t="s">
        <v>195</v>
      </c>
      <c r="B7" s="921" t="s">
        <v>1468</v>
      </c>
      <c r="C7" s="565" t="s">
        <v>170</v>
      </c>
      <c r="D7" s="829">
        <v>4785</v>
      </c>
      <c r="E7" s="829"/>
      <c r="F7" s="829"/>
      <c r="G7" s="829"/>
      <c r="H7" s="829">
        <v>185457207</v>
      </c>
      <c r="I7" s="829"/>
      <c r="J7" s="864">
        <v>601580.15</v>
      </c>
      <c r="K7" s="864"/>
      <c r="L7" s="864">
        <v>601580.15</v>
      </c>
      <c r="M7" s="829"/>
      <c r="N7" s="829"/>
      <c r="O7" s="829"/>
      <c r="P7" s="864">
        <v>601580.15</v>
      </c>
      <c r="Q7" s="864"/>
      <c r="R7" s="864">
        <v>601580.15</v>
      </c>
      <c r="S7" s="829"/>
      <c r="AR7" s="569"/>
      <c r="AS7" s="569"/>
      <c r="AT7" s="569"/>
      <c r="AU7" s="569"/>
    </row>
    <row r="8" spans="1:47" s="585" customFormat="1" ht="12" hidden="1" thickBot="1">
      <c r="A8" s="565" t="s">
        <v>195</v>
      </c>
      <c r="B8" s="921" t="s">
        <v>1468</v>
      </c>
      <c r="C8" s="565" t="s">
        <v>171</v>
      </c>
      <c r="D8" s="829">
        <v>52</v>
      </c>
      <c r="E8" s="829"/>
      <c r="F8" s="829"/>
      <c r="G8" s="829"/>
      <c r="H8" s="829">
        <v>240245651</v>
      </c>
      <c r="I8" s="864">
        <v>491105.69</v>
      </c>
      <c r="J8" s="864">
        <v>456640.07</v>
      </c>
      <c r="K8" s="864">
        <v>450122.46</v>
      </c>
      <c r="L8" s="829"/>
      <c r="M8" s="829"/>
      <c r="N8" s="829"/>
      <c r="O8" s="864">
        <v>491105.69</v>
      </c>
      <c r="P8" s="864">
        <v>456640.07</v>
      </c>
      <c r="Q8" s="864">
        <v>450122.46</v>
      </c>
      <c r="R8" s="829"/>
      <c r="S8" s="829"/>
      <c r="AR8" s="569"/>
      <c r="AS8" s="569"/>
      <c r="AT8" s="569"/>
      <c r="AU8" s="569"/>
    </row>
    <row r="9" spans="1:47" s="585" customFormat="1" ht="12" hidden="1" thickBot="1">
      <c r="A9" s="565" t="s">
        <v>195</v>
      </c>
      <c r="B9" s="921" t="s">
        <v>1468</v>
      </c>
      <c r="C9" s="565" t="s">
        <v>172</v>
      </c>
      <c r="D9" s="829"/>
      <c r="E9" s="829"/>
      <c r="F9" s="829"/>
      <c r="G9" s="829"/>
      <c r="H9" s="829"/>
      <c r="I9" s="829"/>
      <c r="J9" s="829"/>
      <c r="K9" s="829"/>
      <c r="L9" s="829"/>
      <c r="M9" s="829"/>
      <c r="N9" s="829"/>
      <c r="O9" s="829"/>
      <c r="P9" s="829"/>
      <c r="Q9" s="829"/>
      <c r="R9" s="829"/>
      <c r="S9" s="829"/>
      <c r="AR9" s="569"/>
      <c r="AS9" s="569"/>
      <c r="AT9" s="569"/>
      <c r="AU9" s="569"/>
    </row>
    <row r="10" spans="1:47" s="585" customFormat="1" ht="12" hidden="1" thickBot="1">
      <c r="A10" s="565" t="s">
        <v>195</v>
      </c>
      <c r="B10" s="921" t="s">
        <v>1468</v>
      </c>
      <c r="C10" s="565" t="s">
        <v>173</v>
      </c>
      <c r="D10" s="829"/>
      <c r="E10" s="829"/>
      <c r="F10" s="829"/>
      <c r="G10" s="829"/>
      <c r="H10" s="829"/>
      <c r="I10" s="829"/>
      <c r="J10" s="829"/>
      <c r="K10" s="829"/>
      <c r="L10" s="829"/>
      <c r="M10" s="829"/>
      <c r="N10" s="829"/>
      <c r="O10" s="829"/>
      <c r="P10" s="829"/>
      <c r="Q10" s="829"/>
      <c r="R10" s="829"/>
      <c r="S10" s="829"/>
      <c r="AR10" s="569"/>
      <c r="AS10" s="569"/>
      <c r="AT10" s="569"/>
      <c r="AU10" s="569"/>
    </row>
    <row r="11" spans="1:47" s="585" customFormat="1" ht="12" hidden="1" thickBot="1">
      <c r="A11" s="565" t="s">
        <v>195</v>
      </c>
      <c r="B11" s="921" t="s">
        <v>1468</v>
      </c>
      <c r="C11" s="565" t="s">
        <v>174</v>
      </c>
      <c r="D11" s="829">
        <v>185</v>
      </c>
      <c r="E11" s="829"/>
      <c r="F11" s="829"/>
      <c r="G11" s="829"/>
      <c r="H11" s="829">
        <v>100894110</v>
      </c>
      <c r="I11" s="864">
        <v>254296.49</v>
      </c>
      <c r="J11" s="864">
        <v>242176.31</v>
      </c>
      <c r="K11" s="864">
        <v>237756.56</v>
      </c>
      <c r="L11" s="829"/>
      <c r="M11" s="829"/>
      <c r="N11" s="829"/>
      <c r="O11" s="864">
        <v>254296.49</v>
      </c>
      <c r="P11" s="864">
        <v>242176.31</v>
      </c>
      <c r="Q11" s="864">
        <v>237756.56</v>
      </c>
      <c r="R11" s="829"/>
      <c r="S11" s="829"/>
      <c r="AR11" s="569"/>
      <c r="AS11" s="569"/>
      <c r="AT11" s="569"/>
      <c r="AU11" s="569"/>
    </row>
    <row r="12" spans="1:47" s="585" customFormat="1" ht="12" hidden="1" thickBot="1">
      <c r="A12" s="565" t="s">
        <v>195</v>
      </c>
      <c r="B12" s="921" t="s">
        <v>1468</v>
      </c>
      <c r="C12" s="565" t="s">
        <v>175</v>
      </c>
      <c r="D12" s="829">
        <v>455</v>
      </c>
      <c r="E12" s="829"/>
      <c r="F12" s="829"/>
      <c r="G12" s="829"/>
      <c r="H12" s="829">
        <v>124209840</v>
      </c>
      <c r="I12" s="864">
        <v>303025.19</v>
      </c>
      <c r="J12" s="864">
        <v>275995.63</v>
      </c>
      <c r="K12" s="864">
        <v>269813.34000000003</v>
      </c>
      <c r="L12" s="829"/>
      <c r="M12" s="829"/>
      <c r="N12" s="829"/>
      <c r="O12" s="864">
        <v>303025.19</v>
      </c>
      <c r="P12" s="864">
        <v>275995.63</v>
      </c>
      <c r="Q12" s="864">
        <v>269813.34000000003</v>
      </c>
      <c r="R12" s="829"/>
      <c r="S12" s="829"/>
      <c r="AR12" s="569"/>
      <c r="AS12" s="569"/>
      <c r="AT12" s="569"/>
      <c r="AU12" s="569"/>
    </row>
    <row r="13" spans="1:47" s="585" customFormat="1" ht="12" hidden="1" thickBot="1">
      <c r="A13" s="565" t="s">
        <v>195</v>
      </c>
      <c r="B13" s="921" t="s">
        <v>1468</v>
      </c>
      <c r="C13" s="565" t="s">
        <v>176</v>
      </c>
      <c r="D13" s="829"/>
      <c r="E13" s="829"/>
      <c r="F13" s="829"/>
      <c r="G13" s="829"/>
      <c r="H13" s="829"/>
      <c r="I13" s="829"/>
      <c r="J13" s="829"/>
      <c r="K13" s="829"/>
      <c r="L13" s="829"/>
      <c r="M13" s="829"/>
      <c r="N13" s="829"/>
      <c r="O13" s="829"/>
      <c r="P13" s="829"/>
      <c r="Q13" s="829"/>
      <c r="R13" s="829"/>
      <c r="S13" s="829"/>
      <c r="AR13" s="569"/>
      <c r="AS13" s="569"/>
      <c r="AT13" s="569"/>
      <c r="AU13" s="569"/>
    </row>
    <row r="14" spans="1:47" s="585" customFormat="1" ht="12" hidden="1" thickBot="1">
      <c r="A14" s="565" t="s">
        <v>195</v>
      </c>
      <c r="B14" s="921" t="s">
        <v>1468</v>
      </c>
      <c r="C14" s="565" t="s">
        <v>177</v>
      </c>
      <c r="D14" s="829">
        <v>63444</v>
      </c>
      <c r="E14" s="829"/>
      <c r="F14" s="829"/>
      <c r="G14" s="829"/>
      <c r="H14" s="829">
        <v>74972451</v>
      </c>
      <c r="I14" s="829"/>
      <c r="J14" s="829"/>
      <c r="K14" s="829"/>
      <c r="L14" s="829"/>
      <c r="M14" s="829"/>
      <c r="N14" s="829"/>
      <c r="O14" s="829"/>
      <c r="P14" s="829"/>
      <c r="Q14" s="829"/>
      <c r="R14" s="829"/>
      <c r="S14" s="829"/>
      <c r="AR14" s="569"/>
      <c r="AS14" s="569"/>
      <c r="AT14" s="569"/>
      <c r="AU14" s="569"/>
    </row>
    <row r="15" spans="1:47" s="585" customFormat="1" ht="12" hidden="1" thickBot="1">
      <c r="A15" s="565" t="s">
        <v>195</v>
      </c>
      <c r="B15" s="921" t="s">
        <v>1468</v>
      </c>
      <c r="C15" s="565" t="s">
        <v>178</v>
      </c>
      <c r="D15" s="829"/>
      <c r="E15" s="829"/>
      <c r="F15" s="829"/>
      <c r="G15" s="829"/>
      <c r="H15" s="829"/>
      <c r="I15" s="829"/>
      <c r="J15" s="829"/>
      <c r="K15" s="829"/>
      <c r="L15" s="829"/>
      <c r="M15" s="829"/>
      <c r="N15" s="829"/>
      <c r="O15" s="829"/>
      <c r="P15" s="829"/>
      <c r="Q15" s="829"/>
      <c r="R15" s="829"/>
      <c r="S15" s="829"/>
      <c r="AR15" s="569"/>
      <c r="AS15" s="569"/>
      <c r="AT15" s="569"/>
      <c r="AU15" s="569"/>
    </row>
    <row r="16" spans="1:47" s="585" customFormat="1" ht="12" hidden="1" thickBot="1">
      <c r="A16" s="565" t="s">
        <v>195</v>
      </c>
      <c r="B16" s="921" t="s">
        <v>1468</v>
      </c>
      <c r="C16" s="565" t="s">
        <v>179</v>
      </c>
      <c r="D16" s="829">
        <v>18546</v>
      </c>
      <c r="E16" s="829"/>
      <c r="F16" s="829"/>
      <c r="G16" s="829"/>
      <c r="H16" s="829">
        <v>110082107</v>
      </c>
      <c r="I16" s="829"/>
      <c r="J16" s="829"/>
      <c r="K16" s="829"/>
      <c r="L16" s="864">
        <v>416527.74</v>
      </c>
      <c r="M16" s="829"/>
      <c r="N16" s="829"/>
      <c r="O16" s="864">
        <v>416527.74</v>
      </c>
      <c r="P16" s="864"/>
      <c r="Q16" s="829"/>
      <c r="R16" s="864">
        <v>416527.74</v>
      </c>
      <c r="S16" s="829"/>
      <c r="AR16" s="569"/>
      <c r="AS16" s="569"/>
      <c r="AT16" s="569"/>
      <c r="AU16" s="569"/>
    </row>
    <row r="17" spans="1:47" s="585" customFormat="1" ht="12" hidden="1" thickBot="1">
      <c r="A17" s="565" t="s">
        <v>195</v>
      </c>
      <c r="B17" s="921" t="s">
        <v>1468</v>
      </c>
      <c r="C17" s="565" t="s">
        <v>180</v>
      </c>
      <c r="D17" s="829">
        <v>371</v>
      </c>
      <c r="E17" s="829"/>
      <c r="F17" s="829"/>
      <c r="G17" s="829"/>
      <c r="H17" s="829">
        <v>781136</v>
      </c>
      <c r="I17" s="829"/>
      <c r="J17" s="829"/>
      <c r="K17" s="829"/>
      <c r="L17" s="829"/>
      <c r="M17" s="829"/>
      <c r="N17" s="829"/>
      <c r="O17" s="829"/>
      <c r="P17" s="829"/>
      <c r="Q17" s="829"/>
      <c r="R17" s="829"/>
      <c r="S17" s="829"/>
      <c r="AR17" s="569"/>
      <c r="AS17" s="569"/>
      <c r="AT17" s="569"/>
      <c r="AU17" s="569"/>
    </row>
    <row r="18" spans="1:47" s="585" customFormat="1" ht="12" hidden="1" thickBot="1">
      <c r="A18" s="565" t="s">
        <v>195</v>
      </c>
      <c r="B18" s="921" t="s">
        <v>1468</v>
      </c>
      <c r="C18" s="565" t="s">
        <v>181</v>
      </c>
      <c r="D18" s="829"/>
      <c r="E18" s="829"/>
      <c r="F18" s="829"/>
      <c r="G18" s="829"/>
      <c r="H18" s="829"/>
      <c r="I18" s="829"/>
      <c r="J18" s="829"/>
      <c r="K18" s="829"/>
      <c r="L18" s="829"/>
      <c r="M18" s="829"/>
      <c r="N18" s="829"/>
      <c r="O18" s="829"/>
      <c r="P18" s="829"/>
      <c r="Q18" s="829"/>
      <c r="R18" s="829"/>
      <c r="S18" s="829"/>
      <c r="AR18" s="569"/>
      <c r="AS18" s="569"/>
      <c r="AT18" s="569"/>
      <c r="AU18" s="569"/>
    </row>
    <row r="19" spans="1:47" s="585" customFormat="1" ht="12" hidden="1" thickBot="1">
      <c r="A19" s="565" t="s">
        <v>195</v>
      </c>
      <c r="B19" s="921" t="s">
        <v>1468</v>
      </c>
      <c r="C19" s="565" t="s">
        <v>182</v>
      </c>
      <c r="D19" s="829"/>
      <c r="E19" s="829"/>
      <c r="F19" s="829"/>
      <c r="G19" s="829"/>
      <c r="H19" s="829"/>
      <c r="I19" s="829"/>
      <c r="J19" s="829"/>
      <c r="K19" s="829"/>
      <c r="L19" s="829"/>
      <c r="M19" s="829"/>
      <c r="N19" s="829"/>
      <c r="O19" s="829"/>
      <c r="P19" s="829"/>
      <c r="Q19" s="829"/>
      <c r="R19" s="829"/>
      <c r="S19" s="829"/>
      <c r="AR19" s="569"/>
      <c r="AS19" s="569"/>
      <c r="AT19" s="569"/>
      <c r="AU19" s="569"/>
    </row>
    <row r="20" spans="1:47" s="585" customFormat="1" ht="12" hidden="1" thickBot="1">
      <c r="A20" s="565" t="s">
        <v>195</v>
      </c>
      <c r="B20" s="921" t="s">
        <v>1468</v>
      </c>
      <c r="C20" s="565" t="s">
        <v>183</v>
      </c>
      <c r="D20" s="829">
        <v>258</v>
      </c>
      <c r="E20" s="829"/>
      <c r="F20" s="829"/>
      <c r="G20" s="829"/>
      <c r="H20" s="829">
        <v>14477984</v>
      </c>
      <c r="I20" s="829"/>
      <c r="J20" s="829"/>
      <c r="K20" s="829"/>
      <c r="L20" s="864">
        <v>55242.61</v>
      </c>
      <c r="M20" s="829"/>
      <c r="N20" s="829"/>
      <c r="O20" s="864">
        <v>55242.61</v>
      </c>
      <c r="P20" s="864"/>
      <c r="Q20" s="864"/>
      <c r="R20" s="864">
        <v>55242.61</v>
      </c>
      <c r="S20" s="829"/>
      <c r="AR20" s="569"/>
      <c r="AS20" s="569"/>
      <c r="AT20" s="569"/>
      <c r="AU20" s="569"/>
    </row>
    <row r="21" spans="1:47" s="585" customFormat="1" ht="12" hidden="1" thickBot="1">
      <c r="A21" s="565" t="s">
        <v>195</v>
      </c>
      <c r="B21" s="921" t="s">
        <v>1468</v>
      </c>
      <c r="C21" s="565" t="s">
        <v>720</v>
      </c>
      <c r="D21" s="829"/>
      <c r="E21" s="829"/>
      <c r="F21" s="829"/>
      <c r="G21" s="829"/>
      <c r="H21" s="829"/>
      <c r="I21" s="829"/>
      <c r="J21" s="829"/>
      <c r="K21" s="829"/>
      <c r="L21" s="829"/>
      <c r="M21" s="829"/>
      <c r="N21" s="829"/>
      <c r="O21" s="829"/>
      <c r="P21" s="829"/>
      <c r="Q21" s="829"/>
      <c r="R21" s="829"/>
      <c r="S21" s="829"/>
      <c r="AR21" s="569"/>
      <c r="AS21" s="569"/>
      <c r="AT21" s="569"/>
      <c r="AU21" s="569"/>
    </row>
    <row r="22" spans="1:47" s="585" customFormat="1" ht="12" hidden="1" thickBot="1">
      <c r="A22" s="565" t="s">
        <v>195</v>
      </c>
      <c r="B22" s="921" t="s">
        <v>1468</v>
      </c>
      <c r="C22" s="565" t="s">
        <v>721</v>
      </c>
      <c r="D22" s="829"/>
      <c r="E22" s="829"/>
      <c r="F22" s="829"/>
      <c r="G22" s="829"/>
      <c r="H22" s="829"/>
      <c r="I22" s="829"/>
      <c r="J22" s="829"/>
      <c r="K22" s="829"/>
      <c r="L22" s="829"/>
      <c r="M22" s="829"/>
      <c r="N22" s="829"/>
      <c r="O22" s="829"/>
      <c r="P22" s="829"/>
      <c r="Q22" s="829"/>
      <c r="R22" s="829"/>
      <c r="S22" s="829"/>
      <c r="AR22" s="569"/>
      <c r="AS22" s="569"/>
      <c r="AT22" s="569"/>
      <c r="AU22" s="569"/>
    </row>
    <row r="23" spans="1:47" s="585" customFormat="1" ht="12" hidden="1" thickBot="1">
      <c r="A23" s="565" t="s">
        <v>195</v>
      </c>
      <c r="B23" s="921" t="s">
        <v>1468</v>
      </c>
      <c r="C23" s="565" t="s">
        <v>722</v>
      </c>
      <c r="D23" s="829"/>
      <c r="E23" s="829"/>
      <c r="F23" s="829"/>
      <c r="G23" s="829"/>
      <c r="H23" s="829"/>
      <c r="I23" s="829"/>
      <c r="J23" s="829"/>
      <c r="K23" s="829"/>
      <c r="L23" s="829"/>
      <c r="M23" s="829"/>
      <c r="N23" s="829"/>
      <c r="O23" s="829"/>
      <c r="P23" s="829"/>
      <c r="Q23" s="829"/>
      <c r="R23" s="829"/>
      <c r="S23" s="829"/>
      <c r="AR23" s="569"/>
      <c r="AS23" s="569"/>
      <c r="AT23" s="569"/>
      <c r="AU23" s="569"/>
    </row>
    <row r="24" spans="1:47" s="585" customFormat="1" ht="12" hidden="1" thickBot="1">
      <c r="A24" s="565" t="s">
        <v>195</v>
      </c>
      <c r="B24" s="921" t="s">
        <v>1468</v>
      </c>
      <c r="C24" s="565" t="s">
        <v>233</v>
      </c>
      <c r="D24" s="829">
        <v>2</v>
      </c>
      <c r="E24" s="829"/>
      <c r="F24" s="829"/>
      <c r="G24" s="829"/>
      <c r="H24" s="829">
        <v>20895</v>
      </c>
      <c r="I24" s="829"/>
      <c r="J24" s="829"/>
      <c r="K24" s="829"/>
      <c r="L24" s="829"/>
      <c r="M24" s="829"/>
      <c r="N24" s="829"/>
      <c r="O24" s="829"/>
      <c r="P24" s="829"/>
      <c r="Q24" s="829"/>
      <c r="R24" s="829"/>
      <c r="S24" s="829"/>
      <c r="AR24" s="569"/>
      <c r="AS24" s="569"/>
      <c r="AT24" s="569"/>
      <c r="AU24" s="569"/>
    </row>
    <row r="25" spans="1:47" s="585" customFormat="1" ht="12" hidden="1" thickBot="1">
      <c r="A25" s="565" t="s">
        <v>195</v>
      </c>
      <c r="B25" s="921" t="s">
        <v>1468</v>
      </c>
      <c r="C25" s="565" t="s">
        <v>232</v>
      </c>
      <c r="D25" s="829"/>
      <c r="E25" s="829"/>
      <c r="F25" s="829"/>
      <c r="G25" s="829"/>
      <c r="H25" s="829"/>
      <c r="I25" s="829"/>
      <c r="J25" s="829"/>
      <c r="K25" s="829"/>
      <c r="L25" s="829"/>
      <c r="M25" s="829"/>
      <c r="N25" s="829"/>
      <c r="O25" s="829"/>
      <c r="P25" s="829"/>
      <c r="Q25" s="829"/>
      <c r="R25" s="829"/>
      <c r="S25" s="829"/>
      <c r="AR25" s="569"/>
      <c r="AS25" s="569"/>
      <c r="AT25" s="569"/>
      <c r="AU25" s="569"/>
    </row>
    <row r="26" spans="1:47" s="585" customFormat="1" ht="12" thickBot="1">
      <c r="A26" s="565" t="s">
        <v>195</v>
      </c>
      <c r="B26" s="921" t="s">
        <v>1468</v>
      </c>
      <c r="C26" s="565" t="s">
        <v>184</v>
      </c>
      <c r="D26" s="829">
        <v>747</v>
      </c>
      <c r="E26" s="829"/>
      <c r="F26" s="829"/>
      <c r="G26" s="829"/>
      <c r="H26" s="829">
        <v>122114</v>
      </c>
      <c r="I26" s="829"/>
      <c r="J26" s="829"/>
      <c r="K26" s="829"/>
      <c r="L26" s="829"/>
      <c r="M26" s="829"/>
      <c r="N26" s="829"/>
      <c r="O26" s="829"/>
      <c r="P26" s="829"/>
      <c r="Q26" s="829"/>
      <c r="R26" s="829"/>
      <c r="S26" s="829"/>
      <c r="AR26" s="569"/>
      <c r="AS26" s="569"/>
      <c r="AT26" s="569"/>
      <c r="AU26" s="569"/>
    </row>
    <row r="27" spans="1:47" s="585" customFormat="1" ht="12" hidden="1" thickBot="1">
      <c r="A27" s="565" t="s">
        <v>195</v>
      </c>
      <c r="B27" s="921" t="s">
        <v>1468</v>
      </c>
      <c r="C27" s="565" t="s">
        <v>652</v>
      </c>
      <c r="D27" s="829"/>
      <c r="E27" s="829"/>
      <c r="F27" s="829"/>
      <c r="G27" s="829"/>
      <c r="H27" s="829"/>
      <c r="I27" s="829"/>
      <c r="J27" s="829"/>
      <c r="K27" s="829"/>
      <c r="L27" s="829"/>
      <c r="M27" s="829"/>
      <c r="N27" s="829"/>
      <c r="O27" s="829"/>
      <c r="P27" s="829"/>
      <c r="Q27" s="829"/>
      <c r="R27" s="829"/>
      <c r="S27" s="829"/>
      <c r="AR27" s="569"/>
      <c r="AS27" s="569"/>
      <c r="AT27" s="569"/>
      <c r="AU27" s="569"/>
    </row>
    <row r="28" spans="1:47" s="585" customFormat="1" ht="12" hidden="1" thickBot="1">
      <c r="A28" s="565" t="s">
        <v>195</v>
      </c>
      <c r="B28" s="921" t="s">
        <v>1468</v>
      </c>
      <c r="C28" s="565" t="s">
        <v>185</v>
      </c>
      <c r="D28" s="829"/>
      <c r="E28" s="829"/>
      <c r="F28" s="829"/>
      <c r="G28" s="829"/>
      <c r="H28" s="829"/>
      <c r="I28" s="829"/>
      <c r="J28" s="829"/>
      <c r="K28" s="829"/>
      <c r="L28" s="829"/>
      <c r="M28" s="829"/>
      <c r="N28" s="829"/>
      <c r="O28" s="829"/>
      <c r="P28" s="829"/>
      <c r="Q28" s="829"/>
      <c r="R28" s="829"/>
      <c r="S28" s="829"/>
      <c r="AR28" s="569"/>
      <c r="AS28" s="569"/>
      <c r="AT28" s="569"/>
      <c r="AU28" s="569"/>
    </row>
    <row r="29" spans="1:47" s="585" customFormat="1" ht="12" hidden="1" thickBot="1">
      <c r="A29" s="565" t="s">
        <v>195</v>
      </c>
      <c r="B29" s="921" t="s">
        <v>1468</v>
      </c>
      <c r="C29" s="565" t="s">
        <v>186</v>
      </c>
      <c r="D29" s="829"/>
      <c r="E29" s="829"/>
      <c r="F29" s="829"/>
      <c r="G29" s="829"/>
      <c r="H29" s="829"/>
      <c r="I29" s="829"/>
      <c r="J29" s="829"/>
      <c r="K29" s="829"/>
      <c r="L29" s="829"/>
      <c r="M29" s="829"/>
      <c r="N29" s="829"/>
      <c r="O29" s="829"/>
      <c r="P29" s="829"/>
      <c r="Q29" s="829"/>
      <c r="R29" s="829"/>
      <c r="S29" s="829"/>
      <c r="AR29" s="569"/>
      <c r="AS29" s="569"/>
      <c r="AT29" s="569"/>
      <c r="AU29" s="569"/>
    </row>
    <row r="30" spans="1:47" ht="12" hidden="1" thickBot="1">
      <c r="A30" s="845" t="s">
        <v>195</v>
      </c>
      <c r="B30" s="921" t="s">
        <v>1468</v>
      </c>
      <c r="C30" s="845" t="s">
        <v>188</v>
      </c>
      <c r="D30" s="829"/>
      <c r="E30" s="829"/>
      <c r="F30" s="829"/>
      <c r="G30" s="829"/>
      <c r="H30" s="829"/>
      <c r="I30" s="829"/>
      <c r="J30" s="829"/>
      <c r="K30" s="829"/>
      <c r="L30" s="829"/>
      <c r="M30" s="829"/>
      <c r="N30" s="829"/>
      <c r="O30" s="829"/>
      <c r="P30" s="829"/>
      <c r="Q30" s="829"/>
      <c r="R30" s="829"/>
      <c r="S30" s="829"/>
      <c r="AR30" s="846"/>
      <c r="AS30" s="846"/>
      <c r="AT30" s="846"/>
      <c r="AU30" s="846"/>
    </row>
    <row r="31" spans="1:47" ht="12" hidden="1" thickBot="1">
      <c r="A31" s="845" t="s">
        <v>195</v>
      </c>
      <c r="B31" s="921" t="s">
        <v>1468</v>
      </c>
      <c r="C31" s="845" t="s">
        <v>1045</v>
      </c>
      <c r="D31" s="829"/>
      <c r="E31" s="829"/>
      <c r="F31" s="829"/>
      <c r="G31" s="829"/>
      <c r="H31" s="829"/>
      <c r="I31" s="829"/>
      <c r="J31" s="829"/>
      <c r="K31" s="829"/>
      <c r="L31" s="829"/>
      <c r="M31" s="829"/>
      <c r="N31" s="829"/>
      <c r="O31" s="829"/>
      <c r="P31" s="829"/>
      <c r="Q31" s="829"/>
      <c r="R31" s="829"/>
      <c r="S31" s="829"/>
      <c r="AR31" s="846"/>
      <c r="AS31" s="846"/>
      <c r="AT31" s="846"/>
      <c r="AU31" s="846"/>
    </row>
    <row r="32" spans="1:47" s="585" customFormat="1" ht="12" hidden="1" thickBot="1">
      <c r="A32" s="565" t="s">
        <v>195</v>
      </c>
      <c r="B32" s="921" t="s">
        <v>1468</v>
      </c>
      <c r="C32" s="565" t="s">
        <v>189</v>
      </c>
      <c r="D32" s="829">
        <v>1</v>
      </c>
      <c r="E32" s="829"/>
      <c r="F32" s="829"/>
      <c r="G32" s="829"/>
      <c r="H32" s="829">
        <v>48922696</v>
      </c>
      <c r="I32" s="831">
        <v>185157.6</v>
      </c>
      <c r="J32" s="831">
        <v>185157.6</v>
      </c>
      <c r="K32" s="831">
        <v>101387.6</v>
      </c>
      <c r="L32" s="829"/>
      <c r="M32" s="829"/>
      <c r="N32" s="829"/>
      <c r="O32" s="831">
        <v>185157.6</v>
      </c>
      <c r="P32" s="831">
        <v>185157.6</v>
      </c>
      <c r="Q32" s="831">
        <v>101387.6</v>
      </c>
      <c r="R32" s="829"/>
      <c r="S32" s="829"/>
      <c r="AR32" s="569"/>
      <c r="AS32" s="569"/>
      <c r="AT32" s="569"/>
      <c r="AU32" s="569"/>
    </row>
    <row r="33" spans="1:47" s="585" customFormat="1" ht="12" hidden="1" thickBot="1">
      <c r="A33" s="565" t="s">
        <v>195</v>
      </c>
      <c r="B33" s="921" t="s">
        <v>1468</v>
      </c>
      <c r="C33" s="565" t="s">
        <v>209</v>
      </c>
      <c r="D33" s="829"/>
      <c r="E33" s="829"/>
      <c r="F33" s="829"/>
      <c r="G33" s="829"/>
      <c r="H33" s="829"/>
      <c r="I33" s="829"/>
      <c r="J33" s="829"/>
      <c r="K33" s="829"/>
      <c r="L33" s="829"/>
      <c r="M33" s="829"/>
      <c r="N33" s="829"/>
      <c r="O33" s="829"/>
      <c r="P33" s="829"/>
      <c r="Q33" s="829"/>
      <c r="R33" s="829"/>
      <c r="S33" s="829"/>
      <c r="AR33" s="569"/>
      <c r="AS33" s="569"/>
      <c r="AT33" s="569"/>
      <c r="AU33" s="569"/>
    </row>
    <row r="34" spans="1:47" s="585" customFormat="1" ht="12" hidden="1" thickBot="1">
      <c r="A34" s="565" t="s">
        <v>195</v>
      </c>
      <c r="B34" s="921" t="s">
        <v>1468</v>
      </c>
      <c r="C34" s="565" t="s">
        <v>211</v>
      </c>
      <c r="D34" s="829"/>
      <c r="E34" s="829"/>
      <c r="F34" s="829"/>
      <c r="G34" s="829"/>
      <c r="H34" s="829"/>
      <c r="I34" s="829"/>
      <c r="J34" s="829"/>
      <c r="K34" s="829"/>
      <c r="L34" s="829"/>
      <c r="M34" s="829"/>
      <c r="N34" s="829"/>
      <c r="O34" s="829"/>
      <c r="P34" s="829"/>
      <c r="Q34" s="829"/>
      <c r="R34" s="829"/>
      <c r="S34" s="829"/>
      <c r="AR34" s="569"/>
      <c r="AS34" s="569"/>
      <c r="AT34" s="569"/>
      <c r="AU34" s="569"/>
    </row>
    <row r="35" spans="1:47" s="585" customFormat="1" ht="12" hidden="1" thickBot="1">
      <c r="A35" s="565" t="s">
        <v>195</v>
      </c>
      <c r="B35" s="921" t="s">
        <v>1468</v>
      </c>
      <c r="C35" s="565" t="s">
        <v>213</v>
      </c>
      <c r="D35" s="829"/>
      <c r="E35" s="829"/>
      <c r="F35" s="829"/>
      <c r="G35" s="829"/>
      <c r="H35" s="829"/>
      <c r="I35" s="829"/>
      <c r="J35" s="829"/>
      <c r="K35" s="829"/>
      <c r="L35" s="829"/>
      <c r="M35" s="829"/>
      <c r="N35" s="829"/>
      <c r="O35" s="829"/>
      <c r="P35" s="829"/>
      <c r="Q35" s="829"/>
      <c r="R35" s="829"/>
      <c r="S35" s="829"/>
      <c r="AR35" s="569"/>
      <c r="AS35" s="569"/>
      <c r="AT35" s="569"/>
      <c r="AU35" s="569"/>
    </row>
    <row r="36" spans="1:47" s="585" customFormat="1" ht="12" hidden="1" thickBot="1">
      <c r="A36" s="565" t="s">
        <v>195</v>
      </c>
      <c r="B36" s="921" t="s">
        <v>1468</v>
      </c>
      <c r="C36" s="565" t="s">
        <v>190</v>
      </c>
      <c r="D36" s="829">
        <v>428166</v>
      </c>
      <c r="E36" s="829"/>
      <c r="F36" s="829"/>
      <c r="G36" s="829"/>
      <c r="H36" s="829">
        <v>736688063</v>
      </c>
      <c r="I36" s="829"/>
      <c r="J36" s="829"/>
      <c r="K36" s="829"/>
      <c r="L36" s="829"/>
      <c r="M36" s="829"/>
      <c r="N36" s="829"/>
      <c r="O36" s="829"/>
      <c r="P36" s="829"/>
      <c r="Q36" s="829"/>
      <c r="R36" s="829"/>
      <c r="S36" s="829"/>
      <c r="AR36" s="569"/>
      <c r="AS36" s="569"/>
      <c r="AT36" s="569"/>
      <c r="AU36" s="569"/>
    </row>
    <row r="37" spans="1:47" s="585" customFormat="1" ht="12" hidden="1" thickBot="1">
      <c r="A37" s="565" t="s">
        <v>195</v>
      </c>
      <c r="B37" s="921" t="s">
        <v>1468</v>
      </c>
      <c r="C37" s="565" t="s">
        <v>191</v>
      </c>
      <c r="D37" s="829"/>
      <c r="E37" s="829"/>
      <c r="F37" s="829"/>
      <c r="G37" s="829"/>
      <c r="H37" s="829"/>
      <c r="I37" s="829"/>
      <c r="J37" s="829"/>
      <c r="K37" s="829"/>
      <c r="L37" s="829"/>
      <c r="M37" s="829"/>
      <c r="N37" s="829"/>
      <c r="O37" s="829"/>
      <c r="P37" s="829"/>
      <c r="Q37" s="829"/>
      <c r="R37" s="829"/>
      <c r="S37" s="829"/>
      <c r="AR37" s="569"/>
      <c r="AS37" s="569"/>
      <c r="AT37" s="569"/>
      <c r="AU37" s="569"/>
    </row>
    <row r="38" spans="1:47" s="585" customFormat="1" ht="12" hidden="1" thickBot="1">
      <c r="A38" s="565" t="s">
        <v>195</v>
      </c>
      <c r="B38" s="921" t="s">
        <v>1468</v>
      </c>
      <c r="C38" s="565" t="s">
        <v>192</v>
      </c>
      <c r="D38" s="829"/>
      <c r="E38" s="829"/>
      <c r="F38" s="829"/>
      <c r="G38" s="829"/>
      <c r="H38" s="829"/>
      <c r="I38" s="829"/>
      <c r="J38" s="829"/>
      <c r="K38" s="829"/>
      <c r="L38" s="829"/>
      <c r="M38" s="829"/>
      <c r="N38" s="829"/>
      <c r="O38" s="829"/>
      <c r="P38" s="829"/>
      <c r="Q38" s="829"/>
      <c r="R38" s="829"/>
      <c r="S38" s="829"/>
      <c r="AR38" s="586"/>
      <c r="AS38" s="586"/>
    </row>
    <row r="39" spans="1:47" s="585" customFormat="1" ht="12" hidden="1" thickBot="1">
      <c r="A39" s="565" t="s">
        <v>195</v>
      </c>
      <c r="B39" s="921" t="s">
        <v>1468</v>
      </c>
      <c r="C39" s="565" t="s">
        <v>477</v>
      </c>
      <c r="D39" s="829"/>
      <c r="E39" s="829"/>
      <c r="F39" s="829"/>
      <c r="G39" s="829"/>
      <c r="H39" s="829"/>
      <c r="I39" s="829"/>
      <c r="J39" s="829"/>
      <c r="K39" s="829"/>
      <c r="L39" s="829"/>
      <c r="M39" s="829"/>
      <c r="N39" s="829"/>
      <c r="O39" s="829"/>
      <c r="P39" s="829"/>
      <c r="Q39" s="829"/>
      <c r="R39" s="829"/>
      <c r="S39" s="829"/>
      <c r="AR39" s="586"/>
      <c r="AS39" s="586"/>
    </row>
    <row r="40" spans="1:47" s="585" customFormat="1" ht="12" hidden="1" thickBot="1">
      <c r="A40" s="565" t="s">
        <v>195</v>
      </c>
      <c r="B40" s="921" t="s">
        <v>1468</v>
      </c>
      <c r="C40" s="565" t="s">
        <v>193</v>
      </c>
      <c r="D40" s="829"/>
      <c r="E40" s="829"/>
      <c r="F40" s="829"/>
      <c r="G40" s="829"/>
      <c r="H40" s="829"/>
      <c r="I40" s="829"/>
      <c r="J40" s="829"/>
      <c r="K40" s="829"/>
      <c r="L40" s="829"/>
      <c r="M40" s="829"/>
      <c r="N40" s="829"/>
      <c r="O40" s="829"/>
      <c r="P40" s="829"/>
      <c r="Q40" s="829"/>
      <c r="R40" s="829"/>
      <c r="S40" s="829"/>
    </row>
    <row r="41" spans="1:47" s="585" customFormat="1" ht="12" hidden="1" thickBot="1">
      <c r="A41" s="565" t="s">
        <v>195</v>
      </c>
      <c r="B41" s="921" t="s">
        <v>1468</v>
      </c>
      <c r="C41" s="565" t="s">
        <v>194</v>
      </c>
      <c r="D41" s="829"/>
      <c r="E41" s="829"/>
      <c r="F41" s="829"/>
      <c r="G41" s="829"/>
      <c r="H41" s="829"/>
      <c r="I41" s="829"/>
      <c r="J41" s="829"/>
      <c r="K41" s="829"/>
      <c r="L41" s="829"/>
      <c r="M41" s="829"/>
      <c r="N41" s="829"/>
      <c r="O41" s="829"/>
      <c r="P41" s="829"/>
      <c r="Q41" s="829"/>
      <c r="R41" s="829"/>
      <c r="S41" s="829"/>
    </row>
    <row r="42" spans="1:47" s="585" customFormat="1" ht="12" hidden="1" thickBot="1">
      <c r="A42" s="565" t="s">
        <v>195</v>
      </c>
      <c r="B42" s="921" t="s">
        <v>1468</v>
      </c>
      <c r="C42" s="565" t="s">
        <v>1355</v>
      </c>
      <c r="D42" s="829"/>
      <c r="E42" s="829"/>
      <c r="F42" s="829"/>
      <c r="G42" s="829"/>
      <c r="H42" s="829"/>
      <c r="I42" s="829"/>
      <c r="J42" s="829"/>
      <c r="K42" s="829"/>
      <c r="L42" s="829"/>
      <c r="M42" s="829"/>
      <c r="N42" s="829"/>
      <c r="O42" s="829"/>
      <c r="P42" s="829"/>
      <c r="Q42" s="829"/>
      <c r="R42" s="829"/>
      <c r="S42" s="829"/>
    </row>
    <row r="43" spans="1:47" s="585" customFormat="1" ht="12" hidden="1" thickBot="1">
      <c r="A43" s="565" t="s">
        <v>195</v>
      </c>
      <c r="B43" s="921" t="s">
        <v>1468</v>
      </c>
      <c r="C43" s="565" t="s">
        <v>450</v>
      </c>
      <c r="D43" s="829"/>
      <c r="E43" s="829"/>
      <c r="F43" s="829"/>
      <c r="G43" s="829"/>
      <c r="H43" s="829"/>
      <c r="I43" s="829"/>
      <c r="J43" s="829"/>
      <c r="K43" s="829"/>
      <c r="L43" s="829"/>
      <c r="M43" s="829"/>
      <c r="N43" s="829"/>
      <c r="O43" s="829"/>
      <c r="P43" s="829"/>
      <c r="Q43" s="829"/>
      <c r="R43" s="829"/>
      <c r="S43" s="829"/>
    </row>
    <row r="44" spans="1:47" s="585" customFormat="1" ht="12" hidden="1" thickBot="1">
      <c r="A44" s="565" t="s">
        <v>195</v>
      </c>
      <c r="B44" s="921" t="s">
        <v>1468</v>
      </c>
      <c r="C44" s="577" t="s">
        <v>9</v>
      </c>
      <c r="D44" s="578"/>
      <c r="E44" s="579"/>
      <c r="F44" s="579"/>
      <c r="G44" s="579"/>
      <c r="H44" s="578"/>
      <c r="I44" s="580"/>
      <c r="J44" s="580"/>
      <c r="K44" s="580"/>
      <c r="L44" s="579"/>
      <c r="M44" s="579"/>
      <c r="N44" s="580"/>
      <c r="O44" s="580"/>
      <c r="P44" s="580"/>
      <c r="Q44" s="580"/>
      <c r="R44" s="579"/>
      <c r="S44" s="579"/>
    </row>
    <row r="45" spans="1:47" s="585" customFormat="1" ht="12" hidden="1" thickBot="1">
      <c r="A45" s="549"/>
      <c r="B45" s="550"/>
      <c r="C45" s="541"/>
      <c r="D45" s="522" t="s">
        <v>1</v>
      </c>
      <c r="E45" s="522" t="s">
        <v>677</v>
      </c>
      <c r="F45" s="522" t="s">
        <v>678</v>
      </c>
      <c r="G45" s="522" t="s">
        <v>679</v>
      </c>
      <c r="H45" s="522" t="s">
        <v>2</v>
      </c>
      <c r="I45" s="522" t="s">
        <v>487</v>
      </c>
      <c r="J45" s="522" t="s">
        <v>488</v>
      </c>
      <c r="K45" s="522" t="s">
        <v>489</v>
      </c>
      <c r="L45" s="522" t="s">
        <v>1264</v>
      </c>
      <c r="M45" s="522" t="s">
        <v>1265</v>
      </c>
      <c r="N45" s="522" t="s">
        <v>1055</v>
      </c>
      <c r="O45" s="522" t="s">
        <v>1266</v>
      </c>
      <c r="P45" s="522" t="s">
        <v>1267</v>
      </c>
      <c r="Q45" s="522" t="s">
        <v>1268</v>
      </c>
      <c r="R45" s="522" t="s">
        <v>1269</v>
      </c>
      <c r="S45" s="522" t="s">
        <v>4</v>
      </c>
    </row>
    <row r="46" spans="1:47" s="585" customFormat="1" ht="12" hidden="1" thickBot="1">
      <c r="A46" s="522" t="s">
        <v>75</v>
      </c>
      <c r="B46" s="522" t="s">
        <v>0</v>
      </c>
      <c r="C46" s="522" t="s">
        <v>6</v>
      </c>
      <c r="D46" s="541"/>
      <c r="E46" s="541" t="s">
        <v>7</v>
      </c>
      <c r="F46" s="541" t="s">
        <v>7</v>
      </c>
      <c r="G46" s="541" t="s">
        <v>7</v>
      </c>
      <c r="H46" s="541" t="s">
        <v>7</v>
      </c>
      <c r="I46" s="541"/>
      <c r="J46" s="541"/>
      <c r="K46" s="541"/>
      <c r="L46" s="541"/>
      <c r="M46" s="541"/>
      <c r="N46" s="541"/>
      <c r="O46" s="541"/>
      <c r="P46" s="541"/>
      <c r="Q46" s="541"/>
      <c r="R46" s="541"/>
      <c r="S46" s="541" t="s">
        <v>8</v>
      </c>
    </row>
    <row r="47" spans="1:47" s="585" customFormat="1" ht="12" hidden="1" thickBot="1">
      <c r="A47" s="522" t="s">
        <v>195</v>
      </c>
      <c r="B47" s="588" t="s">
        <v>1469</v>
      </c>
      <c r="C47" s="522" t="s">
        <v>168</v>
      </c>
      <c r="D47" s="829">
        <v>32</v>
      </c>
      <c r="E47" s="829"/>
      <c r="F47" s="829"/>
      <c r="G47" s="829"/>
      <c r="H47" s="829">
        <v>135917399</v>
      </c>
      <c r="I47" s="864">
        <v>311417.32</v>
      </c>
      <c r="J47" s="864">
        <v>296090.67</v>
      </c>
      <c r="K47" s="864">
        <v>288303.96999999997</v>
      </c>
      <c r="L47" s="829"/>
      <c r="M47" s="829"/>
      <c r="N47" s="829"/>
      <c r="O47" s="864">
        <v>311417.32</v>
      </c>
      <c r="P47" s="864">
        <v>296090.67</v>
      </c>
      <c r="Q47" s="864">
        <v>288303.96999999997</v>
      </c>
      <c r="R47" s="829"/>
      <c r="S47" s="829"/>
    </row>
    <row r="48" spans="1:47" s="585" customFormat="1" ht="12" hidden="1" thickBot="1">
      <c r="A48" s="522" t="s">
        <v>195</v>
      </c>
      <c r="B48" s="588" t="s">
        <v>1469</v>
      </c>
      <c r="C48" s="522" t="s">
        <v>169</v>
      </c>
      <c r="D48" s="829">
        <v>211</v>
      </c>
      <c r="E48" s="829"/>
      <c r="F48" s="829"/>
      <c r="G48" s="829"/>
      <c r="H48" s="829">
        <v>18264518</v>
      </c>
      <c r="I48" s="829"/>
      <c r="J48" s="864">
        <v>53574.29</v>
      </c>
      <c r="K48" s="864"/>
      <c r="L48" s="864">
        <v>53574.29</v>
      </c>
      <c r="M48" s="829"/>
      <c r="N48" s="829"/>
      <c r="O48" s="829"/>
      <c r="P48" s="864">
        <v>53574.29</v>
      </c>
      <c r="Q48" s="864"/>
      <c r="R48" s="864">
        <v>53574.29</v>
      </c>
      <c r="S48" s="829"/>
    </row>
    <row r="49" spans="1:19" s="585" customFormat="1" ht="12" hidden="1" thickBot="1">
      <c r="A49" s="522" t="s">
        <v>195</v>
      </c>
      <c r="B49" s="588" t="s">
        <v>1469</v>
      </c>
      <c r="C49" s="522" t="s">
        <v>170</v>
      </c>
      <c r="D49" s="829">
        <v>4770</v>
      </c>
      <c r="E49" s="829"/>
      <c r="F49" s="829"/>
      <c r="G49" s="829"/>
      <c r="H49" s="829">
        <v>170418566</v>
      </c>
      <c r="I49" s="829"/>
      <c r="J49" s="864">
        <v>555176.04</v>
      </c>
      <c r="K49" s="864"/>
      <c r="L49" s="864">
        <v>555176.04</v>
      </c>
      <c r="M49" s="829"/>
      <c r="N49" s="829"/>
      <c r="O49" s="829"/>
      <c r="P49" s="864">
        <v>555176.04</v>
      </c>
      <c r="Q49" s="864"/>
      <c r="R49" s="864">
        <v>555176.04</v>
      </c>
      <c r="S49" s="829"/>
    </row>
    <row r="50" spans="1:19" s="585" customFormat="1" ht="12" hidden="1" thickBot="1">
      <c r="A50" s="522" t="s">
        <v>195</v>
      </c>
      <c r="B50" s="588" t="s">
        <v>1469</v>
      </c>
      <c r="C50" s="522" t="s">
        <v>171</v>
      </c>
      <c r="D50" s="829">
        <v>52</v>
      </c>
      <c r="E50" s="829"/>
      <c r="F50" s="829"/>
      <c r="G50" s="829"/>
      <c r="H50" s="829">
        <v>240582096</v>
      </c>
      <c r="I50" s="864">
        <v>511851.91</v>
      </c>
      <c r="J50" s="864">
        <v>479279.12</v>
      </c>
      <c r="K50" s="864">
        <v>472970.69</v>
      </c>
      <c r="L50" s="829"/>
      <c r="M50" s="829"/>
      <c r="N50" s="829"/>
      <c r="O50" s="864">
        <v>511851.91</v>
      </c>
      <c r="P50" s="864">
        <v>479279.12</v>
      </c>
      <c r="Q50" s="864">
        <v>472970.69</v>
      </c>
      <c r="R50" s="829"/>
      <c r="S50" s="829"/>
    </row>
    <row r="51" spans="1:19" s="585" customFormat="1" ht="12" hidden="1" thickBot="1">
      <c r="A51" s="522" t="s">
        <v>195</v>
      </c>
      <c r="B51" s="588" t="s">
        <v>1469</v>
      </c>
      <c r="C51" s="522" t="s">
        <v>172</v>
      </c>
      <c r="D51" s="829"/>
      <c r="E51" s="829"/>
      <c r="F51" s="829"/>
      <c r="G51" s="829"/>
      <c r="H51" s="829"/>
      <c r="I51" s="829"/>
      <c r="J51" s="829"/>
      <c r="K51" s="829"/>
      <c r="L51" s="829"/>
      <c r="M51" s="829"/>
      <c r="N51" s="829"/>
      <c r="O51" s="829"/>
      <c r="P51" s="829"/>
      <c r="Q51" s="829"/>
      <c r="R51" s="829"/>
      <c r="S51" s="829"/>
    </row>
    <row r="52" spans="1:19" s="585" customFormat="1" ht="12" hidden="1" thickBot="1">
      <c r="A52" s="522" t="s">
        <v>195</v>
      </c>
      <c r="B52" s="588" t="s">
        <v>1469</v>
      </c>
      <c r="C52" s="522" t="s">
        <v>173</v>
      </c>
      <c r="D52" s="829"/>
      <c r="E52" s="829"/>
      <c r="F52" s="829"/>
      <c r="G52" s="829"/>
      <c r="H52" s="829"/>
      <c r="I52" s="829"/>
      <c r="J52" s="829"/>
      <c r="K52" s="829"/>
      <c r="L52" s="829"/>
      <c r="M52" s="829"/>
      <c r="N52" s="829"/>
      <c r="O52" s="829"/>
      <c r="P52" s="829"/>
      <c r="Q52" s="829"/>
      <c r="R52" s="829"/>
      <c r="S52" s="829"/>
    </row>
    <row r="53" spans="1:19" s="585" customFormat="1" ht="12" hidden="1" thickBot="1">
      <c r="A53" s="522" t="s">
        <v>195</v>
      </c>
      <c r="B53" s="588" t="s">
        <v>1469</v>
      </c>
      <c r="C53" s="522" t="s">
        <v>174</v>
      </c>
      <c r="D53" s="829">
        <v>187</v>
      </c>
      <c r="E53" s="829"/>
      <c r="F53" s="829"/>
      <c r="G53" s="829"/>
      <c r="H53" s="829">
        <v>101352085</v>
      </c>
      <c r="I53" s="864">
        <v>259770.08</v>
      </c>
      <c r="J53" s="864">
        <v>246191.86</v>
      </c>
      <c r="K53" s="864">
        <v>242715.65</v>
      </c>
      <c r="L53" s="829"/>
      <c r="M53" s="829"/>
      <c r="N53" s="829"/>
      <c r="O53" s="864">
        <v>259770.08</v>
      </c>
      <c r="P53" s="864">
        <v>246191.86</v>
      </c>
      <c r="Q53" s="864">
        <v>242715.65</v>
      </c>
      <c r="R53" s="829"/>
      <c r="S53" s="829"/>
    </row>
    <row r="54" spans="1:19" s="585" customFormat="1" ht="12" hidden="1" thickBot="1">
      <c r="A54" s="522" t="s">
        <v>195</v>
      </c>
      <c r="B54" s="588" t="s">
        <v>1469</v>
      </c>
      <c r="C54" s="522" t="s">
        <v>175</v>
      </c>
      <c r="D54" s="829">
        <v>456</v>
      </c>
      <c r="E54" s="829"/>
      <c r="F54" s="829"/>
      <c r="G54" s="829"/>
      <c r="H54" s="829">
        <v>118321752</v>
      </c>
      <c r="I54" s="864">
        <v>286976.21000000002</v>
      </c>
      <c r="J54" s="864">
        <v>261378.21</v>
      </c>
      <c r="K54" s="864">
        <v>255523.34</v>
      </c>
      <c r="L54" s="829"/>
      <c r="M54" s="829"/>
      <c r="N54" s="829"/>
      <c r="O54" s="864">
        <v>286976.21000000002</v>
      </c>
      <c r="P54" s="864">
        <v>261378.21</v>
      </c>
      <c r="Q54" s="864">
        <v>255523.34</v>
      </c>
      <c r="R54" s="829"/>
      <c r="S54" s="829"/>
    </row>
    <row r="55" spans="1:19" s="585" customFormat="1" ht="12" hidden="1" thickBot="1">
      <c r="A55" s="522" t="s">
        <v>195</v>
      </c>
      <c r="B55" s="588" t="s">
        <v>1469</v>
      </c>
      <c r="C55" s="522" t="s">
        <v>177</v>
      </c>
      <c r="D55" s="829">
        <v>63452</v>
      </c>
      <c r="E55" s="829"/>
      <c r="F55" s="829"/>
      <c r="G55" s="829"/>
      <c r="H55" s="829">
        <v>68740240</v>
      </c>
      <c r="I55" s="829"/>
      <c r="J55" s="829"/>
      <c r="K55" s="829"/>
      <c r="L55" s="829"/>
      <c r="M55" s="829"/>
      <c r="N55" s="829"/>
      <c r="O55" s="829"/>
      <c r="P55" s="829"/>
      <c r="Q55" s="829"/>
      <c r="R55" s="829"/>
      <c r="S55" s="829"/>
    </row>
    <row r="56" spans="1:19" s="585" customFormat="1" ht="12" hidden="1" thickBot="1">
      <c r="A56" s="522" t="s">
        <v>195</v>
      </c>
      <c r="B56" s="588" t="s">
        <v>1469</v>
      </c>
      <c r="C56" s="522" t="s">
        <v>178</v>
      </c>
      <c r="D56" s="829"/>
      <c r="E56" s="829"/>
      <c r="F56" s="829"/>
      <c r="G56" s="829"/>
      <c r="H56" s="829"/>
      <c r="I56" s="829"/>
      <c r="J56" s="829"/>
      <c r="K56" s="829"/>
      <c r="L56" s="829"/>
      <c r="M56" s="829"/>
      <c r="N56" s="829"/>
      <c r="O56" s="829"/>
      <c r="P56" s="829"/>
      <c r="Q56" s="829"/>
      <c r="R56" s="829"/>
      <c r="S56" s="829"/>
    </row>
    <row r="57" spans="1:19" s="585" customFormat="1" ht="12" hidden="1" thickBot="1">
      <c r="A57" s="522" t="s">
        <v>195</v>
      </c>
      <c r="B57" s="588" t="s">
        <v>1469</v>
      </c>
      <c r="C57" s="522" t="s">
        <v>179</v>
      </c>
      <c r="D57" s="829">
        <v>18548</v>
      </c>
      <c r="E57" s="829"/>
      <c r="F57" s="829"/>
      <c r="G57" s="829"/>
      <c r="H57" s="829">
        <v>100614272</v>
      </c>
      <c r="I57" s="829"/>
      <c r="J57" s="829"/>
      <c r="K57" s="829"/>
      <c r="L57" s="864">
        <v>394581.82</v>
      </c>
      <c r="M57" s="829"/>
      <c r="N57" s="829"/>
      <c r="O57" s="864">
        <v>394581.82</v>
      </c>
      <c r="P57" s="864"/>
      <c r="Q57" s="829"/>
      <c r="R57" s="864">
        <v>394581.82</v>
      </c>
      <c r="S57" s="829"/>
    </row>
    <row r="58" spans="1:19" s="585" customFormat="1" ht="12" hidden="1" thickBot="1">
      <c r="A58" s="522" t="s">
        <v>195</v>
      </c>
      <c r="B58" s="588" t="s">
        <v>1469</v>
      </c>
      <c r="C58" s="522" t="s">
        <v>180</v>
      </c>
      <c r="D58" s="829">
        <v>371</v>
      </c>
      <c r="E58" s="829"/>
      <c r="F58" s="829"/>
      <c r="G58" s="829"/>
      <c r="H58" s="829">
        <v>753729</v>
      </c>
      <c r="I58" s="829"/>
      <c r="J58" s="829"/>
      <c r="K58" s="829"/>
      <c r="L58" s="829"/>
      <c r="M58" s="829"/>
      <c r="N58" s="829"/>
      <c r="O58" s="829"/>
      <c r="P58" s="829"/>
      <c r="Q58" s="829"/>
      <c r="R58" s="829"/>
      <c r="S58" s="829"/>
    </row>
    <row r="59" spans="1:19" s="585" customFormat="1" ht="12" hidden="1" thickBot="1">
      <c r="A59" s="522" t="s">
        <v>195</v>
      </c>
      <c r="B59" s="588" t="s">
        <v>1469</v>
      </c>
      <c r="C59" s="522" t="s">
        <v>190</v>
      </c>
      <c r="D59" s="829">
        <v>428357</v>
      </c>
      <c r="E59" s="829"/>
      <c r="F59" s="829"/>
      <c r="G59" s="829"/>
      <c r="H59" s="829">
        <v>671792006</v>
      </c>
      <c r="I59" s="829"/>
      <c r="J59" s="829"/>
      <c r="K59" s="829"/>
      <c r="L59" s="829"/>
      <c r="M59" s="829"/>
      <c r="N59" s="829"/>
      <c r="O59" s="829"/>
      <c r="P59" s="829"/>
      <c r="Q59" s="829"/>
      <c r="R59" s="829"/>
      <c r="S59" s="829"/>
    </row>
    <row r="60" spans="1:19" s="585" customFormat="1" ht="12" hidden="1" thickBot="1">
      <c r="A60" s="522" t="s">
        <v>195</v>
      </c>
      <c r="B60" s="588" t="s">
        <v>1469</v>
      </c>
      <c r="C60" s="522" t="s">
        <v>191</v>
      </c>
      <c r="D60" s="829"/>
      <c r="E60" s="829"/>
      <c r="F60" s="829"/>
      <c r="G60" s="829"/>
      <c r="H60" s="829"/>
      <c r="I60" s="829"/>
      <c r="J60" s="829"/>
      <c r="K60" s="829"/>
      <c r="L60" s="829"/>
      <c r="M60" s="829"/>
      <c r="N60" s="829"/>
      <c r="O60" s="829"/>
      <c r="P60" s="829"/>
      <c r="Q60" s="829"/>
      <c r="R60" s="829"/>
      <c r="S60" s="829"/>
    </row>
    <row r="61" spans="1:19" s="585" customFormat="1" ht="12" hidden="1" thickBot="1">
      <c r="A61" s="522" t="s">
        <v>195</v>
      </c>
      <c r="B61" s="588" t="s">
        <v>1469</v>
      </c>
      <c r="C61" s="522" t="s">
        <v>192</v>
      </c>
      <c r="D61" s="829"/>
      <c r="E61" s="829"/>
      <c r="F61" s="829"/>
      <c r="G61" s="829"/>
      <c r="H61" s="829"/>
      <c r="I61" s="829"/>
      <c r="J61" s="829"/>
      <c r="K61" s="829"/>
      <c r="L61" s="829"/>
      <c r="M61" s="829"/>
      <c r="N61" s="829"/>
      <c r="O61" s="829"/>
      <c r="P61" s="829"/>
      <c r="Q61" s="829"/>
      <c r="R61" s="829"/>
      <c r="S61" s="829"/>
    </row>
    <row r="62" spans="1:19" s="585" customFormat="1" ht="12" hidden="1" thickBot="1">
      <c r="A62" s="522" t="s">
        <v>195</v>
      </c>
      <c r="B62" s="588" t="s">
        <v>1469</v>
      </c>
      <c r="C62" s="522" t="s">
        <v>193</v>
      </c>
      <c r="D62" s="829"/>
      <c r="E62" s="829"/>
      <c r="F62" s="829"/>
      <c r="G62" s="829"/>
      <c r="H62" s="829"/>
      <c r="I62" s="829"/>
      <c r="J62" s="829"/>
      <c r="K62" s="829"/>
      <c r="L62" s="829"/>
      <c r="M62" s="829"/>
      <c r="N62" s="829"/>
      <c r="O62" s="829"/>
      <c r="P62" s="829"/>
      <c r="Q62" s="829"/>
      <c r="R62" s="829"/>
      <c r="S62" s="829"/>
    </row>
    <row r="63" spans="1:19" s="585" customFormat="1" ht="12" hidden="1" thickBot="1">
      <c r="A63" s="522" t="s">
        <v>195</v>
      </c>
      <c r="B63" s="588" t="s">
        <v>1469</v>
      </c>
      <c r="C63" s="522" t="s">
        <v>194</v>
      </c>
      <c r="D63" s="829"/>
      <c r="E63" s="829"/>
      <c r="F63" s="829"/>
      <c r="G63" s="829"/>
      <c r="H63" s="829"/>
      <c r="I63" s="829"/>
      <c r="J63" s="829"/>
      <c r="K63" s="829"/>
      <c r="L63" s="829"/>
      <c r="M63" s="829"/>
      <c r="N63" s="829"/>
      <c r="O63" s="829"/>
      <c r="P63" s="829"/>
      <c r="Q63" s="829"/>
      <c r="R63" s="829"/>
      <c r="S63" s="829"/>
    </row>
    <row r="64" spans="1:19" s="585" customFormat="1" ht="12" hidden="1" thickBot="1">
      <c r="A64" s="522" t="s">
        <v>195</v>
      </c>
      <c r="B64" s="588" t="s">
        <v>1469</v>
      </c>
      <c r="C64" s="522" t="s">
        <v>450</v>
      </c>
      <c r="D64" s="829"/>
      <c r="E64" s="829"/>
      <c r="F64" s="829"/>
      <c r="G64" s="829"/>
      <c r="H64" s="829"/>
      <c r="I64" s="829"/>
      <c r="J64" s="829"/>
      <c r="K64" s="829"/>
      <c r="L64" s="829"/>
      <c r="M64" s="829"/>
      <c r="N64" s="829"/>
      <c r="O64" s="829"/>
      <c r="P64" s="829"/>
      <c r="Q64" s="829"/>
      <c r="R64" s="829"/>
      <c r="S64" s="829"/>
    </row>
    <row r="65" spans="1:53" s="585" customFormat="1" ht="12" hidden="1" thickBot="1">
      <c r="A65" s="522" t="s">
        <v>195</v>
      </c>
      <c r="B65" s="588" t="s">
        <v>1469</v>
      </c>
      <c r="C65" s="522" t="s">
        <v>440</v>
      </c>
      <c r="D65" s="829"/>
      <c r="E65" s="829"/>
      <c r="F65" s="829"/>
      <c r="G65" s="829"/>
      <c r="H65" s="829"/>
      <c r="I65" s="829"/>
      <c r="J65" s="829"/>
      <c r="K65" s="829"/>
      <c r="L65" s="829"/>
      <c r="M65" s="829"/>
      <c r="N65" s="829"/>
      <c r="O65" s="829"/>
      <c r="P65" s="829"/>
      <c r="Q65" s="829"/>
      <c r="R65" s="829"/>
      <c r="S65" s="829"/>
    </row>
    <row r="66" spans="1:53" s="585" customFormat="1" ht="12" hidden="1" thickBot="1">
      <c r="A66" s="522" t="s">
        <v>195</v>
      </c>
      <c r="B66" s="588" t="s">
        <v>1469</v>
      </c>
      <c r="C66" s="522" t="s">
        <v>441</v>
      </c>
      <c r="D66" s="829"/>
      <c r="E66" s="829"/>
      <c r="F66" s="829"/>
      <c r="G66" s="829"/>
      <c r="H66" s="829"/>
      <c r="I66" s="829"/>
      <c r="J66" s="829"/>
      <c r="K66" s="829"/>
      <c r="L66" s="829"/>
      <c r="M66" s="829"/>
      <c r="N66" s="829"/>
      <c r="O66" s="829"/>
      <c r="P66" s="829"/>
      <c r="Q66" s="829"/>
      <c r="R66" s="829"/>
      <c r="S66" s="829"/>
    </row>
    <row r="67" spans="1:53" s="585" customFormat="1" ht="12" hidden="1" thickBot="1">
      <c r="A67" s="522" t="s">
        <v>195</v>
      </c>
      <c r="B67" s="588" t="s">
        <v>1469</v>
      </c>
      <c r="C67" s="522" t="s">
        <v>185</v>
      </c>
      <c r="D67" s="829"/>
      <c r="E67" s="829"/>
      <c r="F67" s="829"/>
      <c r="G67" s="829"/>
      <c r="H67" s="829"/>
      <c r="I67" s="829"/>
      <c r="J67" s="829"/>
      <c r="K67" s="829"/>
      <c r="L67" s="829"/>
      <c r="M67" s="829"/>
      <c r="N67" s="829"/>
      <c r="O67" s="829"/>
      <c r="P67" s="829"/>
      <c r="Q67" s="829"/>
      <c r="R67" s="829"/>
      <c r="S67" s="829"/>
    </row>
    <row r="68" spans="1:53" s="585" customFormat="1" ht="12" hidden="1" thickBot="1">
      <c r="A68" s="522" t="s">
        <v>195</v>
      </c>
      <c r="B68" s="588" t="s">
        <v>1469</v>
      </c>
      <c r="C68" s="522" t="s">
        <v>189</v>
      </c>
      <c r="D68" s="829">
        <v>1</v>
      </c>
      <c r="E68" s="829"/>
      <c r="F68" s="829"/>
      <c r="G68" s="829"/>
      <c r="H68" s="829">
        <v>46508169</v>
      </c>
      <c r="I68" s="831">
        <v>185157.6</v>
      </c>
      <c r="J68" s="831">
        <v>185157.6</v>
      </c>
      <c r="K68" s="831">
        <v>101387.6</v>
      </c>
      <c r="L68" s="829"/>
      <c r="M68" s="829"/>
      <c r="N68" s="829"/>
      <c r="O68" s="831">
        <v>185157.6</v>
      </c>
      <c r="P68" s="831">
        <v>185157.6</v>
      </c>
      <c r="Q68" s="831">
        <v>101387.6</v>
      </c>
      <c r="R68" s="829"/>
      <c r="S68" s="829"/>
    </row>
    <row r="69" spans="1:53" s="585" customFormat="1" ht="12" hidden="1" thickBot="1">
      <c r="A69" s="522" t="s">
        <v>195</v>
      </c>
      <c r="B69" s="588" t="s">
        <v>1469</v>
      </c>
      <c r="C69" s="522" t="s">
        <v>233</v>
      </c>
      <c r="D69" s="829">
        <v>2</v>
      </c>
      <c r="E69" s="829"/>
      <c r="F69" s="829"/>
      <c r="G69" s="829"/>
      <c r="H69" s="829">
        <v>12268</v>
      </c>
      <c r="I69" s="829"/>
      <c r="J69" s="829"/>
      <c r="K69" s="829"/>
      <c r="L69" s="829"/>
      <c r="M69" s="829"/>
      <c r="N69" s="829"/>
      <c r="O69" s="829"/>
      <c r="P69" s="829"/>
      <c r="Q69" s="829"/>
      <c r="R69" s="829"/>
      <c r="S69" s="829"/>
    </row>
    <row r="70" spans="1:53" s="585" customFormat="1" ht="12" hidden="1" thickBot="1">
      <c r="A70" s="522" t="s">
        <v>195</v>
      </c>
      <c r="B70" s="588" t="s">
        <v>1469</v>
      </c>
      <c r="C70" s="522" t="s">
        <v>232</v>
      </c>
      <c r="D70" s="829"/>
      <c r="E70" s="829"/>
      <c r="F70" s="829"/>
      <c r="G70" s="829"/>
      <c r="H70" s="829"/>
      <c r="I70" s="829"/>
      <c r="J70" s="829"/>
      <c r="K70" s="829"/>
      <c r="L70" s="829"/>
      <c r="M70" s="829"/>
      <c r="N70" s="829"/>
      <c r="O70" s="829"/>
      <c r="P70" s="829"/>
      <c r="Q70" s="829"/>
      <c r="R70" s="829"/>
      <c r="S70" s="829"/>
    </row>
    <row r="71" spans="1:53" s="585" customFormat="1" ht="12" thickBot="1">
      <c r="A71" s="522" t="s">
        <v>195</v>
      </c>
      <c r="B71" s="588" t="s">
        <v>1469</v>
      </c>
      <c r="C71" s="522" t="s">
        <v>184</v>
      </c>
      <c r="D71" s="829">
        <v>747</v>
      </c>
      <c r="E71" s="829"/>
      <c r="F71" s="829"/>
      <c r="G71" s="829"/>
      <c r="H71" s="829">
        <v>109851</v>
      </c>
      <c r="I71" s="829"/>
      <c r="J71" s="829"/>
      <c r="K71" s="829"/>
      <c r="L71" s="829"/>
      <c r="M71" s="829"/>
      <c r="N71" s="829"/>
      <c r="O71" s="829"/>
      <c r="P71" s="829"/>
      <c r="Q71" s="829"/>
      <c r="R71" s="829"/>
      <c r="S71" s="829"/>
    </row>
    <row r="72" spans="1:53" ht="12" hidden="1" thickBot="1">
      <c r="A72" s="843" t="s">
        <v>195</v>
      </c>
      <c r="B72" s="588" t="s">
        <v>1469</v>
      </c>
      <c r="C72" s="843" t="s">
        <v>187</v>
      </c>
      <c r="D72" s="829"/>
      <c r="E72" s="829"/>
      <c r="F72" s="829"/>
      <c r="G72" s="829"/>
      <c r="H72" s="829"/>
      <c r="I72" s="829"/>
      <c r="J72" s="829"/>
      <c r="K72" s="829"/>
      <c r="L72" s="829"/>
      <c r="M72" s="829"/>
      <c r="N72" s="829"/>
      <c r="O72" s="829"/>
      <c r="P72" s="829"/>
      <c r="Q72" s="829"/>
      <c r="R72" s="829"/>
      <c r="S72" s="829"/>
    </row>
    <row r="73" spans="1:53" ht="12" hidden="1" thickBot="1">
      <c r="A73" s="843" t="s">
        <v>195</v>
      </c>
      <c r="B73" s="588" t="s">
        <v>1469</v>
      </c>
      <c r="C73" s="843" t="s">
        <v>1358</v>
      </c>
      <c r="D73" s="829"/>
      <c r="E73" s="829"/>
      <c r="F73" s="829"/>
      <c r="G73" s="829"/>
      <c r="H73" s="829"/>
      <c r="I73" s="829"/>
      <c r="J73" s="829"/>
      <c r="K73" s="829"/>
      <c r="L73" s="829"/>
      <c r="M73" s="829"/>
      <c r="N73" s="829"/>
      <c r="O73" s="829"/>
      <c r="P73" s="829"/>
      <c r="Q73" s="829"/>
      <c r="R73" s="829"/>
      <c r="S73" s="829"/>
    </row>
    <row r="74" spans="1:53" s="847" customFormat="1" ht="12" hidden="1" thickBot="1">
      <c r="A74" s="843" t="s">
        <v>195</v>
      </c>
      <c r="B74" s="588" t="s">
        <v>1469</v>
      </c>
      <c r="C74" s="843" t="s">
        <v>1045</v>
      </c>
      <c r="D74" s="829"/>
      <c r="E74" s="829"/>
      <c r="F74" s="829"/>
      <c r="G74" s="829"/>
      <c r="H74" s="829"/>
      <c r="I74" s="829"/>
      <c r="J74" s="829"/>
      <c r="K74" s="829"/>
      <c r="L74" s="829"/>
      <c r="M74" s="829"/>
      <c r="N74" s="829"/>
      <c r="O74" s="829"/>
      <c r="P74" s="829"/>
      <c r="Q74" s="829"/>
      <c r="R74" s="829"/>
      <c r="S74" s="829"/>
      <c r="T74" s="844"/>
      <c r="U74" s="844"/>
      <c r="V74" s="844"/>
      <c r="W74" s="844"/>
      <c r="X74" s="844"/>
      <c r="Y74" s="844"/>
      <c r="Z74" s="844"/>
      <c r="AA74" s="844"/>
      <c r="AB74" s="844"/>
      <c r="AC74" s="844"/>
      <c r="AD74" s="844"/>
      <c r="AE74" s="844"/>
      <c r="AF74" s="844"/>
      <c r="AG74" s="844"/>
      <c r="AH74" s="844"/>
      <c r="AI74" s="844"/>
      <c r="AJ74" s="844"/>
      <c r="AK74" s="844"/>
      <c r="AL74" s="844"/>
      <c r="AM74" s="844"/>
      <c r="AN74" s="844"/>
      <c r="AO74" s="844"/>
      <c r="AP74" s="844"/>
      <c r="AQ74" s="844"/>
      <c r="AR74" s="844"/>
      <c r="AS74" s="844"/>
      <c r="AT74" s="844"/>
      <c r="AU74" s="844"/>
      <c r="AV74" s="844"/>
      <c r="AW74" s="844"/>
      <c r="AX74" s="844"/>
      <c r="AY74" s="844"/>
      <c r="AZ74" s="844"/>
      <c r="BA74" s="844"/>
    </row>
    <row r="75" spans="1:53" s="564" customFormat="1" ht="12" hidden="1" thickBot="1">
      <c r="A75" s="522" t="s">
        <v>195</v>
      </c>
      <c r="B75" s="588" t="s">
        <v>1469</v>
      </c>
      <c r="C75" s="522" t="s">
        <v>186</v>
      </c>
      <c r="D75" s="829"/>
      <c r="E75" s="829"/>
      <c r="F75" s="829"/>
      <c r="G75" s="829"/>
      <c r="H75" s="829"/>
      <c r="I75" s="829"/>
      <c r="J75" s="829"/>
      <c r="K75" s="829"/>
      <c r="L75" s="829"/>
      <c r="M75" s="829"/>
      <c r="N75" s="829"/>
      <c r="O75" s="829"/>
      <c r="P75" s="829"/>
      <c r="Q75" s="829"/>
      <c r="R75" s="829"/>
      <c r="S75" s="829"/>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585"/>
    </row>
    <row r="76" spans="1:53" s="585" customFormat="1" ht="12" hidden="1" thickBot="1">
      <c r="A76" s="522" t="s">
        <v>195</v>
      </c>
      <c r="B76" s="588" t="s">
        <v>1469</v>
      </c>
      <c r="C76" s="522" t="s">
        <v>176</v>
      </c>
      <c r="D76" s="829"/>
      <c r="E76" s="829"/>
      <c r="F76" s="829"/>
      <c r="G76" s="829"/>
      <c r="H76" s="829"/>
      <c r="I76" s="829"/>
      <c r="J76" s="829"/>
      <c r="K76" s="829"/>
      <c r="L76" s="829"/>
      <c r="M76" s="829"/>
      <c r="N76" s="829"/>
      <c r="O76" s="829"/>
      <c r="P76" s="829"/>
      <c r="Q76" s="829"/>
      <c r="R76" s="829"/>
      <c r="S76" s="829"/>
    </row>
    <row r="77" spans="1:53" s="585" customFormat="1" ht="12" hidden="1" thickBot="1">
      <c r="A77" s="522" t="s">
        <v>195</v>
      </c>
      <c r="B77" s="588" t="s">
        <v>1469</v>
      </c>
      <c r="C77" s="522" t="s">
        <v>182</v>
      </c>
      <c r="D77" s="829"/>
      <c r="E77" s="829"/>
      <c r="F77" s="829"/>
      <c r="G77" s="829"/>
      <c r="H77" s="829"/>
      <c r="I77" s="829"/>
      <c r="J77" s="829"/>
      <c r="K77" s="829"/>
      <c r="L77" s="829"/>
      <c r="M77" s="829"/>
      <c r="N77" s="829"/>
      <c r="O77" s="829"/>
      <c r="P77" s="829"/>
      <c r="Q77" s="829"/>
      <c r="R77" s="829"/>
      <c r="S77" s="829"/>
      <c r="T77" s="564"/>
      <c r="U77" s="564"/>
      <c r="V77" s="564"/>
    </row>
    <row r="78" spans="1:53" s="585" customFormat="1" ht="12" hidden="1" thickBot="1">
      <c r="A78" s="522" t="s">
        <v>195</v>
      </c>
      <c r="B78" s="588" t="s">
        <v>1469</v>
      </c>
      <c r="C78" s="522" t="s">
        <v>477</v>
      </c>
      <c r="D78" s="829"/>
      <c r="E78" s="829"/>
      <c r="F78" s="829"/>
      <c r="G78" s="829"/>
      <c r="H78" s="829"/>
      <c r="I78" s="829"/>
      <c r="J78" s="829"/>
      <c r="K78" s="829"/>
      <c r="L78" s="829"/>
      <c r="M78" s="829"/>
      <c r="N78" s="829"/>
      <c r="O78" s="829"/>
      <c r="P78" s="829"/>
      <c r="Q78" s="829"/>
      <c r="R78" s="829"/>
      <c r="S78" s="829"/>
      <c r="T78" s="564"/>
      <c r="U78" s="564"/>
      <c r="V78" s="564"/>
    </row>
    <row r="79" spans="1:53" s="585" customFormat="1" ht="12" hidden="1" thickBot="1">
      <c r="A79" s="522" t="s">
        <v>195</v>
      </c>
      <c r="B79" s="588" t="s">
        <v>1469</v>
      </c>
      <c r="C79" s="522" t="s">
        <v>181</v>
      </c>
      <c r="D79" s="829"/>
      <c r="E79" s="829"/>
      <c r="F79" s="829"/>
      <c r="G79" s="829"/>
      <c r="H79" s="829"/>
      <c r="I79" s="829"/>
      <c r="J79" s="829"/>
      <c r="K79" s="829"/>
      <c r="L79" s="829"/>
      <c r="M79" s="829"/>
      <c r="N79" s="829"/>
      <c r="O79" s="829"/>
      <c r="P79" s="829"/>
      <c r="Q79" s="829"/>
      <c r="R79" s="829"/>
      <c r="S79" s="829"/>
      <c r="T79" s="564"/>
      <c r="U79" s="564"/>
      <c r="V79" s="564"/>
    </row>
    <row r="80" spans="1:53" s="585" customFormat="1" ht="12" hidden="1" thickBot="1">
      <c r="A80" s="522" t="s">
        <v>195</v>
      </c>
      <c r="B80" s="588" t="s">
        <v>1469</v>
      </c>
      <c r="C80" s="522" t="s">
        <v>183</v>
      </c>
      <c r="D80" s="829">
        <v>258</v>
      </c>
      <c r="E80" s="829"/>
      <c r="F80" s="829"/>
      <c r="G80" s="829"/>
      <c r="H80" s="829">
        <v>13970009</v>
      </c>
      <c r="I80" s="829"/>
      <c r="J80" s="829"/>
      <c r="K80" s="829"/>
      <c r="L80" s="864">
        <v>54944.83</v>
      </c>
      <c r="M80" s="829"/>
      <c r="N80" s="829"/>
      <c r="O80" s="864">
        <v>54944.83</v>
      </c>
      <c r="P80" s="864"/>
      <c r="Q80" s="829"/>
      <c r="R80" s="864">
        <v>54944.83</v>
      </c>
      <c r="S80" s="829"/>
      <c r="T80" s="564"/>
      <c r="U80" s="564"/>
      <c r="V80" s="564"/>
    </row>
    <row r="81" spans="1:22" s="585" customFormat="1" ht="12" hidden="1" thickBot="1">
      <c r="A81" s="522" t="s">
        <v>195</v>
      </c>
      <c r="B81" s="588" t="s">
        <v>1469</v>
      </c>
      <c r="C81" s="522" t="s">
        <v>652</v>
      </c>
      <c r="D81" s="829"/>
      <c r="E81" s="829"/>
      <c r="F81" s="829"/>
      <c r="G81" s="829"/>
      <c r="H81" s="829"/>
      <c r="I81" s="829"/>
      <c r="J81" s="829"/>
      <c r="K81" s="829"/>
      <c r="L81" s="829"/>
      <c r="M81" s="829"/>
      <c r="N81" s="829"/>
      <c r="O81" s="829"/>
      <c r="P81" s="829"/>
      <c r="Q81" s="829"/>
      <c r="R81" s="829"/>
      <c r="S81" s="829"/>
      <c r="T81" s="564"/>
      <c r="U81" s="564"/>
      <c r="V81" s="564"/>
    </row>
    <row r="82" spans="1:22" s="585" customFormat="1" ht="12" hidden="1" thickBot="1">
      <c r="A82" s="522" t="s">
        <v>195</v>
      </c>
      <c r="B82" s="588" t="s">
        <v>1469</v>
      </c>
      <c r="C82" s="522" t="s">
        <v>720</v>
      </c>
      <c r="D82" s="829"/>
      <c r="E82" s="829"/>
      <c r="F82" s="829"/>
      <c r="G82" s="829"/>
      <c r="H82" s="829"/>
      <c r="I82" s="829"/>
      <c r="J82" s="829"/>
      <c r="K82" s="829"/>
      <c r="L82" s="829"/>
      <c r="M82" s="829"/>
      <c r="N82" s="829"/>
      <c r="O82" s="829"/>
      <c r="P82" s="829"/>
      <c r="Q82" s="829"/>
      <c r="R82" s="829"/>
      <c r="S82" s="829"/>
      <c r="T82" s="564"/>
      <c r="U82" s="564"/>
      <c r="V82" s="564"/>
    </row>
    <row r="83" spans="1:22" s="585" customFormat="1" ht="12" hidden="1" thickBot="1">
      <c r="A83" s="522" t="s">
        <v>195</v>
      </c>
      <c r="B83" s="588" t="s">
        <v>1469</v>
      </c>
      <c r="C83" s="522" t="s">
        <v>721</v>
      </c>
      <c r="D83" s="829"/>
      <c r="E83" s="829"/>
      <c r="F83" s="829"/>
      <c r="G83" s="829"/>
      <c r="H83" s="829"/>
      <c r="I83" s="829"/>
      <c r="J83" s="829"/>
      <c r="K83" s="829"/>
      <c r="L83" s="829"/>
      <c r="M83" s="829"/>
      <c r="N83" s="829"/>
      <c r="O83" s="829"/>
      <c r="P83" s="829"/>
      <c r="Q83" s="829"/>
      <c r="R83" s="829"/>
      <c r="S83" s="829"/>
    </row>
    <row r="84" spans="1:22" s="585" customFormat="1" ht="12" hidden="1" thickBot="1">
      <c r="A84" s="522" t="s">
        <v>195</v>
      </c>
      <c r="B84" s="588" t="s">
        <v>1469</v>
      </c>
      <c r="C84" s="522" t="s">
        <v>722</v>
      </c>
      <c r="D84" s="829"/>
      <c r="E84" s="829"/>
      <c r="F84" s="829"/>
      <c r="G84" s="829"/>
      <c r="H84" s="829"/>
      <c r="I84" s="829"/>
      <c r="J84" s="829"/>
      <c r="K84" s="829"/>
      <c r="L84" s="829"/>
      <c r="M84" s="829"/>
      <c r="N84" s="829"/>
      <c r="O84" s="829"/>
      <c r="P84" s="829"/>
      <c r="Q84" s="829"/>
      <c r="R84" s="829"/>
      <c r="S84" s="829"/>
    </row>
    <row r="85" spans="1:22" s="585" customFormat="1" ht="12" hidden="1" thickBot="1">
      <c r="A85" s="522" t="s">
        <v>195</v>
      </c>
      <c r="B85" s="588" t="s">
        <v>1469</v>
      </c>
      <c r="C85" s="582" t="s">
        <v>9</v>
      </c>
      <c r="D85" s="539"/>
      <c r="E85" s="540"/>
      <c r="F85" s="540"/>
      <c r="G85" s="540"/>
      <c r="H85" s="539"/>
      <c r="I85" s="581"/>
      <c r="J85" s="581"/>
      <c r="K85" s="581"/>
      <c r="L85" s="540"/>
      <c r="M85" s="540"/>
      <c r="N85" s="581"/>
      <c r="O85" s="581"/>
      <c r="P85" s="581"/>
      <c r="Q85" s="581"/>
      <c r="R85" s="540"/>
      <c r="S85" s="540"/>
    </row>
    <row r="86" spans="1:22" s="585" customFormat="1" ht="12" hidden="1" thickBot="1">
      <c r="A86" s="549"/>
      <c r="B86" s="550"/>
      <c r="C86" s="541"/>
      <c r="D86" s="522" t="s">
        <v>1</v>
      </c>
      <c r="E86" s="522" t="s">
        <v>677</v>
      </c>
      <c r="F86" s="522" t="s">
        <v>678</v>
      </c>
      <c r="G86" s="522" t="s">
        <v>679</v>
      </c>
      <c r="H86" s="522" t="s">
        <v>2</v>
      </c>
      <c r="I86" s="522" t="s">
        <v>487</v>
      </c>
      <c r="J86" s="522" t="s">
        <v>488</v>
      </c>
      <c r="K86" s="522" t="s">
        <v>489</v>
      </c>
      <c r="L86" s="522" t="s">
        <v>1264</v>
      </c>
      <c r="M86" s="522" t="s">
        <v>1265</v>
      </c>
      <c r="N86" s="522" t="s">
        <v>1055</v>
      </c>
      <c r="O86" s="522" t="s">
        <v>1266</v>
      </c>
      <c r="P86" s="522" t="s">
        <v>1267</v>
      </c>
      <c r="Q86" s="522" t="s">
        <v>1268</v>
      </c>
      <c r="R86" s="522" t="s">
        <v>1269</v>
      </c>
      <c r="S86" s="522" t="s">
        <v>4</v>
      </c>
    </row>
    <row r="87" spans="1:22" s="585" customFormat="1" ht="12" hidden="1" thickBot="1">
      <c r="A87" s="522" t="s">
        <v>75</v>
      </c>
      <c r="B87" s="522" t="s">
        <v>0</v>
      </c>
      <c r="C87" s="522" t="s">
        <v>6</v>
      </c>
      <c r="D87" s="541"/>
      <c r="E87" s="541" t="s">
        <v>7</v>
      </c>
      <c r="F87" s="541" t="s">
        <v>7</v>
      </c>
      <c r="G87" s="541" t="s">
        <v>7</v>
      </c>
      <c r="H87" s="541" t="s">
        <v>7</v>
      </c>
      <c r="I87" s="541"/>
      <c r="J87" s="541"/>
      <c r="K87" s="541"/>
      <c r="L87" s="541"/>
      <c r="M87" s="541"/>
      <c r="N87" s="541"/>
      <c r="O87" s="541"/>
      <c r="P87" s="541"/>
      <c r="Q87" s="541"/>
      <c r="R87" s="541"/>
      <c r="S87" s="541" t="s">
        <v>8</v>
      </c>
    </row>
    <row r="88" spans="1:22" s="585" customFormat="1" ht="12" hidden="1" thickBot="1">
      <c r="A88" s="522" t="s">
        <v>195</v>
      </c>
      <c r="B88" s="522" t="s">
        <v>1360</v>
      </c>
      <c r="C88" s="522" t="s">
        <v>168</v>
      </c>
      <c r="D88" s="524">
        <v>32</v>
      </c>
      <c r="E88" s="526"/>
      <c r="F88" s="526"/>
      <c r="G88" s="526"/>
      <c r="H88" s="524">
        <v>142624745</v>
      </c>
      <c r="I88" s="568">
        <v>309847.7</v>
      </c>
      <c r="J88" s="568">
        <v>297874.40000000002</v>
      </c>
      <c r="K88" s="568">
        <v>292408.40000000002</v>
      </c>
      <c r="L88" s="526"/>
      <c r="M88" s="526"/>
      <c r="N88" s="526"/>
      <c r="O88" s="568">
        <v>303871.2</v>
      </c>
      <c r="P88" s="568">
        <v>296546.59999999998</v>
      </c>
      <c r="Q88" s="568">
        <v>291507.8</v>
      </c>
      <c r="R88" s="526"/>
      <c r="S88" s="526"/>
    </row>
    <row r="89" spans="1:22" s="585" customFormat="1" ht="12" hidden="1" thickBot="1">
      <c r="A89" s="522" t="s">
        <v>195</v>
      </c>
      <c r="B89" s="522" t="s">
        <v>1360</v>
      </c>
      <c r="C89" s="522" t="s">
        <v>169</v>
      </c>
      <c r="D89" s="530">
        <v>170</v>
      </c>
      <c r="E89" s="532"/>
      <c r="F89" s="532"/>
      <c r="G89" s="532"/>
      <c r="H89" s="530">
        <v>4760587</v>
      </c>
      <c r="I89" s="575"/>
      <c r="J89" s="575">
        <v>16081.5</v>
      </c>
      <c r="K89" s="532"/>
      <c r="L89" s="531">
        <v>16081.5</v>
      </c>
      <c r="M89" s="531">
        <v>0</v>
      </c>
      <c r="N89" s="532"/>
      <c r="O89" s="532"/>
      <c r="P89" s="575">
        <v>13100.7</v>
      </c>
      <c r="Q89" s="532"/>
      <c r="R89" s="575"/>
      <c r="S89" s="531">
        <v>0</v>
      </c>
    </row>
    <row r="90" spans="1:22" s="585" customFormat="1" ht="12" hidden="1" thickBot="1">
      <c r="A90" s="522" t="s">
        <v>195</v>
      </c>
      <c r="B90" s="522" t="s">
        <v>1360</v>
      </c>
      <c r="C90" s="522" t="s">
        <v>170</v>
      </c>
      <c r="D90" s="524">
        <v>4885</v>
      </c>
      <c r="E90" s="526"/>
      <c r="F90" s="526"/>
      <c r="G90" s="526"/>
      <c r="H90" s="524">
        <v>140054129</v>
      </c>
      <c r="I90" s="568"/>
      <c r="J90" s="568">
        <v>447840.68</v>
      </c>
      <c r="K90" s="526"/>
      <c r="L90" s="525">
        <v>447840.68</v>
      </c>
      <c r="M90" s="525">
        <v>0</v>
      </c>
      <c r="N90" s="526"/>
      <c r="O90" s="526"/>
      <c r="P90" s="568">
        <v>389933.2</v>
      </c>
      <c r="Q90" s="526"/>
      <c r="R90" s="568"/>
      <c r="S90" s="525">
        <v>0</v>
      </c>
    </row>
    <row r="91" spans="1:22" s="585" customFormat="1" ht="12" hidden="1" thickBot="1">
      <c r="A91" s="522" t="s">
        <v>195</v>
      </c>
      <c r="B91" s="522" t="s">
        <v>1360</v>
      </c>
      <c r="C91" s="522" t="s">
        <v>171</v>
      </c>
      <c r="D91" s="530">
        <v>53</v>
      </c>
      <c r="E91" s="532"/>
      <c r="F91" s="532"/>
      <c r="G91" s="532"/>
      <c r="H91" s="530">
        <v>232867680</v>
      </c>
      <c r="I91" s="575">
        <v>494647.4</v>
      </c>
      <c r="J91" s="575">
        <v>463176.8</v>
      </c>
      <c r="K91" s="575">
        <v>457644.7</v>
      </c>
      <c r="L91" s="532"/>
      <c r="M91" s="532"/>
      <c r="N91" s="532"/>
      <c r="O91" s="575">
        <v>459849.1</v>
      </c>
      <c r="P91" s="575">
        <v>458914.6</v>
      </c>
      <c r="Q91" s="575">
        <v>452114.7</v>
      </c>
      <c r="R91" s="532"/>
      <c r="S91" s="532"/>
    </row>
    <row r="92" spans="1:22" s="585" customFormat="1" ht="12" hidden="1" thickBot="1">
      <c r="A92" s="522" t="s">
        <v>195</v>
      </c>
      <c r="B92" s="522" t="s">
        <v>1360</v>
      </c>
      <c r="C92" s="522" t="s">
        <v>172</v>
      </c>
      <c r="D92" s="524">
        <v>77</v>
      </c>
      <c r="E92" s="526"/>
      <c r="F92" s="526"/>
      <c r="G92" s="526"/>
      <c r="H92" s="524">
        <v>23388127</v>
      </c>
      <c r="I92" s="568"/>
      <c r="J92" s="568">
        <v>56286</v>
      </c>
      <c r="K92" s="526"/>
      <c r="L92" s="525">
        <v>56286</v>
      </c>
      <c r="M92" s="525">
        <v>458.7</v>
      </c>
      <c r="N92" s="526"/>
      <c r="O92" s="526"/>
      <c r="P92" s="568">
        <v>53699.199999999997</v>
      </c>
      <c r="Q92" s="526"/>
      <c r="R92" s="568"/>
      <c r="S92" s="525">
        <v>5146.16</v>
      </c>
    </row>
    <row r="93" spans="1:22" s="585" customFormat="1" ht="12" hidden="1" thickBot="1">
      <c r="A93" s="522" t="s">
        <v>195</v>
      </c>
      <c r="B93" s="522" t="s">
        <v>1360</v>
      </c>
      <c r="C93" s="522" t="s">
        <v>173</v>
      </c>
      <c r="D93" s="530">
        <v>404</v>
      </c>
      <c r="E93" s="532"/>
      <c r="F93" s="532"/>
      <c r="G93" s="532"/>
      <c r="H93" s="530">
        <v>61291912</v>
      </c>
      <c r="I93" s="575"/>
      <c r="J93" s="575">
        <v>157237.87</v>
      </c>
      <c r="K93" s="532"/>
      <c r="L93" s="531">
        <v>157237.87</v>
      </c>
      <c r="M93" s="531">
        <v>1372.4</v>
      </c>
      <c r="N93" s="532"/>
      <c r="O93" s="532"/>
      <c r="P93" s="575">
        <v>149464.79999999999</v>
      </c>
      <c r="Q93" s="532"/>
      <c r="R93" s="575"/>
      <c r="S93" s="531">
        <v>11521.49</v>
      </c>
    </row>
    <row r="94" spans="1:22" s="585" customFormat="1" ht="12" hidden="1" thickBot="1">
      <c r="A94" s="522" t="s">
        <v>195</v>
      </c>
      <c r="B94" s="522" t="s">
        <v>1360</v>
      </c>
      <c r="C94" s="522" t="s">
        <v>174</v>
      </c>
      <c r="D94" s="524">
        <v>155</v>
      </c>
      <c r="E94" s="526"/>
      <c r="F94" s="526"/>
      <c r="G94" s="526"/>
      <c r="H94" s="524">
        <v>101888912</v>
      </c>
      <c r="I94" s="568">
        <v>260770.9</v>
      </c>
      <c r="J94" s="568">
        <v>248074.8</v>
      </c>
      <c r="K94" s="568">
        <v>243650.7</v>
      </c>
      <c r="L94" s="526"/>
      <c r="M94" s="526"/>
      <c r="N94" s="526"/>
      <c r="O94" s="568">
        <v>248542.1</v>
      </c>
      <c r="P94" s="568">
        <v>245818.7</v>
      </c>
      <c r="Q94" s="568">
        <v>241368.2</v>
      </c>
      <c r="R94" s="526"/>
      <c r="S94" s="526"/>
    </row>
    <row r="95" spans="1:22" s="585" customFormat="1" ht="12" hidden="1" thickBot="1">
      <c r="A95" s="522" t="s">
        <v>195</v>
      </c>
      <c r="B95" s="522" t="s">
        <v>1360</v>
      </c>
      <c r="C95" s="522" t="s">
        <v>175</v>
      </c>
      <c r="D95" s="530">
        <v>405</v>
      </c>
      <c r="E95" s="532"/>
      <c r="F95" s="532"/>
      <c r="G95" s="532"/>
      <c r="H95" s="530">
        <v>95043163</v>
      </c>
      <c r="I95" s="575">
        <v>236870.2</v>
      </c>
      <c r="J95" s="575">
        <v>212734.75</v>
      </c>
      <c r="K95" s="575">
        <v>208312.95</v>
      </c>
      <c r="L95" s="532"/>
      <c r="M95" s="532"/>
      <c r="N95" s="575">
        <v>19207</v>
      </c>
      <c r="O95" s="575">
        <v>212393.2</v>
      </c>
      <c r="P95" s="575">
        <v>211134</v>
      </c>
      <c r="Q95" s="575">
        <v>206507.6</v>
      </c>
      <c r="R95" s="532"/>
      <c r="S95" s="531">
        <v>57259.56</v>
      </c>
    </row>
    <row r="96" spans="1:22" s="585" customFormat="1" ht="12" hidden="1" thickBot="1">
      <c r="A96" s="522" t="s">
        <v>195</v>
      </c>
      <c r="B96" s="522" t="s">
        <v>1360</v>
      </c>
      <c r="C96" s="522" t="s">
        <v>177</v>
      </c>
      <c r="D96" s="524">
        <v>64365</v>
      </c>
      <c r="E96" s="526"/>
      <c r="F96" s="526"/>
      <c r="G96" s="526"/>
      <c r="H96" s="524">
        <v>79298124</v>
      </c>
      <c r="I96" s="526"/>
      <c r="J96" s="526"/>
      <c r="K96" s="526"/>
      <c r="L96" s="526"/>
      <c r="M96" s="526"/>
      <c r="N96" s="526"/>
      <c r="O96" s="568">
        <v>128514.8</v>
      </c>
      <c r="P96" s="568"/>
      <c r="Q96" s="526"/>
      <c r="R96" s="568">
        <v>128514.8</v>
      </c>
      <c r="S96" s="526"/>
    </row>
    <row r="97" spans="1:19" s="585" customFormat="1" ht="12" hidden="1" thickBot="1">
      <c r="A97" s="522" t="s">
        <v>195</v>
      </c>
      <c r="B97" s="522" t="s">
        <v>1360</v>
      </c>
      <c r="C97" s="522" t="s">
        <v>178</v>
      </c>
      <c r="D97" s="530">
        <v>61</v>
      </c>
      <c r="E97" s="532"/>
      <c r="F97" s="532"/>
      <c r="G97" s="532"/>
      <c r="H97" s="530">
        <v>10785</v>
      </c>
      <c r="I97" s="532"/>
      <c r="J97" s="532"/>
      <c r="K97" s="532"/>
      <c r="L97" s="532"/>
      <c r="M97" s="532"/>
      <c r="N97" s="532"/>
      <c r="O97" s="532"/>
      <c r="P97" s="532"/>
      <c r="Q97" s="532"/>
      <c r="R97" s="532"/>
      <c r="S97" s="532"/>
    </row>
    <row r="98" spans="1:19" s="585" customFormat="1" ht="12" hidden="1" thickBot="1">
      <c r="A98" s="522" t="s">
        <v>195</v>
      </c>
      <c r="B98" s="522" t="s">
        <v>1360</v>
      </c>
      <c r="C98" s="522" t="s">
        <v>179</v>
      </c>
      <c r="D98" s="524">
        <v>17212</v>
      </c>
      <c r="E98" s="526"/>
      <c r="F98" s="526"/>
      <c r="G98" s="526"/>
      <c r="H98" s="524">
        <v>90277924</v>
      </c>
      <c r="I98" s="526"/>
      <c r="J98" s="526"/>
      <c r="K98" s="526"/>
      <c r="L98" s="526"/>
      <c r="M98" s="526"/>
      <c r="N98" s="526"/>
      <c r="O98" s="568">
        <v>356008.9</v>
      </c>
      <c r="P98" s="568"/>
      <c r="Q98" s="526"/>
      <c r="R98" s="568">
        <v>356008.9</v>
      </c>
      <c r="S98" s="526"/>
    </row>
    <row r="99" spans="1:19" s="585" customFormat="1" ht="12" hidden="1" thickBot="1">
      <c r="A99" s="522" t="s">
        <v>195</v>
      </c>
      <c r="B99" s="522" t="s">
        <v>1360</v>
      </c>
      <c r="C99" s="522" t="s">
        <v>180</v>
      </c>
      <c r="D99" s="530">
        <v>335</v>
      </c>
      <c r="E99" s="532"/>
      <c r="F99" s="532"/>
      <c r="G99" s="532"/>
      <c r="H99" s="530">
        <v>1056710</v>
      </c>
      <c r="I99" s="532"/>
      <c r="J99" s="532"/>
      <c r="K99" s="532"/>
      <c r="L99" s="532"/>
      <c r="M99" s="532"/>
      <c r="N99" s="532"/>
      <c r="O99" s="575">
        <v>2373.4</v>
      </c>
      <c r="P99" s="575"/>
      <c r="Q99" s="532"/>
      <c r="R99" s="575">
        <v>2373.4</v>
      </c>
      <c r="S99" s="532"/>
    </row>
    <row r="100" spans="1:19" s="585" customFormat="1" ht="12" hidden="1" thickBot="1">
      <c r="A100" s="522" t="s">
        <v>195</v>
      </c>
      <c r="B100" s="522" t="s">
        <v>1360</v>
      </c>
      <c r="C100" s="522" t="s">
        <v>190</v>
      </c>
      <c r="D100" s="524">
        <v>229375</v>
      </c>
      <c r="E100" s="526"/>
      <c r="F100" s="526"/>
      <c r="G100" s="526"/>
      <c r="H100" s="524">
        <v>267454258</v>
      </c>
      <c r="I100" s="526"/>
      <c r="J100" s="526"/>
      <c r="K100" s="526"/>
      <c r="L100" s="526"/>
      <c r="M100" s="526"/>
      <c r="N100" s="526"/>
      <c r="O100" s="526"/>
      <c r="P100" s="526"/>
      <c r="Q100" s="526"/>
      <c r="R100" s="526"/>
      <c r="S100" s="526"/>
    </row>
    <row r="101" spans="1:19" s="585" customFormat="1" ht="12" hidden="1" thickBot="1">
      <c r="A101" s="522" t="s">
        <v>195</v>
      </c>
      <c r="B101" s="522" t="s">
        <v>1360</v>
      </c>
      <c r="C101" s="522" t="s">
        <v>191</v>
      </c>
      <c r="D101" s="530">
        <v>195391</v>
      </c>
      <c r="E101" s="532"/>
      <c r="F101" s="532"/>
      <c r="G101" s="532"/>
      <c r="H101" s="530">
        <v>389789599</v>
      </c>
      <c r="I101" s="532"/>
      <c r="J101" s="532"/>
      <c r="K101" s="532"/>
      <c r="L101" s="532"/>
      <c r="M101" s="532"/>
      <c r="N101" s="532"/>
      <c r="O101" s="532"/>
      <c r="P101" s="532"/>
      <c r="Q101" s="532"/>
      <c r="R101" s="532"/>
      <c r="S101" s="532"/>
    </row>
    <row r="102" spans="1:19" s="585" customFormat="1" ht="12" hidden="1" thickBot="1">
      <c r="A102" s="522" t="s">
        <v>195</v>
      </c>
      <c r="B102" s="522" t="s">
        <v>1360</v>
      </c>
      <c r="C102" s="522" t="s">
        <v>192</v>
      </c>
      <c r="D102" s="524">
        <v>247</v>
      </c>
      <c r="E102" s="526"/>
      <c r="F102" s="526"/>
      <c r="G102" s="526"/>
      <c r="H102" s="524">
        <v>547519</v>
      </c>
      <c r="I102" s="526"/>
      <c r="J102" s="526"/>
      <c r="K102" s="526"/>
      <c r="L102" s="526"/>
      <c r="M102" s="526"/>
      <c r="N102" s="526"/>
      <c r="O102" s="526"/>
      <c r="P102" s="526"/>
      <c r="Q102" s="526"/>
      <c r="R102" s="526"/>
      <c r="S102" s="526"/>
    </row>
    <row r="103" spans="1:19" s="585" customFormat="1" ht="12" hidden="1" thickBot="1">
      <c r="A103" s="522" t="s">
        <v>195</v>
      </c>
      <c r="B103" s="522" t="s">
        <v>1360</v>
      </c>
      <c r="C103" s="522" t="s">
        <v>193</v>
      </c>
      <c r="D103" s="530">
        <v>49</v>
      </c>
      <c r="E103" s="532"/>
      <c r="F103" s="532"/>
      <c r="G103" s="532"/>
      <c r="H103" s="530">
        <v>132111</v>
      </c>
      <c r="I103" s="532"/>
      <c r="J103" s="532"/>
      <c r="K103" s="532"/>
      <c r="L103" s="532"/>
      <c r="M103" s="532"/>
      <c r="N103" s="532"/>
      <c r="O103" s="532"/>
      <c r="P103" s="532"/>
      <c r="Q103" s="532"/>
      <c r="R103" s="532"/>
      <c r="S103" s="532"/>
    </row>
    <row r="104" spans="1:19" s="585" customFormat="1" ht="12" hidden="1" thickBot="1">
      <c r="A104" s="522" t="s">
        <v>195</v>
      </c>
      <c r="B104" s="522" t="s">
        <v>1360</v>
      </c>
      <c r="C104" s="522" t="s">
        <v>194</v>
      </c>
      <c r="D104" s="524">
        <v>52</v>
      </c>
      <c r="E104" s="526"/>
      <c r="F104" s="526"/>
      <c r="G104" s="526"/>
      <c r="H104" s="524">
        <v>123913</v>
      </c>
      <c r="I104" s="526"/>
      <c r="J104" s="526"/>
      <c r="K104" s="526"/>
      <c r="L104" s="526"/>
      <c r="M104" s="526"/>
      <c r="N104" s="526"/>
      <c r="O104" s="526"/>
      <c r="P104" s="526"/>
      <c r="Q104" s="526"/>
      <c r="R104" s="526"/>
      <c r="S104" s="526"/>
    </row>
    <row r="105" spans="1:19" s="585" customFormat="1" ht="12" hidden="1" thickBot="1">
      <c r="A105" s="522" t="s">
        <v>195</v>
      </c>
      <c r="B105" s="522" t="s">
        <v>1360</v>
      </c>
      <c r="C105" s="522" t="s">
        <v>440</v>
      </c>
      <c r="D105" s="530">
        <v>3</v>
      </c>
      <c r="E105" s="532"/>
      <c r="F105" s="532"/>
      <c r="G105" s="532"/>
      <c r="H105" s="530">
        <v>9249</v>
      </c>
      <c r="I105" s="532"/>
      <c r="J105" s="532"/>
      <c r="K105" s="532"/>
      <c r="L105" s="532"/>
      <c r="M105" s="532"/>
      <c r="N105" s="532"/>
      <c r="O105" s="532"/>
      <c r="P105" s="532"/>
      <c r="Q105" s="532"/>
      <c r="R105" s="532"/>
      <c r="S105" s="532"/>
    </row>
    <row r="106" spans="1:19" s="585" customFormat="1" ht="12" hidden="1" thickBot="1">
      <c r="A106" s="522" t="s">
        <v>195</v>
      </c>
      <c r="B106" s="522" t="s">
        <v>1360</v>
      </c>
      <c r="C106" s="522" t="s">
        <v>441</v>
      </c>
      <c r="D106" s="524">
        <v>1</v>
      </c>
      <c r="E106" s="526"/>
      <c r="F106" s="526"/>
      <c r="G106" s="526"/>
      <c r="H106" s="524">
        <v>1008</v>
      </c>
      <c r="I106" s="526"/>
      <c r="J106" s="526"/>
      <c r="K106" s="526"/>
      <c r="L106" s="526"/>
      <c r="M106" s="526"/>
      <c r="N106" s="526"/>
      <c r="O106" s="526"/>
      <c r="P106" s="526"/>
      <c r="Q106" s="526"/>
      <c r="R106" s="526"/>
      <c r="S106" s="526"/>
    </row>
    <row r="107" spans="1:19" s="585" customFormat="1" ht="12" hidden="1" thickBot="1">
      <c r="A107" s="522" t="s">
        <v>195</v>
      </c>
      <c r="B107" s="522" t="s">
        <v>1360</v>
      </c>
      <c r="C107" s="522" t="s">
        <v>185</v>
      </c>
      <c r="D107" s="530">
        <v>8</v>
      </c>
      <c r="E107" s="532"/>
      <c r="F107" s="532"/>
      <c r="G107" s="532"/>
      <c r="H107" s="530">
        <v>13921</v>
      </c>
      <c r="I107" s="532"/>
      <c r="J107" s="532"/>
      <c r="K107" s="532"/>
      <c r="L107" s="532"/>
      <c r="M107" s="532"/>
      <c r="N107" s="532"/>
      <c r="O107" s="532"/>
      <c r="P107" s="532"/>
      <c r="Q107" s="532"/>
      <c r="R107" s="532"/>
      <c r="S107" s="532"/>
    </row>
    <row r="108" spans="1:19" s="585" customFormat="1" ht="12" hidden="1" thickBot="1">
      <c r="A108" s="522" t="s">
        <v>195</v>
      </c>
      <c r="B108" s="522" t="s">
        <v>1360</v>
      </c>
      <c r="C108" s="522" t="s">
        <v>189</v>
      </c>
      <c r="D108" s="524">
        <v>1</v>
      </c>
      <c r="E108" s="526"/>
      <c r="F108" s="526"/>
      <c r="G108" s="526"/>
      <c r="H108" s="524">
        <v>50976000</v>
      </c>
      <c r="I108" s="568">
        <v>186638.7</v>
      </c>
      <c r="J108" s="568">
        <v>186638.7</v>
      </c>
      <c r="K108" s="568">
        <v>77936.899999999994</v>
      </c>
      <c r="L108" s="526"/>
      <c r="M108" s="526"/>
      <c r="N108" s="526"/>
      <c r="O108" s="568">
        <v>186638.7</v>
      </c>
      <c r="P108" s="568">
        <v>186638.7</v>
      </c>
      <c r="Q108" s="568">
        <v>77936.899999999994</v>
      </c>
      <c r="R108" s="526"/>
      <c r="S108" s="526"/>
    </row>
    <row r="109" spans="1:19" s="585" customFormat="1" ht="12" hidden="1" thickBot="1">
      <c r="A109" s="522" t="s">
        <v>195</v>
      </c>
      <c r="B109" s="522" t="s">
        <v>1360</v>
      </c>
      <c r="C109" s="522" t="s">
        <v>233</v>
      </c>
      <c r="D109" s="530">
        <v>1</v>
      </c>
      <c r="E109" s="532"/>
      <c r="F109" s="532"/>
      <c r="G109" s="532"/>
      <c r="H109" s="530">
        <v>13174</v>
      </c>
      <c r="I109" s="532"/>
      <c r="J109" s="532"/>
      <c r="K109" s="532"/>
      <c r="L109" s="532"/>
      <c r="M109" s="532"/>
      <c r="N109" s="532"/>
      <c r="O109" s="575">
        <v>39.700000000000003</v>
      </c>
      <c r="P109" s="532"/>
      <c r="Q109" s="575"/>
      <c r="R109" s="575">
        <v>39.700000000000003</v>
      </c>
      <c r="S109" s="532"/>
    </row>
    <row r="110" spans="1:19" s="585" customFormat="1" ht="12" hidden="1" thickBot="1">
      <c r="A110" s="522" t="s">
        <v>195</v>
      </c>
      <c r="B110" s="522" t="s">
        <v>1360</v>
      </c>
      <c r="C110" s="522" t="s">
        <v>232</v>
      </c>
      <c r="D110" s="524">
        <v>1</v>
      </c>
      <c r="E110" s="526"/>
      <c r="F110" s="526"/>
      <c r="G110" s="526"/>
      <c r="H110" s="524">
        <v>3647</v>
      </c>
      <c r="I110" s="526"/>
      <c r="J110" s="526"/>
      <c r="K110" s="526"/>
      <c r="L110" s="526"/>
      <c r="M110" s="526"/>
      <c r="N110" s="526"/>
      <c r="O110" s="526"/>
      <c r="P110" s="526"/>
      <c r="Q110" s="526"/>
      <c r="R110" s="526"/>
      <c r="S110" s="526"/>
    </row>
    <row r="111" spans="1:19" s="585" customFormat="1" ht="12" thickBot="1">
      <c r="A111" s="522" t="s">
        <v>195</v>
      </c>
      <c r="B111" s="522" t="s">
        <v>1360</v>
      </c>
      <c r="C111" s="522" t="s">
        <v>184</v>
      </c>
      <c r="D111" s="530">
        <v>473</v>
      </c>
      <c r="E111" s="532"/>
      <c r="F111" s="532"/>
      <c r="G111" s="532"/>
      <c r="H111" s="530">
        <v>95222</v>
      </c>
      <c r="I111" s="532"/>
      <c r="J111" s="532"/>
      <c r="K111" s="532"/>
      <c r="L111" s="532"/>
      <c r="M111" s="532"/>
      <c r="N111" s="532"/>
      <c r="O111" s="575">
        <v>17.100000000000001</v>
      </c>
      <c r="P111" s="532"/>
      <c r="Q111" s="575"/>
      <c r="R111" s="575">
        <v>17.100000000000001</v>
      </c>
      <c r="S111" s="532"/>
    </row>
    <row r="112" spans="1:19" ht="12" hidden="1" thickBot="1">
      <c r="A112" s="843" t="s">
        <v>195</v>
      </c>
      <c r="B112" s="843" t="s">
        <v>1360</v>
      </c>
      <c r="C112" s="843" t="s">
        <v>187</v>
      </c>
      <c r="D112" s="855">
        <v>1</v>
      </c>
      <c r="E112" s="871"/>
      <c r="F112" s="871"/>
      <c r="G112" s="871"/>
      <c r="H112" s="871"/>
      <c r="I112" s="863"/>
      <c r="J112" s="863"/>
      <c r="K112" s="863"/>
      <c r="L112" s="863"/>
      <c r="M112" s="863"/>
      <c r="N112" s="863"/>
      <c r="O112" s="863"/>
      <c r="P112" s="863"/>
      <c r="Q112" s="863"/>
      <c r="R112" s="863"/>
      <c r="S112" s="863"/>
    </row>
    <row r="113" spans="1:47" ht="12" hidden="1" thickBot="1">
      <c r="A113" s="843" t="s">
        <v>195</v>
      </c>
      <c r="B113" s="843" t="s">
        <v>1360</v>
      </c>
      <c r="C113" s="843" t="s">
        <v>188</v>
      </c>
      <c r="D113" s="854">
        <v>1</v>
      </c>
      <c r="E113" s="870"/>
      <c r="F113" s="870"/>
      <c r="G113" s="870"/>
      <c r="H113" s="870"/>
      <c r="I113" s="862"/>
      <c r="J113" s="862"/>
      <c r="K113" s="862"/>
      <c r="L113" s="862"/>
      <c r="M113" s="862"/>
      <c r="N113" s="862"/>
      <c r="O113" s="862"/>
      <c r="P113" s="862"/>
      <c r="Q113" s="862"/>
      <c r="R113" s="862"/>
      <c r="S113" s="862"/>
    </row>
    <row r="114" spans="1:47" ht="12" hidden="1" thickBot="1">
      <c r="A114" s="843" t="s">
        <v>195</v>
      </c>
      <c r="B114" s="843" t="s">
        <v>1360</v>
      </c>
      <c r="C114" s="843" t="s">
        <v>1358</v>
      </c>
      <c r="D114" s="855">
        <v>1</v>
      </c>
      <c r="E114" s="871"/>
      <c r="F114" s="871"/>
      <c r="G114" s="871"/>
      <c r="H114" s="871"/>
      <c r="I114" s="863"/>
      <c r="J114" s="863"/>
      <c r="K114" s="863"/>
      <c r="L114" s="863"/>
      <c r="M114" s="863"/>
      <c r="N114" s="863"/>
      <c r="O114" s="863"/>
      <c r="P114" s="863"/>
      <c r="Q114" s="863"/>
      <c r="R114" s="863"/>
      <c r="S114" s="863"/>
    </row>
    <row r="115" spans="1:47" ht="12" hidden="1" thickBot="1">
      <c r="A115" s="843" t="s">
        <v>195</v>
      </c>
      <c r="B115" s="843" t="s">
        <v>1360</v>
      </c>
      <c r="C115" s="843" t="s">
        <v>1045</v>
      </c>
      <c r="D115" s="854">
        <v>1</v>
      </c>
      <c r="E115" s="870"/>
      <c r="F115" s="870"/>
      <c r="G115" s="870"/>
      <c r="H115" s="870"/>
      <c r="I115" s="862"/>
      <c r="J115" s="862"/>
      <c r="K115" s="862"/>
      <c r="L115" s="862"/>
      <c r="M115" s="862"/>
      <c r="N115" s="862"/>
      <c r="O115" s="862"/>
      <c r="P115" s="862"/>
      <c r="Q115" s="862"/>
      <c r="R115" s="862"/>
      <c r="S115" s="862"/>
      <c r="AA115" s="846"/>
      <c r="AB115" s="846"/>
      <c r="AC115" s="846"/>
      <c r="AD115" s="846"/>
      <c r="AE115" s="846"/>
      <c r="AF115" s="846"/>
      <c r="AG115" s="846"/>
      <c r="AH115" s="846"/>
      <c r="AI115" s="846"/>
      <c r="AJ115" s="846"/>
      <c r="AK115" s="846"/>
      <c r="AN115" s="846"/>
      <c r="AO115" s="846"/>
      <c r="AR115" s="846"/>
      <c r="AS115" s="846"/>
      <c r="AT115" s="846"/>
      <c r="AU115" s="846"/>
    </row>
    <row r="116" spans="1:47" s="585" customFormat="1" ht="12" hidden="1" thickBot="1">
      <c r="A116" s="522" t="s">
        <v>195</v>
      </c>
      <c r="B116" s="522" t="s">
        <v>1360</v>
      </c>
      <c r="C116" s="522" t="s">
        <v>186</v>
      </c>
      <c r="D116" s="524">
        <v>2</v>
      </c>
      <c r="E116" s="526"/>
      <c r="F116" s="526"/>
      <c r="G116" s="526"/>
      <c r="H116" s="524">
        <v>13200</v>
      </c>
      <c r="I116" s="526"/>
      <c r="J116" s="526"/>
      <c r="K116" s="526"/>
      <c r="L116" s="526"/>
      <c r="M116" s="526"/>
      <c r="N116" s="526"/>
      <c r="O116" s="568">
        <v>72.900000000000006</v>
      </c>
      <c r="P116" s="568"/>
      <c r="Q116" s="568"/>
      <c r="R116" s="568">
        <v>72.900000000000006</v>
      </c>
      <c r="S116" s="526"/>
      <c r="AA116" s="569"/>
      <c r="AB116" s="569"/>
      <c r="AC116" s="569"/>
      <c r="AD116" s="569"/>
      <c r="AE116" s="569"/>
      <c r="AF116" s="569"/>
      <c r="AG116" s="569"/>
      <c r="AH116" s="569"/>
      <c r="AI116" s="569"/>
      <c r="AJ116" s="569"/>
      <c r="AK116" s="569"/>
      <c r="AN116" s="569"/>
      <c r="AO116" s="569"/>
      <c r="AR116" s="569"/>
      <c r="AS116" s="569"/>
      <c r="AT116" s="569"/>
      <c r="AU116" s="569"/>
    </row>
    <row r="117" spans="1:47" s="585" customFormat="1" ht="12" hidden="1" thickBot="1">
      <c r="A117" s="522" t="s">
        <v>195</v>
      </c>
      <c r="B117" s="522" t="s">
        <v>1360</v>
      </c>
      <c r="C117" s="522" t="s">
        <v>176</v>
      </c>
      <c r="D117" s="530">
        <v>1</v>
      </c>
      <c r="E117" s="532"/>
      <c r="F117" s="532"/>
      <c r="G117" s="532"/>
      <c r="H117" s="530">
        <v>30480</v>
      </c>
      <c r="I117" s="575"/>
      <c r="J117" s="575"/>
      <c r="K117" s="532"/>
      <c r="L117" s="531">
        <v>180.1</v>
      </c>
      <c r="M117" s="531">
        <v>0</v>
      </c>
      <c r="N117" s="532"/>
      <c r="O117" s="575"/>
      <c r="P117" s="575">
        <v>180.1</v>
      </c>
      <c r="Q117" s="575"/>
      <c r="R117" s="575">
        <v>180.1</v>
      </c>
      <c r="S117" s="531">
        <v>0</v>
      </c>
      <c r="AA117" s="569"/>
      <c r="AB117" s="569"/>
      <c r="AC117" s="569"/>
      <c r="AD117" s="569"/>
      <c r="AE117" s="569"/>
      <c r="AF117" s="569"/>
      <c r="AG117" s="569"/>
      <c r="AH117" s="569"/>
      <c r="AI117" s="569"/>
      <c r="AJ117" s="569"/>
      <c r="AK117" s="569"/>
      <c r="AN117" s="569"/>
      <c r="AO117" s="569"/>
      <c r="AR117" s="569"/>
      <c r="AS117" s="569"/>
      <c r="AT117" s="569"/>
      <c r="AU117" s="569"/>
    </row>
    <row r="118" spans="1:47" s="585" customFormat="1" ht="12" hidden="1" thickBot="1">
      <c r="A118" s="522" t="s">
        <v>195</v>
      </c>
      <c r="B118" s="522" t="s">
        <v>1360</v>
      </c>
      <c r="C118" s="522" t="s">
        <v>182</v>
      </c>
      <c r="D118" s="524">
        <v>68</v>
      </c>
      <c r="E118" s="526"/>
      <c r="F118" s="526"/>
      <c r="G118" s="526"/>
      <c r="H118" s="524">
        <v>738803</v>
      </c>
      <c r="I118" s="526"/>
      <c r="J118" s="526"/>
      <c r="K118" s="526"/>
      <c r="L118" s="526"/>
      <c r="M118" s="526"/>
      <c r="N118" s="526"/>
      <c r="O118" s="568">
        <v>3330.6</v>
      </c>
      <c r="P118" s="568"/>
      <c r="Q118" s="568"/>
      <c r="R118" s="568">
        <v>3330.6</v>
      </c>
      <c r="S118" s="526"/>
      <c r="AA118" s="569"/>
      <c r="AB118" s="569"/>
      <c r="AC118" s="569"/>
      <c r="AD118" s="569"/>
      <c r="AE118" s="569"/>
      <c r="AF118" s="569"/>
      <c r="AG118" s="569"/>
      <c r="AH118" s="569"/>
      <c r="AI118" s="569"/>
      <c r="AJ118" s="569"/>
      <c r="AK118" s="569"/>
      <c r="AN118" s="569"/>
      <c r="AO118" s="569"/>
      <c r="AR118" s="569"/>
      <c r="AS118" s="569"/>
      <c r="AT118" s="569"/>
      <c r="AU118" s="569"/>
    </row>
    <row r="119" spans="1:47" s="585" customFormat="1" ht="12" hidden="1" thickBot="1">
      <c r="A119" s="522" t="s">
        <v>195</v>
      </c>
      <c r="B119" s="522" t="s">
        <v>1360</v>
      </c>
      <c r="C119" s="522" t="s">
        <v>477</v>
      </c>
      <c r="D119" s="530">
        <v>5</v>
      </c>
      <c r="E119" s="531">
        <v>5181</v>
      </c>
      <c r="F119" s="531">
        <v>2142</v>
      </c>
      <c r="G119" s="531">
        <v>1288</v>
      </c>
      <c r="H119" s="530">
        <v>8611</v>
      </c>
      <c r="I119" s="532"/>
      <c r="J119" s="532"/>
      <c r="K119" s="532"/>
      <c r="L119" s="532"/>
      <c r="M119" s="532"/>
      <c r="N119" s="532"/>
      <c r="O119" s="532"/>
      <c r="P119" s="532"/>
      <c r="Q119" s="532"/>
      <c r="R119" s="532"/>
      <c r="S119" s="532"/>
      <c r="AA119" s="569"/>
      <c r="AB119" s="569"/>
      <c r="AC119" s="569"/>
      <c r="AD119" s="569"/>
      <c r="AE119" s="569"/>
      <c r="AF119" s="569"/>
      <c r="AG119" s="569"/>
      <c r="AH119" s="569"/>
      <c r="AI119" s="569"/>
      <c r="AJ119" s="569"/>
      <c r="AK119" s="569"/>
      <c r="AN119" s="569"/>
      <c r="AO119" s="569"/>
      <c r="AR119" s="569"/>
      <c r="AS119" s="569"/>
      <c r="AT119" s="569"/>
      <c r="AU119" s="569"/>
    </row>
    <row r="120" spans="1:47" s="585" customFormat="1" ht="12" hidden="1" thickBot="1">
      <c r="A120" s="522" t="s">
        <v>195</v>
      </c>
      <c r="B120" s="522" t="s">
        <v>1360</v>
      </c>
      <c r="C120" s="522" t="s">
        <v>181</v>
      </c>
      <c r="D120" s="524">
        <v>5</v>
      </c>
      <c r="E120" s="526"/>
      <c r="F120" s="526"/>
      <c r="G120" s="526"/>
      <c r="H120" s="524">
        <v>1002360</v>
      </c>
      <c r="I120" s="526"/>
      <c r="J120" s="526"/>
      <c r="K120" s="526"/>
      <c r="L120" s="526"/>
      <c r="M120" s="526"/>
      <c r="N120" s="526"/>
      <c r="O120" s="568">
        <v>19.2</v>
      </c>
      <c r="P120" s="568"/>
      <c r="Q120" s="568"/>
      <c r="R120" s="568">
        <v>19.2</v>
      </c>
      <c r="S120" s="526"/>
      <c r="AA120" s="569"/>
      <c r="AB120" s="569"/>
      <c r="AC120" s="569"/>
      <c r="AD120" s="569"/>
      <c r="AE120" s="569"/>
      <c r="AF120" s="569"/>
      <c r="AG120" s="569"/>
      <c r="AH120" s="569"/>
      <c r="AI120" s="569"/>
      <c r="AJ120" s="569"/>
      <c r="AK120" s="569"/>
      <c r="AN120" s="569"/>
      <c r="AO120" s="569"/>
      <c r="AR120" s="569"/>
      <c r="AS120" s="569"/>
      <c r="AT120" s="569"/>
      <c r="AU120" s="569"/>
    </row>
    <row r="121" spans="1:47" s="585" customFormat="1" ht="12" hidden="1" thickBot="1">
      <c r="A121" s="522" t="s">
        <v>195</v>
      </c>
      <c r="B121" s="522" t="s">
        <v>1360</v>
      </c>
      <c r="C121" s="522" t="s">
        <v>183</v>
      </c>
      <c r="D121" s="530">
        <v>5</v>
      </c>
      <c r="E121" s="532"/>
      <c r="F121" s="532"/>
      <c r="G121" s="532"/>
      <c r="H121" s="530">
        <v>386800</v>
      </c>
      <c r="I121" s="532"/>
      <c r="J121" s="532"/>
      <c r="K121" s="532"/>
      <c r="L121" s="532"/>
      <c r="M121" s="532"/>
      <c r="N121" s="532"/>
      <c r="O121" s="575">
        <v>1539.7</v>
      </c>
      <c r="P121" s="575"/>
      <c r="Q121" s="575"/>
      <c r="R121" s="575">
        <v>1539.7</v>
      </c>
      <c r="S121" s="532"/>
      <c r="AA121" s="569"/>
      <c r="AB121" s="569"/>
      <c r="AC121" s="569"/>
      <c r="AD121" s="569"/>
      <c r="AE121" s="569"/>
      <c r="AF121" s="569"/>
      <c r="AG121" s="569"/>
      <c r="AH121" s="569"/>
      <c r="AI121" s="569"/>
      <c r="AJ121" s="569"/>
      <c r="AK121" s="569"/>
      <c r="AN121" s="569"/>
      <c r="AO121" s="569"/>
      <c r="AR121" s="569"/>
      <c r="AS121" s="569"/>
      <c r="AT121" s="569"/>
      <c r="AU121" s="569"/>
    </row>
    <row r="122" spans="1:47" s="585" customFormat="1" ht="12" hidden="1" thickBot="1">
      <c r="A122" s="522" t="s">
        <v>195</v>
      </c>
      <c r="B122" s="522" t="s">
        <v>1360</v>
      </c>
      <c r="C122" s="522" t="s">
        <v>652</v>
      </c>
      <c r="D122" s="524">
        <v>272</v>
      </c>
      <c r="E122" s="526"/>
      <c r="F122" s="526"/>
      <c r="G122" s="526"/>
      <c r="H122" s="524">
        <v>14416</v>
      </c>
      <c r="I122" s="526"/>
      <c r="J122" s="526"/>
      <c r="K122" s="526"/>
      <c r="L122" s="526"/>
      <c r="M122" s="526"/>
      <c r="N122" s="526"/>
      <c r="O122" s="526"/>
      <c r="P122" s="526"/>
      <c r="Q122" s="526"/>
      <c r="R122" s="526"/>
      <c r="S122" s="526"/>
      <c r="AA122" s="569"/>
      <c r="AB122" s="569"/>
      <c r="AC122" s="569"/>
      <c r="AD122" s="569"/>
      <c r="AE122" s="569"/>
      <c r="AF122" s="569"/>
      <c r="AG122" s="569"/>
      <c r="AH122" s="569"/>
      <c r="AI122" s="569"/>
      <c r="AJ122" s="569"/>
      <c r="AK122" s="569"/>
      <c r="AN122" s="569"/>
      <c r="AO122" s="569"/>
      <c r="AR122" s="569"/>
      <c r="AS122" s="569"/>
      <c r="AT122" s="569"/>
      <c r="AU122" s="569"/>
    </row>
    <row r="123" spans="1:47" s="585" customFormat="1" ht="12" hidden="1" thickBot="1">
      <c r="A123" s="522" t="s">
        <v>195</v>
      </c>
      <c r="B123" s="522" t="s">
        <v>1360</v>
      </c>
      <c r="C123" s="522" t="s">
        <v>720</v>
      </c>
      <c r="D123" s="530">
        <v>96</v>
      </c>
      <c r="E123" s="532"/>
      <c r="F123" s="532"/>
      <c r="G123" s="532"/>
      <c r="H123" s="530">
        <v>3073152</v>
      </c>
      <c r="I123" s="532"/>
      <c r="J123" s="532"/>
      <c r="K123" s="532"/>
      <c r="L123" s="532"/>
      <c r="M123" s="532"/>
      <c r="N123" s="532"/>
      <c r="O123" s="575">
        <v>13043.5</v>
      </c>
      <c r="P123" s="575"/>
      <c r="Q123" s="575"/>
      <c r="R123" s="575">
        <v>13043.5</v>
      </c>
      <c r="S123" s="532"/>
      <c r="AA123" s="569"/>
      <c r="AB123" s="569"/>
      <c r="AC123" s="569"/>
      <c r="AD123" s="569"/>
      <c r="AE123" s="569"/>
      <c r="AF123" s="569"/>
      <c r="AG123" s="569"/>
      <c r="AH123" s="569"/>
      <c r="AI123" s="569"/>
      <c r="AJ123" s="569"/>
      <c r="AK123" s="569"/>
      <c r="AN123" s="569"/>
      <c r="AO123" s="569"/>
      <c r="AR123" s="569"/>
      <c r="AS123" s="569"/>
      <c r="AT123" s="569"/>
      <c r="AU123" s="569"/>
    </row>
    <row r="124" spans="1:47" s="585" customFormat="1" ht="12" hidden="1" thickBot="1">
      <c r="A124" s="522" t="s">
        <v>195</v>
      </c>
      <c r="B124" s="522" t="s">
        <v>1360</v>
      </c>
      <c r="C124" s="522" t="s">
        <v>721</v>
      </c>
      <c r="D124" s="524">
        <v>19</v>
      </c>
      <c r="E124" s="526"/>
      <c r="F124" s="526"/>
      <c r="G124" s="526"/>
      <c r="H124" s="524">
        <v>65903</v>
      </c>
      <c r="I124" s="526"/>
      <c r="J124" s="526"/>
      <c r="K124" s="526"/>
      <c r="L124" s="526"/>
      <c r="M124" s="526"/>
      <c r="N124" s="526"/>
      <c r="O124" s="568">
        <v>699.5</v>
      </c>
      <c r="P124" s="568"/>
      <c r="Q124" s="568"/>
      <c r="R124" s="568">
        <v>699.5</v>
      </c>
      <c r="S124" s="526"/>
      <c r="AA124" s="569"/>
      <c r="AB124" s="569"/>
      <c r="AC124" s="569"/>
      <c r="AD124" s="569"/>
      <c r="AE124" s="569"/>
      <c r="AF124" s="569"/>
      <c r="AG124" s="569"/>
      <c r="AH124" s="569"/>
      <c r="AI124" s="569"/>
      <c r="AJ124" s="569"/>
      <c r="AK124" s="569"/>
      <c r="AN124" s="569"/>
      <c r="AO124" s="569"/>
      <c r="AR124" s="569"/>
      <c r="AS124" s="569"/>
      <c r="AT124" s="569"/>
      <c r="AU124" s="569"/>
    </row>
    <row r="125" spans="1:47" s="585" customFormat="1" ht="12" hidden="1" thickBot="1">
      <c r="A125" s="522" t="s">
        <v>195</v>
      </c>
      <c r="B125" s="522" t="s">
        <v>1360</v>
      </c>
      <c r="C125" s="522" t="s">
        <v>722</v>
      </c>
      <c r="D125" s="530">
        <v>100</v>
      </c>
      <c r="E125" s="532"/>
      <c r="F125" s="532"/>
      <c r="G125" s="532"/>
      <c r="H125" s="530">
        <v>10563612</v>
      </c>
      <c r="I125" s="532"/>
      <c r="J125" s="532"/>
      <c r="K125" s="532"/>
      <c r="L125" s="532"/>
      <c r="M125" s="532"/>
      <c r="N125" s="532"/>
      <c r="O125" s="575">
        <v>39654</v>
      </c>
      <c r="P125" s="575"/>
      <c r="Q125" s="575"/>
      <c r="R125" s="575">
        <v>39654</v>
      </c>
      <c r="S125" s="532"/>
      <c r="AA125" s="569"/>
      <c r="AB125" s="569"/>
      <c r="AC125" s="569"/>
      <c r="AD125" s="569"/>
      <c r="AE125" s="569"/>
      <c r="AF125" s="569"/>
      <c r="AG125" s="569"/>
      <c r="AH125" s="569"/>
      <c r="AI125" s="569"/>
      <c r="AJ125" s="569"/>
      <c r="AK125" s="569"/>
      <c r="AN125" s="569"/>
      <c r="AO125" s="569"/>
      <c r="AR125" s="569"/>
      <c r="AS125" s="569"/>
      <c r="AT125" s="569"/>
      <c r="AU125" s="569"/>
    </row>
    <row r="126" spans="1:47" s="585" customFormat="1" ht="12" hidden="1" thickBot="1">
      <c r="A126" s="522" t="s">
        <v>195</v>
      </c>
      <c r="B126" s="522" t="s">
        <v>1360</v>
      </c>
      <c r="C126" s="582" t="s">
        <v>9</v>
      </c>
      <c r="D126" s="539">
        <v>514333</v>
      </c>
      <c r="E126" s="540">
        <v>5181</v>
      </c>
      <c r="F126" s="540">
        <v>2142</v>
      </c>
      <c r="G126" s="540">
        <v>1288</v>
      </c>
      <c r="H126" s="539">
        <v>1697619756</v>
      </c>
      <c r="I126" s="581">
        <v>2166401.0499999998</v>
      </c>
      <c r="J126" s="581">
        <v>1408499.45</v>
      </c>
      <c r="K126" s="581">
        <v>1279953.6499999999</v>
      </c>
      <c r="L126" s="540">
        <v>677626.15</v>
      </c>
      <c r="M126" s="540">
        <v>1831.1</v>
      </c>
      <c r="N126" s="581">
        <v>19207</v>
      </c>
      <c r="O126" s="581">
        <v>1411294.3</v>
      </c>
      <c r="P126" s="581">
        <v>1399052.5999999999</v>
      </c>
      <c r="Q126" s="581">
        <v>1328031.5</v>
      </c>
      <c r="R126" s="581"/>
      <c r="S126" s="540">
        <v>73927.209999999992</v>
      </c>
      <c r="AA126" s="569"/>
      <c r="AB126" s="569"/>
      <c r="AC126" s="569"/>
      <c r="AD126" s="569"/>
      <c r="AE126" s="569"/>
      <c r="AF126" s="569"/>
      <c r="AG126" s="569"/>
      <c r="AH126" s="569"/>
      <c r="AI126" s="569"/>
      <c r="AJ126" s="569"/>
      <c r="AK126" s="569"/>
      <c r="AN126" s="569"/>
      <c r="AO126" s="569"/>
      <c r="AR126" s="569"/>
      <c r="AS126" s="569"/>
      <c r="AT126" s="569"/>
      <c r="AU126" s="569"/>
    </row>
    <row r="127" spans="1:47" s="585" customFormat="1" ht="12" hidden="1" thickBot="1">
      <c r="A127" s="549"/>
      <c r="B127" s="550"/>
      <c r="C127" s="541"/>
      <c r="D127" s="522" t="s">
        <v>1</v>
      </c>
      <c r="E127" s="522" t="s">
        <v>677</v>
      </c>
      <c r="F127" s="522" t="s">
        <v>678</v>
      </c>
      <c r="G127" s="522" t="s">
        <v>679</v>
      </c>
      <c r="H127" s="522" t="s">
        <v>2</v>
      </c>
      <c r="I127" s="522" t="s">
        <v>487</v>
      </c>
      <c r="J127" s="522" t="s">
        <v>488</v>
      </c>
      <c r="K127" s="522" t="s">
        <v>489</v>
      </c>
      <c r="L127" s="522" t="s">
        <v>1264</v>
      </c>
      <c r="M127" s="522" t="s">
        <v>1265</v>
      </c>
      <c r="N127" s="522" t="s">
        <v>1055</v>
      </c>
      <c r="O127" s="522" t="s">
        <v>1266</v>
      </c>
      <c r="P127" s="522" t="s">
        <v>1267</v>
      </c>
      <c r="Q127" s="522" t="s">
        <v>1268</v>
      </c>
      <c r="R127" s="522" t="s">
        <v>1269</v>
      </c>
      <c r="S127" s="522" t="s">
        <v>4</v>
      </c>
      <c r="AR127" s="569"/>
      <c r="AS127" s="569"/>
      <c r="AT127" s="569"/>
      <c r="AU127" s="569"/>
    </row>
    <row r="128" spans="1:47" s="585" customFormat="1" ht="12" hidden="1" thickBot="1">
      <c r="A128" s="522" t="s">
        <v>75</v>
      </c>
      <c r="B128" s="522" t="s">
        <v>0</v>
      </c>
      <c r="C128" s="522" t="s">
        <v>6</v>
      </c>
      <c r="D128" s="541"/>
      <c r="E128" s="541" t="s">
        <v>7</v>
      </c>
      <c r="F128" s="541" t="s">
        <v>7</v>
      </c>
      <c r="G128" s="541" t="s">
        <v>7</v>
      </c>
      <c r="H128" s="541" t="s">
        <v>7</v>
      </c>
      <c r="I128" s="541"/>
      <c r="J128" s="541"/>
      <c r="K128" s="541"/>
      <c r="L128" s="541"/>
      <c r="M128" s="541"/>
      <c r="N128" s="541"/>
      <c r="O128" s="541"/>
      <c r="P128" s="541"/>
      <c r="Q128" s="541"/>
      <c r="R128" s="541"/>
      <c r="S128" s="541" t="s">
        <v>8</v>
      </c>
      <c r="AR128" s="569"/>
      <c r="AS128" s="569"/>
      <c r="AT128" s="569"/>
      <c r="AU128" s="569"/>
    </row>
    <row r="129" spans="1:47" s="585" customFormat="1" ht="12" hidden="1" thickBot="1">
      <c r="A129" s="522" t="s">
        <v>195</v>
      </c>
      <c r="B129" s="522" t="s">
        <v>1361</v>
      </c>
      <c r="C129" s="522" t="s">
        <v>168</v>
      </c>
      <c r="D129" s="524">
        <v>32</v>
      </c>
      <c r="E129" s="526"/>
      <c r="F129" s="526"/>
      <c r="G129" s="526"/>
      <c r="H129" s="524">
        <v>136741819</v>
      </c>
      <c r="I129" s="568">
        <v>308148.40000000002</v>
      </c>
      <c r="J129" s="568">
        <v>298415.5</v>
      </c>
      <c r="K129" s="568">
        <v>284807.40000000002</v>
      </c>
      <c r="L129" s="526"/>
      <c r="M129" s="526"/>
      <c r="N129" s="526"/>
      <c r="O129" s="568">
        <v>302268.59999999998</v>
      </c>
      <c r="P129" s="568">
        <v>297179.59999999998</v>
      </c>
      <c r="Q129" s="568">
        <v>283968.3</v>
      </c>
      <c r="R129" s="526"/>
      <c r="S129" s="526"/>
      <c r="AR129" s="569"/>
      <c r="AS129" s="569"/>
      <c r="AT129" s="569"/>
      <c r="AU129" s="569"/>
    </row>
    <row r="130" spans="1:47" s="585" customFormat="1" ht="12" hidden="1" thickBot="1">
      <c r="A130" s="522" t="s">
        <v>195</v>
      </c>
      <c r="B130" s="522" t="s">
        <v>1361</v>
      </c>
      <c r="C130" s="522" t="s">
        <v>169</v>
      </c>
      <c r="D130" s="530">
        <v>166</v>
      </c>
      <c r="E130" s="532"/>
      <c r="F130" s="532"/>
      <c r="G130" s="532"/>
      <c r="H130" s="530">
        <v>3934684</v>
      </c>
      <c r="I130" s="575"/>
      <c r="J130" s="575">
        <v>13321.35</v>
      </c>
      <c r="K130" s="532"/>
      <c r="L130" s="531">
        <v>13321.35</v>
      </c>
      <c r="M130" s="531">
        <v>0</v>
      </c>
      <c r="N130" s="532"/>
      <c r="O130" s="532"/>
      <c r="P130" s="575">
        <v>12153.9</v>
      </c>
      <c r="Q130" s="532"/>
      <c r="R130" s="575">
        <v>12153.9</v>
      </c>
      <c r="S130" s="531">
        <v>0</v>
      </c>
      <c r="AR130" s="569"/>
      <c r="AS130" s="569"/>
      <c r="AT130" s="569"/>
      <c r="AU130" s="569"/>
    </row>
    <row r="131" spans="1:47" s="585" customFormat="1" ht="12" hidden="1" thickBot="1">
      <c r="A131" s="522" t="s">
        <v>195</v>
      </c>
      <c r="B131" s="522" t="s">
        <v>1361</v>
      </c>
      <c r="C131" s="522" t="s">
        <v>170</v>
      </c>
      <c r="D131" s="524">
        <v>4849</v>
      </c>
      <c r="E131" s="526"/>
      <c r="F131" s="526"/>
      <c r="G131" s="526"/>
      <c r="H131" s="524">
        <v>124118359</v>
      </c>
      <c r="I131" s="568"/>
      <c r="J131" s="568">
        <v>428530.19</v>
      </c>
      <c r="K131" s="526"/>
      <c r="L131" s="525">
        <v>428530.19</v>
      </c>
      <c r="M131" s="525">
        <v>0</v>
      </c>
      <c r="N131" s="526"/>
      <c r="O131" s="526"/>
      <c r="P131" s="568">
        <v>372625.1</v>
      </c>
      <c r="Q131" s="526"/>
      <c r="R131" s="568">
        <v>372625.1</v>
      </c>
      <c r="S131" s="525">
        <v>0</v>
      </c>
      <c r="AR131" s="569"/>
      <c r="AS131" s="569"/>
      <c r="AT131" s="569"/>
      <c r="AU131" s="569"/>
    </row>
    <row r="132" spans="1:47" s="585" customFormat="1" ht="12" hidden="1" thickBot="1">
      <c r="A132" s="522" t="s">
        <v>195</v>
      </c>
      <c r="B132" s="522" t="s">
        <v>1361</v>
      </c>
      <c r="C132" s="522" t="s">
        <v>171</v>
      </c>
      <c r="D132" s="530">
        <v>54</v>
      </c>
      <c r="E132" s="532"/>
      <c r="F132" s="532"/>
      <c r="G132" s="532"/>
      <c r="H132" s="530">
        <v>241833815</v>
      </c>
      <c r="I132" s="575">
        <v>515906.5</v>
      </c>
      <c r="J132" s="575">
        <v>485007.6</v>
      </c>
      <c r="K132" s="575">
        <v>481042.8</v>
      </c>
      <c r="L132" s="532"/>
      <c r="M132" s="532"/>
      <c r="N132" s="532"/>
      <c r="O132" s="575">
        <v>481037</v>
      </c>
      <c r="P132" s="575">
        <v>480153.5</v>
      </c>
      <c r="Q132" s="575">
        <v>476123.4</v>
      </c>
      <c r="R132" s="532"/>
      <c r="S132" s="532"/>
      <c r="AR132" s="569"/>
      <c r="AS132" s="569"/>
      <c r="AT132" s="569"/>
      <c r="AU132" s="569"/>
    </row>
    <row r="133" spans="1:47" s="585" customFormat="1" ht="12" hidden="1" thickBot="1">
      <c r="A133" s="522" t="s">
        <v>195</v>
      </c>
      <c r="B133" s="522" t="s">
        <v>1361</v>
      </c>
      <c r="C133" s="522" t="s">
        <v>172</v>
      </c>
      <c r="D133" s="524">
        <v>77</v>
      </c>
      <c r="E133" s="526"/>
      <c r="F133" s="526"/>
      <c r="G133" s="526"/>
      <c r="H133" s="524">
        <v>21503273</v>
      </c>
      <c r="I133" s="568"/>
      <c r="J133" s="568">
        <v>52241.45</v>
      </c>
      <c r="K133" s="526"/>
      <c r="L133" s="525">
        <v>52241.45</v>
      </c>
      <c r="M133" s="525">
        <v>570</v>
      </c>
      <c r="N133" s="526"/>
      <c r="O133" s="526"/>
      <c r="P133" s="568">
        <v>49257.7</v>
      </c>
      <c r="Q133" s="526"/>
      <c r="R133" s="568">
        <v>49257.7</v>
      </c>
      <c r="S133" s="525">
        <v>7512.61</v>
      </c>
      <c r="AR133" s="569"/>
      <c r="AS133" s="569"/>
      <c r="AT133" s="569"/>
      <c r="AU133" s="569"/>
    </row>
    <row r="134" spans="1:47" s="585" customFormat="1" ht="12" hidden="1" thickBot="1">
      <c r="A134" s="522" t="s">
        <v>195</v>
      </c>
      <c r="B134" s="522" t="s">
        <v>1361</v>
      </c>
      <c r="C134" s="522" t="s">
        <v>173</v>
      </c>
      <c r="D134" s="530">
        <v>399</v>
      </c>
      <c r="E134" s="532"/>
      <c r="F134" s="532"/>
      <c r="G134" s="532"/>
      <c r="H134" s="530">
        <v>55207646</v>
      </c>
      <c r="I134" s="575"/>
      <c r="J134" s="575">
        <v>151475.17000000001</v>
      </c>
      <c r="K134" s="532"/>
      <c r="L134" s="531">
        <v>151475.17000000001</v>
      </c>
      <c r="M134" s="531">
        <v>4723.5</v>
      </c>
      <c r="N134" s="532"/>
      <c r="O134" s="532"/>
      <c r="P134" s="575">
        <v>142960.4</v>
      </c>
      <c r="Q134" s="532"/>
      <c r="R134" s="575">
        <v>142960.4</v>
      </c>
      <c r="S134" s="531">
        <v>62205.3</v>
      </c>
      <c r="AR134" s="569"/>
      <c r="AS134" s="569"/>
      <c r="AT134" s="569"/>
      <c r="AU134" s="569"/>
    </row>
    <row r="135" spans="1:47" s="585" customFormat="1" ht="12" hidden="1" thickBot="1">
      <c r="A135" s="522" t="s">
        <v>195</v>
      </c>
      <c r="B135" s="522" t="s">
        <v>1361</v>
      </c>
      <c r="C135" s="522" t="s">
        <v>174</v>
      </c>
      <c r="D135" s="524">
        <v>157</v>
      </c>
      <c r="E135" s="526"/>
      <c r="F135" s="526"/>
      <c r="G135" s="526"/>
      <c r="H135" s="524">
        <v>93811383</v>
      </c>
      <c r="I135" s="568">
        <v>256018.9</v>
      </c>
      <c r="J135" s="568">
        <v>244047.1</v>
      </c>
      <c r="K135" s="568">
        <v>239244.3</v>
      </c>
      <c r="L135" s="526"/>
      <c r="M135" s="526"/>
      <c r="N135" s="526"/>
      <c r="O135" s="568">
        <v>243085.9</v>
      </c>
      <c r="P135" s="568">
        <v>241318.7</v>
      </c>
      <c r="Q135" s="568">
        <v>236491.9</v>
      </c>
      <c r="R135" s="526"/>
      <c r="S135" s="526"/>
      <c r="AR135" s="569"/>
      <c r="AS135" s="569"/>
      <c r="AT135" s="569"/>
      <c r="AU135" s="569"/>
    </row>
    <row r="136" spans="1:47" s="585" customFormat="1" ht="12" hidden="1" thickBot="1">
      <c r="A136" s="522" t="s">
        <v>195</v>
      </c>
      <c r="B136" s="522" t="s">
        <v>1361</v>
      </c>
      <c r="C136" s="522" t="s">
        <v>175</v>
      </c>
      <c r="D136" s="530">
        <v>428</v>
      </c>
      <c r="E136" s="532"/>
      <c r="F136" s="532"/>
      <c r="G136" s="532"/>
      <c r="H136" s="530">
        <v>94643548</v>
      </c>
      <c r="I136" s="575">
        <v>241388.25</v>
      </c>
      <c r="J136" s="575">
        <v>217762.25</v>
      </c>
      <c r="K136" s="575">
        <v>212992.1</v>
      </c>
      <c r="L136" s="532"/>
      <c r="M136" s="532"/>
      <c r="N136" s="575">
        <v>20428.400000000001</v>
      </c>
      <c r="O136" s="575">
        <v>218397.3</v>
      </c>
      <c r="P136" s="575">
        <v>216249.1</v>
      </c>
      <c r="Q136" s="575">
        <v>211381.5</v>
      </c>
      <c r="R136" s="532"/>
      <c r="S136" s="531">
        <v>74392.84</v>
      </c>
      <c r="AR136" s="569"/>
      <c r="AS136" s="569"/>
      <c r="AT136" s="569"/>
      <c r="AU136" s="569"/>
    </row>
    <row r="137" spans="1:47" s="585" customFormat="1" ht="12" hidden="1" thickBot="1">
      <c r="A137" s="522" t="s">
        <v>195</v>
      </c>
      <c r="B137" s="522" t="s">
        <v>1361</v>
      </c>
      <c r="C137" s="522" t="s">
        <v>177</v>
      </c>
      <c r="D137" s="524">
        <v>64412</v>
      </c>
      <c r="E137" s="526"/>
      <c r="F137" s="526"/>
      <c r="G137" s="526"/>
      <c r="H137" s="524">
        <v>59618393</v>
      </c>
      <c r="I137" s="526"/>
      <c r="J137" s="526"/>
      <c r="K137" s="526"/>
      <c r="L137" s="526"/>
      <c r="M137" s="526"/>
      <c r="N137" s="526"/>
      <c r="O137" s="568">
        <v>125187.5</v>
      </c>
      <c r="P137" s="568"/>
      <c r="Q137" s="526"/>
      <c r="R137" s="568">
        <v>125187.5</v>
      </c>
      <c r="S137" s="526"/>
      <c r="AR137" s="569"/>
      <c r="AS137" s="569"/>
      <c r="AT137" s="569"/>
      <c r="AU137" s="569"/>
    </row>
    <row r="138" spans="1:47" s="585" customFormat="1" ht="12" hidden="1" thickBot="1">
      <c r="A138" s="522" t="s">
        <v>195</v>
      </c>
      <c r="B138" s="522" t="s">
        <v>1361</v>
      </c>
      <c r="C138" s="522" t="s">
        <v>178</v>
      </c>
      <c r="D138" s="530">
        <v>61</v>
      </c>
      <c r="E138" s="532"/>
      <c r="F138" s="532"/>
      <c r="G138" s="532"/>
      <c r="H138" s="530">
        <v>10785</v>
      </c>
      <c r="I138" s="532"/>
      <c r="J138" s="532"/>
      <c r="K138" s="532"/>
      <c r="L138" s="532"/>
      <c r="M138" s="532"/>
      <c r="N138" s="532"/>
      <c r="O138" s="532"/>
      <c r="P138" s="532"/>
      <c r="Q138" s="532"/>
      <c r="R138" s="532"/>
      <c r="S138" s="532"/>
      <c r="AR138" s="569"/>
      <c r="AS138" s="569"/>
      <c r="AT138" s="569"/>
      <c r="AU138" s="569"/>
    </row>
    <row r="139" spans="1:47" s="585" customFormat="1" ht="12" hidden="1" thickBot="1">
      <c r="A139" s="522" t="s">
        <v>195</v>
      </c>
      <c r="B139" s="522" t="s">
        <v>1361</v>
      </c>
      <c r="C139" s="522" t="s">
        <v>179</v>
      </c>
      <c r="D139" s="524">
        <v>17245</v>
      </c>
      <c r="E139" s="526"/>
      <c r="F139" s="526"/>
      <c r="G139" s="526"/>
      <c r="H139" s="524">
        <v>76504036</v>
      </c>
      <c r="I139" s="526"/>
      <c r="J139" s="526"/>
      <c r="K139" s="526"/>
      <c r="L139" s="526"/>
      <c r="M139" s="526"/>
      <c r="N139" s="526"/>
      <c r="O139" s="568">
        <v>350794.2</v>
      </c>
      <c r="P139" s="526"/>
      <c r="Q139" s="526"/>
      <c r="R139" s="568">
        <v>350794.2</v>
      </c>
      <c r="S139" s="526"/>
      <c r="AR139" s="569"/>
      <c r="AS139" s="569"/>
      <c r="AT139" s="569"/>
      <c r="AU139" s="569"/>
    </row>
    <row r="140" spans="1:47" s="585" customFormat="1" ht="12" hidden="1" thickBot="1">
      <c r="A140" s="522" t="s">
        <v>195</v>
      </c>
      <c r="B140" s="522" t="s">
        <v>1361</v>
      </c>
      <c r="C140" s="522" t="s">
        <v>180</v>
      </c>
      <c r="D140" s="530">
        <v>335</v>
      </c>
      <c r="E140" s="532"/>
      <c r="F140" s="532"/>
      <c r="G140" s="532"/>
      <c r="H140" s="530">
        <v>669685</v>
      </c>
      <c r="I140" s="532"/>
      <c r="J140" s="532"/>
      <c r="K140" s="532"/>
      <c r="L140" s="532"/>
      <c r="M140" s="532"/>
      <c r="N140" s="532"/>
      <c r="O140" s="575">
        <v>2645.1</v>
      </c>
      <c r="P140" s="532"/>
      <c r="Q140" s="532"/>
      <c r="R140" s="575">
        <v>2645.1</v>
      </c>
      <c r="S140" s="532"/>
      <c r="AR140" s="569"/>
      <c r="AS140" s="569"/>
      <c r="AT140" s="569"/>
      <c r="AU140" s="569"/>
    </row>
    <row r="141" spans="1:47" s="585" customFormat="1" ht="12" hidden="1" thickBot="1">
      <c r="A141" s="522" t="s">
        <v>195</v>
      </c>
      <c r="B141" s="522" t="s">
        <v>1361</v>
      </c>
      <c r="C141" s="522" t="s">
        <v>190</v>
      </c>
      <c r="D141" s="524">
        <v>228749</v>
      </c>
      <c r="E141" s="526"/>
      <c r="F141" s="526"/>
      <c r="G141" s="526"/>
      <c r="H141" s="524">
        <v>189776294</v>
      </c>
      <c r="I141" s="526"/>
      <c r="J141" s="526"/>
      <c r="K141" s="526"/>
      <c r="L141" s="526"/>
      <c r="M141" s="526"/>
      <c r="N141" s="526"/>
      <c r="O141" s="526"/>
      <c r="P141" s="526"/>
      <c r="Q141" s="526"/>
      <c r="R141" s="526"/>
      <c r="S141" s="526"/>
      <c r="AR141" s="569"/>
      <c r="AS141" s="569"/>
      <c r="AT141" s="569"/>
      <c r="AU141" s="569"/>
    </row>
    <row r="142" spans="1:47" s="585" customFormat="1" ht="12" hidden="1" thickBot="1">
      <c r="A142" s="522" t="s">
        <v>195</v>
      </c>
      <c r="B142" s="522" t="s">
        <v>1361</v>
      </c>
      <c r="C142" s="522" t="s">
        <v>191</v>
      </c>
      <c r="D142" s="530">
        <v>194803</v>
      </c>
      <c r="E142" s="532"/>
      <c r="F142" s="532"/>
      <c r="G142" s="532"/>
      <c r="H142" s="530">
        <v>235356677</v>
      </c>
      <c r="I142" s="532"/>
      <c r="J142" s="532"/>
      <c r="K142" s="532"/>
      <c r="L142" s="532"/>
      <c r="M142" s="532"/>
      <c r="N142" s="532"/>
      <c r="O142" s="532"/>
      <c r="P142" s="532"/>
      <c r="Q142" s="532"/>
      <c r="R142" s="532"/>
      <c r="S142" s="532"/>
      <c r="AR142" s="569"/>
      <c r="AS142" s="569"/>
      <c r="AT142" s="569"/>
      <c r="AU142" s="569"/>
    </row>
    <row r="143" spans="1:47" s="585" customFormat="1" ht="12" hidden="1" thickBot="1">
      <c r="A143" s="522" t="s">
        <v>195</v>
      </c>
      <c r="B143" s="522" t="s">
        <v>1361</v>
      </c>
      <c r="C143" s="522" t="s">
        <v>192</v>
      </c>
      <c r="D143" s="524">
        <v>247</v>
      </c>
      <c r="E143" s="526"/>
      <c r="F143" s="526"/>
      <c r="G143" s="526"/>
      <c r="H143" s="524">
        <v>458458</v>
      </c>
      <c r="I143" s="526"/>
      <c r="J143" s="526"/>
      <c r="K143" s="526"/>
      <c r="L143" s="526"/>
      <c r="M143" s="526"/>
      <c r="N143" s="526"/>
      <c r="O143" s="526"/>
      <c r="P143" s="526"/>
      <c r="Q143" s="526"/>
      <c r="R143" s="526"/>
      <c r="S143" s="526"/>
    </row>
    <row r="144" spans="1:47" s="585" customFormat="1" ht="12" hidden="1" thickBot="1">
      <c r="A144" s="522" t="s">
        <v>195</v>
      </c>
      <c r="B144" s="522" t="s">
        <v>1361</v>
      </c>
      <c r="C144" s="522" t="s">
        <v>193</v>
      </c>
      <c r="D144" s="530">
        <v>49</v>
      </c>
      <c r="E144" s="532"/>
      <c r="F144" s="532"/>
      <c r="G144" s="532"/>
      <c r="H144" s="530">
        <v>79474</v>
      </c>
      <c r="I144" s="532"/>
      <c r="J144" s="532"/>
      <c r="K144" s="532"/>
      <c r="L144" s="532"/>
      <c r="M144" s="532"/>
      <c r="N144" s="532"/>
      <c r="O144" s="532"/>
      <c r="P144" s="532"/>
      <c r="Q144" s="532"/>
      <c r="R144" s="532"/>
      <c r="S144" s="532"/>
    </row>
    <row r="145" spans="1:19" s="585" customFormat="1" ht="12" hidden="1" thickBot="1">
      <c r="A145" s="522" t="s">
        <v>195</v>
      </c>
      <c r="B145" s="522" t="s">
        <v>1361</v>
      </c>
      <c r="C145" s="522" t="s">
        <v>194</v>
      </c>
      <c r="D145" s="524">
        <v>52</v>
      </c>
      <c r="E145" s="526"/>
      <c r="F145" s="526"/>
      <c r="G145" s="526"/>
      <c r="H145" s="524">
        <v>52164</v>
      </c>
      <c r="I145" s="526"/>
      <c r="J145" s="526"/>
      <c r="K145" s="526"/>
      <c r="L145" s="526"/>
      <c r="M145" s="526"/>
      <c r="N145" s="526"/>
      <c r="O145" s="526"/>
      <c r="P145" s="526"/>
      <c r="Q145" s="526"/>
      <c r="R145" s="526"/>
      <c r="S145" s="526"/>
    </row>
    <row r="146" spans="1:19" s="585" customFormat="1" ht="12" hidden="1" thickBot="1">
      <c r="A146" s="522" t="s">
        <v>195</v>
      </c>
      <c r="B146" s="522" t="s">
        <v>1361</v>
      </c>
      <c r="C146" s="522" t="s">
        <v>440</v>
      </c>
      <c r="D146" s="530">
        <v>3</v>
      </c>
      <c r="E146" s="532"/>
      <c r="F146" s="532"/>
      <c r="G146" s="532"/>
      <c r="H146" s="530">
        <v>5412</v>
      </c>
      <c r="I146" s="532"/>
      <c r="J146" s="532"/>
      <c r="K146" s="532"/>
      <c r="L146" s="532"/>
      <c r="M146" s="532"/>
      <c r="N146" s="532"/>
      <c r="O146" s="532"/>
      <c r="P146" s="532"/>
      <c r="Q146" s="532"/>
      <c r="R146" s="532"/>
      <c r="S146" s="532"/>
    </row>
    <row r="147" spans="1:19" s="585" customFormat="1" ht="12" hidden="1" thickBot="1">
      <c r="A147" s="522" t="s">
        <v>195</v>
      </c>
      <c r="B147" s="522" t="s">
        <v>1361</v>
      </c>
      <c r="C147" s="522" t="s">
        <v>441</v>
      </c>
      <c r="D147" s="524">
        <v>1</v>
      </c>
      <c r="E147" s="526"/>
      <c r="F147" s="526"/>
      <c r="G147" s="526"/>
      <c r="H147" s="524">
        <v>870</v>
      </c>
      <c r="I147" s="526"/>
      <c r="J147" s="526"/>
      <c r="K147" s="526"/>
      <c r="L147" s="526"/>
      <c r="M147" s="526"/>
      <c r="N147" s="526"/>
      <c r="O147" s="526"/>
      <c r="P147" s="526"/>
      <c r="Q147" s="526"/>
      <c r="R147" s="526"/>
      <c r="S147" s="526"/>
    </row>
    <row r="148" spans="1:19" s="585" customFormat="1" ht="12" hidden="1" thickBot="1">
      <c r="A148" s="522" t="s">
        <v>195</v>
      </c>
      <c r="B148" s="522" t="s">
        <v>1361</v>
      </c>
      <c r="C148" s="522" t="s">
        <v>185</v>
      </c>
      <c r="D148" s="530">
        <v>8</v>
      </c>
      <c r="E148" s="532"/>
      <c r="F148" s="532"/>
      <c r="G148" s="532"/>
      <c r="H148" s="530">
        <v>6767</v>
      </c>
      <c r="I148" s="532"/>
      <c r="J148" s="532"/>
      <c r="K148" s="532"/>
      <c r="L148" s="532"/>
      <c r="M148" s="532"/>
      <c r="N148" s="532"/>
      <c r="O148" s="532"/>
      <c r="P148" s="532"/>
      <c r="Q148" s="532"/>
      <c r="R148" s="532"/>
      <c r="S148" s="532"/>
    </row>
    <row r="149" spans="1:19" s="585" customFormat="1" ht="12" hidden="1" thickBot="1">
      <c r="A149" s="522" t="s">
        <v>195</v>
      </c>
      <c r="B149" s="522" t="s">
        <v>1361</v>
      </c>
      <c r="C149" s="522" t="s">
        <v>189</v>
      </c>
      <c r="D149" s="524">
        <v>1</v>
      </c>
      <c r="E149" s="526"/>
      <c r="F149" s="526"/>
      <c r="G149" s="526"/>
      <c r="H149" s="524">
        <v>49896000</v>
      </c>
      <c r="I149" s="568">
        <v>177947.3</v>
      </c>
      <c r="J149" s="568">
        <v>177947.3</v>
      </c>
      <c r="K149" s="568">
        <v>134560.70000000001</v>
      </c>
      <c r="L149" s="526"/>
      <c r="M149" s="526"/>
      <c r="N149" s="526"/>
      <c r="O149" s="568">
        <v>177947.3</v>
      </c>
      <c r="P149" s="568">
        <v>177947.3</v>
      </c>
      <c r="Q149" s="568">
        <v>134560.70000000001</v>
      </c>
      <c r="R149" s="526"/>
      <c r="S149" s="526"/>
    </row>
    <row r="150" spans="1:19" s="585" customFormat="1" ht="12" hidden="1" thickBot="1">
      <c r="A150" s="522" t="s">
        <v>195</v>
      </c>
      <c r="B150" s="522" t="s">
        <v>1361</v>
      </c>
      <c r="C150" s="522" t="s">
        <v>233</v>
      </c>
      <c r="D150" s="530">
        <v>1</v>
      </c>
      <c r="E150" s="532"/>
      <c r="F150" s="532"/>
      <c r="G150" s="532"/>
      <c r="H150" s="530">
        <v>12161</v>
      </c>
      <c r="I150" s="532"/>
      <c r="J150" s="532"/>
      <c r="K150" s="532"/>
      <c r="L150" s="532"/>
      <c r="M150" s="532"/>
      <c r="N150" s="532"/>
      <c r="O150" s="575">
        <v>38.9</v>
      </c>
      <c r="P150" s="532"/>
      <c r="Q150" s="532"/>
      <c r="R150" s="575">
        <v>38.9</v>
      </c>
      <c r="S150" s="532"/>
    </row>
    <row r="151" spans="1:19" s="585" customFormat="1" ht="12" hidden="1" thickBot="1">
      <c r="A151" s="522" t="s">
        <v>195</v>
      </c>
      <c r="B151" s="522" t="s">
        <v>1361</v>
      </c>
      <c r="C151" s="522" t="s">
        <v>232</v>
      </c>
      <c r="D151" s="524">
        <v>1</v>
      </c>
      <c r="E151" s="526"/>
      <c r="F151" s="526"/>
      <c r="G151" s="526"/>
      <c r="H151" s="524">
        <v>3344</v>
      </c>
      <c r="I151" s="526"/>
      <c r="J151" s="526"/>
      <c r="K151" s="526"/>
      <c r="L151" s="526"/>
      <c r="M151" s="526"/>
      <c r="N151" s="526"/>
      <c r="O151" s="526"/>
      <c r="P151" s="526"/>
      <c r="Q151" s="526"/>
      <c r="R151" s="526"/>
      <c r="S151" s="526"/>
    </row>
    <row r="152" spans="1:19" s="585" customFormat="1" ht="12" thickBot="1">
      <c r="A152" s="522" t="s">
        <v>195</v>
      </c>
      <c r="B152" s="522" t="s">
        <v>1361</v>
      </c>
      <c r="C152" s="522" t="s">
        <v>184</v>
      </c>
      <c r="D152" s="530">
        <v>473</v>
      </c>
      <c r="E152" s="532"/>
      <c r="F152" s="532"/>
      <c r="G152" s="532"/>
      <c r="H152" s="530">
        <v>90374</v>
      </c>
      <c r="I152" s="532"/>
      <c r="J152" s="532"/>
      <c r="K152" s="532"/>
      <c r="L152" s="532"/>
      <c r="M152" s="532"/>
      <c r="N152" s="532"/>
      <c r="O152" s="575">
        <v>16.5</v>
      </c>
      <c r="P152" s="532"/>
      <c r="Q152" s="532"/>
      <c r="R152" s="575">
        <v>16.5</v>
      </c>
      <c r="S152" s="532"/>
    </row>
    <row r="153" spans="1:19" ht="12" hidden="1" thickBot="1">
      <c r="A153" s="843" t="s">
        <v>195</v>
      </c>
      <c r="B153" s="843" t="s">
        <v>1361</v>
      </c>
      <c r="C153" s="843" t="s">
        <v>187</v>
      </c>
      <c r="D153" s="855">
        <v>1</v>
      </c>
      <c r="E153" s="871"/>
      <c r="F153" s="871"/>
      <c r="G153" s="871"/>
      <c r="H153" s="871"/>
      <c r="I153" s="863"/>
      <c r="J153" s="863"/>
      <c r="K153" s="863"/>
      <c r="L153" s="863"/>
      <c r="M153" s="863"/>
      <c r="N153" s="863"/>
      <c r="O153" s="863"/>
      <c r="P153" s="863"/>
      <c r="Q153" s="863"/>
      <c r="R153" s="863"/>
      <c r="S153" s="863"/>
    </row>
    <row r="154" spans="1:19" ht="12" hidden="1" thickBot="1">
      <c r="A154" s="843" t="s">
        <v>195</v>
      </c>
      <c r="B154" s="843" t="s">
        <v>1361</v>
      </c>
      <c r="C154" s="843" t="s">
        <v>188</v>
      </c>
      <c r="D154" s="854">
        <v>1</v>
      </c>
      <c r="E154" s="870"/>
      <c r="F154" s="870"/>
      <c r="G154" s="870"/>
      <c r="H154" s="870"/>
      <c r="I154" s="862"/>
      <c r="J154" s="862"/>
      <c r="K154" s="862"/>
      <c r="L154" s="862"/>
      <c r="M154" s="862"/>
      <c r="N154" s="862"/>
      <c r="O154" s="862"/>
      <c r="P154" s="862"/>
      <c r="Q154" s="862"/>
      <c r="R154" s="862"/>
      <c r="S154" s="862"/>
    </row>
    <row r="155" spans="1:19" ht="12" hidden="1" thickBot="1">
      <c r="A155" s="843" t="s">
        <v>195</v>
      </c>
      <c r="B155" s="843" t="s">
        <v>1361</v>
      </c>
      <c r="C155" s="843" t="s">
        <v>1358</v>
      </c>
      <c r="D155" s="855">
        <v>1</v>
      </c>
      <c r="E155" s="871"/>
      <c r="F155" s="871"/>
      <c r="G155" s="871"/>
      <c r="H155" s="871"/>
      <c r="I155" s="863"/>
      <c r="J155" s="863"/>
      <c r="K155" s="863"/>
      <c r="L155" s="863"/>
      <c r="M155" s="863"/>
      <c r="N155" s="863"/>
      <c r="O155" s="863"/>
      <c r="P155" s="863"/>
      <c r="Q155" s="863"/>
      <c r="R155" s="863"/>
      <c r="S155" s="863"/>
    </row>
    <row r="156" spans="1:19" ht="12" hidden="1" thickBot="1">
      <c r="A156" s="843" t="s">
        <v>195</v>
      </c>
      <c r="B156" s="843" t="s">
        <v>1361</v>
      </c>
      <c r="C156" s="843" t="s">
        <v>1045</v>
      </c>
      <c r="D156" s="854">
        <v>1</v>
      </c>
      <c r="E156" s="870"/>
      <c r="F156" s="870"/>
      <c r="G156" s="870"/>
      <c r="H156" s="870"/>
      <c r="I156" s="862"/>
      <c r="J156" s="862"/>
      <c r="K156" s="862"/>
      <c r="L156" s="862"/>
      <c r="M156" s="862"/>
      <c r="N156" s="862"/>
      <c r="O156" s="862"/>
      <c r="P156" s="862"/>
      <c r="Q156" s="862"/>
      <c r="R156" s="862"/>
      <c r="S156" s="862"/>
    </row>
    <row r="157" spans="1:19" s="585" customFormat="1" ht="12" hidden="1" thickBot="1">
      <c r="A157" s="522" t="s">
        <v>195</v>
      </c>
      <c r="B157" s="522" t="s">
        <v>1361</v>
      </c>
      <c r="C157" s="522" t="s">
        <v>186</v>
      </c>
      <c r="D157" s="524">
        <v>2</v>
      </c>
      <c r="E157" s="526"/>
      <c r="F157" s="526"/>
      <c r="G157" s="526"/>
      <c r="H157" s="524">
        <v>10840</v>
      </c>
      <c r="I157" s="526"/>
      <c r="J157" s="526"/>
      <c r="K157" s="526"/>
      <c r="L157" s="526"/>
      <c r="M157" s="526"/>
      <c r="N157" s="526"/>
      <c r="O157" s="568">
        <v>61</v>
      </c>
      <c r="P157" s="526"/>
      <c r="Q157" s="526"/>
      <c r="R157" s="568">
        <v>61</v>
      </c>
      <c r="S157" s="526"/>
    </row>
    <row r="158" spans="1:19" s="585" customFormat="1" ht="12" hidden="1" thickBot="1">
      <c r="A158" s="522" t="s">
        <v>195</v>
      </c>
      <c r="B158" s="522" t="s">
        <v>1361</v>
      </c>
      <c r="C158" s="522" t="s">
        <v>176</v>
      </c>
      <c r="D158" s="530">
        <v>1</v>
      </c>
      <c r="E158" s="532"/>
      <c r="F158" s="532"/>
      <c r="G158" s="532"/>
      <c r="H158" s="530">
        <v>23280</v>
      </c>
      <c r="I158" s="575"/>
      <c r="J158" s="575"/>
      <c r="K158" s="532"/>
      <c r="L158" s="531">
        <v>120.8</v>
      </c>
      <c r="M158" s="531">
        <v>0</v>
      </c>
      <c r="N158" s="532"/>
      <c r="O158" s="575"/>
      <c r="P158" s="575">
        <v>120.8</v>
      </c>
      <c r="Q158" s="532"/>
      <c r="R158" s="575">
        <v>120.8</v>
      </c>
      <c r="S158" s="531">
        <v>0</v>
      </c>
    </row>
    <row r="159" spans="1:19" s="585" customFormat="1" ht="12" hidden="1" thickBot="1">
      <c r="A159" s="522" t="s">
        <v>195</v>
      </c>
      <c r="B159" s="522" t="s">
        <v>1361</v>
      </c>
      <c r="C159" s="522" t="s">
        <v>182</v>
      </c>
      <c r="D159" s="524">
        <v>68</v>
      </c>
      <c r="E159" s="526"/>
      <c r="F159" s="526"/>
      <c r="G159" s="526"/>
      <c r="H159" s="524">
        <v>489126</v>
      </c>
      <c r="I159" s="526"/>
      <c r="J159" s="526"/>
      <c r="K159" s="526"/>
      <c r="L159" s="526"/>
      <c r="M159" s="526"/>
      <c r="N159" s="526"/>
      <c r="O159" s="568">
        <v>3674.1</v>
      </c>
      <c r="P159" s="526"/>
      <c r="Q159" s="526"/>
      <c r="R159" s="568">
        <v>3674.1</v>
      </c>
      <c r="S159" s="526"/>
    </row>
    <row r="160" spans="1:19" s="585" customFormat="1" ht="12" hidden="1" thickBot="1">
      <c r="A160" s="522" t="s">
        <v>195</v>
      </c>
      <c r="B160" s="522" t="s">
        <v>1361</v>
      </c>
      <c r="C160" s="522" t="s">
        <v>477</v>
      </c>
      <c r="D160" s="530">
        <v>5</v>
      </c>
      <c r="E160" s="531">
        <v>3263</v>
      </c>
      <c r="F160" s="531">
        <v>1319</v>
      </c>
      <c r="G160" s="531">
        <v>739</v>
      </c>
      <c r="H160" s="530">
        <v>5321</v>
      </c>
      <c r="I160" s="532"/>
      <c r="J160" s="532"/>
      <c r="K160" s="532"/>
      <c r="L160" s="532"/>
      <c r="M160" s="532"/>
      <c r="N160" s="532"/>
      <c r="O160" s="532"/>
      <c r="P160" s="532"/>
      <c r="Q160" s="532"/>
      <c r="R160" s="532"/>
      <c r="S160" s="532"/>
    </row>
    <row r="161" spans="1:41" s="585" customFormat="1" ht="12" hidden="1" thickBot="1">
      <c r="A161" s="522" t="s">
        <v>195</v>
      </c>
      <c r="B161" s="522" t="s">
        <v>1361</v>
      </c>
      <c r="C161" s="522" t="s">
        <v>181</v>
      </c>
      <c r="D161" s="524">
        <v>6</v>
      </c>
      <c r="E161" s="526"/>
      <c r="F161" s="526"/>
      <c r="G161" s="526"/>
      <c r="H161" s="524">
        <v>-1002900</v>
      </c>
      <c r="I161" s="526"/>
      <c r="J161" s="526"/>
      <c r="K161" s="526"/>
      <c r="L161" s="526"/>
      <c r="M161" s="526"/>
      <c r="N161" s="526"/>
      <c r="O161" s="568">
        <v>160.5</v>
      </c>
      <c r="P161" s="526"/>
      <c r="Q161" s="526"/>
      <c r="R161" s="568">
        <v>160.5</v>
      </c>
      <c r="S161" s="526"/>
    </row>
    <row r="162" spans="1:41" s="585" customFormat="1" ht="12" hidden="1" thickBot="1">
      <c r="A162" s="522" t="s">
        <v>195</v>
      </c>
      <c r="B162" s="522" t="s">
        <v>1361</v>
      </c>
      <c r="C162" s="522" t="s">
        <v>183</v>
      </c>
      <c r="D162" s="530">
        <v>4</v>
      </c>
      <c r="E162" s="532"/>
      <c r="F162" s="532"/>
      <c r="G162" s="532"/>
      <c r="H162" s="530">
        <v>246340</v>
      </c>
      <c r="I162" s="532"/>
      <c r="J162" s="532"/>
      <c r="K162" s="532"/>
      <c r="L162" s="532"/>
      <c r="M162" s="532"/>
      <c r="N162" s="532"/>
      <c r="O162" s="575">
        <v>971.3</v>
      </c>
      <c r="P162" s="532"/>
      <c r="Q162" s="532"/>
      <c r="R162" s="575">
        <v>971.3</v>
      </c>
      <c r="S162" s="532"/>
    </row>
    <row r="163" spans="1:41" s="585" customFormat="1" ht="12" hidden="1" thickBot="1">
      <c r="A163" s="522" t="s">
        <v>195</v>
      </c>
      <c r="B163" s="522" t="s">
        <v>1361</v>
      </c>
      <c r="C163" s="522" t="s">
        <v>652</v>
      </c>
      <c r="D163" s="524">
        <v>272</v>
      </c>
      <c r="E163" s="526"/>
      <c r="F163" s="526"/>
      <c r="G163" s="526"/>
      <c r="H163" s="524">
        <v>14416</v>
      </c>
      <c r="I163" s="526"/>
      <c r="J163" s="526"/>
      <c r="K163" s="526"/>
      <c r="L163" s="526"/>
      <c r="M163" s="526"/>
      <c r="N163" s="526"/>
      <c r="O163" s="526"/>
      <c r="P163" s="526"/>
      <c r="Q163" s="526"/>
      <c r="R163" s="526"/>
      <c r="S163" s="526"/>
    </row>
    <row r="164" spans="1:41" s="585" customFormat="1" ht="12" hidden="1" thickBot="1">
      <c r="A164" s="522" t="s">
        <v>195</v>
      </c>
      <c r="B164" s="522" t="s">
        <v>1361</v>
      </c>
      <c r="C164" s="522" t="s">
        <v>720</v>
      </c>
      <c r="D164" s="530">
        <v>96</v>
      </c>
      <c r="E164" s="532"/>
      <c r="F164" s="532"/>
      <c r="G164" s="532"/>
      <c r="H164" s="530">
        <v>2369020</v>
      </c>
      <c r="I164" s="532"/>
      <c r="J164" s="532"/>
      <c r="K164" s="532"/>
      <c r="L164" s="532"/>
      <c r="M164" s="532"/>
      <c r="N164" s="532"/>
      <c r="O164" s="575">
        <v>12017.7</v>
      </c>
      <c r="P164" s="532"/>
      <c r="Q164" s="532"/>
      <c r="R164" s="575">
        <v>12017.7</v>
      </c>
      <c r="S164" s="532"/>
    </row>
    <row r="165" spans="1:41" s="585" customFormat="1" ht="12" hidden="1" thickBot="1">
      <c r="A165" s="522" t="s">
        <v>195</v>
      </c>
      <c r="B165" s="522" t="s">
        <v>1361</v>
      </c>
      <c r="C165" s="522" t="s">
        <v>721</v>
      </c>
      <c r="D165" s="524">
        <v>19</v>
      </c>
      <c r="E165" s="526"/>
      <c r="F165" s="526"/>
      <c r="G165" s="526"/>
      <c r="H165" s="524">
        <v>54793</v>
      </c>
      <c r="I165" s="526"/>
      <c r="J165" s="526"/>
      <c r="K165" s="526"/>
      <c r="L165" s="526"/>
      <c r="M165" s="526"/>
      <c r="N165" s="526"/>
      <c r="O165" s="568">
        <v>1144.5999999999999</v>
      </c>
      <c r="P165" s="526"/>
      <c r="Q165" s="526"/>
      <c r="R165" s="568">
        <v>1144.5999999999999</v>
      </c>
      <c r="S165" s="526"/>
    </row>
    <row r="166" spans="1:41" s="585" customFormat="1" ht="12" hidden="1" thickBot="1">
      <c r="A166" s="522" t="s">
        <v>195</v>
      </c>
      <c r="B166" s="522" t="s">
        <v>1361</v>
      </c>
      <c r="C166" s="522" t="s">
        <v>722</v>
      </c>
      <c r="D166" s="530">
        <v>100</v>
      </c>
      <c r="E166" s="532"/>
      <c r="F166" s="532"/>
      <c r="G166" s="532"/>
      <c r="H166" s="530">
        <v>8681308</v>
      </c>
      <c r="I166" s="532"/>
      <c r="J166" s="532"/>
      <c r="K166" s="532"/>
      <c r="L166" s="532"/>
      <c r="M166" s="532"/>
      <c r="N166" s="532"/>
      <c r="O166" s="575">
        <v>37040.199999999997</v>
      </c>
      <c r="P166" s="532"/>
      <c r="Q166" s="532"/>
      <c r="R166" s="575">
        <v>37040.199999999997</v>
      </c>
      <c r="S166" s="532"/>
    </row>
    <row r="167" spans="1:41" s="585" customFormat="1" ht="12" hidden="1" thickBot="1">
      <c r="A167" s="522" t="s">
        <v>195</v>
      </c>
      <c r="B167" s="522" t="s">
        <v>1361</v>
      </c>
      <c r="C167" s="582" t="s">
        <v>9</v>
      </c>
      <c r="D167" s="539">
        <v>513180</v>
      </c>
      <c r="E167" s="540">
        <v>3263</v>
      </c>
      <c r="F167" s="540">
        <v>1319</v>
      </c>
      <c r="G167" s="540">
        <v>739</v>
      </c>
      <c r="H167" s="539">
        <v>1395226965</v>
      </c>
      <c r="I167" s="581">
        <v>2145098.3099999996</v>
      </c>
      <c r="J167" s="581">
        <v>1423179.75</v>
      </c>
      <c r="K167" s="581">
        <v>1352647.3</v>
      </c>
      <c r="L167" s="540">
        <v>645688.96</v>
      </c>
      <c r="M167" s="540">
        <v>5293.5</v>
      </c>
      <c r="N167" s="581">
        <v>20428.400000000001</v>
      </c>
      <c r="O167" s="581">
        <v>1422736.1</v>
      </c>
      <c r="P167" s="581">
        <v>1412848.2000000002</v>
      </c>
      <c r="Q167" s="581">
        <v>1342525.8</v>
      </c>
      <c r="R167" s="581">
        <v>1110869.5000000002</v>
      </c>
      <c r="S167" s="540">
        <v>144110.75</v>
      </c>
    </row>
    <row r="168" spans="1:41" s="585" customFormat="1" ht="12" hidden="1" thickBot="1">
      <c r="A168" s="549"/>
      <c r="B168" s="550"/>
      <c r="C168" s="541"/>
      <c r="D168" s="522" t="s">
        <v>1</v>
      </c>
      <c r="E168" s="522" t="s">
        <v>677</v>
      </c>
      <c r="F168" s="522" t="s">
        <v>678</v>
      </c>
      <c r="G168" s="522" t="s">
        <v>679</v>
      </c>
      <c r="H168" s="522" t="s">
        <v>2</v>
      </c>
      <c r="I168" s="522" t="s">
        <v>487</v>
      </c>
      <c r="J168" s="522" t="s">
        <v>488</v>
      </c>
      <c r="K168" s="522" t="s">
        <v>489</v>
      </c>
      <c r="L168" s="522" t="s">
        <v>1264</v>
      </c>
      <c r="M168" s="522" t="s">
        <v>1265</v>
      </c>
      <c r="N168" s="522" t="s">
        <v>1055</v>
      </c>
      <c r="O168" s="522" t="s">
        <v>1266</v>
      </c>
      <c r="P168" s="522" t="s">
        <v>1267</v>
      </c>
      <c r="Q168" s="522" t="s">
        <v>1268</v>
      </c>
      <c r="R168" s="522" t="s">
        <v>1269</v>
      </c>
      <c r="S168" s="522" t="s">
        <v>4</v>
      </c>
      <c r="T168" s="564"/>
      <c r="U168" s="564"/>
      <c r="V168" s="564"/>
      <c r="W168" s="564"/>
      <c r="X168" s="564"/>
      <c r="Y168" s="564"/>
      <c r="Z168" s="564"/>
      <c r="AA168" s="564"/>
      <c r="AB168" s="564"/>
      <c r="AC168" s="564"/>
      <c r="AD168" s="564"/>
      <c r="AE168" s="564"/>
      <c r="AF168" s="564"/>
      <c r="AG168" s="564"/>
      <c r="AH168" s="564"/>
      <c r="AI168" s="564"/>
      <c r="AJ168" s="564"/>
      <c r="AK168" s="564"/>
      <c r="AL168" s="564"/>
      <c r="AM168" s="564"/>
      <c r="AN168" s="564"/>
      <c r="AO168" s="564"/>
    </row>
    <row r="169" spans="1:41" s="585" customFormat="1" ht="12" hidden="1" thickBot="1">
      <c r="A169" s="522" t="s">
        <v>75</v>
      </c>
      <c r="B169" s="522" t="s">
        <v>0</v>
      </c>
      <c r="C169" s="522" t="s">
        <v>6</v>
      </c>
      <c r="D169" s="541"/>
      <c r="E169" s="541" t="s">
        <v>7</v>
      </c>
      <c r="F169" s="541" t="s">
        <v>7</v>
      </c>
      <c r="G169" s="541" t="s">
        <v>7</v>
      </c>
      <c r="H169" s="541" t="s">
        <v>7</v>
      </c>
      <c r="I169" s="541"/>
      <c r="J169" s="541"/>
      <c r="K169" s="541"/>
      <c r="L169" s="541"/>
      <c r="M169" s="541"/>
      <c r="N169" s="541"/>
      <c r="O169" s="541"/>
      <c r="P169" s="541"/>
      <c r="Q169" s="541"/>
      <c r="R169" s="541"/>
      <c r="S169" s="541" t="s">
        <v>8</v>
      </c>
      <c r="T169" s="564"/>
      <c r="U169" s="564"/>
      <c r="V169" s="564"/>
      <c r="W169" s="564"/>
      <c r="X169" s="564"/>
      <c r="Y169" s="564"/>
      <c r="Z169" s="564"/>
      <c r="AA169" s="564"/>
      <c r="AB169" s="564"/>
      <c r="AC169" s="564"/>
      <c r="AD169" s="564"/>
      <c r="AE169" s="564"/>
      <c r="AF169" s="564"/>
      <c r="AG169" s="564"/>
      <c r="AH169" s="564"/>
      <c r="AI169" s="564"/>
      <c r="AJ169" s="564"/>
      <c r="AK169" s="564"/>
      <c r="AL169" s="564"/>
      <c r="AM169" s="564"/>
      <c r="AN169" s="564"/>
      <c r="AO169" s="564"/>
    </row>
    <row r="170" spans="1:41" s="585" customFormat="1" ht="12" hidden="1" thickBot="1">
      <c r="A170" s="522" t="s">
        <v>195</v>
      </c>
      <c r="B170" s="522" t="s">
        <v>1362</v>
      </c>
      <c r="C170" s="522" t="s">
        <v>168</v>
      </c>
      <c r="D170" s="524">
        <v>31</v>
      </c>
      <c r="E170" s="526"/>
      <c r="F170" s="526"/>
      <c r="G170" s="526"/>
      <c r="H170" s="524">
        <v>130974212</v>
      </c>
      <c r="I170" s="568">
        <v>296102.7</v>
      </c>
      <c r="J170" s="568">
        <v>288194.40000000002</v>
      </c>
      <c r="K170" s="568">
        <v>280585</v>
      </c>
      <c r="L170" s="526"/>
      <c r="M170" s="526"/>
      <c r="N170" s="526"/>
      <c r="O170" s="568">
        <v>291586.59999999998</v>
      </c>
      <c r="P170" s="568">
        <v>286637.40000000002</v>
      </c>
      <c r="Q170" s="568">
        <v>279717.90000000002</v>
      </c>
      <c r="R170" s="526"/>
      <c r="S170" s="526"/>
      <c r="T170" s="564"/>
      <c r="U170" s="564"/>
      <c r="V170" s="564"/>
      <c r="W170" s="564"/>
      <c r="X170" s="564"/>
      <c r="Y170" s="564"/>
      <c r="Z170" s="564"/>
      <c r="AA170" s="564"/>
      <c r="AB170" s="564"/>
      <c r="AC170" s="564"/>
      <c r="AD170" s="564"/>
      <c r="AE170" s="564"/>
      <c r="AF170" s="564"/>
      <c r="AG170" s="564"/>
      <c r="AH170" s="564"/>
      <c r="AI170" s="564"/>
      <c r="AJ170" s="564"/>
      <c r="AK170" s="564"/>
      <c r="AL170" s="564"/>
      <c r="AM170" s="564"/>
      <c r="AN170" s="564"/>
      <c r="AO170" s="564"/>
    </row>
    <row r="171" spans="1:41" s="585" customFormat="1" ht="12" hidden="1" thickBot="1">
      <c r="A171" s="522" t="s">
        <v>195</v>
      </c>
      <c r="B171" s="522" t="s">
        <v>1362</v>
      </c>
      <c r="C171" s="522" t="s">
        <v>169</v>
      </c>
      <c r="D171" s="530">
        <v>167</v>
      </c>
      <c r="E171" s="532"/>
      <c r="F171" s="532"/>
      <c r="G171" s="532"/>
      <c r="H171" s="530">
        <v>3773412</v>
      </c>
      <c r="I171" s="575"/>
      <c r="J171" s="532"/>
      <c r="K171" s="575">
        <v>15004.53</v>
      </c>
      <c r="L171" s="531">
        <v>15004.53</v>
      </c>
      <c r="M171" s="531">
        <v>0</v>
      </c>
      <c r="N171" s="532"/>
      <c r="O171" s="532"/>
      <c r="P171" s="532"/>
      <c r="Q171" s="575">
        <v>13282.6</v>
      </c>
      <c r="R171" s="575">
        <v>13282.6</v>
      </c>
      <c r="S171" s="531">
        <v>0</v>
      </c>
      <c r="T171" s="564"/>
      <c r="U171" s="564"/>
      <c r="V171" s="564"/>
      <c r="W171" s="564"/>
      <c r="X171" s="564"/>
      <c r="Y171" s="564"/>
      <c r="Z171" s="564"/>
      <c r="AA171" s="564"/>
      <c r="AB171" s="564"/>
      <c r="AC171" s="564"/>
      <c r="AD171" s="564"/>
      <c r="AE171" s="564"/>
      <c r="AF171" s="564"/>
      <c r="AG171" s="564"/>
      <c r="AH171" s="564"/>
      <c r="AI171" s="564"/>
      <c r="AJ171" s="564"/>
      <c r="AK171" s="564"/>
      <c r="AL171" s="564"/>
      <c r="AM171" s="564"/>
      <c r="AN171" s="564"/>
      <c r="AO171" s="564"/>
    </row>
    <row r="172" spans="1:41" s="585" customFormat="1" ht="12" hidden="1" thickBot="1">
      <c r="A172" s="522" t="s">
        <v>195</v>
      </c>
      <c r="B172" s="522" t="s">
        <v>1362</v>
      </c>
      <c r="C172" s="522" t="s">
        <v>170</v>
      </c>
      <c r="D172" s="524">
        <v>4840</v>
      </c>
      <c r="E172" s="526"/>
      <c r="F172" s="526"/>
      <c r="G172" s="526"/>
      <c r="H172" s="524">
        <v>131600041</v>
      </c>
      <c r="I172" s="568"/>
      <c r="J172" s="526"/>
      <c r="K172" s="568">
        <v>432462.87</v>
      </c>
      <c r="L172" s="525">
        <v>432462.87</v>
      </c>
      <c r="M172" s="525">
        <v>0</v>
      </c>
      <c r="N172" s="526"/>
      <c r="O172" s="526"/>
      <c r="P172" s="526"/>
      <c r="Q172" s="568">
        <v>378414.6</v>
      </c>
      <c r="R172" s="568">
        <v>378414.6</v>
      </c>
      <c r="S172" s="525">
        <v>0</v>
      </c>
      <c r="T172" s="564"/>
      <c r="U172" s="564"/>
      <c r="V172" s="564"/>
      <c r="W172" s="564"/>
      <c r="X172" s="564"/>
      <c r="Y172" s="564"/>
      <c r="Z172" s="564"/>
      <c r="AA172" s="564"/>
      <c r="AB172" s="564"/>
      <c r="AC172" s="564"/>
      <c r="AD172" s="564"/>
      <c r="AE172" s="564"/>
      <c r="AF172" s="564"/>
      <c r="AG172" s="564"/>
      <c r="AH172" s="564"/>
      <c r="AI172" s="564"/>
      <c r="AJ172" s="564"/>
      <c r="AK172" s="564"/>
      <c r="AL172" s="564"/>
      <c r="AM172" s="564"/>
      <c r="AN172" s="564"/>
      <c r="AO172" s="564"/>
    </row>
    <row r="173" spans="1:41" s="585" customFormat="1" ht="12" hidden="1" thickBot="1">
      <c r="A173" s="522" t="s">
        <v>195</v>
      </c>
      <c r="B173" s="522" t="s">
        <v>1362</v>
      </c>
      <c r="C173" s="522" t="s">
        <v>171</v>
      </c>
      <c r="D173" s="530">
        <v>52</v>
      </c>
      <c r="E173" s="532"/>
      <c r="F173" s="532"/>
      <c r="G173" s="532"/>
      <c r="H173" s="530">
        <v>242154160</v>
      </c>
      <c r="I173" s="575">
        <v>497917.4</v>
      </c>
      <c r="J173" s="575">
        <v>476039.9</v>
      </c>
      <c r="K173" s="575">
        <v>468808.8</v>
      </c>
      <c r="L173" s="532"/>
      <c r="M173" s="532"/>
      <c r="N173" s="532"/>
      <c r="O173" s="575">
        <v>478184.8</v>
      </c>
      <c r="P173" s="575">
        <v>474777.2</v>
      </c>
      <c r="Q173" s="575">
        <v>466434.2</v>
      </c>
      <c r="R173" s="532"/>
      <c r="S173" s="532"/>
      <c r="T173" s="564"/>
      <c r="U173" s="564"/>
      <c r="V173" s="564"/>
      <c r="W173" s="564"/>
      <c r="X173" s="564"/>
      <c r="Y173" s="564"/>
      <c r="Z173" s="564"/>
      <c r="AA173" s="564"/>
      <c r="AB173" s="564"/>
      <c r="AC173" s="564"/>
      <c r="AD173" s="564"/>
      <c r="AE173" s="564"/>
      <c r="AF173" s="564"/>
      <c r="AG173" s="564"/>
      <c r="AH173" s="564"/>
      <c r="AI173" s="564"/>
      <c r="AJ173" s="564"/>
      <c r="AK173" s="564"/>
      <c r="AL173" s="564"/>
      <c r="AM173" s="564"/>
      <c r="AN173" s="564"/>
      <c r="AO173" s="564"/>
    </row>
    <row r="174" spans="1:41" s="585" customFormat="1" ht="12" hidden="1" thickBot="1">
      <c r="A174" s="522" t="s">
        <v>195</v>
      </c>
      <c r="B174" s="522" t="s">
        <v>1362</v>
      </c>
      <c r="C174" s="522" t="s">
        <v>172</v>
      </c>
      <c r="D174" s="524">
        <v>74</v>
      </c>
      <c r="E174" s="526"/>
      <c r="F174" s="526"/>
      <c r="G174" s="526"/>
      <c r="H174" s="524">
        <v>19948394</v>
      </c>
      <c r="I174" s="568"/>
      <c r="J174" s="526"/>
      <c r="K174" s="568">
        <v>47032.95</v>
      </c>
      <c r="L174" s="525">
        <v>47032.95</v>
      </c>
      <c r="M174" s="525">
        <v>822</v>
      </c>
      <c r="N174" s="526"/>
      <c r="O174" s="526"/>
      <c r="P174" s="526"/>
      <c r="Q174" s="568">
        <v>43912.800000000003</v>
      </c>
      <c r="R174" s="568">
        <v>43912.800000000003</v>
      </c>
      <c r="S174" s="525">
        <v>11888.94</v>
      </c>
      <c r="T174" s="564"/>
      <c r="U174" s="564"/>
      <c r="V174" s="564"/>
      <c r="W174" s="564"/>
      <c r="X174" s="564"/>
      <c r="Y174" s="564"/>
      <c r="Z174" s="564"/>
      <c r="AA174" s="564"/>
      <c r="AB174" s="564"/>
      <c r="AC174" s="564"/>
      <c r="AD174" s="564"/>
      <c r="AE174" s="564"/>
      <c r="AF174" s="564"/>
      <c r="AG174" s="564"/>
      <c r="AH174" s="564"/>
      <c r="AI174" s="564"/>
      <c r="AJ174" s="564"/>
      <c r="AK174" s="564"/>
      <c r="AL174" s="564"/>
      <c r="AM174" s="564"/>
      <c r="AN174" s="564"/>
      <c r="AO174" s="564"/>
    </row>
    <row r="175" spans="1:41" s="585" customFormat="1" ht="12" hidden="1" thickBot="1">
      <c r="A175" s="522" t="s">
        <v>195</v>
      </c>
      <c r="B175" s="522" t="s">
        <v>1362</v>
      </c>
      <c r="C175" s="522" t="s">
        <v>173</v>
      </c>
      <c r="D175" s="530">
        <v>393</v>
      </c>
      <c r="E175" s="532"/>
      <c r="F175" s="532"/>
      <c r="G175" s="532"/>
      <c r="H175" s="530">
        <v>58274936</v>
      </c>
      <c r="I175" s="575"/>
      <c r="J175" s="532"/>
      <c r="K175" s="575">
        <v>153714.42000000001</v>
      </c>
      <c r="L175" s="531">
        <v>153714.42000000001</v>
      </c>
      <c r="M175" s="531">
        <v>5745.7</v>
      </c>
      <c r="N175" s="532"/>
      <c r="O175" s="532"/>
      <c r="P175" s="532"/>
      <c r="Q175" s="575">
        <v>145742.39999999999</v>
      </c>
      <c r="R175" s="575">
        <v>145742.39999999999</v>
      </c>
      <c r="S175" s="531">
        <v>87739.53</v>
      </c>
      <c r="T175" s="564"/>
      <c r="U175" s="564"/>
      <c r="V175" s="564"/>
      <c r="W175" s="564"/>
      <c r="X175" s="564"/>
      <c r="Y175" s="564"/>
      <c r="Z175" s="564"/>
      <c r="AA175" s="564"/>
      <c r="AB175" s="564"/>
      <c r="AC175" s="564"/>
      <c r="AD175" s="564"/>
      <c r="AE175" s="564"/>
      <c r="AF175" s="564"/>
      <c r="AG175" s="564"/>
      <c r="AH175" s="564"/>
      <c r="AI175" s="564"/>
      <c r="AJ175" s="564"/>
      <c r="AK175" s="564"/>
      <c r="AL175" s="564"/>
      <c r="AM175" s="564"/>
      <c r="AN175" s="564"/>
      <c r="AO175" s="564"/>
    </row>
    <row r="176" spans="1:41" s="585" customFormat="1" ht="12" hidden="1" thickBot="1">
      <c r="A176" s="522" t="s">
        <v>195</v>
      </c>
      <c r="B176" s="522" t="s">
        <v>1362</v>
      </c>
      <c r="C176" s="522" t="s">
        <v>174</v>
      </c>
      <c r="D176" s="524">
        <v>158</v>
      </c>
      <c r="E176" s="526"/>
      <c r="F176" s="526"/>
      <c r="G176" s="526"/>
      <c r="H176" s="524">
        <v>100192153</v>
      </c>
      <c r="I176" s="568">
        <v>267302.3</v>
      </c>
      <c r="J176" s="568">
        <v>256296.7</v>
      </c>
      <c r="K176" s="568">
        <v>251617.2</v>
      </c>
      <c r="L176" s="526"/>
      <c r="M176" s="526"/>
      <c r="N176" s="526"/>
      <c r="O176" s="568">
        <v>258634.4</v>
      </c>
      <c r="P176" s="568">
        <v>255439.3</v>
      </c>
      <c r="Q176" s="568">
        <v>250750.8</v>
      </c>
      <c r="R176" s="526"/>
      <c r="S176" s="526"/>
      <c r="T176" s="564"/>
      <c r="U176" s="564"/>
      <c r="V176" s="564"/>
      <c r="W176" s="564"/>
      <c r="X176" s="564"/>
      <c r="Y176" s="564"/>
      <c r="Z176" s="564"/>
      <c r="AA176" s="564"/>
      <c r="AB176" s="564"/>
      <c r="AC176" s="564"/>
      <c r="AD176" s="564"/>
      <c r="AE176" s="564"/>
      <c r="AF176" s="564"/>
      <c r="AG176" s="564"/>
      <c r="AH176" s="564"/>
      <c r="AI176" s="564"/>
      <c r="AJ176" s="564"/>
      <c r="AK176" s="564"/>
      <c r="AL176" s="564"/>
      <c r="AM176" s="564"/>
      <c r="AN176" s="564"/>
      <c r="AO176" s="564"/>
    </row>
    <row r="177" spans="1:41" s="585" customFormat="1" ht="12" hidden="1" thickBot="1">
      <c r="A177" s="522" t="s">
        <v>195</v>
      </c>
      <c r="B177" s="522" t="s">
        <v>1362</v>
      </c>
      <c r="C177" s="522" t="s">
        <v>175</v>
      </c>
      <c r="D177" s="530">
        <v>439</v>
      </c>
      <c r="E177" s="532"/>
      <c r="F177" s="532"/>
      <c r="G177" s="532"/>
      <c r="H177" s="530">
        <v>100848428</v>
      </c>
      <c r="I177" s="575">
        <v>252599</v>
      </c>
      <c r="J177" s="575">
        <v>236441.7</v>
      </c>
      <c r="K177" s="575">
        <v>232177</v>
      </c>
      <c r="L177" s="532"/>
      <c r="M177" s="532"/>
      <c r="N177" s="575">
        <v>25202.2</v>
      </c>
      <c r="O177" s="575">
        <v>238210.1</v>
      </c>
      <c r="P177" s="575">
        <v>236019.8</v>
      </c>
      <c r="Q177" s="575">
        <v>231678.6</v>
      </c>
      <c r="R177" s="532"/>
      <c r="S177" s="531">
        <v>94709.28</v>
      </c>
      <c r="T177" s="564"/>
      <c r="U177" s="564"/>
      <c r="V177" s="564"/>
      <c r="W177" s="564"/>
      <c r="X177" s="564"/>
      <c r="Y177" s="564"/>
      <c r="Z177" s="564"/>
      <c r="AA177" s="564"/>
      <c r="AB177" s="564"/>
      <c r="AC177" s="564"/>
      <c r="AD177" s="564"/>
      <c r="AE177" s="564"/>
      <c r="AF177" s="564"/>
      <c r="AG177" s="564"/>
      <c r="AH177" s="564"/>
      <c r="AI177" s="564"/>
      <c r="AJ177" s="564"/>
      <c r="AK177" s="564"/>
      <c r="AL177" s="564"/>
      <c r="AM177" s="564"/>
      <c r="AN177" s="564"/>
      <c r="AO177" s="564"/>
    </row>
    <row r="178" spans="1:41" s="585" customFormat="1" ht="12" hidden="1" thickBot="1">
      <c r="A178" s="522" t="s">
        <v>195</v>
      </c>
      <c r="B178" s="522" t="s">
        <v>1362</v>
      </c>
      <c r="C178" s="522" t="s">
        <v>177</v>
      </c>
      <c r="D178" s="524">
        <v>64676</v>
      </c>
      <c r="E178" s="526"/>
      <c r="F178" s="526"/>
      <c r="G178" s="526"/>
      <c r="H178" s="524">
        <v>55154602</v>
      </c>
      <c r="I178" s="526"/>
      <c r="J178" s="526"/>
      <c r="K178" s="526"/>
      <c r="L178" s="526"/>
      <c r="M178" s="526"/>
      <c r="N178" s="526"/>
      <c r="O178" s="568">
        <v>119547.4</v>
      </c>
      <c r="P178" s="526"/>
      <c r="Q178" s="568"/>
      <c r="R178" s="568">
        <v>119547.4</v>
      </c>
      <c r="S178" s="526"/>
      <c r="T178" s="564"/>
      <c r="U178" s="564"/>
      <c r="V178" s="564"/>
      <c r="W178" s="564"/>
      <c r="X178" s="564"/>
      <c r="Y178" s="564"/>
      <c r="Z178" s="564"/>
      <c r="AA178" s="564"/>
      <c r="AB178" s="564"/>
      <c r="AC178" s="564"/>
      <c r="AD178" s="564"/>
      <c r="AE178" s="564"/>
      <c r="AF178" s="564"/>
      <c r="AG178" s="564"/>
      <c r="AH178" s="564"/>
      <c r="AI178" s="564"/>
      <c r="AJ178" s="564"/>
      <c r="AK178" s="564"/>
      <c r="AL178" s="564"/>
      <c r="AM178" s="564"/>
      <c r="AN178" s="564"/>
      <c r="AO178" s="564"/>
    </row>
    <row r="179" spans="1:41" s="585" customFormat="1" ht="12" hidden="1" thickBot="1">
      <c r="A179" s="522" t="s">
        <v>195</v>
      </c>
      <c r="B179" s="522" t="s">
        <v>1362</v>
      </c>
      <c r="C179" s="522" t="s">
        <v>178</v>
      </c>
      <c r="D179" s="530">
        <v>61</v>
      </c>
      <c r="E179" s="532"/>
      <c r="F179" s="532"/>
      <c r="G179" s="532"/>
      <c r="H179" s="530">
        <v>10785</v>
      </c>
      <c r="I179" s="532"/>
      <c r="J179" s="532"/>
      <c r="K179" s="532"/>
      <c r="L179" s="532"/>
      <c r="M179" s="532"/>
      <c r="N179" s="532"/>
      <c r="O179" s="532"/>
      <c r="P179" s="532"/>
      <c r="Q179" s="532"/>
      <c r="R179" s="532"/>
      <c r="S179" s="532"/>
      <c r="T179" s="564"/>
      <c r="U179" s="564"/>
      <c r="V179" s="564"/>
      <c r="W179" s="564"/>
      <c r="X179" s="564"/>
      <c r="Y179" s="564"/>
      <c r="Z179" s="564"/>
      <c r="AA179" s="564"/>
      <c r="AB179" s="564"/>
      <c r="AC179" s="564"/>
      <c r="AD179" s="564"/>
      <c r="AE179" s="564"/>
      <c r="AF179" s="564"/>
      <c r="AG179" s="564"/>
      <c r="AH179" s="564"/>
      <c r="AI179" s="564"/>
      <c r="AJ179" s="564"/>
      <c r="AK179" s="564"/>
      <c r="AL179" s="564"/>
      <c r="AM179" s="564"/>
      <c r="AN179" s="564"/>
      <c r="AO179" s="564"/>
    </row>
    <row r="180" spans="1:41" s="585" customFormat="1" ht="12" hidden="1" thickBot="1">
      <c r="A180" s="522" t="s">
        <v>195</v>
      </c>
      <c r="B180" s="522" t="s">
        <v>1362</v>
      </c>
      <c r="C180" s="522" t="s">
        <v>179</v>
      </c>
      <c r="D180" s="524">
        <v>17119</v>
      </c>
      <c r="E180" s="526"/>
      <c r="F180" s="526"/>
      <c r="G180" s="526"/>
      <c r="H180" s="524">
        <v>77641848</v>
      </c>
      <c r="I180" s="526"/>
      <c r="J180" s="526"/>
      <c r="K180" s="526"/>
      <c r="L180" s="526"/>
      <c r="M180" s="526"/>
      <c r="N180" s="526"/>
      <c r="O180" s="568">
        <v>352432.9</v>
      </c>
      <c r="P180" s="526"/>
      <c r="Q180" s="568"/>
      <c r="R180" s="568">
        <v>352432.9</v>
      </c>
      <c r="S180" s="526"/>
      <c r="T180" s="564"/>
      <c r="U180" s="564"/>
      <c r="V180" s="564"/>
      <c r="W180" s="564"/>
      <c r="X180" s="564"/>
      <c r="Y180" s="564"/>
      <c r="Z180" s="564"/>
      <c r="AA180" s="564"/>
      <c r="AB180" s="564"/>
      <c r="AC180" s="564"/>
      <c r="AD180" s="564"/>
      <c r="AE180" s="564"/>
      <c r="AF180" s="564"/>
      <c r="AG180" s="564"/>
      <c r="AH180" s="564"/>
      <c r="AI180" s="564"/>
      <c r="AJ180" s="564"/>
      <c r="AK180" s="564"/>
      <c r="AL180" s="564"/>
      <c r="AM180" s="564"/>
      <c r="AN180" s="564"/>
      <c r="AO180" s="564"/>
    </row>
    <row r="181" spans="1:41" s="585" customFormat="1" ht="12" hidden="1" thickBot="1">
      <c r="A181" s="522" t="s">
        <v>195</v>
      </c>
      <c r="B181" s="522" t="s">
        <v>1362</v>
      </c>
      <c r="C181" s="522" t="s">
        <v>180</v>
      </c>
      <c r="D181" s="530">
        <v>333</v>
      </c>
      <c r="E181" s="532"/>
      <c r="F181" s="532"/>
      <c r="G181" s="532"/>
      <c r="H181" s="530">
        <v>428919</v>
      </c>
      <c r="I181" s="532"/>
      <c r="J181" s="532"/>
      <c r="K181" s="532"/>
      <c r="L181" s="532"/>
      <c r="M181" s="532"/>
      <c r="N181" s="532"/>
      <c r="O181" s="575">
        <v>2580.1999999999998</v>
      </c>
      <c r="P181" s="532"/>
      <c r="Q181" s="575"/>
      <c r="R181" s="575">
        <v>2580.1999999999998</v>
      </c>
      <c r="S181" s="532"/>
      <c r="T181" s="564"/>
      <c r="U181" s="564"/>
      <c r="V181" s="564"/>
      <c r="W181" s="564"/>
      <c r="X181" s="564"/>
      <c r="Y181" s="564"/>
      <c r="Z181" s="564"/>
      <c r="AA181" s="564"/>
      <c r="AB181" s="564"/>
      <c r="AC181" s="564"/>
      <c r="AD181" s="564"/>
      <c r="AE181" s="564"/>
      <c r="AF181" s="564"/>
      <c r="AG181" s="564"/>
      <c r="AH181" s="564"/>
      <c r="AI181" s="564"/>
      <c r="AJ181" s="564"/>
      <c r="AK181" s="564"/>
      <c r="AL181" s="564"/>
      <c r="AM181" s="564"/>
      <c r="AN181" s="564"/>
      <c r="AO181" s="564"/>
    </row>
    <row r="182" spans="1:41" s="585" customFormat="1" ht="12" hidden="1" thickBot="1">
      <c r="A182" s="522" t="s">
        <v>195</v>
      </c>
      <c r="B182" s="522" t="s">
        <v>1362</v>
      </c>
      <c r="C182" s="522" t="s">
        <v>190</v>
      </c>
      <c r="D182" s="524">
        <v>228849</v>
      </c>
      <c r="E182" s="526"/>
      <c r="F182" s="526"/>
      <c r="G182" s="526"/>
      <c r="H182" s="524">
        <v>175043396</v>
      </c>
      <c r="I182" s="526"/>
      <c r="J182" s="526"/>
      <c r="K182" s="526"/>
      <c r="L182" s="526"/>
      <c r="M182" s="526"/>
      <c r="N182" s="526"/>
      <c r="O182" s="526"/>
      <c r="P182" s="526"/>
      <c r="Q182" s="526"/>
      <c r="R182" s="526"/>
      <c r="S182" s="526"/>
      <c r="T182" s="564"/>
      <c r="U182" s="564"/>
      <c r="V182" s="564"/>
      <c r="W182" s="564"/>
      <c r="X182" s="564"/>
      <c r="Y182" s="564"/>
      <c r="Z182" s="564"/>
      <c r="AA182" s="564"/>
      <c r="AB182" s="564"/>
      <c r="AC182" s="564"/>
      <c r="AD182" s="564"/>
      <c r="AE182" s="564"/>
      <c r="AF182" s="564"/>
      <c r="AG182" s="564"/>
      <c r="AH182" s="564"/>
      <c r="AI182" s="564"/>
      <c r="AJ182" s="564"/>
      <c r="AK182" s="564"/>
      <c r="AL182" s="564"/>
      <c r="AM182" s="564"/>
      <c r="AN182" s="564"/>
      <c r="AO182" s="564"/>
    </row>
    <row r="183" spans="1:41" s="585" customFormat="1" ht="12" hidden="1" thickBot="1">
      <c r="A183" s="522" t="s">
        <v>195</v>
      </c>
      <c r="B183" s="522" t="s">
        <v>1362</v>
      </c>
      <c r="C183" s="522" t="s">
        <v>191</v>
      </c>
      <c r="D183" s="530">
        <v>194797</v>
      </c>
      <c r="E183" s="532"/>
      <c r="F183" s="532"/>
      <c r="G183" s="532"/>
      <c r="H183" s="530">
        <v>176531151</v>
      </c>
      <c r="I183" s="532"/>
      <c r="J183" s="532"/>
      <c r="K183" s="532"/>
      <c r="L183" s="532"/>
      <c r="M183" s="532"/>
      <c r="N183" s="532"/>
      <c r="O183" s="532"/>
      <c r="P183" s="532"/>
      <c r="Q183" s="532"/>
      <c r="R183" s="532"/>
      <c r="S183" s="532"/>
      <c r="T183" s="564"/>
      <c r="U183" s="564"/>
      <c r="V183" s="564"/>
      <c r="W183" s="564"/>
      <c r="X183" s="564"/>
      <c r="Y183" s="564"/>
      <c r="Z183" s="564"/>
      <c r="AA183" s="564"/>
      <c r="AB183" s="564"/>
      <c r="AC183" s="564"/>
      <c r="AD183" s="564"/>
      <c r="AE183" s="564"/>
      <c r="AF183" s="564"/>
      <c r="AG183" s="564"/>
      <c r="AH183" s="564"/>
      <c r="AI183" s="564"/>
      <c r="AJ183" s="564"/>
      <c r="AK183" s="564"/>
      <c r="AL183" s="564"/>
      <c r="AM183" s="564"/>
      <c r="AN183" s="564"/>
      <c r="AO183" s="564"/>
    </row>
    <row r="184" spans="1:41" s="585" customFormat="1" ht="12" hidden="1" thickBot="1">
      <c r="A184" s="522" t="s">
        <v>195</v>
      </c>
      <c r="B184" s="522" t="s">
        <v>1362</v>
      </c>
      <c r="C184" s="522" t="s">
        <v>192</v>
      </c>
      <c r="D184" s="524">
        <v>243</v>
      </c>
      <c r="E184" s="526"/>
      <c r="F184" s="526"/>
      <c r="G184" s="526"/>
      <c r="H184" s="524">
        <v>403406</v>
      </c>
      <c r="I184" s="526"/>
      <c r="J184" s="526"/>
      <c r="K184" s="526"/>
      <c r="L184" s="526"/>
      <c r="M184" s="526"/>
      <c r="N184" s="526"/>
      <c r="O184" s="526"/>
      <c r="P184" s="526"/>
      <c r="Q184" s="526"/>
      <c r="R184" s="526"/>
      <c r="S184" s="526"/>
      <c r="T184" s="564"/>
      <c r="U184" s="564"/>
      <c r="V184" s="564"/>
      <c r="W184" s="564"/>
      <c r="X184" s="564"/>
      <c r="Y184" s="564"/>
      <c r="Z184" s="564"/>
      <c r="AA184" s="564"/>
      <c r="AB184" s="564"/>
      <c r="AC184" s="564"/>
      <c r="AD184" s="564"/>
      <c r="AE184" s="564"/>
      <c r="AF184" s="564"/>
      <c r="AG184" s="564"/>
      <c r="AH184" s="564"/>
      <c r="AI184" s="564"/>
      <c r="AJ184" s="564"/>
      <c r="AK184" s="564"/>
      <c r="AL184" s="564"/>
      <c r="AM184" s="564"/>
      <c r="AN184" s="564"/>
      <c r="AO184" s="564"/>
    </row>
    <row r="185" spans="1:41" s="585" customFormat="1" ht="12" hidden="1" thickBot="1">
      <c r="A185" s="522" t="s">
        <v>195</v>
      </c>
      <c r="B185" s="522" t="s">
        <v>1362</v>
      </c>
      <c r="C185" s="522" t="s">
        <v>193</v>
      </c>
      <c r="D185" s="530">
        <v>50</v>
      </c>
      <c r="E185" s="532"/>
      <c r="F185" s="532"/>
      <c r="G185" s="532"/>
      <c r="H185" s="530">
        <v>61280</v>
      </c>
      <c r="I185" s="532"/>
      <c r="J185" s="532"/>
      <c r="K185" s="532"/>
      <c r="L185" s="532"/>
      <c r="M185" s="532"/>
      <c r="N185" s="532"/>
      <c r="O185" s="532"/>
      <c r="P185" s="532"/>
      <c r="Q185" s="532"/>
      <c r="R185" s="532"/>
      <c r="S185" s="532"/>
      <c r="T185" s="564"/>
      <c r="U185" s="564"/>
      <c r="V185" s="564"/>
      <c r="W185" s="564"/>
      <c r="X185" s="564"/>
      <c r="Y185" s="564"/>
      <c r="Z185" s="564"/>
      <c r="AA185" s="564"/>
      <c r="AB185" s="564"/>
      <c r="AC185" s="564"/>
      <c r="AD185" s="564"/>
      <c r="AE185" s="564"/>
      <c r="AF185" s="564"/>
      <c r="AG185" s="564"/>
      <c r="AH185" s="564"/>
      <c r="AI185" s="564"/>
      <c r="AJ185" s="564"/>
      <c r="AK185" s="564"/>
      <c r="AL185" s="564"/>
      <c r="AM185" s="564"/>
      <c r="AN185" s="564"/>
      <c r="AO185" s="564"/>
    </row>
    <row r="186" spans="1:41" s="585" customFormat="1" ht="12" hidden="1" thickBot="1">
      <c r="A186" s="522" t="s">
        <v>195</v>
      </c>
      <c r="B186" s="522" t="s">
        <v>1362</v>
      </c>
      <c r="C186" s="522" t="s">
        <v>194</v>
      </c>
      <c r="D186" s="524">
        <v>52</v>
      </c>
      <c r="E186" s="526"/>
      <c r="F186" s="526"/>
      <c r="G186" s="526"/>
      <c r="H186" s="524">
        <v>33790</v>
      </c>
      <c r="I186" s="526"/>
      <c r="J186" s="526"/>
      <c r="K186" s="526"/>
      <c r="L186" s="526"/>
      <c r="M186" s="526"/>
      <c r="N186" s="526"/>
      <c r="O186" s="526"/>
      <c r="P186" s="526"/>
      <c r="Q186" s="526"/>
      <c r="R186" s="526"/>
      <c r="S186" s="526"/>
      <c r="T186" s="564"/>
      <c r="U186" s="564"/>
      <c r="V186" s="564"/>
      <c r="W186" s="564"/>
      <c r="X186" s="564"/>
      <c r="Y186" s="564"/>
      <c r="Z186" s="564"/>
      <c r="AA186" s="564"/>
      <c r="AB186" s="564"/>
      <c r="AC186" s="564"/>
      <c r="AD186" s="564"/>
      <c r="AE186" s="564"/>
      <c r="AF186" s="564"/>
      <c r="AG186" s="564"/>
      <c r="AH186" s="564"/>
      <c r="AI186" s="564"/>
      <c r="AJ186" s="564"/>
      <c r="AK186" s="564"/>
      <c r="AL186" s="564"/>
      <c r="AM186" s="564"/>
      <c r="AN186" s="564"/>
      <c r="AO186" s="564"/>
    </row>
    <row r="187" spans="1:41" s="585" customFormat="1" ht="12" hidden="1" thickBot="1">
      <c r="A187" s="522" t="s">
        <v>195</v>
      </c>
      <c r="B187" s="522" t="s">
        <v>1362</v>
      </c>
      <c r="C187" s="522" t="s">
        <v>440</v>
      </c>
      <c r="D187" s="530">
        <v>3</v>
      </c>
      <c r="E187" s="532"/>
      <c r="F187" s="532"/>
      <c r="G187" s="532"/>
      <c r="H187" s="530">
        <v>3610</v>
      </c>
      <c r="I187" s="532"/>
      <c r="J187" s="532"/>
      <c r="K187" s="532"/>
      <c r="L187" s="532"/>
      <c r="M187" s="532"/>
      <c r="N187" s="532"/>
      <c r="O187" s="532"/>
      <c r="P187" s="532"/>
      <c r="Q187" s="532"/>
      <c r="R187" s="532"/>
      <c r="S187" s="532"/>
      <c r="T187" s="564"/>
      <c r="U187" s="564"/>
      <c r="V187" s="564"/>
      <c r="W187" s="564"/>
      <c r="X187" s="564"/>
      <c r="Y187" s="564"/>
      <c r="Z187" s="564"/>
      <c r="AA187" s="564"/>
      <c r="AB187" s="564"/>
      <c r="AC187" s="564"/>
      <c r="AD187" s="564"/>
      <c r="AE187" s="564"/>
      <c r="AF187" s="564"/>
      <c r="AG187" s="564"/>
      <c r="AH187" s="564"/>
      <c r="AI187" s="564"/>
      <c r="AJ187" s="564"/>
      <c r="AK187" s="564"/>
      <c r="AL187" s="564"/>
      <c r="AM187" s="564"/>
      <c r="AN187" s="564"/>
      <c r="AO187" s="564"/>
    </row>
    <row r="188" spans="1:41" s="585" customFormat="1" ht="12" hidden="1" thickBot="1">
      <c r="A188" s="522" t="s">
        <v>195</v>
      </c>
      <c r="B188" s="522" t="s">
        <v>1362</v>
      </c>
      <c r="C188" s="522" t="s">
        <v>441</v>
      </c>
      <c r="D188" s="524">
        <v>1</v>
      </c>
      <c r="E188" s="526"/>
      <c r="F188" s="526"/>
      <c r="G188" s="526"/>
      <c r="H188" s="524">
        <v>712</v>
      </c>
      <c r="I188" s="526"/>
      <c r="J188" s="526"/>
      <c r="K188" s="526"/>
      <c r="L188" s="526"/>
      <c r="M188" s="526"/>
      <c r="N188" s="526"/>
      <c r="O188" s="526"/>
      <c r="P188" s="526"/>
      <c r="Q188" s="526"/>
      <c r="R188" s="526"/>
      <c r="S188" s="526"/>
      <c r="T188" s="564"/>
      <c r="U188" s="564"/>
      <c r="V188" s="564"/>
      <c r="W188" s="564"/>
      <c r="X188" s="564"/>
      <c r="Y188" s="564"/>
      <c r="Z188" s="564"/>
      <c r="AA188" s="564"/>
      <c r="AB188" s="564"/>
      <c r="AC188" s="564"/>
      <c r="AD188" s="564"/>
      <c r="AE188" s="564"/>
      <c r="AF188" s="564"/>
      <c r="AG188" s="564"/>
      <c r="AH188" s="564"/>
      <c r="AI188" s="564"/>
      <c r="AJ188" s="564"/>
      <c r="AK188" s="564"/>
      <c r="AL188" s="564"/>
      <c r="AM188" s="564"/>
      <c r="AN188" s="564"/>
      <c r="AO188" s="564"/>
    </row>
    <row r="189" spans="1:41" s="585" customFormat="1" ht="12" hidden="1" thickBot="1">
      <c r="A189" s="522" t="s">
        <v>195</v>
      </c>
      <c r="B189" s="522" t="s">
        <v>1362</v>
      </c>
      <c r="C189" s="522" t="s">
        <v>185</v>
      </c>
      <c r="D189" s="530">
        <v>8</v>
      </c>
      <c r="E189" s="532"/>
      <c r="F189" s="532"/>
      <c r="G189" s="532"/>
      <c r="H189" s="530">
        <v>3336</v>
      </c>
      <c r="I189" s="532"/>
      <c r="J189" s="532"/>
      <c r="K189" s="532"/>
      <c r="L189" s="532"/>
      <c r="M189" s="532"/>
      <c r="N189" s="532"/>
      <c r="O189" s="532"/>
      <c r="P189" s="532"/>
      <c r="Q189" s="532"/>
      <c r="R189" s="532"/>
      <c r="S189" s="532"/>
    </row>
    <row r="190" spans="1:41" s="585" customFormat="1" ht="12" hidden="1" thickBot="1">
      <c r="A190" s="522" t="s">
        <v>195</v>
      </c>
      <c r="B190" s="522" t="s">
        <v>1362</v>
      </c>
      <c r="C190" s="522" t="s">
        <v>189</v>
      </c>
      <c r="D190" s="524">
        <v>1</v>
      </c>
      <c r="E190" s="526"/>
      <c r="F190" s="526"/>
      <c r="G190" s="526"/>
      <c r="H190" s="524">
        <v>47520000</v>
      </c>
      <c r="I190" s="568">
        <v>190601.2</v>
      </c>
      <c r="J190" s="568">
        <v>190601.2</v>
      </c>
      <c r="K190" s="568">
        <v>137655.1</v>
      </c>
      <c r="L190" s="526"/>
      <c r="M190" s="526"/>
      <c r="N190" s="526"/>
      <c r="O190" s="568">
        <v>190601.2</v>
      </c>
      <c r="P190" s="568">
        <v>190601.2</v>
      </c>
      <c r="Q190" s="568">
        <v>137655.1</v>
      </c>
      <c r="R190" s="526"/>
      <c r="S190" s="526"/>
    </row>
    <row r="191" spans="1:41" s="585" customFormat="1" ht="12" hidden="1" thickBot="1">
      <c r="A191" s="522" t="s">
        <v>195</v>
      </c>
      <c r="B191" s="522" t="s">
        <v>1362</v>
      </c>
      <c r="C191" s="522" t="s">
        <v>233</v>
      </c>
      <c r="D191" s="530">
        <v>1</v>
      </c>
      <c r="E191" s="532"/>
      <c r="F191" s="532"/>
      <c r="G191" s="532"/>
      <c r="H191" s="530">
        <v>9255</v>
      </c>
      <c r="I191" s="532"/>
      <c r="J191" s="532"/>
      <c r="K191" s="532"/>
      <c r="L191" s="532"/>
      <c r="M191" s="532"/>
      <c r="N191" s="532"/>
      <c r="O191" s="575">
        <v>33.6</v>
      </c>
      <c r="P191" s="532"/>
      <c r="Q191" s="575"/>
      <c r="R191" s="575">
        <v>33.6</v>
      </c>
      <c r="S191" s="532"/>
    </row>
    <row r="192" spans="1:41" s="585" customFormat="1" ht="12" hidden="1" thickBot="1">
      <c r="A192" s="522" t="s">
        <v>195</v>
      </c>
      <c r="B192" s="522" t="s">
        <v>1362</v>
      </c>
      <c r="C192" s="522" t="s">
        <v>232</v>
      </c>
      <c r="D192" s="524">
        <v>1</v>
      </c>
      <c r="E192" s="526"/>
      <c r="F192" s="526"/>
      <c r="G192" s="526"/>
      <c r="H192" s="524">
        <v>3338</v>
      </c>
      <c r="I192" s="526"/>
      <c r="J192" s="526"/>
      <c r="K192" s="526"/>
      <c r="L192" s="526"/>
      <c r="M192" s="526"/>
      <c r="N192" s="526"/>
      <c r="O192" s="526"/>
      <c r="P192" s="526"/>
      <c r="Q192" s="526"/>
      <c r="R192" s="526"/>
      <c r="S192" s="526"/>
    </row>
    <row r="193" spans="1:19" s="585" customFormat="1" ht="12" thickBot="1">
      <c r="A193" s="522" t="s">
        <v>195</v>
      </c>
      <c r="B193" s="522" t="s">
        <v>1362</v>
      </c>
      <c r="C193" s="522" t="s">
        <v>184</v>
      </c>
      <c r="D193" s="530">
        <v>474</v>
      </c>
      <c r="E193" s="532"/>
      <c r="F193" s="532"/>
      <c r="G193" s="532"/>
      <c r="H193" s="530">
        <v>89696</v>
      </c>
      <c r="I193" s="532"/>
      <c r="J193" s="532"/>
      <c r="K193" s="532"/>
      <c r="L193" s="532"/>
      <c r="M193" s="532"/>
      <c r="N193" s="532"/>
      <c r="O193" s="575">
        <v>16.5</v>
      </c>
      <c r="P193" s="532"/>
      <c r="Q193" s="575"/>
      <c r="R193" s="575">
        <v>16.5</v>
      </c>
      <c r="S193" s="532"/>
    </row>
    <row r="194" spans="1:19" ht="12" hidden="1" thickBot="1">
      <c r="A194" s="843" t="s">
        <v>195</v>
      </c>
      <c r="B194" s="843" t="s">
        <v>1362</v>
      </c>
      <c r="C194" s="843" t="s">
        <v>187</v>
      </c>
      <c r="D194" s="855">
        <v>1</v>
      </c>
      <c r="E194" s="871"/>
      <c r="F194" s="871"/>
      <c r="G194" s="871"/>
      <c r="H194" s="871"/>
      <c r="I194" s="863"/>
      <c r="J194" s="863"/>
      <c r="K194" s="863"/>
      <c r="L194" s="863"/>
      <c r="M194" s="863"/>
      <c r="N194" s="863"/>
      <c r="O194" s="863"/>
      <c r="P194" s="863"/>
      <c r="Q194" s="863"/>
      <c r="R194" s="863"/>
      <c r="S194" s="863"/>
    </row>
    <row r="195" spans="1:19" ht="12" hidden="1" thickBot="1">
      <c r="A195" s="843" t="s">
        <v>195</v>
      </c>
      <c r="B195" s="843" t="s">
        <v>1362</v>
      </c>
      <c r="C195" s="843" t="s">
        <v>188</v>
      </c>
      <c r="D195" s="854">
        <v>1</v>
      </c>
      <c r="E195" s="870"/>
      <c r="F195" s="870"/>
      <c r="G195" s="870"/>
      <c r="H195" s="870"/>
      <c r="I195" s="862"/>
      <c r="J195" s="862"/>
      <c r="K195" s="862"/>
      <c r="L195" s="862"/>
      <c r="M195" s="862"/>
      <c r="N195" s="862"/>
      <c r="O195" s="862"/>
      <c r="P195" s="862"/>
      <c r="Q195" s="862"/>
      <c r="R195" s="862"/>
      <c r="S195" s="862"/>
    </row>
    <row r="196" spans="1:19" ht="12" hidden="1" thickBot="1">
      <c r="A196" s="843" t="s">
        <v>195</v>
      </c>
      <c r="B196" s="843" t="s">
        <v>1362</v>
      </c>
      <c r="C196" s="843" t="s">
        <v>1358</v>
      </c>
      <c r="D196" s="855">
        <v>1</v>
      </c>
      <c r="E196" s="871"/>
      <c r="F196" s="871"/>
      <c r="G196" s="871"/>
      <c r="H196" s="871"/>
      <c r="I196" s="863"/>
      <c r="J196" s="863"/>
      <c r="K196" s="863"/>
      <c r="L196" s="863"/>
      <c r="M196" s="863"/>
      <c r="N196" s="863"/>
      <c r="O196" s="863"/>
      <c r="P196" s="863"/>
      <c r="Q196" s="863"/>
      <c r="R196" s="863"/>
      <c r="S196" s="863"/>
    </row>
    <row r="197" spans="1:19" ht="12" hidden="1" thickBot="1">
      <c r="A197" s="843" t="s">
        <v>195</v>
      </c>
      <c r="B197" s="843" t="s">
        <v>1362</v>
      </c>
      <c r="C197" s="843" t="s">
        <v>1045</v>
      </c>
      <c r="D197" s="854">
        <v>1</v>
      </c>
      <c r="E197" s="870"/>
      <c r="F197" s="870"/>
      <c r="G197" s="870"/>
      <c r="H197" s="870"/>
      <c r="I197" s="862"/>
      <c r="J197" s="862"/>
      <c r="K197" s="862"/>
      <c r="L197" s="862"/>
      <c r="M197" s="862"/>
      <c r="N197" s="862"/>
      <c r="O197" s="862"/>
      <c r="P197" s="862"/>
      <c r="Q197" s="862"/>
      <c r="R197" s="862"/>
      <c r="S197" s="862"/>
    </row>
    <row r="198" spans="1:19" s="585" customFormat="1" ht="12" hidden="1" thickBot="1">
      <c r="A198" s="522" t="s">
        <v>195</v>
      </c>
      <c r="B198" s="522" t="s">
        <v>1362</v>
      </c>
      <c r="C198" s="522" t="s">
        <v>186</v>
      </c>
      <c r="D198" s="524">
        <v>2</v>
      </c>
      <c r="E198" s="526"/>
      <c r="F198" s="526"/>
      <c r="G198" s="526"/>
      <c r="H198" s="524">
        <v>10160</v>
      </c>
      <c r="I198" s="526"/>
      <c r="J198" s="526"/>
      <c r="K198" s="526"/>
      <c r="L198" s="526"/>
      <c r="M198" s="526"/>
      <c r="N198" s="526"/>
      <c r="O198" s="568">
        <v>61</v>
      </c>
      <c r="P198" s="526"/>
      <c r="Q198" s="568"/>
      <c r="R198" s="568">
        <v>61</v>
      </c>
      <c r="S198" s="526"/>
    </row>
    <row r="199" spans="1:19" s="585" customFormat="1" ht="12" hidden="1" thickBot="1">
      <c r="A199" s="522" t="s">
        <v>195</v>
      </c>
      <c r="B199" s="522" t="s">
        <v>1362</v>
      </c>
      <c r="C199" s="522" t="s">
        <v>176</v>
      </c>
      <c r="D199" s="530">
        <v>1</v>
      </c>
      <c r="E199" s="532"/>
      <c r="F199" s="532"/>
      <c r="G199" s="532"/>
      <c r="H199" s="530">
        <v>25360</v>
      </c>
      <c r="I199" s="575"/>
      <c r="J199" s="532"/>
      <c r="K199" s="575"/>
      <c r="L199" s="531">
        <v>100</v>
      </c>
      <c r="M199" s="532"/>
      <c r="N199" s="532"/>
      <c r="O199" s="575"/>
      <c r="P199" s="575"/>
      <c r="Q199" s="575">
        <v>77.5</v>
      </c>
      <c r="R199" s="575">
        <v>77.5</v>
      </c>
      <c r="S199" s="532"/>
    </row>
    <row r="200" spans="1:19" s="585" customFormat="1" ht="12" hidden="1" thickBot="1">
      <c r="A200" s="522" t="s">
        <v>195</v>
      </c>
      <c r="B200" s="522" t="s">
        <v>1362</v>
      </c>
      <c r="C200" s="522" t="s">
        <v>182</v>
      </c>
      <c r="D200" s="524">
        <v>67</v>
      </c>
      <c r="E200" s="526"/>
      <c r="F200" s="526"/>
      <c r="G200" s="526"/>
      <c r="H200" s="524">
        <v>353566</v>
      </c>
      <c r="I200" s="526"/>
      <c r="J200" s="526"/>
      <c r="K200" s="526"/>
      <c r="L200" s="526"/>
      <c r="M200" s="526"/>
      <c r="N200" s="526"/>
      <c r="O200" s="568">
        <v>3228.6</v>
      </c>
      <c r="P200" s="526"/>
      <c r="Q200" s="568"/>
      <c r="R200" s="568">
        <v>3228.6</v>
      </c>
      <c r="S200" s="526"/>
    </row>
    <row r="201" spans="1:19" s="585" customFormat="1" ht="12" hidden="1" thickBot="1">
      <c r="A201" s="522" t="s">
        <v>195</v>
      </c>
      <c r="B201" s="522" t="s">
        <v>1362</v>
      </c>
      <c r="C201" s="522" t="s">
        <v>477</v>
      </c>
      <c r="D201" s="530">
        <v>5</v>
      </c>
      <c r="E201" s="531">
        <v>2666</v>
      </c>
      <c r="F201" s="531">
        <v>814</v>
      </c>
      <c r="G201" s="531">
        <v>473</v>
      </c>
      <c r="H201" s="530">
        <v>3953</v>
      </c>
      <c r="I201" s="532"/>
      <c r="J201" s="532"/>
      <c r="K201" s="532"/>
      <c r="L201" s="532"/>
      <c r="M201" s="532"/>
      <c r="N201" s="532"/>
      <c r="O201" s="532"/>
      <c r="P201" s="532"/>
      <c r="Q201" s="532"/>
      <c r="R201" s="532"/>
      <c r="S201" s="532"/>
    </row>
    <row r="202" spans="1:19" s="585" customFormat="1" ht="12" hidden="1" thickBot="1">
      <c r="A202" s="522" t="s">
        <v>195</v>
      </c>
      <c r="B202" s="522" t="s">
        <v>1362</v>
      </c>
      <c r="C202" s="522" t="s">
        <v>181</v>
      </c>
      <c r="D202" s="524">
        <v>6</v>
      </c>
      <c r="E202" s="526"/>
      <c r="F202" s="526"/>
      <c r="G202" s="526"/>
      <c r="H202" s="524">
        <v>900</v>
      </c>
      <c r="I202" s="526"/>
      <c r="J202" s="526"/>
      <c r="K202" s="526"/>
      <c r="L202" s="526"/>
      <c r="M202" s="526"/>
      <c r="N202" s="526"/>
      <c r="O202" s="568">
        <v>103.4</v>
      </c>
      <c r="P202" s="526"/>
      <c r="Q202" s="568"/>
      <c r="R202" s="568">
        <v>103.4</v>
      </c>
      <c r="S202" s="526"/>
    </row>
    <row r="203" spans="1:19" s="585" customFormat="1" ht="12" hidden="1" thickBot="1">
      <c r="A203" s="522" t="s">
        <v>195</v>
      </c>
      <c r="B203" s="522" t="s">
        <v>1362</v>
      </c>
      <c r="C203" s="522" t="s">
        <v>183</v>
      </c>
      <c r="D203" s="530">
        <v>4</v>
      </c>
      <c r="E203" s="532"/>
      <c r="F203" s="532"/>
      <c r="G203" s="532"/>
      <c r="H203" s="530">
        <v>244540</v>
      </c>
      <c r="I203" s="532"/>
      <c r="J203" s="532"/>
      <c r="K203" s="532"/>
      <c r="L203" s="532"/>
      <c r="M203" s="532"/>
      <c r="N203" s="532"/>
      <c r="O203" s="575">
        <v>938.3</v>
      </c>
      <c r="P203" s="532"/>
      <c r="Q203" s="575"/>
      <c r="R203" s="575">
        <v>938.3</v>
      </c>
      <c r="S203" s="532"/>
    </row>
    <row r="204" spans="1:19" s="585" customFormat="1" ht="12" hidden="1" thickBot="1">
      <c r="A204" s="522" t="s">
        <v>195</v>
      </c>
      <c r="B204" s="522" t="s">
        <v>1362</v>
      </c>
      <c r="C204" s="522" t="s">
        <v>652</v>
      </c>
      <c r="D204" s="524">
        <v>272</v>
      </c>
      <c r="E204" s="526"/>
      <c r="F204" s="526"/>
      <c r="G204" s="526"/>
      <c r="H204" s="524">
        <v>14416</v>
      </c>
      <c r="I204" s="526"/>
      <c r="J204" s="526"/>
      <c r="K204" s="526"/>
      <c r="L204" s="526"/>
      <c r="M204" s="526"/>
      <c r="N204" s="526"/>
      <c r="O204" s="526"/>
      <c r="P204" s="526"/>
      <c r="Q204" s="526"/>
      <c r="R204" s="526"/>
      <c r="S204" s="526"/>
    </row>
    <row r="205" spans="1:19" s="585" customFormat="1" ht="12" hidden="1" thickBot="1">
      <c r="A205" s="522" t="s">
        <v>195</v>
      </c>
      <c r="B205" s="522" t="s">
        <v>1362</v>
      </c>
      <c r="C205" s="522" t="s">
        <v>720</v>
      </c>
      <c r="D205" s="530">
        <v>96</v>
      </c>
      <c r="E205" s="532"/>
      <c r="F205" s="532"/>
      <c r="G205" s="532"/>
      <c r="H205" s="530">
        <v>2129140</v>
      </c>
      <c r="I205" s="532"/>
      <c r="J205" s="532"/>
      <c r="K205" s="532"/>
      <c r="L205" s="532"/>
      <c r="M205" s="532"/>
      <c r="N205" s="532"/>
      <c r="O205" s="575">
        <v>10210.6</v>
      </c>
      <c r="P205" s="532"/>
      <c r="Q205" s="575"/>
      <c r="R205" s="575">
        <v>10210.6</v>
      </c>
      <c r="S205" s="532"/>
    </row>
    <row r="206" spans="1:19" s="585" customFormat="1" ht="12" hidden="1" thickBot="1">
      <c r="A206" s="522" t="s">
        <v>195</v>
      </c>
      <c r="B206" s="522" t="s">
        <v>1362</v>
      </c>
      <c r="C206" s="522" t="s">
        <v>721</v>
      </c>
      <c r="D206" s="524">
        <v>19</v>
      </c>
      <c r="E206" s="526"/>
      <c r="F206" s="526"/>
      <c r="G206" s="526"/>
      <c r="H206" s="524">
        <v>45091</v>
      </c>
      <c r="I206" s="526"/>
      <c r="J206" s="526"/>
      <c r="K206" s="526"/>
      <c r="L206" s="526"/>
      <c r="M206" s="526"/>
      <c r="N206" s="526"/>
      <c r="O206" s="568">
        <v>1465.5</v>
      </c>
      <c r="P206" s="526"/>
      <c r="Q206" s="568"/>
      <c r="R206" s="568">
        <v>1465.5</v>
      </c>
      <c r="S206" s="526"/>
    </row>
    <row r="207" spans="1:19" s="585" customFormat="1" ht="12" hidden="1" thickBot="1">
      <c r="A207" s="522" t="s">
        <v>195</v>
      </c>
      <c r="B207" s="522" t="s">
        <v>1362</v>
      </c>
      <c r="C207" s="522" t="s">
        <v>722</v>
      </c>
      <c r="D207" s="530">
        <v>99</v>
      </c>
      <c r="E207" s="532"/>
      <c r="F207" s="532"/>
      <c r="G207" s="532"/>
      <c r="H207" s="530">
        <v>8359304</v>
      </c>
      <c r="I207" s="532"/>
      <c r="J207" s="532"/>
      <c r="K207" s="532"/>
      <c r="L207" s="532"/>
      <c r="M207" s="532"/>
      <c r="N207" s="532"/>
      <c r="O207" s="575">
        <v>33244.800000000003</v>
      </c>
      <c r="P207" s="532"/>
      <c r="Q207" s="575"/>
      <c r="R207" s="575">
        <v>33244.800000000003</v>
      </c>
      <c r="S207" s="532"/>
    </row>
    <row r="208" spans="1:19" s="585" customFormat="1" ht="12" hidden="1" thickBot="1">
      <c r="A208" s="522" t="s">
        <v>195</v>
      </c>
      <c r="B208" s="522" t="s">
        <v>1362</v>
      </c>
      <c r="C208" s="582" t="s">
        <v>9</v>
      </c>
      <c r="D208" s="539">
        <v>513398</v>
      </c>
      <c r="E208" s="540">
        <v>2666</v>
      </c>
      <c r="F208" s="540">
        <v>814</v>
      </c>
      <c r="G208" s="540">
        <v>473</v>
      </c>
      <c r="H208" s="539">
        <v>1331891290</v>
      </c>
      <c r="I208" s="581">
        <v>2152837.37</v>
      </c>
      <c r="J208" s="581">
        <v>1447573.9</v>
      </c>
      <c r="K208" s="581">
        <v>1370843.1</v>
      </c>
      <c r="L208" s="540">
        <v>648314.77</v>
      </c>
      <c r="M208" s="540">
        <v>6567.7</v>
      </c>
      <c r="N208" s="581">
        <v>25202.2</v>
      </c>
      <c r="O208" s="581">
        <v>1457217.0999999999</v>
      </c>
      <c r="P208" s="581">
        <v>1443474.9000000001</v>
      </c>
      <c r="Q208" s="581">
        <v>1366236.6000000003</v>
      </c>
      <c r="R208" s="581">
        <v>1105292.7000000002</v>
      </c>
      <c r="S208" s="540">
        <v>194337.75</v>
      </c>
    </row>
    <row r="209" spans="1:19" s="585" customFormat="1" ht="12" hidden="1" thickBot="1">
      <c r="A209" s="549"/>
      <c r="B209" s="550"/>
      <c r="C209" s="541"/>
      <c r="D209" s="522" t="s">
        <v>1</v>
      </c>
      <c r="E209" s="522" t="s">
        <v>677</v>
      </c>
      <c r="F209" s="522" t="s">
        <v>678</v>
      </c>
      <c r="G209" s="522" t="s">
        <v>679</v>
      </c>
      <c r="H209" s="522" t="s">
        <v>2</v>
      </c>
      <c r="I209" s="522" t="s">
        <v>487</v>
      </c>
      <c r="J209" s="522" t="s">
        <v>488</v>
      </c>
      <c r="K209" s="522" t="s">
        <v>489</v>
      </c>
      <c r="L209" s="522" t="s">
        <v>1264</v>
      </c>
      <c r="M209" s="522" t="s">
        <v>1265</v>
      </c>
      <c r="N209" s="522" t="s">
        <v>1055</v>
      </c>
      <c r="O209" s="522" t="s">
        <v>1266</v>
      </c>
      <c r="P209" s="522" t="s">
        <v>1267</v>
      </c>
      <c r="Q209" s="522" t="s">
        <v>1268</v>
      </c>
      <c r="R209" s="522" t="s">
        <v>1269</v>
      </c>
      <c r="S209" s="522" t="s">
        <v>4</v>
      </c>
    </row>
    <row r="210" spans="1:19" s="585" customFormat="1" ht="12" hidden="1" thickBot="1">
      <c r="A210" s="522" t="s">
        <v>195</v>
      </c>
      <c r="B210" s="522" t="s">
        <v>1363</v>
      </c>
      <c r="C210" s="522" t="s">
        <v>168</v>
      </c>
      <c r="D210" s="524">
        <v>31</v>
      </c>
      <c r="E210" s="526"/>
      <c r="F210" s="526"/>
      <c r="G210" s="526"/>
      <c r="H210" s="524">
        <v>133910524</v>
      </c>
      <c r="I210" s="568">
        <v>309714.2</v>
      </c>
      <c r="J210" s="568">
        <v>295672.8</v>
      </c>
      <c r="K210" s="568">
        <v>292542.7</v>
      </c>
      <c r="L210" s="526"/>
      <c r="M210" s="526"/>
      <c r="N210" s="526"/>
      <c r="O210" s="568">
        <v>301789</v>
      </c>
      <c r="P210" s="568">
        <v>293865.5</v>
      </c>
      <c r="Q210" s="568">
        <v>291423.40000000002</v>
      </c>
      <c r="R210" s="526"/>
      <c r="S210" s="526"/>
    </row>
    <row r="211" spans="1:19" s="585" customFormat="1" ht="12" hidden="1" thickBot="1">
      <c r="A211" s="522" t="s">
        <v>195</v>
      </c>
      <c r="B211" s="522" t="s">
        <v>1363</v>
      </c>
      <c r="C211" s="522" t="s">
        <v>169</v>
      </c>
      <c r="D211" s="530">
        <v>168</v>
      </c>
      <c r="E211" s="532"/>
      <c r="F211" s="532"/>
      <c r="G211" s="532"/>
      <c r="H211" s="530">
        <v>4570312</v>
      </c>
      <c r="I211" s="575"/>
      <c r="J211" s="532"/>
      <c r="K211" s="575">
        <v>15619.5</v>
      </c>
      <c r="L211" s="531">
        <v>15619.5</v>
      </c>
      <c r="M211" s="531">
        <v>0</v>
      </c>
      <c r="N211" s="532"/>
      <c r="O211" s="532"/>
      <c r="P211" s="532"/>
      <c r="Q211" s="575">
        <v>13791.6</v>
      </c>
      <c r="R211" s="575">
        <v>13791.6</v>
      </c>
      <c r="S211" s="531">
        <v>0</v>
      </c>
    </row>
    <row r="212" spans="1:19" s="585" customFormat="1" ht="12" hidden="1" thickBot="1">
      <c r="A212" s="522" t="s">
        <v>195</v>
      </c>
      <c r="B212" s="522" t="s">
        <v>1363</v>
      </c>
      <c r="C212" s="522" t="s">
        <v>170</v>
      </c>
      <c r="D212" s="524">
        <v>4817</v>
      </c>
      <c r="E212" s="526"/>
      <c r="F212" s="526"/>
      <c r="G212" s="526"/>
      <c r="H212" s="524">
        <v>148883695</v>
      </c>
      <c r="I212" s="568"/>
      <c r="J212" s="526"/>
      <c r="K212" s="568">
        <v>444576.42</v>
      </c>
      <c r="L212" s="525">
        <v>444576.42</v>
      </c>
      <c r="M212" s="525">
        <v>0</v>
      </c>
      <c r="N212" s="526"/>
      <c r="O212" s="526"/>
      <c r="P212" s="526"/>
      <c r="Q212" s="568">
        <v>396248.1</v>
      </c>
      <c r="R212" s="568">
        <v>396248.1</v>
      </c>
      <c r="S212" s="525">
        <v>0</v>
      </c>
    </row>
    <row r="213" spans="1:19" s="585" customFormat="1" ht="12" hidden="1" thickBot="1">
      <c r="A213" s="522" t="s">
        <v>195</v>
      </c>
      <c r="B213" s="522" t="s">
        <v>1363</v>
      </c>
      <c r="C213" s="522" t="s">
        <v>171</v>
      </c>
      <c r="D213" s="530">
        <v>53</v>
      </c>
      <c r="E213" s="532"/>
      <c r="F213" s="532"/>
      <c r="G213" s="532"/>
      <c r="H213" s="530">
        <v>258255428</v>
      </c>
      <c r="I213" s="575">
        <v>519412.9</v>
      </c>
      <c r="J213" s="575">
        <v>500432.8</v>
      </c>
      <c r="K213" s="575">
        <v>494296.9</v>
      </c>
      <c r="L213" s="532"/>
      <c r="M213" s="532"/>
      <c r="N213" s="532"/>
      <c r="O213" s="575">
        <v>503667.8</v>
      </c>
      <c r="P213" s="575">
        <v>499668.1</v>
      </c>
      <c r="Q213" s="575">
        <v>493520.7</v>
      </c>
      <c r="R213" s="532"/>
      <c r="S213" s="532"/>
    </row>
    <row r="214" spans="1:19" s="585" customFormat="1" ht="12" hidden="1" thickBot="1">
      <c r="A214" s="522" t="s">
        <v>195</v>
      </c>
      <c r="B214" s="522" t="s">
        <v>1363</v>
      </c>
      <c r="C214" s="522" t="s">
        <v>172</v>
      </c>
      <c r="D214" s="524">
        <v>76</v>
      </c>
      <c r="E214" s="526"/>
      <c r="F214" s="526"/>
      <c r="G214" s="526"/>
      <c r="H214" s="524">
        <v>23110040</v>
      </c>
      <c r="I214" s="568"/>
      <c r="J214" s="526"/>
      <c r="K214" s="568">
        <v>54404.3</v>
      </c>
      <c r="L214" s="525">
        <v>54404.3</v>
      </c>
      <c r="M214" s="525">
        <v>714.8</v>
      </c>
      <c r="N214" s="526"/>
      <c r="O214" s="526"/>
      <c r="P214" s="526"/>
      <c r="Q214" s="568">
        <v>50432.1</v>
      </c>
      <c r="R214" s="568">
        <v>50432.1</v>
      </c>
      <c r="S214" s="525">
        <v>10922.15</v>
      </c>
    </row>
    <row r="215" spans="1:19" s="585" customFormat="1" ht="12" hidden="1" thickBot="1">
      <c r="A215" s="522" t="s">
        <v>195</v>
      </c>
      <c r="B215" s="522" t="s">
        <v>1363</v>
      </c>
      <c r="C215" s="522" t="s">
        <v>173</v>
      </c>
      <c r="D215" s="530">
        <v>388</v>
      </c>
      <c r="E215" s="532"/>
      <c r="F215" s="532"/>
      <c r="G215" s="532"/>
      <c r="H215" s="530">
        <v>60748792</v>
      </c>
      <c r="I215" s="575"/>
      <c r="J215" s="532"/>
      <c r="K215" s="575">
        <v>151725.95000000001</v>
      </c>
      <c r="L215" s="531">
        <v>151725.95000000001</v>
      </c>
      <c r="M215" s="531">
        <v>5542.4</v>
      </c>
      <c r="N215" s="532"/>
      <c r="O215" s="532"/>
      <c r="P215" s="532"/>
      <c r="Q215" s="575">
        <v>146025.9</v>
      </c>
      <c r="R215" s="575">
        <v>146025.9</v>
      </c>
      <c r="S215" s="531">
        <v>84540.53</v>
      </c>
    </row>
    <row r="216" spans="1:19" s="585" customFormat="1" ht="12" hidden="1" thickBot="1">
      <c r="A216" s="522" t="s">
        <v>195</v>
      </c>
      <c r="B216" s="522" t="s">
        <v>1363</v>
      </c>
      <c r="C216" s="522" t="s">
        <v>174</v>
      </c>
      <c r="D216" s="524">
        <v>156</v>
      </c>
      <c r="E216" s="526"/>
      <c r="F216" s="526"/>
      <c r="G216" s="526"/>
      <c r="H216" s="524">
        <v>106841640</v>
      </c>
      <c r="I216" s="568">
        <v>271759.7</v>
      </c>
      <c r="J216" s="568">
        <v>262603.90000000002</v>
      </c>
      <c r="K216" s="568">
        <v>257287.7</v>
      </c>
      <c r="L216" s="526"/>
      <c r="M216" s="526"/>
      <c r="N216" s="526"/>
      <c r="O216" s="568">
        <v>262858.8</v>
      </c>
      <c r="P216" s="568">
        <v>260987.8</v>
      </c>
      <c r="Q216" s="568">
        <v>254232.1</v>
      </c>
      <c r="R216" s="526"/>
      <c r="S216" s="526"/>
    </row>
    <row r="217" spans="1:19" s="585" customFormat="1" ht="12" hidden="1" thickBot="1">
      <c r="A217" s="522" t="s">
        <v>195</v>
      </c>
      <c r="B217" s="522" t="s">
        <v>1363</v>
      </c>
      <c r="C217" s="522" t="s">
        <v>175</v>
      </c>
      <c r="D217" s="530">
        <v>457</v>
      </c>
      <c r="E217" s="532"/>
      <c r="F217" s="532"/>
      <c r="G217" s="532"/>
      <c r="H217" s="530">
        <v>114521799</v>
      </c>
      <c r="I217" s="575">
        <v>273071.95</v>
      </c>
      <c r="J217" s="575">
        <v>255432.35</v>
      </c>
      <c r="K217" s="575">
        <v>249189</v>
      </c>
      <c r="L217" s="532"/>
      <c r="M217" s="532"/>
      <c r="N217" s="575">
        <v>30169.5</v>
      </c>
      <c r="O217" s="575">
        <v>256884.6</v>
      </c>
      <c r="P217" s="575">
        <v>254148.4</v>
      </c>
      <c r="Q217" s="575">
        <v>247729.4</v>
      </c>
      <c r="R217" s="532"/>
      <c r="S217" s="531">
        <v>112000.92</v>
      </c>
    </row>
    <row r="218" spans="1:19" s="585" customFormat="1" ht="12" hidden="1" thickBot="1">
      <c r="A218" s="522" t="s">
        <v>195</v>
      </c>
      <c r="B218" s="522" t="s">
        <v>1363</v>
      </c>
      <c r="C218" s="522" t="s">
        <v>177</v>
      </c>
      <c r="D218" s="524">
        <v>63580</v>
      </c>
      <c r="E218" s="526"/>
      <c r="F218" s="526"/>
      <c r="G218" s="526"/>
      <c r="H218" s="524">
        <v>59244758</v>
      </c>
      <c r="I218" s="526"/>
      <c r="J218" s="526"/>
      <c r="K218" s="526"/>
      <c r="L218" s="526"/>
      <c r="M218" s="526"/>
      <c r="N218" s="526"/>
      <c r="O218" s="568">
        <v>101914.7</v>
      </c>
      <c r="P218" s="526"/>
      <c r="Q218" s="568"/>
      <c r="R218" s="568">
        <v>101914.7</v>
      </c>
      <c r="S218" s="526"/>
    </row>
    <row r="219" spans="1:19" s="585" customFormat="1" ht="12" hidden="1" thickBot="1">
      <c r="A219" s="522" t="s">
        <v>195</v>
      </c>
      <c r="B219" s="522" t="s">
        <v>1363</v>
      </c>
      <c r="C219" s="522" t="s">
        <v>178</v>
      </c>
      <c r="D219" s="530">
        <v>61</v>
      </c>
      <c r="E219" s="532"/>
      <c r="F219" s="532"/>
      <c r="G219" s="532"/>
      <c r="H219" s="530">
        <v>10785</v>
      </c>
      <c r="I219" s="532"/>
      <c r="J219" s="532"/>
      <c r="K219" s="532"/>
      <c r="L219" s="532"/>
      <c r="M219" s="532"/>
      <c r="N219" s="532"/>
      <c r="O219" s="532"/>
      <c r="P219" s="532"/>
      <c r="Q219" s="532"/>
      <c r="R219" s="532"/>
      <c r="S219" s="532"/>
    </row>
    <row r="220" spans="1:19" s="585" customFormat="1" ht="12" hidden="1" thickBot="1">
      <c r="A220" s="522" t="s">
        <v>195</v>
      </c>
      <c r="B220" s="522" t="s">
        <v>1363</v>
      </c>
      <c r="C220" s="522" t="s">
        <v>179</v>
      </c>
      <c r="D220" s="524">
        <v>18341</v>
      </c>
      <c r="E220" s="526"/>
      <c r="F220" s="526"/>
      <c r="G220" s="526"/>
      <c r="H220" s="524">
        <v>90852791</v>
      </c>
      <c r="I220" s="526"/>
      <c r="J220" s="526"/>
      <c r="K220" s="526"/>
      <c r="L220" s="526"/>
      <c r="M220" s="526"/>
      <c r="N220" s="526"/>
      <c r="O220" s="568">
        <v>369809.3</v>
      </c>
      <c r="P220" s="526"/>
      <c r="Q220" s="568"/>
      <c r="R220" s="568">
        <v>369809.3</v>
      </c>
      <c r="S220" s="526"/>
    </row>
    <row r="221" spans="1:19" s="585" customFormat="1" ht="12" hidden="1" thickBot="1">
      <c r="A221" s="522" t="s">
        <v>195</v>
      </c>
      <c r="B221" s="522" t="s">
        <v>1363</v>
      </c>
      <c r="C221" s="522" t="s">
        <v>180</v>
      </c>
      <c r="D221" s="530">
        <v>331</v>
      </c>
      <c r="E221" s="532"/>
      <c r="F221" s="532"/>
      <c r="G221" s="532"/>
      <c r="H221" s="530">
        <v>381270</v>
      </c>
      <c r="I221" s="532"/>
      <c r="J221" s="532"/>
      <c r="K221" s="532"/>
      <c r="L221" s="532"/>
      <c r="M221" s="532"/>
      <c r="N221" s="532"/>
      <c r="O221" s="575">
        <v>2204</v>
      </c>
      <c r="P221" s="532"/>
      <c r="Q221" s="575"/>
      <c r="R221" s="575">
        <v>2204</v>
      </c>
      <c r="S221" s="532"/>
    </row>
    <row r="222" spans="1:19" s="585" customFormat="1" ht="12" hidden="1" thickBot="1">
      <c r="A222" s="522" t="s">
        <v>195</v>
      </c>
      <c r="B222" s="522" t="s">
        <v>1363</v>
      </c>
      <c r="C222" s="522" t="s">
        <v>190</v>
      </c>
      <c r="D222" s="524">
        <v>229309</v>
      </c>
      <c r="E222" s="526"/>
      <c r="F222" s="526"/>
      <c r="G222" s="526"/>
      <c r="H222" s="524">
        <v>234384000</v>
      </c>
      <c r="I222" s="526"/>
      <c r="J222" s="526"/>
      <c r="K222" s="526"/>
      <c r="L222" s="526"/>
      <c r="M222" s="526"/>
      <c r="N222" s="526"/>
      <c r="O222" s="526"/>
      <c r="P222" s="526"/>
      <c r="Q222" s="526"/>
      <c r="R222" s="526"/>
      <c r="S222" s="526"/>
    </row>
    <row r="223" spans="1:19" s="585" customFormat="1" ht="12" hidden="1" thickBot="1">
      <c r="A223" s="522" t="s">
        <v>195</v>
      </c>
      <c r="B223" s="522" t="s">
        <v>1363</v>
      </c>
      <c r="C223" s="522" t="s">
        <v>191</v>
      </c>
      <c r="D223" s="530">
        <v>195153</v>
      </c>
      <c r="E223" s="532"/>
      <c r="F223" s="532"/>
      <c r="G223" s="532"/>
      <c r="H223" s="530">
        <v>204298851</v>
      </c>
      <c r="I223" s="532"/>
      <c r="J223" s="532"/>
      <c r="K223" s="532"/>
      <c r="L223" s="532"/>
      <c r="M223" s="532"/>
      <c r="N223" s="532"/>
      <c r="O223" s="532"/>
      <c r="P223" s="532"/>
      <c r="Q223" s="532"/>
      <c r="R223" s="532"/>
      <c r="S223" s="532"/>
    </row>
    <row r="224" spans="1:19" s="585" customFormat="1" ht="12" hidden="1" thickBot="1">
      <c r="A224" s="522" t="s">
        <v>195</v>
      </c>
      <c r="B224" s="522" t="s">
        <v>1363</v>
      </c>
      <c r="C224" s="522" t="s">
        <v>192</v>
      </c>
      <c r="D224" s="524">
        <v>244</v>
      </c>
      <c r="E224" s="526"/>
      <c r="F224" s="526"/>
      <c r="G224" s="526"/>
      <c r="H224" s="524">
        <v>545440</v>
      </c>
      <c r="I224" s="526"/>
      <c r="J224" s="526"/>
      <c r="K224" s="526"/>
      <c r="L224" s="526"/>
      <c r="M224" s="526"/>
      <c r="N224" s="526"/>
      <c r="O224" s="526"/>
      <c r="P224" s="526"/>
      <c r="Q224" s="526"/>
      <c r="R224" s="526"/>
      <c r="S224" s="526"/>
    </row>
    <row r="225" spans="1:19" s="585" customFormat="1" ht="12" hidden="1" thickBot="1">
      <c r="A225" s="522" t="s">
        <v>195</v>
      </c>
      <c r="B225" s="522" t="s">
        <v>1363</v>
      </c>
      <c r="C225" s="522" t="s">
        <v>193</v>
      </c>
      <c r="D225" s="530">
        <v>50</v>
      </c>
      <c r="E225" s="532"/>
      <c r="F225" s="532"/>
      <c r="G225" s="532"/>
      <c r="H225" s="530">
        <v>70898</v>
      </c>
      <c r="I225" s="532"/>
      <c r="J225" s="532"/>
      <c r="K225" s="532"/>
      <c r="L225" s="532"/>
      <c r="M225" s="532"/>
      <c r="N225" s="532"/>
      <c r="O225" s="532"/>
      <c r="P225" s="532"/>
      <c r="Q225" s="532"/>
      <c r="R225" s="532"/>
      <c r="S225" s="532"/>
    </row>
    <row r="226" spans="1:19" s="585" customFormat="1" ht="12" hidden="1" thickBot="1">
      <c r="A226" s="522" t="s">
        <v>195</v>
      </c>
      <c r="B226" s="522" t="s">
        <v>1363</v>
      </c>
      <c r="C226" s="522" t="s">
        <v>194</v>
      </c>
      <c r="D226" s="524">
        <v>52</v>
      </c>
      <c r="E226" s="526"/>
      <c r="F226" s="526"/>
      <c r="G226" s="526"/>
      <c r="H226" s="524">
        <v>41147</v>
      </c>
      <c r="I226" s="526"/>
      <c r="J226" s="526"/>
      <c r="K226" s="526"/>
      <c r="L226" s="526"/>
      <c r="M226" s="526"/>
      <c r="N226" s="526"/>
      <c r="O226" s="526"/>
      <c r="P226" s="526"/>
      <c r="Q226" s="526"/>
      <c r="R226" s="526"/>
      <c r="S226" s="526"/>
    </row>
    <row r="227" spans="1:19" s="585" customFormat="1" ht="12" hidden="1" thickBot="1">
      <c r="A227" s="522" t="s">
        <v>195</v>
      </c>
      <c r="B227" s="522" t="s">
        <v>1363</v>
      </c>
      <c r="C227" s="522" t="s">
        <v>440</v>
      </c>
      <c r="D227" s="530">
        <v>3</v>
      </c>
      <c r="E227" s="532"/>
      <c r="F227" s="532"/>
      <c r="G227" s="532"/>
      <c r="H227" s="530">
        <v>3486</v>
      </c>
      <c r="I227" s="532"/>
      <c r="J227" s="532"/>
      <c r="K227" s="532"/>
      <c r="L227" s="532"/>
      <c r="M227" s="532"/>
      <c r="N227" s="532"/>
      <c r="O227" s="532"/>
      <c r="P227" s="532"/>
      <c r="Q227" s="532"/>
      <c r="R227" s="532"/>
      <c r="S227" s="532"/>
    </row>
    <row r="228" spans="1:19" s="585" customFormat="1" ht="12" hidden="1" thickBot="1">
      <c r="A228" s="522" t="s">
        <v>195</v>
      </c>
      <c r="B228" s="522" t="s">
        <v>1363</v>
      </c>
      <c r="C228" s="522" t="s">
        <v>441</v>
      </c>
      <c r="D228" s="524">
        <v>1</v>
      </c>
      <c r="E228" s="526"/>
      <c r="F228" s="526"/>
      <c r="G228" s="526"/>
      <c r="H228" s="524">
        <v>760</v>
      </c>
      <c r="I228" s="526"/>
      <c r="J228" s="526"/>
      <c r="K228" s="526"/>
      <c r="L228" s="526"/>
      <c r="M228" s="526"/>
      <c r="N228" s="526"/>
      <c r="O228" s="526"/>
      <c r="P228" s="526"/>
      <c r="Q228" s="526"/>
      <c r="R228" s="526"/>
      <c r="S228" s="526"/>
    </row>
    <row r="229" spans="1:19" s="585" customFormat="1" ht="12" hidden="1" thickBot="1">
      <c r="A229" s="522" t="s">
        <v>195</v>
      </c>
      <c r="B229" s="522" t="s">
        <v>1363</v>
      </c>
      <c r="C229" s="522" t="s">
        <v>185</v>
      </c>
      <c r="D229" s="530">
        <v>10</v>
      </c>
      <c r="E229" s="532"/>
      <c r="F229" s="532"/>
      <c r="G229" s="532"/>
      <c r="H229" s="530">
        <v>5304</v>
      </c>
      <c r="I229" s="532"/>
      <c r="J229" s="532"/>
      <c r="K229" s="532"/>
      <c r="L229" s="532"/>
      <c r="M229" s="532"/>
      <c r="N229" s="532"/>
      <c r="O229" s="532"/>
      <c r="P229" s="532"/>
      <c r="Q229" s="532"/>
      <c r="R229" s="532"/>
      <c r="S229" s="532"/>
    </row>
    <row r="230" spans="1:19" s="585" customFormat="1" ht="12" hidden="1" thickBot="1">
      <c r="A230" s="522" t="s">
        <v>195</v>
      </c>
      <c r="B230" s="522" t="s">
        <v>1363</v>
      </c>
      <c r="C230" s="522" t="s">
        <v>189</v>
      </c>
      <c r="D230" s="524">
        <v>1</v>
      </c>
      <c r="E230" s="526"/>
      <c r="F230" s="526"/>
      <c r="G230" s="526"/>
      <c r="H230" s="524">
        <v>48168000</v>
      </c>
      <c r="I230" s="568">
        <v>188697.8</v>
      </c>
      <c r="J230" s="568">
        <v>188697.8</v>
      </c>
      <c r="K230" s="568">
        <v>154867.5</v>
      </c>
      <c r="L230" s="526"/>
      <c r="M230" s="526"/>
      <c r="N230" s="526"/>
      <c r="O230" s="568">
        <v>188697.8</v>
      </c>
      <c r="P230" s="568">
        <v>188697.8</v>
      </c>
      <c r="Q230" s="568">
        <v>154867.5</v>
      </c>
      <c r="R230" s="526"/>
      <c r="S230" s="526"/>
    </row>
    <row r="231" spans="1:19" s="585" customFormat="1" ht="12" hidden="1" thickBot="1">
      <c r="A231" s="522" t="s">
        <v>195</v>
      </c>
      <c r="B231" s="522" t="s">
        <v>1363</v>
      </c>
      <c r="C231" s="522" t="s">
        <v>233</v>
      </c>
      <c r="D231" s="530">
        <v>1</v>
      </c>
      <c r="E231" s="532"/>
      <c r="F231" s="532"/>
      <c r="G231" s="532"/>
      <c r="H231" s="530">
        <v>9877</v>
      </c>
      <c r="I231" s="532"/>
      <c r="J231" s="532"/>
      <c r="K231" s="532"/>
      <c r="L231" s="532"/>
      <c r="M231" s="532"/>
      <c r="N231" s="532"/>
      <c r="O231" s="575">
        <v>34.1</v>
      </c>
      <c r="P231" s="532"/>
      <c r="Q231" s="575"/>
      <c r="R231" s="575">
        <v>34.1</v>
      </c>
      <c r="S231" s="532"/>
    </row>
    <row r="232" spans="1:19" s="585" customFormat="1" ht="12" hidden="1" thickBot="1">
      <c r="A232" s="522" t="s">
        <v>195</v>
      </c>
      <c r="B232" s="522" t="s">
        <v>1363</v>
      </c>
      <c r="C232" s="522" t="s">
        <v>232</v>
      </c>
      <c r="D232" s="524">
        <v>1</v>
      </c>
      <c r="E232" s="526"/>
      <c r="F232" s="526"/>
      <c r="G232" s="526"/>
      <c r="H232" s="524">
        <v>2716</v>
      </c>
      <c r="I232" s="526"/>
      <c r="J232" s="526"/>
      <c r="K232" s="526"/>
      <c r="L232" s="526"/>
      <c r="M232" s="526"/>
      <c r="N232" s="526"/>
      <c r="O232" s="526"/>
      <c r="P232" s="526"/>
      <c r="Q232" s="526"/>
      <c r="R232" s="526"/>
      <c r="S232" s="526"/>
    </row>
    <row r="233" spans="1:19" s="585" customFormat="1" ht="12" thickBot="1">
      <c r="A233" s="522" t="s">
        <v>195</v>
      </c>
      <c r="B233" s="522" t="s">
        <v>1363</v>
      </c>
      <c r="C233" s="522" t="s">
        <v>184</v>
      </c>
      <c r="D233" s="530">
        <v>477</v>
      </c>
      <c r="E233" s="532"/>
      <c r="F233" s="532"/>
      <c r="G233" s="532"/>
      <c r="H233" s="530">
        <v>91300</v>
      </c>
      <c r="I233" s="532"/>
      <c r="J233" s="532"/>
      <c r="K233" s="532"/>
      <c r="L233" s="532"/>
      <c r="M233" s="532"/>
      <c r="N233" s="532"/>
      <c r="O233" s="575">
        <v>16.399999999999999</v>
      </c>
      <c r="P233" s="532"/>
      <c r="Q233" s="575"/>
      <c r="R233" s="575">
        <v>16.399999999999999</v>
      </c>
      <c r="S233" s="532"/>
    </row>
    <row r="234" spans="1:19" ht="12" hidden="1" thickBot="1">
      <c r="A234" s="843" t="s">
        <v>195</v>
      </c>
      <c r="B234" s="843" t="s">
        <v>1363</v>
      </c>
      <c r="C234" s="843" t="s">
        <v>187</v>
      </c>
      <c r="D234" s="855">
        <v>1</v>
      </c>
      <c r="E234" s="871"/>
      <c r="F234" s="871"/>
      <c r="G234" s="871"/>
      <c r="H234" s="871"/>
      <c r="I234" s="863"/>
      <c r="J234" s="863"/>
      <c r="K234" s="863"/>
      <c r="L234" s="863"/>
      <c r="M234" s="863"/>
      <c r="N234" s="863"/>
      <c r="O234" s="863"/>
      <c r="P234" s="863"/>
      <c r="Q234" s="863"/>
      <c r="R234" s="863"/>
      <c r="S234" s="863"/>
    </row>
    <row r="235" spans="1:19" ht="12" hidden="1" thickBot="1">
      <c r="A235" s="843" t="s">
        <v>195</v>
      </c>
      <c r="B235" s="843" t="s">
        <v>1363</v>
      </c>
      <c r="C235" s="843" t="s">
        <v>188</v>
      </c>
      <c r="D235" s="854">
        <v>1</v>
      </c>
      <c r="E235" s="870"/>
      <c r="F235" s="870"/>
      <c r="G235" s="870"/>
      <c r="H235" s="870"/>
      <c r="I235" s="862"/>
      <c r="J235" s="862"/>
      <c r="K235" s="862"/>
      <c r="L235" s="862"/>
      <c r="M235" s="862"/>
      <c r="N235" s="862"/>
      <c r="O235" s="862"/>
      <c r="P235" s="862"/>
      <c r="Q235" s="862"/>
      <c r="R235" s="862"/>
      <c r="S235" s="862"/>
    </row>
    <row r="236" spans="1:19" ht="12" hidden="1" thickBot="1">
      <c r="A236" s="843" t="s">
        <v>195</v>
      </c>
      <c r="B236" s="843" t="s">
        <v>1363</v>
      </c>
      <c r="C236" s="843" t="s">
        <v>1364</v>
      </c>
      <c r="D236" s="855">
        <v>1</v>
      </c>
      <c r="E236" s="871"/>
      <c r="F236" s="871"/>
      <c r="G236" s="871"/>
      <c r="H236" s="871"/>
      <c r="I236" s="863"/>
      <c r="J236" s="863"/>
      <c r="K236" s="863"/>
      <c r="L236" s="863"/>
      <c r="M236" s="863"/>
      <c r="N236" s="863"/>
      <c r="O236" s="863"/>
      <c r="P236" s="863"/>
      <c r="Q236" s="863"/>
      <c r="R236" s="863"/>
      <c r="S236" s="863"/>
    </row>
    <row r="237" spans="1:19" ht="12" hidden="1" thickBot="1">
      <c r="A237" s="843" t="s">
        <v>195</v>
      </c>
      <c r="B237" s="843" t="s">
        <v>1363</v>
      </c>
      <c r="C237" s="843" t="s">
        <v>1358</v>
      </c>
      <c r="D237" s="854">
        <v>1</v>
      </c>
      <c r="E237" s="870"/>
      <c r="F237" s="870"/>
      <c r="G237" s="870"/>
      <c r="H237" s="870"/>
      <c r="I237" s="862"/>
      <c r="J237" s="862"/>
      <c r="K237" s="862"/>
      <c r="L237" s="862"/>
      <c r="M237" s="862"/>
      <c r="N237" s="862"/>
      <c r="O237" s="862"/>
      <c r="P237" s="862"/>
      <c r="Q237" s="862"/>
      <c r="R237" s="862"/>
      <c r="S237" s="862"/>
    </row>
    <row r="238" spans="1:19" ht="12" hidden="1" thickBot="1">
      <c r="A238" s="843" t="s">
        <v>195</v>
      </c>
      <c r="B238" s="843" t="s">
        <v>1363</v>
      </c>
      <c r="C238" s="843" t="s">
        <v>1045</v>
      </c>
      <c r="D238" s="855">
        <v>1</v>
      </c>
      <c r="E238" s="871"/>
      <c r="F238" s="871"/>
      <c r="G238" s="871"/>
      <c r="H238" s="871"/>
      <c r="I238" s="863"/>
      <c r="J238" s="863"/>
      <c r="K238" s="863"/>
      <c r="L238" s="863"/>
      <c r="M238" s="863"/>
      <c r="N238" s="863"/>
      <c r="O238" s="863"/>
      <c r="P238" s="863"/>
      <c r="Q238" s="863"/>
      <c r="R238" s="863"/>
      <c r="S238" s="863"/>
    </row>
    <row r="239" spans="1:19" s="585" customFormat="1" ht="12" hidden="1" thickBot="1">
      <c r="A239" s="522" t="s">
        <v>195</v>
      </c>
      <c r="B239" s="522" t="s">
        <v>1363</v>
      </c>
      <c r="C239" s="522" t="s">
        <v>186</v>
      </c>
      <c r="D239" s="530">
        <v>2</v>
      </c>
      <c r="E239" s="532"/>
      <c r="F239" s="532"/>
      <c r="G239" s="532"/>
      <c r="H239" s="530">
        <v>11560</v>
      </c>
      <c r="I239" s="532"/>
      <c r="J239" s="532"/>
      <c r="K239" s="532"/>
      <c r="L239" s="532"/>
      <c r="M239" s="532"/>
      <c r="N239" s="532"/>
      <c r="O239" s="575">
        <v>67.400000000000006</v>
      </c>
      <c r="P239" s="532"/>
      <c r="Q239" s="575"/>
      <c r="R239" s="575">
        <v>67.400000000000006</v>
      </c>
      <c r="S239" s="532"/>
    </row>
    <row r="240" spans="1:19" s="585" customFormat="1" ht="12" hidden="1" thickBot="1">
      <c r="A240" s="522" t="s">
        <v>195</v>
      </c>
      <c r="B240" s="522" t="s">
        <v>1363</v>
      </c>
      <c r="C240" s="522" t="s">
        <v>176</v>
      </c>
      <c r="D240" s="524">
        <v>1</v>
      </c>
      <c r="E240" s="526"/>
      <c r="F240" s="526"/>
      <c r="G240" s="526"/>
      <c r="H240" s="524">
        <v>31680</v>
      </c>
      <c r="I240" s="568"/>
      <c r="J240" s="526"/>
      <c r="K240" s="568"/>
      <c r="L240" s="525">
        <v>100</v>
      </c>
      <c r="M240" s="526"/>
      <c r="N240" s="526"/>
      <c r="O240" s="568"/>
      <c r="P240" s="568"/>
      <c r="Q240" s="568">
        <v>85</v>
      </c>
      <c r="R240" s="568">
        <v>85</v>
      </c>
      <c r="S240" s="526"/>
    </row>
    <row r="241" spans="1:19" s="585" customFormat="1" ht="12" hidden="1" thickBot="1">
      <c r="A241" s="522" t="s">
        <v>195</v>
      </c>
      <c r="B241" s="522" t="s">
        <v>1363</v>
      </c>
      <c r="C241" s="522" t="s">
        <v>182</v>
      </c>
      <c r="D241" s="530">
        <v>68</v>
      </c>
      <c r="E241" s="532"/>
      <c r="F241" s="532"/>
      <c r="G241" s="532"/>
      <c r="H241" s="530">
        <v>312915</v>
      </c>
      <c r="I241" s="532"/>
      <c r="J241" s="532"/>
      <c r="K241" s="532"/>
      <c r="L241" s="532"/>
      <c r="M241" s="532"/>
      <c r="N241" s="532"/>
      <c r="O241" s="575">
        <v>2754.8</v>
      </c>
      <c r="P241" s="532"/>
      <c r="Q241" s="575"/>
      <c r="R241" s="575">
        <v>2754.8</v>
      </c>
      <c r="S241" s="532"/>
    </row>
    <row r="242" spans="1:19" s="585" customFormat="1" ht="12" hidden="1" thickBot="1">
      <c r="A242" s="522" t="s">
        <v>195</v>
      </c>
      <c r="B242" s="522" t="s">
        <v>1363</v>
      </c>
      <c r="C242" s="522" t="s">
        <v>477</v>
      </c>
      <c r="D242" s="524">
        <v>5</v>
      </c>
      <c r="E242" s="525">
        <v>3672</v>
      </c>
      <c r="F242" s="525">
        <v>871</v>
      </c>
      <c r="G242" s="525">
        <v>646</v>
      </c>
      <c r="H242" s="524">
        <v>5189</v>
      </c>
      <c r="I242" s="526"/>
      <c r="J242" s="526"/>
      <c r="K242" s="526"/>
      <c r="L242" s="526"/>
      <c r="M242" s="526"/>
      <c r="N242" s="526"/>
      <c r="O242" s="526"/>
      <c r="P242" s="526"/>
      <c r="Q242" s="526"/>
      <c r="R242" s="526"/>
      <c r="S242" s="526"/>
    </row>
    <row r="243" spans="1:19" s="585" customFormat="1" ht="12" hidden="1" thickBot="1">
      <c r="A243" s="522" t="s">
        <v>195</v>
      </c>
      <c r="B243" s="522" t="s">
        <v>1363</v>
      </c>
      <c r="C243" s="522" t="s">
        <v>181</v>
      </c>
      <c r="D243" s="530">
        <v>5</v>
      </c>
      <c r="E243" s="532"/>
      <c r="F243" s="532"/>
      <c r="G243" s="532"/>
      <c r="H243" s="530">
        <v>480</v>
      </c>
      <c r="I243" s="532"/>
      <c r="J243" s="532"/>
      <c r="K243" s="532"/>
      <c r="L243" s="532"/>
      <c r="M243" s="532"/>
      <c r="N243" s="532"/>
      <c r="O243" s="575">
        <v>164.6</v>
      </c>
      <c r="P243" s="532"/>
      <c r="Q243" s="575"/>
      <c r="R243" s="575">
        <v>164.6</v>
      </c>
      <c r="S243" s="532"/>
    </row>
    <row r="244" spans="1:19" s="585" customFormat="1" ht="12" hidden="1" thickBot="1">
      <c r="A244" s="522" t="s">
        <v>195</v>
      </c>
      <c r="B244" s="522" t="s">
        <v>1363</v>
      </c>
      <c r="C244" s="522" t="s">
        <v>183</v>
      </c>
      <c r="D244" s="524">
        <v>4</v>
      </c>
      <c r="E244" s="526"/>
      <c r="F244" s="526"/>
      <c r="G244" s="526"/>
      <c r="H244" s="524">
        <v>222820</v>
      </c>
      <c r="I244" s="526"/>
      <c r="J244" s="526"/>
      <c r="K244" s="526"/>
      <c r="L244" s="526"/>
      <c r="M244" s="526"/>
      <c r="N244" s="526"/>
      <c r="O244" s="568">
        <v>853</v>
      </c>
      <c r="P244" s="526"/>
      <c r="Q244" s="568"/>
      <c r="R244" s="568">
        <v>853</v>
      </c>
      <c r="S244" s="526"/>
    </row>
    <row r="245" spans="1:19" s="585" customFormat="1" ht="12" hidden="1" thickBot="1">
      <c r="A245" s="522" t="s">
        <v>195</v>
      </c>
      <c r="B245" s="522" t="s">
        <v>1363</v>
      </c>
      <c r="C245" s="522" t="s">
        <v>652</v>
      </c>
      <c r="D245" s="530">
        <v>272</v>
      </c>
      <c r="E245" s="532"/>
      <c r="F245" s="532"/>
      <c r="G245" s="532"/>
      <c r="H245" s="530">
        <v>14416</v>
      </c>
      <c r="I245" s="532"/>
      <c r="J245" s="532"/>
      <c r="K245" s="532"/>
      <c r="L245" s="532"/>
      <c r="M245" s="532"/>
      <c r="N245" s="532"/>
      <c r="O245" s="532"/>
      <c r="P245" s="532"/>
      <c r="Q245" s="532"/>
      <c r="R245" s="532"/>
      <c r="S245" s="532"/>
    </row>
    <row r="246" spans="1:19" s="585" customFormat="1" ht="12" hidden="1" thickBot="1">
      <c r="A246" s="522" t="s">
        <v>195</v>
      </c>
      <c r="B246" s="522" t="s">
        <v>1363</v>
      </c>
      <c r="C246" s="522" t="s">
        <v>720</v>
      </c>
      <c r="D246" s="524">
        <v>96</v>
      </c>
      <c r="E246" s="526"/>
      <c r="F246" s="526"/>
      <c r="G246" s="526"/>
      <c r="H246" s="524">
        <v>2077714</v>
      </c>
      <c r="I246" s="526"/>
      <c r="J246" s="526"/>
      <c r="K246" s="526"/>
      <c r="L246" s="526"/>
      <c r="M246" s="526"/>
      <c r="N246" s="526"/>
      <c r="O246" s="568">
        <v>10061.799999999999</v>
      </c>
      <c r="P246" s="526"/>
      <c r="Q246" s="568"/>
      <c r="R246" s="568">
        <v>10061.799999999999</v>
      </c>
      <c r="S246" s="526"/>
    </row>
    <row r="247" spans="1:19" s="585" customFormat="1" ht="12" hidden="1" thickBot="1">
      <c r="A247" s="522" t="s">
        <v>195</v>
      </c>
      <c r="B247" s="522" t="s">
        <v>1363</v>
      </c>
      <c r="C247" s="522" t="s">
        <v>721</v>
      </c>
      <c r="D247" s="530">
        <v>19</v>
      </c>
      <c r="E247" s="532"/>
      <c r="F247" s="532"/>
      <c r="G247" s="532"/>
      <c r="H247" s="530">
        <v>43228</v>
      </c>
      <c r="I247" s="532"/>
      <c r="J247" s="532"/>
      <c r="K247" s="532"/>
      <c r="L247" s="532"/>
      <c r="M247" s="532"/>
      <c r="N247" s="532"/>
      <c r="O247" s="575">
        <v>1252.4000000000001</v>
      </c>
      <c r="P247" s="532"/>
      <c r="Q247" s="575"/>
      <c r="R247" s="575">
        <v>1252.4000000000001</v>
      </c>
      <c r="S247" s="532"/>
    </row>
    <row r="248" spans="1:19" s="585" customFormat="1" ht="12" hidden="1" thickBot="1">
      <c r="A248" s="522" t="s">
        <v>195</v>
      </c>
      <c r="B248" s="522" t="s">
        <v>1363</v>
      </c>
      <c r="C248" s="522" t="s">
        <v>722</v>
      </c>
      <c r="D248" s="524">
        <v>99</v>
      </c>
      <c r="E248" s="526"/>
      <c r="F248" s="526"/>
      <c r="G248" s="526"/>
      <c r="H248" s="524">
        <v>8310128</v>
      </c>
      <c r="I248" s="526"/>
      <c r="J248" s="526"/>
      <c r="K248" s="526"/>
      <c r="L248" s="526"/>
      <c r="M248" s="526"/>
      <c r="N248" s="526"/>
      <c r="O248" s="568">
        <v>33399.199999999997</v>
      </c>
      <c r="P248" s="526"/>
      <c r="Q248" s="568"/>
      <c r="R248" s="568">
        <v>33399.199999999997</v>
      </c>
      <c r="S248" s="526"/>
    </row>
    <row r="249" spans="1:19" s="585" customFormat="1" ht="12" hidden="1" thickBot="1">
      <c r="A249" s="522" t="s">
        <v>195</v>
      </c>
      <c r="B249" s="522" t="s">
        <v>1363</v>
      </c>
      <c r="C249" s="582" t="s">
        <v>9</v>
      </c>
      <c r="D249" s="539">
        <v>514337</v>
      </c>
      <c r="E249" s="540">
        <v>3672</v>
      </c>
      <c r="F249" s="540">
        <v>871</v>
      </c>
      <c r="G249" s="540">
        <v>646</v>
      </c>
      <c r="H249" s="539">
        <v>1499983743</v>
      </c>
      <c r="I249" s="581">
        <v>2229082.7199999997</v>
      </c>
      <c r="J249" s="581">
        <v>1502839.6500000001</v>
      </c>
      <c r="K249" s="581">
        <v>1448183.8</v>
      </c>
      <c r="L249" s="540">
        <v>666426.17000000004</v>
      </c>
      <c r="M249" s="540">
        <v>6257.2</v>
      </c>
      <c r="N249" s="581">
        <v>30169.5</v>
      </c>
      <c r="O249" s="581">
        <v>1513898.0000000002</v>
      </c>
      <c r="P249" s="581">
        <v>1497367.5999999999</v>
      </c>
      <c r="Q249" s="581">
        <v>1441773.1</v>
      </c>
      <c r="R249" s="581">
        <v>1129114.3999999999</v>
      </c>
      <c r="S249" s="540">
        <v>207463.59999999998</v>
      </c>
    </row>
    <row r="250" spans="1:19" s="585" customFormat="1" ht="12" hidden="1" thickBot="1">
      <c r="A250" s="522" t="s">
        <v>195</v>
      </c>
      <c r="B250" s="522" t="s">
        <v>1424</v>
      </c>
      <c r="C250" s="522" t="s">
        <v>168</v>
      </c>
      <c r="D250" s="524">
        <v>32</v>
      </c>
      <c r="E250" s="526"/>
      <c r="F250" s="526"/>
      <c r="G250" s="526"/>
      <c r="H250" s="524">
        <v>123501495</v>
      </c>
      <c r="I250" s="568">
        <v>308003.09999999998</v>
      </c>
      <c r="J250" s="568">
        <v>297203.7</v>
      </c>
      <c r="K250" s="568">
        <v>293790.5</v>
      </c>
      <c r="L250" s="526"/>
      <c r="M250" s="526"/>
      <c r="N250" s="526"/>
      <c r="O250" s="568">
        <v>304109.59999999998</v>
      </c>
      <c r="P250" s="568">
        <v>295424.59999999998</v>
      </c>
      <c r="Q250" s="568">
        <v>292703.7</v>
      </c>
      <c r="R250" s="526"/>
      <c r="S250" s="526"/>
    </row>
    <row r="251" spans="1:19" s="585" customFormat="1" ht="12" hidden="1" thickBot="1">
      <c r="A251" s="522" t="s">
        <v>195</v>
      </c>
      <c r="B251" s="522" t="s">
        <v>1424</v>
      </c>
      <c r="C251" s="522" t="s">
        <v>169</v>
      </c>
      <c r="D251" s="530">
        <v>166</v>
      </c>
      <c r="E251" s="532"/>
      <c r="F251" s="532"/>
      <c r="G251" s="532"/>
      <c r="H251" s="530">
        <v>5416412</v>
      </c>
      <c r="I251" s="575"/>
      <c r="J251" s="532"/>
      <c r="K251" s="575">
        <v>17162.900000000001</v>
      </c>
      <c r="L251" s="531">
        <v>17162.900000000001</v>
      </c>
      <c r="M251" s="531">
        <v>0</v>
      </c>
      <c r="N251" s="532"/>
      <c r="O251" s="532"/>
      <c r="P251" s="532"/>
      <c r="Q251" s="575">
        <v>15235.9</v>
      </c>
      <c r="R251" s="575">
        <v>15235.9</v>
      </c>
      <c r="S251" s="531">
        <v>0</v>
      </c>
    </row>
    <row r="252" spans="1:19" s="585" customFormat="1" ht="12" hidden="1" thickBot="1">
      <c r="A252" s="522" t="s">
        <v>195</v>
      </c>
      <c r="B252" s="522" t="s">
        <v>1424</v>
      </c>
      <c r="C252" s="522" t="s">
        <v>170</v>
      </c>
      <c r="D252" s="524">
        <v>4767</v>
      </c>
      <c r="E252" s="526"/>
      <c r="F252" s="526"/>
      <c r="G252" s="526"/>
      <c r="H252" s="524">
        <v>157324850</v>
      </c>
      <c r="I252" s="568"/>
      <c r="J252" s="526"/>
      <c r="K252" s="568">
        <v>449787.97</v>
      </c>
      <c r="L252" s="525">
        <v>449787.97</v>
      </c>
      <c r="M252" s="525">
        <v>0</v>
      </c>
      <c r="N252" s="526"/>
      <c r="O252" s="526"/>
      <c r="P252" s="526"/>
      <c r="Q252" s="568">
        <v>403576.2</v>
      </c>
      <c r="R252" s="568">
        <v>403576.2</v>
      </c>
      <c r="S252" s="525">
        <v>0</v>
      </c>
    </row>
    <row r="253" spans="1:19" s="585" customFormat="1" ht="12" hidden="1" thickBot="1">
      <c r="A253" s="522" t="s">
        <v>195</v>
      </c>
      <c r="B253" s="522" t="s">
        <v>1424</v>
      </c>
      <c r="C253" s="522" t="s">
        <v>171</v>
      </c>
      <c r="D253" s="530">
        <v>54</v>
      </c>
      <c r="E253" s="532"/>
      <c r="F253" s="532"/>
      <c r="G253" s="532"/>
      <c r="H253" s="530">
        <v>300636951</v>
      </c>
      <c r="I253" s="575">
        <v>623693.80000000005</v>
      </c>
      <c r="J253" s="575">
        <v>609211.69999999995</v>
      </c>
      <c r="K253" s="575">
        <v>599169.5</v>
      </c>
      <c r="L253" s="532"/>
      <c r="M253" s="532"/>
      <c r="N253" s="532"/>
      <c r="O253" s="575">
        <v>611442.4</v>
      </c>
      <c r="P253" s="575">
        <v>608164.5</v>
      </c>
      <c r="Q253" s="575">
        <v>598084.9</v>
      </c>
      <c r="R253" s="532"/>
      <c r="S253" s="532"/>
    </row>
    <row r="254" spans="1:19" s="585" customFormat="1" ht="12" hidden="1" thickBot="1">
      <c r="A254" s="522" t="s">
        <v>195</v>
      </c>
      <c r="B254" s="522" t="s">
        <v>1424</v>
      </c>
      <c r="C254" s="522" t="s">
        <v>172</v>
      </c>
      <c r="D254" s="524">
        <v>69</v>
      </c>
      <c r="E254" s="526"/>
      <c r="F254" s="526"/>
      <c r="G254" s="526"/>
      <c r="H254" s="524">
        <v>19965688</v>
      </c>
      <c r="I254" s="568"/>
      <c r="J254" s="526"/>
      <c r="K254" s="568">
        <v>45579.05</v>
      </c>
      <c r="L254" s="525">
        <v>45579.05</v>
      </c>
      <c r="M254" s="525">
        <v>812.2</v>
      </c>
      <c r="N254" s="526"/>
      <c r="O254" s="526"/>
      <c r="P254" s="526"/>
      <c r="Q254" s="568">
        <v>43372.9</v>
      </c>
      <c r="R254" s="568">
        <v>43372.9</v>
      </c>
      <c r="S254" s="525">
        <v>12410.43</v>
      </c>
    </row>
    <row r="255" spans="1:19" s="585" customFormat="1" ht="12" hidden="1" thickBot="1">
      <c r="A255" s="522" t="s">
        <v>195</v>
      </c>
      <c r="B255" s="522" t="s">
        <v>1424</v>
      </c>
      <c r="C255" s="522" t="s">
        <v>173</v>
      </c>
      <c r="D255" s="530">
        <v>379</v>
      </c>
      <c r="E255" s="532"/>
      <c r="F255" s="532"/>
      <c r="G255" s="532"/>
      <c r="H255" s="530">
        <v>59633358</v>
      </c>
      <c r="I255" s="575"/>
      <c r="J255" s="532"/>
      <c r="K255" s="575">
        <v>141783.94</v>
      </c>
      <c r="L255" s="531">
        <v>141783.94</v>
      </c>
      <c r="M255" s="531">
        <v>5550.5</v>
      </c>
      <c r="N255" s="532"/>
      <c r="O255" s="532"/>
      <c r="P255" s="532"/>
      <c r="Q255" s="575">
        <v>144196</v>
      </c>
      <c r="R255" s="575">
        <v>144196</v>
      </c>
      <c r="S255" s="531">
        <v>80606.559999999998</v>
      </c>
    </row>
    <row r="256" spans="1:19" s="585" customFormat="1" ht="12" hidden="1" thickBot="1">
      <c r="A256" s="522" t="s">
        <v>195</v>
      </c>
      <c r="B256" s="522" t="s">
        <v>1424</v>
      </c>
      <c r="C256" s="522" t="s">
        <v>174</v>
      </c>
      <c r="D256" s="524">
        <v>165</v>
      </c>
      <c r="E256" s="526"/>
      <c r="F256" s="526"/>
      <c r="G256" s="526"/>
      <c r="H256" s="524">
        <v>116046769</v>
      </c>
      <c r="I256" s="568">
        <v>299599.09999999998</v>
      </c>
      <c r="J256" s="568">
        <v>289528.90000000002</v>
      </c>
      <c r="K256" s="568">
        <v>282298</v>
      </c>
      <c r="L256" s="526"/>
      <c r="M256" s="526"/>
      <c r="N256" s="526"/>
      <c r="O256" s="568">
        <v>290033.40000000002</v>
      </c>
      <c r="P256" s="568">
        <v>287903.8</v>
      </c>
      <c r="Q256" s="568">
        <v>279562.59999999998</v>
      </c>
      <c r="R256" s="526"/>
      <c r="S256" s="526"/>
    </row>
    <row r="257" spans="1:19" s="585" customFormat="1" ht="12" hidden="1" thickBot="1">
      <c r="A257" s="522" t="s">
        <v>195</v>
      </c>
      <c r="B257" s="522" t="s">
        <v>1424</v>
      </c>
      <c r="C257" s="522" t="s">
        <v>175</v>
      </c>
      <c r="D257" s="530">
        <v>475</v>
      </c>
      <c r="E257" s="532"/>
      <c r="F257" s="532"/>
      <c r="G257" s="532"/>
      <c r="H257" s="530">
        <v>124772908</v>
      </c>
      <c r="I257" s="575">
        <v>290283.02500000002</v>
      </c>
      <c r="J257" s="575">
        <v>269933.90000000002</v>
      </c>
      <c r="K257" s="575">
        <v>264707.8</v>
      </c>
      <c r="L257" s="532"/>
      <c r="M257" s="532"/>
      <c r="N257" s="575">
        <v>33406.9</v>
      </c>
      <c r="O257" s="575">
        <v>271984.40000000002</v>
      </c>
      <c r="P257" s="575">
        <v>268249.40000000002</v>
      </c>
      <c r="Q257" s="575">
        <v>262540</v>
      </c>
      <c r="R257" s="532"/>
      <c r="S257" s="531">
        <v>119390.8</v>
      </c>
    </row>
    <row r="258" spans="1:19" s="585" customFormat="1" ht="12" hidden="1" thickBot="1">
      <c r="A258" s="522" t="s">
        <v>195</v>
      </c>
      <c r="B258" s="522" t="s">
        <v>1424</v>
      </c>
      <c r="C258" s="522" t="s">
        <v>177</v>
      </c>
      <c r="D258" s="524">
        <v>63631</v>
      </c>
      <c r="E258" s="526"/>
      <c r="F258" s="526"/>
      <c r="G258" s="526"/>
      <c r="H258" s="524">
        <v>66109772</v>
      </c>
      <c r="I258" s="526"/>
      <c r="J258" s="526"/>
      <c r="K258" s="526"/>
      <c r="L258" s="526"/>
      <c r="M258" s="526"/>
      <c r="N258" s="526"/>
      <c r="O258" s="568">
        <v>97326.6</v>
      </c>
      <c r="P258" s="526"/>
      <c r="Q258" s="568"/>
      <c r="R258" s="568">
        <v>97326.6</v>
      </c>
      <c r="S258" s="526"/>
    </row>
    <row r="259" spans="1:19" s="585" customFormat="1" ht="12" hidden="1" thickBot="1">
      <c r="A259" s="522" t="s">
        <v>195</v>
      </c>
      <c r="B259" s="522" t="s">
        <v>1424</v>
      </c>
      <c r="C259" s="522" t="s">
        <v>178</v>
      </c>
      <c r="D259" s="530">
        <v>61</v>
      </c>
      <c r="E259" s="532"/>
      <c r="F259" s="532"/>
      <c r="G259" s="532"/>
      <c r="H259" s="530">
        <v>10885</v>
      </c>
      <c r="I259" s="532"/>
      <c r="J259" s="532"/>
      <c r="K259" s="532"/>
      <c r="L259" s="532"/>
      <c r="M259" s="532"/>
      <c r="N259" s="532"/>
      <c r="O259" s="532"/>
      <c r="P259" s="532"/>
      <c r="Q259" s="532"/>
      <c r="R259" s="532"/>
      <c r="S259" s="532"/>
    </row>
    <row r="260" spans="1:19" s="585" customFormat="1" ht="12" hidden="1" thickBot="1">
      <c r="A260" s="522" t="s">
        <v>195</v>
      </c>
      <c r="B260" s="522" t="s">
        <v>1424</v>
      </c>
      <c r="C260" s="522" t="s">
        <v>179</v>
      </c>
      <c r="D260" s="524">
        <v>18472</v>
      </c>
      <c r="E260" s="526"/>
      <c r="F260" s="526"/>
      <c r="G260" s="526"/>
      <c r="H260" s="524">
        <v>99447216</v>
      </c>
      <c r="I260" s="526"/>
      <c r="J260" s="526"/>
      <c r="K260" s="526"/>
      <c r="L260" s="526"/>
      <c r="M260" s="526"/>
      <c r="N260" s="526"/>
      <c r="O260" s="568">
        <v>379519.3</v>
      </c>
      <c r="P260" s="526"/>
      <c r="Q260" s="568"/>
      <c r="R260" s="568">
        <v>379519.3</v>
      </c>
      <c r="S260" s="526"/>
    </row>
    <row r="261" spans="1:19" s="585" customFormat="1" ht="12" hidden="1" thickBot="1">
      <c r="A261" s="522" t="s">
        <v>195</v>
      </c>
      <c r="B261" s="522" t="s">
        <v>1424</v>
      </c>
      <c r="C261" s="522" t="s">
        <v>180</v>
      </c>
      <c r="D261" s="530">
        <v>329</v>
      </c>
      <c r="E261" s="532"/>
      <c r="F261" s="532"/>
      <c r="G261" s="532"/>
      <c r="H261" s="530">
        <v>370960</v>
      </c>
      <c r="I261" s="532"/>
      <c r="J261" s="532"/>
      <c r="K261" s="532"/>
      <c r="L261" s="532"/>
      <c r="M261" s="532"/>
      <c r="N261" s="532"/>
      <c r="O261" s="575">
        <v>1786.2</v>
      </c>
      <c r="P261" s="532"/>
      <c r="Q261" s="575"/>
      <c r="R261" s="575">
        <v>1786.2</v>
      </c>
      <c r="S261" s="532"/>
    </row>
    <row r="262" spans="1:19" s="585" customFormat="1" ht="12" hidden="1" thickBot="1">
      <c r="A262" s="522" t="s">
        <v>195</v>
      </c>
      <c r="B262" s="522" t="s">
        <v>1424</v>
      </c>
      <c r="C262" s="522" t="s">
        <v>190</v>
      </c>
      <c r="D262" s="524">
        <v>229471</v>
      </c>
      <c r="E262" s="526"/>
      <c r="F262" s="526"/>
      <c r="G262" s="526"/>
      <c r="H262" s="524">
        <v>284511549</v>
      </c>
      <c r="I262" s="526"/>
      <c r="J262" s="526"/>
      <c r="K262" s="526"/>
      <c r="L262" s="526"/>
      <c r="M262" s="526"/>
      <c r="N262" s="526"/>
      <c r="O262" s="526"/>
      <c r="P262" s="526"/>
      <c r="Q262" s="526"/>
      <c r="R262" s="526"/>
      <c r="S262" s="526"/>
    </row>
    <row r="263" spans="1:19" s="585" customFormat="1" ht="12" hidden="1" thickBot="1">
      <c r="A263" s="522" t="s">
        <v>195</v>
      </c>
      <c r="B263" s="522" t="s">
        <v>1424</v>
      </c>
      <c r="C263" s="522" t="s">
        <v>191</v>
      </c>
      <c r="D263" s="530">
        <v>194960</v>
      </c>
      <c r="E263" s="532"/>
      <c r="F263" s="532"/>
      <c r="G263" s="532"/>
      <c r="H263" s="530">
        <v>233586553</v>
      </c>
      <c r="I263" s="532"/>
      <c r="J263" s="532"/>
      <c r="K263" s="532"/>
      <c r="L263" s="532"/>
      <c r="M263" s="532"/>
      <c r="N263" s="532"/>
      <c r="O263" s="532"/>
      <c r="P263" s="532"/>
      <c r="Q263" s="532"/>
      <c r="R263" s="532"/>
      <c r="S263" s="532"/>
    </row>
    <row r="264" spans="1:19" s="585" customFormat="1" ht="12" hidden="1" thickBot="1">
      <c r="A264" s="522" t="s">
        <v>195</v>
      </c>
      <c r="B264" s="522" t="s">
        <v>1424</v>
      </c>
      <c r="C264" s="522" t="s">
        <v>192</v>
      </c>
      <c r="D264" s="524">
        <v>244</v>
      </c>
      <c r="E264" s="526"/>
      <c r="F264" s="526"/>
      <c r="G264" s="526"/>
      <c r="H264" s="524">
        <v>660157</v>
      </c>
      <c r="I264" s="526"/>
      <c r="J264" s="526"/>
      <c r="K264" s="526"/>
      <c r="L264" s="526"/>
      <c r="M264" s="526"/>
      <c r="N264" s="526"/>
      <c r="O264" s="526"/>
      <c r="P264" s="526"/>
      <c r="Q264" s="526"/>
      <c r="R264" s="526"/>
      <c r="S264" s="526"/>
    </row>
    <row r="265" spans="1:19" s="585" customFormat="1" ht="12" hidden="1" thickBot="1">
      <c r="A265" s="522" t="s">
        <v>195</v>
      </c>
      <c r="B265" s="522" t="s">
        <v>1424</v>
      </c>
      <c r="C265" s="522" t="s">
        <v>193</v>
      </c>
      <c r="D265" s="530">
        <v>50</v>
      </c>
      <c r="E265" s="532"/>
      <c r="F265" s="532"/>
      <c r="G265" s="532"/>
      <c r="H265" s="530">
        <v>78022</v>
      </c>
      <c r="I265" s="532"/>
      <c r="J265" s="532"/>
      <c r="K265" s="532"/>
      <c r="L265" s="532"/>
      <c r="M265" s="532"/>
      <c r="N265" s="532"/>
      <c r="O265" s="532"/>
      <c r="P265" s="532"/>
      <c r="Q265" s="532"/>
      <c r="R265" s="532"/>
      <c r="S265" s="532"/>
    </row>
    <row r="266" spans="1:19" s="585" customFormat="1" ht="12" hidden="1" thickBot="1">
      <c r="A266" s="522" t="s">
        <v>195</v>
      </c>
      <c r="B266" s="522" t="s">
        <v>1424</v>
      </c>
      <c r="C266" s="522" t="s">
        <v>194</v>
      </c>
      <c r="D266" s="524">
        <v>55</v>
      </c>
      <c r="E266" s="526"/>
      <c r="F266" s="526"/>
      <c r="G266" s="526"/>
      <c r="H266" s="524">
        <v>49459</v>
      </c>
      <c r="I266" s="526"/>
      <c r="J266" s="526"/>
      <c r="K266" s="526"/>
      <c r="L266" s="526"/>
      <c r="M266" s="526"/>
      <c r="N266" s="526"/>
      <c r="O266" s="526"/>
      <c r="P266" s="526"/>
      <c r="Q266" s="526"/>
      <c r="R266" s="526"/>
      <c r="S266" s="526"/>
    </row>
    <row r="267" spans="1:19" s="585" customFormat="1" ht="12" hidden="1" thickBot="1">
      <c r="A267" s="522" t="s">
        <v>195</v>
      </c>
      <c r="B267" s="522" t="s">
        <v>1424</v>
      </c>
      <c r="C267" s="522" t="s">
        <v>440</v>
      </c>
      <c r="D267" s="530">
        <v>3</v>
      </c>
      <c r="E267" s="532"/>
      <c r="F267" s="532"/>
      <c r="G267" s="532"/>
      <c r="H267" s="530">
        <v>4703</v>
      </c>
      <c r="I267" s="532"/>
      <c r="J267" s="532"/>
      <c r="K267" s="532"/>
      <c r="L267" s="532"/>
      <c r="M267" s="532"/>
      <c r="N267" s="532"/>
      <c r="O267" s="532"/>
      <c r="P267" s="532"/>
      <c r="Q267" s="532"/>
      <c r="R267" s="532"/>
      <c r="S267" s="532"/>
    </row>
    <row r="268" spans="1:19" s="585" customFormat="1" ht="12" hidden="1" thickBot="1">
      <c r="A268" s="522" t="s">
        <v>195</v>
      </c>
      <c r="B268" s="522" t="s">
        <v>1424</v>
      </c>
      <c r="C268" s="522" t="s">
        <v>441</v>
      </c>
      <c r="D268" s="524">
        <v>1</v>
      </c>
      <c r="E268" s="526"/>
      <c r="F268" s="526"/>
      <c r="G268" s="526"/>
      <c r="H268" s="524">
        <v>892</v>
      </c>
      <c r="I268" s="526"/>
      <c r="J268" s="526"/>
      <c r="K268" s="526"/>
      <c r="L268" s="526"/>
      <c r="M268" s="526"/>
      <c r="N268" s="526"/>
      <c r="O268" s="526"/>
      <c r="P268" s="526"/>
      <c r="Q268" s="526"/>
      <c r="R268" s="526"/>
      <c r="S268" s="526"/>
    </row>
    <row r="269" spans="1:19" s="585" customFormat="1" ht="12" hidden="1" thickBot="1">
      <c r="A269" s="522" t="s">
        <v>195</v>
      </c>
      <c r="B269" s="522" t="s">
        <v>1424</v>
      </c>
      <c r="C269" s="522" t="s">
        <v>185</v>
      </c>
      <c r="D269" s="530">
        <v>10</v>
      </c>
      <c r="E269" s="532"/>
      <c r="F269" s="532"/>
      <c r="G269" s="532"/>
      <c r="H269" s="530">
        <v>5823</v>
      </c>
      <c r="I269" s="532"/>
      <c r="J269" s="532"/>
      <c r="K269" s="532"/>
      <c r="L269" s="532"/>
      <c r="M269" s="532"/>
      <c r="N269" s="532"/>
      <c r="O269" s="532"/>
      <c r="P269" s="532"/>
      <c r="Q269" s="532"/>
      <c r="R269" s="532"/>
      <c r="S269" s="532"/>
    </row>
    <row r="270" spans="1:19" s="585" customFormat="1" ht="12" hidden="1" thickBot="1">
      <c r="A270" s="522" t="s">
        <v>195</v>
      </c>
      <c r="B270" s="522" t="s">
        <v>1424</v>
      </c>
      <c r="C270" s="522" t="s">
        <v>189</v>
      </c>
      <c r="D270" s="524">
        <v>1</v>
      </c>
      <c r="E270" s="526"/>
      <c r="F270" s="526"/>
      <c r="G270" s="526"/>
      <c r="H270" s="524">
        <v>42552000</v>
      </c>
      <c r="I270" s="526">
        <v>184927.1</v>
      </c>
      <c r="J270" s="526">
        <v>184927.1</v>
      </c>
      <c r="K270" s="526">
        <v>137695</v>
      </c>
      <c r="L270" s="526"/>
      <c r="M270" s="526"/>
      <c r="N270" s="526"/>
      <c r="O270" s="526">
        <v>184927.1</v>
      </c>
      <c r="P270" s="526">
        <v>184927.1</v>
      </c>
      <c r="Q270" s="526">
        <v>137695</v>
      </c>
      <c r="R270" s="526"/>
      <c r="S270" s="526"/>
    </row>
    <row r="271" spans="1:19" s="585" customFormat="1" ht="12" hidden="1" thickBot="1">
      <c r="A271" s="522" t="s">
        <v>195</v>
      </c>
      <c r="B271" s="522" t="s">
        <v>1424</v>
      </c>
      <c r="C271" s="522" t="s">
        <v>233</v>
      </c>
      <c r="D271" s="530">
        <v>1</v>
      </c>
      <c r="E271" s="532"/>
      <c r="F271" s="532"/>
      <c r="G271" s="532"/>
      <c r="H271" s="530">
        <v>10809</v>
      </c>
      <c r="I271" s="532"/>
      <c r="J271" s="532"/>
      <c r="K271" s="532"/>
      <c r="L271" s="532"/>
      <c r="M271" s="532"/>
      <c r="N271" s="532"/>
      <c r="O271" s="532">
        <v>39.200000000000003</v>
      </c>
      <c r="P271" s="532"/>
      <c r="Q271" s="532"/>
      <c r="R271" s="532">
        <v>39.200000000000003</v>
      </c>
      <c r="S271" s="532"/>
    </row>
    <row r="272" spans="1:19" s="585" customFormat="1" ht="12" hidden="1" thickBot="1">
      <c r="A272" s="522" t="s">
        <v>195</v>
      </c>
      <c r="B272" s="522" t="s">
        <v>1424</v>
      </c>
      <c r="C272" s="522" t="s">
        <v>232</v>
      </c>
      <c r="D272" s="524">
        <v>1</v>
      </c>
      <c r="E272" s="526"/>
      <c r="F272" s="526"/>
      <c r="G272" s="526"/>
      <c r="H272" s="524">
        <v>2625</v>
      </c>
      <c r="I272" s="568"/>
      <c r="J272" s="568"/>
      <c r="K272" s="568"/>
      <c r="L272" s="526"/>
      <c r="M272" s="526"/>
      <c r="N272" s="526"/>
      <c r="O272" s="568"/>
      <c r="P272" s="568"/>
      <c r="Q272" s="568"/>
      <c r="R272" s="526"/>
      <c r="S272" s="526"/>
    </row>
    <row r="273" spans="1:19" s="585" customFormat="1" ht="12" thickBot="1">
      <c r="A273" s="522" t="s">
        <v>195</v>
      </c>
      <c r="B273" s="522" t="s">
        <v>1424</v>
      </c>
      <c r="C273" s="522" t="s">
        <v>184</v>
      </c>
      <c r="D273" s="530">
        <v>477</v>
      </c>
      <c r="E273" s="532"/>
      <c r="F273" s="532"/>
      <c r="G273" s="532"/>
      <c r="H273" s="530">
        <v>90764</v>
      </c>
      <c r="I273" s="532"/>
      <c r="J273" s="532"/>
      <c r="K273" s="532"/>
      <c r="L273" s="532"/>
      <c r="M273" s="532"/>
      <c r="N273" s="532"/>
      <c r="O273" s="532">
        <v>53.8</v>
      </c>
      <c r="P273" s="532"/>
      <c r="Q273" s="532"/>
      <c r="R273" s="532">
        <v>53.8</v>
      </c>
      <c r="S273" s="532"/>
    </row>
    <row r="274" spans="1:19" ht="12" hidden="1" thickBot="1">
      <c r="A274" s="843" t="s">
        <v>195</v>
      </c>
      <c r="B274" s="843" t="s">
        <v>1424</v>
      </c>
      <c r="C274" s="843" t="s">
        <v>187</v>
      </c>
      <c r="D274" s="855">
        <v>1</v>
      </c>
      <c r="E274" s="871"/>
      <c r="F274" s="871"/>
      <c r="G274" s="871"/>
      <c r="H274" s="871"/>
      <c r="I274" s="863"/>
      <c r="J274" s="863"/>
      <c r="K274" s="863"/>
      <c r="L274" s="863"/>
      <c r="M274" s="863"/>
      <c r="N274" s="863"/>
      <c r="O274" s="863"/>
      <c r="P274" s="863"/>
      <c r="Q274" s="863"/>
      <c r="R274" s="863"/>
      <c r="S274" s="863"/>
    </row>
    <row r="275" spans="1:19" ht="12" hidden="1" thickBot="1">
      <c r="A275" s="843" t="s">
        <v>195</v>
      </c>
      <c r="B275" s="843" t="s">
        <v>1424</v>
      </c>
      <c r="C275" s="843" t="s">
        <v>188</v>
      </c>
      <c r="D275" s="854">
        <v>1</v>
      </c>
      <c r="E275" s="870"/>
      <c r="F275" s="870"/>
      <c r="G275" s="870"/>
      <c r="H275" s="870"/>
      <c r="I275" s="862"/>
      <c r="J275" s="862"/>
      <c r="K275" s="862"/>
      <c r="L275" s="862"/>
      <c r="M275" s="862"/>
      <c r="N275" s="862"/>
      <c r="O275" s="862"/>
      <c r="P275" s="862"/>
      <c r="Q275" s="862"/>
      <c r="R275" s="862"/>
      <c r="S275" s="862"/>
    </row>
    <row r="276" spans="1:19" ht="12" hidden="1" thickBot="1">
      <c r="A276" s="843" t="s">
        <v>195</v>
      </c>
      <c r="B276" s="843" t="s">
        <v>1424</v>
      </c>
      <c r="C276" s="843" t="s">
        <v>1364</v>
      </c>
      <c r="D276" s="855">
        <v>1</v>
      </c>
      <c r="E276" s="871"/>
      <c r="F276" s="871"/>
      <c r="G276" s="871"/>
      <c r="H276" s="871"/>
      <c r="I276" s="863"/>
      <c r="J276" s="863"/>
      <c r="K276" s="863"/>
      <c r="L276" s="863"/>
      <c r="M276" s="863"/>
      <c r="N276" s="863"/>
      <c r="O276" s="863"/>
      <c r="P276" s="863"/>
      <c r="Q276" s="863"/>
      <c r="R276" s="863"/>
      <c r="S276" s="863"/>
    </row>
    <row r="277" spans="1:19" ht="12" hidden="1" thickBot="1">
      <c r="A277" s="843" t="s">
        <v>195</v>
      </c>
      <c r="B277" s="843" t="s">
        <v>1424</v>
      </c>
      <c r="C277" s="843" t="s">
        <v>1358</v>
      </c>
      <c r="D277" s="854">
        <v>1</v>
      </c>
      <c r="E277" s="870"/>
      <c r="F277" s="870"/>
      <c r="G277" s="870"/>
      <c r="H277" s="870"/>
      <c r="I277" s="862"/>
      <c r="J277" s="862"/>
      <c r="K277" s="862"/>
      <c r="L277" s="862"/>
      <c r="M277" s="862"/>
      <c r="N277" s="862"/>
      <c r="O277" s="862"/>
      <c r="P277" s="862"/>
      <c r="Q277" s="862"/>
      <c r="R277" s="862"/>
      <c r="S277" s="862"/>
    </row>
    <row r="278" spans="1:19" ht="12" hidden="1" thickBot="1">
      <c r="A278" s="843" t="s">
        <v>195</v>
      </c>
      <c r="B278" s="843" t="s">
        <v>1424</v>
      </c>
      <c r="C278" s="843" t="s">
        <v>1045</v>
      </c>
      <c r="D278" s="855">
        <v>1</v>
      </c>
      <c r="E278" s="871"/>
      <c r="F278" s="871"/>
      <c r="G278" s="871"/>
      <c r="H278" s="871"/>
      <c r="I278" s="863"/>
      <c r="J278" s="863"/>
      <c r="K278" s="863"/>
      <c r="L278" s="863"/>
      <c r="M278" s="863"/>
      <c r="N278" s="863"/>
      <c r="O278" s="863"/>
      <c r="P278" s="863"/>
      <c r="Q278" s="863"/>
      <c r="R278" s="863"/>
      <c r="S278" s="863"/>
    </row>
    <row r="279" spans="1:19" s="585" customFormat="1" ht="12" hidden="1" thickBot="1">
      <c r="A279" s="522" t="s">
        <v>195</v>
      </c>
      <c r="B279" s="522" t="s">
        <v>1424</v>
      </c>
      <c r="C279" s="522" t="s">
        <v>186</v>
      </c>
      <c r="D279" s="530">
        <v>2</v>
      </c>
      <c r="E279" s="532"/>
      <c r="F279" s="532"/>
      <c r="G279" s="532"/>
      <c r="H279" s="530">
        <v>11880</v>
      </c>
      <c r="I279" s="532"/>
      <c r="J279" s="532"/>
      <c r="K279" s="532"/>
      <c r="L279" s="532"/>
      <c r="M279" s="532"/>
      <c r="N279" s="532"/>
      <c r="O279" s="575">
        <v>62.3</v>
      </c>
      <c r="P279" s="532"/>
      <c r="Q279" s="575"/>
      <c r="R279" s="575">
        <v>62.3</v>
      </c>
      <c r="S279" s="532"/>
    </row>
    <row r="280" spans="1:19" s="585" customFormat="1" ht="12" hidden="1" thickBot="1">
      <c r="A280" s="522" t="s">
        <v>195</v>
      </c>
      <c r="B280" s="522" t="s">
        <v>1424</v>
      </c>
      <c r="C280" s="522" t="s">
        <v>176</v>
      </c>
      <c r="D280" s="524">
        <v>1</v>
      </c>
      <c r="E280" s="526"/>
      <c r="F280" s="526"/>
      <c r="G280" s="526"/>
      <c r="H280" s="524">
        <v>33680</v>
      </c>
      <c r="I280" s="568"/>
      <c r="J280" s="568"/>
      <c r="K280" s="568"/>
      <c r="L280" s="525">
        <v>100</v>
      </c>
      <c r="M280" s="526"/>
      <c r="N280" s="526"/>
      <c r="O280" s="568"/>
      <c r="P280" s="568"/>
      <c r="Q280" s="568">
        <v>99.1</v>
      </c>
      <c r="R280" s="568">
        <v>99.1</v>
      </c>
      <c r="S280" s="526"/>
    </row>
    <row r="281" spans="1:19" s="585" customFormat="1" ht="12" hidden="1" thickBot="1">
      <c r="A281" s="522" t="s">
        <v>195</v>
      </c>
      <c r="B281" s="522" t="s">
        <v>1424</v>
      </c>
      <c r="C281" s="522" t="s">
        <v>182</v>
      </c>
      <c r="D281" s="530">
        <v>67</v>
      </c>
      <c r="E281" s="532"/>
      <c r="F281" s="532"/>
      <c r="G281" s="532"/>
      <c r="H281" s="530">
        <v>293238</v>
      </c>
      <c r="I281" s="532"/>
      <c r="J281" s="532"/>
      <c r="K281" s="532"/>
      <c r="L281" s="532"/>
      <c r="M281" s="532"/>
      <c r="N281" s="532"/>
      <c r="O281" s="575">
        <v>1908.7</v>
      </c>
      <c r="P281" s="532"/>
      <c r="Q281" s="575"/>
      <c r="R281" s="575">
        <v>1908.7</v>
      </c>
      <c r="S281" s="532"/>
    </row>
    <row r="282" spans="1:19" s="585" customFormat="1" ht="12" hidden="1" thickBot="1">
      <c r="A282" s="522" t="s">
        <v>195</v>
      </c>
      <c r="B282" s="522" t="s">
        <v>1424</v>
      </c>
      <c r="C282" s="522" t="s">
        <v>477</v>
      </c>
      <c r="D282" s="524">
        <v>6</v>
      </c>
      <c r="E282" s="525">
        <v>4082</v>
      </c>
      <c r="F282" s="525">
        <v>1223</v>
      </c>
      <c r="G282" s="525">
        <v>872</v>
      </c>
      <c r="H282" s="524">
        <v>6177</v>
      </c>
      <c r="I282" s="526"/>
      <c r="J282" s="526"/>
      <c r="K282" s="526"/>
      <c r="L282" s="526"/>
      <c r="M282" s="526"/>
      <c r="N282" s="526"/>
      <c r="O282" s="526"/>
      <c r="P282" s="526"/>
      <c r="Q282" s="526"/>
      <c r="R282" s="526"/>
      <c r="S282" s="526"/>
    </row>
    <row r="283" spans="1:19" s="585" customFormat="1" ht="12" hidden="1" thickBot="1">
      <c r="A283" s="522" t="s">
        <v>195</v>
      </c>
      <c r="B283" s="522" t="s">
        <v>1424</v>
      </c>
      <c r="C283" s="522" t="s">
        <v>181</v>
      </c>
      <c r="D283" s="530">
        <v>6</v>
      </c>
      <c r="E283" s="532"/>
      <c r="F283" s="532"/>
      <c r="G283" s="532"/>
      <c r="H283" s="530">
        <v>360</v>
      </c>
      <c r="I283" s="532"/>
      <c r="J283" s="532"/>
      <c r="K283" s="532"/>
      <c r="L283" s="532"/>
      <c r="M283" s="532"/>
      <c r="N283" s="532"/>
      <c r="O283" s="575">
        <v>160.19999999999999</v>
      </c>
      <c r="P283" s="532"/>
      <c r="Q283" s="575"/>
      <c r="R283" s="575">
        <v>160.19999999999999</v>
      </c>
      <c r="S283" s="532"/>
    </row>
    <row r="284" spans="1:19" s="585" customFormat="1" ht="12" hidden="1" thickBot="1">
      <c r="A284" s="522" t="s">
        <v>195</v>
      </c>
      <c r="B284" s="522" t="s">
        <v>1424</v>
      </c>
      <c r="C284" s="522" t="s">
        <v>183</v>
      </c>
      <c r="D284" s="524">
        <v>4</v>
      </c>
      <c r="E284" s="526"/>
      <c r="F284" s="526"/>
      <c r="G284" s="526"/>
      <c r="H284" s="524">
        <v>219600</v>
      </c>
      <c r="I284" s="526"/>
      <c r="J284" s="526"/>
      <c r="K284" s="526"/>
      <c r="L284" s="526"/>
      <c r="M284" s="526"/>
      <c r="N284" s="526"/>
      <c r="O284" s="568">
        <v>647.79999999999995</v>
      </c>
      <c r="P284" s="526"/>
      <c r="Q284" s="568"/>
      <c r="R284" s="568">
        <v>647.79999999999995</v>
      </c>
      <c r="S284" s="526"/>
    </row>
    <row r="285" spans="1:19" s="585" customFormat="1" ht="12" hidden="1" thickBot="1">
      <c r="A285" s="522" t="s">
        <v>195</v>
      </c>
      <c r="B285" s="522" t="s">
        <v>1424</v>
      </c>
      <c r="C285" s="522" t="s">
        <v>652</v>
      </c>
      <c r="D285" s="530">
        <v>272</v>
      </c>
      <c r="E285" s="532"/>
      <c r="F285" s="532"/>
      <c r="G285" s="532"/>
      <c r="H285" s="530">
        <v>14416</v>
      </c>
      <c r="I285" s="532"/>
      <c r="J285" s="532"/>
      <c r="K285" s="532"/>
      <c r="L285" s="532"/>
      <c r="M285" s="532"/>
      <c r="N285" s="532"/>
      <c r="O285" s="532"/>
      <c r="P285" s="532"/>
      <c r="Q285" s="532"/>
      <c r="R285" s="532"/>
      <c r="S285" s="532"/>
    </row>
    <row r="286" spans="1:19" s="585" customFormat="1" ht="12" hidden="1" thickBot="1">
      <c r="A286" s="522" t="s">
        <v>195</v>
      </c>
      <c r="B286" s="522" t="s">
        <v>1424</v>
      </c>
      <c r="C286" s="522" t="s">
        <v>720</v>
      </c>
      <c r="D286" s="524">
        <v>96</v>
      </c>
      <c r="E286" s="526"/>
      <c r="F286" s="526"/>
      <c r="G286" s="526"/>
      <c r="H286" s="524">
        <v>1853513</v>
      </c>
      <c r="I286" s="526"/>
      <c r="J286" s="526"/>
      <c r="K286" s="526"/>
      <c r="L286" s="526"/>
      <c r="M286" s="526"/>
      <c r="N286" s="526"/>
      <c r="O286" s="568">
        <v>7860</v>
      </c>
      <c r="P286" s="526"/>
      <c r="Q286" s="568"/>
      <c r="R286" s="568">
        <v>7860</v>
      </c>
      <c r="S286" s="526"/>
    </row>
    <row r="287" spans="1:19" s="585" customFormat="1" ht="12" hidden="1" thickBot="1">
      <c r="A287" s="522" t="s">
        <v>195</v>
      </c>
      <c r="B287" s="522" t="s">
        <v>1424</v>
      </c>
      <c r="C287" s="522" t="s">
        <v>721</v>
      </c>
      <c r="D287" s="530">
        <v>19</v>
      </c>
      <c r="E287" s="532"/>
      <c r="F287" s="532"/>
      <c r="G287" s="532"/>
      <c r="H287" s="530">
        <v>39934</v>
      </c>
      <c r="I287" s="532"/>
      <c r="J287" s="532"/>
      <c r="K287" s="532"/>
      <c r="L287" s="532"/>
      <c r="M287" s="532"/>
      <c r="N287" s="532"/>
      <c r="O287" s="575">
        <v>874.9</v>
      </c>
      <c r="P287" s="532"/>
      <c r="Q287" s="575"/>
      <c r="R287" s="575">
        <v>874.9</v>
      </c>
      <c r="S287" s="532"/>
    </row>
    <row r="288" spans="1:19" s="585" customFormat="1" ht="12" hidden="1" thickBot="1">
      <c r="A288" s="522" t="s">
        <v>195</v>
      </c>
      <c r="B288" s="522" t="s">
        <v>1424</v>
      </c>
      <c r="C288" s="522" t="s">
        <v>722</v>
      </c>
      <c r="D288" s="524">
        <v>99</v>
      </c>
      <c r="E288" s="526"/>
      <c r="F288" s="526"/>
      <c r="G288" s="526"/>
      <c r="H288" s="524">
        <v>7160624</v>
      </c>
      <c r="I288" s="526"/>
      <c r="J288" s="526"/>
      <c r="K288" s="526"/>
      <c r="L288" s="526"/>
      <c r="M288" s="526"/>
      <c r="N288" s="526"/>
      <c r="O288" s="568">
        <v>23348</v>
      </c>
      <c r="P288" s="526"/>
      <c r="Q288" s="568"/>
      <c r="R288" s="568">
        <v>23348</v>
      </c>
      <c r="S288" s="526"/>
    </row>
    <row r="289" spans="1:19" s="585" customFormat="1" ht="12" hidden="1" thickBot="1">
      <c r="A289" s="522" t="s">
        <v>195</v>
      </c>
      <c r="B289" s="522" t="s">
        <v>1424</v>
      </c>
      <c r="C289" s="582" t="s">
        <v>9</v>
      </c>
      <c r="D289" s="539">
        <v>514451</v>
      </c>
      <c r="E289" s="540">
        <v>4082</v>
      </c>
      <c r="F289" s="540">
        <v>1223</v>
      </c>
      <c r="G289" s="540">
        <v>872</v>
      </c>
      <c r="H289" s="539">
        <v>1644424042</v>
      </c>
      <c r="I289" s="581">
        <v>2360919.9849999999</v>
      </c>
      <c r="J289" s="581">
        <v>1650805.2999999998</v>
      </c>
      <c r="K289" s="581">
        <v>1577660.8</v>
      </c>
      <c r="L289" s="540">
        <v>654413.86</v>
      </c>
      <c r="M289" s="540">
        <v>6362.7</v>
      </c>
      <c r="N289" s="581">
        <v>33406.9</v>
      </c>
      <c r="O289" s="581">
        <v>1662496.9</v>
      </c>
      <c r="P289" s="581">
        <v>1644669.4</v>
      </c>
      <c r="Q289" s="581">
        <v>1570586.2000000002</v>
      </c>
      <c r="R289" s="581">
        <v>1120067.0999999999</v>
      </c>
      <c r="S289" s="540">
        <v>212407.78999999998</v>
      </c>
    </row>
    <row r="290" spans="1:19" s="585" customFormat="1" ht="12" hidden="1" thickBot="1">
      <c r="A290" s="565" t="s">
        <v>195</v>
      </c>
      <c r="B290" s="565" t="s">
        <v>1429</v>
      </c>
      <c r="C290" s="565" t="s">
        <v>168</v>
      </c>
      <c r="D290" s="566">
        <v>32</v>
      </c>
      <c r="E290" s="567"/>
      <c r="F290" s="567"/>
      <c r="G290" s="567"/>
      <c r="H290" s="566">
        <v>139895327</v>
      </c>
      <c r="I290" s="572">
        <v>310977</v>
      </c>
      <c r="J290" s="572">
        <v>302645.40000000002</v>
      </c>
      <c r="K290" s="572">
        <v>299369.5</v>
      </c>
      <c r="L290" s="567"/>
      <c r="M290" s="567"/>
      <c r="N290" s="567"/>
      <c r="O290" s="572">
        <v>307153.40000000002</v>
      </c>
      <c r="P290" s="572">
        <v>300825.7</v>
      </c>
      <c r="Q290" s="572">
        <v>298228.3</v>
      </c>
      <c r="R290" s="567"/>
      <c r="S290" s="567"/>
    </row>
    <row r="291" spans="1:19" s="585" customFormat="1" ht="12" hidden="1" thickBot="1">
      <c r="A291" s="565" t="s">
        <v>195</v>
      </c>
      <c r="B291" s="565" t="s">
        <v>1429</v>
      </c>
      <c r="C291" s="565" t="s">
        <v>169</v>
      </c>
      <c r="D291" s="570">
        <v>165</v>
      </c>
      <c r="E291" s="571"/>
      <c r="F291" s="571"/>
      <c r="G291" s="571"/>
      <c r="H291" s="570">
        <v>4805788</v>
      </c>
      <c r="I291" s="573"/>
      <c r="J291" s="571"/>
      <c r="K291" s="574">
        <v>16532.05</v>
      </c>
      <c r="L291" s="574">
        <v>16532.05</v>
      </c>
      <c r="M291" s="574">
        <v>0</v>
      </c>
      <c r="N291" s="571"/>
      <c r="O291" s="573"/>
      <c r="P291" s="571"/>
      <c r="Q291" s="573">
        <v>14572.1</v>
      </c>
      <c r="R291" s="573">
        <v>14572.1</v>
      </c>
      <c r="S291" s="574">
        <v>0</v>
      </c>
    </row>
    <row r="292" spans="1:19" s="585" customFormat="1" ht="12" hidden="1" thickBot="1">
      <c r="A292" s="565" t="s">
        <v>195</v>
      </c>
      <c r="B292" s="565" t="s">
        <v>1429</v>
      </c>
      <c r="C292" s="565" t="s">
        <v>170</v>
      </c>
      <c r="D292" s="566">
        <v>4740</v>
      </c>
      <c r="E292" s="567"/>
      <c r="F292" s="567"/>
      <c r="G292" s="567"/>
      <c r="H292" s="566">
        <v>147959641</v>
      </c>
      <c r="I292" s="572"/>
      <c r="J292" s="567"/>
      <c r="K292" s="576">
        <v>442527.22</v>
      </c>
      <c r="L292" s="576">
        <v>442527.22</v>
      </c>
      <c r="M292" s="576">
        <v>0</v>
      </c>
      <c r="N292" s="567"/>
      <c r="O292" s="572"/>
      <c r="P292" s="567"/>
      <c r="Q292" s="572">
        <v>395154.4</v>
      </c>
      <c r="R292" s="572">
        <v>395154.4</v>
      </c>
      <c r="S292" s="576">
        <v>0</v>
      </c>
    </row>
    <row r="293" spans="1:19" s="585" customFormat="1" ht="12" hidden="1" thickBot="1">
      <c r="A293" s="565" t="s">
        <v>195</v>
      </c>
      <c r="B293" s="565" t="s">
        <v>1429</v>
      </c>
      <c r="C293" s="565" t="s">
        <v>171</v>
      </c>
      <c r="D293" s="570">
        <v>52</v>
      </c>
      <c r="E293" s="571"/>
      <c r="F293" s="571"/>
      <c r="G293" s="571"/>
      <c r="H293" s="570">
        <v>215552537</v>
      </c>
      <c r="I293" s="573">
        <v>451659.1</v>
      </c>
      <c r="J293" s="573">
        <v>438293.1</v>
      </c>
      <c r="K293" s="573">
        <v>431935.5</v>
      </c>
      <c r="L293" s="571"/>
      <c r="M293" s="571"/>
      <c r="N293" s="571"/>
      <c r="O293" s="573">
        <v>441194.9</v>
      </c>
      <c r="P293" s="573">
        <v>437518.1</v>
      </c>
      <c r="Q293" s="573">
        <v>430847.5</v>
      </c>
      <c r="R293" s="571"/>
      <c r="S293" s="571"/>
    </row>
    <row r="294" spans="1:19" s="585" customFormat="1" ht="12" hidden="1" thickBot="1">
      <c r="A294" s="565" t="s">
        <v>195</v>
      </c>
      <c r="B294" s="565" t="s">
        <v>1429</v>
      </c>
      <c r="C294" s="565" t="s">
        <v>172</v>
      </c>
      <c r="D294" s="566">
        <v>63</v>
      </c>
      <c r="E294" s="567"/>
      <c r="F294" s="567"/>
      <c r="G294" s="567"/>
      <c r="H294" s="566">
        <v>16436798</v>
      </c>
      <c r="I294" s="572"/>
      <c r="J294" s="567"/>
      <c r="K294" s="572">
        <v>39875.9</v>
      </c>
      <c r="L294" s="576">
        <v>39875.9</v>
      </c>
      <c r="M294" s="576">
        <v>874.7</v>
      </c>
      <c r="N294" s="567"/>
      <c r="O294" s="572"/>
      <c r="P294" s="567"/>
      <c r="Q294" s="572">
        <v>37546.5</v>
      </c>
      <c r="R294" s="572">
        <v>37546.5</v>
      </c>
      <c r="S294" s="576">
        <v>13051.85</v>
      </c>
    </row>
    <row r="295" spans="1:19" s="585" customFormat="1" ht="12" hidden="1" thickBot="1">
      <c r="A295" s="565" t="s">
        <v>195</v>
      </c>
      <c r="B295" s="565" t="s">
        <v>1429</v>
      </c>
      <c r="C295" s="565" t="s">
        <v>173</v>
      </c>
      <c r="D295" s="570">
        <v>361</v>
      </c>
      <c r="E295" s="571"/>
      <c r="F295" s="571"/>
      <c r="G295" s="571"/>
      <c r="H295" s="570">
        <v>50342019</v>
      </c>
      <c r="I295" s="573"/>
      <c r="J295" s="571"/>
      <c r="K295" s="573">
        <v>134692.95000000001</v>
      </c>
      <c r="L295" s="574">
        <v>134692.95000000001</v>
      </c>
      <c r="M295" s="574">
        <v>5289</v>
      </c>
      <c r="N295" s="571"/>
      <c r="O295" s="573"/>
      <c r="P295" s="571"/>
      <c r="Q295" s="573">
        <v>129148.4</v>
      </c>
      <c r="R295" s="573">
        <v>129148.4</v>
      </c>
      <c r="S295" s="574">
        <v>75109.84</v>
      </c>
    </row>
    <row r="296" spans="1:19" s="585" customFormat="1" ht="12" hidden="1" thickBot="1">
      <c r="A296" s="565" t="s">
        <v>195</v>
      </c>
      <c r="B296" s="565" t="s">
        <v>1429</v>
      </c>
      <c r="C296" s="565" t="s">
        <v>174</v>
      </c>
      <c r="D296" s="566">
        <v>165</v>
      </c>
      <c r="E296" s="567"/>
      <c r="F296" s="567"/>
      <c r="G296" s="567"/>
      <c r="H296" s="566">
        <v>105815191</v>
      </c>
      <c r="I296" s="572">
        <v>281382</v>
      </c>
      <c r="J296" s="572">
        <v>272598.09999999998</v>
      </c>
      <c r="K296" s="572">
        <v>265433.2</v>
      </c>
      <c r="L296" s="567"/>
      <c r="M296" s="567"/>
      <c r="N296" s="567"/>
      <c r="O296" s="572">
        <v>274905.09999999998</v>
      </c>
      <c r="P296" s="572">
        <v>271374.59999999998</v>
      </c>
      <c r="Q296" s="572">
        <v>263105.90000000002</v>
      </c>
      <c r="R296" s="567"/>
      <c r="S296" s="567"/>
    </row>
    <row r="297" spans="1:19" s="585" customFormat="1" ht="12" hidden="1" thickBot="1">
      <c r="A297" s="565" t="s">
        <v>195</v>
      </c>
      <c r="B297" s="565" t="s">
        <v>1429</v>
      </c>
      <c r="C297" s="565" t="s">
        <v>175</v>
      </c>
      <c r="D297" s="570">
        <v>488</v>
      </c>
      <c r="E297" s="571"/>
      <c r="F297" s="571"/>
      <c r="G297" s="571"/>
      <c r="H297" s="570">
        <v>117890588</v>
      </c>
      <c r="I297" s="573">
        <v>288620.09999999998</v>
      </c>
      <c r="J297" s="573">
        <v>267038.65000000002</v>
      </c>
      <c r="K297" s="573">
        <v>262225.05</v>
      </c>
      <c r="L297" s="571"/>
      <c r="M297" s="571"/>
      <c r="N297" s="573">
        <v>33114.400000000001</v>
      </c>
      <c r="O297" s="573">
        <v>267627</v>
      </c>
      <c r="P297" s="573">
        <v>263976.90000000002</v>
      </c>
      <c r="Q297" s="573">
        <v>258901.8</v>
      </c>
      <c r="R297" s="571"/>
      <c r="S297" s="574">
        <v>119006.83</v>
      </c>
    </row>
    <row r="298" spans="1:19" s="585" customFormat="1" ht="12" hidden="1" thickBot="1">
      <c r="A298" s="565" t="s">
        <v>195</v>
      </c>
      <c r="B298" s="565" t="s">
        <v>1429</v>
      </c>
      <c r="C298" s="565" t="s">
        <v>177</v>
      </c>
      <c r="D298" s="566">
        <v>63575</v>
      </c>
      <c r="E298" s="567"/>
      <c r="F298" s="567"/>
      <c r="G298" s="567"/>
      <c r="H298" s="566">
        <v>61131589</v>
      </c>
      <c r="I298" s="567"/>
      <c r="J298" s="567"/>
      <c r="K298" s="567"/>
      <c r="L298" s="567"/>
      <c r="M298" s="567"/>
      <c r="N298" s="567"/>
      <c r="O298" s="572">
        <v>96000.7</v>
      </c>
      <c r="P298" s="567"/>
      <c r="Q298" s="572"/>
      <c r="R298" s="572">
        <v>96000.7</v>
      </c>
      <c r="S298" s="567"/>
    </row>
    <row r="299" spans="1:19" s="585" customFormat="1" ht="12" hidden="1" thickBot="1">
      <c r="A299" s="565" t="s">
        <v>195</v>
      </c>
      <c r="B299" s="565" t="s">
        <v>1429</v>
      </c>
      <c r="C299" s="565" t="s">
        <v>178</v>
      </c>
      <c r="D299" s="570">
        <v>61</v>
      </c>
      <c r="E299" s="571"/>
      <c r="F299" s="571"/>
      <c r="G299" s="571"/>
      <c r="H299" s="570">
        <v>10785</v>
      </c>
      <c r="I299" s="571"/>
      <c r="J299" s="571"/>
      <c r="K299" s="571"/>
      <c r="L299" s="571"/>
      <c r="M299" s="571"/>
      <c r="N299" s="571"/>
      <c r="O299" s="571"/>
      <c r="P299" s="571"/>
      <c r="Q299" s="571"/>
      <c r="R299" s="571"/>
      <c r="S299" s="571"/>
    </row>
    <row r="300" spans="1:19" s="585" customFormat="1" ht="12" hidden="1" thickBot="1">
      <c r="A300" s="565" t="s">
        <v>195</v>
      </c>
      <c r="B300" s="565" t="s">
        <v>1429</v>
      </c>
      <c r="C300" s="565" t="s">
        <v>179</v>
      </c>
      <c r="D300" s="566">
        <v>18493</v>
      </c>
      <c r="E300" s="567"/>
      <c r="F300" s="567"/>
      <c r="G300" s="567"/>
      <c r="H300" s="566">
        <v>90576183</v>
      </c>
      <c r="I300" s="567"/>
      <c r="J300" s="567"/>
      <c r="K300" s="567"/>
      <c r="L300" s="567"/>
      <c r="M300" s="567"/>
      <c r="N300" s="567"/>
      <c r="O300" s="572">
        <v>370106.2</v>
      </c>
      <c r="P300" s="567"/>
      <c r="Q300" s="572"/>
      <c r="R300" s="572">
        <v>370106.2</v>
      </c>
      <c r="S300" s="567"/>
    </row>
    <row r="301" spans="1:19" s="585" customFormat="1" ht="12" hidden="1" thickBot="1">
      <c r="A301" s="565" t="s">
        <v>195</v>
      </c>
      <c r="B301" s="565" t="s">
        <v>1429</v>
      </c>
      <c r="C301" s="565" t="s">
        <v>180</v>
      </c>
      <c r="D301" s="570">
        <v>326</v>
      </c>
      <c r="E301" s="571"/>
      <c r="F301" s="571"/>
      <c r="G301" s="571"/>
      <c r="H301" s="570">
        <v>361884</v>
      </c>
      <c r="I301" s="571"/>
      <c r="J301" s="571"/>
      <c r="K301" s="571"/>
      <c r="L301" s="571"/>
      <c r="M301" s="571"/>
      <c r="N301" s="571"/>
      <c r="O301" s="573">
        <v>1617.4</v>
      </c>
      <c r="P301" s="571"/>
      <c r="Q301" s="573"/>
      <c r="R301" s="573">
        <v>1617.4</v>
      </c>
      <c r="S301" s="571"/>
    </row>
    <row r="302" spans="1:19" s="585" customFormat="1" ht="12" hidden="1" thickBot="1">
      <c r="A302" s="565" t="s">
        <v>195</v>
      </c>
      <c r="B302" s="565" t="s">
        <v>1429</v>
      </c>
      <c r="C302" s="565" t="s">
        <v>190</v>
      </c>
      <c r="D302" s="566">
        <v>229620</v>
      </c>
      <c r="E302" s="567"/>
      <c r="F302" s="567"/>
      <c r="G302" s="567"/>
      <c r="H302" s="566">
        <v>248055650</v>
      </c>
      <c r="I302" s="567"/>
      <c r="J302" s="567"/>
      <c r="K302" s="567"/>
      <c r="L302" s="567"/>
      <c r="M302" s="567"/>
      <c r="N302" s="567"/>
      <c r="O302" s="567"/>
      <c r="P302" s="567"/>
      <c r="Q302" s="567"/>
      <c r="R302" s="567"/>
      <c r="S302" s="567"/>
    </row>
    <row r="303" spans="1:19" s="585" customFormat="1" ht="12" hidden="1" thickBot="1">
      <c r="A303" s="565" t="s">
        <v>195</v>
      </c>
      <c r="B303" s="565" t="s">
        <v>1429</v>
      </c>
      <c r="C303" s="565" t="s">
        <v>191</v>
      </c>
      <c r="D303" s="570">
        <v>194680</v>
      </c>
      <c r="E303" s="571"/>
      <c r="F303" s="571"/>
      <c r="G303" s="571"/>
      <c r="H303" s="570">
        <v>207118409</v>
      </c>
      <c r="I303" s="571"/>
      <c r="J303" s="571"/>
      <c r="K303" s="571"/>
      <c r="L303" s="571"/>
      <c r="M303" s="571"/>
      <c r="N303" s="571"/>
      <c r="O303" s="571"/>
      <c r="P303" s="571"/>
      <c r="Q303" s="571"/>
      <c r="R303" s="571"/>
      <c r="S303" s="571"/>
    </row>
    <row r="304" spans="1:19" s="585" customFormat="1" ht="12" hidden="1" thickBot="1">
      <c r="A304" s="565" t="s">
        <v>195</v>
      </c>
      <c r="B304" s="565" t="s">
        <v>1429</v>
      </c>
      <c r="C304" s="565" t="s">
        <v>192</v>
      </c>
      <c r="D304" s="566">
        <v>244</v>
      </c>
      <c r="E304" s="567"/>
      <c r="F304" s="567"/>
      <c r="G304" s="567"/>
      <c r="H304" s="566">
        <v>511256</v>
      </c>
      <c r="I304" s="567"/>
      <c r="J304" s="567"/>
      <c r="K304" s="567"/>
      <c r="L304" s="567"/>
      <c r="M304" s="567"/>
      <c r="N304" s="567"/>
      <c r="O304" s="567"/>
      <c r="P304" s="567"/>
      <c r="Q304" s="567"/>
      <c r="R304" s="567"/>
      <c r="S304" s="567"/>
    </row>
    <row r="305" spans="1:19" s="585" customFormat="1" ht="12" hidden="1" thickBot="1">
      <c r="A305" s="565" t="s">
        <v>195</v>
      </c>
      <c r="B305" s="565" t="s">
        <v>1429</v>
      </c>
      <c r="C305" s="565" t="s">
        <v>193</v>
      </c>
      <c r="D305" s="570">
        <v>50</v>
      </c>
      <c r="E305" s="571"/>
      <c r="F305" s="571"/>
      <c r="G305" s="571"/>
      <c r="H305" s="570">
        <v>70043</v>
      </c>
      <c r="I305" s="571"/>
      <c r="J305" s="571"/>
      <c r="K305" s="571"/>
      <c r="L305" s="571"/>
      <c r="M305" s="571"/>
      <c r="N305" s="571"/>
      <c r="O305" s="571"/>
      <c r="P305" s="571"/>
      <c r="Q305" s="571"/>
      <c r="R305" s="571"/>
      <c r="S305" s="571"/>
    </row>
    <row r="306" spans="1:19" s="585" customFormat="1" ht="12" hidden="1" thickBot="1">
      <c r="A306" s="565" t="s">
        <v>195</v>
      </c>
      <c r="B306" s="565" t="s">
        <v>1429</v>
      </c>
      <c r="C306" s="565" t="s">
        <v>194</v>
      </c>
      <c r="D306" s="566">
        <v>57</v>
      </c>
      <c r="E306" s="567"/>
      <c r="F306" s="567"/>
      <c r="G306" s="567"/>
      <c r="H306" s="566">
        <v>47697</v>
      </c>
      <c r="I306" s="567"/>
      <c r="J306" s="567"/>
      <c r="K306" s="567"/>
      <c r="L306" s="567"/>
      <c r="M306" s="567"/>
      <c r="N306" s="567"/>
      <c r="O306" s="567"/>
      <c r="P306" s="567"/>
      <c r="Q306" s="567"/>
      <c r="R306" s="567"/>
      <c r="S306" s="567"/>
    </row>
    <row r="307" spans="1:19" s="585" customFormat="1" ht="12" hidden="1" thickBot="1">
      <c r="A307" s="565" t="s">
        <v>195</v>
      </c>
      <c r="B307" s="565" t="s">
        <v>1429</v>
      </c>
      <c r="C307" s="565" t="s">
        <v>440</v>
      </c>
      <c r="D307" s="570">
        <v>3</v>
      </c>
      <c r="E307" s="571"/>
      <c r="F307" s="571"/>
      <c r="G307" s="571"/>
      <c r="H307" s="570">
        <v>4498</v>
      </c>
      <c r="I307" s="571"/>
      <c r="J307" s="571"/>
      <c r="K307" s="571"/>
      <c r="L307" s="571"/>
      <c r="M307" s="571"/>
      <c r="N307" s="571"/>
      <c r="O307" s="571"/>
      <c r="P307" s="571"/>
      <c r="Q307" s="571"/>
      <c r="R307" s="571"/>
      <c r="S307" s="571"/>
    </row>
    <row r="308" spans="1:19" s="585" customFormat="1" ht="12" hidden="1" thickBot="1">
      <c r="A308" s="565" t="s">
        <v>195</v>
      </c>
      <c r="B308" s="565" t="s">
        <v>1429</v>
      </c>
      <c r="C308" s="565" t="s">
        <v>441</v>
      </c>
      <c r="D308" s="566">
        <v>1</v>
      </c>
      <c r="E308" s="567"/>
      <c r="F308" s="567"/>
      <c r="G308" s="567"/>
      <c r="H308" s="566">
        <v>954</v>
      </c>
      <c r="I308" s="567"/>
      <c r="J308" s="567"/>
      <c r="K308" s="567"/>
      <c r="L308" s="567"/>
      <c r="M308" s="567"/>
      <c r="N308" s="567"/>
      <c r="O308" s="567"/>
      <c r="P308" s="567"/>
      <c r="Q308" s="567"/>
      <c r="R308" s="567"/>
      <c r="S308" s="567"/>
    </row>
    <row r="309" spans="1:19" s="585" customFormat="1" ht="12" hidden="1" thickBot="1">
      <c r="A309" s="565" t="s">
        <v>195</v>
      </c>
      <c r="B309" s="565" t="s">
        <v>1429</v>
      </c>
      <c r="C309" s="565" t="s">
        <v>185</v>
      </c>
      <c r="D309" s="570">
        <v>11</v>
      </c>
      <c r="E309" s="571"/>
      <c r="F309" s="571"/>
      <c r="G309" s="571"/>
      <c r="H309" s="570">
        <v>5785</v>
      </c>
      <c r="I309" s="571"/>
      <c r="J309" s="571"/>
      <c r="K309" s="571"/>
      <c r="L309" s="571"/>
      <c r="M309" s="571"/>
      <c r="N309" s="571"/>
      <c r="O309" s="571"/>
      <c r="P309" s="571"/>
      <c r="Q309" s="571"/>
      <c r="R309" s="571"/>
      <c r="S309" s="571"/>
    </row>
    <row r="310" spans="1:19" s="585" customFormat="1" ht="12" hidden="1" thickBot="1">
      <c r="A310" s="565" t="s">
        <v>195</v>
      </c>
      <c r="B310" s="565" t="s">
        <v>1429</v>
      </c>
      <c r="C310" s="565" t="s">
        <v>189</v>
      </c>
      <c r="D310" s="566">
        <v>1</v>
      </c>
      <c r="E310" s="567"/>
      <c r="F310" s="567"/>
      <c r="G310" s="567"/>
      <c r="H310" s="566">
        <v>46872000</v>
      </c>
      <c r="I310" s="567">
        <v>191717.9</v>
      </c>
      <c r="J310" s="567">
        <v>191717.9</v>
      </c>
      <c r="K310" s="567">
        <v>138467.9</v>
      </c>
      <c r="L310" s="567"/>
      <c r="M310" s="567"/>
      <c r="N310" s="567"/>
      <c r="O310" s="567">
        <v>191717.9</v>
      </c>
      <c r="P310" s="567">
        <v>191717.9</v>
      </c>
      <c r="Q310" s="567">
        <v>138467.9</v>
      </c>
      <c r="R310" s="567"/>
      <c r="S310" s="567"/>
    </row>
    <row r="311" spans="1:19" s="585" customFormat="1" ht="12" hidden="1" thickBot="1">
      <c r="A311" s="565" t="s">
        <v>195</v>
      </c>
      <c r="B311" s="565" t="s">
        <v>1429</v>
      </c>
      <c r="C311" s="565" t="s">
        <v>233</v>
      </c>
      <c r="D311" s="570">
        <v>1</v>
      </c>
      <c r="E311" s="571"/>
      <c r="F311" s="571"/>
      <c r="G311" s="571"/>
      <c r="H311" s="570">
        <v>10593</v>
      </c>
      <c r="I311" s="571"/>
      <c r="J311" s="571"/>
      <c r="K311" s="571"/>
      <c r="L311" s="571"/>
      <c r="M311" s="571"/>
      <c r="N311" s="571"/>
      <c r="O311" s="571">
        <v>40.9</v>
      </c>
      <c r="P311" s="571"/>
      <c r="Q311" s="571"/>
      <c r="R311" s="571">
        <v>40.9</v>
      </c>
      <c r="S311" s="571"/>
    </row>
    <row r="312" spans="1:19" s="585" customFormat="1" ht="12" hidden="1" thickBot="1">
      <c r="A312" s="565" t="s">
        <v>195</v>
      </c>
      <c r="B312" s="565" t="s">
        <v>1429</v>
      </c>
      <c r="C312" s="565" t="s">
        <v>232</v>
      </c>
      <c r="D312" s="570">
        <v>1</v>
      </c>
      <c r="E312" s="571"/>
      <c r="F312" s="571"/>
      <c r="G312" s="571"/>
      <c r="H312" s="570">
        <v>2792</v>
      </c>
      <c r="I312" s="571"/>
      <c r="J312" s="571"/>
      <c r="K312" s="571"/>
      <c r="L312" s="571"/>
      <c r="M312" s="571"/>
      <c r="N312" s="571"/>
      <c r="O312" s="571"/>
      <c r="P312" s="571"/>
      <c r="Q312" s="571"/>
      <c r="R312" s="571"/>
      <c r="S312" s="571"/>
    </row>
    <row r="313" spans="1:19" s="585" customFormat="1" ht="12" thickBot="1">
      <c r="A313" s="565" t="s">
        <v>195</v>
      </c>
      <c r="B313" s="565" t="s">
        <v>1429</v>
      </c>
      <c r="C313" s="565" t="s">
        <v>184</v>
      </c>
      <c r="D313" s="566">
        <v>479</v>
      </c>
      <c r="E313" s="567"/>
      <c r="F313" s="567"/>
      <c r="G313" s="567"/>
      <c r="H313" s="566">
        <v>100946</v>
      </c>
      <c r="I313" s="572"/>
      <c r="J313" s="572"/>
      <c r="K313" s="572"/>
      <c r="L313" s="567"/>
      <c r="M313" s="567"/>
      <c r="N313" s="567"/>
      <c r="O313" s="567">
        <v>51.8</v>
      </c>
      <c r="P313" s="572"/>
      <c r="Q313" s="567"/>
      <c r="R313" s="567">
        <v>51.8</v>
      </c>
      <c r="S313" s="567"/>
    </row>
    <row r="314" spans="1:19" ht="12" hidden="1" thickBot="1">
      <c r="A314" s="845" t="s">
        <v>195</v>
      </c>
      <c r="B314" s="845" t="s">
        <v>1429</v>
      </c>
      <c r="C314" s="845" t="s">
        <v>187</v>
      </c>
      <c r="D314" s="852">
        <v>1</v>
      </c>
      <c r="E314" s="868"/>
      <c r="F314" s="868"/>
      <c r="G314" s="868"/>
      <c r="H314" s="868"/>
      <c r="I314" s="860"/>
      <c r="J314" s="860"/>
      <c r="K314" s="860"/>
      <c r="L314" s="860"/>
      <c r="M314" s="860"/>
      <c r="N314" s="860"/>
      <c r="O314" s="860"/>
      <c r="P314" s="860"/>
      <c r="Q314" s="860"/>
      <c r="R314" s="860"/>
      <c r="S314" s="860"/>
    </row>
    <row r="315" spans="1:19" ht="12" hidden="1" thickBot="1">
      <c r="A315" s="845" t="s">
        <v>195</v>
      </c>
      <c r="B315" s="845" t="s">
        <v>1429</v>
      </c>
      <c r="C315" s="845" t="s">
        <v>1364</v>
      </c>
      <c r="D315" s="853">
        <v>1</v>
      </c>
      <c r="E315" s="869"/>
      <c r="F315" s="869"/>
      <c r="G315" s="869"/>
      <c r="H315" s="869"/>
      <c r="I315" s="861"/>
      <c r="J315" s="861"/>
      <c r="K315" s="861"/>
      <c r="L315" s="861"/>
      <c r="M315" s="861"/>
      <c r="N315" s="861"/>
      <c r="O315" s="861"/>
      <c r="P315" s="861"/>
      <c r="Q315" s="861"/>
      <c r="R315" s="861"/>
      <c r="S315" s="861"/>
    </row>
    <row r="316" spans="1:19" ht="12" hidden="1" thickBot="1">
      <c r="A316" s="845" t="s">
        <v>195</v>
      </c>
      <c r="B316" s="845" t="s">
        <v>1429</v>
      </c>
      <c r="C316" s="845" t="s">
        <v>1358</v>
      </c>
      <c r="D316" s="852">
        <v>2</v>
      </c>
      <c r="E316" s="868"/>
      <c r="F316" s="868"/>
      <c r="G316" s="868"/>
      <c r="H316" s="868"/>
      <c r="I316" s="860"/>
      <c r="J316" s="860"/>
      <c r="K316" s="860"/>
      <c r="L316" s="860"/>
      <c r="M316" s="860"/>
      <c r="N316" s="860"/>
      <c r="O316" s="860"/>
      <c r="P316" s="860"/>
      <c r="Q316" s="860"/>
      <c r="R316" s="860"/>
      <c r="S316" s="860"/>
    </row>
    <row r="317" spans="1:19" ht="12" hidden="1" thickBot="1">
      <c r="A317" s="845" t="s">
        <v>195</v>
      </c>
      <c r="B317" s="845" t="s">
        <v>1429</v>
      </c>
      <c r="C317" s="845" t="s">
        <v>1045</v>
      </c>
      <c r="D317" s="853">
        <v>1</v>
      </c>
      <c r="E317" s="869"/>
      <c r="F317" s="869"/>
      <c r="G317" s="869"/>
      <c r="H317" s="869"/>
      <c r="I317" s="861"/>
      <c r="J317" s="861"/>
      <c r="K317" s="861"/>
      <c r="L317" s="861"/>
      <c r="M317" s="861"/>
      <c r="N317" s="861"/>
      <c r="O317" s="861"/>
      <c r="P317" s="861"/>
      <c r="Q317" s="861"/>
      <c r="R317" s="861"/>
      <c r="S317" s="861"/>
    </row>
    <row r="318" spans="1:19" s="585" customFormat="1" ht="12" hidden="1" thickBot="1">
      <c r="A318" s="565" t="s">
        <v>195</v>
      </c>
      <c r="B318" s="565" t="s">
        <v>1429</v>
      </c>
      <c r="C318" s="565" t="s">
        <v>186</v>
      </c>
      <c r="D318" s="570">
        <v>2</v>
      </c>
      <c r="E318" s="571"/>
      <c r="F318" s="571"/>
      <c r="G318" s="571"/>
      <c r="H318" s="571">
        <v>10120</v>
      </c>
      <c r="I318" s="571"/>
      <c r="J318" s="571"/>
      <c r="K318" s="571"/>
      <c r="L318" s="571"/>
      <c r="M318" s="571"/>
      <c r="N318" s="571"/>
      <c r="O318" s="571">
        <v>65.3</v>
      </c>
      <c r="P318" s="571"/>
      <c r="Q318" s="571"/>
      <c r="R318" s="571">
        <v>65.3</v>
      </c>
      <c r="S318" s="571"/>
    </row>
    <row r="319" spans="1:19" s="585" customFormat="1" ht="12" hidden="1" thickBot="1">
      <c r="A319" s="565" t="s">
        <v>195</v>
      </c>
      <c r="B319" s="565" t="s">
        <v>1429</v>
      </c>
      <c r="C319" s="565" t="s">
        <v>176</v>
      </c>
      <c r="D319" s="566">
        <v>1</v>
      </c>
      <c r="E319" s="567"/>
      <c r="F319" s="567"/>
      <c r="G319" s="567"/>
      <c r="H319" s="567">
        <v>32640</v>
      </c>
      <c r="I319" s="567"/>
      <c r="J319" s="567"/>
      <c r="K319" s="567"/>
      <c r="L319" s="567">
        <v>102.9</v>
      </c>
      <c r="M319" s="567">
        <v>0</v>
      </c>
      <c r="N319" s="567"/>
      <c r="O319" s="567"/>
      <c r="P319" s="567"/>
      <c r="Q319" s="567">
        <v>102.9</v>
      </c>
      <c r="R319" s="567">
        <v>102.9</v>
      </c>
      <c r="S319" s="567">
        <v>0</v>
      </c>
    </row>
    <row r="320" spans="1:19" s="585" customFormat="1" ht="12" hidden="1" thickBot="1">
      <c r="A320" s="565" t="s">
        <v>195</v>
      </c>
      <c r="B320" s="565" t="s">
        <v>1429</v>
      </c>
      <c r="C320" s="565" t="s">
        <v>182</v>
      </c>
      <c r="D320" s="570">
        <v>67</v>
      </c>
      <c r="E320" s="571"/>
      <c r="F320" s="571"/>
      <c r="G320" s="571"/>
      <c r="H320" s="570">
        <v>298495</v>
      </c>
      <c r="I320" s="571"/>
      <c r="J320" s="571"/>
      <c r="K320" s="571"/>
      <c r="L320" s="571"/>
      <c r="M320" s="571"/>
      <c r="N320" s="571"/>
      <c r="O320" s="573">
        <v>1970.8</v>
      </c>
      <c r="P320" s="571"/>
      <c r="Q320" s="573"/>
      <c r="R320" s="573">
        <v>1970.8</v>
      </c>
      <c r="S320" s="571"/>
    </row>
    <row r="321" spans="1:19" s="585" customFormat="1" ht="12" hidden="1" thickBot="1">
      <c r="A321" s="565" t="s">
        <v>195</v>
      </c>
      <c r="B321" s="565" t="s">
        <v>1429</v>
      </c>
      <c r="C321" s="565" t="s">
        <v>477</v>
      </c>
      <c r="D321" s="566">
        <v>7</v>
      </c>
      <c r="E321" s="567">
        <v>4686</v>
      </c>
      <c r="F321" s="567">
        <v>1412</v>
      </c>
      <c r="G321" s="567">
        <v>1143</v>
      </c>
      <c r="H321" s="566">
        <v>7241</v>
      </c>
      <c r="I321" s="572"/>
      <c r="J321" s="567"/>
      <c r="K321" s="567"/>
      <c r="L321" s="576"/>
      <c r="M321" s="576"/>
      <c r="N321" s="567"/>
      <c r="O321" s="572"/>
      <c r="P321" s="567"/>
      <c r="Q321" s="572"/>
      <c r="R321" s="572"/>
      <c r="S321" s="576"/>
    </row>
    <row r="322" spans="1:19" s="585" customFormat="1" ht="12" hidden="1" thickBot="1">
      <c r="A322" s="565" t="s">
        <v>195</v>
      </c>
      <c r="B322" s="565" t="s">
        <v>1429</v>
      </c>
      <c r="C322" s="565" t="s">
        <v>181</v>
      </c>
      <c r="D322" s="570">
        <v>6</v>
      </c>
      <c r="E322" s="571"/>
      <c r="F322" s="571"/>
      <c r="G322" s="571"/>
      <c r="H322" s="570">
        <v>2100</v>
      </c>
      <c r="I322" s="571"/>
      <c r="J322" s="571"/>
      <c r="K322" s="571"/>
      <c r="L322" s="571"/>
      <c r="M322" s="571"/>
      <c r="N322" s="571"/>
      <c r="O322" s="573">
        <v>225.3</v>
      </c>
      <c r="P322" s="571"/>
      <c r="Q322" s="573"/>
      <c r="R322" s="573">
        <v>225.3</v>
      </c>
      <c r="S322" s="571"/>
    </row>
    <row r="323" spans="1:19" s="585" customFormat="1" ht="12" hidden="1" thickBot="1">
      <c r="A323" s="565" t="s">
        <v>195</v>
      </c>
      <c r="B323" s="565" t="s">
        <v>1429</v>
      </c>
      <c r="C323" s="565" t="s">
        <v>183</v>
      </c>
      <c r="D323" s="566">
        <v>4</v>
      </c>
      <c r="E323" s="576"/>
      <c r="F323" s="576"/>
      <c r="G323" s="576"/>
      <c r="H323" s="566">
        <v>201220</v>
      </c>
      <c r="I323" s="567"/>
      <c r="J323" s="567"/>
      <c r="K323" s="567"/>
      <c r="L323" s="567"/>
      <c r="M323" s="567"/>
      <c r="N323" s="567"/>
      <c r="O323" s="567">
        <v>696.1</v>
      </c>
      <c r="P323" s="567"/>
      <c r="Q323" s="567"/>
      <c r="R323" s="567">
        <v>696.1</v>
      </c>
      <c r="S323" s="567"/>
    </row>
    <row r="324" spans="1:19" s="585" customFormat="1" ht="12" hidden="1" thickBot="1">
      <c r="A324" s="565" t="s">
        <v>195</v>
      </c>
      <c r="B324" s="565" t="s">
        <v>1429</v>
      </c>
      <c r="C324" s="565" t="s">
        <v>652</v>
      </c>
      <c r="D324" s="570">
        <v>272</v>
      </c>
      <c r="E324" s="571"/>
      <c r="F324" s="571"/>
      <c r="G324" s="571"/>
      <c r="H324" s="570">
        <v>14416</v>
      </c>
      <c r="I324" s="571"/>
      <c r="J324" s="571"/>
      <c r="K324" s="571"/>
      <c r="L324" s="571"/>
      <c r="M324" s="571"/>
      <c r="N324" s="571"/>
      <c r="O324" s="573"/>
      <c r="P324" s="571"/>
      <c r="Q324" s="573"/>
      <c r="R324" s="573"/>
      <c r="S324" s="571"/>
    </row>
    <row r="325" spans="1:19" s="585" customFormat="1" ht="12" hidden="1" thickBot="1">
      <c r="A325" s="565" t="s">
        <v>195</v>
      </c>
      <c r="B325" s="565" t="s">
        <v>1429</v>
      </c>
      <c r="C325" s="565" t="s">
        <v>720</v>
      </c>
      <c r="D325" s="566">
        <v>96</v>
      </c>
      <c r="E325" s="567"/>
      <c r="F325" s="567"/>
      <c r="G325" s="567"/>
      <c r="H325" s="566">
        <v>1887520</v>
      </c>
      <c r="I325" s="567"/>
      <c r="J325" s="567"/>
      <c r="K325" s="567"/>
      <c r="L325" s="567"/>
      <c r="M325" s="567"/>
      <c r="N325" s="567"/>
      <c r="O325" s="572">
        <v>8545.7000000000007</v>
      </c>
      <c r="P325" s="567"/>
      <c r="Q325" s="572"/>
      <c r="R325" s="572">
        <v>8545.7000000000007</v>
      </c>
      <c r="S325" s="567"/>
    </row>
    <row r="326" spans="1:19" s="585" customFormat="1" ht="12" hidden="1" thickBot="1">
      <c r="A326" s="565" t="s">
        <v>195</v>
      </c>
      <c r="B326" s="565" t="s">
        <v>1429</v>
      </c>
      <c r="C326" s="565" t="s">
        <v>721</v>
      </c>
      <c r="D326" s="570">
        <v>19</v>
      </c>
      <c r="E326" s="571"/>
      <c r="F326" s="571"/>
      <c r="G326" s="571"/>
      <c r="H326" s="570">
        <v>33989</v>
      </c>
      <c r="I326" s="571"/>
      <c r="J326" s="571"/>
      <c r="K326" s="571"/>
      <c r="L326" s="571"/>
      <c r="M326" s="571"/>
      <c r="N326" s="571"/>
      <c r="O326" s="571">
        <v>896.2</v>
      </c>
      <c r="P326" s="571"/>
      <c r="Q326" s="571"/>
      <c r="R326" s="571">
        <v>896.2</v>
      </c>
      <c r="S326" s="571"/>
    </row>
    <row r="327" spans="1:19" s="585" customFormat="1" ht="12" hidden="1" thickBot="1">
      <c r="A327" s="565" t="s">
        <v>195</v>
      </c>
      <c r="B327" s="565" t="s">
        <v>1429</v>
      </c>
      <c r="C327" s="565" t="s">
        <v>722</v>
      </c>
      <c r="D327" s="566">
        <v>99</v>
      </c>
      <c r="E327" s="567"/>
      <c r="F327" s="567"/>
      <c r="G327" s="567"/>
      <c r="H327" s="566">
        <v>6945036</v>
      </c>
      <c r="I327" s="567"/>
      <c r="J327" s="567"/>
      <c r="K327" s="567"/>
      <c r="L327" s="567"/>
      <c r="M327" s="567"/>
      <c r="N327" s="567"/>
      <c r="O327" s="572">
        <v>26171.599999999999</v>
      </c>
      <c r="P327" s="567"/>
      <c r="Q327" s="572"/>
      <c r="R327" s="572">
        <v>26171.599999999999</v>
      </c>
      <c r="S327" s="567"/>
    </row>
    <row r="328" spans="1:19" s="585" customFormat="1" ht="12" hidden="1" thickBot="1">
      <c r="A328" s="565" t="s">
        <v>195</v>
      </c>
      <c r="B328" s="565" t="s">
        <v>1429</v>
      </c>
      <c r="C328" s="565" t="s">
        <v>1430</v>
      </c>
      <c r="D328" s="570">
        <v>5</v>
      </c>
      <c r="E328" s="571"/>
      <c r="F328" s="571"/>
      <c r="G328" s="571"/>
      <c r="H328" s="570">
        <v>34172000</v>
      </c>
      <c r="I328" s="571">
        <v>73130.3</v>
      </c>
      <c r="J328" s="571"/>
      <c r="K328" s="571"/>
      <c r="L328" s="571">
        <v>145322.12</v>
      </c>
      <c r="M328" s="571">
        <v>0</v>
      </c>
      <c r="N328" s="571"/>
      <c r="O328" s="571"/>
      <c r="P328" s="571"/>
      <c r="Q328" s="573"/>
      <c r="R328" s="573">
        <v>73130.3</v>
      </c>
      <c r="S328" s="571">
        <v>0</v>
      </c>
    </row>
    <row r="329" spans="1:19" s="585" customFormat="1" ht="12" hidden="1" thickBot="1">
      <c r="A329" s="565" t="s">
        <v>195</v>
      </c>
      <c r="B329" s="565" t="s">
        <v>1429</v>
      </c>
      <c r="C329" s="565" t="s">
        <v>1431</v>
      </c>
      <c r="D329" s="566">
        <v>4</v>
      </c>
      <c r="E329" s="567"/>
      <c r="F329" s="567"/>
      <c r="G329" s="567"/>
      <c r="H329" s="566">
        <v>89895565</v>
      </c>
      <c r="I329" s="567">
        <v>191591.7</v>
      </c>
      <c r="J329" s="567"/>
      <c r="K329" s="567"/>
      <c r="L329" s="567">
        <v>378608.14</v>
      </c>
      <c r="M329" s="567">
        <v>0</v>
      </c>
      <c r="N329" s="567"/>
      <c r="O329" s="567"/>
      <c r="P329" s="567"/>
      <c r="Q329" s="572"/>
      <c r="R329" s="572">
        <v>191591.7</v>
      </c>
      <c r="S329" s="567">
        <v>0</v>
      </c>
    </row>
    <row r="330" spans="1:19" s="585" customFormat="1" ht="12" hidden="1" thickBot="1">
      <c r="A330" s="565" t="s">
        <v>195</v>
      </c>
      <c r="B330" s="565" t="s">
        <v>1429</v>
      </c>
      <c r="C330" s="577" t="s">
        <v>9</v>
      </c>
      <c r="D330" s="578">
        <v>514256</v>
      </c>
      <c r="E330" s="579">
        <v>4686</v>
      </c>
      <c r="F330" s="579">
        <v>1412</v>
      </c>
      <c r="G330" s="579">
        <v>1143</v>
      </c>
      <c r="H330" s="578">
        <v>1587079295</v>
      </c>
      <c r="I330" s="580">
        <v>2422809.1199999996</v>
      </c>
      <c r="J330" s="580">
        <v>1472293.15</v>
      </c>
      <c r="K330" s="580">
        <v>1397431.15</v>
      </c>
      <c r="L330" s="579">
        <v>1157661.28</v>
      </c>
      <c r="M330" s="579">
        <v>6163.7</v>
      </c>
      <c r="N330" s="580">
        <v>33114.400000000001</v>
      </c>
      <c r="O330" s="580">
        <v>1482598.2999999998</v>
      </c>
      <c r="P330" s="580">
        <v>1465413.2</v>
      </c>
      <c r="Q330" s="580">
        <v>1389551.4</v>
      </c>
      <c r="R330" s="580">
        <v>1347634.3000000003</v>
      </c>
      <c r="S330" s="579">
        <v>207168.52000000002</v>
      </c>
    </row>
    <row r="331" spans="1:19" s="585" customFormat="1" ht="12" hidden="1" thickBot="1">
      <c r="A331" s="522" t="s">
        <v>195</v>
      </c>
      <c r="B331" s="588" t="s">
        <v>1428</v>
      </c>
      <c r="C331" s="522" t="s">
        <v>168</v>
      </c>
      <c r="D331" s="829">
        <v>32</v>
      </c>
      <c r="E331" s="830"/>
      <c r="F331" s="830"/>
      <c r="G331" s="830"/>
      <c r="H331" s="833">
        <v>131381603</v>
      </c>
      <c r="I331" s="864">
        <v>297220.78000000003</v>
      </c>
      <c r="J331" s="864">
        <v>280988.93</v>
      </c>
      <c r="K331" s="864">
        <v>277346.96000000002</v>
      </c>
      <c r="L331" s="830"/>
      <c r="M331" s="830"/>
      <c r="N331" s="830"/>
      <c r="O331" s="864">
        <v>297220.78000000003</v>
      </c>
      <c r="P331" s="864">
        <v>280988.93</v>
      </c>
      <c r="Q331" s="864">
        <v>277346.96000000002</v>
      </c>
      <c r="R331" s="830"/>
      <c r="S331" s="830"/>
    </row>
    <row r="332" spans="1:19" s="585" customFormat="1" ht="12" hidden="1" thickBot="1">
      <c r="A332" s="522" t="s">
        <v>195</v>
      </c>
      <c r="B332" s="588" t="s">
        <v>1428</v>
      </c>
      <c r="C332" s="522" t="s">
        <v>169</v>
      </c>
      <c r="D332" s="829">
        <v>219</v>
      </c>
      <c r="E332" s="830"/>
      <c r="F332" s="830"/>
      <c r="G332" s="830"/>
      <c r="H332" s="833">
        <v>20027433</v>
      </c>
      <c r="I332" s="831"/>
      <c r="J332" s="864"/>
      <c r="K332" s="864">
        <v>59273.46</v>
      </c>
      <c r="L332" s="864">
        <v>59273.46</v>
      </c>
      <c r="M332" s="832"/>
      <c r="N332" s="830"/>
      <c r="O332" s="831"/>
      <c r="P332" s="864"/>
      <c r="Q332" s="864">
        <v>59273.46</v>
      </c>
      <c r="R332" s="864">
        <v>59273.46</v>
      </c>
      <c r="S332" s="832"/>
    </row>
    <row r="333" spans="1:19" s="585" customFormat="1" ht="12" hidden="1" thickBot="1">
      <c r="A333" s="522" t="s">
        <v>195</v>
      </c>
      <c r="B333" s="588" t="s">
        <v>1428</v>
      </c>
      <c r="C333" s="522" t="s">
        <v>170</v>
      </c>
      <c r="D333" s="829">
        <v>4845</v>
      </c>
      <c r="E333" s="830"/>
      <c r="F333" s="830"/>
      <c r="G333" s="830"/>
      <c r="H333" s="833">
        <v>213372347</v>
      </c>
      <c r="I333" s="831"/>
      <c r="J333" s="864"/>
      <c r="K333" s="864">
        <v>723592.85</v>
      </c>
      <c r="L333" s="864">
        <v>723592.85</v>
      </c>
      <c r="M333" s="832"/>
      <c r="N333" s="830"/>
      <c r="O333" s="831"/>
      <c r="P333" s="864"/>
      <c r="Q333" s="864">
        <v>723592.85</v>
      </c>
      <c r="R333" s="864">
        <v>723592.85</v>
      </c>
      <c r="S333" s="832"/>
    </row>
    <row r="334" spans="1:19" s="585" customFormat="1" ht="12" hidden="1" thickBot="1">
      <c r="A334" s="522" t="s">
        <v>195</v>
      </c>
      <c r="B334" s="588" t="s">
        <v>1428</v>
      </c>
      <c r="C334" s="522" t="s">
        <v>171</v>
      </c>
      <c r="D334" s="829">
        <v>52</v>
      </c>
      <c r="E334" s="830"/>
      <c r="F334" s="830"/>
      <c r="G334" s="830"/>
      <c r="H334" s="833">
        <v>261037114</v>
      </c>
      <c r="I334" s="864">
        <v>525147.27</v>
      </c>
      <c r="J334" s="864">
        <v>518484.99</v>
      </c>
      <c r="K334" s="864">
        <v>511615.98</v>
      </c>
      <c r="L334" s="830"/>
      <c r="M334" s="830"/>
      <c r="N334" s="830"/>
      <c r="O334" s="864">
        <v>525147.27</v>
      </c>
      <c r="P334" s="864">
        <v>518484.99</v>
      </c>
      <c r="Q334" s="864">
        <v>511615.98</v>
      </c>
      <c r="R334" s="830"/>
      <c r="S334" s="830"/>
    </row>
    <row r="335" spans="1:19" s="585" customFormat="1" ht="12" hidden="1" thickBot="1">
      <c r="A335" s="522" t="s">
        <v>195</v>
      </c>
      <c r="B335" s="588" t="s">
        <v>1428</v>
      </c>
      <c r="C335" s="522" t="s">
        <v>172</v>
      </c>
      <c r="D335" s="829"/>
      <c r="E335" s="830"/>
      <c r="F335" s="830"/>
      <c r="G335" s="830"/>
      <c r="H335" s="833"/>
      <c r="I335" s="831"/>
      <c r="J335" s="830"/>
      <c r="K335" s="830"/>
      <c r="L335" s="832"/>
      <c r="M335" s="832"/>
      <c r="N335" s="830"/>
      <c r="O335" s="831"/>
      <c r="P335" s="830"/>
      <c r="Q335" s="830"/>
      <c r="R335" s="832"/>
      <c r="S335" s="832"/>
    </row>
    <row r="336" spans="1:19" s="585" customFormat="1" ht="12" hidden="1" thickBot="1">
      <c r="A336" s="522" t="s">
        <v>195</v>
      </c>
      <c r="B336" s="588" t="s">
        <v>1428</v>
      </c>
      <c r="C336" s="522" t="s">
        <v>173</v>
      </c>
      <c r="D336" s="829"/>
      <c r="E336" s="830"/>
      <c r="F336" s="830"/>
      <c r="G336" s="830"/>
      <c r="H336" s="833"/>
      <c r="I336" s="831"/>
      <c r="J336" s="830"/>
      <c r="K336" s="830"/>
      <c r="L336" s="832"/>
      <c r="M336" s="832"/>
      <c r="N336" s="830"/>
      <c r="O336" s="831"/>
      <c r="P336" s="830"/>
      <c r="Q336" s="830"/>
      <c r="R336" s="832"/>
      <c r="S336" s="832"/>
    </row>
    <row r="337" spans="1:19" s="585" customFormat="1" ht="12" hidden="1" thickBot="1">
      <c r="A337" s="522" t="s">
        <v>195</v>
      </c>
      <c r="B337" s="588" t="s">
        <v>1428</v>
      </c>
      <c r="C337" s="522" t="s">
        <v>174</v>
      </c>
      <c r="D337" s="829">
        <v>179</v>
      </c>
      <c r="E337" s="830"/>
      <c r="F337" s="830"/>
      <c r="G337" s="830"/>
      <c r="H337" s="833">
        <v>109759335</v>
      </c>
      <c r="I337" s="864">
        <v>269418.2</v>
      </c>
      <c r="J337" s="864">
        <v>258888.53</v>
      </c>
      <c r="K337" s="864">
        <v>249324.74</v>
      </c>
      <c r="L337" s="830"/>
      <c r="M337" s="830"/>
      <c r="N337" s="830"/>
      <c r="O337" s="864">
        <v>269418.2</v>
      </c>
      <c r="P337" s="864">
        <v>258888.53</v>
      </c>
      <c r="Q337" s="864">
        <v>249324.74</v>
      </c>
      <c r="R337" s="830"/>
      <c r="S337" s="830"/>
    </row>
    <row r="338" spans="1:19" s="585" customFormat="1" ht="12" hidden="1" thickBot="1">
      <c r="A338" s="522" t="s">
        <v>195</v>
      </c>
      <c r="B338" s="588" t="s">
        <v>1428</v>
      </c>
      <c r="C338" s="522" t="s">
        <v>175</v>
      </c>
      <c r="D338" s="829">
        <v>451</v>
      </c>
      <c r="E338" s="830"/>
      <c r="F338" s="830"/>
      <c r="G338" s="830"/>
      <c r="H338" s="833">
        <v>134322230</v>
      </c>
      <c r="I338" s="864">
        <v>331428.90999999997</v>
      </c>
      <c r="J338" s="864">
        <v>309430.81</v>
      </c>
      <c r="K338" s="864">
        <v>303407.62</v>
      </c>
      <c r="L338" s="830"/>
      <c r="M338" s="830"/>
      <c r="N338" s="831"/>
      <c r="O338" s="864">
        <v>331428.90999999997</v>
      </c>
      <c r="P338" s="864">
        <v>309430.81</v>
      </c>
      <c r="Q338" s="864">
        <v>303407.62</v>
      </c>
      <c r="R338" s="830"/>
      <c r="S338" s="832"/>
    </row>
    <row r="339" spans="1:19" s="585" customFormat="1" ht="12" hidden="1" thickBot="1">
      <c r="A339" s="522" t="s">
        <v>195</v>
      </c>
      <c r="B339" s="588" t="s">
        <v>1428</v>
      </c>
      <c r="C339" s="522" t="s">
        <v>177</v>
      </c>
      <c r="D339" s="829">
        <v>63413</v>
      </c>
      <c r="E339" s="830"/>
      <c r="F339" s="830"/>
      <c r="G339" s="830"/>
      <c r="H339" s="833">
        <v>67737296</v>
      </c>
      <c r="I339" s="830"/>
      <c r="J339" s="830"/>
      <c r="K339" s="830"/>
      <c r="L339" s="830"/>
      <c r="M339" s="830"/>
      <c r="N339" s="830"/>
      <c r="O339" s="830"/>
      <c r="P339" s="830"/>
      <c r="Q339" s="830"/>
      <c r="R339" s="830"/>
      <c r="S339" s="830"/>
    </row>
    <row r="340" spans="1:19" s="585" customFormat="1" ht="12" hidden="1" thickBot="1">
      <c r="A340" s="522" t="s">
        <v>195</v>
      </c>
      <c r="B340" s="588" t="s">
        <v>1428</v>
      </c>
      <c r="C340" s="522" t="s">
        <v>178</v>
      </c>
      <c r="D340" s="829"/>
      <c r="E340" s="830"/>
      <c r="F340" s="830"/>
      <c r="G340" s="830"/>
      <c r="H340" s="833"/>
      <c r="I340" s="830"/>
      <c r="J340" s="830"/>
      <c r="K340" s="830"/>
      <c r="L340" s="830"/>
      <c r="M340" s="830"/>
      <c r="N340" s="830"/>
      <c r="O340" s="830"/>
      <c r="P340" s="830"/>
      <c r="Q340" s="830"/>
      <c r="R340" s="830"/>
      <c r="S340" s="830"/>
    </row>
    <row r="341" spans="1:19" s="585" customFormat="1" ht="12" hidden="1" thickBot="1">
      <c r="A341" s="522" t="s">
        <v>195</v>
      </c>
      <c r="B341" s="588" t="s">
        <v>1428</v>
      </c>
      <c r="C341" s="522" t="s">
        <v>179</v>
      </c>
      <c r="D341" s="829">
        <v>18537</v>
      </c>
      <c r="E341" s="830"/>
      <c r="F341" s="830"/>
      <c r="G341" s="830"/>
      <c r="H341" s="833">
        <v>98971337</v>
      </c>
      <c r="I341" s="830"/>
      <c r="J341" s="830"/>
      <c r="K341" s="830"/>
      <c r="L341" s="864"/>
      <c r="M341" s="830"/>
      <c r="N341" s="830"/>
      <c r="O341" s="864">
        <v>361876.83</v>
      </c>
      <c r="P341" s="864"/>
      <c r="Q341" s="830"/>
      <c r="R341" s="864">
        <v>361876.83</v>
      </c>
      <c r="S341" s="830"/>
    </row>
    <row r="342" spans="1:19" s="585" customFormat="1" ht="12" hidden="1" thickBot="1">
      <c r="A342" s="522" t="s">
        <v>195</v>
      </c>
      <c r="B342" s="588" t="s">
        <v>1428</v>
      </c>
      <c r="C342" s="522" t="s">
        <v>180</v>
      </c>
      <c r="D342" s="829">
        <v>372</v>
      </c>
      <c r="E342" s="830"/>
      <c r="F342" s="830"/>
      <c r="G342" s="830"/>
      <c r="H342" s="833">
        <v>584367</v>
      </c>
      <c r="I342" s="830"/>
      <c r="J342" s="830"/>
      <c r="K342" s="830"/>
      <c r="L342" s="830"/>
      <c r="M342" s="830"/>
      <c r="N342" s="830"/>
      <c r="O342" s="830"/>
      <c r="P342" s="830"/>
      <c r="Q342" s="830"/>
      <c r="R342" s="830"/>
      <c r="S342" s="830"/>
    </row>
    <row r="343" spans="1:19" s="585" customFormat="1" ht="12" hidden="1" thickBot="1">
      <c r="A343" s="522" t="s">
        <v>195</v>
      </c>
      <c r="B343" s="588" t="s">
        <v>1428</v>
      </c>
      <c r="C343" s="522" t="s">
        <v>190</v>
      </c>
      <c r="D343" s="829">
        <v>427399</v>
      </c>
      <c r="E343" s="833"/>
      <c r="F343" s="830"/>
      <c r="G343" s="830"/>
      <c r="H343" s="833">
        <v>515550083</v>
      </c>
      <c r="I343" s="830"/>
      <c r="J343" s="830"/>
      <c r="K343" s="830"/>
      <c r="L343" s="830"/>
      <c r="M343" s="830"/>
      <c r="N343" s="830"/>
      <c r="O343" s="830"/>
      <c r="P343" s="830"/>
      <c r="Q343" s="830"/>
      <c r="R343" s="830"/>
      <c r="S343" s="830"/>
    </row>
    <row r="344" spans="1:19" s="585" customFormat="1" ht="12" hidden="1" thickBot="1">
      <c r="A344" s="522" t="s">
        <v>195</v>
      </c>
      <c r="B344" s="588" t="s">
        <v>1428</v>
      </c>
      <c r="C344" s="522" t="s">
        <v>191</v>
      </c>
      <c r="D344" s="829"/>
      <c r="E344" s="830"/>
      <c r="F344" s="830"/>
      <c r="G344" s="830"/>
      <c r="H344" s="833"/>
      <c r="I344" s="830"/>
      <c r="J344" s="830"/>
      <c r="K344" s="830"/>
      <c r="L344" s="830"/>
      <c r="M344" s="830"/>
      <c r="N344" s="830"/>
      <c r="O344" s="830"/>
      <c r="P344" s="830"/>
      <c r="Q344" s="830"/>
      <c r="R344" s="830"/>
      <c r="S344" s="830"/>
    </row>
    <row r="345" spans="1:19" s="585" customFormat="1" ht="12" hidden="1" thickBot="1">
      <c r="A345" s="522" t="s">
        <v>195</v>
      </c>
      <c r="B345" s="588" t="s">
        <v>1428</v>
      </c>
      <c r="C345" s="522" t="s">
        <v>192</v>
      </c>
      <c r="D345" s="829"/>
      <c r="E345" s="830"/>
      <c r="F345" s="830"/>
      <c r="G345" s="830"/>
      <c r="H345" s="833"/>
      <c r="I345" s="830"/>
      <c r="J345" s="830"/>
      <c r="K345" s="830"/>
      <c r="L345" s="830"/>
      <c r="M345" s="830"/>
      <c r="N345" s="830"/>
      <c r="O345" s="830"/>
      <c r="P345" s="830"/>
      <c r="Q345" s="830"/>
      <c r="R345" s="830"/>
      <c r="S345" s="830"/>
    </row>
    <row r="346" spans="1:19" s="585" customFormat="1" ht="12" hidden="1" thickBot="1">
      <c r="A346" s="522" t="s">
        <v>195</v>
      </c>
      <c r="B346" s="588" t="s">
        <v>1428</v>
      </c>
      <c r="C346" s="522" t="s">
        <v>193</v>
      </c>
      <c r="D346" s="829"/>
      <c r="E346" s="830"/>
      <c r="F346" s="830"/>
      <c r="G346" s="830"/>
      <c r="H346" s="833"/>
      <c r="I346" s="830"/>
      <c r="J346" s="830"/>
      <c r="K346" s="830"/>
      <c r="L346" s="830"/>
      <c r="M346" s="830"/>
      <c r="N346" s="830"/>
      <c r="O346" s="830"/>
      <c r="P346" s="830"/>
      <c r="Q346" s="830"/>
      <c r="R346" s="830"/>
      <c r="S346" s="830"/>
    </row>
    <row r="347" spans="1:19" s="585" customFormat="1" ht="12" hidden="1" thickBot="1">
      <c r="A347" s="522" t="s">
        <v>195</v>
      </c>
      <c r="B347" s="588" t="s">
        <v>1428</v>
      </c>
      <c r="C347" s="522" t="s">
        <v>194</v>
      </c>
      <c r="D347" s="829"/>
      <c r="E347" s="830"/>
      <c r="F347" s="830"/>
      <c r="G347" s="830"/>
      <c r="H347" s="833"/>
      <c r="I347" s="830"/>
      <c r="J347" s="830"/>
      <c r="K347" s="830"/>
      <c r="L347" s="830"/>
      <c r="M347" s="830"/>
      <c r="N347" s="830"/>
      <c r="O347" s="830"/>
      <c r="P347" s="830"/>
      <c r="Q347" s="830"/>
      <c r="R347" s="830"/>
      <c r="S347" s="830"/>
    </row>
    <row r="348" spans="1:19" s="585" customFormat="1" ht="12" hidden="1" thickBot="1">
      <c r="A348" s="522" t="s">
        <v>195</v>
      </c>
      <c r="B348" s="588" t="s">
        <v>1428</v>
      </c>
      <c r="C348" s="522" t="s">
        <v>1355</v>
      </c>
      <c r="D348" s="829"/>
      <c r="E348" s="830"/>
      <c r="F348" s="830"/>
      <c r="G348" s="830"/>
      <c r="H348" s="833"/>
      <c r="I348" s="830"/>
      <c r="J348" s="830"/>
      <c r="K348" s="830"/>
      <c r="L348" s="830"/>
      <c r="M348" s="830"/>
      <c r="N348" s="830"/>
      <c r="O348" s="830"/>
      <c r="P348" s="830"/>
      <c r="Q348" s="830"/>
      <c r="R348" s="830"/>
      <c r="S348" s="830"/>
    </row>
    <row r="349" spans="1:19" s="585" customFormat="1" ht="12" hidden="1" thickBot="1">
      <c r="A349" s="522" t="s">
        <v>195</v>
      </c>
      <c r="B349" s="588" t="s">
        <v>1428</v>
      </c>
      <c r="C349" s="522" t="s">
        <v>450</v>
      </c>
      <c r="D349" s="829"/>
      <c r="E349" s="830"/>
      <c r="F349" s="830"/>
      <c r="G349" s="830"/>
      <c r="H349" s="833"/>
      <c r="I349" s="830"/>
      <c r="J349" s="830"/>
      <c r="K349" s="830"/>
      <c r="L349" s="830"/>
      <c r="M349" s="830"/>
      <c r="N349" s="830"/>
      <c r="O349" s="830"/>
      <c r="P349" s="830"/>
      <c r="Q349" s="830"/>
      <c r="R349" s="830"/>
      <c r="S349" s="830"/>
    </row>
    <row r="350" spans="1:19" s="585" customFormat="1" ht="12" hidden="1" thickBot="1">
      <c r="A350" s="522" t="s">
        <v>195</v>
      </c>
      <c r="B350" s="588" t="s">
        <v>1428</v>
      </c>
      <c r="C350" s="522" t="s">
        <v>440</v>
      </c>
      <c r="D350" s="829"/>
      <c r="E350" s="830"/>
      <c r="F350" s="830"/>
      <c r="G350" s="830"/>
      <c r="H350" s="833"/>
      <c r="I350" s="830"/>
      <c r="J350" s="830"/>
      <c r="K350" s="830"/>
      <c r="L350" s="830"/>
      <c r="M350" s="830"/>
      <c r="N350" s="830"/>
      <c r="O350" s="830"/>
      <c r="P350" s="830"/>
      <c r="Q350" s="830"/>
      <c r="R350" s="830"/>
      <c r="S350" s="830"/>
    </row>
    <row r="351" spans="1:19" s="585" customFormat="1" ht="12" hidden="1" thickBot="1">
      <c r="A351" s="522" t="s">
        <v>195</v>
      </c>
      <c r="B351" s="588" t="s">
        <v>1428</v>
      </c>
      <c r="C351" s="522" t="s">
        <v>441</v>
      </c>
      <c r="D351" s="829"/>
      <c r="E351" s="830"/>
      <c r="F351" s="830"/>
      <c r="G351" s="830"/>
      <c r="H351" s="833"/>
      <c r="I351" s="830"/>
      <c r="J351" s="830"/>
      <c r="K351" s="830"/>
      <c r="L351" s="830"/>
      <c r="M351" s="830"/>
      <c r="N351" s="830"/>
      <c r="O351" s="830"/>
      <c r="P351" s="830"/>
      <c r="Q351" s="830"/>
      <c r="R351" s="830"/>
      <c r="S351" s="830"/>
    </row>
    <row r="352" spans="1:19" s="585" customFormat="1" ht="12" hidden="1" thickBot="1">
      <c r="A352" s="522" t="s">
        <v>195</v>
      </c>
      <c r="B352" s="588" t="s">
        <v>1428</v>
      </c>
      <c r="C352" s="522" t="s">
        <v>185</v>
      </c>
      <c r="D352" s="829"/>
      <c r="E352" s="830"/>
      <c r="F352" s="830"/>
      <c r="G352" s="830"/>
      <c r="H352" s="833"/>
      <c r="I352" s="830"/>
      <c r="J352" s="830"/>
      <c r="K352" s="830"/>
      <c r="L352" s="830"/>
      <c r="M352" s="830"/>
      <c r="N352" s="830"/>
      <c r="O352" s="830"/>
      <c r="P352" s="830"/>
      <c r="Q352" s="830"/>
      <c r="R352" s="830"/>
      <c r="S352" s="830"/>
    </row>
    <row r="353" spans="1:19" s="585" customFormat="1" ht="12" hidden="1" thickBot="1">
      <c r="A353" s="522" t="s">
        <v>195</v>
      </c>
      <c r="B353" s="588" t="s">
        <v>1428</v>
      </c>
      <c r="C353" s="522" t="s">
        <v>189</v>
      </c>
      <c r="D353" s="829">
        <v>1</v>
      </c>
      <c r="E353" s="830"/>
      <c r="F353" s="830"/>
      <c r="G353" s="830"/>
      <c r="H353" s="833">
        <v>45641536</v>
      </c>
      <c r="I353" s="831">
        <v>185157.6</v>
      </c>
      <c r="J353" s="831">
        <v>185157.6</v>
      </c>
      <c r="K353" s="831">
        <v>101387.6</v>
      </c>
      <c r="L353" s="830"/>
      <c r="M353" s="830"/>
      <c r="N353" s="830"/>
      <c r="O353" s="831">
        <v>185157.6</v>
      </c>
      <c r="P353" s="831">
        <v>185157.6</v>
      </c>
      <c r="Q353" s="831">
        <v>101387.6</v>
      </c>
      <c r="R353" s="830"/>
      <c r="S353" s="830"/>
    </row>
    <row r="354" spans="1:19" s="585" customFormat="1" ht="12" hidden="1" thickBot="1">
      <c r="A354" s="522" t="s">
        <v>195</v>
      </c>
      <c r="B354" s="588" t="s">
        <v>1428</v>
      </c>
      <c r="C354" s="522" t="s">
        <v>233</v>
      </c>
      <c r="D354" s="829">
        <v>2</v>
      </c>
      <c r="E354" s="830"/>
      <c r="F354" s="830"/>
      <c r="G354" s="830"/>
      <c r="H354" s="833">
        <v>14365</v>
      </c>
      <c r="I354" s="830"/>
      <c r="J354" s="830"/>
      <c r="K354" s="830"/>
      <c r="L354" s="830"/>
      <c r="M354" s="830"/>
      <c r="N354" s="830"/>
      <c r="O354" s="830"/>
      <c r="P354" s="830"/>
      <c r="Q354" s="830"/>
      <c r="R354" s="830"/>
      <c r="S354" s="830"/>
    </row>
    <row r="355" spans="1:19" s="585" customFormat="1" ht="12" hidden="1" thickBot="1">
      <c r="A355" s="522" t="s">
        <v>195</v>
      </c>
      <c r="B355" s="588" t="s">
        <v>1428</v>
      </c>
      <c r="C355" s="522" t="s">
        <v>232</v>
      </c>
      <c r="D355" s="829"/>
      <c r="E355" s="830"/>
      <c r="F355" s="830"/>
      <c r="G355" s="830"/>
      <c r="H355" s="833"/>
      <c r="I355" s="830"/>
      <c r="J355" s="830"/>
      <c r="K355" s="830"/>
      <c r="L355" s="830"/>
      <c r="M355" s="830"/>
      <c r="N355" s="830"/>
      <c r="O355" s="830"/>
      <c r="P355" s="830"/>
      <c r="Q355" s="830"/>
      <c r="R355" s="830"/>
      <c r="S355" s="830"/>
    </row>
    <row r="356" spans="1:19" s="585" customFormat="1" ht="12" thickBot="1">
      <c r="A356" s="522" t="s">
        <v>195</v>
      </c>
      <c r="B356" s="588" t="s">
        <v>1428</v>
      </c>
      <c r="C356" s="522" t="s">
        <v>184</v>
      </c>
      <c r="D356" s="829">
        <v>747</v>
      </c>
      <c r="E356" s="830"/>
      <c r="F356" s="830"/>
      <c r="G356" s="830"/>
      <c r="H356" s="833">
        <v>103686</v>
      </c>
      <c r="I356" s="830"/>
      <c r="J356" s="830"/>
      <c r="K356" s="830"/>
      <c r="L356" s="830"/>
      <c r="M356" s="830"/>
      <c r="N356" s="830"/>
      <c r="O356" s="830"/>
      <c r="P356" s="830"/>
      <c r="Q356" s="830"/>
      <c r="R356" s="830"/>
      <c r="S356" s="830"/>
    </row>
    <row r="357" spans="1:19" ht="12" hidden="1" thickBot="1">
      <c r="A357" s="843" t="s">
        <v>195</v>
      </c>
      <c r="B357" s="848" t="s">
        <v>1428</v>
      </c>
      <c r="C357" s="843" t="s">
        <v>187</v>
      </c>
      <c r="D357" s="856"/>
      <c r="E357" s="833"/>
      <c r="F357" s="833"/>
      <c r="G357" s="833"/>
      <c r="H357" s="833"/>
      <c r="I357" s="864"/>
      <c r="J357" s="864"/>
      <c r="K357" s="864"/>
      <c r="L357" s="864"/>
      <c r="M357" s="864"/>
      <c r="N357" s="864"/>
      <c r="O357" s="864"/>
      <c r="P357" s="864"/>
      <c r="Q357" s="864"/>
      <c r="R357" s="864"/>
      <c r="S357" s="864"/>
    </row>
    <row r="358" spans="1:19" ht="12" hidden="1" thickBot="1">
      <c r="A358" s="843" t="s">
        <v>195</v>
      </c>
      <c r="B358" s="848" t="s">
        <v>1428</v>
      </c>
      <c r="C358" s="843" t="s">
        <v>188</v>
      </c>
      <c r="D358" s="856"/>
      <c r="E358" s="833"/>
      <c r="F358" s="833"/>
      <c r="G358" s="833"/>
      <c r="H358" s="833"/>
      <c r="I358" s="864"/>
      <c r="J358" s="864"/>
      <c r="K358" s="864"/>
      <c r="L358" s="864"/>
      <c r="M358" s="864"/>
      <c r="N358" s="864"/>
      <c r="O358" s="864"/>
      <c r="P358" s="864"/>
      <c r="Q358" s="864"/>
      <c r="R358" s="864"/>
      <c r="S358" s="864"/>
    </row>
    <row r="359" spans="1:19" ht="12" hidden="1" thickBot="1">
      <c r="A359" s="843" t="s">
        <v>195</v>
      </c>
      <c r="B359" s="848" t="s">
        <v>1428</v>
      </c>
      <c r="C359" s="843" t="s">
        <v>1045</v>
      </c>
      <c r="D359" s="856"/>
      <c r="E359" s="833"/>
      <c r="F359" s="833"/>
      <c r="G359" s="833"/>
      <c r="H359" s="833"/>
      <c r="I359" s="864"/>
      <c r="J359" s="864"/>
      <c r="K359" s="864"/>
      <c r="L359" s="864"/>
      <c r="M359" s="864"/>
      <c r="N359" s="864"/>
      <c r="O359" s="864"/>
      <c r="P359" s="864"/>
      <c r="Q359" s="864"/>
      <c r="R359" s="864"/>
      <c r="S359" s="864"/>
    </row>
    <row r="360" spans="1:19" s="585" customFormat="1" ht="12" hidden="1" thickBot="1">
      <c r="A360" s="522" t="s">
        <v>195</v>
      </c>
      <c r="B360" s="588" t="s">
        <v>1428</v>
      </c>
      <c r="C360" s="522" t="s">
        <v>186</v>
      </c>
      <c r="D360" s="829"/>
      <c r="E360" s="830"/>
      <c r="F360" s="830"/>
      <c r="G360" s="830"/>
      <c r="H360" s="833"/>
      <c r="I360" s="830"/>
      <c r="J360" s="830"/>
      <c r="K360" s="830"/>
      <c r="L360" s="830"/>
      <c r="M360" s="830"/>
      <c r="N360" s="830"/>
      <c r="O360" s="830"/>
      <c r="P360" s="830"/>
      <c r="Q360" s="830"/>
      <c r="R360" s="830"/>
      <c r="S360" s="830"/>
    </row>
    <row r="361" spans="1:19" s="585" customFormat="1" ht="12" hidden="1" thickBot="1">
      <c r="A361" s="522" t="s">
        <v>195</v>
      </c>
      <c r="B361" s="588" t="s">
        <v>1428</v>
      </c>
      <c r="C361" s="522" t="s">
        <v>176</v>
      </c>
      <c r="D361" s="829"/>
      <c r="E361" s="830"/>
      <c r="F361" s="830"/>
      <c r="G361" s="830"/>
      <c r="H361" s="833"/>
      <c r="I361" s="831"/>
      <c r="J361" s="830"/>
      <c r="K361" s="830"/>
      <c r="L361" s="832"/>
      <c r="M361" s="832"/>
      <c r="N361" s="830"/>
      <c r="O361" s="831"/>
      <c r="P361" s="830"/>
      <c r="Q361" s="830"/>
      <c r="R361" s="832"/>
      <c r="S361" s="832"/>
    </row>
    <row r="362" spans="1:19" s="585" customFormat="1" ht="12" hidden="1" thickBot="1">
      <c r="A362" s="522" t="s">
        <v>195</v>
      </c>
      <c r="B362" s="588" t="s">
        <v>1428</v>
      </c>
      <c r="C362" s="522" t="s">
        <v>182</v>
      </c>
      <c r="D362" s="829"/>
      <c r="E362" s="830"/>
      <c r="F362" s="830"/>
      <c r="G362" s="830"/>
      <c r="H362" s="833"/>
      <c r="I362" s="830"/>
      <c r="J362" s="830"/>
      <c r="K362" s="830"/>
      <c r="L362" s="830"/>
      <c r="M362" s="830"/>
      <c r="N362" s="830"/>
      <c r="O362" s="830"/>
      <c r="P362" s="830"/>
      <c r="Q362" s="830"/>
      <c r="R362" s="830"/>
      <c r="S362" s="830"/>
    </row>
    <row r="363" spans="1:19" s="585" customFormat="1" ht="12" hidden="1" thickBot="1">
      <c r="A363" s="522" t="s">
        <v>195</v>
      </c>
      <c r="B363" s="588" t="s">
        <v>1428</v>
      </c>
      <c r="C363" s="522" t="s">
        <v>477</v>
      </c>
      <c r="D363" s="829"/>
      <c r="E363" s="832"/>
      <c r="F363" s="832"/>
      <c r="G363" s="832"/>
      <c r="H363" s="833"/>
      <c r="I363" s="830"/>
      <c r="J363" s="830"/>
      <c r="K363" s="830"/>
      <c r="L363" s="830"/>
      <c r="M363" s="830"/>
      <c r="N363" s="830"/>
      <c r="O363" s="830"/>
      <c r="P363" s="830"/>
      <c r="Q363" s="830"/>
      <c r="R363" s="830"/>
      <c r="S363" s="830"/>
    </row>
    <row r="364" spans="1:19" s="585" customFormat="1" ht="12" hidden="1" thickBot="1">
      <c r="A364" s="522" t="s">
        <v>195</v>
      </c>
      <c r="B364" s="588" t="s">
        <v>1428</v>
      </c>
      <c r="C364" s="522" t="s">
        <v>181</v>
      </c>
      <c r="D364" s="829"/>
      <c r="E364" s="830"/>
      <c r="F364" s="830"/>
      <c r="G364" s="830"/>
      <c r="H364" s="833"/>
      <c r="I364" s="830"/>
      <c r="J364" s="830"/>
      <c r="K364" s="830"/>
      <c r="L364" s="830"/>
      <c r="M364" s="830"/>
      <c r="N364" s="830"/>
      <c r="O364" s="830"/>
      <c r="P364" s="830"/>
      <c r="Q364" s="830"/>
      <c r="R364" s="830"/>
      <c r="S364" s="830"/>
    </row>
    <row r="365" spans="1:19" s="585" customFormat="1" ht="12" hidden="1" thickBot="1">
      <c r="A365" s="522" t="s">
        <v>195</v>
      </c>
      <c r="B365" s="588" t="s">
        <v>1428</v>
      </c>
      <c r="C365" s="522" t="s">
        <v>183</v>
      </c>
      <c r="D365" s="829">
        <v>259</v>
      </c>
      <c r="E365" s="830"/>
      <c r="F365" s="830"/>
      <c r="G365" s="830"/>
      <c r="H365" s="833">
        <v>10830968</v>
      </c>
      <c r="I365" s="830"/>
      <c r="J365" s="830"/>
      <c r="K365" s="830"/>
      <c r="L365" s="864">
        <v>39481.29</v>
      </c>
      <c r="M365" s="830"/>
      <c r="N365" s="830"/>
      <c r="O365" s="864">
        <v>39481.29</v>
      </c>
      <c r="P365" s="864"/>
      <c r="Q365" s="830"/>
      <c r="R365" s="864">
        <v>39481.29</v>
      </c>
      <c r="S365" s="830"/>
    </row>
    <row r="366" spans="1:19" s="585" customFormat="1" ht="12" hidden="1" thickBot="1">
      <c r="A366" s="522" t="s">
        <v>195</v>
      </c>
      <c r="B366" s="588" t="s">
        <v>1428</v>
      </c>
      <c r="C366" s="522" t="s">
        <v>652</v>
      </c>
      <c r="D366" s="829"/>
      <c r="E366" s="830"/>
      <c r="F366" s="830"/>
      <c r="G366" s="830"/>
      <c r="H366" s="833"/>
      <c r="I366" s="830"/>
      <c r="J366" s="830"/>
      <c r="K366" s="830"/>
      <c r="L366" s="830"/>
      <c r="M366" s="830"/>
      <c r="N366" s="830"/>
      <c r="O366" s="830"/>
      <c r="P366" s="830"/>
      <c r="Q366" s="830"/>
      <c r="R366" s="830"/>
      <c r="S366" s="830"/>
    </row>
    <row r="367" spans="1:19" s="585" customFormat="1" ht="12" hidden="1" thickBot="1">
      <c r="A367" s="522" t="s">
        <v>195</v>
      </c>
      <c r="B367" s="588" t="s">
        <v>1428</v>
      </c>
      <c r="C367" s="522" t="s">
        <v>720</v>
      </c>
      <c r="D367" s="829"/>
      <c r="E367" s="830"/>
      <c r="F367" s="830"/>
      <c r="G367" s="830"/>
      <c r="H367" s="833"/>
      <c r="I367" s="830"/>
      <c r="J367" s="830"/>
      <c r="K367" s="830"/>
      <c r="L367" s="830"/>
      <c r="M367" s="830"/>
      <c r="N367" s="830"/>
      <c r="O367" s="830"/>
      <c r="P367" s="830"/>
      <c r="Q367" s="830"/>
      <c r="R367" s="830"/>
      <c r="S367" s="830"/>
    </row>
    <row r="368" spans="1:19" s="585" customFormat="1" ht="12" hidden="1" thickBot="1">
      <c r="A368" s="522" t="s">
        <v>195</v>
      </c>
      <c r="B368" s="588" t="s">
        <v>1428</v>
      </c>
      <c r="C368" s="522" t="s">
        <v>721</v>
      </c>
      <c r="D368" s="829"/>
      <c r="E368" s="830"/>
      <c r="F368" s="830"/>
      <c r="G368" s="830"/>
      <c r="H368" s="833"/>
      <c r="I368" s="830"/>
      <c r="J368" s="830"/>
      <c r="K368" s="830"/>
      <c r="L368" s="830"/>
      <c r="M368" s="830"/>
      <c r="N368" s="830"/>
      <c r="O368" s="830"/>
      <c r="P368" s="830"/>
      <c r="Q368" s="830"/>
      <c r="R368" s="830"/>
      <c r="S368" s="830"/>
    </row>
    <row r="369" spans="1:29" s="585" customFormat="1" ht="12" hidden="1" thickBot="1">
      <c r="A369" s="522" t="s">
        <v>195</v>
      </c>
      <c r="B369" s="588" t="s">
        <v>1428</v>
      </c>
      <c r="C369" s="522" t="s">
        <v>722</v>
      </c>
      <c r="D369" s="829"/>
      <c r="E369" s="830"/>
      <c r="F369" s="830"/>
      <c r="G369" s="830"/>
      <c r="H369" s="833"/>
      <c r="I369" s="830"/>
      <c r="J369" s="830"/>
      <c r="K369" s="830"/>
      <c r="L369" s="830"/>
      <c r="M369" s="830"/>
      <c r="N369" s="830"/>
      <c r="O369" s="830"/>
      <c r="P369" s="830"/>
      <c r="Q369" s="830"/>
      <c r="R369" s="830"/>
      <c r="S369" s="830"/>
    </row>
    <row r="370" spans="1:29" s="585" customFormat="1" ht="12" hidden="1" thickBot="1">
      <c r="A370" s="522" t="s">
        <v>195</v>
      </c>
      <c r="B370" s="588" t="s">
        <v>1428</v>
      </c>
      <c r="C370" s="582" t="s">
        <v>9</v>
      </c>
      <c r="D370" s="539">
        <f>SUM(D331:D369)</f>
        <v>516508</v>
      </c>
      <c r="E370" s="539">
        <f>SUM(E331:E369)</f>
        <v>0</v>
      </c>
      <c r="F370" s="539">
        <f>SUM(F331:F369)</f>
        <v>0</v>
      </c>
      <c r="G370" s="539"/>
      <c r="H370" s="539"/>
      <c r="I370" s="539"/>
      <c r="J370" s="539"/>
      <c r="K370" s="539"/>
      <c r="L370" s="539"/>
      <c r="M370" s="539"/>
      <c r="N370" s="539"/>
      <c r="O370" s="539"/>
      <c r="P370" s="539"/>
      <c r="Q370" s="539"/>
      <c r="R370" s="539"/>
      <c r="S370" s="539"/>
    </row>
    <row r="371" spans="1:29" s="585" customFormat="1" ht="12" hidden="1" thickBot="1">
      <c r="A371" s="565" t="s">
        <v>195</v>
      </c>
      <c r="B371" s="921" t="s">
        <v>1465</v>
      </c>
      <c r="C371" s="565" t="s">
        <v>168</v>
      </c>
      <c r="D371" s="829">
        <v>32</v>
      </c>
      <c r="E371" s="829"/>
      <c r="F371" s="829"/>
      <c r="G371" s="829"/>
      <c r="H371" s="829">
        <v>126631031</v>
      </c>
      <c r="I371" s="864">
        <v>286592.09000000003</v>
      </c>
      <c r="J371" s="864">
        <v>276811.53000000003</v>
      </c>
      <c r="K371" s="864">
        <v>272775.56</v>
      </c>
      <c r="L371" s="829"/>
      <c r="M371" s="829"/>
      <c r="N371" s="829"/>
      <c r="O371" s="864">
        <v>286592.09000000003</v>
      </c>
      <c r="P371" s="864">
        <v>276811.53000000003</v>
      </c>
      <c r="Q371" s="864">
        <v>272775.56</v>
      </c>
      <c r="R371" s="829"/>
      <c r="S371" s="829"/>
    </row>
    <row r="372" spans="1:29" s="585" customFormat="1" ht="12" hidden="1" thickBot="1">
      <c r="A372" s="565" t="s">
        <v>195</v>
      </c>
      <c r="B372" s="921" t="s">
        <v>1465</v>
      </c>
      <c r="C372" s="565" t="s">
        <v>169</v>
      </c>
      <c r="D372" s="829">
        <v>217</v>
      </c>
      <c r="E372" s="829"/>
      <c r="F372" s="829"/>
      <c r="G372" s="829"/>
      <c r="H372" s="829">
        <v>19115050</v>
      </c>
      <c r="I372" s="829"/>
      <c r="J372" s="864">
        <v>54973.94</v>
      </c>
      <c r="K372" s="864"/>
      <c r="L372" s="864">
        <v>54973.94</v>
      </c>
      <c r="M372" s="829"/>
      <c r="N372" s="829"/>
      <c r="O372" s="829"/>
      <c r="P372" s="864">
        <v>54973.94</v>
      </c>
      <c r="Q372" s="864"/>
      <c r="R372" s="864">
        <v>54973.94</v>
      </c>
      <c r="S372" s="829"/>
    </row>
    <row r="373" spans="1:29" s="585" customFormat="1" ht="12" hidden="1" thickBot="1">
      <c r="A373" s="565" t="s">
        <v>195</v>
      </c>
      <c r="B373" s="921" t="s">
        <v>1465</v>
      </c>
      <c r="C373" s="565" t="s">
        <v>170</v>
      </c>
      <c r="D373" s="829">
        <v>4830</v>
      </c>
      <c r="E373" s="829"/>
      <c r="F373" s="829"/>
      <c r="G373" s="829"/>
      <c r="H373" s="829">
        <v>183801650</v>
      </c>
      <c r="I373" s="829"/>
      <c r="J373" s="864">
        <v>596288.13</v>
      </c>
      <c r="K373" s="864"/>
      <c r="L373" s="864">
        <v>596288.13</v>
      </c>
      <c r="M373" s="829"/>
      <c r="N373" s="829"/>
      <c r="O373" s="829"/>
      <c r="P373" s="864">
        <v>596288.13</v>
      </c>
      <c r="Q373" s="864"/>
      <c r="R373" s="864">
        <v>596288.13</v>
      </c>
      <c r="S373" s="829"/>
    </row>
    <row r="374" spans="1:29" s="564" customFormat="1" ht="12" hidden="1" thickBot="1">
      <c r="A374" s="565" t="s">
        <v>195</v>
      </c>
      <c r="B374" s="921" t="s">
        <v>1465</v>
      </c>
      <c r="C374" s="565" t="s">
        <v>171</v>
      </c>
      <c r="D374" s="829">
        <v>52</v>
      </c>
      <c r="E374" s="829"/>
      <c r="F374" s="829"/>
      <c r="G374" s="829"/>
      <c r="H374" s="829">
        <v>245605634</v>
      </c>
      <c r="I374" s="864">
        <v>529837.80000000005</v>
      </c>
      <c r="J374" s="864">
        <v>515177.96</v>
      </c>
      <c r="K374" s="864">
        <v>498457.73</v>
      </c>
      <c r="L374" s="829"/>
      <c r="M374" s="829"/>
      <c r="N374" s="829"/>
      <c r="O374" s="864">
        <v>529837.80000000005</v>
      </c>
      <c r="P374" s="864">
        <v>515177.96</v>
      </c>
      <c r="Q374" s="864">
        <v>498457.73</v>
      </c>
      <c r="R374" s="829"/>
      <c r="S374" s="829"/>
      <c r="T374" s="585"/>
      <c r="U374" s="585"/>
      <c r="V374" s="585"/>
      <c r="W374" s="585"/>
      <c r="X374" s="585"/>
      <c r="Y374" s="585"/>
      <c r="Z374" s="585"/>
      <c r="AA374" s="585"/>
      <c r="AB374" s="585"/>
      <c r="AC374" s="585"/>
    </row>
    <row r="375" spans="1:29" s="564" customFormat="1" ht="12" hidden="1" thickBot="1">
      <c r="A375" s="565" t="s">
        <v>195</v>
      </c>
      <c r="B375" s="921" t="s">
        <v>1465</v>
      </c>
      <c r="C375" s="565" t="s">
        <v>172</v>
      </c>
      <c r="D375" s="829"/>
      <c r="E375" s="829"/>
      <c r="F375" s="829"/>
      <c r="G375" s="829"/>
      <c r="H375" s="829"/>
      <c r="I375" s="829"/>
      <c r="J375" s="829"/>
      <c r="K375" s="829"/>
      <c r="L375" s="829"/>
      <c r="M375" s="829"/>
      <c r="N375" s="829"/>
      <c r="O375" s="829"/>
      <c r="P375" s="829"/>
      <c r="Q375" s="829"/>
      <c r="R375" s="829"/>
      <c r="S375" s="829"/>
      <c r="T375" s="585"/>
      <c r="U375" s="585"/>
      <c r="V375" s="585"/>
      <c r="W375" s="585"/>
      <c r="X375" s="585"/>
      <c r="Y375" s="585"/>
      <c r="Z375" s="585"/>
      <c r="AA375" s="585"/>
      <c r="AB375" s="585"/>
      <c r="AC375" s="585"/>
    </row>
    <row r="376" spans="1:29" s="585" customFormat="1" ht="12" hidden="1" thickBot="1">
      <c r="A376" s="565" t="s">
        <v>195</v>
      </c>
      <c r="B376" s="921" t="s">
        <v>1465</v>
      </c>
      <c r="C376" s="565" t="s">
        <v>173</v>
      </c>
      <c r="D376" s="829"/>
      <c r="E376" s="829"/>
      <c r="F376" s="829"/>
      <c r="G376" s="829"/>
      <c r="H376" s="829"/>
      <c r="I376" s="829"/>
      <c r="J376" s="829"/>
      <c r="K376" s="829"/>
      <c r="L376" s="829"/>
      <c r="M376" s="829"/>
      <c r="N376" s="829"/>
      <c r="O376" s="829"/>
      <c r="P376" s="829"/>
      <c r="Q376" s="829"/>
      <c r="R376" s="829"/>
      <c r="S376" s="829"/>
    </row>
    <row r="377" spans="1:29" s="585" customFormat="1" ht="12" hidden="1" thickBot="1">
      <c r="A377" s="565" t="s">
        <v>195</v>
      </c>
      <c r="B377" s="921" t="s">
        <v>1465</v>
      </c>
      <c r="C377" s="565" t="s">
        <v>174</v>
      </c>
      <c r="D377" s="829">
        <v>181</v>
      </c>
      <c r="E377" s="829"/>
      <c r="F377" s="829"/>
      <c r="G377" s="829"/>
      <c r="H377" s="829">
        <v>102999239</v>
      </c>
      <c r="I377" s="864">
        <v>268584.38</v>
      </c>
      <c r="J377" s="864">
        <v>258805.99</v>
      </c>
      <c r="K377" s="864">
        <v>250643.39</v>
      </c>
      <c r="L377" s="829"/>
      <c r="M377" s="829"/>
      <c r="N377" s="829"/>
      <c r="O377" s="864">
        <v>268584.38</v>
      </c>
      <c r="P377" s="864">
        <v>258805.99</v>
      </c>
      <c r="Q377" s="864">
        <v>250643.39</v>
      </c>
      <c r="R377" s="829"/>
      <c r="S377" s="829"/>
    </row>
    <row r="378" spans="1:29" s="585" customFormat="1" ht="12" hidden="1" thickBot="1">
      <c r="A378" s="565" t="s">
        <v>195</v>
      </c>
      <c r="B378" s="921" t="s">
        <v>1465</v>
      </c>
      <c r="C378" s="565" t="s">
        <v>175</v>
      </c>
      <c r="D378" s="829">
        <v>452</v>
      </c>
      <c r="E378" s="829"/>
      <c r="F378" s="829"/>
      <c r="G378" s="829"/>
      <c r="H378" s="829">
        <v>118237134</v>
      </c>
      <c r="I378" s="864">
        <v>288421.92</v>
      </c>
      <c r="J378" s="864">
        <v>262694.96000000002</v>
      </c>
      <c r="K378" s="864">
        <v>256810.6</v>
      </c>
      <c r="L378" s="829"/>
      <c r="M378" s="829"/>
      <c r="N378" s="829"/>
      <c r="O378" s="864">
        <v>288421.92</v>
      </c>
      <c r="P378" s="864">
        <v>262694.96000000002</v>
      </c>
      <c r="Q378" s="864">
        <v>256810.6</v>
      </c>
      <c r="R378" s="829"/>
      <c r="S378" s="829"/>
    </row>
    <row r="379" spans="1:29" s="585" customFormat="1" ht="12" hidden="1" thickBot="1">
      <c r="A379" s="565" t="s">
        <v>195</v>
      </c>
      <c r="B379" s="921" t="s">
        <v>1465</v>
      </c>
      <c r="C379" s="565" t="s">
        <v>177</v>
      </c>
      <c r="D379" s="829">
        <v>63421</v>
      </c>
      <c r="E379" s="829"/>
      <c r="F379" s="829"/>
      <c r="G379" s="829"/>
      <c r="H379" s="829">
        <v>57186337</v>
      </c>
      <c r="I379" s="829"/>
      <c r="J379" s="829"/>
      <c r="K379" s="829"/>
      <c r="L379" s="829"/>
      <c r="M379" s="829"/>
      <c r="N379" s="829"/>
      <c r="O379" s="829"/>
      <c r="P379" s="829"/>
      <c r="Q379" s="829"/>
      <c r="R379" s="829"/>
      <c r="S379" s="829"/>
    </row>
    <row r="380" spans="1:29" s="585" customFormat="1" ht="12" hidden="1" thickBot="1">
      <c r="A380" s="565" t="s">
        <v>195</v>
      </c>
      <c r="B380" s="921" t="s">
        <v>1465</v>
      </c>
      <c r="C380" s="565" t="s">
        <v>178</v>
      </c>
      <c r="D380" s="829"/>
      <c r="E380" s="829"/>
      <c r="F380" s="829"/>
      <c r="G380" s="829"/>
      <c r="H380" s="829"/>
      <c r="I380" s="829"/>
      <c r="J380" s="829"/>
      <c r="K380" s="829"/>
      <c r="L380" s="829"/>
      <c r="M380" s="829"/>
      <c r="N380" s="829"/>
      <c r="O380" s="829"/>
      <c r="P380" s="829"/>
      <c r="Q380" s="829"/>
      <c r="R380" s="829"/>
      <c r="S380" s="829"/>
    </row>
    <row r="381" spans="1:29" s="585" customFormat="1" ht="12" hidden="1" thickBot="1">
      <c r="A381" s="565" t="s">
        <v>195</v>
      </c>
      <c r="B381" s="921" t="s">
        <v>1465</v>
      </c>
      <c r="C381" s="565" t="s">
        <v>179</v>
      </c>
      <c r="D381" s="829">
        <v>18539</v>
      </c>
      <c r="E381" s="829"/>
      <c r="F381" s="829"/>
      <c r="G381" s="829"/>
      <c r="H381" s="829">
        <v>83400407</v>
      </c>
      <c r="I381" s="829"/>
      <c r="J381" s="829"/>
      <c r="K381" s="829"/>
      <c r="L381" s="864">
        <v>350429.59</v>
      </c>
      <c r="M381" s="829"/>
      <c r="N381" s="829"/>
      <c r="O381" s="864">
        <v>350429.59</v>
      </c>
      <c r="P381" s="864"/>
      <c r="Q381" s="829"/>
      <c r="R381" s="864">
        <v>350429.59</v>
      </c>
      <c r="S381" s="829"/>
    </row>
    <row r="382" spans="1:29" s="585" customFormat="1" ht="12" hidden="1" thickBot="1">
      <c r="A382" s="565" t="s">
        <v>195</v>
      </c>
      <c r="B382" s="921" t="s">
        <v>1465</v>
      </c>
      <c r="C382" s="565" t="s">
        <v>180</v>
      </c>
      <c r="D382" s="829">
        <v>372</v>
      </c>
      <c r="E382" s="829"/>
      <c r="F382" s="829"/>
      <c r="G382" s="829"/>
      <c r="H382" s="829">
        <v>571422</v>
      </c>
      <c r="I382" s="829"/>
      <c r="J382" s="829"/>
      <c r="K382" s="829"/>
      <c r="L382" s="829"/>
      <c r="M382" s="829"/>
      <c r="N382" s="829"/>
      <c r="O382" s="829"/>
      <c r="P382" s="829"/>
      <c r="Q382" s="829"/>
      <c r="R382" s="829"/>
      <c r="S382" s="829"/>
    </row>
    <row r="383" spans="1:29" s="585" customFormat="1" ht="12" hidden="1" thickBot="1">
      <c r="A383" s="565" t="s">
        <v>195</v>
      </c>
      <c r="B383" s="921" t="s">
        <v>1465</v>
      </c>
      <c r="C383" s="565" t="s">
        <v>190</v>
      </c>
      <c r="D383" s="829">
        <v>427399</v>
      </c>
      <c r="E383" s="829"/>
      <c r="F383" s="829"/>
      <c r="G383" s="829"/>
      <c r="H383" s="829">
        <v>379965025</v>
      </c>
      <c r="I383" s="829"/>
      <c r="J383" s="829"/>
      <c r="K383" s="829"/>
      <c r="L383" s="829"/>
      <c r="M383" s="829"/>
      <c r="N383" s="829"/>
      <c r="O383" s="829"/>
      <c r="P383" s="829"/>
      <c r="Q383" s="829"/>
      <c r="R383" s="829"/>
      <c r="S383" s="829"/>
    </row>
    <row r="384" spans="1:29" s="585" customFormat="1" ht="12" hidden="1" thickBot="1">
      <c r="A384" s="565" t="s">
        <v>195</v>
      </c>
      <c r="B384" s="921" t="s">
        <v>1465</v>
      </c>
      <c r="C384" s="565" t="s">
        <v>191</v>
      </c>
      <c r="D384" s="829"/>
      <c r="E384" s="829"/>
      <c r="F384" s="829"/>
      <c r="G384" s="829"/>
      <c r="H384" s="829"/>
      <c r="I384" s="829"/>
      <c r="J384" s="829"/>
      <c r="K384" s="829"/>
      <c r="L384" s="829"/>
      <c r="M384" s="829"/>
      <c r="N384" s="829"/>
      <c r="O384" s="829"/>
      <c r="P384" s="829"/>
      <c r="Q384" s="829"/>
      <c r="R384" s="829"/>
      <c r="S384" s="829"/>
    </row>
    <row r="385" spans="1:19" s="585" customFormat="1" ht="12" hidden="1" thickBot="1">
      <c r="A385" s="565" t="s">
        <v>195</v>
      </c>
      <c r="B385" s="921" t="s">
        <v>1465</v>
      </c>
      <c r="C385" s="565" t="s">
        <v>192</v>
      </c>
      <c r="D385" s="829"/>
      <c r="E385" s="829"/>
      <c r="F385" s="829"/>
      <c r="G385" s="829"/>
      <c r="H385" s="829"/>
      <c r="I385" s="829"/>
      <c r="J385" s="829"/>
      <c r="K385" s="829"/>
      <c r="L385" s="829"/>
      <c r="M385" s="829"/>
      <c r="N385" s="829"/>
      <c r="O385" s="829"/>
      <c r="P385" s="829"/>
      <c r="Q385" s="829"/>
      <c r="R385" s="829"/>
      <c r="S385" s="829"/>
    </row>
    <row r="386" spans="1:19" s="585" customFormat="1" ht="12" hidden="1" thickBot="1">
      <c r="A386" s="565" t="s">
        <v>195</v>
      </c>
      <c r="B386" s="921" t="s">
        <v>1465</v>
      </c>
      <c r="C386" s="565" t="s">
        <v>193</v>
      </c>
      <c r="D386" s="829"/>
      <c r="E386" s="829"/>
      <c r="F386" s="829"/>
      <c r="G386" s="829"/>
      <c r="H386" s="829"/>
      <c r="I386" s="829"/>
      <c r="J386" s="829"/>
      <c r="K386" s="829"/>
      <c r="L386" s="829"/>
      <c r="M386" s="829"/>
      <c r="N386" s="829"/>
      <c r="O386" s="829"/>
      <c r="P386" s="829"/>
      <c r="Q386" s="829"/>
      <c r="R386" s="829"/>
      <c r="S386" s="829"/>
    </row>
    <row r="387" spans="1:19" s="585" customFormat="1" ht="12" hidden="1" thickBot="1">
      <c r="A387" s="565" t="s">
        <v>195</v>
      </c>
      <c r="B387" s="921" t="s">
        <v>1465</v>
      </c>
      <c r="C387" s="565" t="s">
        <v>194</v>
      </c>
      <c r="D387" s="829"/>
      <c r="E387" s="829"/>
      <c r="F387" s="829"/>
      <c r="G387" s="829"/>
      <c r="H387" s="829"/>
      <c r="I387" s="829"/>
      <c r="J387" s="829"/>
      <c r="K387" s="829"/>
      <c r="L387" s="829"/>
      <c r="M387" s="829"/>
      <c r="N387" s="829"/>
      <c r="O387" s="829"/>
      <c r="P387" s="829"/>
      <c r="Q387" s="829"/>
      <c r="R387" s="829"/>
      <c r="S387" s="829"/>
    </row>
    <row r="388" spans="1:19" s="585" customFormat="1" ht="12" hidden="1" thickBot="1">
      <c r="A388" s="565" t="s">
        <v>195</v>
      </c>
      <c r="B388" s="921" t="s">
        <v>1465</v>
      </c>
      <c r="C388" s="565" t="s">
        <v>1355</v>
      </c>
      <c r="D388" s="829"/>
      <c r="E388" s="829"/>
      <c r="F388" s="829"/>
      <c r="G388" s="829"/>
      <c r="H388" s="829"/>
      <c r="I388" s="829"/>
      <c r="J388" s="829"/>
      <c r="K388" s="829"/>
      <c r="L388" s="829"/>
      <c r="M388" s="829"/>
      <c r="N388" s="829"/>
      <c r="O388" s="829"/>
      <c r="P388" s="829"/>
      <c r="Q388" s="829"/>
      <c r="R388" s="829"/>
      <c r="S388" s="829"/>
    </row>
    <row r="389" spans="1:19" s="585" customFormat="1" ht="12" hidden="1" thickBot="1">
      <c r="A389" s="565" t="s">
        <v>195</v>
      </c>
      <c r="B389" s="921" t="s">
        <v>1465</v>
      </c>
      <c r="C389" s="565" t="s">
        <v>450</v>
      </c>
      <c r="D389" s="829"/>
      <c r="E389" s="829"/>
      <c r="F389" s="829"/>
      <c r="G389" s="829"/>
      <c r="H389" s="829"/>
      <c r="I389" s="829"/>
      <c r="J389" s="829"/>
      <c r="K389" s="829"/>
      <c r="L389" s="829"/>
      <c r="M389" s="829"/>
      <c r="N389" s="829"/>
      <c r="O389" s="829"/>
      <c r="P389" s="829"/>
      <c r="Q389" s="829"/>
      <c r="R389" s="829"/>
      <c r="S389" s="829"/>
    </row>
    <row r="390" spans="1:19" s="585" customFormat="1" ht="12" hidden="1" thickBot="1">
      <c r="A390" s="565" t="s">
        <v>195</v>
      </c>
      <c r="B390" s="921" t="s">
        <v>1465</v>
      </c>
      <c r="C390" s="565" t="s">
        <v>440</v>
      </c>
      <c r="D390" s="829"/>
      <c r="E390" s="829"/>
      <c r="F390" s="829"/>
      <c r="G390" s="829"/>
      <c r="H390" s="829"/>
      <c r="I390" s="829"/>
      <c r="J390" s="829"/>
      <c r="K390" s="829"/>
      <c r="L390" s="829"/>
      <c r="M390" s="829"/>
      <c r="N390" s="829"/>
      <c r="O390" s="829"/>
      <c r="P390" s="829"/>
      <c r="Q390" s="829"/>
      <c r="R390" s="829"/>
      <c r="S390" s="829"/>
    </row>
    <row r="391" spans="1:19" s="585" customFormat="1" ht="12" hidden="1" thickBot="1">
      <c r="A391" s="565" t="s">
        <v>195</v>
      </c>
      <c r="B391" s="921" t="s">
        <v>1465</v>
      </c>
      <c r="C391" s="565" t="s">
        <v>441</v>
      </c>
      <c r="D391" s="829"/>
      <c r="E391" s="829"/>
      <c r="F391" s="829"/>
      <c r="G391" s="829"/>
      <c r="H391" s="829"/>
      <c r="I391" s="829"/>
      <c r="J391" s="829"/>
      <c r="K391" s="829"/>
      <c r="L391" s="829"/>
      <c r="M391" s="829"/>
      <c r="N391" s="829"/>
      <c r="O391" s="829"/>
      <c r="P391" s="829"/>
      <c r="Q391" s="829"/>
      <c r="R391" s="829"/>
      <c r="S391" s="829"/>
    </row>
    <row r="392" spans="1:19" s="585" customFormat="1" ht="12" hidden="1" thickBot="1">
      <c r="A392" s="565" t="s">
        <v>195</v>
      </c>
      <c r="B392" s="921" t="s">
        <v>1465</v>
      </c>
      <c r="C392" s="565" t="s">
        <v>185</v>
      </c>
      <c r="D392" s="829"/>
      <c r="E392" s="829"/>
      <c r="F392" s="829"/>
      <c r="G392" s="829"/>
      <c r="H392" s="829"/>
      <c r="I392" s="829"/>
      <c r="J392" s="829"/>
      <c r="K392" s="829"/>
      <c r="L392" s="829"/>
      <c r="M392" s="829"/>
      <c r="N392" s="829"/>
      <c r="O392" s="829"/>
      <c r="P392" s="829"/>
      <c r="Q392" s="829"/>
      <c r="R392" s="829"/>
      <c r="S392" s="829"/>
    </row>
    <row r="393" spans="1:19" s="585" customFormat="1" ht="12" hidden="1" thickBot="1">
      <c r="A393" s="565" t="s">
        <v>195</v>
      </c>
      <c r="B393" s="921" t="s">
        <v>1465</v>
      </c>
      <c r="C393" s="565" t="s">
        <v>189</v>
      </c>
      <c r="D393" s="829">
        <v>1</v>
      </c>
      <c r="E393" s="829"/>
      <c r="F393" s="829"/>
      <c r="G393" s="829"/>
      <c r="H393" s="829">
        <v>45507524</v>
      </c>
      <c r="I393" s="831">
        <v>185157.6</v>
      </c>
      <c r="J393" s="831">
        <v>185157.6</v>
      </c>
      <c r="K393" s="831">
        <v>101387.6</v>
      </c>
      <c r="L393" s="829"/>
      <c r="M393" s="829"/>
      <c r="N393" s="829"/>
      <c r="O393" s="831">
        <v>185157.6</v>
      </c>
      <c r="P393" s="831">
        <v>185157.6</v>
      </c>
      <c r="Q393" s="831">
        <v>101387.6</v>
      </c>
      <c r="R393" s="829"/>
      <c r="S393" s="829"/>
    </row>
    <row r="394" spans="1:19" s="585" customFormat="1" ht="12" hidden="1" thickBot="1">
      <c r="A394" s="565" t="s">
        <v>195</v>
      </c>
      <c r="B394" s="921" t="s">
        <v>1465</v>
      </c>
      <c r="C394" s="565" t="s">
        <v>233</v>
      </c>
      <c r="D394" s="829">
        <v>2</v>
      </c>
      <c r="E394" s="829"/>
      <c r="F394" s="829"/>
      <c r="G394" s="829"/>
      <c r="H394" s="829">
        <v>14105</v>
      </c>
      <c r="I394" s="829"/>
      <c r="J394" s="829"/>
      <c r="K394" s="829"/>
      <c r="L394" s="829"/>
      <c r="M394" s="829"/>
      <c r="N394" s="829"/>
      <c r="O394" s="829"/>
      <c r="P394" s="829"/>
      <c r="Q394" s="829"/>
      <c r="R394" s="829"/>
      <c r="S394" s="829"/>
    </row>
    <row r="395" spans="1:19" s="585" customFormat="1" ht="12" hidden="1" thickBot="1">
      <c r="A395" s="565" t="s">
        <v>195</v>
      </c>
      <c r="B395" s="921" t="s">
        <v>1465</v>
      </c>
      <c r="C395" s="565" t="s">
        <v>232</v>
      </c>
      <c r="D395" s="829"/>
      <c r="E395" s="829"/>
      <c r="F395" s="829"/>
      <c r="G395" s="829"/>
      <c r="H395" s="829"/>
      <c r="I395" s="829"/>
      <c r="J395" s="829"/>
      <c r="K395" s="829"/>
      <c r="L395" s="829"/>
      <c r="M395" s="829"/>
      <c r="N395" s="829"/>
      <c r="O395" s="829"/>
      <c r="P395" s="829"/>
      <c r="Q395" s="829"/>
      <c r="R395" s="829"/>
      <c r="S395" s="829"/>
    </row>
    <row r="396" spans="1:19" s="585" customFormat="1" ht="12" thickBot="1">
      <c r="A396" s="565" t="s">
        <v>195</v>
      </c>
      <c r="B396" s="921" t="s">
        <v>1465</v>
      </c>
      <c r="C396" s="565" t="s">
        <v>184</v>
      </c>
      <c r="D396" s="829">
        <v>747</v>
      </c>
      <c r="E396" s="829"/>
      <c r="F396" s="829"/>
      <c r="G396" s="829"/>
      <c r="H396" s="829">
        <v>97932</v>
      </c>
      <c r="I396" s="829"/>
      <c r="J396" s="829"/>
      <c r="K396" s="829"/>
      <c r="L396" s="829"/>
      <c r="M396" s="829"/>
      <c r="N396" s="829"/>
      <c r="O396" s="829"/>
      <c r="P396" s="829"/>
      <c r="Q396" s="829"/>
      <c r="R396" s="829"/>
      <c r="S396" s="829"/>
    </row>
    <row r="397" spans="1:19" ht="12" hidden="1" thickBot="1">
      <c r="A397" s="845" t="s">
        <v>195</v>
      </c>
      <c r="B397" s="921" t="s">
        <v>1465</v>
      </c>
      <c r="C397" s="845" t="s">
        <v>187</v>
      </c>
      <c r="D397" s="829"/>
      <c r="E397" s="829"/>
      <c r="F397" s="829"/>
      <c r="G397" s="829"/>
      <c r="H397" s="829"/>
      <c r="I397" s="829"/>
      <c r="J397" s="829"/>
      <c r="K397" s="829"/>
      <c r="L397" s="829"/>
      <c r="M397" s="829"/>
      <c r="N397" s="829"/>
      <c r="O397" s="829"/>
      <c r="P397" s="829"/>
      <c r="Q397" s="829"/>
      <c r="R397" s="829"/>
      <c r="S397" s="829"/>
    </row>
    <row r="398" spans="1:19" ht="12" hidden="1" thickBot="1">
      <c r="A398" s="845" t="s">
        <v>195</v>
      </c>
      <c r="B398" s="921" t="s">
        <v>1465</v>
      </c>
      <c r="C398" s="845" t="s">
        <v>188</v>
      </c>
      <c r="D398" s="829"/>
      <c r="E398" s="829"/>
      <c r="F398" s="829"/>
      <c r="G398" s="829"/>
      <c r="H398" s="829"/>
      <c r="I398" s="829"/>
      <c r="J398" s="829"/>
      <c r="K398" s="829"/>
      <c r="L398" s="829"/>
      <c r="M398" s="829"/>
      <c r="N398" s="829"/>
      <c r="O398" s="829"/>
      <c r="P398" s="829"/>
      <c r="Q398" s="829"/>
      <c r="R398" s="829"/>
      <c r="S398" s="829"/>
    </row>
    <row r="399" spans="1:19" ht="12" hidden="1" thickBot="1">
      <c r="A399" s="845" t="s">
        <v>195</v>
      </c>
      <c r="B399" s="921" t="s">
        <v>1465</v>
      </c>
      <c r="C399" s="845" t="s">
        <v>1045</v>
      </c>
      <c r="D399" s="829"/>
      <c r="E399" s="829"/>
      <c r="F399" s="829"/>
      <c r="G399" s="829"/>
      <c r="H399" s="829"/>
      <c r="I399" s="829"/>
      <c r="J399" s="829"/>
      <c r="K399" s="829"/>
      <c r="L399" s="829"/>
      <c r="M399" s="829"/>
      <c r="N399" s="829"/>
      <c r="O399" s="829"/>
      <c r="P399" s="829"/>
      <c r="Q399" s="829"/>
      <c r="R399" s="829"/>
      <c r="S399" s="829"/>
    </row>
    <row r="400" spans="1:19" s="585" customFormat="1" ht="12" hidden="1" thickBot="1">
      <c r="A400" s="565" t="s">
        <v>195</v>
      </c>
      <c r="B400" s="921" t="s">
        <v>1465</v>
      </c>
      <c r="C400" s="565" t="s">
        <v>186</v>
      </c>
      <c r="D400" s="829"/>
      <c r="E400" s="829"/>
      <c r="F400" s="829"/>
      <c r="G400" s="829"/>
      <c r="H400" s="829"/>
      <c r="I400" s="829"/>
      <c r="J400" s="829"/>
      <c r="K400" s="829"/>
      <c r="L400" s="829"/>
      <c r="M400" s="829"/>
      <c r="N400" s="829"/>
      <c r="O400" s="829"/>
      <c r="P400" s="829"/>
      <c r="Q400" s="829"/>
      <c r="R400" s="829"/>
      <c r="S400" s="829"/>
    </row>
    <row r="401" spans="1:19" s="585" customFormat="1" ht="12" hidden="1" thickBot="1">
      <c r="A401" s="565" t="s">
        <v>195</v>
      </c>
      <c r="B401" s="921" t="s">
        <v>1465</v>
      </c>
      <c r="C401" s="565" t="s">
        <v>176</v>
      </c>
      <c r="D401" s="829"/>
      <c r="E401" s="829"/>
      <c r="F401" s="829"/>
      <c r="G401" s="829"/>
      <c r="H401" s="829"/>
      <c r="I401" s="829"/>
      <c r="J401" s="829"/>
      <c r="K401" s="829"/>
      <c r="L401" s="829"/>
      <c r="M401" s="829"/>
      <c r="N401" s="829"/>
      <c r="O401" s="829"/>
      <c r="P401" s="829"/>
      <c r="Q401" s="829"/>
      <c r="R401" s="829"/>
      <c r="S401" s="829"/>
    </row>
    <row r="402" spans="1:19" s="585" customFormat="1" ht="12" hidden="1" thickBot="1">
      <c r="A402" s="565" t="s">
        <v>195</v>
      </c>
      <c r="B402" s="921" t="s">
        <v>1465</v>
      </c>
      <c r="C402" s="565" t="s">
        <v>182</v>
      </c>
      <c r="D402" s="829"/>
      <c r="E402" s="829"/>
      <c r="F402" s="829"/>
      <c r="G402" s="829"/>
      <c r="H402" s="829"/>
      <c r="I402" s="829"/>
      <c r="J402" s="829"/>
      <c r="K402" s="829"/>
      <c r="L402" s="829"/>
      <c r="M402" s="829"/>
      <c r="N402" s="829"/>
      <c r="O402" s="829"/>
      <c r="P402" s="829"/>
      <c r="Q402" s="829"/>
      <c r="R402" s="829"/>
      <c r="S402" s="829"/>
    </row>
    <row r="403" spans="1:19" s="585" customFormat="1" ht="12" hidden="1" thickBot="1">
      <c r="A403" s="565" t="s">
        <v>195</v>
      </c>
      <c r="B403" s="921" t="s">
        <v>1465</v>
      </c>
      <c r="C403" s="565" t="s">
        <v>477</v>
      </c>
      <c r="D403" s="829"/>
      <c r="E403" s="829"/>
      <c r="F403" s="829"/>
      <c r="G403" s="829"/>
      <c r="H403" s="829"/>
      <c r="I403" s="829"/>
      <c r="J403" s="829"/>
      <c r="K403" s="829"/>
      <c r="L403" s="829"/>
      <c r="M403" s="829"/>
      <c r="N403" s="829"/>
      <c r="O403" s="829"/>
      <c r="P403" s="829"/>
      <c r="Q403" s="829"/>
      <c r="R403" s="829"/>
      <c r="S403" s="829"/>
    </row>
    <row r="404" spans="1:19" s="585" customFormat="1" ht="12" hidden="1" thickBot="1">
      <c r="A404" s="565" t="s">
        <v>195</v>
      </c>
      <c r="B404" s="921" t="s">
        <v>1465</v>
      </c>
      <c r="C404" s="565" t="s">
        <v>181</v>
      </c>
      <c r="D404" s="829"/>
      <c r="E404" s="829"/>
      <c r="F404" s="829"/>
      <c r="G404" s="829"/>
      <c r="H404" s="829"/>
      <c r="I404" s="829"/>
      <c r="J404" s="829"/>
      <c r="K404" s="829"/>
      <c r="L404" s="829"/>
      <c r="M404" s="829"/>
      <c r="N404" s="829"/>
      <c r="O404" s="829"/>
      <c r="P404" s="829"/>
      <c r="Q404" s="829"/>
      <c r="R404" s="829"/>
      <c r="S404" s="829"/>
    </row>
    <row r="405" spans="1:19" s="585" customFormat="1" ht="12" hidden="1" thickBot="1">
      <c r="A405" s="565" t="s">
        <v>195</v>
      </c>
      <c r="B405" s="921" t="s">
        <v>1465</v>
      </c>
      <c r="C405" s="565" t="s">
        <v>183</v>
      </c>
      <c r="D405" s="829">
        <v>259</v>
      </c>
      <c r="E405" s="829"/>
      <c r="F405" s="829"/>
      <c r="G405" s="829"/>
      <c r="H405" s="829">
        <v>10591038</v>
      </c>
      <c r="I405" s="829"/>
      <c r="J405" s="829"/>
      <c r="K405" s="829"/>
      <c r="L405" s="864">
        <v>43111.19</v>
      </c>
      <c r="M405" s="829"/>
      <c r="N405" s="829"/>
      <c r="O405" s="864">
        <v>43111.19</v>
      </c>
      <c r="P405" s="864"/>
      <c r="Q405" s="829"/>
      <c r="R405" s="864">
        <v>43111.19</v>
      </c>
      <c r="S405" s="829"/>
    </row>
    <row r="406" spans="1:19" s="585" customFormat="1" ht="12" hidden="1" thickBot="1">
      <c r="A406" s="565" t="s">
        <v>195</v>
      </c>
      <c r="B406" s="921" t="s">
        <v>1465</v>
      </c>
      <c r="C406" s="565" t="s">
        <v>652</v>
      </c>
      <c r="D406" s="829"/>
      <c r="E406" s="829"/>
      <c r="F406" s="829"/>
      <c r="G406" s="829"/>
      <c r="H406" s="829"/>
      <c r="I406" s="829"/>
      <c r="J406" s="829"/>
      <c r="K406" s="829"/>
      <c r="L406" s="829"/>
      <c r="M406" s="829"/>
      <c r="N406" s="829"/>
      <c r="O406" s="829"/>
      <c r="P406" s="829"/>
      <c r="Q406" s="829"/>
      <c r="R406" s="829"/>
      <c r="S406" s="829"/>
    </row>
    <row r="407" spans="1:19" s="585" customFormat="1" ht="12" hidden="1" thickBot="1">
      <c r="A407" s="565" t="s">
        <v>195</v>
      </c>
      <c r="B407" s="921" t="s">
        <v>1465</v>
      </c>
      <c r="C407" s="565" t="s">
        <v>720</v>
      </c>
      <c r="D407" s="829"/>
      <c r="E407" s="829"/>
      <c r="F407" s="829"/>
      <c r="G407" s="829"/>
      <c r="H407" s="829"/>
      <c r="I407" s="829"/>
      <c r="J407" s="829"/>
      <c r="K407" s="829"/>
      <c r="L407" s="829"/>
      <c r="M407" s="829"/>
      <c r="N407" s="829"/>
      <c r="O407" s="829"/>
      <c r="P407" s="829"/>
      <c r="Q407" s="829"/>
      <c r="R407" s="829"/>
      <c r="S407" s="829"/>
    </row>
    <row r="408" spans="1:19" s="585" customFormat="1" ht="12" hidden="1" thickBot="1">
      <c r="A408" s="565" t="s">
        <v>195</v>
      </c>
      <c r="B408" s="921" t="s">
        <v>1465</v>
      </c>
      <c r="C408" s="565" t="s">
        <v>721</v>
      </c>
      <c r="D408" s="829"/>
      <c r="E408" s="829"/>
      <c r="F408" s="829"/>
      <c r="G408" s="829"/>
      <c r="H408" s="829"/>
      <c r="I408" s="829"/>
      <c r="J408" s="829"/>
      <c r="K408" s="829"/>
      <c r="L408" s="829"/>
      <c r="M408" s="829"/>
      <c r="N408" s="829"/>
      <c r="O408" s="829"/>
      <c r="P408" s="829"/>
      <c r="Q408" s="829"/>
      <c r="R408" s="829"/>
      <c r="S408" s="829"/>
    </row>
    <row r="409" spans="1:19" s="585" customFormat="1" ht="12" hidden="1" thickBot="1">
      <c r="A409" s="565" t="s">
        <v>195</v>
      </c>
      <c r="B409" s="921" t="s">
        <v>1465</v>
      </c>
      <c r="C409" s="565" t="s">
        <v>722</v>
      </c>
      <c r="D409" s="829"/>
      <c r="E409" s="829"/>
      <c r="F409" s="829"/>
      <c r="G409" s="829"/>
      <c r="H409" s="829"/>
      <c r="I409" s="829"/>
      <c r="J409" s="829"/>
      <c r="K409" s="829"/>
      <c r="L409" s="829"/>
      <c r="M409" s="829"/>
      <c r="N409" s="829"/>
      <c r="O409" s="829"/>
      <c r="P409" s="829"/>
      <c r="Q409" s="829"/>
      <c r="R409" s="829"/>
      <c r="S409" s="829"/>
    </row>
    <row r="410" spans="1:19" s="585" customFormat="1" ht="12" hidden="1" thickBot="1">
      <c r="A410" s="565" t="s">
        <v>195</v>
      </c>
      <c r="B410" s="921" t="s">
        <v>1465</v>
      </c>
      <c r="C410" s="577" t="s">
        <v>9</v>
      </c>
      <c r="D410" s="578"/>
      <c r="E410" s="579"/>
      <c r="F410" s="579"/>
      <c r="G410" s="579"/>
      <c r="H410" s="578"/>
      <c r="I410" s="580"/>
      <c r="J410" s="580"/>
      <c r="K410" s="580"/>
      <c r="L410" s="579"/>
      <c r="M410" s="579"/>
      <c r="N410" s="580"/>
      <c r="O410" s="580"/>
      <c r="P410" s="580"/>
      <c r="Q410" s="580"/>
      <c r="R410" s="579"/>
      <c r="S410" s="579"/>
    </row>
    <row r="411" spans="1:19" s="585" customFormat="1" ht="12" hidden="1" thickBot="1">
      <c r="A411" s="522" t="s">
        <v>195</v>
      </c>
      <c r="B411" s="588" t="s">
        <v>1466</v>
      </c>
      <c r="C411" s="522" t="s">
        <v>168</v>
      </c>
      <c r="D411" s="829">
        <v>32</v>
      </c>
      <c r="E411" s="829"/>
      <c r="F411" s="829"/>
      <c r="G411" s="829"/>
      <c r="H411" s="829">
        <v>129791084</v>
      </c>
      <c r="I411" s="864">
        <v>293910.55</v>
      </c>
      <c r="J411" s="864">
        <v>286728.15000000002</v>
      </c>
      <c r="K411" s="864">
        <v>276345.67</v>
      </c>
      <c r="L411" s="829"/>
      <c r="M411" s="829"/>
      <c r="N411" s="829"/>
      <c r="O411" s="864">
        <v>293910.55</v>
      </c>
      <c r="P411" s="864">
        <v>286728.15000000002</v>
      </c>
      <c r="Q411" s="864">
        <v>276345.67</v>
      </c>
      <c r="R411" s="829"/>
      <c r="S411" s="829"/>
    </row>
    <row r="412" spans="1:19" s="585" customFormat="1" ht="12" hidden="1" thickBot="1">
      <c r="A412" s="522" t="s">
        <v>195</v>
      </c>
      <c r="B412" s="588" t="s">
        <v>1466</v>
      </c>
      <c r="C412" s="522" t="s">
        <v>169</v>
      </c>
      <c r="D412" s="829">
        <v>216</v>
      </c>
      <c r="E412" s="829"/>
      <c r="F412" s="829"/>
      <c r="G412" s="829"/>
      <c r="H412" s="829">
        <v>18873291</v>
      </c>
      <c r="I412" s="829"/>
      <c r="J412" s="864">
        <v>53495.68</v>
      </c>
      <c r="K412" s="864"/>
      <c r="L412" s="864">
        <v>53495.68</v>
      </c>
      <c r="M412" s="829"/>
      <c r="N412" s="829"/>
      <c r="O412" s="829"/>
      <c r="P412" s="864">
        <v>53495.68</v>
      </c>
      <c r="Q412" s="864"/>
      <c r="R412" s="864">
        <v>53495.68</v>
      </c>
      <c r="S412" s="829"/>
    </row>
    <row r="413" spans="1:19" s="585" customFormat="1" ht="12" hidden="1" thickBot="1">
      <c r="A413" s="522" t="s">
        <v>195</v>
      </c>
      <c r="B413" s="588" t="s">
        <v>1466</v>
      </c>
      <c r="C413" s="522" t="s">
        <v>170</v>
      </c>
      <c r="D413" s="829">
        <v>4815</v>
      </c>
      <c r="E413" s="829"/>
      <c r="F413" s="829"/>
      <c r="G413" s="829"/>
      <c r="H413" s="829">
        <v>165279163</v>
      </c>
      <c r="I413" s="829"/>
      <c r="J413" s="864">
        <v>535245.07999999996</v>
      </c>
      <c r="K413" s="864"/>
      <c r="L413" s="864">
        <v>535245.07999999996</v>
      </c>
      <c r="M413" s="829"/>
      <c r="N413" s="829"/>
      <c r="O413" s="829"/>
      <c r="P413" s="864">
        <v>535245.07999999996</v>
      </c>
      <c r="Q413" s="864"/>
      <c r="R413" s="864">
        <v>535245.07999999996</v>
      </c>
      <c r="S413" s="829"/>
    </row>
    <row r="414" spans="1:19" s="585" customFormat="1" ht="12" hidden="1" thickBot="1">
      <c r="A414" s="522" t="s">
        <v>195</v>
      </c>
      <c r="B414" s="588" t="s">
        <v>1466</v>
      </c>
      <c r="C414" s="522" t="s">
        <v>171</v>
      </c>
      <c r="D414" s="829">
        <v>52</v>
      </c>
      <c r="E414" s="829"/>
      <c r="F414" s="829"/>
      <c r="G414" s="829"/>
      <c r="H414" s="829">
        <v>240299969</v>
      </c>
      <c r="I414" s="864">
        <v>505391.85</v>
      </c>
      <c r="J414" s="864">
        <v>483224.92</v>
      </c>
      <c r="K414" s="864">
        <v>477199.84</v>
      </c>
      <c r="L414" s="829"/>
      <c r="M414" s="829"/>
      <c r="N414" s="829"/>
      <c r="O414" s="864">
        <v>505391.85</v>
      </c>
      <c r="P414" s="864">
        <v>483224.92</v>
      </c>
      <c r="Q414" s="864">
        <v>477199.84</v>
      </c>
      <c r="R414" s="829"/>
      <c r="S414" s="829"/>
    </row>
    <row r="415" spans="1:19" s="585" customFormat="1" ht="12" hidden="1" thickBot="1">
      <c r="A415" s="522" t="s">
        <v>195</v>
      </c>
      <c r="B415" s="588" t="s">
        <v>1466</v>
      </c>
      <c r="C415" s="522" t="s">
        <v>172</v>
      </c>
      <c r="D415" s="829"/>
      <c r="E415" s="829"/>
      <c r="F415" s="829"/>
      <c r="G415" s="829"/>
      <c r="H415" s="829"/>
      <c r="I415" s="829"/>
      <c r="J415" s="829"/>
      <c r="K415" s="829"/>
      <c r="L415" s="829"/>
      <c r="M415" s="829"/>
      <c r="N415" s="829"/>
      <c r="O415" s="829"/>
      <c r="P415" s="829"/>
      <c r="Q415" s="829"/>
      <c r="R415" s="829"/>
      <c r="S415" s="829"/>
    </row>
    <row r="416" spans="1:19" s="585" customFormat="1" ht="12" hidden="1" thickBot="1">
      <c r="A416" s="522" t="s">
        <v>195</v>
      </c>
      <c r="B416" s="588" t="s">
        <v>1466</v>
      </c>
      <c r="C416" s="522" t="s">
        <v>173</v>
      </c>
      <c r="D416" s="829"/>
      <c r="E416" s="829"/>
      <c r="F416" s="829"/>
      <c r="G416" s="829"/>
      <c r="H416" s="829"/>
      <c r="I416" s="829"/>
      <c r="J416" s="829"/>
      <c r="K416" s="829"/>
      <c r="L416" s="829"/>
      <c r="M416" s="829"/>
      <c r="N416" s="829"/>
      <c r="O416" s="829"/>
      <c r="P416" s="829"/>
      <c r="Q416" s="829"/>
      <c r="R416" s="829"/>
      <c r="S416" s="829"/>
    </row>
    <row r="417" spans="1:19" s="585" customFormat="1" ht="12" hidden="1" thickBot="1">
      <c r="A417" s="522" t="s">
        <v>195</v>
      </c>
      <c r="B417" s="588" t="s">
        <v>1466</v>
      </c>
      <c r="C417" s="522" t="s">
        <v>174</v>
      </c>
      <c r="D417" s="829">
        <v>182</v>
      </c>
      <c r="E417" s="829"/>
      <c r="F417" s="829"/>
      <c r="G417" s="829"/>
      <c r="H417" s="829">
        <v>100603039</v>
      </c>
      <c r="I417" s="864">
        <v>265026.83</v>
      </c>
      <c r="J417" s="864">
        <v>254100.38</v>
      </c>
      <c r="K417" s="864">
        <v>250156.83</v>
      </c>
      <c r="L417" s="829"/>
      <c r="M417" s="829"/>
      <c r="N417" s="829"/>
      <c r="O417" s="864">
        <v>265026.83</v>
      </c>
      <c r="P417" s="864">
        <v>254100.38</v>
      </c>
      <c r="Q417" s="864">
        <v>250156.83</v>
      </c>
      <c r="R417" s="829"/>
      <c r="S417" s="829"/>
    </row>
    <row r="418" spans="1:19" s="585" customFormat="1" ht="12" hidden="1" thickBot="1">
      <c r="A418" s="522" t="s">
        <v>195</v>
      </c>
      <c r="B418" s="588" t="s">
        <v>1466</v>
      </c>
      <c r="C418" s="522" t="s">
        <v>175</v>
      </c>
      <c r="D418" s="829">
        <v>453</v>
      </c>
      <c r="E418" s="829"/>
      <c r="F418" s="829"/>
      <c r="G418" s="829"/>
      <c r="H418" s="829">
        <v>108841166</v>
      </c>
      <c r="I418" s="864">
        <v>267018.43</v>
      </c>
      <c r="J418" s="864">
        <v>243200.64000000001</v>
      </c>
      <c r="K418" s="864">
        <v>237752.95</v>
      </c>
      <c r="L418" s="829"/>
      <c r="M418" s="829"/>
      <c r="N418" s="829"/>
      <c r="O418" s="864">
        <v>267018.43</v>
      </c>
      <c r="P418" s="864">
        <v>243200.64000000001</v>
      </c>
      <c r="Q418" s="864">
        <v>237752.95</v>
      </c>
      <c r="R418" s="829"/>
      <c r="S418" s="829"/>
    </row>
    <row r="419" spans="1:19" s="585" customFormat="1" ht="12" hidden="1" thickBot="1">
      <c r="A419" s="522" t="s">
        <v>195</v>
      </c>
      <c r="B419" s="588" t="s">
        <v>1466</v>
      </c>
      <c r="C419" s="522" t="s">
        <v>177</v>
      </c>
      <c r="D419" s="829">
        <v>63429</v>
      </c>
      <c r="E419" s="829"/>
      <c r="F419" s="829"/>
      <c r="G419" s="829"/>
      <c r="H419" s="829">
        <v>53225861</v>
      </c>
      <c r="I419" s="829"/>
      <c r="J419" s="829"/>
      <c r="K419" s="829"/>
      <c r="L419" s="829"/>
      <c r="M419" s="829"/>
      <c r="N419" s="829"/>
      <c r="O419" s="829"/>
      <c r="P419" s="829"/>
      <c r="Q419" s="829"/>
      <c r="R419" s="829"/>
      <c r="S419" s="829"/>
    </row>
    <row r="420" spans="1:19" s="585" customFormat="1" ht="12" hidden="1" thickBot="1">
      <c r="A420" s="522" t="s">
        <v>195</v>
      </c>
      <c r="B420" s="588" t="s">
        <v>1466</v>
      </c>
      <c r="C420" s="522" t="s">
        <v>178</v>
      </c>
      <c r="D420" s="829"/>
      <c r="E420" s="829"/>
      <c r="F420" s="829"/>
      <c r="G420" s="829"/>
      <c r="H420" s="829"/>
      <c r="I420" s="829"/>
      <c r="J420" s="829"/>
      <c r="K420" s="829"/>
      <c r="L420" s="829"/>
      <c r="M420" s="829"/>
      <c r="N420" s="829"/>
      <c r="O420" s="829"/>
      <c r="P420" s="829"/>
      <c r="Q420" s="829"/>
      <c r="R420" s="829"/>
      <c r="S420" s="829"/>
    </row>
    <row r="421" spans="1:19" s="585" customFormat="1" ht="12" hidden="1" thickBot="1">
      <c r="A421" s="522" t="s">
        <v>195</v>
      </c>
      <c r="B421" s="588" t="s">
        <v>1466</v>
      </c>
      <c r="C421" s="522" t="s">
        <v>179</v>
      </c>
      <c r="D421" s="829">
        <v>18541</v>
      </c>
      <c r="E421" s="829"/>
      <c r="F421" s="829"/>
      <c r="G421" s="829"/>
      <c r="H421" s="829">
        <v>77573969</v>
      </c>
      <c r="I421" s="829"/>
      <c r="J421" s="829"/>
      <c r="K421" s="829"/>
      <c r="L421" s="864">
        <v>359334.01</v>
      </c>
      <c r="M421" s="829"/>
      <c r="N421" s="829"/>
      <c r="O421" s="864">
        <v>359334.01</v>
      </c>
      <c r="P421" s="864"/>
      <c r="Q421" s="829"/>
      <c r="R421" s="864">
        <v>359334.01</v>
      </c>
      <c r="S421" s="829"/>
    </row>
    <row r="422" spans="1:19" s="585" customFormat="1" ht="12" hidden="1" thickBot="1">
      <c r="A422" s="522" t="s">
        <v>195</v>
      </c>
      <c r="B422" s="588" t="s">
        <v>1466</v>
      </c>
      <c r="C422" s="522" t="s">
        <v>180</v>
      </c>
      <c r="D422" s="829">
        <v>372</v>
      </c>
      <c r="E422" s="829"/>
      <c r="F422" s="829"/>
      <c r="G422" s="829"/>
      <c r="H422" s="829">
        <v>624557</v>
      </c>
      <c r="I422" s="829"/>
      <c r="J422" s="829"/>
      <c r="K422" s="829"/>
      <c r="L422" s="829"/>
      <c r="M422" s="829"/>
      <c r="N422" s="829"/>
      <c r="O422" s="829"/>
      <c r="P422" s="829"/>
      <c r="Q422" s="829"/>
      <c r="R422" s="829"/>
      <c r="S422" s="829"/>
    </row>
    <row r="423" spans="1:19" s="585" customFormat="1" ht="12" hidden="1" thickBot="1">
      <c r="A423" s="522" t="s">
        <v>195</v>
      </c>
      <c r="B423" s="588" t="s">
        <v>1466</v>
      </c>
      <c r="C423" s="522" t="s">
        <v>190</v>
      </c>
      <c r="D423" s="829">
        <v>427782</v>
      </c>
      <c r="E423" s="829"/>
      <c r="F423" s="829"/>
      <c r="G423" s="829"/>
      <c r="H423" s="829">
        <v>412194813</v>
      </c>
      <c r="I423" s="829"/>
      <c r="J423" s="829"/>
      <c r="K423" s="829"/>
      <c r="L423" s="829"/>
      <c r="M423" s="829"/>
      <c r="N423" s="829"/>
      <c r="O423" s="829"/>
      <c r="P423" s="829"/>
      <c r="Q423" s="829"/>
      <c r="R423" s="829"/>
      <c r="S423" s="829"/>
    </row>
    <row r="424" spans="1:19" s="585" customFormat="1" ht="12" hidden="1" thickBot="1">
      <c r="A424" s="522" t="s">
        <v>195</v>
      </c>
      <c r="B424" s="588" t="s">
        <v>1466</v>
      </c>
      <c r="C424" s="522" t="s">
        <v>191</v>
      </c>
      <c r="D424" s="829"/>
      <c r="E424" s="829"/>
      <c r="F424" s="829"/>
      <c r="G424" s="829"/>
      <c r="H424" s="829"/>
      <c r="I424" s="829"/>
      <c r="J424" s="829"/>
      <c r="K424" s="829"/>
      <c r="L424" s="829"/>
      <c r="M424" s="829"/>
      <c r="N424" s="829"/>
      <c r="O424" s="829"/>
      <c r="P424" s="829"/>
      <c r="Q424" s="829"/>
      <c r="R424" s="829"/>
      <c r="S424" s="829"/>
    </row>
    <row r="425" spans="1:19" s="585" customFormat="1" ht="12" hidden="1" thickBot="1">
      <c r="A425" s="522" t="s">
        <v>195</v>
      </c>
      <c r="B425" s="588" t="s">
        <v>1466</v>
      </c>
      <c r="C425" s="522" t="s">
        <v>192</v>
      </c>
      <c r="D425" s="829"/>
      <c r="E425" s="829"/>
      <c r="F425" s="829"/>
      <c r="G425" s="829"/>
      <c r="H425" s="829"/>
      <c r="I425" s="829"/>
      <c r="J425" s="829"/>
      <c r="K425" s="829"/>
      <c r="L425" s="829"/>
      <c r="M425" s="829"/>
      <c r="N425" s="829"/>
      <c r="O425" s="829"/>
      <c r="P425" s="829"/>
      <c r="Q425" s="829"/>
      <c r="R425" s="829"/>
      <c r="S425" s="829"/>
    </row>
    <row r="426" spans="1:19" s="585" customFormat="1" ht="12" hidden="1" thickBot="1">
      <c r="A426" s="522" t="s">
        <v>195</v>
      </c>
      <c r="B426" s="588" t="s">
        <v>1466</v>
      </c>
      <c r="C426" s="522" t="s">
        <v>193</v>
      </c>
      <c r="D426" s="829"/>
      <c r="E426" s="829"/>
      <c r="F426" s="829"/>
      <c r="G426" s="829"/>
      <c r="H426" s="829"/>
      <c r="I426" s="829"/>
      <c r="J426" s="829"/>
      <c r="K426" s="829"/>
      <c r="L426" s="829"/>
      <c r="M426" s="829"/>
      <c r="N426" s="829"/>
      <c r="O426" s="829"/>
      <c r="P426" s="829"/>
      <c r="Q426" s="829"/>
      <c r="R426" s="829"/>
      <c r="S426" s="829"/>
    </row>
    <row r="427" spans="1:19" s="585" customFormat="1" ht="12" hidden="1" thickBot="1">
      <c r="A427" s="522" t="s">
        <v>195</v>
      </c>
      <c r="B427" s="588" t="s">
        <v>1466</v>
      </c>
      <c r="C427" s="522" t="s">
        <v>194</v>
      </c>
      <c r="D427" s="829"/>
      <c r="E427" s="829"/>
      <c r="F427" s="829"/>
      <c r="G427" s="829"/>
      <c r="H427" s="829"/>
      <c r="I427" s="829"/>
      <c r="J427" s="829"/>
      <c r="K427" s="829"/>
      <c r="L427" s="829"/>
      <c r="M427" s="829"/>
      <c r="N427" s="829"/>
      <c r="O427" s="829"/>
      <c r="P427" s="829"/>
      <c r="Q427" s="829"/>
      <c r="R427" s="829"/>
      <c r="S427" s="829"/>
    </row>
    <row r="428" spans="1:19" s="585" customFormat="1" ht="12" hidden="1" thickBot="1">
      <c r="A428" s="522" t="s">
        <v>195</v>
      </c>
      <c r="B428" s="588" t="s">
        <v>1466</v>
      </c>
      <c r="C428" s="522" t="s">
        <v>1355</v>
      </c>
      <c r="D428" s="829"/>
      <c r="E428" s="829"/>
      <c r="F428" s="829"/>
      <c r="G428" s="829"/>
      <c r="H428" s="829"/>
      <c r="I428" s="829"/>
      <c r="J428" s="829"/>
      <c r="K428" s="829"/>
      <c r="L428" s="829"/>
      <c r="M428" s="829"/>
      <c r="N428" s="829"/>
      <c r="O428" s="829"/>
      <c r="P428" s="829"/>
      <c r="Q428" s="829"/>
      <c r="R428" s="829"/>
      <c r="S428" s="829"/>
    </row>
    <row r="429" spans="1:19" s="585" customFormat="1" ht="12" hidden="1" thickBot="1">
      <c r="A429" s="522" t="s">
        <v>195</v>
      </c>
      <c r="B429" s="588" t="s">
        <v>1466</v>
      </c>
      <c r="C429" s="522" t="s">
        <v>450</v>
      </c>
      <c r="D429" s="829"/>
      <c r="E429" s="829"/>
      <c r="F429" s="829"/>
      <c r="G429" s="829"/>
      <c r="H429" s="829"/>
      <c r="I429" s="829"/>
      <c r="J429" s="829"/>
      <c r="K429" s="829"/>
      <c r="L429" s="829"/>
      <c r="M429" s="829"/>
      <c r="N429" s="829"/>
      <c r="O429" s="829"/>
      <c r="P429" s="829"/>
      <c r="Q429" s="829"/>
      <c r="R429" s="829"/>
      <c r="S429" s="829"/>
    </row>
    <row r="430" spans="1:19" s="585" customFormat="1" ht="12" hidden="1" thickBot="1">
      <c r="A430" s="522" t="s">
        <v>195</v>
      </c>
      <c r="B430" s="588" t="s">
        <v>1466</v>
      </c>
      <c r="C430" s="522" t="s">
        <v>440</v>
      </c>
      <c r="D430" s="829"/>
      <c r="E430" s="829"/>
      <c r="F430" s="829"/>
      <c r="G430" s="829"/>
      <c r="H430" s="829"/>
      <c r="I430" s="829"/>
      <c r="J430" s="829"/>
      <c r="K430" s="829"/>
      <c r="L430" s="829"/>
      <c r="M430" s="829"/>
      <c r="N430" s="829"/>
      <c r="O430" s="829"/>
      <c r="P430" s="829"/>
      <c r="Q430" s="829"/>
      <c r="R430" s="829"/>
      <c r="S430" s="829"/>
    </row>
    <row r="431" spans="1:19" s="585" customFormat="1" ht="12" hidden="1" thickBot="1">
      <c r="A431" s="522" t="s">
        <v>195</v>
      </c>
      <c r="B431" s="588" t="s">
        <v>1466</v>
      </c>
      <c r="C431" s="522" t="s">
        <v>441</v>
      </c>
      <c r="D431" s="829"/>
      <c r="E431" s="829"/>
      <c r="F431" s="829"/>
      <c r="G431" s="829"/>
      <c r="H431" s="829"/>
      <c r="I431" s="829"/>
      <c r="J431" s="829"/>
      <c r="K431" s="829"/>
      <c r="L431" s="829"/>
      <c r="M431" s="829"/>
      <c r="N431" s="829"/>
      <c r="O431" s="829"/>
      <c r="P431" s="829"/>
      <c r="Q431" s="829"/>
      <c r="R431" s="829"/>
      <c r="S431" s="829"/>
    </row>
    <row r="432" spans="1:19" s="585" customFormat="1" ht="12" hidden="1" thickBot="1">
      <c r="A432" s="522" t="s">
        <v>195</v>
      </c>
      <c r="B432" s="588" t="s">
        <v>1466</v>
      </c>
      <c r="C432" s="522" t="s">
        <v>185</v>
      </c>
      <c r="D432" s="829"/>
      <c r="E432" s="829"/>
      <c r="F432" s="829"/>
      <c r="G432" s="829"/>
      <c r="H432" s="829"/>
      <c r="I432" s="829"/>
      <c r="J432" s="829"/>
      <c r="K432" s="829"/>
      <c r="L432" s="829"/>
      <c r="M432" s="829"/>
      <c r="N432" s="829"/>
      <c r="O432" s="829"/>
      <c r="P432" s="829"/>
      <c r="Q432" s="829"/>
      <c r="R432" s="829"/>
      <c r="S432" s="829"/>
    </row>
    <row r="433" spans="1:19" s="585" customFormat="1" ht="12" hidden="1" thickBot="1">
      <c r="A433" s="522" t="s">
        <v>195</v>
      </c>
      <c r="B433" s="588" t="s">
        <v>1466</v>
      </c>
      <c r="C433" s="522" t="s">
        <v>189</v>
      </c>
      <c r="D433" s="829">
        <v>1</v>
      </c>
      <c r="E433" s="829"/>
      <c r="F433" s="829"/>
      <c r="G433" s="829"/>
      <c r="H433" s="829">
        <v>44497248</v>
      </c>
      <c r="I433" s="831">
        <v>185157.6</v>
      </c>
      <c r="J433" s="831">
        <v>185157.6</v>
      </c>
      <c r="K433" s="831">
        <v>101387.6</v>
      </c>
      <c r="L433" s="829"/>
      <c r="M433" s="829"/>
      <c r="N433" s="829"/>
      <c r="O433" s="831">
        <v>185157.6</v>
      </c>
      <c r="P433" s="831">
        <v>185157.6</v>
      </c>
      <c r="Q433" s="831">
        <v>101387.6</v>
      </c>
      <c r="R433" s="829"/>
      <c r="S433" s="829"/>
    </row>
    <row r="434" spans="1:19" s="585" customFormat="1" ht="12" hidden="1" thickBot="1">
      <c r="A434" s="522" t="s">
        <v>195</v>
      </c>
      <c r="B434" s="588" t="s">
        <v>1466</v>
      </c>
      <c r="C434" s="522" t="s">
        <v>233</v>
      </c>
      <c r="D434" s="829">
        <v>2</v>
      </c>
      <c r="E434" s="829"/>
      <c r="F434" s="829"/>
      <c r="G434" s="829"/>
      <c r="H434" s="829">
        <v>15644</v>
      </c>
      <c r="I434" s="829"/>
      <c r="J434" s="829"/>
      <c r="K434" s="829"/>
      <c r="L434" s="829"/>
      <c r="M434" s="829"/>
      <c r="N434" s="829"/>
      <c r="O434" s="829"/>
      <c r="P434" s="829"/>
      <c r="Q434" s="829"/>
      <c r="R434" s="829"/>
      <c r="S434" s="829"/>
    </row>
    <row r="435" spans="1:19" s="585" customFormat="1" ht="12" hidden="1" thickBot="1">
      <c r="A435" s="522" t="s">
        <v>195</v>
      </c>
      <c r="B435" s="588" t="s">
        <v>1466</v>
      </c>
      <c r="C435" s="522" t="s">
        <v>232</v>
      </c>
      <c r="D435" s="829"/>
      <c r="E435" s="829"/>
      <c r="F435" s="829"/>
      <c r="G435" s="829"/>
      <c r="H435" s="829"/>
      <c r="I435" s="829"/>
      <c r="J435" s="829"/>
      <c r="K435" s="829"/>
      <c r="L435" s="829"/>
      <c r="M435" s="829"/>
      <c r="N435" s="829"/>
      <c r="O435" s="829"/>
      <c r="P435" s="829"/>
      <c r="Q435" s="829"/>
      <c r="R435" s="829"/>
      <c r="S435" s="829"/>
    </row>
    <row r="436" spans="1:19" s="585" customFormat="1" ht="12" thickBot="1">
      <c r="A436" s="522" t="s">
        <v>195</v>
      </c>
      <c r="B436" s="588" t="s">
        <v>1466</v>
      </c>
      <c r="C436" s="522" t="s">
        <v>184</v>
      </c>
      <c r="D436" s="829">
        <v>747</v>
      </c>
      <c r="E436" s="829"/>
      <c r="F436" s="829"/>
      <c r="G436" s="829"/>
      <c r="H436" s="829">
        <v>98259</v>
      </c>
      <c r="I436" s="829"/>
      <c r="J436" s="829"/>
      <c r="K436" s="829"/>
      <c r="L436" s="829"/>
      <c r="M436" s="829"/>
      <c r="N436" s="829"/>
      <c r="O436" s="829"/>
      <c r="P436" s="829"/>
      <c r="Q436" s="829"/>
      <c r="R436" s="829"/>
      <c r="S436" s="829"/>
    </row>
    <row r="437" spans="1:19" ht="12" hidden="1" thickBot="1">
      <c r="A437" s="843" t="s">
        <v>195</v>
      </c>
      <c r="B437" s="588" t="s">
        <v>1466</v>
      </c>
      <c r="C437" s="843" t="s">
        <v>187</v>
      </c>
      <c r="D437" s="829"/>
      <c r="E437" s="829"/>
      <c r="F437" s="829"/>
      <c r="G437" s="829"/>
      <c r="H437" s="829"/>
      <c r="I437" s="829"/>
      <c r="J437" s="829"/>
      <c r="K437" s="829"/>
      <c r="L437" s="829"/>
      <c r="M437" s="829"/>
      <c r="N437" s="829"/>
      <c r="O437" s="829"/>
      <c r="P437" s="829"/>
      <c r="Q437" s="829"/>
      <c r="R437" s="829"/>
      <c r="S437" s="829"/>
    </row>
    <row r="438" spans="1:19" ht="12" hidden="1" thickBot="1">
      <c r="A438" s="843" t="s">
        <v>195</v>
      </c>
      <c r="B438" s="588" t="s">
        <v>1466</v>
      </c>
      <c r="C438" s="843" t="s">
        <v>188</v>
      </c>
      <c r="D438" s="829"/>
      <c r="E438" s="829"/>
      <c r="F438" s="829"/>
      <c r="G438" s="829"/>
      <c r="H438" s="829"/>
      <c r="I438" s="829"/>
      <c r="J438" s="829"/>
      <c r="K438" s="829"/>
      <c r="L438" s="829"/>
      <c r="M438" s="829"/>
      <c r="N438" s="829"/>
      <c r="O438" s="829"/>
      <c r="P438" s="829"/>
      <c r="Q438" s="829"/>
      <c r="R438" s="829"/>
      <c r="S438" s="829"/>
    </row>
    <row r="439" spans="1:19" ht="12" hidden="1" thickBot="1">
      <c r="A439" s="843" t="s">
        <v>195</v>
      </c>
      <c r="B439" s="588" t="s">
        <v>1466</v>
      </c>
      <c r="C439" s="843" t="s">
        <v>1045</v>
      </c>
      <c r="D439" s="829"/>
      <c r="E439" s="829"/>
      <c r="F439" s="829"/>
      <c r="G439" s="829"/>
      <c r="H439" s="829"/>
      <c r="I439" s="829"/>
      <c r="J439" s="829"/>
      <c r="K439" s="829"/>
      <c r="L439" s="829"/>
      <c r="M439" s="829"/>
      <c r="N439" s="829"/>
      <c r="O439" s="829"/>
      <c r="P439" s="829"/>
      <c r="Q439" s="829"/>
      <c r="R439" s="829"/>
      <c r="S439" s="829"/>
    </row>
    <row r="440" spans="1:19" s="585" customFormat="1" ht="12" hidden="1" thickBot="1">
      <c r="A440" s="522" t="s">
        <v>195</v>
      </c>
      <c r="B440" s="588" t="s">
        <v>1466</v>
      </c>
      <c r="C440" s="522" t="s">
        <v>186</v>
      </c>
      <c r="D440" s="829"/>
      <c r="E440" s="829"/>
      <c r="F440" s="829"/>
      <c r="G440" s="829"/>
      <c r="H440" s="829"/>
      <c r="I440" s="829"/>
      <c r="J440" s="829"/>
      <c r="K440" s="829"/>
      <c r="L440" s="829"/>
      <c r="M440" s="829"/>
      <c r="N440" s="829"/>
      <c r="O440" s="829"/>
      <c r="P440" s="829"/>
      <c r="Q440" s="829"/>
      <c r="R440" s="829"/>
      <c r="S440" s="829"/>
    </row>
    <row r="441" spans="1:19" s="585" customFormat="1" ht="12" hidden="1" thickBot="1">
      <c r="A441" s="522" t="s">
        <v>195</v>
      </c>
      <c r="B441" s="588" t="s">
        <v>1466</v>
      </c>
      <c r="C441" s="522" t="s">
        <v>176</v>
      </c>
      <c r="D441" s="829"/>
      <c r="E441" s="829"/>
      <c r="F441" s="829"/>
      <c r="G441" s="829"/>
      <c r="H441" s="829"/>
      <c r="I441" s="829"/>
      <c r="J441" s="829"/>
      <c r="K441" s="829"/>
      <c r="L441" s="829"/>
      <c r="M441" s="829"/>
      <c r="N441" s="829"/>
      <c r="O441" s="829"/>
      <c r="P441" s="829"/>
      <c r="Q441" s="829"/>
      <c r="R441" s="829"/>
      <c r="S441" s="829"/>
    </row>
    <row r="442" spans="1:19" s="585" customFormat="1" ht="12" hidden="1" thickBot="1">
      <c r="A442" s="522" t="s">
        <v>195</v>
      </c>
      <c r="B442" s="588" t="s">
        <v>1466</v>
      </c>
      <c r="C442" s="522" t="s">
        <v>182</v>
      </c>
      <c r="D442" s="829"/>
      <c r="E442" s="829"/>
      <c r="F442" s="829"/>
      <c r="G442" s="829"/>
      <c r="H442" s="829"/>
      <c r="I442" s="829"/>
      <c r="J442" s="829"/>
      <c r="K442" s="829"/>
      <c r="L442" s="829"/>
      <c r="M442" s="829"/>
      <c r="N442" s="829"/>
      <c r="O442" s="829"/>
      <c r="P442" s="829"/>
      <c r="Q442" s="829"/>
      <c r="R442" s="829"/>
      <c r="S442" s="829"/>
    </row>
    <row r="443" spans="1:19" s="585" customFormat="1" ht="12" hidden="1" thickBot="1">
      <c r="A443" s="522" t="s">
        <v>195</v>
      </c>
      <c r="B443" s="588" t="s">
        <v>1466</v>
      </c>
      <c r="C443" s="522" t="s">
        <v>477</v>
      </c>
      <c r="D443" s="829"/>
      <c r="E443" s="829"/>
      <c r="F443" s="829"/>
      <c r="G443" s="829"/>
      <c r="H443" s="829"/>
      <c r="I443" s="829"/>
      <c r="J443" s="829"/>
      <c r="K443" s="829"/>
      <c r="L443" s="829"/>
      <c r="M443" s="829"/>
      <c r="N443" s="829"/>
      <c r="O443" s="829"/>
      <c r="P443" s="829"/>
      <c r="Q443" s="829"/>
      <c r="R443" s="829"/>
      <c r="S443" s="829"/>
    </row>
    <row r="444" spans="1:19" s="585" customFormat="1" ht="12" hidden="1" thickBot="1">
      <c r="A444" s="522" t="s">
        <v>195</v>
      </c>
      <c r="B444" s="588" t="s">
        <v>1466</v>
      </c>
      <c r="C444" s="522" t="s">
        <v>181</v>
      </c>
      <c r="D444" s="829"/>
      <c r="E444" s="829"/>
      <c r="F444" s="829"/>
      <c r="G444" s="829"/>
      <c r="H444" s="829"/>
      <c r="I444" s="829"/>
      <c r="J444" s="829"/>
      <c r="K444" s="829"/>
      <c r="L444" s="829"/>
      <c r="M444" s="829"/>
      <c r="N444" s="829"/>
      <c r="O444" s="829"/>
      <c r="P444" s="829"/>
      <c r="Q444" s="829"/>
      <c r="R444" s="829"/>
      <c r="S444" s="829"/>
    </row>
    <row r="445" spans="1:19" s="585" customFormat="1" ht="12" hidden="1" thickBot="1">
      <c r="A445" s="522" t="s">
        <v>195</v>
      </c>
      <c r="B445" s="588" t="s">
        <v>1466</v>
      </c>
      <c r="C445" s="522" t="s">
        <v>183</v>
      </c>
      <c r="D445" s="829">
        <v>258</v>
      </c>
      <c r="E445" s="829"/>
      <c r="F445" s="829"/>
      <c r="G445" s="829"/>
      <c r="H445" s="829">
        <v>11575861</v>
      </c>
      <c r="I445" s="829"/>
      <c r="J445" s="829"/>
      <c r="K445" s="829"/>
      <c r="L445" s="864">
        <v>54055.32</v>
      </c>
      <c r="M445" s="829"/>
      <c r="N445" s="829"/>
      <c r="O445" s="864">
        <v>54055.32</v>
      </c>
      <c r="P445" s="864"/>
      <c r="Q445" s="829"/>
      <c r="R445" s="864">
        <v>54055.32</v>
      </c>
      <c r="S445" s="829"/>
    </row>
    <row r="446" spans="1:19" s="585" customFormat="1" ht="12" hidden="1" thickBot="1">
      <c r="A446" s="522" t="s">
        <v>195</v>
      </c>
      <c r="B446" s="588" t="s">
        <v>1466</v>
      </c>
      <c r="C446" s="522" t="s">
        <v>652</v>
      </c>
      <c r="D446" s="829"/>
      <c r="E446" s="829"/>
      <c r="F446" s="829"/>
      <c r="G446" s="829"/>
      <c r="H446" s="829"/>
      <c r="I446" s="829"/>
      <c r="J446" s="829"/>
      <c r="K446" s="829"/>
      <c r="L446" s="829"/>
      <c r="M446" s="829"/>
      <c r="N446" s="829"/>
      <c r="O446" s="829"/>
      <c r="P446" s="829"/>
      <c r="Q446" s="829"/>
      <c r="R446" s="829"/>
      <c r="S446" s="829"/>
    </row>
    <row r="447" spans="1:19" s="585" customFormat="1" ht="12" hidden="1" thickBot="1">
      <c r="A447" s="522" t="s">
        <v>195</v>
      </c>
      <c r="B447" s="588" t="s">
        <v>1466</v>
      </c>
      <c r="C447" s="522" t="s">
        <v>720</v>
      </c>
      <c r="D447" s="829"/>
      <c r="E447" s="829"/>
      <c r="F447" s="829"/>
      <c r="G447" s="829"/>
      <c r="H447" s="829"/>
      <c r="I447" s="829"/>
      <c r="J447" s="829"/>
      <c r="K447" s="829"/>
      <c r="L447" s="829"/>
      <c r="M447" s="829"/>
      <c r="N447" s="829"/>
      <c r="O447" s="829"/>
      <c r="P447" s="829"/>
      <c r="Q447" s="829"/>
      <c r="R447" s="829"/>
      <c r="S447" s="829"/>
    </row>
    <row r="448" spans="1:19" s="585" customFormat="1" ht="12" hidden="1" thickBot="1">
      <c r="A448" s="522" t="s">
        <v>195</v>
      </c>
      <c r="B448" s="588" t="s">
        <v>1466</v>
      </c>
      <c r="C448" s="522" t="s">
        <v>721</v>
      </c>
      <c r="D448" s="829"/>
      <c r="E448" s="829"/>
      <c r="F448" s="829"/>
      <c r="G448" s="829"/>
      <c r="H448" s="829"/>
      <c r="I448" s="829"/>
      <c r="J448" s="829"/>
      <c r="K448" s="829"/>
      <c r="L448" s="829"/>
      <c r="M448" s="829"/>
      <c r="N448" s="829"/>
      <c r="O448" s="829"/>
      <c r="P448" s="829"/>
      <c r="Q448" s="829"/>
      <c r="R448" s="829"/>
      <c r="S448" s="829"/>
    </row>
    <row r="449" spans="1:19" s="585" customFormat="1" ht="12" hidden="1" thickBot="1">
      <c r="A449" s="522" t="s">
        <v>195</v>
      </c>
      <c r="B449" s="588" t="s">
        <v>1466</v>
      </c>
      <c r="C449" s="522" t="s">
        <v>722</v>
      </c>
      <c r="D449" s="829"/>
      <c r="E449" s="829"/>
      <c r="F449" s="829"/>
      <c r="G449" s="829"/>
      <c r="H449" s="829"/>
      <c r="I449" s="829"/>
      <c r="J449" s="829"/>
      <c r="K449" s="829"/>
      <c r="L449" s="829"/>
      <c r="M449" s="829"/>
      <c r="N449" s="829"/>
      <c r="O449" s="829"/>
      <c r="P449" s="829"/>
      <c r="Q449" s="829"/>
      <c r="R449" s="829"/>
      <c r="S449" s="829"/>
    </row>
    <row r="450" spans="1:19" s="585" customFormat="1" ht="12" hidden="1" thickBot="1">
      <c r="A450" s="522" t="s">
        <v>195</v>
      </c>
      <c r="B450" s="588" t="s">
        <v>1466</v>
      </c>
      <c r="C450" s="582" t="s">
        <v>9</v>
      </c>
      <c r="D450" s="539"/>
      <c r="E450" s="540"/>
      <c r="F450" s="540"/>
      <c r="G450" s="540"/>
      <c r="H450" s="539"/>
      <c r="I450" s="581"/>
      <c r="J450" s="581"/>
      <c r="K450" s="581"/>
      <c r="L450" s="540"/>
      <c r="M450" s="540"/>
      <c r="N450" s="581"/>
      <c r="O450" s="581"/>
      <c r="P450" s="581"/>
      <c r="Q450" s="581"/>
      <c r="R450" s="540"/>
      <c r="S450" s="540"/>
    </row>
    <row r="451" spans="1:19" s="585" customFormat="1" ht="12" hidden="1" thickBot="1">
      <c r="A451" s="522" t="s">
        <v>195</v>
      </c>
      <c r="B451" s="588" t="s">
        <v>1467</v>
      </c>
      <c r="C451" s="522" t="s">
        <v>168</v>
      </c>
      <c r="D451" s="829">
        <v>32</v>
      </c>
      <c r="E451" s="829"/>
      <c r="F451" s="829"/>
      <c r="G451" s="829"/>
      <c r="H451" s="829">
        <v>134177811</v>
      </c>
      <c r="I451" s="864">
        <v>298216.46000000002</v>
      </c>
      <c r="J451" s="864">
        <v>291926.5</v>
      </c>
      <c r="K451" s="864">
        <v>285866.23999999999</v>
      </c>
      <c r="L451" s="829"/>
      <c r="M451" s="829"/>
      <c r="N451" s="829"/>
      <c r="O451" s="864">
        <v>298216.46000000002</v>
      </c>
      <c r="P451" s="864">
        <v>291926.5</v>
      </c>
      <c r="Q451" s="864">
        <v>285866.23999999999</v>
      </c>
      <c r="R451" s="829"/>
      <c r="S451" s="829"/>
    </row>
    <row r="452" spans="1:19" s="585" customFormat="1" ht="12" hidden="1" thickBot="1">
      <c r="A452" s="522" t="s">
        <v>195</v>
      </c>
      <c r="B452" s="588" t="s">
        <v>1467</v>
      </c>
      <c r="C452" s="522" t="s">
        <v>169</v>
      </c>
      <c r="D452" s="829">
        <v>214</v>
      </c>
      <c r="E452" s="829"/>
      <c r="F452" s="829"/>
      <c r="G452" s="829"/>
      <c r="H452" s="829">
        <v>18871437</v>
      </c>
      <c r="I452" s="829"/>
      <c r="J452" s="864">
        <v>53415.89</v>
      </c>
      <c r="K452" s="864"/>
      <c r="L452" s="864">
        <v>53415.89</v>
      </c>
      <c r="M452" s="829"/>
      <c r="N452" s="829"/>
      <c r="O452" s="829"/>
      <c r="P452" s="864">
        <v>53415.89</v>
      </c>
      <c r="Q452" s="864"/>
      <c r="R452" s="864">
        <v>53415.89</v>
      </c>
      <c r="S452" s="829"/>
    </row>
    <row r="453" spans="1:19" s="585" customFormat="1" ht="12" hidden="1" thickBot="1">
      <c r="A453" s="522" t="s">
        <v>195</v>
      </c>
      <c r="B453" s="588" t="s">
        <v>1467</v>
      </c>
      <c r="C453" s="522" t="s">
        <v>170</v>
      </c>
      <c r="D453" s="829">
        <v>4800</v>
      </c>
      <c r="E453" s="829"/>
      <c r="F453" s="829"/>
      <c r="G453" s="829"/>
      <c r="H453" s="829">
        <v>178534636</v>
      </c>
      <c r="I453" s="829"/>
      <c r="J453" s="864">
        <v>577561.39</v>
      </c>
      <c r="K453" s="864"/>
      <c r="L453" s="864">
        <v>577561.39</v>
      </c>
      <c r="M453" s="829"/>
      <c r="N453" s="829"/>
      <c r="O453" s="829"/>
      <c r="P453" s="864">
        <v>577561.39</v>
      </c>
      <c r="Q453" s="864"/>
      <c r="R453" s="864">
        <v>577561.39</v>
      </c>
      <c r="S453" s="829"/>
    </row>
    <row r="454" spans="1:19" s="585" customFormat="1" ht="12" hidden="1" thickBot="1">
      <c r="A454" s="522" t="s">
        <v>195</v>
      </c>
      <c r="B454" s="588" t="s">
        <v>1467</v>
      </c>
      <c r="C454" s="522" t="s">
        <v>171</v>
      </c>
      <c r="D454" s="829">
        <v>52</v>
      </c>
      <c r="E454" s="829"/>
      <c r="F454" s="829"/>
      <c r="G454" s="829"/>
      <c r="H454" s="829">
        <v>240013581</v>
      </c>
      <c r="I454" s="864">
        <v>509319.59</v>
      </c>
      <c r="J454" s="864">
        <v>475228.56</v>
      </c>
      <c r="K454" s="864">
        <v>471671.44</v>
      </c>
      <c r="L454" s="829"/>
      <c r="M454" s="829"/>
      <c r="N454" s="829"/>
      <c r="O454" s="864">
        <v>509319.59</v>
      </c>
      <c r="P454" s="864">
        <v>475228.56</v>
      </c>
      <c r="Q454" s="864">
        <v>471671.44</v>
      </c>
      <c r="R454" s="829"/>
      <c r="S454" s="829"/>
    </row>
    <row r="455" spans="1:19" s="585" customFormat="1" ht="12" hidden="1" thickBot="1">
      <c r="A455" s="522" t="s">
        <v>195</v>
      </c>
      <c r="B455" s="588" t="s">
        <v>1467</v>
      </c>
      <c r="C455" s="522" t="s">
        <v>172</v>
      </c>
      <c r="D455" s="829"/>
      <c r="E455" s="829"/>
      <c r="F455" s="829"/>
      <c r="G455" s="829"/>
      <c r="H455" s="829"/>
      <c r="I455" s="829"/>
      <c r="J455" s="829"/>
      <c r="K455" s="829"/>
      <c r="L455" s="829"/>
      <c r="M455" s="829"/>
      <c r="N455" s="829"/>
      <c r="O455" s="829"/>
      <c r="P455" s="829"/>
      <c r="Q455" s="829"/>
      <c r="R455" s="829"/>
      <c r="S455" s="829"/>
    </row>
    <row r="456" spans="1:19" s="585" customFormat="1" ht="12" hidden="1" thickBot="1">
      <c r="A456" s="522" t="s">
        <v>195</v>
      </c>
      <c r="B456" s="588" t="s">
        <v>1467</v>
      </c>
      <c r="C456" s="522" t="s">
        <v>173</v>
      </c>
      <c r="D456" s="829"/>
      <c r="E456" s="829"/>
      <c r="F456" s="829"/>
      <c r="G456" s="829"/>
      <c r="H456" s="829"/>
      <c r="I456" s="829"/>
      <c r="J456" s="829"/>
      <c r="K456" s="829"/>
      <c r="L456" s="829"/>
      <c r="M456" s="829"/>
      <c r="N456" s="829"/>
      <c r="O456" s="829"/>
      <c r="P456" s="829"/>
      <c r="Q456" s="829"/>
      <c r="R456" s="829"/>
      <c r="S456" s="829"/>
    </row>
    <row r="457" spans="1:19" s="585" customFormat="1" ht="12" hidden="1" thickBot="1">
      <c r="A457" s="522" t="s">
        <v>195</v>
      </c>
      <c r="B457" s="588" t="s">
        <v>1467</v>
      </c>
      <c r="C457" s="522" t="s">
        <v>174</v>
      </c>
      <c r="D457" s="829">
        <v>184</v>
      </c>
      <c r="E457" s="829"/>
      <c r="F457" s="829"/>
      <c r="G457" s="829"/>
      <c r="H457" s="829">
        <v>100462503</v>
      </c>
      <c r="I457" s="864">
        <v>250727.32</v>
      </c>
      <c r="J457" s="864">
        <v>241204.87</v>
      </c>
      <c r="K457" s="864">
        <v>237747.33</v>
      </c>
      <c r="L457" s="829"/>
      <c r="M457" s="829"/>
      <c r="N457" s="829"/>
      <c r="O457" s="864">
        <v>250727.32</v>
      </c>
      <c r="P457" s="864">
        <v>241204.87</v>
      </c>
      <c r="Q457" s="864">
        <v>237747.33</v>
      </c>
      <c r="R457" s="829"/>
      <c r="S457" s="829"/>
    </row>
    <row r="458" spans="1:19" s="585" customFormat="1" ht="12" hidden="1" thickBot="1">
      <c r="A458" s="522" t="s">
        <v>195</v>
      </c>
      <c r="B458" s="588" t="s">
        <v>1467</v>
      </c>
      <c r="C458" s="522" t="s">
        <v>175</v>
      </c>
      <c r="D458" s="829">
        <v>454</v>
      </c>
      <c r="E458" s="829"/>
      <c r="F458" s="829"/>
      <c r="G458" s="829"/>
      <c r="H458" s="829">
        <v>117631384</v>
      </c>
      <c r="I458" s="864">
        <v>288657.27</v>
      </c>
      <c r="J458" s="864">
        <v>262909.32</v>
      </c>
      <c r="K458" s="864">
        <v>257020.16</v>
      </c>
      <c r="L458" s="829"/>
      <c r="M458" s="829"/>
      <c r="N458" s="829"/>
      <c r="O458" s="864">
        <v>288657.27</v>
      </c>
      <c r="P458" s="864">
        <v>262909.32</v>
      </c>
      <c r="Q458" s="864">
        <v>257020.16</v>
      </c>
      <c r="R458" s="829"/>
      <c r="S458" s="829"/>
    </row>
    <row r="459" spans="1:19" s="585" customFormat="1" ht="12" hidden="1" thickBot="1">
      <c r="A459" s="522" t="s">
        <v>195</v>
      </c>
      <c r="B459" s="588" t="s">
        <v>1467</v>
      </c>
      <c r="C459" s="522" t="s">
        <v>177</v>
      </c>
      <c r="D459" s="829">
        <v>63436</v>
      </c>
      <c r="E459" s="829"/>
      <c r="F459" s="829"/>
      <c r="G459" s="829"/>
      <c r="H459" s="829">
        <v>65046378</v>
      </c>
      <c r="I459" s="829"/>
      <c r="J459" s="829"/>
      <c r="K459" s="829"/>
      <c r="L459" s="829"/>
      <c r="M459" s="829"/>
      <c r="N459" s="829"/>
      <c r="O459" s="829"/>
      <c r="P459" s="829"/>
      <c r="Q459" s="829"/>
      <c r="R459" s="829"/>
      <c r="S459" s="829"/>
    </row>
    <row r="460" spans="1:19" s="585" customFormat="1" ht="12" hidden="1" thickBot="1">
      <c r="A460" s="522" t="s">
        <v>195</v>
      </c>
      <c r="B460" s="588" t="s">
        <v>1467</v>
      </c>
      <c r="C460" s="522" t="s">
        <v>178</v>
      </c>
      <c r="D460" s="829"/>
      <c r="E460" s="829"/>
      <c r="F460" s="829"/>
      <c r="G460" s="829"/>
      <c r="H460" s="829"/>
      <c r="I460" s="829"/>
      <c r="J460" s="829"/>
      <c r="K460" s="829"/>
      <c r="L460" s="829"/>
      <c r="M460" s="829"/>
      <c r="N460" s="829"/>
      <c r="O460" s="829"/>
      <c r="P460" s="829"/>
      <c r="Q460" s="829"/>
      <c r="R460" s="829"/>
      <c r="S460" s="829"/>
    </row>
    <row r="461" spans="1:19" s="585" customFormat="1" ht="12" hidden="1" thickBot="1">
      <c r="A461" s="522" t="s">
        <v>195</v>
      </c>
      <c r="B461" s="588" t="s">
        <v>1467</v>
      </c>
      <c r="C461" s="522" t="s">
        <v>179</v>
      </c>
      <c r="D461" s="829">
        <v>18544</v>
      </c>
      <c r="E461" s="829"/>
      <c r="F461" s="829"/>
      <c r="G461" s="829"/>
      <c r="H461" s="829">
        <v>95315025</v>
      </c>
      <c r="I461" s="829"/>
      <c r="J461" s="829"/>
      <c r="K461" s="829"/>
      <c r="L461" s="864">
        <v>380870.99</v>
      </c>
      <c r="M461" s="829"/>
      <c r="N461" s="829"/>
      <c r="O461" s="864">
        <v>380870.99</v>
      </c>
      <c r="P461" s="864"/>
      <c r="Q461" s="829"/>
      <c r="R461" s="864">
        <v>380870.99</v>
      </c>
      <c r="S461" s="829"/>
    </row>
    <row r="462" spans="1:19" s="585" customFormat="1" ht="12" hidden="1" thickBot="1">
      <c r="A462" s="522" t="s">
        <v>195</v>
      </c>
      <c r="B462" s="588" t="s">
        <v>1467</v>
      </c>
      <c r="C462" s="522" t="s">
        <v>180</v>
      </c>
      <c r="D462" s="829">
        <v>371</v>
      </c>
      <c r="E462" s="829"/>
      <c r="F462" s="829"/>
      <c r="G462" s="829"/>
      <c r="H462" s="829">
        <v>706313</v>
      </c>
      <c r="I462" s="829"/>
      <c r="J462" s="829"/>
      <c r="K462" s="829"/>
      <c r="L462" s="829"/>
      <c r="M462" s="829"/>
      <c r="N462" s="829"/>
      <c r="O462" s="829"/>
      <c r="P462" s="829"/>
      <c r="Q462" s="829"/>
      <c r="R462" s="829"/>
      <c r="S462" s="829"/>
    </row>
    <row r="463" spans="1:19" s="585" customFormat="1" ht="12" hidden="1" thickBot="1">
      <c r="A463" s="522" t="s">
        <v>195</v>
      </c>
      <c r="B463" s="588" t="s">
        <v>1467</v>
      </c>
      <c r="C463" s="522" t="s">
        <v>190</v>
      </c>
      <c r="D463" s="829">
        <v>427974</v>
      </c>
      <c r="E463" s="829"/>
      <c r="F463" s="829"/>
      <c r="G463" s="829"/>
      <c r="H463" s="829">
        <v>595382951</v>
      </c>
      <c r="I463" s="829"/>
      <c r="J463" s="829"/>
      <c r="K463" s="829"/>
      <c r="L463" s="829"/>
      <c r="M463" s="829"/>
      <c r="N463" s="829"/>
      <c r="O463" s="829"/>
      <c r="P463" s="829"/>
      <c r="Q463" s="829"/>
      <c r="R463" s="829"/>
      <c r="S463" s="829"/>
    </row>
    <row r="464" spans="1:19" s="585" customFormat="1" ht="12" hidden="1" thickBot="1">
      <c r="A464" s="522" t="s">
        <v>195</v>
      </c>
      <c r="B464" s="588" t="s">
        <v>1467</v>
      </c>
      <c r="C464" s="522" t="s">
        <v>191</v>
      </c>
      <c r="D464" s="829"/>
      <c r="E464" s="829"/>
      <c r="F464" s="829"/>
      <c r="G464" s="829"/>
      <c r="H464" s="829"/>
      <c r="I464" s="829"/>
      <c r="J464" s="829"/>
      <c r="K464" s="829"/>
      <c r="L464" s="829"/>
      <c r="M464" s="829"/>
      <c r="N464" s="829"/>
      <c r="O464" s="829"/>
      <c r="P464" s="829"/>
      <c r="Q464" s="829"/>
      <c r="R464" s="829"/>
      <c r="S464" s="829"/>
    </row>
    <row r="465" spans="1:19" s="585" customFormat="1" ht="12" hidden="1" thickBot="1">
      <c r="A465" s="522" t="s">
        <v>195</v>
      </c>
      <c r="B465" s="588" t="s">
        <v>1467</v>
      </c>
      <c r="C465" s="522" t="s">
        <v>192</v>
      </c>
      <c r="D465" s="829"/>
      <c r="E465" s="829"/>
      <c r="F465" s="829"/>
      <c r="G465" s="829"/>
      <c r="H465" s="829"/>
      <c r="I465" s="829"/>
      <c r="J465" s="829"/>
      <c r="K465" s="829"/>
      <c r="L465" s="829"/>
      <c r="M465" s="829"/>
      <c r="N465" s="829"/>
      <c r="O465" s="829"/>
      <c r="P465" s="829"/>
      <c r="Q465" s="829"/>
      <c r="R465" s="829"/>
      <c r="S465" s="829"/>
    </row>
    <row r="466" spans="1:19" s="585" customFormat="1" ht="12" hidden="1" thickBot="1">
      <c r="A466" s="522" t="s">
        <v>195</v>
      </c>
      <c r="B466" s="588" t="s">
        <v>1467</v>
      </c>
      <c r="C466" s="522" t="s">
        <v>193</v>
      </c>
      <c r="D466" s="829"/>
      <c r="E466" s="829"/>
      <c r="F466" s="829"/>
      <c r="G466" s="829"/>
      <c r="H466" s="829"/>
      <c r="I466" s="829"/>
      <c r="J466" s="829"/>
      <c r="K466" s="829"/>
      <c r="L466" s="829"/>
      <c r="M466" s="829"/>
      <c r="N466" s="829"/>
      <c r="O466" s="829"/>
      <c r="P466" s="829"/>
      <c r="Q466" s="829"/>
      <c r="R466" s="829"/>
      <c r="S466" s="829"/>
    </row>
    <row r="467" spans="1:19" s="585" customFormat="1" ht="12" hidden="1" thickBot="1">
      <c r="A467" s="522" t="s">
        <v>195</v>
      </c>
      <c r="B467" s="588" t="s">
        <v>1467</v>
      </c>
      <c r="C467" s="522" t="s">
        <v>194</v>
      </c>
      <c r="D467" s="829"/>
      <c r="E467" s="829"/>
      <c r="F467" s="829"/>
      <c r="G467" s="829"/>
      <c r="H467" s="829"/>
      <c r="I467" s="829"/>
      <c r="J467" s="829"/>
      <c r="K467" s="829"/>
      <c r="L467" s="829"/>
      <c r="M467" s="829"/>
      <c r="N467" s="829"/>
      <c r="O467" s="829"/>
      <c r="P467" s="829"/>
      <c r="Q467" s="829"/>
      <c r="R467" s="829"/>
      <c r="S467" s="829"/>
    </row>
    <row r="468" spans="1:19" s="585" customFormat="1" ht="12" hidden="1" thickBot="1">
      <c r="A468" s="522" t="s">
        <v>195</v>
      </c>
      <c r="B468" s="588" t="s">
        <v>1467</v>
      </c>
      <c r="C468" s="522" t="s">
        <v>1355</v>
      </c>
      <c r="D468" s="829"/>
      <c r="E468" s="829"/>
      <c r="F468" s="829"/>
      <c r="G468" s="829"/>
      <c r="H468" s="829"/>
      <c r="I468" s="829"/>
      <c r="J468" s="829"/>
      <c r="K468" s="829"/>
      <c r="L468" s="829"/>
      <c r="M468" s="829"/>
      <c r="N468" s="829"/>
      <c r="O468" s="829"/>
      <c r="P468" s="829"/>
      <c r="Q468" s="829"/>
      <c r="R468" s="829"/>
      <c r="S468" s="829"/>
    </row>
    <row r="469" spans="1:19" s="585" customFormat="1" ht="12" hidden="1" thickBot="1">
      <c r="A469" s="522" t="s">
        <v>195</v>
      </c>
      <c r="B469" s="588" t="s">
        <v>1467</v>
      </c>
      <c r="C469" s="522" t="s">
        <v>450</v>
      </c>
      <c r="D469" s="829"/>
      <c r="E469" s="829"/>
      <c r="F469" s="829"/>
      <c r="G469" s="829"/>
      <c r="H469" s="829"/>
      <c r="I469" s="829"/>
      <c r="J469" s="829"/>
      <c r="K469" s="829"/>
      <c r="L469" s="829"/>
      <c r="M469" s="829"/>
      <c r="N469" s="829"/>
      <c r="O469" s="829"/>
      <c r="P469" s="829"/>
      <c r="Q469" s="829"/>
      <c r="R469" s="829"/>
      <c r="S469" s="829"/>
    </row>
    <row r="470" spans="1:19" s="585" customFormat="1" ht="12" hidden="1" thickBot="1">
      <c r="A470" s="522" t="s">
        <v>195</v>
      </c>
      <c r="B470" s="588" t="s">
        <v>1467</v>
      </c>
      <c r="C470" s="522" t="s">
        <v>440</v>
      </c>
      <c r="D470" s="829"/>
      <c r="E470" s="829"/>
      <c r="F470" s="829"/>
      <c r="G470" s="829"/>
      <c r="H470" s="829"/>
      <c r="I470" s="829"/>
      <c r="J470" s="829"/>
      <c r="K470" s="829"/>
      <c r="L470" s="829"/>
      <c r="M470" s="829"/>
      <c r="N470" s="829"/>
      <c r="O470" s="829"/>
      <c r="P470" s="829"/>
      <c r="Q470" s="829"/>
      <c r="R470" s="829"/>
      <c r="S470" s="829"/>
    </row>
    <row r="471" spans="1:19" s="585" customFormat="1" ht="12" hidden="1" thickBot="1">
      <c r="A471" s="522" t="s">
        <v>195</v>
      </c>
      <c r="B471" s="588" t="s">
        <v>1467</v>
      </c>
      <c r="C471" s="522" t="s">
        <v>441</v>
      </c>
      <c r="D471" s="829"/>
      <c r="E471" s="829"/>
      <c r="F471" s="829"/>
      <c r="G471" s="829"/>
      <c r="H471" s="829"/>
      <c r="I471" s="829"/>
      <c r="J471" s="829"/>
      <c r="K471" s="829"/>
      <c r="L471" s="829"/>
      <c r="M471" s="829"/>
      <c r="N471" s="829"/>
      <c r="O471" s="829"/>
      <c r="P471" s="829"/>
      <c r="Q471" s="829"/>
      <c r="R471" s="829"/>
      <c r="S471" s="829"/>
    </row>
    <row r="472" spans="1:19" s="585" customFormat="1" ht="12" hidden="1" thickBot="1">
      <c r="A472" s="522" t="s">
        <v>195</v>
      </c>
      <c r="B472" s="588" t="s">
        <v>1467</v>
      </c>
      <c r="C472" s="522" t="s">
        <v>185</v>
      </c>
      <c r="D472" s="829"/>
      <c r="E472" s="829"/>
      <c r="F472" s="829"/>
      <c r="G472" s="829"/>
      <c r="H472" s="829"/>
      <c r="I472" s="829"/>
      <c r="J472" s="829"/>
      <c r="K472" s="829"/>
      <c r="L472" s="829"/>
      <c r="M472" s="829"/>
      <c r="N472" s="829"/>
      <c r="O472" s="829"/>
      <c r="P472" s="829"/>
      <c r="Q472" s="829"/>
      <c r="R472" s="829"/>
      <c r="S472" s="829"/>
    </row>
    <row r="473" spans="1:19" s="585" customFormat="1" ht="12" hidden="1" thickBot="1">
      <c r="A473" s="522" t="s">
        <v>195</v>
      </c>
      <c r="B473" s="588" t="s">
        <v>1467</v>
      </c>
      <c r="C473" s="522" t="s">
        <v>189</v>
      </c>
      <c r="D473" s="829">
        <v>1</v>
      </c>
      <c r="E473" s="829"/>
      <c r="F473" s="829"/>
      <c r="G473" s="829"/>
      <c r="H473" s="829">
        <v>48145895</v>
      </c>
      <c r="I473" s="831">
        <v>185157.6</v>
      </c>
      <c r="J473" s="831">
        <v>185157.6</v>
      </c>
      <c r="K473" s="831">
        <v>101387.6</v>
      </c>
      <c r="L473" s="829"/>
      <c r="M473" s="829"/>
      <c r="N473" s="829"/>
      <c r="O473" s="831">
        <v>185157.6</v>
      </c>
      <c r="P473" s="831">
        <v>185157.6</v>
      </c>
      <c r="Q473" s="831">
        <v>101387.6</v>
      </c>
      <c r="R473" s="829"/>
      <c r="S473" s="829"/>
    </row>
    <row r="474" spans="1:19" s="585" customFormat="1" ht="12" hidden="1" thickBot="1">
      <c r="A474" s="522" t="s">
        <v>195</v>
      </c>
      <c r="B474" s="588" t="s">
        <v>1467</v>
      </c>
      <c r="C474" s="522" t="s">
        <v>233</v>
      </c>
      <c r="D474" s="829">
        <v>2</v>
      </c>
      <c r="E474" s="829"/>
      <c r="F474" s="829"/>
      <c r="G474" s="829"/>
      <c r="H474" s="829">
        <v>19258</v>
      </c>
      <c r="I474" s="829"/>
      <c r="J474" s="829"/>
      <c r="K474" s="829"/>
      <c r="L474" s="829"/>
      <c r="M474" s="829"/>
      <c r="N474" s="829"/>
      <c r="O474" s="829"/>
      <c r="P474" s="829"/>
      <c r="Q474" s="829"/>
      <c r="R474" s="829"/>
      <c r="S474" s="829"/>
    </row>
    <row r="475" spans="1:19" s="585" customFormat="1" ht="12" hidden="1" thickBot="1">
      <c r="A475" s="522" t="s">
        <v>195</v>
      </c>
      <c r="B475" s="588" t="s">
        <v>1467</v>
      </c>
      <c r="C475" s="522" t="s">
        <v>232</v>
      </c>
      <c r="D475" s="829"/>
      <c r="E475" s="829"/>
      <c r="F475" s="829"/>
      <c r="G475" s="829"/>
      <c r="H475" s="829"/>
      <c r="I475" s="829"/>
      <c r="J475" s="829"/>
      <c r="K475" s="829"/>
      <c r="L475" s="829"/>
      <c r="M475" s="829"/>
      <c r="N475" s="829"/>
      <c r="O475" s="829"/>
      <c r="P475" s="829"/>
      <c r="Q475" s="829"/>
      <c r="R475" s="829"/>
      <c r="S475" s="829"/>
    </row>
    <row r="476" spans="1:19" s="585" customFormat="1" ht="12" thickBot="1">
      <c r="A476" s="522" t="s">
        <v>195</v>
      </c>
      <c r="B476" s="588" t="s">
        <v>1467</v>
      </c>
      <c r="C476" s="522" t="s">
        <v>184</v>
      </c>
      <c r="D476" s="829">
        <v>747</v>
      </c>
      <c r="E476" s="829"/>
      <c r="F476" s="829"/>
      <c r="G476" s="829"/>
      <c r="H476" s="829">
        <v>112853</v>
      </c>
      <c r="I476" s="829"/>
      <c r="J476" s="829"/>
      <c r="K476" s="829"/>
      <c r="L476" s="829"/>
      <c r="M476" s="829"/>
      <c r="N476" s="829"/>
      <c r="O476" s="829"/>
      <c r="P476" s="829"/>
      <c r="Q476" s="829"/>
      <c r="R476" s="829"/>
      <c r="S476" s="829"/>
    </row>
    <row r="477" spans="1:19" ht="12" hidden="1" thickBot="1">
      <c r="A477" s="843" t="s">
        <v>195</v>
      </c>
      <c r="B477" s="588" t="s">
        <v>1467</v>
      </c>
      <c r="C477" s="843" t="s">
        <v>187</v>
      </c>
      <c r="D477" s="829"/>
      <c r="E477" s="829"/>
      <c r="F477" s="829"/>
      <c r="G477" s="829"/>
      <c r="H477" s="829"/>
      <c r="I477" s="829"/>
      <c r="J477" s="829"/>
      <c r="K477" s="829"/>
      <c r="L477" s="829"/>
      <c r="M477" s="829"/>
      <c r="N477" s="829"/>
      <c r="O477" s="829"/>
      <c r="P477" s="829"/>
      <c r="Q477" s="829"/>
      <c r="R477" s="829"/>
      <c r="S477" s="829"/>
    </row>
    <row r="478" spans="1:19" ht="12" hidden="1" thickBot="1">
      <c r="A478" s="843" t="s">
        <v>195</v>
      </c>
      <c r="B478" s="588" t="s">
        <v>1467</v>
      </c>
      <c r="C478" s="843" t="s">
        <v>188</v>
      </c>
      <c r="D478" s="829"/>
      <c r="E478" s="829"/>
      <c r="F478" s="829"/>
      <c r="G478" s="829"/>
      <c r="H478" s="829"/>
      <c r="I478" s="829"/>
      <c r="J478" s="829"/>
      <c r="K478" s="829"/>
      <c r="L478" s="829"/>
      <c r="M478" s="829"/>
      <c r="N478" s="829"/>
      <c r="O478" s="829"/>
      <c r="P478" s="829"/>
      <c r="Q478" s="829"/>
      <c r="R478" s="829"/>
      <c r="S478" s="829"/>
    </row>
    <row r="479" spans="1:19" ht="12" hidden="1" thickBot="1">
      <c r="A479" s="843" t="s">
        <v>195</v>
      </c>
      <c r="B479" s="588" t="s">
        <v>1467</v>
      </c>
      <c r="C479" s="843" t="s">
        <v>1045</v>
      </c>
      <c r="D479" s="829"/>
      <c r="E479" s="829"/>
      <c r="F479" s="829"/>
      <c r="G479" s="829"/>
      <c r="H479" s="829"/>
      <c r="I479" s="829"/>
      <c r="J479" s="829"/>
      <c r="K479" s="829"/>
      <c r="L479" s="829"/>
      <c r="M479" s="829"/>
      <c r="N479" s="829"/>
      <c r="O479" s="829"/>
      <c r="P479" s="829"/>
      <c r="Q479" s="829"/>
      <c r="R479" s="829"/>
      <c r="S479" s="829"/>
    </row>
    <row r="480" spans="1:19" s="585" customFormat="1" ht="12" hidden="1" thickBot="1">
      <c r="A480" s="522" t="s">
        <v>195</v>
      </c>
      <c r="B480" s="588" t="s">
        <v>1467</v>
      </c>
      <c r="C480" s="522" t="s">
        <v>186</v>
      </c>
      <c r="D480" s="829"/>
      <c r="E480" s="829"/>
      <c r="F480" s="829"/>
      <c r="G480" s="829"/>
      <c r="H480" s="829"/>
      <c r="I480" s="829"/>
      <c r="J480" s="829"/>
      <c r="K480" s="829"/>
      <c r="L480" s="829"/>
      <c r="M480" s="829"/>
      <c r="N480" s="829"/>
      <c r="O480" s="829"/>
      <c r="P480" s="829"/>
      <c r="Q480" s="829"/>
      <c r="R480" s="829"/>
      <c r="S480" s="829"/>
    </row>
    <row r="481" spans="1:19" s="585" customFormat="1" ht="12" hidden="1" thickBot="1">
      <c r="A481" s="522" t="s">
        <v>195</v>
      </c>
      <c r="B481" s="588" t="s">
        <v>1467</v>
      </c>
      <c r="C481" s="522" t="s">
        <v>176</v>
      </c>
      <c r="D481" s="829"/>
      <c r="E481" s="829"/>
      <c r="F481" s="829"/>
      <c r="G481" s="829"/>
      <c r="H481" s="829"/>
      <c r="I481" s="829"/>
      <c r="J481" s="829"/>
      <c r="K481" s="829"/>
      <c r="L481" s="829"/>
      <c r="M481" s="829"/>
      <c r="N481" s="829"/>
      <c r="O481" s="829"/>
      <c r="P481" s="829"/>
      <c r="Q481" s="829"/>
      <c r="R481" s="829"/>
      <c r="S481" s="829"/>
    </row>
    <row r="482" spans="1:19" s="585" customFormat="1" ht="12" hidden="1" thickBot="1">
      <c r="A482" s="522" t="s">
        <v>195</v>
      </c>
      <c r="B482" s="588" t="s">
        <v>1467</v>
      </c>
      <c r="C482" s="522" t="s">
        <v>182</v>
      </c>
      <c r="D482" s="829"/>
      <c r="E482" s="829"/>
      <c r="F482" s="829"/>
      <c r="G482" s="829"/>
      <c r="H482" s="829"/>
      <c r="I482" s="829"/>
      <c r="J482" s="829"/>
      <c r="K482" s="829"/>
      <c r="L482" s="829"/>
      <c r="M482" s="829"/>
      <c r="N482" s="829"/>
      <c r="O482" s="829"/>
      <c r="P482" s="829"/>
      <c r="Q482" s="829"/>
      <c r="R482" s="829"/>
      <c r="S482" s="829"/>
    </row>
    <row r="483" spans="1:19" s="585" customFormat="1" ht="12" hidden="1" thickBot="1">
      <c r="A483" s="522" t="s">
        <v>195</v>
      </c>
      <c r="B483" s="588" t="s">
        <v>1467</v>
      </c>
      <c r="C483" s="522" t="s">
        <v>477</v>
      </c>
      <c r="D483" s="829"/>
      <c r="E483" s="829"/>
      <c r="F483" s="829"/>
      <c r="G483" s="829"/>
      <c r="H483" s="829"/>
      <c r="I483" s="829"/>
      <c r="J483" s="829"/>
      <c r="K483" s="829"/>
      <c r="L483" s="829"/>
      <c r="M483" s="829"/>
      <c r="N483" s="829"/>
      <c r="O483" s="829"/>
      <c r="P483" s="829"/>
      <c r="Q483" s="829"/>
      <c r="R483" s="829"/>
      <c r="S483" s="829"/>
    </row>
    <row r="484" spans="1:19" s="585" customFormat="1" ht="12" hidden="1" thickBot="1">
      <c r="A484" s="522" t="s">
        <v>195</v>
      </c>
      <c r="B484" s="588" t="s">
        <v>1467</v>
      </c>
      <c r="C484" s="522" t="s">
        <v>181</v>
      </c>
      <c r="D484" s="829"/>
      <c r="E484" s="829"/>
      <c r="F484" s="829"/>
      <c r="G484" s="829"/>
      <c r="H484" s="829"/>
      <c r="I484" s="829"/>
      <c r="J484" s="829"/>
      <c r="K484" s="829"/>
      <c r="L484" s="829"/>
      <c r="M484" s="829"/>
      <c r="N484" s="829"/>
      <c r="O484" s="829"/>
      <c r="P484" s="829"/>
      <c r="Q484" s="829"/>
      <c r="R484" s="829"/>
      <c r="S484" s="829"/>
    </row>
    <row r="485" spans="1:19" s="585" customFormat="1" ht="12" hidden="1" thickBot="1">
      <c r="A485" s="522" t="s">
        <v>195</v>
      </c>
      <c r="B485" s="588" t="s">
        <v>1467</v>
      </c>
      <c r="C485" s="522" t="s">
        <v>183</v>
      </c>
      <c r="D485" s="829">
        <v>257</v>
      </c>
      <c r="E485" s="829"/>
      <c r="F485" s="829"/>
      <c r="G485" s="829"/>
      <c r="H485" s="829">
        <v>13091164</v>
      </c>
      <c r="I485" s="829"/>
      <c r="J485" s="829"/>
      <c r="K485" s="829"/>
      <c r="L485" s="864">
        <v>51506.239999999998</v>
      </c>
      <c r="M485" s="829"/>
      <c r="N485" s="829"/>
      <c r="O485" s="864">
        <v>51506.239999999998</v>
      </c>
      <c r="P485" s="864"/>
      <c r="Q485" s="829"/>
      <c r="R485" s="864">
        <v>51506.239999999998</v>
      </c>
      <c r="S485" s="829"/>
    </row>
    <row r="486" spans="1:19" s="585" customFormat="1" ht="12" hidden="1" thickBot="1">
      <c r="A486" s="522" t="s">
        <v>195</v>
      </c>
      <c r="B486" s="588" t="s">
        <v>1467</v>
      </c>
      <c r="C486" s="522" t="s">
        <v>652</v>
      </c>
      <c r="D486" s="829"/>
      <c r="E486" s="829"/>
      <c r="F486" s="829"/>
      <c r="G486" s="829"/>
      <c r="H486" s="829"/>
      <c r="I486" s="829"/>
      <c r="J486" s="829"/>
      <c r="K486" s="829"/>
      <c r="L486" s="829"/>
      <c r="M486" s="829"/>
      <c r="N486" s="829"/>
      <c r="O486" s="829"/>
      <c r="P486" s="829"/>
      <c r="Q486" s="829"/>
      <c r="R486" s="829"/>
      <c r="S486" s="829"/>
    </row>
    <row r="487" spans="1:19" s="585" customFormat="1" ht="12" hidden="1" thickBot="1">
      <c r="A487" s="522" t="s">
        <v>195</v>
      </c>
      <c r="B487" s="588" t="s">
        <v>1467</v>
      </c>
      <c r="C487" s="522" t="s">
        <v>720</v>
      </c>
      <c r="D487" s="829"/>
      <c r="E487" s="829"/>
      <c r="F487" s="829"/>
      <c r="G487" s="829"/>
      <c r="H487" s="829"/>
      <c r="I487" s="829"/>
      <c r="J487" s="829"/>
      <c r="K487" s="829"/>
      <c r="L487" s="829"/>
      <c r="M487" s="829"/>
      <c r="N487" s="829"/>
      <c r="O487" s="829"/>
      <c r="P487" s="829"/>
      <c r="Q487" s="829"/>
      <c r="R487" s="829"/>
      <c r="S487" s="829"/>
    </row>
    <row r="488" spans="1:19" s="585" customFormat="1" ht="12" hidden="1" thickBot="1">
      <c r="A488" s="522" t="s">
        <v>195</v>
      </c>
      <c r="B488" s="588" t="s">
        <v>1467</v>
      </c>
      <c r="C488" s="522" t="s">
        <v>721</v>
      </c>
      <c r="D488" s="829"/>
      <c r="E488" s="829"/>
      <c r="F488" s="829"/>
      <c r="G488" s="829"/>
      <c r="H488" s="829"/>
      <c r="I488" s="829"/>
      <c r="J488" s="829"/>
      <c r="K488" s="829"/>
      <c r="L488" s="829"/>
      <c r="M488" s="829"/>
      <c r="N488" s="829"/>
      <c r="O488" s="829"/>
      <c r="P488" s="829"/>
      <c r="Q488" s="829"/>
      <c r="R488" s="829"/>
      <c r="S488" s="829"/>
    </row>
    <row r="489" spans="1:19" s="585" customFormat="1" ht="12" hidden="1" thickBot="1">
      <c r="A489" s="522" t="s">
        <v>195</v>
      </c>
      <c r="B489" s="588" t="s">
        <v>1467</v>
      </c>
      <c r="C489" s="522" t="s">
        <v>722</v>
      </c>
      <c r="D489" s="829"/>
      <c r="E489" s="829"/>
      <c r="F489" s="829"/>
      <c r="G489" s="829"/>
      <c r="H489" s="829"/>
      <c r="I489" s="829"/>
      <c r="J489" s="829"/>
      <c r="K489" s="829"/>
      <c r="L489" s="829"/>
      <c r="M489" s="829"/>
      <c r="N489" s="829"/>
      <c r="O489" s="829"/>
      <c r="P489" s="829"/>
      <c r="Q489" s="829"/>
      <c r="R489" s="829"/>
      <c r="S489" s="829"/>
    </row>
    <row r="490" spans="1:19" s="585" customFormat="1" ht="12" hidden="1" thickBot="1">
      <c r="A490" s="522" t="s">
        <v>195</v>
      </c>
      <c r="B490" s="588" t="s">
        <v>1467</v>
      </c>
      <c r="C490" s="582" t="s">
        <v>9</v>
      </c>
      <c r="D490" s="539"/>
      <c r="E490" s="540"/>
      <c r="F490" s="540"/>
      <c r="G490" s="540"/>
      <c r="H490" s="539"/>
      <c r="I490" s="581"/>
      <c r="J490" s="581"/>
      <c r="K490" s="581"/>
      <c r="L490" s="540"/>
      <c r="M490" s="540"/>
      <c r="N490" s="581"/>
      <c r="O490" s="581"/>
      <c r="P490" s="581"/>
      <c r="Q490" s="581"/>
      <c r="R490" s="540"/>
      <c r="S490" s="540"/>
    </row>
    <row r="491" spans="1:19" s="585" customFormat="1" ht="12" hidden="1" thickBot="1">
      <c r="A491" s="549"/>
      <c r="B491" s="550"/>
      <c r="C491" s="541"/>
      <c r="D491" s="522"/>
      <c r="E491" s="522"/>
      <c r="F491" s="522"/>
      <c r="G491" s="522"/>
      <c r="H491" s="522"/>
      <c r="I491" s="522"/>
      <c r="J491" s="522"/>
      <c r="K491" s="522"/>
      <c r="L491" s="522"/>
      <c r="M491" s="522"/>
      <c r="N491" s="522"/>
      <c r="O491" s="522"/>
      <c r="P491" s="522"/>
      <c r="Q491" s="522"/>
      <c r="R491" s="522"/>
      <c r="S491" s="522"/>
    </row>
    <row r="492" spans="1:19" s="585" customFormat="1" ht="12" hidden="1" thickBot="1">
      <c r="A492" s="522"/>
      <c r="B492" s="522"/>
      <c r="C492" s="522"/>
      <c r="D492" s="541"/>
      <c r="E492" s="541"/>
      <c r="F492" s="541"/>
      <c r="G492" s="541"/>
      <c r="H492" s="541"/>
      <c r="I492" s="541"/>
      <c r="J492" s="541"/>
      <c r="K492" s="541"/>
      <c r="L492" s="541"/>
      <c r="M492" s="541"/>
      <c r="N492" s="541"/>
      <c r="O492" s="541"/>
      <c r="P492" s="541"/>
      <c r="Q492" s="541"/>
      <c r="R492" s="541"/>
      <c r="S492" s="541"/>
    </row>
    <row r="493" spans="1:19" s="585" customFormat="1" ht="12" hidden="1" thickBot="1">
      <c r="A493" s="522"/>
      <c r="B493" s="565"/>
      <c r="C493" s="565"/>
      <c r="D493" s="566"/>
      <c r="E493" s="567"/>
      <c r="F493" s="567"/>
      <c r="G493" s="567"/>
      <c r="H493" s="566"/>
      <c r="I493" s="572"/>
      <c r="J493" s="572"/>
      <c r="K493" s="572"/>
      <c r="L493" s="567"/>
      <c r="M493" s="567"/>
      <c r="N493" s="567"/>
      <c r="O493" s="572"/>
      <c r="P493" s="572"/>
      <c r="Q493" s="572"/>
      <c r="R493" s="567"/>
      <c r="S493" s="567"/>
    </row>
    <row r="494" spans="1:19" s="585" customFormat="1" ht="12" hidden="1" thickBot="1">
      <c r="A494" s="522"/>
      <c r="B494" s="565"/>
      <c r="C494" s="565"/>
      <c r="D494" s="570"/>
      <c r="E494" s="571"/>
      <c r="F494" s="571"/>
      <c r="G494" s="571"/>
      <c r="H494" s="570"/>
      <c r="I494" s="573"/>
      <c r="J494" s="571"/>
      <c r="K494" s="571"/>
      <c r="L494" s="574"/>
      <c r="M494" s="574"/>
      <c r="N494" s="571"/>
      <c r="O494" s="571"/>
      <c r="P494" s="571"/>
      <c r="Q494" s="571"/>
      <c r="R494" s="573"/>
      <c r="S494" s="574"/>
    </row>
    <row r="495" spans="1:19" s="585" customFormat="1" ht="12" hidden="1" thickBot="1">
      <c r="A495" s="522"/>
      <c r="B495" s="565"/>
      <c r="C495" s="565"/>
      <c r="D495" s="566"/>
      <c r="E495" s="567"/>
      <c r="F495" s="567"/>
      <c r="G495" s="567"/>
      <c r="H495" s="566"/>
      <c r="I495" s="572"/>
      <c r="J495" s="567"/>
      <c r="K495" s="567"/>
      <c r="L495" s="576"/>
      <c r="M495" s="576"/>
      <c r="N495" s="567"/>
      <c r="O495" s="567"/>
      <c r="P495" s="567"/>
      <c r="Q495" s="567"/>
      <c r="R495" s="572"/>
      <c r="S495" s="576"/>
    </row>
    <row r="496" spans="1:19" s="585" customFormat="1" ht="12" hidden="1" thickBot="1">
      <c r="A496" s="522"/>
      <c r="B496" s="565"/>
      <c r="C496" s="565"/>
      <c r="D496" s="570"/>
      <c r="E496" s="571"/>
      <c r="F496" s="571"/>
      <c r="G496" s="571"/>
      <c r="H496" s="570"/>
      <c r="I496" s="573"/>
      <c r="J496" s="573"/>
      <c r="K496" s="573"/>
      <c r="L496" s="571"/>
      <c r="M496" s="571"/>
      <c r="N496" s="571"/>
      <c r="O496" s="573"/>
      <c r="P496" s="573"/>
      <c r="Q496" s="573"/>
      <c r="R496" s="571"/>
      <c r="S496" s="571"/>
    </row>
    <row r="497" spans="1:19" s="585" customFormat="1" ht="12" hidden="1" thickBot="1">
      <c r="A497" s="522"/>
      <c r="B497" s="565"/>
      <c r="C497" s="565"/>
      <c r="D497" s="566"/>
      <c r="E497" s="567"/>
      <c r="F497" s="567"/>
      <c r="G497" s="567"/>
      <c r="H497" s="566"/>
      <c r="I497" s="572"/>
      <c r="J497" s="567"/>
      <c r="K497" s="567"/>
      <c r="L497" s="576"/>
      <c r="M497" s="576"/>
      <c r="N497" s="567"/>
      <c r="O497" s="567"/>
      <c r="P497" s="567"/>
      <c r="Q497" s="567"/>
      <c r="R497" s="572"/>
      <c r="S497" s="576"/>
    </row>
    <row r="498" spans="1:19" s="585" customFormat="1" ht="12" hidden="1" thickBot="1">
      <c r="A498" s="522"/>
      <c r="B498" s="565"/>
      <c r="C498" s="565"/>
      <c r="D498" s="570"/>
      <c r="E498" s="571"/>
      <c r="F498" s="571"/>
      <c r="G498" s="571"/>
      <c r="H498" s="570"/>
      <c r="I498" s="573"/>
      <c r="J498" s="571"/>
      <c r="K498" s="571"/>
      <c r="L498" s="574"/>
      <c r="M498" s="574"/>
      <c r="N498" s="571"/>
      <c r="O498" s="571"/>
      <c r="P498" s="571"/>
      <c r="Q498" s="571"/>
      <c r="R498" s="573"/>
      <c r="S498" s="574"/>
    </row>
    <row r="499" spans="1:19" s="585" customFormat="1" ht="12" hidden="1" thickBot="1">
      <c r="A499" s="522"/>
      <c r="B499" s="565"/>
      <c r="C499" s="565"/>
      <c r="D499" s="566"/>
      <c r="E499" s="567"/>
      <c r="F499" s="567"/>
      <c r="G499" s="567"/>
      <c r="H499" s="566"/>
      <c r="I499" s="572"/>
      <c r="J499" s="572"/>
      <c r="K499" s="572"/>
      <c r="L499" s="567"/>
      <c r="M499" s="567"/>
      <c r="N499" s="567"/>
      <c r="O499" s="572"/>
      <c r="P499" s="572"/>
      <c r="Q499" s="572"/>
      <c r="R499" s="567"/>
      <c r="S499" s="567"/>
    </row>
    <row r="500" spans="1:19" s="585" customFormat="1" ht="12" hidden="1" thickBot="1">
      <c r="A500" s="522"/>
      <c r="B500" s="565"/>
      <c r="C500" s="565"/>
      <c r="D500" s="570"/>
      <c r="E500" s="571"/>
      <c r="F500" s="571"/>
      <c r="G500" s="571"/>
      <c r="H500" s="570"/>
      <c r="I500" s="573"/>
      <c r="J500" s="573"/>
      <c r="K500" s="573"/>
      <c r="L500" s="574"/>
      <c r="M500" s="574"/>
      <c r="N500" s="573"/>
      <c r="O500" s="573"/>
      <c r="P500" s="573"/>
      <c r="Q500" s="573"/>
      <c r="R500" s="573"/>
      <c r="S500" s="574"/>
    </row>
    <row r="501" spans="1:19" s="585" customFormat="1" ht="12" hidden="1" thickBot="1">
      <c r="A501" s="522"/>
      <c r="B501" s="565"/>
      <c r="C501" s="565"/>
      <c r="D501" s="566"/>
      <c r="E501" s="567"/>
      <c r="F501" s="567"/>
      <c r="G501" s="567"/>
      <c r="H501" s="566"/>
      <c r="I501" s="567"/>
      <c r="J501" s="567"/>
      <c r="K501" s="567"/>
      <c r="L501" s="567"/>
      <c r="M501" s="567"/>
      <c r="N501" s="567"/>
      <c r="O501" s="567"/>
      <c r="P501" s="567"/>
      <c r="Q501" s="567"/>
      <c r="R501" s="572"/>
      <c r="S501" s="567"/>
    </row>
    <row r="502" spans="1:19" s="585" customFormat="1" ht="12" hidden="1" thickBot="1">
      <c r="A502" s="522"/>
      <c r="B502" s="565"/>
      <c r="C502" s="565"/>
      <c r="D502" s="570"/>
      <c r="E502" s="571"/>
      <c r="F502" s="571"/>
      <c r="G502" s="571"/>
      <c r="H502" s="570"/>
      <c r="I502" s="571"/>
      <c r="J502" s="571"/>
      <c r="K502" s="571"/>
      <c r="L502" s="571"/>
      <c r="M502" s="571"/>
      <c r="N502" s="571"/>
      <c r="O502" s="571"/>
      <c r="P502" s="571"/>
      <c r="Q502" s="571"/>
      <c r="R502" s="571"/>
      <c r="S502" s="571"/>
    </row>
    <row r="503" spans="1:19" s="585" customFormat="1" ht="12" hidden="1" thickBot="1">
      <c r="A503" s="522"/>
      <c r="B503" s="565"/>
      <c r="C503" s="565"/>
      <c r="D503" s="566"/>
      <c r="E503" s="567"/>
      <c r="F503" s="567"/>
      <c r="G503" s="567"/>
      <c r="H503" s="566"/>
      <c r="I503" s="567"/>
      <c r="J503" s="567"/>
      <c r="K503" s="567"/>
      <c r="L503" s="567"/>
      <c r="M503" s="567"/>
      <c r="N503" s="567"/>
      <c r="O503" s="567"/>
      <c r="P503" s="567"/>
      <c r="Q503" s="567"/>
      <c r="R503" s="572"/>
      <c r="S503" s="567"/>
    </row>
    <row r="504" spans="1:19" s="585" customFormat="1" ht="12" hidden="1" thickBot="1">
      <c r="A504" s="522"/>
      <c r="B504" s="565"/>
      <c r="C504" s="565"/>
      <c r="D504" s="570"/>
      <c r="E504" s="571"/>
      <c r="F504" s="571"/>
      <c r="G504" s="571"/>
      <c r="H504" s="570"/>
      <c r="I504" s="571"/>
      <c r="J504" s="571"/>
      <c r="K504" s="571"/>
      <c r="L504" s="571"/>
      <c r="M504" s="571"/>
      <c r="N504" s="571"/>
      <c r="O504" s="571"/>
      <c r="P504" s="571"/>
      <c r="Q504" s="571"/>
      <c r="R504" s="573"/>
      <c r="S504" s="571"/>
    </row>
    <row r="505" spans="1:19" s="585" customFormat="1" ht="12" hidden="1" thickBot="1">
      <c r="A505" s="522"/>
      <c r="B505" s="565"/>
      <c r="C505" s="565"/>
      <c r="D505" s="566"/>
      <c r="E505" s="567"/>
      <c r="F505" s="567"/>
      <c r="G505" s="567"/>
      <c r="H505" s="566"/>
      <c r="I505" s="567"/>
      <c r="J505" s="567"/>
      <c r="K505" s="567"/>
      <c r="L505" s="567"/>
      <c r="M505" s="567"/>
      <c r="N505" s="567"/>
      <c r="O505" s="567"/>
      <c r="P505" s="567"/>
      <c r="Q505" s="567"/>
      <c r="R505" s="567"/>
      <c r="S505" s="567"/>
    </row>
    <row r="506" spans="1:19" s="585" customFormat="1" ht="12" hidden="1" thickBot="1">
      <c r="A506" s="522"/>
      <c r="B506" s="565"/>
      <c r="C506" s="565"/>
      <c r="D506" s="570"/>
      <c r="E506" s="571"/>
      <c r="F506" s="571"/>
      <c r="G506" s="571"/>
      <c r="H506" s="570"/>
      <c r="I506" s="571"/>
      <c r="J506" s="571"/>
      <c r="K506" s="571"/>
      <c r="L506" s="571"/>
      <c r="M506" s="571"/>
      <c r="N506" s="571"/>
      <c r="O506" s="571"/>
      <c r="P506" s="571"/>
      <c r="Q506" s="571"/>
      <c r="R506" s="571"/>
      <c r="S506" s="571"/>
    </row>
    <row r="507" spans="1:19" s="585" customFormat="1" ht="12" hidden="1" thickBot="1">
      <c r="A507" s="522"/>
      <c r="B507" s="565"/>
      <c r="C507" s="565"/>
      <c r="D507" s="566"/>
      <c r="E507" s="567"/>
      <c r="F507" s="567"/>
      <c r="G507" s="567"/>
      <c r="H507" s="566"/>
      <c r="I507" s="567"/>
      <c r="J507" s="567"/>
      <c r="K507" s="567"/>
      <c r="L507" s="567"/>
      <c r="M507" s="567"/>
      <c r="N507" s="567"/>
      <c r="O507" s="567"/>
      <c r="P507" s="567"/>
      <c r="Q507" s="567"/>
      <c r="R507" s="567"/>
      <c r="S507" s="567"/>
    </row>
    <row r="508" spans="1:19" s="585" customFormat="1" ht="12" hidden="1" thickBot="1">
      <c r="A508" s="522"/>
      <c r="B508" s="565"/>
      <c r="C508" s="565"/>
      <c r="D508" s="570"/>
      <c r="E508" s="571"/>
      <c r="F508" s="571"/>
      <c r="G508" s="571"/>
      <c r="H508" s="570"/>
      <c r="I508" s="571"/>
      <c r="J508" s="571"/>
      <c r="K508" s="571"/>
      <c r="L508" s="571"/>
      <c r="M508" s="571"/>
      <c r="N508" s="571"/>
      <c r="O508" s="571"/>
      <c r="P508" s="571"/>
      <c r="Q508" s="571"/>
      <c r="R508" s="571"/>
      <c r="S508" s="571"/>
    </row>
    <row r="509" spans="1:19" s="585" customFormat="1" ht="12" hidden="1" thickBot="1">
      <c r="A509" s="522"/>
      <c r="B509" s="565"/>
      <c r="C509" s="565"/>
      <c r="D509" s="566"/>
      <c r="E509" s="567"/>
      <c r="F509" s="567"/>
      <c r="G509" s="567"/>
      <c r="H509" s="566"/>
      <c r="I509" s="567"/>
      <c r="J509" s="567"/>
      <c r="K509" s="567"/>
      <c r="L509" s="567"/>
      <c r="M509" s="567"/>
      <c r="N509" s="567"/>
      <c r="O509" s="567"/>
      <c r="P509" s="567"/>
      <c r="Q509" s="567"/>
      <c r="R509" s="567"/>
      <c r="S509" s="567"/>
    </row>
    <row r="510" spans="1:19" s="585" customFormat="1" ht="12" hidden="1" thickBot="1">
      <c r="A510" s="522"/>
      <c r="B510" s="565"/>
      <c r="C510" s="565"/>
      <c r="D510" s="570"/>
      <c r="E510" s="571"/>
      <c r="F510" s="571"/>
      <c r="G510" s="571"/>
      <c r="H510" s="570"/>
      <c r="I510" s="571"/>
      <c r="J510" s="571"/>
      <c r="K510" s="571"/>
      <c r="L510" s="571"/>
      <c r="M510" s="571"/>
      <c r="N510" s="571"/>
      <c r="O510" s="571"/>
      <c r="P510" s="571"/>
      <c r="Q510" s="571"/>
      <c r="R510" s="571"/>
      <c r="S510" s="571"/>
    </row>
    <row r="511" spans="1:19" s="585" customFormat="1" ht="12" hidden="1" thickBot="1">
      <c r="A511" s="522"/>
      <c r="B511" s="565"/>
      <c r="C511" s="565"/>
      <c r="D511" s="566"/>
      <c r="E511" s="567"/>
      <c r="F511" s="567"/>
      <c r="G511" s="567"/>
      <c r="H511" s="566"/>
      <c r="I511" s="567"/>
      <c r="J511" s="567"/>
      <c r="K511" s="567"/>
      <c r="L511" s="567"/>
      <c r="M511" s="567"/>
      <c r="N511" s="567"/>
      <c r="O511" s="567"/>
      <c r="P511" s="567"/>
      <c r="Q511" s="567"/>
      <c r="R511" s="567"/>
      <c r="S511" s="567"/>
    </row>
    <row r="512" spans="1:19" s="585" customFormat="1" ht="12" hidden="1" thickBot="1">
      <c r="A512" s="522"/>
      <c r="B512" s="565"/>
      <c r="C512" s="565"/>
      <c r="D512" s="570"/>
      <c r="E512" s="571"/>
      <c r="F512" s="571"/>
      <c r="G512" s="571"/>
      <c r="H512" s="570"/>
      <c r="I512" s="571"/>
      <c r="J512" s="571"/>
      <c r="K512" s="571"/>
      <c r="L512" s="571"/>
      <c r="M512" s="571"/>
      <c r="N512" s="571"/>
      <c r="O512" s="571"/>
      <c r="P512" s="571"/>
      <c r="Q512" s="571"/>
      <c r="R512" s="571"/>
      <c r="S512" s="571"/>
    </row>
    <row r="513" spans="1:19" s="585" customFormat="1" ht="12" hidden="1" thickBot="1">
      <c r="A513" s="522"/>
      <c r="B513" s="565"/>
      <c r="C513" s="565"/>
      <c r="D513" s="566"/>
      <c r="E513" s="567"/>
      <c r="F513" s="567"/>
      <c r="G513" s="567"/>
      <c r="H513" s="566"/>
      <c r="I513" s="572"/>
      <c r="J513" s="572"/>
      <c r="K513" s="572"/>
      <c r="L513" s="567"/>
      <c r="M513" s="567"/>
      <c r="N513" s="567"/>
      <c r="O513" s="572"/>
      <c r="P513" s="572"/>
      <c r="Q513" s="572"/>
      <c r="R513" s="567"/>
      <c r="S513" s="567"/>
    </row>
    <row r="514" spans="1:19" s="585" customFormat="1" ht="12" hidden="1" thickBot="1">
      <c r="A514" s="522"/>
      <c r="B514" s="565"/>
      <c r="C514" s="565"/>
      <c r="D514" s="570"/>
      <c r="E514" s="571"/>
      <c r="F514" s="571"/>
      <c r="G514" s="571"/>
      <c r="H514" s="570"/>
      <c r="I514" s="571"/>
      <c r="J514" s="571"/>
      <c r="K514" s="571"/>
      <c r="L514" s="571"/>
      <c r="M514" s="571"/>
      <c r="N514" s="571"/>
      <c r="O514" s="571"/>
      <c r="P514" s="571"/>
      <c r="Q514" s="571"/>
      <c r="R514" s="571"/>
      <c r="S514" s="571"/>
    </row>
    <row r="515" spans="1:19" s="585" customFormat="1" ht="12" hidden="1" thickBot="1">
      <c r="A515" s="522"/>
      <c r="B515" s="565"/>
      <c r="C515" s="565"/>
      <c r="D515" s="566"/>
      <c r="E515" s="567"/>
      <c r="F515" s="567"/>
      <c r="G515" s="567"/>
      <c r="H515" s="566"/>
      <c r="I515" s="567"/>
      <c r="J515" s="567"/>
      <c r="K515" s="567"/>
      <c r="L515" s="567"/>
      <c r="M515" s="567"/>
      <c r="N515" s="567"/>
      <c r="O515" s="567"/>
      <c r="P515" s="567"/>
      <c r="Q515" s="567"/>
      <c r="R515" s="567"/>
      <c r="S515" s="567"/>
    </row>
    <row r="516" spans="1:19" s="585" customFormat="1" ht="12" hidden="1" thickBot="1">
      <c r="A516" s="522"/>
      <c r="B516" s="565"/>
      <c r="C516" s="565"/>
      <c r="D516" s="570"/>
      <c r="E516" s="571"/>
      <c r="F516" s="571"/>
      <c r="G516" s="571"/>
      <c r="H516" s="570"/>
      <c r="I516" s="571"/>
      <c r="J516" s="571"/>
      <c r="K516" s="571"/>
      <c r="L516" s="571"/>
      <c r="M516" s="571"/>
      <c r="N516" s="571"/>
      <c r="O516" s="571"/>
      <c r="P516" s="571"/>
      <c r="Q516" s="571"/>
      <c r="R516" s="573"/>
      <c r="S516" s="571"/>
    </row>
    <row r="517" spans="1:19" ht="12" hidden="1" thickBot="1">
      <c r="A517" s="843"/>
      <c r="B517" s="845"/>
      <c r="C517" s="845"/>
      <c r="D517" s="853"/>
      <c r="E517" s="869"/>
      <c r="F517" s="869"/>
      <c r="G517" s="869"/>
      <c r="H517" s="869"/>
      <c r="I517" s="861"/>
      <c r="J517" s="861"/>
      <c r="K517" s="861"/>
      <c r="L517" s="861"/>
      <c r="M517" s="861"/>
      <c r="N517" s="861"/>
      <c r="O517" s="861"/>
      <c r="P517" s="861"/>
      <c r="Q517" s="861"/>
      <c r="R517" s="861"/>
      <c r="S517" s="861"/>
    </row>
    <row r="518" spans="1:19" ht="12" hidden="1" thickBot="1">
      <c r="A518" s="843"/>
      <c r="B518" s="845"/>
      <c r="C518" s="845"/>
      <c r="D518" s="852"/>
      <c r="E518" s="868"/>
      <c r="F518" s="868"/>
      <c r="G518" s="868"/>
      <c r="H518" s="868"/>
      <c r="I518" s="860"/>
      <c r="J518" s="860"/>
      <c r="K518" s="860"/>
      <c r="L518" s="860"/>
      <c r="M518" s="860"/>
      <c r="N518" s="860"/>
      <c r="O518" s="860"/>
      <c r="P518" s="860"/>
      <c r="Q518" s="860"/>
      <c r="R518" s="860"/>
      <c r="S518" s="860"/>
    </row>
    <row r="519" spans="1:19" ht="12" hidden="1" thickBot="1">
      <c r="A519" s="843"/>
      <c r="B519" s="845"/>
      <c r="C519" s="845"/>
      <c r="D519" s="853"/>
      <c r="E519" s="869"/>
      <c r="F519" s="869"/>
      <c r="G519" s="869"/>
      <c r="H519" s="869"/>
      <c r="I519" s="861"/>
      <c r="J519" s="861"/>
      <c r="K519" s="861"/>
      <c r="L519" s="861"/>
      <c r="M519" s="861"/>
      <c r="N519" s="861"/>
      <c r="O519" s="861"/>
      <c r="P519" s="861"/>
      <c r="Q519" s="861"/>
      <c r="R519" s="861"/>
      <c r="S519" s="861"/>
    </row>
    <row r="520" spans="1:19" s="585" customFormat="1" ht="12" hidden="1" thickBot="1">
      <c r="A520" s="522"/>
      <c r="B520" s="565"/>
      <c r="C520" s="565"/>
      <c r="D520" s="570"/>
      <c r="E520" s="571"/>
      <c r="F520" s="571"/>
      <c r="G520" s="571"/>
      <c r="H520" s="570"/>
      <c r="I520" s="571"/>
      <c r="J520" s="571"/>
      <c r="K520" s="571"/>
      <c r="L520" s="571"/>
      <c r="M520" s="571"/>
      <c r="N520" s="571"/>
      <c r="O520" s="571"/>
      <c r="P520" s="571"/>
      <c r="Q520" s="571"/>
      <c r="R520" s="573"/>
      <c r="S520" s="571"/>
    </row>
    <row r="521" spans="1:19" s="585" customFormat="1" ht="12" hidden="1" thickBot="1">
      <c r="A521" s="522"/>
      <c r="B521" s="565"/>
      <c r="C521" s="565"/>
      <c r="D521" s="566"/>
      <c r="E521" s="567"/>
      <c r="F521" s="567"/>
      <c r="G521" s="567"/>
      <c r="H521" s="566"/>
      <c r="I521" s="572"/>
      <c r="J521" s="567"/>
      <c r="K521" s="567"/>
      <c r="L521" s="576"/>
      <c r="M521" s="567"/>
      <c r="N521" s="567"/>
      <c r="O521" s="567"/>
      <c r="P521" s="567"/>
      <c r="Q521" s="567"/>
      <c r="R521" s="572"/>
      <c r="S521" s="567"/>
    </row>
    <row r="522" spans="1:19" s="585" customFormat="1" ht="12" hidden="1" thickBot="1">
      <c r="A522" s="522"/>
      <c r="B522" s="565"/>
      <c r="C522" s="565"/>
      <c r="D522" s="570"/>
      <c r="E522" s="571"/>
      <c r="F522" s="571"/>
      <c r="G522" s="571"/>
      <c r="H522" s="570"/>
      <c r="I522" s="571"/>
      <c r="J522" s="571"/>
      <c r="K522" s="571"/>
      <c r="L522" s="571"/>
      <c r="M522" s="571"/>
      <c r="N522" s="571"/>
      <c r="O522" s="571"/>
      <c r="P522" s="571"/>
      <c r="Q522" s="571"/>
      <c r="R522" s="573"/>
      <c r="S522" s="571"/>
    </row>
    <row r="523" spans="1:19" s="585" customFormat="1" ht="12" hidden="1" thickBot="1">
      <c r="A523" s="522"/>
      <c r="B523" s="565"/>
      <c r="C523" s="565"/>
      <c r="D523" s="566"/>
      <c r="E523" s="576"/>
      <c r="F523" s="576"/>
      <c r="G523" s="576"/>
      <c r="H523" s="566"/>
      <c r="I523" s="567"/>
      <c r="J523" s="567"/>
      <c r="K523" s="567"/>
      <c r="L523" s="567"/>
      <c r="M523" s="567"/>
      <c r="N523" s="567"/>
      <c r="O523" s="567"/>
      <c r="P523" s="567"/>
      <c r="Q523" s="567"/>
      <c r="R523" s="567"/>
      <c r="S523" s="567"/>
    </row>
    <row r="524" spans="1:19" s="585" customFormat="1" ht="12" hidden="1" thickBot="1">
      <c r="A524" s="522"/>
      <c r="B524" s="565"/>
      <c r="C524" s="565"/>
      <c r="D524" s="570"/>
      <c r="E524" s="571"/>
      <c r="F524" s="571"/>
      <c r="G524" s="571"/>
      <c r="H524" s="570"/>
      <c r="I524" s="571"/>
      <c r="J524" s="571"/>
      <c r="K524" s="571"/>
      <c r="L524" s="571"/>
      <c r="M524" s="571"/>
      <c r="N524" s="571"/>
      <c r="O524" s="571"/>
      <c r="P524" s="571"/>
      <c r="Q524" s="571"/>
      <c r="R524" s="573"/>
      <c r="S524" s="571"/>
    </row>
    <row r="525" spans="1:19" s="585" customFormat="1" ht="12" hidden="1" thickBot="1">
      <c r="A525" s="522"/>
      <c r="B525" s="565"/>
      <c r="C525" s="565"/>
      <c r="D525" s="566"/>
      <c r="E525" s="567"/>
      <c r="F525" s="567"/>
      <c r="G525" s="567"/>
      <c r="H525" s="566"/>
      <c r="I525" s="567"/>
      <c r="J525" s="567"/>
      <c r="K525" s="567"/>
      <c r="L525" s="567"/>
      <c r="M525" s="567"/>
      <c r="N525" s="567"/>
      <c r="O525" s="567"/>
      <c r="P525" s="567"/>
      <c r="Q525" s="567"/>
      <c r="R525" s="572"/>
      <c r="S525" s="567"/>
    </row>
    <row r="526" spans="1:19" s="585" customFormat="1" ht="12" hidden="1" thickBot="1">
      <c r="A526" s="522"/>
      <c r="B526" s="565"/>
      <c r="C526" s="565"/>
      <c r="D526" s="570"/>
      <c r="E526" s="571"/>
      <c r="F526" s="571"/>
      <c r="G526" s="571"/>
      <c r="H526" s="570"/>
      <c r="I526" s="571"/>
      <c r="J526" s="571"/>
      <c r="K526" s="571"/>
      <c r="L526" s="571"/>
      <c r="M526" s="571"/>
      <c r="N526" s="571"/>
      <c r="O526" s="571"/>
      <c r="P526" s="571"/>
      <c r="Q526" s="571"/>
      <c r="R526" s="571"/>
      <c r="S526" s="571"/>
    </row>
    <row r="527" spans="1:19" s="585" customFormat="1" ht="12" hidden="1" thickBot="1">
      <c r="A527" s="522"/>
      <c r="B527" s="565"/>
      <c r="C527" s="565"/>
      <c r="D527" s="566"/>
      <c r="E527" s="567"/>
      <c r="F527" s="567"/>
      <c r="G527" s="567"/>
      <c r="H527" s="566"/>
      <c r="I527" s="567"/>
      <c r="J527" s="567"/>
      <c r="K527" s="567"/>
      <c r="L527" s="567"/>
      <c r="M527" s="567"/>
      <c r="N527" s="567"/>
      <c r="O527" s="567"/>
      <c r="P527" s="567"/>
      <c r="Q527" s="567"/>
      <c r="R527" s="572"/>
      <c r="S527" s="567"/>
    </row>
    <row r="528" spans="1:19" s="585" customFormat="1" ht="12" hidden="1" thickBot="1">
      <c r="A528" s="522"/>
      <c r="B528" s="565"/>
      <c r="C528" s="565"/>
      <c r="D528" s="570"/>
      <c r="E528" s="571"/>
      <c r="F528" s="571"/>
      <c r="G528" s="571"/>
      <c r="H528" s="570"/>
      <c r="I528" s="571"/>
      <c r="J528" s="571"/>
      <c r="K528" s="571"/>
      <c r="L528" s="571"/>
      <c r="M528" s="571"/>
      <c r="N528" s="571"/>
      <c r="O528" s="571"/>
      <c r="P528" s="571"/>
      <c r="Q528" s="571"/>
      <c r="R528" s="573"/>
      <c r="S528" s="571"/>
    </row>
    <row r="529" spans="1:19" s="585" customFormat="1" ht="12" hidden="1" thickBot="1">
      <c r="A529" s="522"/>
      <c r="B529" s="565"/>
      <c r="C529" s="565"/>
      <c r="D529" s="566"/>
      <c r="E529" s="567"/>
      <c r="F529" s="567"/>
      <c r="G529" s="567"/>
      <c r="H529" s="566"/>
      <c r="I529" s="567"/>
      <c r="J529" s="567"/>
      <c r="K529" s="567"/>
      <c r="L529" s="567"/>
      <c r="M529" s="567"/>
      <c r="N529" s="567"/>
      <c r="O529" s="567"/>
      <c r="P529" s="567"/>
      <c r="Q529" s="567"/>
      <c r="R529" s="572"/>
      <c r="S529" s="567"/>
    </row>
    <row r="530" spans="1:19" s="585" customFormat="1" ht="12" hidden="1" thickBot="1">
      <c r="A530" s="522"/>
      <c r="B530" s="565"/>
      <c r="C530" s="582"/>
      <c r="D530" s="578"/>
      <c r="E530" s="579"/>
      <c r="F530" s="579"/>
      <c r="G530" s="579"/>
      <c r="H530" s="578"/>
      <c r="I530" s="580"/>
      <c r="J530" s="580"/>
      <c r="K530" s="580"/>
      <c r="L530" s="579"/>
      <c r="M530" s="579"/>
      <c r="N530" s="580"/>
      <c r="O530" s="580"/>
      <c r="P530" s="580"/>
      <c r="Q530" s="580"/>
      <c r="R530" s="580"/>
      <c r="S530" s="579"/>
    </row>
    <row r="531" spans="1:19">
      <c r="A531" s="849"/>
      <c r="B531" s="850"/>
      <c r="C531" s="850"/>
      <c r="D531" s="857"/>
      <c r="E531" s="872"/>
      <c r="F531" s="872"/>
      <c r="G531" s="872"/>
      <c r="H531" s="872"/>
      <c r="I531" s="865"/>
      <c r="J531" s="865"/>
      <c r="K531" s="865"/>
      <c r="L531" s="865"/>
    </row>
    <row r="532" spans="1:19">
      <c r="A532" s="849"/>
      <c r="B532" s="850"/>
      <c r="C532" s="850"/>
      <c r="D532" s="857"/>
      <c r="E532" s="872"/>
      <c r="F532" s="872"/>
      <c r="G532" s="872"/>
      <c r="H532" s="872"/>
      <c r="I532" s="865"/>
      <c r="J532" s="865"/>
      <c r="K532" s="865"/>
      <c r="L532" s="865"/>
    </row>
    <row r="533" spans="1:19">
      <c r="A533" s="849"/>
      <c r="B533" s="850"/>
      <c r="C533" s="850"/>
      <c r="D533" s="857"/>
      <c r="E533" s="872"/>
      <c r="F533" s="872"/>
      <c r="G533" s="872"/>
      <c r="H533" s="872"/>
      <c r="I533" s="865"/>
      <c r="J533" s="865"/>
      <c r="K533" s="865"/>
      <c r="L533" s="865"/>
    </row>
    <row r="534" spans="1:19">
      <c r="A534" s="849"/>
      <c r="B534" s="850"/>
      <c r="C534" s="850"/>
      <c r="D534" s="857"/>
      <c r="E534" s="872"/>
      <c r="F534" s="872"/>
      <c r="G534" s="872"/>
      <c r="H534" s="872"/>
      <c r="I534" s="865"/>
      <c r="J534" s="865"/>
      <c r="K534" s="865"/>
      <c r="L534" s="865"/>
    </row>
    <row r="535" spans="1:19">
      <c r="A535" s="849"/>
      <c r="B535" s="850"/>
      <c r="C535" s="850"/>
      <c r="D535" s="857"/>
      <c r="E535" s="872"/>
      <c r="F535" s="872"/>
      <c r="G535" s="872"/>
      <c r="H535" s="872"/>
      <c r="I535" s="865"/>
      <c r="J535" s="865"/>
      <c r="K535" s="865"/>
      <c r="L535" s="865"/>
    </row>
    <row r="536" spans="1:19">
      <c r="A536" s="849"/>
      <c r="B536" s="850"/>
      <c r="C536" s="850"/>
      <c r="D536" s="857"/>
      <c r="E536" s="872"/>
      <c r="F536" s="872"/>
      <c r="G536" s="872"/>
      <c r="H536" s="872"/>
      <c r="I536" s="865"/>
      <c r="J536" s="865"/>
      <c r="K536" s="865"/>
      <c r="L536" s="865"/>
    </row>
    <row r="537" spans="1:19">
      <c r="A537" s="849"/>
      <c r="B537" s="850"/>
      <c r="C537" s="850"/>
      <c r="D537" s="857"/>
      <c r="E537" s="872"/>
      <c r="F537" s="872"/>
      <c r="G537" s="872"/>
      <c r="H537" s="872"/>
      <c r="I537" s="865"/>
      <c r="J537" s="865"/>
      <c r="K537" s="865"/>
      <c r="L537" s="865"/>
    </row>
    <row r="538" spans="1:19">
      <c r="A538" s="849"/>
      <c r="B538" s="850"/>
      <c r="C538" s="850"/>
      <c r="D538" s="857"/>
      <c r="E538" s="872"/>
      <c r="F538" s="872"/>
      <c r="G538" s="872"/>
      <c r="H538" s="872"/>
      <c r="I538" s="865"/>
      <c r="J538" s="865"/>
      <c r="K538" s="865"/>
      <c r="L538" s="865"/>
    </row>
    <row r="539" spans="1:19">
      <c r="A539" s="849"/>
      <c r="B539" s="850"/>
      <c r="C539" s="850"/>
      <c r="D539" s="857"/>
      <c r="E539" s="872"/>
      <c r="F539" s="872"/>
      <c r="G539" s="872"/>
      <c r="H539" s="872"/>
      <c r="I539" s="865"/>
      <c r="J539" s="865"/>
      <c r="K539" s="865"/>
      <c r="L539" s="865"/>
    </row>
    <row r="540" spans="1:19">
      <c r="A540" s="849"/>
      <c r="B540" s="850"/>
      <c r="C540" s="850"/>
      <c r="D540" s="857"/>
      <c r="E540" s="872"/>
      <c r="F540" s="872"/>
      <c r="G540" s="872"/>
      <c r="H540" s="872"/>
      <c r="I540" s="865"/>
      <c r="J540" s="865"/>
      <c r="K540" s="865"/>
      <c r="L540" s="865"/>
    </row>
    <row r="541" spans="1:19">
      <c r="A541" s="849"/>
      <c r="B541" s="850"/>
      <c r="C541" s="850"/>
      <c r="D541" s="857"/>
      <c r="E541" s="872"/>
      <c r="F541" s="872"/>
      <c r="G541" s="872"/>
      <c r="H541" s="872"/>
      <c r="I541" s="865"/>
      <c r="J541" s="865"/>
      <c r="K541" s="865"/>
      <c r="L541" s="865"/>
    </row>
    <row r="542" spans="1:19">
      <c r="A542" s="849"/>
      <c r="B542" s="850"/>
      <c r="C542" s="850"/>
      <c r="D542" s="857" t="s">
        <v>1489</v>
      </c>
      <c r="H542" s="872"/>
      <c r="I542" s="865"/>
      <c r="J542" s="865"/>
      <c r="K542" s="865"/>
      <c r="L542" s="865"/>
    </row>
    <row r="543" spans="1:19" ht="12" thickBot="1">
      <c r="A543" s="849"/>
      <c r="B543" s="850"/>
      <c r="C543" s="850"/>
      <c r="D543" s="857" t="s">
        <v>1485</v>
      </c>
      <c r="E543" s="872" t="s">
        <v>1486</v>
      </c>
      <c r="F543" s="872" t="s">
        <v>1487</v>
      </c>
      <c r="G543" s="872" t="s">
        <v>70</v>
      </c>
      <c r="H543" s="872"/>
      <c r="I543" s="865"/>
      <c r="J543" s="865"/>
      <c r="K543" s="865"/>
      <c r="L543" s="865"/>
    </row>
    <row r="544" spans="1:19" ht="12" thickBot="1">
      <c r="A544" s="849"/>
      <c r="B544" s="850"/>
      <c r="C544" s="850"/>
      <c r="D544" s="588" t="s">
        <v>1428</v>
      </c>
      <c r="E544" s="964">
        <v>63413.123773465464</v>
      </c>
      <c r="F544" s="964">
        <v>63147.351001198498</v>
      </c>
      <c r="G544" s="964">
        <f t="shared" ref="G544:G549" si="0">E544-F544</f>
        <v>265.77277226696606</v>
      </c>
      <c r="H544" s="872"/>
      <c r="I544" s="865"/>
      <c r="J544" s="865"/>
      <c r="K544" s="964"/>
      <c r="L544" s="865"/>
    </row>
    <row r="545" spans="1:12" ht="12" thickBot="1">
      <c r="A545" s="849"/>
      <c r="B545" s="850"/>
      <c r="C545" s="850"/>
      <c r="D545" s="921" t="s">
        <v>1465</v>
      </c>
      <c r="E545" s="964">
        <v>63420.872184753236</v>
      </c>
      <c r="F545" s="964">
        <v>63155.066937871699</v>
      </c>
      <c r="G545" s="964">
        <f t="shared" si="0"/>
        <v>265.80524688153673</v>
      </c>
      <c r="H545" s="872"/>
      <c r="I545" s="865"/>
      <c r="J545" s="865"/>
      <c r="K545" s="964"/>
      <c r="L545" s="865"/>
    </row>
    <row r="546" spans="1:12" ht="12" thickBot="1">
      <c r="A546" s="849"/>
      <c r="B546" s="850"/>
      <c r="C546" s="850"/>
      <c r="D546" s="588" t="s">
        <v>1466</v>
      </c>
      <c r="E546" s="964">
        <v>63428.620596041001</v>
      </c>
      <c r="F546" s="964">
        <v>63162.782874545002</v>
      </c>
      <c r="G546" s="964">
        <f t="shared" si="0"/>
        <v>265.83772149599827</v>
      </c>
      <c r="H546" s="872"/>
      <c r="I546" s="865"/>
      <c r="J546" s="865"/>
      <c r="K546" s="964"/>
      <c r="L546" s="865"/>
    </row>
    <row r="547" spans="1:12" ht="12" thickBot="1">
      <c r="A547" s="849"/>
      <c r="B547" s="850"/>
      <c r="C547" s="850"/>
      <c r="D547" s="588" t="s">
        <v>1467</v>
      </c>
      <c r="E547" s="964">
        <v>63436.369007328773</v>
      </c>
      <c r="F547" s="964">
        <v>63170.498811218298</v>
      </c>
      <c r="G547" s="964">
        <f t="shared" si="0"/>
        <v>265.87019611047435</v>
      </c>
      <c r="H547" s="872"/>
      <c r="I547" s="865"/>
      <c r="J547" s="865"/>
      <c r="K547" s="964"/>
      <c r="L547" s="865"/>
    </row>
    <row r="548" spans="1:12" ht="12" thickBot="1">
      <c r="A548" s="849"/>
      <c r="B548" s="850"/>
      <c r="C548" s="850"/>
      <c r="D548" s="921" t="s">
        <v>1468</v>
      </c>
      <c r="E548" s="964">
        <v>63444.117418616544</v>
      </c>
      <c r="F548" s="964">
        <v>63178.214747891499</v>
      </c>
      <c r="G548" s="964">
        <f t="shared" si="0"/>
        <v>265.90267072504503</v>
      </c>
      <c r="H548" s="872"/>
      <c r="I548" s="865"/>
      <c r="J548" s="865"/>
      <c r="K548" s="964"/>
      <c r="L548" s="865"/>
    </row>
    <row r="549" spans="1:12" ht="12" thickBot="1">
      <c r="A549" s="849"/>
      <c r="B549" s="850"/>
      <c r="C549" s="850"/>
      <c r="D549" s="588" t="s">
        <v>1469</v>
      </c>
      <c r="E549" s="964">
        <v>63451.865829904316</v>
      </c>
      <c r="F549" s="964">
        <v>63185.930684564803</v>
      </c>
      <c r="G549" s="964">
        <f t="shared" si="0"/>
        <v>265.93514533951384</v>
      </c>
      <c r="H549" s="872"/>
      <c r="I549" s="865"/>
      <c r="J549" s="865"/>
      <c r="K549" s="964"/>
      <c r="L549" s="865"/>
    </row>
    <row r="550" spans="1:12">
      <c r="A550" s="849"/>
      <c r="B550" s="850"/>
      <c r="C550" s="850"/>
      <c r="D550" s="857"/>
      <c r="E550" s="872"/>
      <c r="F550" s="872"/>
      <c r="G550" s="872"/>
      <c r="H550" s="872"/>
      <c r="I550" s="865"/>
      <c r="J550" s="865"/>
      <c r="K550" s="964"/>
    </row>
    <row r="551" spans="1:12" ht="12" thickBot="1">
      <c r="A551" s="849"/>
      <c r="B551" s="850"/>
      <c r="C551" s="850"/>
      <c r="D551" s="857" t="s">
        <v>1488</v>
      </c>
      <c r="E551" s="872" t="s">
        <v>1486</v>
      </c>
      <c r="F551" s="872" t="s">
        <v>1487</v>
      </c>
      <c r="G551" s="872" t="s">
        <v>70</v>
      </c>
      <c r="H551" s="872"/>
      <c r="I551" s="865"/>
      <c r="J551" s="865"/>
      <c r="K551" s="865"/>
    </row>
    <row r="552" spans="1:12" ht="12" thickBot="1">
      <c r="A552" s="849"/>
      <c r="B552" s="850"/>
      <c r="C552" s="850"/>
      <c r="D552" s="588" t="s">
        <v>1428</v>
      </c>
      <c r="E552" s="964">
        <v>18536.876226534539</v>
      </c>
      <c r="F552" s="964">
        <v>18459.185731401401</v>
      </c>
      <c r="G552" s="964">
        <f t="shared" ref="G552:G557" si="1">E552-F552</f>
        <v>77.690495133138029</v>
      </c>
      <c r="H552" s="872"/>
      <c r="I552" s="865"/>
      <c r="J552" s="964"/>
      <c r="K552" s="964"/>
      <c r="L552" s="966"/>
    </row>
    <row r="553" spans="1:12" ht="12" thickBot="1">
      <c r="A553" s="849"/>
      <c r="B553" s="850"/>
      <c r="C553" s="850"/>
      <c r="D553" s="921" t="s">
        <v>1465</v>
      </c>
      <c r="E553" s="964">
        <v>18539.127815246768</v>
      </c>
      <c r="F553" s="964">
        <v>18461.4278834082</v>
      </c>
      <c r="G553" s="964">
        <f t="shared" si="1"/>
        <v>77.699931838567863</v>
      </c>
      <c r="H553" s="872"/>
      <c r="I553" s="865"/>
      <c r="J553" s="964"/>
      <c r="K553" s="964"/>
      <c r="L553" s="966"/>
    </row>
    <row r="554" spans="1:12" ht="12" thickBot="1">
      <c r="A554" s="849"/>
      <c r="B554" s="850"/>
      <c r="C554" s="850"/>
      <c r="D554" s="588" t="s">
        <v>1466</v>
      </c>
      <c r="E554" s="964">
        <v>18541.379403958999</v>
      </c>
      <c r="F554" s="964">
        <v>18463.6700354149</v>
      </c>
      <c r="G554" s="964">
        <f t="shared" si="1"/>
        <v>77.709368544099561</v>
      </c>
      <c r="H554" s="872"/>
      <c r="I554" s="865"/>
      <c r="J554" s="964"/>
      <c r="K554" s="964"/>
      <c r="L554" s="966"/>
    </row>
    <row r="555" spans="1:12" ht="12" thickBot="1">
      <c r="B555" s="850"/>
      <c r="C555" s="850"/>
      <c r="D555" s="588" t="s">
        <v>1467</v>
      </c>
      <c r="E555" s="964">
        <v>18543.630992671227</v>
      </c>
      <c r="F555" s="964">
        <v>18465.9121874216</v>
      </c>
      <c r="G555" s="964">
        <f t="shared" si="1"/>
        <v>77.718805249627621</v>
      </c>
      <c r="H555" s="872"/>
      <c r="I555" s="865"/>
      <c r="J555" s="964"/>
      <c r="K555" s="964"/>
      <c r="L555" s="966"/>
    </row>
    <row r="556" spans="1:12" ht="12" thickBot="1">
      <c r="B556" s="850"/>
      <c r="C556" s="850"/>
      <c r="D556" s="921" t="s">
        <v>1468</v>
      </c>
      <c r="E556" s="964">
        <v>18545.882581383459</v>
      </c>
      <c r="F556" s="964">
        <v>18468.154339428402</v>
      </c>
      <c r="G556" s="964">
        <f t="shared" si="1"/>
        <v>77.728241955057456</v>
      </c>
      <c r="H556" s="872"/>
      <c r="I556" s="865"/>
      <c r="J556" s="964"/>
      <c r="K556" s="964"/>
      <c r="L556" s="966"/>
    </row>
    <row r="557" spans="1:12" ht="12" thickBot="1">
      <c r="B557" s="850"/>
      <c r="C557" s="850"/>
      <c r="D557" s="588" t="s">
        <v>1469</v>
      </c>
      <c r="E557" s="964">
        <v>18548.134170095687</v>
      </c>
      <c r="F557" s="964">
        <v>18470.396491435102</v>
      </c>
      <c r="G557" s="964">
        <f t="shared" si="1"/>
        <v>77.737678660585516</v>
      </c>
      <c r="H557" s="872"/>
      <c r="I557" s="865"/>
      <c r="J557" s="964"/>
      <c r="K557" s="964"/>
      <c r="L557" s="966"/>
    </row>
    <row r="558" spans="1:12">
      <c r="B558" s="850"/>
      <c r="C558" s="850"/>
      <c r="D558" s="857"/>
      <c r="E558" s="872"/>
      <c r="F558" s="872"/>
      <c r="G558" s="872"/>
      <c r="H558" s="872"/>
      <c r="I558" s="865"/>
      <c r="J558" s="865"/>
      <c r="K558" s="865"/>
    </row>
    <row r="559" spans="1:12">
      <c r="D559" s="858" t="s">
        <v>1503</v>
      </c>
    </row>
    <row r="560" spans="1:12">
      <c r="D560" s="857" t="s">
        <v>1485</v>
      </c>
      <c r="E560" s="872" t="s">
        <v>1486</v>
      </c>
      <c r="F560" s="872" t="s">
        <v>1487</v>
      </c>
      <c r="G560" s="872" t="s">
        <v>70</v>
      </c>
    </row>
    <row r="561" spans="4:7">
      <c r="D561" s="858" t="s">
        <v>1491</v>
      </c>
      <c r="E561" s="966">
        <v>63490.607886343161</v>
      </c>
      <c r="F561" s="966">
        <v>63224.510367931201</v>
      </c>
      <c r="G561" s="964">
        <f t="shared" ref="G561:G572" si="2">E561-F561</f>
        <v>266.09751841195975</v>
      </c>
    </row>
    <row r="562" spans="4:7">
      <c r="D562" s="858" t="s">
        <v>1492</v>
      </c>
      <c r="E562" s="966">
        <v>63498.356297630933</v>
      </c>
      <c r="F562" s="966">
        <v>63232.226304604497</v>
      </c>
      <c r="G562" s="964">
        <f t="shared" si="2"/>
        <v>266.12999302643584</v>
      </c>
    </row>
    <row r="563" spans="4:7">
      <c r="D563" s="858" t="s">
        <v>1493</v>
      </c>
      <c r="E563" s="966">
        <v>63506.104708918705</v>
      </c>
      <c r="F563" s="966">
        <v>63239.9422412778</v>
      </c>
      <c r="G563" s="964">
        <f t="shared" si="2"/>
        <v>266.16246764090465</v>
      </c>
    </row>
    <row r="564" spans="4:7">
      <c r="D564" s="858" t="s">
        <v>1494</v>
      </c>
      <c r="E564" s="966">
        <v>63513.853120206477</v>
      </c>
      <c r="F564" s="966">
        <v>63247.658177951103</v>
      </c>
      <c r="G564" s="964">
        <f t="shared" si="2"/>
        <v>266.19494225537346</v>
      </c>
    </row>
    <row r="565" spans="4:7">
      <c r="D565" s="858" t="s">
        <v>1495</v>
      </c>
      <c r="E565" s="966">
        <v>63521.601531494241</v>
      </c>
      <c r="F565" s="966">
        <v>63255.374114624297</v>
      </c>
      <c r="G565" s="964">
        <f t="shared" si="2"/>
        <v>266.22741686994414</v>
      </c>
    </row>
    <row r="566" spans="4:7">
      <c r="D566" s="858" t="s">
        <v>1496</v>
      </c>
      <c r="E566" s="966">
        <v>63529.349942782013</v>
      </c>
      <c r="F566" s="966">
        <v>63263.0900512976</v>
      </c>
      <c r="G566" s="964">
        <f t="shared" si="2"/>
        <v>266.25989148441295</v>
      </c>
    </row>
    <row r="567" spans="4:7">
      <c r="D567" s="858" t="s">
        <v>1497</v>
      </c>
      <c r="E567" s="966">
        <v>63537.098354069785</v>
      </c>
      <c r="F567" s="966">
        <v>63270.805987970904</v>
      </c>
      <c r="G567" s="964">
        <f t="shared" si="2"/>
        <v>266.29236609888176</v>
      </c>
    </row>
    <row r="568" spans="4:7">
      <c r="D568" s="858" t="s">
        <v>1498</v>
      </c>
      <c r="E568" s="966">
        <v>63544.84676535755</v>
      </c>
      <c r="F568" s="966">
        <v>63278.521924644199</v>
      </c>
      <c r="G568" s="964">
        <f t="shared" si="2"/>
        <v>266.32484071335057</v>
      </c>
    </row>
    <row r="569" spans="4:7">
      <c r="D569" s="858" t="s">
        <v>1499</v>
      </c>
      <c r="E569" s="966">
        <v>63552.595176645322</v>
      </c>
      <c r="F569" s="966">
        <v>63286.237861317401</v>
      </c>
      <c r="G569" s="964">
        <f t="shared" si="2"/>
        <v>266.35731532792124</v>
      </c>
    </row>
    <row r="570" spans="4:7">
      <c r="D570" s="858" t="s">
        <v>1500</v>
      </c>
      <c r="E570" s="966">
        <v>63560.343587933094</v>
      </c>
      <c r="F570" s="966">
        <v>63293.953797990704</v>
      </c>
      <c r="G570" s="964">
        <f t="shared" si="2"/>
        <v>266.38978994239005</v>
      </c>
    </row>
    <row r="571" spans="4:7">
      <c r="D571" s="858" t="s">
        <v>1501</v>
      </c>
      <c r="E571" s="966">
        <v>63568.091999220866</v>
      </c>
      <c r="F571" s="966">
        <v>63301.669734663999</v>
      </c>
      <c r="G571" s="964">
        <f t="shared" si="2"/>
        <v>266.42226455686614</v>
      </c>
    </row>
    <row r="572" spans="4:7">
      <c r="D572" s="858" t="s">
        <v>1502</v>
      </c>
      <c r="E572" s="966">
        <v>63575.84041050863</v>
      </c>
      <c r="F572" s="966">
        <v>63309.385671337201</v>
      </c>
      <c r="G572" s="964">
        <f t="shared" si="2"/>
        <v>266.45473917142954</v>
      </c>
    </row>
    <row r="574" spans="4:7">
      <c r="D574" s="857" t="s">
        <v>1488</v>
      </c>
      <c r="E574" s="872" t="s">
        <v>1486</v>
      </c>
      <c r="F574" s="872" t="s">
        <v>1487</v>
      </c>
      <c r="G574" s="872" t="s">
        <v>70</v>
      </c>
    </row>
    <row r="575" spans="4:7">
      <c r="D575" s="858" t="s">
        <v>1491</v>
      </c>
      <c r="E575" s="966">
        <v>18559.392113656839</v>
      </c>
      <c r="F575" s="966">
        <v>18481.6072514687</v>
      </c>
      <c r="G575" s="964">
        <f t="shared" ref="G575:G586" si="3">E575-F575</f>
        <v>77.784862188138504</v>
      </c>
    </row>
    <row r="576" spans="4:7">
      <c r="D576" s="858" t="s">
        <v>1492</v>
      </c>
      <c r="E576" s="966">
        <v>18561.643702369067</v>
      </c>
      <c r="F576" s="966">
        <v>18483.849403475499</v>
      </c>
      <c r="G576" s="964">
        <f t="shared" si="3"/>
        <v>77.794298893568339</v>
      </c>
    </row>
    <row r="577" spans="4:7">
      <c r="D577" s="858" t="s">
        <v>1493</v>
      </c>
      <c r="E577" s="966">
        <v>18563.895291081299</v>
      </c>
      <c r="F577" s="966">
        <v>18486.091555482199</v>
      </c>
      <c r="G577" s="964">
        <f t="shared" si="3"/>
        <v>77.803735599100037</v>
      </c>
    </row>
    <row r="578" spans="4:7">
      <c r="D578" s="858" t="s">
        <v>1494</v>
      </c>
      <c r="E578" s="966">
        <v>18566.14687979353</v>
      </c>
      <c r="F578" s="966">
        <v>18488.333707488899</v>
      </c>
      <c r="G578" s="964">
        <f t="shared" si="3"/>
        <v>77.813172304631735</v>
      </c>
    </row>
    <row r="579" spans="4:7">
      <c r="D579" s="858" t="s">
        <v>1495</v>
      </c>
      <c r="E579" s="966">
        <v>18568.398468505759</v>
      </c>
      <c r="F579" s="966">
        <v>18490.575859495599</v>
      </c>
      <c r="G579" s="964">
        <f t="shared" si="3"/>
        <v>77.822609010159795</v>
      </c>
    </row>
    <row r="580" spans="4:7">
      <c r="D580" s="858" t="s">
        <v>1496</v>
      </c>
      <c r="E580" s="966">
        <v>18570.65005721799</v>
      </c>
      <c r="F580" s="966">
        <v>18492.818011502299</v>
      </c>
      <c r="G580" s="964">
        <f t="shared" si="3"/>
        <v>77.832045715691493</v>
      </c>
    </row>
    <row r="581" spans="4:7">
      <c r="D581" s="858" t="s">
        <v>1497</v>
      </c>
      <c r="E581" s="966">
        <v>18572.901645930218</v>
      </c>
      <c r="F581" s="966">
        <v>18495.060163508999</v>
      </c>
      <c r="G581" s="964">
        <f t="shared" si="3"/>
        <v>77.841482421219553</v>
      </c>
    </row>
    <row r="582" spans="4:7">
      <c r="D582" s="858" t="s">
        <v>1498</v>
      </c>
      <c r="E582" s="966">
        <v>18575.15323464245</v>
      </c>
      <c r="F582" s="966">
        <v>18497.302315515801</v>
      </c>
      <c r="G582" s="964">
        <f t="shared" si="3"/>
        <v>77.850919126649387</v>
      </c>
    </row>
    <row r="583" spans="4:7">
      <c r="D583" s="858" t="s">
        <v>1499</v>
      </c>
      <c r="E583" s="966">
        <v>18577.404823354678</v>
      </c>
      <c r="F583" s="966">
        <v>18499.544467522501</v>
      </c>
      <c r="G583" s="964">
        <f t="shared" si="3"/>
        <v>77.860355832177447</v>
      </c>
    </row>
    <row r="584" spans="4:7">
      <c r="D584" s="858" t="s">
        <v>1500</v>
      </c>
      <c r="E584" s="966">
        <v>18579.65641206691</v>
      </c>
      <c r="F584" s="966">
        <v>18501.786619529201</v>
      </c>
      <c r="G584" s="964">
        <f t="shared" si="3"/>
        <v>77.869792537709145</v>
      </c>
    </row>
    <row r="585" spans="4:7">
      <c r="D585" s="858" t="s">
        <v>1501</v>
      </c>
      <c r="E585" s="966">
        <v>18581.908000779138</v>
      </c>
      <c r="F585" s="966">
        <v>18504.028771535901</v>
      </c>
      <c r="G585" s="964">
        <f t="shared" si="3"/>
        <v>77.879229243237205</v>
      </c>
    </row>
    <row r="586" spans="4:7">
      <c r="D586" s="858" t="s">
        <v>1502</v>
      </c>
      <c r="E586" s="966">
        <v>18584.15958949137</v>
      </c>
      <c r="F586" s="966">
        <v>18506.270923542699</v>
      </c>
      <c r="G586" s="964">
        <f t="shared" si="3"/>
        <v>77.888665948670678</v>
      </c>
    </row>
  </sheetData>
  <autoFilter ref="A1:C530">
    <filterColumn colId="2">
      <filters>
        <filter val="KUCME295"/>
      </filters>
    </filterColumn>
  </autoFilter>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E1284"/>
  <sheetViews>
    <sheetView workbookViewId="0"/>
  </sheetViews>
  <sheetFormatPr defaultColWidth="11.33203125" defaultRowHeight="11.25"/>
  <cols>
    <col min="1" max="3" width="11.33203125" style="564"/>
    <col min="4" max="4" width="38.6640625" style="564" bestFit="1" customWidth="1"/>
    <col min="5" max="5" width="11.5" style="564" bestFit="1" customWidth="1"/>
    <col min="6" max="6" width="14" style="564" bestFit="1" customWidth="1"/>
    <col min="7" max="7" width="16.33203125" style="564" bestFit="1" customWidth="1"/>
    <col min="8" max="8" width="11.33203125" style="1002"/>
    <col min="9" max="9" width="13.83203125" style="1002" bestFit="1" customWidth="1"/>
    <col min="10" max="10" width="17.5" style="1002" bestFit="1" customWidth="1"/>
    <col min="11" max="11" width="14.83203125" style="1002" bestFit="1" customWidth="1"/>
    <col min="12" max="12" width="11.33203125" style="1002"/>
    <col min="13" max="13" width="13.83203125" style="1002" bestFit="1" customWidth="1"/>
    <col min="14" max="16384" width="11.33203125" style="564"/>
  </cols>
  <sheetData>
    <row r="1" spans="1:24" ht="12" thickBot="1">
      <c r="A1" s="549"/>
      <c r="B1" s="589"/>
      <c r="C1" s="550"/>
      <c r="D1" s="541"/>
      <c r="E1" s="522" t="s">
        <v>65</v>
      </c>
      <c r="F1" s="522" t="s">
        <v>66</v>
      </c>
      <c r="G1" s="522" t="s">
        <v>3</v>
      </c>
      <c r="H1" s="1000"/>
      <c r="I1" s="1001"/>
      <c r="J1" s="1001"/>
      <c r="K1" s="1001"/>
      <c r="L1" s="1001"/>
      <c r="M1" s="1001"/>
      <c r="N1" s="550"/>
      <c r="O1" s="541"/>
      <c r="P1" s="522" t="s">
        <v>65</v>
      </c>
      <c r="Q1" s="522" t="s">
        <v>71</v>
      </c>
      <c r="R1" s="522" t="s">
        <v>66</v>
      </c>
      <c r="S1" s="522" t="s">
        <v>3</v>
      </c>
      <c r="T1" s="522" t="s">
        <v>62</v>
      </c>
      <c r="U1" s="522" t="s">
        <v>72</v>
      </c>
      <c r="V1" s="522" t="s">
        <v>63</v>
      </c>
      <c r="W1" s="522" t="s">
        <v>73</v>
      </c>
      <c r="X1" s="522" t="s">
        <v>74</v>
      </c>
    </row>
    <row r="2" spans="1:24" ht="12" thickBot="1">
      <c r="A2" s="522" t="s">
        <v>0</v>
      </c>
      <c r="B2" s="522" t="s">
        <v>75</v>
      </c>
      <c r="C2" s="522" t="s">
        <v>6</v>
      </c>
      <c r="D2" s="557"/>
      <c r="E2" s="541"/>
      <c r="F2" s="541" t="s">
        <v>7</v>
      </c>
      <c r="G2" s="541" t="s">
        <v>8</v>
      </c>
      <c r="H2" s="999"/>
      <c r="I2" s="999"/>
      <c r="J2" s="999"/>
      <c r="K2" s="999"/>
      <c r="L2" s="999"/>
      <c r="M2" s="999"/>
      <c r="N2" s="587"/>
      <c r="O2" s="587"/>
      <c r="P2" s="587"/>
      <c r="Q2" s="587"/>
      <c r="R2" s="587"/>
      <c r="S2" s="587"/>
      <c r="T2" s="587"/>
      <c r="U2" s="587"/>
      <c r="V2" s="587"/>
      <c r="W2" s="587"/>
      <c r="X2" s="587"/>
    </row>
    <row r="3" spans="1:24" ht="12" thickBot="1">
      <c r="A3" s="588" t="s">
        <v>1468</v>
      </c>
      <c r="B3" s="522" t="s">
        <v>436</v>
      </c>
      <c r="C3" s="522" t="s">
        <v>449</v>
      </c>
      <c r="D3" s="522" t="s">
        <v>448</v>
      </c>
      <c r="E3" s="524"/>
      <c r="F3" s="525"/>
      <c r="G3" s="525"/>
      <c r="H3" s="999"/>
      <c r="I3" s="999"/>
      <c r="J3" s="999"/>
      <c r="K3" s="999"/>
      <c r="L3" s="999"/>
      <c r="M3" s="847">
        <f>'12MonLights'!$O$89</f>
        <v>2120256.25</v>
      </c>
      <c r="N3" s="587" t="s">
        <v>1520</v>
      </c>
      <c r="O3" s="587"/>
      <c r="P3" s="587"/>
      <c r="Q3" s="587"/>
      <c r="R3" s="1004" t="s">
        <v>1518</v>
      </c>
      <c r="S3" s="587"/>
      <c r="T3" s="587"/>
      <c r="U3" s="587"/>
      <c r="V3" s="587"/>
      <c r="W3" s="587"/>
      <c r="X3" s="587"/>
    </row>
    <row r="4" spans="1:24" ht="12" thickBot="1">
      <c r="A4" s="588" t="s">
        <v>1468</v>
      </c>
      <c r="B4" s="522" t="s">
        <v>436</v>
      </c>
      <c r="C4" s="522" t="s">
        <v>447</v>
      </c>
      <c r="D4" s="522" t="s">
        <v>446</v>
      </c>
      <c r="E4" s="530"/>
      <c r="F4" s="531"/>
      <c r="G4" s="531"/>
      <c r="H4" s="999"/>
      <c r="I4" s="999"/>
      <c r="J4" s="999"/>
      <c r="K4" s="999"/>
      <c r="L4" s="999"/>
      <c r="M4" s="1005">
        <f>'12MonResults'!$AV$23</f>
        <v>1333.1</v>
      </c>
      <c r="N4" s="587" t="s">
        <v>1521</v>
      </c>
      <c r="O4" s="587"/>
      <c r="P4" s="587"/>
      <c r="Q4" s="587"/>
      <c r="R4" s="587"/>
      <c r="S4" s="587"/>
      <c r="T4" s="587"/>
      <c r="U4" s="587"/>
      <c r="V4" s="587"/>
      <c r="W4" s="587"/>
      <c r="X4" s="587"/>
    </row>
    <row r="5" spans="1:24" ht="14.25" thickBot="1">
      <c r="A5" s="588" t="s">
        <v>1468</v>
      </c>
      <c r="B5" s="522" t="s">
        <v>436</v>
      </c>
      <c r="C5" s="522" t="s">
        <v>339</v>
      </c>
      <c r="D5" s="522" t="s">
        <v>952</v>
      </c>
      <c r="E5" s="1009">
        <v>172</v>
      </c>
      <c r="F5" s="525">
        <v>12991</v>
      </c>
      <c r="G5" s="525">
        <v>9519.0300000000007</v>
      </c>
      <c r="H5" s="999">
        <f t="shared" ref="H5:H36" si="0">SUMIF(_Lights_Tariff_Category,20140101&amp;$C5,_Lights_Rates)</f>
        <v>55.33</v>
      </c>
      <c r="I5" s="1008">
        <f>E5*H5</f>
        <v>9516.76</v>
      </c>
      <c r="J5" s="1005">
        <f>I5/$M7*$M8</f>
        <v>-60.624209187577549</v>
      </c>
      <c r="K5" s="999">
        <f>ROUND((I5+J5)/H5,0)</f>
        <v>171</v>
      </c>
      <c r="L5" s="999">
        <f>$M8/H5</f>
        <v>-244.10988613772082</v>
      </c>
      <c r="M5" s="1007">
        <f>'12MonResults'!$AV$25</f>
        <v>12170</v>
      </c>
      <c r="N5" s="1006" t="s">
        <v>1522</v>
      </c>
      <c r="O5" s="587"/>
      <c r="P5" s="587"/>
      <c r="Q5" s="587"/>
      <c r="R5" s="587"/>
      <c r="S5" s="587"/>
      <c r="T5" s="587"/>
      <c r="U5" s="587"/>
      <c r="V5" s="587"/>
      <c r="W5" s="587"/>
      <c r="X5" s="587"/>
    </row>
    <row r="6" spans="1:24" ht="12" thickBot="1">
      <c r="A6" s="588" t="s">
        <v>1468</v>
      </c>
      <c r="B6" s="522" t="s">
        <v>436</v>
      </c>
      <c r="C6" s="522" t="s">
        <v>344</v>
      </c>
      <c r="D6" s="522" t="s">
        <v>953</v>
      </c>
      <c r="E6" s="1010">
        <v>26</v>
      </c>
      <c r="F6" s="531">
        <v>2025</v>
      </c>
      <c r="G6" s="531">
        <v>2175.67</v>
      </c>
      <c r="H6" s="999">
        <f t="shared" si="0"/>
        <v>83.16</v>
      </c>
      <c r="I6" s="1008">
        <f t="shared" ref="I6:I69" si="1">E6*H6</f>
        <v>2162.16</v>
      </c>
      <c r="J6" s="1005">
        <f>I6/$M7*$M8</f>
        <v>-13.773515370463548</v>
      </c>
      <c r="K6" s="999">
        <f t="shared" ref="K6:K69" si="2">ROUND((I6+J6)/H6,0)</f>
        <v>26</v>
      </c>
      <c r="L6" s="999">
        <f>$M8/H6</f>
        <v>-162.41702741702855</v>
      </c>
      <c r="M6" s="1005">
        <f>M3-M4-M5</f>
        <v>2106753.15</v>
      </c>
      <c r="N6" s="587" t="s">
        <v>1523</v>
      </c>
      <c r="O6" s="587"/>
      <c r="P6" s="587"/>
      <c r="Q6" s="587"/>
      <c r="R6" s="587"/>
      <c r="S6" s="587"/>
      <c r="T6" s="587"/>
      <c r="U6" s="587"/>
      <c r="V6" s="587"/>
      <c r="W6" s="587"/>
      <c r="X6" s="587"/>
    </row>
    <row r="7" spans="1:24" ht="12" thickBot="1">
      <c r="A7" s="588" t="s">
        <v>1468</v>
      </c>
      <c r="B7" s="522" t="s">
        <v>436</v>
      </c>
      <c r="C7" s="522" t="s">
        <v>347</v>
      </c>
      <c r="D7" s="522" t="s">
        <v>954</v>
      </c>
      <c r="E7" s="1009">
        <v>44</v>
      </c>
      <c r="F7" s="525">
        <v>2792</v>
      </c>
      <c r="G7" s="525">
        <v>2643.64</v>
      </c>
      <c r="H7" s="999">
        <f t="shared" si="0"/>
        <v>59.78</v>
      </c>
      <c r="I7" s="1008">
        <f t="shared" si="1"/>
        <v>2630.32</v>
      </c>
      <c r="J7" s="1005">
        <f>I7/$M7*$M8</f>
        <v>-16.755814994837426</v>
      </c>
      <c r="K7" s="999">
        <f t="shared" si="2"/>
        <v>44</v>
      </c>
      <c r="L7" s="999">
        <f>$M8/H7</f>
        <v>-225.93844095015211</v>
      </c>
      <c r="M7" s="1005">
        <f>I86</f>
        <v>2120259.75</v>
      </c>
      <c r="N7" s="587" t="s">
        <v>1524</v>
      </c>
      <c r="O7" s="587"/>
      <c r="P7" s="587"/>
      <c r="Q7" s="587"/>
      <c r="R7" s="587"/>
      <c r="S7" s="587"/>
      <c r="T7" s="587"/>
      <c r="U7" s="587"/>
      <c r="V7" s="587"/>
      <c r="W7" s="587"/>
      <c r="X7" s="587"/>
    </row>
    <row r="8" spans="1:24" ht="12" thickBot="1">
      <c r="A8" s="588" t="s">
        <v>1468</v>
      </c>
      <c r="B8" s="522" t="s">
        <v>436</v>
      </c>
      <c r="C8" s="522" t="s">
        <v>348</v>
      </c>
      <c r="D8" s="522" t="s">
        <v>955</v>
      </c>
      <c r="E8" s="1010">
        <v>5</v>
      </c>
      <c r="F8" s="531">
        <v>409</v>
      </c>
      <c r="G8" s="531">
        <v>297.85000000000002</v>
      </c>
      <c r="H8" s="999">
        <f t="shared" si="0"/>
        <v>61.75</v>
      </c>
      <c r="I8" s="1008">
        <f t="shared" si="1"/>
        <v>308.75</v>
      </c>
      <c r="J8" s="1005">
        <f>I8/$M7*$M8</f>
        <v>-1.9668169194835818</v>
      </c>
      <c r="K8" s="999">
        <f t="shared" si="2"/>
        <v>5</v>
      </c>
      <c r="L8" s="999">
        <f>$M8/H8</f>
        <v>-218.73036437247114</v>
      </c>
      <c r="M8" s="1005">
        <f>M6-M7</f>
        <v>-13506.600000000093</v>
      </c>
      <c r="N8" s="587"/>
      <c r="O8" s="587"/>
      <c r="P8" s="587"/>
      <c r="Q8" s="587"/>
      <c r="R8" s="587"/>
      <c r="S8" s="587"/>
      <c r="T8" s="587"/>
      <c r="U8" s="587"/>
      <c r="V8" s="587"/>
      <c r="W8" s="587"/>
      <c r="X8" s="587"/>
    </row>
    <row r="9" spans="1:24" ht="12" thickBot="1">
      <c r="A9" s="588" t="s">
        <v>1468</v>
      </c>
      <c r="B9" s="522" t="s">
        <v>436</v>
      </c>
      <c r="C9" s="522" t="s">
        <v>349</v>
      </c>
      <c r="D9" s="522" t="s">
        <v>956</v>
      </c>
      <c r="E9" s="1009">
        <v>1</v>
      </c>
      <c r="F9" s="525">
        <v>82</v>
      </c>
      <c r="G9" s="525">
        <v>60.93</v>
      </c>
      <c r="H9" s="999">
        <f t="shared" si="0"/>
        <v>63.11</v>
      </c>
      <c r="I9" s="1008">
        <f t="shared" si="1"/>
        <v>63.11</v>
      </c>
      <c r="J9" s="1005">
        <f>I9/$M7*$M8</f>
        <v>-0.40202693372828768</v>
      </c>
      <c r="K9" s="999">
        <f t="shared" si="2"/>
        <v>1</v>
      </c>
      <c r="L9" s="999">
        <f>$M8/H9</f>
        <v>-214.01679607035484</v>
      </c>
      <c r="M9" s="999"/>
      <c r="N9" s="587"/>
      <c r="O9" s="587"/>
      <c r="P9" s="587"/>
      <c r="Q9" s="587"/>
      <c r="R9" s="587"/>
      <c r="S9" s="587"/>
      <c r="T9" s="587"/>
      <c r="U9" s="587"/>
      <c r="V9" s="587"/>
      <c r="W9" s="587"/>
      <c r="X9" s="587"/>
    </row>
    <row r="10" spans="1:24" ht="12" thickBot="1">
      <c r="A10" s="588" t="s">
        <v>1468</v>
      </c>
      <c r="B10" s="522" t="s">
        <v>436</v>
      </c>
      <c r="C10" s="522" t="s">
        <v>351</v>
      </c>
      <c r="D10" s="522" t="s">
        <v>957</v>
      </c>
      <c r="E10" s="1010">
        <v>5</v>
      </c>
      <c r="F10" s="531">
        <v>398</v>
      </c>
      <c r="G10" s="531">
        <v>393.8</v>
      </c>
      <c r="H10" s="999">
        <f t="shared" si="0"/>
        <v>80.94</v>
      </c>
      <c r="I10" s="1008">
        <f t="shared" si="1"/>
        <v>404.7</v>
      </c>
      <c r="J10" s="1005">
        <f>I10/$M7*$M8</f>
        <v>-2.5780431006154019</v>
      </c>
      <c r="K10" s="999">
        <f t="shared" si="2"/>
        <v>5</v>
      </c>
      <c r="L10" s="999">
        <f>$M8/H10</f>
        <v>-166.87175685693222</v>
      </c>
      <c r="M10" s="999"/>
      <c r="N10" s="587"/>
      <c r="O10" s="587"/>
      <c r="P10" s="587"/>
      <c r="Q10" s="587"/>
      <c r="R10" s="587"/>
      <c r="S10" s="587"/>
      <c r="T10" s="587"/>
      <c r="U10" s="587"/>
      <c r="V10" s="587"/>
      <c r="W10" s="587"/>
      <c r="X10" s="587"/>
    </row>
    <row r="11" spans="1:24" ht="12" thickBot="1">
      <c r="A11" s="588" t="s">
        <v>1468</v>
      </c>
      <c r="B11" s="522" t="s">
        <v>436</v>
      </c>
      <c r="C11" s="522" t="s">
        <v>352</v>
      </c>
      <c r="D11" s="522" t="s">
        <v>958</v>
      </c>
      <c r="E11" s="1009">
        <v>10</v>
      </c>
      <c r="F11" s="525">
        <v>790</v>
      </c>
      <c r="G11" s="525">
        <v>762.78</v>
      </c>
      <c r="H11" s="999">
        <f t="shared" si="0"/>
        <v>78.97</v>
      </c>
      <c r="I11" s="1008">
        <f t="shared" si="1"/>
        <v>789.7</v>
      </c>
      <c r="J11" s="1005">
        <f>I11/$M7*$M8</f>
        <v>-5.0305921338176018</v>
      </c>
      <c r="K11" s="999">
        <f t="shared" si="2"/>
        <v>10</v>
      </c>
      <c r="L11" s="999">
        <f>$M8/H11</f>
        <v>-171.03457008990875</v>
      </c>
      <c r="M11" s="999"/>
      <c r="N11" s="587"/>
      <c r="O11" s="587"/>
      <c r="P11" s="587"/>
      <c r="Q11" s="587"/>
      <c r="R11" s="587"/>
      <c r="S11" s="587"/>
      <c r="T11" s="587"/>
      <c r="U11" s="587"/>
      <c r="V11" s="587"/>
      <c r="W11" s="587"/>
      <c r="X11" s="587"/>
    </row>
    <row r="12" spans="1:24" ht="12" thickBot="1">
      <c r="A12" s="588" t="s">
        <v>1468</v>
      </c>
      <c r="B12" s="522" t="s">
        <v>436</v>
      </c>
      <c r="C12" s="522" t="s">
        <v>354</v>
      </c>
      <c r="D12" s="522" t="s">
        <v>959</v>
      </c>
      <c r="E12" s="1010">
        <v>24</v>
      </c>
      <c r="F12" s="531">
        <v>1847</v>
      </c>
      <c r="G12" s="531">
        <v>1476.25</v>
      </c>
      <c r="H12" s="999">
        <f t="shared" si="0"/>
        <v>61.230000000000004</v>
      </c>
      <c r="I12" s="1008">
        <f t="shared" si="1"/>
        <v>1469.52</v>
      </c>
      <c r="J12" s="1005">
        <f>I12/$M7*$M8</f>
        <v>-9.361220403302065</v>
      </c>
      <c r="K12" s="999">
        <f t="shared" si="2"/>
        <v>24</v>
      </c>
      <c r="L12" s="999">
        <f>$M8/H12</f>
        <v>-220.58794708476387</v>
      </c>
      <c r="M12" s="999"/>
      <c r="N12" s="587"/>
      <c r="O12" s="587"/>
      <c r="P12" s="587"/>
      <c r="Q12" s="587"/>
      <c r="R12" s="587"/>
      <c r="S12" s="587"/>
      <c r="T12" s="587"/>
      <c r="U12" s="587"/>
      <c r="V12" s="587"/>
      <c r="W12" s="587"/>
      <c r="X12" s="587"/>
    </row>
    <row r="13" spans="1:24" ht="12" thickBot="1">
      <c r="A13" s="588" t="s">
        <v>1468</v>
      </c>
      <c r="B13" s="522" t="s">
        <v>436</v>
      </c>
      <c r="C13" s="522" t="s">
        <v>355</v>
      </c>
      <c r="D13" s="522" t="s">
        <v>960</v>
      </c>
      <c r="E13" s="1009">
        <v>1</v>
      </c>
      <c r="F13" s="525">
        <v>82</v>
      </c>
      <c r="G13" s="525">
        <v>54.51</v>
      </c>
      <c r="H13" s="999">
        <f t="shared" si="0"/>
        <v>56.69</v>
      </c>
      <c r="I13" s="1008">
        <f t="shared" si="1"/>
        <v>56.69</v>
      </c>
      <c r="J13" s="1005">
        <f>I13/$M7*$M8</f>
        <v>-0.36112988231748744</v>
      </c>
      <c r="K13" s="999">
        <f t="shared" si="2"/>
        <v>1</v>
      </c>
      <c r="L13" s="999">
        <f>$M8/H13</f>
        <v>-238.25366025754266</v>
      </c>
      <c r="M13" s="999"/>
      <c r="N13" s="587"/>
      <c r="O13" s="587"/>
      <c r="P13" s="587"/>
      <c r="Q13" s="587"/>
      <c r="R13" s="587"/>
      <c r="S13" s="587"/>
      <c r="T13" s="587"/>
      <c r="U13" s="587"/>
      <c r="V13" s="587"/>
      <c r="W13" s="587"/>
      <c r="X13" s="587"/>
    </row>
    <row r="14" spans="1:24" ht="12" thickBot="1">
      <c r="A14" s="588" t="s">
        <v>1468</v>
      </c>
      <c r="B14" s="522" t="s">
        <v>436</v>
      </c>
      <c r="C14" s="522" t="s">
        <v>341</v>
      </c>
      <c r="D14" s="522" t="s">
        <v>961</v>
      </c>
      <c r="E14" s="1010">
        <v>16</v>
      </c>
      <c r="F14" s="531">
        <v>1258</v>
      </c>
      <c r="G14" s="531">
        <v>1156.98</v>
      </c>
      <c r="H14" s="999">
        <f t="shared" si="0"/>
        <v>74.52</v>
      </c>
      <c r="I14" s="1008">
        <f t="shared" si="1"/>
        <v>1192.32</v>
      </c>
      <c r="J14" s="1005">
        <f>I14/$M7*$M8</f>
        <v>-7.5953850993964815</v>
      </c>
      <c r="K14" s="999">
        <f t="shared" si="2"/>
        <v>16</v>
      </c>
      <c r="L14" s="999">
        <f>$M8/H14</f>
        <v>-181.24798711755361</v>
      </c>
      <c r="M14" s="999"/>
      <c r="N14" s="587"/>
      <c r="O14" s="587"/>
      <c r="P14" s="587"/>
      <c r="Q14" s="587"/>
      <c r="R14" s="587"/>
      <c r="S14" s="587"/>
      <c r="T14" s="587"/>
      <c r="U14" s="587"/>
      <c r="V14" s="587"/>
      <c r="W14" s="587"/>
      <c r="X14" s="587"/>
    </row>
    <row r="15" spans="1:24" ht="12" thickBot="1">
      <c r="A15" s="588" t="s">
        <v>1468</v>
      </c>
      <c r="B15" s="522" t="s">
        <v>436</v>
      </c>
      <c r="C15" s="522" t="s">
        <v>350</v>
      </c>
      <c r="D15" s="522" t="s">
        <v>962</v>
      </c>
      <c r="E15" s="1009">
        <v>1</v>
      </c>
      <c r="F15" s="525">
        <v>82</v>
      </c>
      <c r="G15" s="525">
        <v>80.12</v>
      </c>
      <c r="H15" s="999">
        <f t="shared" si="0"/>
        <v>82.3</v>
      </c>
      <c r="I15" s="1008">
        <f t="shared" si="1"/>
        <v>82.3</v>
      </c>
      <c r="J15" s="1005">
        <f>I15/$M7*$M8</f>
        <v>-0.52427216995465187</v>
      </c>
      <c r="K15" s="999">
        <f t="shared" si="2"/>
        <v>1</v>
      </c>
      <c r="L15" s="999">
        <f>$M8/H15</f>
        <v>-164.11421628189663</v>
      </c>
      <c r="M15" s="999"/>
      <c r="N15" s="587"/>
      <c r="O15" s="587"/>
      <c r="P15" s="587"/>
      <c r="Q15" s="587"/>
      <c r="R15" s="587"/>
      <c r="S15" s="587"/>
      <c r="T15" s="587"/>
      <c r="U15" s="587"/>
      <c r="V15" s="587"/>
      <c r="W15" s="587"/>
      <c r="X15" s="587"/>
    </row>
    <row r="16" spans="1:24" ht="12" thickBot="1">
      <c r="A16" s="588" t="s">
        <v>1468</v>
      </c>
      <c r="B16" s="522" t="s">
        <v>436</v>
      </c>
      <c r="C16" s="522" t="s">
        <v>342</v>
      </c>
      <c r="D16" s="522" t="s">
        <v>963</v>
      </c>
      <c r="E16" s="1010">
        <v>19</v>
      </c>
      <c r="F16" s="531">
        <v>1420</v>
      </c>
      <c r="G16" s="531">
        <v>1446.8</v>
      </c>
      <c r="H16" s="999">
        <f t="shared" si="0"/>
        <v>74.52</v>
      </c>
      <c r="I16" s="1008">
        <f t="shared" si="1"/>
        <v>1415.8799999999999</v>
      </c>
      <c r="J16" s="1005">
        <f>I16/$M7*$M8</f>
        <v>-9.0195198055333226</v>
      </c>
      <c r="K16" s="999">
        <f t="shared" si="2"/>
        <v>19</v>
      </c>
      <c r="L16" s="999">
        <f>$M8/H16</f>
        <v>-181.24798711755361</v>
      </c>
      <c r="M16" s="999"/>
      <c r="N16" s="587"/>
      <c r="O16" s="587"/>
      <c r="P16" s="587"/>
      <c r="Q16" s="587"/>
      <c r="R16" s="587"/>
      <c r="S16" s="587"/>
      <c r="T16" s="587"/>
      <c r="U16" s="587"/>
      <c r="V16" s="587"/>
      <c r="W16" s="587"/>
      <c r="X16" s="587"/>
    </row>
    <row r="17" spans="1:24" ht="12" thickBot="1">
      <c r="A17" s="588" t="s">
        <v>1468</v>
      </c>
      <c r="B17" s="522" t="s">
        <v>436</v>
      </c>
      <c r="C17" s="522" t="s">
        <v>346</v>
      </c>
      <c r="D17" s="522" t="s">
        <v>964</v>
      </c>
      <c r="E17" s="1009">
        <v>4</v>
      </c>
      <c r="F17" s="525">
        <v>305</v>
      </c>
      <c r="G17" s="525">
        <v>294.8</v>
      </c>
      <c r="H17" s="999">
        <f t="shared" si="0"/>
        <v>75.88</v>
      </c>
      <c r="I17" s="1008">
        <f t="shared" si="1"/>
        <v>303.52</v>
      </c>
      <c r="J17" s="1005">
        <f>I17/$M7*$M8</f>
        <v>-1.933500474175406</v>
      </c>
      <c r="K17" s="999">
        <f t="shared" si="2"/>
        <v>4</v>
      </c>
      <c r="L17" s="999">
        <f>$M8/H17</f>
        <v>-177.99947285187261</v>
      </c>
      <c r="M17" s="999"/>
      <c r="N17" s="587"/>
      <c r="O17" s="587"/>
      <c r="P17" s="587"/>
      <c r="Q17" s="587"/>
      <c r="R17" s="587"/>
      <c r="S17" s="587"/>
      <c r="T17" s="587"/>
      <c r="U17" s="587"/>
      <c r="V17" s="587"/>
      <c r="W17" s="587"/>
      <c r="X17" s="587"/>
    </row>
    <row r="18" spans="1:24" ht="12" thickBot="1">
      <c r="A18" s="588" t="s">
        <v>1468</v>
      </c>
      <c r="B18" s="522" t="s">
        <v>436</v>
      </c>
      <c r="C18" s="522" t="s">
        <v>353</v>
      </c>
      <c r="D18" s="522" t="s">
        <v>965</v>
      </c>
      <c r="E18" s="1010">
        <v>3</v>
      </c>
      <c r="F18" s="531">
        <v>213</v>
      </c>
      <c r="G18" s="531">
        <v>230.37</v>
      </c>
      <c r="H18" s="999">
        <f t="shared" si="0"/>
        <v>78.97</v>
      </c>
      <c r="I18" s="1008">
        <f t="shared" si="1"/>
        <v>236.91</v>
      </c>
      <c r="J18" s="1005">
        <f>I18/$M7*$M8</f>
        <v>-1.5091776401452803</v>
      </c>
      <c r="K18" s="999">
        <f t="shared" si="2"/>
        <v>3</v>
      </c>
      <c r="L18" s="999">
        <f>$M8/H18</f>
        <v>-171.03457008990875</v>
      </c>
      <c r="M18" s="999"/>
      <c r="N18" s="587"/>
      <c r="O18" s="587"/>
      <c r="P18" s="587"/>
      <c r="Q18" s="587"/>
      <c r="R18" s="587"/>
      <c r="S18" s="587"/>
      <c r="T18" s="587"/>
      <c r="U18" s="587"/>
      <c r="V18" s="587"/>
      <c r="W18" s="587"/>
      <c r="X18" s="587"/>
    </row>
    <row r="19" spans="1:24" ht="12" thickBot="1">
      <c r="A19" s="588" t="s">
        <v>1468</v>
      </c>
      <c r="B19" s="522" t="s">
        <v>436</v>
      </c>
      <c r="C19" s="522" t="s">
        <v>345</v>
      </c>
      <c r="D19" s="522" t="s">
        <v>966</v>
      </c>
      <c r="E19" s="1009">
        <v>2</v>
      </c>
      <c r="F19" s="525">
        <v>142</v>
      </c>
      <c r="G19" s="525">
        <v>150.16</v>
      </c>
      <c r="H19" s="999">
        <f t="shared" si="0"/>
        <v>77.259999999999991</v>
      </c>
      <c r="I19" s="1008">
        <f t="shared" si="1"/>
        <v>154.51999999999998</v>
      </c>
      <c r="J19" s="1005">
        <f>I19/$M7*$M8</f>
        <v>-0.98433214704000971</v>
      </c>
      <c r="K19" s="999">
        <f t="shared" si="2"/>
        <v>2</v>
      </c>
      <c r="L19" s="999">
        <f>$M8/H19</f>
        <v>-174.82008801449774</v>
      </c>
      <c r="M19" s="999"/>
      <c r="N19" s="587"/>
      <c r="O19" s="587"/>
      <c r="P19" s="587"/>
      <c r="Q19" s="587"/>
      <c r="R19" s="587"/>
      <c r="S19" s="587"/>
      <c r="T19" s="587"/>
      <c r="U19" s="587"/>
      <c r="V19" s="587"/>
      <c r="W19" s="587"/>
      <c r="X19" s="587"/>
    </row>
    <row r="20" spans="1:24" ht="12" thickBot="1">
      <c r="A20" s="588" t="s">
        <v>1468</v>
      </c>
      <c r="B20" s="522" t="s">
        <v>436</v>
      </c>
      <c r="C20" s="522" t="s">
        <v>343</v>
      </c>
      <c r="D20" s="522" t="s">
        <v>967</v>
      </c>
      <c r="E20" s="1010">
        <v>49</v>
      </c>
      <c r="F20" s="531">
        <v>3728</v>
      </c>
      <c r="G20" s="531">
        <v>3162.51</v>
      </c>
      <c r="H20" s="999">
        <f t="shared" si="0"/>
        <v>64.19</v>
      </c>
      <c r="I20" s="1008">
        <f t="shared" si="1"/>
        <v>3145.31</v>
      </c>
      <c r="J20" s="1005">
        <f>I20/$M7*$M8</f>
        <v>-20.036433765249889</v>
      </c>
      <c r="K20" s="999">
        <f t="shared" si="2"/>
        <v>49</v>
      </c>
      <c r="L20" s="999">
        <f>$M8/H20</f>
        <v>-210.41595264059967</v>
      </c>
      <c r="M20" s="999"/>
      <c r="N20" s="587"/>
      <c r="O20" s="587"/>
      <c r="P20" s="587"/>
      <c r="Q20" s="587"/>
      <c r="R20" s="587"/>
      <c r="S20" s="587"/>
      <c r="T20" s="587"/>
      <c r="U20" s="587"/>
      <c r="V20" s="587"/>
      <c r="W20" s="587"/>
      <c r="X20" s="587"/>
    </row>
    <row r="21" spans="1:24" ht="12" thickBot="1">
      <c r="A21" s="588" t="s">
        <v>1468</v>
      </c>
      <c r="B21" s="522" t="s">
        <v>436</v>
      </c>
      <c r="C21" s="522" t="s">
        <v>472</v>
      </c>
      <c r="D21" s="522" t="s">
        <v>968</v>
      </c>
      <c r="E21" s="1009">
        <v>2</v>
      </c>
      <c r="F21" s="525">
        <v>144</v>
      </c>
      <c r="G21" s="525">
        <v>147.44</v>
      </c>
      <c r="H21" s="999">
        <f t="shared" si="0"/>
        <v>75.899999999999991</v>
      </c>
      <c r="I21" s="1008">
        <f t="shared" si="1"/>
        <v>151.79999999999998</v>
      </c>
      <c r="J21" s="1005">
        <f>I21/$M7*$M8</f>
        <v>-0.96700504737686688</v>
      </c>
      <c r="K21" s="999">
        <f t="shared" si="2"/>
        <v>2</v>
      </c>
      <c r="L21" s="999">
        <f>$M8/H21</f>
        <v>-177.95256916996172</v>
      </c>
      <c r="M21" s="999"/>
      <c r="N21" s="587"/>
      <c r="O21" s="587"/>
      <c r="P21" s="587"/>
      <c r="Q21" s="587"/>
      <c r="R21" s="587"/>
      <c r="S21" s="587"/>
      <c r="T21" s="587"/>
      <c r="U21" s="587"/>
      <c r="V21" s="587"/>
      <c r="W21" s="587"/>
      <c r="X21" s="587"/>
    </row>
    <row r="22" spans="1:24" ht="12" thickBot="1">
      <c r="A22" s="588" t="s">
        <v>1468</v>
      </c>
      <c r="B22" s="522" t="s">
        <v>436</v>
      </c>
      <c r="C22" s="522" t="s">
        <v>382</v>
      </c>
      <c r="D22" s="522" t="s">
        <v>969</v>
      </c>
      <c r="E22" s="1010">
        <v>52</v>
      </c>
      <c r="F22" s="531">
        <v>1911</v>
      </c>
      <c r="G22" s="531">
        <v>768.04</v>
      </c>
      <c r="H22" s="999">
        <f t="shared" si="0"/>
        <v>14.860000000000001</v>
      </c>
      <c r="I22" s="1008">
        <f t="shared" si="1"/>
        <v>772.72</v>
      </c>
      <c r="J22" s="1005">
        <f>I22/$M7*$M8</f>
        <v>-4.9224251660675407</v>
      </c>
      <c r="K22" s="999">
        <f t="shared" si="2"/>
        <v>52</v>
      </c>
      <c r="L22" s="999">
        <f>$M8/H22</f>
        <v>-908.92328398385541</v>
      </c>
      <c r="M22" s="999"/>
      <c r="N22" s="587"/>
      <c r="O22" s="587"/>
      <c r="P22" s="587"/>
      <c r="Q22" s="587"/>
      <c r="R22" s="587"/>
      <c r="S22" s="587"/>
      <c r="T22" s="587"/>
      <c r="U22" s="587"/>
      <c r="V22" s="587"/>
      <c r="W22" s="587"/>
      <c r="X22" s="587"/>
    </row>
    <row r="23" spans="1:24" ht="12" thickBot="1">
      <c r="A23" s="588" t="s">
        <v>1468</v>
      </c>
      <c r="B23" s="522" t="s">
        <v>436</v>
      </c>
      <c r="C23" s="522" t="s">
        <v>402</v>
      </c>
      <c r="D23" s="522" t="s">
        <v>970</v>
      </c>
      <c r="E23" s="1009">
        <v>7293</v>
      </c>
      <c r="F23" s="525">
        <v>680217</v>
      </c>
      <c r="G23" s="525">
        <v>77078.86</v>
      </c>
      <c r="H23" s="999">
        <f t="shared" si="0"/>
        <v>10.570000000000002</v>
      </c>
      <c r="I23" s="1008">
        <f t="shared" si="1"/>
        <v>77087.010000000009</v>
      </c>
      <c r="J23" s="1005">
        <f>I23/$M7*$M8</f>
        <v>-491.06408272194352</v>
      </c>
      <c r="K23" s="999">
        <f t="shared" si="2"/>
        <v>7247</v>
      </c>
      <c r="L23" s="999">
        <f>$M8/H23</f>
        <v>-1277.82403027437</v>
      </c>
      <c r="M23" s="999"/>
      <c r="N23" s="587"/>
      <c r="O23" s="587"/>
      <c r="P23" s="587"/>
      <c r="Q23" s="587"/>
      <c r="R23" s="587"/>
      <c r="S23" s="587"/>
      <c r="T23" s="587"/>
      <c r="U23" s="587"/>
      <c r="V23" s="587"/>
      <c r="W23" s="587"/>
      <c r="X23" s="587"/>
    </row>
    <row r="24" spans="1:24" ht="12" thickBot="1">
      <c r="A24" s="588" t="s">
        <v>1468</v>
      </c>
      <c r="B24" s="522" t="s">
        <v>436</v>
      </c>
      <c r="C24" s="522" t="s">
        <v>398</v>
      </c>
      <c r="D24" s="522" t="s">
        <v>971</v>
      </c>
      <c r="E24" s="1010">
        <v>147</v>
      </c>
      <c r="F24" s="531">
        <v>31244</v>
      </c>
      <c r="G24" s="531">
        <v>1717.6</v>
      </c>
      <c r="H24" s="999">
        <f t="shared" si="0"/>
        <v>11.71</v>
      </c>
      <c r="I24" s="1008">
        <f t="shared" si="1"/>
        <v>1721.3700000000001</v>
      </c>
      <c r="J24" s="1005">
        <f>I24/$M7*$M8</f>
        <v>-10.965569686450049</v>
      </c>
      <c r="K24" s="999">
        <f t="shared" si="2"/>
        <v>146</v>
      </c>
      <c r="L24" s="999">
        <f>$M8/H24</f>
        <v>-1153.4244235696065</v>
      </c>
      <c r="M24" s="999"/>
      <c r="N24" s="587"/>
      <c r="O24" s="587"/>
      <c r="P24" s="587"/>
      <c r="Q24" s="587"/>
      <c r="R24" s="587"/>
      <c r="S24" s="587"/>
      <c r="T24" s="587"/>
      <c r="U24" s="587"/>
      <c r="V24" s="587"/>
      <c r="W24" s="587"/>
      <c r="X24" s="587"/>
    </row>
    <row r="25" spans="1:24" ht="12" thickBot="1">
      <c r="A25" s="588" t="s">
        <v>1468</v>
      </c>
      <c r="B25" s="522" t="s">
        <v>436</v>
      </c>
      <c r="C25" s="522" t="s">
        <v>376</v>
      </c>
      <c r="D25" s="522" t="s">
        <v>972</v>
      </c>
      <c r="E25" s="1010">
        <v>240</v>
      </c>
      <c r="F25" s="531">
        <v>6687</v>
      </c>
      <c r="G25" s="531">
        <v>4862.3999999999996</v>
      </c>
      <c r="H25" s="999">
        <f t="shared" si="0"/>
        <v>20.259999999999998</v>
      </c>
      <c r="I25" s="1008">
        <f t="shared" si="1"/>
        <v>4862.3999999999996</v>
      </c>
      <c r="J25" s="1005">
        <f>I25/$M7*$M8</f>
        <v>-30.974738750759407</v>
      </c>
      <c r="K25" s="999">
        <f t="shared" si="2"/>
        <v>238</v>
      </c>
      <c r="L25" s="999">
        <f>$M8/H25</f>
        <v>-666.66337611056736</v>
      </c>
      <c r="M25" s="999"/>
      <c r="N25" s="587"/>
      <c r="O25" s="587"/>
      <c r="P25" s="587"/>
      <c r="Q25" s="587"/>
      <c r="R25" s="587"/>
      <c r="S25" s="587"/>
      <c r="T25" s="587"/>
      <c r="U25" s="587"/>
      <c r="V25" s="587"/>
      <c r="W25" s="587"/>
      <c r="X25" s="587"/>
    </row>
    <row r="26" spans="1:24" ht="12" thickBot="1">
      <c r="A26" s="588" t="s">
        <v>1468</v>
      </c>
      <c r="B26" s="522" t="s">
        <v>436</v>
      </c>
      <c r="C26" s="522" t="s">
        <v>384</v>
      </c>
      <c r="D26" s="522" t="s">
        <v>973</v>
      </c>
      <c r="E26" s="1009">
        <v>145</v>
      </c>
      <c r="F26" s="525">
        <v>5437</v>
      </c>
      <c r="G26" s="525">
        <v>3100.1</v>
      </c>
      <c r="H26" s="999">
        <f t="shared" si="0"/>
        <v>21.38</v>
      </c>
      <c r="I26" s="1008">
        <f t="shared" si="1"/>
        <v>3100.1</v>
      </c>
      <c r="J26" s="1005">
        <f>I26/$M7*$M8</f>
        <v>-19.748434435922434</v>
      </c>
      <c r="K26" s="999">
        <f t="shared" si="2"/>
        <v>144</v>
      </c>
      <c r="L26" s="999">
        <f>$M8/H26</f>
        <v>-631.73994387278265</v>
      </c>
      <c r="M26" s="999"/>
      <c r="N26" s="587"/>
      <c r="O26" s="587"/>
      <c r="P26" s="587"/>
      <c r="Q26" s="587"/>
      <c r="R26" s="587"/>
      <c r="S26" s="587"/>
      <c r="T26" s="587"/>
      <c r="U26" s="587"/>
      <c r="V26" s="587"/>
      <c r="W26" s="587"/>
      <c r="X26" s="587"/>
    </row>
    <row r="27" spans="1:24" ht="12" thickBot="1">
      <c r="A27" s="588" t="s">
        <v>1468</v>
      </c>
      <c r="B27" s="522" t="s">
        <v>436</v>
      </c>
      <c r="C27" s="522" t="s">
        <v>386</v>
      </c>
      <c r="D27" s="522" t="s">
        <v>974</v>
      </c>
      <c r="E27" s="1010">
        <v>28</v>
      </c>
      <c r="F27" s="531">
        <v>1084</v>
      </c>
      <c r="G27" s="531">
        <v>863.52</v>
      </c>
      <c r="H27" s="999">
        <f t="shared" si="0"/>
        <v>30.84</v>
      </c>
      <c r="I27" s="1008">
        <f t="shared" si="1"/>
        <v>863.52</v>
      </c>
      <c r="J27" s="1005">
        <f>I27/$M7*$M8</f>
        <v>-5.5008445224695128</v>
      </c>
      <c r="K27" s="999">
        <f t="shared" si="2"/>
        <v>28</v>
      </c>
      <c r="L27" s="999">
        <f>$M8/H27</f>
        <v>-437.9571984435828</v>
      </c>
      <c r="M27" s="999"/>
      <c r="N27" s="587"/>
      <c r="O27" s="587"/>
      <c r="P27" s="587"/>
      <c r="Q27" s="587"/>
      <c r="R27" s="587"/>
      <c r="S27" s="587"/>
      <c r="T27" s="587"/>
      <c r="U27" s="587"/>
      <c r="V27" s="587"/>
      <c r="W27" s="587"/>
      <c r="X27" s="587"/>
    </row>
    <row r="28" spans="1:24" ht="12" thickBot="1">
      <c r="A28" s="588" t="s">
        <v>1468</v>
      </c>
      <c r="B28" s="522" t="s">
        <v>436</v>
      </c>
      <c r="C28" s="522" t="s">
        <v>409</v>
      </c>
      <c r="D28" s="522" t="s">
        <v>975</v>
      </c>
      <c r="E28" s="1009">
        <v>96</v>
      </c>
      <c r="F28" s="525">
        <v>5206</v>
      </c>
      <c r="G28" s="525">
        <v>2997.12</v>
      </c>
      <c r="H28" s="999">
        <f t="shared" si="0"/>
        <v>31.22</v>
      </c>
      <c r="I28" s="1008">
        <f t="shared" si="1"/>
        <v>2997.12</v>
      </c>
      <c r="J28" s="1005">
        <f>I28/$M7*$M8</f>
        <v>-19.092425346470062</v>
      </c>
      <c r="K28" s="999">
        <f t="shared" si="2"/>
        <v>95</v>
      </c>
      <c r="L28" s="999">
        <f>$M8/H28</f>
        <v>-432.6265214606052</v>
      </c>
      <c r="M28" s="999"/>
      <c r="N28" s="587"/>
      <c r="O28" s="587"/>
      <c r="P28" s="587"/>
      <c r="Q28" s="587"/>
      <c r="R28" s="587"/>
      <c r="S28" s="587"/>
      <c r="T28" s="587"/>
      <c r="U28" s="587"/>
      <c r="V28" s="587"/>
      <c r="W28" s="587"/>
      <c r="X28" s="587"/>
    </row>
    <row r="29" spans="1:24" ht="12" thickBot="1">
      <c r="A29" s="588" t="s">
        <v>1468</v>
      </c>
      <c r="B29" s="522" t="s">
        <v>436</v>
      </c>
      <c r="C29" s="522" t="s">
        <v>387</v>
      </c>
      <c r="D29" s="522" t="s">
        <v>976</v>
      </c>
      <c r="E29" s="1010">
        <v>21</v>
      </c>
      <c r="F29" s="531">
        <v>742</v>
      </c>
      <c r="G29" s="531">
        <v>639.45000000000005</v>
      </c>
      <c r="H29" s="999">
        <f t="shared" si="0"/>
        <v>30.84</v>
      </c>
      <c r="I29" s="1008">
        <f t="shared" si="1"/>
        <v>647.64</v>
      </c>
      <c r="J29" s="1005">
        <f>I29/$M7*$M8</f>
        <v>-4.1256333918521353</v>
      </c>
      <c r="K29" s="999">
        <f t="shared" si="2"/>
        <v>21</v>
      </c>
      <c r="L29" s="999">
        <f>$M8/H29</f>
        <v>-437.9571984435828</v>
      </c>
      <c r="M29" s="999"/>
      <c r="N29" s="587"/>
      <c r="O29" s="587"/>
      <c r="P29" s="587"/>
      <c r="Q29" s="587"/>
      <c r="R29" s="587"/>
      <c r="S29" s="587"/>
      <c r="T29" s="587"/>
      <c r="U29" s="587"/>
      <c r="V29" s="587"/>
      <c r="W29" s="587"/>
      <c r="X29" s="587"/>
    </row>
    <row r="30" spans="1:24" ht="12" thickBot="1">
      <c r="A30" s="588" t="s">
        <v>1468</v>
      </c>
      <c r="B30" s="522" t="s">
        <v>436</v>
      </c>
      <c r="C30" s="522" t="s">
        <v>410</v>
      </c>
      <c r="D30" s="522" t="s">
        <v>977</v>
      </c>
      <c r="E30" s="1009">
        <v>10</v>
      </c>
      <c r="F30" s="525">
        <v>498</v>
      </c>
      <c r="G30" s="525">
        <v>309.10000000000002</v>
      </c>
      <c r="H30" s="999">
        <f t="shared" si="0"/>
        <v>31.22</v>
      </c>
      <c r="I30" s="1008">
        <f t="shared" si="1"/>
        <v>312.2</v>
      </c>
      <c r="J30" s="1005">
        <f>I30/$M7*$M8</f>
        <v>-1.9887943069239651</v>
      </c>
      <c r="K30" s="999">
        <f t="shared" si="2"/>
        <v>10</v>
      </c>
      <c r="L30" s="999">
        <f>$M8/H30</f>
        <v>-432.6265214606052</v>
      </c>
      <c r="M30" s="999"/>
      <c r="N30" s="587"/>
      <c r="O30" s="587"/>
      <c r="P30" s="587"/>
      <c r="Q30" s="587"/>
      <c r="R30" s="587"/>
      <c r="S30" s="587"/>
      <c r="T30" s="587"/>
      <c r="U30" s="587"/>
      <c r="V30" s="587"/>
      <c r="W30" s="587"/>
      <c r="X30" s="587"/>
    </row>
    <row r="31" spans="1:24" ht="12" thickBot="1">
      <c r="A31" s="588" t="s">
        <v>1468</v>
      </c>
      <c r="B31" s="522" t="s">
        <v>436</v>
      </c>
      <c r="C31" s="522" t="s">
        <v>405</v>
      </c>
      <c r="D31" s="522" t="s">
        <v>978</v>
      </c>
      <c r="E31" s="1010">
        <v>454</v>
      </c>
      <c r="F31" s="531">
        <v>23543</v>
      </c>
      <c r="G31" s="531">
        <v>6980.32</v>
      </c>
      <c r="H31" s="999">
        <f t="shared" si="0"/>
        <v>15.360000000000001</v>
      </c>
      <c r="I31" s="1008">
        <f t="shared" si="1"/>
        <v>6973.4400000000005</v>
      </c>
      <c r="J31" s="1005">
        <f>I31/$M7*$M8</f>
        <v>-44.422606571671544</v>
      </c>
      <c r="K31" s="999">
        <f t="shared" si="2"/>
        <v>451</v>
      </c>
      <c r="L31" s="999">
        <f>$M8/H31</f>
        <v>-879.33593750000603</v>
      </c>
      <c r="M31" s="999"/>
      <c r="N31" s="587"/>
      <c r="O31" s="587"/>
      <c r="P31" s="587"/>
      <c r="Q31" s="587"/>
      <c r="R31" s="587"/>
      <c r="S31" s="587"/>
      <c r="T31" s="587"/>
      <c r="U31" s="587"/>
      <c r="V31" s="587"/>
      <c r="W31" s="587"/>
      <c r="X31" s="587"/>
    </row>
    <row r="32" spans="1:24" ht="12" thickBot="1">
      <c r="A32" s="588" t="s">
        <v>1468</v>
      </c>
      <c r="B32" s="522" t="s">
        <v>436</v>
      </c>
      <c r="C32" s="522" t="s">
        <v>326</v>
      </c>
      <c r="D32" s="522" t="s">
        <v>979</v>
      </c>
      <c r="E32" s="1009">
        <v>5</v>
      </c>
      <c r="F32" s="525">
        <v>216</v>
      </c>
      <c r="G32" s="525">
        <v>16.62</v>
      </c>
      <c r="H32" s="999">
        <f t="shared" si="0"/>
        <v>3.39</v>
      </c>
      <c r="I32" s="1008">
        <f t="shared" si="1"/>
        <v>16.95</v>
      </c>
      <c r="J32" s="1005">
        <f>I32/$M7*$M8</f>
        <v>-0.10797586003318771</v>
      </c>
      <c r="K32" s="999">
        <f t="shared" si="2"/>
        <v>5</v>
      </c>
      <c r="L32" s="999">
        <f>$M8/H32</f>
        <v>-3984.2477876106468</v>
      </c>
      <c r="M32" s="999"/>
      <c r="N32" s="587"/>
      <c r="O32" s="587"/>
      <c r="P32" s="587"/>
      <c r="Q32" s="587"/>
      <c r="R32" s="587"/>
      <c r="S32" s="587"/>
      <c r="T32" s="587"/>
      <c r="U32" s="587"/>
      <c r="V32" s="587"/>
      <c r="W32" s="587"/>
      <c r="X32" s="587"/>
    </row>
    <row r="33" spans="1:24" ht="12" thickBot="1">
      <c r="A33" s="588" t="s">
        <v>1468</v>
      </c>
      <c r="B33" s="522" t="s">
        <v>436</v>
      </c>
      <c r="C33" s="522" t="s">
        <v>356</v>
      </c>
      <c r="D33" s="522" t="s">
        <v>980</v>
      </c>
      <c r="E33" s="1010">
        <v>684</v>
      </c>
      <c r="F33" s="531">
        <v>61904</v>
      </c>
      <c r="G33" s="531">
        <v>3103.27</v>
      </c>
      <c r="H33" s="999">
        <f t="shared" si="0"/>
        <v>4.5400000000000009</v>
      </c>
      <c r="I33" s="1008">
        <f t="shared" si="1"/>
        <v>3105.3600000000006</v>
      </c>
      <c r="J33" s="1005">
        <f>I33/$M7*$M8</f>
        <v>-19.781941988947487</v>
      </c>
      <c r="K33" s="999">
        <f t="shared" si="2"/>
        <v>680</v>
      </c>
      <c r="L33" s="999">
        <f>$M8/H33</f>
        <v>-2975.0220264317381</v>
      </c>
      <c r="M33" s="999"/>
      <c r="N33" s="587"/>
      <c r="O33" s="587"/>
      <c r="P33" s="587"/>
      <c r="Q33" s="587"/>
      <c r="R33" s="587"/>
      <c r="S33" s="587"/>
      <c r="T33" s="587"/>
      <c r="U33" s="587"/>
      <c r="V33" s="587"/>
      <c r="W33" s="587"/>
      <c r="X33" s="587"/>
    </row>
    <row r="34" spans="1:24" ht="12" thickBot="1">
      <c r="A34" s="588" t="s">
        <v>1468</v>
      </c>
      <c r="B34" s="522" t="s">
        <v>436</v>
      </c>
      <c r="C34" s="522" t="s">
        <v>374</v>
      </c>
      <c r="D34" s="522" t="s">
        <v>981</v>
      </c>
      <c r="E34" s="1009">
        <v>92</v>
      </c>
      <c r="F34" s="525">
        <v>13141</v>
      </c>
      <c r="G34" s="525">
        <v>623.36</v>
      </c>
      <c r="H34" s="999">
        <f t="shared" si="0"/>
        <v>6.78</v>
      </c>
      <c r="I34" s="1008">
        <f t="shared" si="1"/>
        <v>623.76</v>
      </c>
      <c r="J34" s="1005">
        <f>I34/$M7*$M8</f>
        <v>-3.9735116492213076</v>
      </c>
      <c r="K34" s="999">
        <f t="shared" si="2"/>
        <v>91</v>
      </c>
      <c r="L34" s="999">
        <f>$M8/H34</f>
        <v>-1992.1238938053234</v>
      </c>
      <c r="M34" s="999"/>
      <c r="N34" s="587"/>
      <c r="O34" s="587"/>
      <c r="P34" s="587"/>
      <c r="Q34" s="587"/>
      <c r="R34" s="587"/>
      <c r="S34" s="587"/>
      <c r="T34" s="587"/>
      <c r="U34" s="587"/>
      <c r="V34" s="587"/>
      <c r="W34" s="587"/>
      <c r="X34" s="587"/>
    </row>
    <row r="35" spans="1:24" ht="12" thickBot="1">
      <c r="A35" s="588" t="s">
        <v>1468</v>
      </c>
      <c r="B35" s="522" t="s">
        <v>436</v>
      </c>
      <c r="C35" s="522" t="s">
        <v>399</v>
      </c>
      <c r="D35" s="522" t="s">
        <v>982</v>
      </c>
      <c r="E35" s="1010">
        <v>2</v>
      </c>
      <c r="F35" s="531">
        <v>393</v>
      </c>
      <c r="G35" s="531">
        <v>18.12</v>
      </c>
      <c r="H35" s="999">
        <f t="shared" si="0"/>
        <v>9.06</v>
      </c>
      <c r="I35" s="1008">
        <f t="shared" si="1"/>
        <v>18.12</v>
      </c>
      <c r="J35" s="1005">
        <f>I35/$M7*$M8</f>
        <v>-0.11542906099123078</v>
      </c>
      <c r="K35" s="999">
        <f t="shared" si="2"/>
        <v>2</v>
      </c>
      <c r="L35" s="999">
        <f>$M8/H35</f>
        <v>-1490.7947019867652</v>
      </c>
      <c r="M35" s="999"/>
      <c r="N35" s="587"/>
      <c r="O35" s="587"/>
      <c r="P35" s="587"/>
      <c r="Q35" s="587"/>
      <c r="R35" s="587"/>
      <c r="S35" s="587"/>
      <c r="T35" s="587"/>
      <c r="U35" s="587"/>
      <c r="V35" s="587"/>
      <c r="W35" s="587"/>
      <c r="X35" s="587"/>
    </row>
    <row r="36" spans="1:24" ht="12" thickBot="1">
      <c r="A36" s="588" t="s">
        <v>1468</v>
      </c>
      <c r="B36" s="522" t="s">
        <v>436</v>
      </c>
      <c r="C36" s="522" t="s">
        <v>391</v>
      </c>
      <c r="D36" s="522" t="s">
        <v>983</v>
      </c>
      <c r="E36" s="1009">
        <v>171</v>
      </c>
      <c r="F36" s="525">
        <v>6393</v>
      </c>
      <c r="G36" s="525">
        <v>1268.99</v>
      </c>
      <c r="H36" s="999">
        <f t="shared" si="0"/>
        <v>7.4399999999999995</v>
      </c>
      <c r="I36" s="1008">
        <f t="shared" si="1"/>
        <v>1272.24</v>
      </c>
      <c r="J36" s="1005">
        <f>I36/$M7*$M8</f>
        <v>-8.1044960571458837</v>
      </c>
      <c r="K36" s="999">
        <f t="shared" si="2"/>
        <v>170</v>
      </c>
      <c r="L36" s="999">
        <f>$M8/H36</f>
        <v>-1815.4032258064642</v>
      </c>
      <c r="M36" s="999"/>
      <c r="N36" s="587"/>
      <c r="O36" s="587"/>
      <c r="P36" s="587"/>
      <c r="Q36" s="587"/>
      <c r="R36" s="587"/>
      <c r="S36" s="587"/>
      <c r="T36" s="587"/>
      <c r="U36" s="587"/>
      <c r="V36" s="587"/>
      <c r="W36" s="587"/>
      <c r="X36" s="587"/>
    </row>
    <row r="37" spans="1:24" ht="12" thickBot="1">
      <c r="A37" s="588" t="s">
        <v>1468</v>
      </c>
      <c r="B37" s="522" t="s">
        <v>436</v>
      </c>
      <c r="C37" s="522" t="s">
        <v>416</v>
      </c>
      <c r="D37" s="522" t="s">
        <v>984</v>
      </c>
      <c r="E37" s="1010">
        <v>36283</v>
      </c>
      <c r="F37" s="531">
        <v>1918925</v>
      </c>
      <c r="G37" s="531">
        <v>285258.03999999998</v>
      </c>
      <c r="H37" s="999">
        <f t="shared" ref="H37:H68" si="3">SUMIF(_Lights_Tariff_Category,20140101&amp;$C37,_Lights_Rates)</f>
        <v>7.84</v>
      </c>
      <c r="I37" s="1008">
        <f t="shared" si="1"/>
        <v>284458.71999999997</v>
      </c>
      <c r="J37" s="1005">
        <f>I37/$M7*$M8</f>
        <v>-1812.0752174595711</v>
      </c>
      <c r="K37" s="999">
        <f t="shared" si="2"/>
        <v>36052</v>
      </c>
      <c r="L37" s="999">
        <f>$M8/H37</f>
        <v>-1722.7806122449099</v>
      </c>
      <c r="M37" s="999"/>
      <c r="N37" s="587"/>
      <c r="O37" s="587"/>
      <c r="P37" s="587"/>
      <c r="Q37" s="587"/>
      <c r="R37" s="587"/>
      <c r="S37" s="587"/>
      <c r="T37" s="587"/>
      <c r="U37" s="587"/>
      <c r="V37" s="587"/>
      <c r="W37" s="587"/>
      <c r="X37" s="587"/>
    </row>
    <row r="38" spans="1:24" ht="12" thickBot="1">
      <c r="A38" s="588" t="s">
        <v>1468</v>
      </c>
      <c r="B38" s="522" t="s">
        <v>436</v>
      </c>
      <c r="C38" s="522" t="s">
        <v>407</v>
      </c>
      <c r="D38" s="522" t="s">
        <v>985</v>
      </c>
      <c r="E38" s="1009">
        <v>1166</v>
      </c>
      <c r="F38" s="525">
        <v>60447</v>
      </c>
      <c r="G38" s="525">
        <v>25653.83</v>
      </c>
      <c r="H38" s="999">
        <f t="shared" si="3"/>
        <v>22</v>
      </c>
      <c r="I38" s="1008">
        <f t="shared" si="1"/>
        <v>25652</v>
      </c>
      <c r="J38" s="1005">
        <f>I38/$M7*$M8</f>
        <v>-163.40983844078653</v>
      </c>
      <c r="K38" s="999">
        <f t="shared" si="2"/>
        <v>1159</v>
      </c>
      <c r="L38" s="999">
        <f>$M8/H38</f>
        <v>-613.9363636363679</v>
      </c>
      <c r="M38" s="999"/>
      <c r="N38" s="587"/>
      <c r="O38" s="587"/>
      <c r="P38" s="587"/>
      <c r="Q38" s="587"/>
      <c r="R38" s="587"/>
      <c r="S38" s="587"/>
      <c r="T38" s="587"/>
      <c r="U38" s="587"/>
      <c r="V38" s="587"/>
      <c r="W38" s="587"/>
      <c r="X38" s="587"/>
    </row>
    <row r="39" spans="1:24" ht="12" thickBot="1">
      <c r="A39" s="588" t="s">
        <v>1468</v>
      </c>
      <c r="B39" s="522" t="s">
        <v>436</v>
      </c>
      <c r="C39" s="522" t="s">
        <v>373</v>
      </c>
      <c r="D39" s="522" t="s">
        <v>986</v>
      </c>
      <c r="E39" s="1010">
        <v>6</v>
      </c>
      <c r="F39" s="531">
        <v>867</v>
      </c>
      <c r="G39" s="531">
        <v>47.47</v>
      </c>
      <c r="H39" s="999">
        <f t="shared" si="3"/>
        <v>7.74</v>
      </c>
      <c r="I39" s="1008">
        <f t="shared" si="1"/>
        <v>46.44</v>
      </c>
      <c r="J39" s="1005">
        <f>I39/$M7*$M8</f>
        <v>-0.29583474571924701</v>
      </c>
      <c r="K39" s="999">
        <f t="shared" si="2"/>
        <v>6</v>
      </c>
      <c r="L39" s="999">
        <f>$M8/H39</f>
        <v>-1745.0387596899345</v>
      </c>
      <c r="M39" s="999"/>
      <c r="N39" s="587"/>
      <c r="O39" s="587"/>
      <c r="P39" s="587"/>
      <c r="Q39" s="587"/>
      <c r="R39" s="587"/>
      <c r="S39" s="587"/>
      <c r="T39" s="587"/>
      <c r="U39" s="587"/>
      <c r="V39" s="587"/>
      <c r="W39" s="587"/>
      <c r="X39" s="587"/>
    </row>
    <row r="40" spans="1:24" ht="12" thickBot="1">
      <c r="A40" s="588" t="s">
        <v>1468</v>
      </c>
      <c r="B40" s="522" t="s">
        <v>436</v>
      </c>
      <c r="C40" s="522" t="s">
        <v>375</v>
      </c>
      <c r="D40" s="522" t="s">
        <v>987</v>
      </c>
      <c r="E40" s="1009">
        <v>2</v>
      </c>
      <c r="F40" s="525">
        <v>55</v>
      </c>
      <c r="G40" s="525">
        <v>27.22</v>
      </c>
      <c r="H40" s="999">
        <f t="shared" si="3"/>
        <v>13.610000000000001</v>
      </c>
      <c r="I40" s="1008">
        <f t="shared" si="1"/>
        <v>27.220000000000002</v>
      </c>
      <c r="J40" s="1005">
        <f>I40/$M7*$M8</f>
        <v>-0.17339840177601001</v>
      </c>
      <c r="K40" s="999">
        <f t="shared" si="2"/>
        <v>2</v>
      </c>
      <c r="L40" s="999">
        <f>$M8/H40</f>
        <v>-992.40264511389364</v>
      </c>
      <c r="M40" s="999"/>
      <c r="N40" s="587"/>
      <c r="O40" s="587"/>
      <c r="P40" s="587"/>
      <c r="Q40" s="587"/>
      <c r="R40" s="587"/>
      <c r="S40" s="587"/>
      <c r="T40" s="587"/>
      <c r="U40" s="587"/>
      <c r="V40" s="587"/>
      <c r="W40" s="587"/>
      <c r="X40" s="587"/>
    </row>
    <row r="41" spans="1:24" ht="12" thickBot="1">
      <c r="A41" s="588" t="s">
        <v>1468</v>
      </c>
      <c r="B41" s="522" t="s">
        <v>436</v>
      </c>
      <c r="C41" s="522" t="s">
        <v>401</v>
      </c>
      <c r="D41" s="522" t="s">
        <v>988</v>
      </c>
      <c r="E41" s="1010">
        <v>1080</v>
      </c>
      <c r="F41" s="531">
        <v>101724</v>
      </c>
      <c r="G41" s="531">
        <v>10328.26</v>
      </c>
      <c r="H41" s="999">
        <f t="shared" si="3"/>
        <v>9.5600000000000023</v>
      </c>
      <c r="I41" s="1008">
        <f t="shared" si="1"/>
        <v>10324.800000000003</v>
      </c>
      <c r="J41" s="1005">
        <f>I41/$M7*$M8</f>
        <v>-65.771631838976802</v>
      </c>
      <c r="K41" s="999">
        <f t="shared" si="2"/>
        <v>1073</v>
      </c>
      <c r="L41" s="999">
        <f>$M8/H41</f>
        <v>-1412.8242677824362</v>
      </c>
      <c r="M41" s="999"/>
      <c r="N41" s="587"/>
      <c r="O41" s="587"/>
      <c r="P41" s="587"/>
      <c r="Q41" s="587"/>
      <c r="R41" s="587"/>
      <c r="S41" s="587"/>
      <c r="T41" s="587"/>
      <c r="U41" s="587"/>
      <c r="V41" s="587"/>
      <c r="W41" s="587"/>
      <c r="X41" s="587"/>
    </row>
    <row r="42" spans="1:24" ht="12" thickBot="1">
      <c r="A42" s="588" t="s">
        <v>1468</v>
      </c>
      <c r="B42" s="522" t="s">
        <v>436</v>
      </c>
      <c r="C42" s="522" t="s">
        <v>328</v>
      </c>
      <c r="D42" s="522" t="s">
        <v>989</v>
      </c>
      <c r="E42" s="1009">
        <v>728</v>
      </c>
      <c r="F42" s="525">
        <v>88374</v>
      </c>
      <c r="G42" s="525">
        <v>8245.68</v>
      </c>
      <c r="H42" s="999">
        <f t="shared" si="3"/>
        <v>11.32</v>
      </c>
      <c r="I42" s="1008">
        <f t="shared" si="1"/>
        <v>8240.9600000000009</v>
      </c>
      <c r="J42" s="1005">
        <f>I42/$M7*$M8</f>
        <v>-52.497035014696088</v>
      </c>
      <c r="K42" s="999">
        <f t="shared" si="2"/>
        <v>723</v>
      </c>
      <c r="L42" s="999">
        <f>$M8/H42</f>
        <v>-1193.1625441696194</v>
      </c>
      <c r="M42" s="999"/>
      <c r="N42" s="587"/>
      <c r="O42" s="587"/>
      <c r="P42" s="587"/>
      <c r="Q42" s="587"/>
      <c r="R42" s="587"/>
      <c r="S42" s="587"/>
      <c r="T42" s="587"/>
      <c r="U42" s="587"/>
      <c r="V42" s="587"/>
      <c r="W42" s="587"/>
      <c r="X42" s="587"/>
    </row>
    <row r="43" spans="1:24" ht="12" thickBot="1">
      <c r="A43" s="588" t="s">
        <v>1468</v>
      </c>
      <c r="B43" s="522" t="s">
        <v>436</v>
      </c>
      <c r="C43" s="522" t="s">
        <v>437</v>
      </c>
      <c r="D43" s="522" t="s">
        <v>990</v>
      </c>
      <c r="E43" s="1010">
        <v>1476</v>
      </c>
      <c r="F43" s="531">
        <v>295188</v>
      </c>
      <c r="G43" s="531">
        <v>18909.900000000001</v>
      </c>
      <c r="H43" s="999">
        <f t="shared" si="3"/>
        <v>12.809999999999999</v>
      </c>
      <c r="I43" s="1008">
        <f t="shared" si="1"/>
        <v>18907.559999999998</v>
      </c>
      <c r="J43" s="1005">
        <f>I43/$M7*$M8</f>
        <v>-120.44602077457809</v>
      </c>
      <c r="K43" s="999">
        <f t="shared" si="2"/>
        <v>1467</v>
      </c>
      <c r="L43" s="999">
        <f>$M8/H43</f>
        <v>-1054.3793911007099</v>
      </c>
      <c r="M43" s="999"/>
      <c r="N43" s="587"/>
      <c r="O43" s="587"/>
      <c r="P43" s="587"/>
      <c r="Q43" s="587"/>
      <c r="R43" s="587"/>
      <c r="S43" s="587"/>
      <c r="T43" s="587"/>
      <c r="U43" s="587"/>
      <c r="V43" s="587"/>
      <c r="W43" s="587"/>
      <c r="X43" s="587"/>
    </row>
    <row r="44" spans="1:24" ht="12" thickBot="1">
      <c r="A44" s="588" t="s">
        <v>1468</v>
      </c>
      <c r="B44" s="522" t="s">
        <v>436</v>
      </c>
      <c r="C44" s="522" t="s">
        <v>338</v>
      </c>
      <c r="D44" s="522" t="s">
        <v>991</v>
      </c>
      <c r="E44" s="1010">
        <v>646</v>
      </c>
      <c r="F44" s="531">
        <v>43416</v>
      </c>
      <c r="G44" s="531">
        <v>9201.86</v>
      </c>
      <c r="H44" s="999">
        <f t="shared" si="3"/>
        <v>14.25</v>
      </c>
      <c r="I44" s="1008">
        <f t="shared" si="1"/>
        <v>9205.5</v>
      </c>
      <c r="J44" s="1005">
        <f>I44/$M7*$M8</f>
        <v>-58.641402922448947</v>
      </c>
      <c r="K44" s="999">
        <f t="shared" si="2"/>
        <v>642</v>
      </c>
      <c r="L44" s="999">
        <f>$M8/H44</f>
        <v>-947.83157894737496</v>
      </c>
      <c r="M44" s="999"/>
      <c r="N44" s="587"/>
      <c r="O44" s="587"/>
      <c r="P44" s="587"/>
      <c r="Q44" s="587"/>
      <c r="R44" s="587"/>
      <c r="S44" s="587"/>
      <c r="T44" s="587"/>
      <c r="U44" s="587"/>
      <c r="V44" s="587"/>
      <c r="W44" s="587"/>
      <c r="X44" s="587"/>
    </row>
    <row r="45" spans="1:24" ht="12" thickBot="1">
      <c r="A45" s="588" t="s">
        <v>1468</v>
      </c>
      <c r="B45" s="522" t="s">
        <v>436</v>
      </c>
      <c r="C45" s="522" t="s">
        <v>370</v>
      </c>
      <c r="D45" s="522" t="s">
        <v>992</v>
      </c>
      <c r="E45" s="1010">
        <v>5134</v>
      </c>
      <c r="F45" s="531">
        <v>807129</v>
      </c>
      <c r="G45" s="531">
        <v>103693.65</v>
      </c>
      <c r="H45" s="999">
        <f t="shared" si="3"/>
        <v>20.200000000000003</v>
      </c>
      <c r="I45" s="1008">
        <f t="shared" si="1"/>
        <v>103706.80000000002</v>
      </c>
      <c r="J45" s="1005">
        <f>I45/$M7*$M8</f>
        <v>-660.63899240647754</v>
      </c>
      <c r="K45" s="999">
        <f t="shared" si="2"/>
        <v>5101</v>
      </c>
      <c r="L45" s="999">
        <f>$M8/H45</f>
        <v>-668.64356435644015</v>
      </c>
      <c r="M45" s="999"/>
      <c r="N45" s="587"/>
      <c r="O45" s="587"/>
      <c r="P45" s="587"/>
      <c r="Q45" s="587"/>
      <c r="R45" s="587"/>
      <c r="S45" s="587"/>
      <c r="T45" s="587"/>
      <c r="U45" s="587"/>
      <c r="V45" s="587"/>
      <c r="W45" s="587"/>
      <c r="X45" s="587"/>
    </row>
    <row r="46" spans="1:24" ht="12" thickBot="1">
      <c r="A46" s="588" t="s">
        <v>1468</v>
      </c>
      <c r="B46" s="522" t="s">
        <v>436</v>
      </c>
      <c r="C46" s="522" t="s">
        <v>333</v>
      </c>
      <c r="D46" s="522" t="s">
        <v>993</v>
      </c>
      <c r="E46" s="1010">
        <v>1057</v>
      </c>
      <c r="F46" s="531">
        <v>512962</v>
      </c>
      <c r="G46" s="531">
        <v>44763.14</v>
      </c>
      <c r="H46" s="999">
        <f t="shared" si="3"/>
        <v>42.350000000000009</v>
      </c>
      <c r="I46" s="1008">
        <f t="shared" si="1"/>
        <v>44763.950000000012</v>
      </c>
      <c r="J46" s="1005">
        <f>I46/$M7*$M8</f>
        <v>-285.15787609041973</v>
      </c>
      <c r="K46" s="999">
        <f t="shared" si="2"/>
        <v>1050</v>
      </c>
      <c r="L46" s="999">
        <f>$M8/H46</f>
        <v>-318.92798110980141</v>
      </c>
      <c r="M46" s="999"/>
      <c r="N46" s="587"/>
      <c r="O46" s="587"/>
      <c r="P46" s="587"/>
      <c r="Q46" s="587"/>
      <c r="R46" s="587"/>
      <c r="S46" s="587"/>
      <c r="T46" s="587"/>
      <c r="U46" s="587"/>
      <c r="V46" s="587"/>
      <c r="W46" s="587"/>
      <c r="X46" s="587"/>
    </row>
    <row r="47" spans="1:24" ht="12" thickBot="1">
      <c r="A47" s="588" t="s">
        <v>1468</v>
      </c>
      <c r="B47" s="522" t="s">
        <v>436</v>
      </c>
      <c r="C47" s="522" t="s">
        <v>336</v>
      </c>
      <c r="D47" s="522" t="s">
        <v>994</v>
      </c>
      <c r="E47" s="1010">
        <v>150</v>
      </c>
      <c r="F47" s="531">
        <v>9896</v>
      </c>
      <c r="G47" s="531">
        <v>2790.95</v>
      </c>
      <c r="H47" s="999">
        <f t="shared" si="3"/>
        <v>18.649999999999999</v>
      </c>
      <c r="I47" s="1008">
        <f t="shared" si="1"/>
        <v>2797.5</v>
      </c>
      <c r="J47" s="1005">
        <f>I47/$M7*$M8</f>
        <v>-17.820794598397793</v>
      </c>
      <c r="K47" s="999">
        <f t="shared" si="2"/>
        <v>149</v>
      </c>
      <c r="L47" s="999">
        <f>$M8/H47</f>
        <v>-724.2144772118013</v>
      </c>
      <c r="M47" s="999"/>
      <c r="N47" s="587"/>
      <c r="O47" s="587"/>
      <c r="P47" s="587"/>
      <c r="Q47" s="587"/>
      <c r="R47" s="587"/>
      <c r="S47" s="587"/>
      <c r="T47" s="587"/>
      <c r="U47" s="587"/>
      <c r="V47" s="587"/>
      <c r="W47" s="587"/>
      <c r="X47" s="587"/>
    </row>
    <row r="48" spans="1:24" ht="12" thickBot="1">
      <c r="A48" s="588" t="s">
        <v>1468</v>
      </c>
      <c r="B48" s="522" t="s">
        <v>436</v>
      </c>
      <c r="C48" s="522" t="s">
        <v>368</v>
      </c>
      <c r="D48" s="522" t="s">
        <v>995</v>
      </c>
      <c r="E48" s="1010">
        <f>1023+1</f>
        <v>1024</v>
      </c>
      <c r="F48" s="531">
        <v>161554</v>
      </c>
      <c r="G48" s="531">
        <v>25149.99</v>
      </c>
      <c r="H48" s="999">
        <f t="shared" si="3"/>
        <v>24.59</v>
      </c>
      <c r="I48" s="1008">
        <f t="shared" si="1"/>
        <v>25180.16</v>
      </c>
      <c r="J48" s="1005">
        <f>I48/$M7*$M8</f>
        <v>-160.40409626980957</v>
      </c>
      <c r="K48" s="999">
        <f t="shared" si="2"/>
        <v>1017</v>
      </c>
      <c r="L48" s="999">
        <f>$M8/H48</f>
        <v>-549.27206181374925</v>
      </c>
      <c r="M48" s="999"/>
      <c r="N48" s="587"/>
      <c r="O48" s="587"/>
      <c r="P48" s="587"/>
      <c r="Q48" s="587"/>
      <c r="R48" s="587"/>
      <c r="S48" s="587"/>
      <c r="T48" s="587"/>
      <c r="U48" s="587"/>
      <c r="V48" s="587"/>
      <c r="W48" s="587"/>
      <c r="X48" s="587"/>
    </row>
    <row r="49" spans="1:24" ht="12" thickBot="1">
      <c r="A49" s="588" t="s">
        <v>1468</v>
      </c>
      <c r="B49" s="522" t="s">
        <v>436</v>
      </c>
      <c r="C49" s="522" t="s">
        <v>400</v>
      </c>
      <c r="D49" s="522" t="s">
        <v>996</v>
      </c>
      <c r="E49" s="1009">
        <v>139</v>
      </c>
      <c r="F49" s="525">
        <v>13012</v>
      </c>
      <c r="G49" s="525">
        <v>1655.15</v>
      </c>
      <c r="H49" s="999">
        <f t="shared" si="3"/>
        <v>11.870000000000001</v>
      </c>
      <c r="I49" s="1008">
        <f t="shared" si="1"/>
        <v>1649.93</v>
      </c>
      <c r="J49" s="1005">
        <f>I49/$M7*$M8</f>
        <v>-10.510478510003386</v>
      </c>
      <c r="K49" s="999">
        <f t="shared" si="2"/>
        <v>138</v>
      </c>
      <c r="L49" s="999">
        <f>$M8/H49</f>
        <v>-1137.8770008424676</v>
      </c>
      <c r="M49" s="999"/>
      <c r="N49" s="587"/>
      <c r="O49" s="587"/>
      <c r="P49" s="587"/>
      <c r="Q49" s="587"/>
      <c r="R49" s="587"/>
      <c r="S49" s="587"/>
      <c r="T49" s="587"/>
      <c r="U49" s="587"/>
      <c r="V49" s="587"/>
      <c r="W49" s="587"/>
      <c r="X49" s="587"/>
    </row>
    <row r="50" spans="1:24" ht="12" thickBot="1">
      <c r="A50" s="588" t="s">
        <v>1468</v>
      </c>
      <c r="B50" s="522" t="s">
        <v>436</v>
      </c>
      <c r="C50" s="522" t="s">
        <v>327</v>
      </c>
      <c r="D50" s="522" t="s">
        <v>997</v>
      </c>
      <c r="E50" s="1010">
        <v>439</v>
      </c>
      <c r="F50" s="531">
        <v>52797</v>
      </c>
      <c r="G50" s="531">
        <v>5871.28</v>
      </c>
      <c r="H50" s="999">
        <f t="shared" si="3"/>
        <v>13.360000000000001</v>
      </c>
      <c r="I50" s="1008">
        <f t="shared" si="1"/>
        <v>5865.0400000000009</v>
      </c>
      <c r="J50" s="1005">
        <f>I50/$M7*$M8</f>
        <v>-37.361813458940851</v>
      </c>
      <c r="K50" s="999">
        <f t="shared" si="2"/>
        <v>436</v>
      </c>
      <c r="L50" s="999">
        <f>$M8/H50</f>
        <v>-1010.9730538922224</v>
      </c>
      <c r="M50" s="999"/>
      <c r="N50" s="587"/>
      <c r="O50" s="587"/>
      <c r="P50" s="587"/>
      <c r="Q50" s="587"/>
      <c r="R50" s="587"/>
      <c r="S50" s="587"/>
      <c r="T50" s="587"/>
      <c r="U50" s="587"/>
      <c r="V50" s="587"/>
      <c r="W50" s="587"/>
      <c r="X50" s="587"/>
    </row>
    <row r="51" spans="1:24" ht="12" thickBot="1">
      <c r="A51" s="588" t="s">
        <v>1468</v>
      </c>
      <c r="B51" s="522" t="s">
        <v>436</v>
      </c>
      <c r="C51" s="522" t="s">
        <v>357</v>
      </c>
      <c r="D51" s="522" t="s">
        <v>998</v>
      </c>
      <c r="E51" s="1009">
        <v>1471</v>
      </c>
      <c r="F51" s="525">
        <v>284182</v>
      </c>
      <c r="G51" s="525">
        <v>22187.5</v>
      </c>
      <c r="H51" s="999">
        <f t="shared" si="3"/>
        <v>15.079999999999998</v>
      </c>
      <c r="I51" s="1008">
        <f t="shared" si="1"/>
        <v>22182.679999999997</v>
      </c>
      <c r="J51" s="1005">
        <f>I51/$M7*$M8</f>
        <v>-141.309377630737</v>
      </c>
      <c r="K51" s="999">
        <f t="shared" si="2"/>
        <v>1462</v>
      </c>
      <c r="L51" s="999">
        <f>$M8/H51</f>
        <v>-895.66312997348109</v>
      </c>
      <c r="M51" s="999"/>
      <c r="N51" s="587"/>
      <c r="O51" s="587"/>
      <c r="P51" s="587"/>
      <c r="Q51" s="587"/>
      <c r="R51" s="587"/>
      <c r="S51" s="587"/>
      <c r="T51" s="587"/>
      <c r="U51" s="587"/>
      <c r="V51" s="587"/>
      <c r="W51" s="587"/>
      <c r="X51" s="587"/>
    </row>
    <row r="52" spans="1:24" ht="12" thickBot="1">
      <c r="A52" s="588" t="s">
        <v>1468</v>
      </c>
      <c r="B52" s="522" t="s">
        <v>436</v>
      </c>
      <c r="C52" s="522" t="s">
        <v>331</v>
      </c>
      <c r="D52" s="522" t="s">
        <v>999</v>
      </c>
      <c r="E52" s="1010">
        <v>231</v>
      </c>
      <c r="F52" s="531">
        <v>112262</v>
      </c>
      <c r="G52" s="531">
        <v>10776.82</v>
      </c>
      <c r="H52" s="999">
        <f t="shared" si="3"/>
        <v>46.740000000000009</v>
      </c>
      <c r="I52" s="1008">
        <f t="shared" si="1"/>
        <v>10796.940000000002</v>
      </c>
      <c r="J52" s="1005">
        <f>I52/$M7*$M8</f>
        <v>-68.779285087122474</v>
      </c>
      <c r="K52" s="999">
        <f t="shared" si="2"/>
        <v>230</v>
      </c>
      <c r="L52" s="999">
        <f>$M8/H52</f>
        <v>-288.97304236200449</v>
      </c>
      <c r="M52" s="999"/>
      <c r="N52" s="587"/>
      <c r="O52" s="587"/>
      <c r="P52" s="587"/>
      <c r="Q52" s="587"/>
      <c r="R52" s="587"/>
      <c r="S52" s="587"/>
      <c r="T52" s="587"/>
      <c r="U52" s="587"/>
      <c r="V52" s="587"/>
      <c r="W52" s="587"/>
      <c r="X52" s="587"/>
    </row>
    <row r="53" spans="1:24" ht="12" thickBot="1">
      <c r="A53" s="588" t="s">
        <v>1468</v>
      </c>
      <c r="B53" s="522" t="s">
        <v>436</v>
      </c>
      <c r="C53" s="522" t="s">
        <v>335</v>
      </c>
      <c r="D53" s="522" t="s">
        <v>1000</v>
      </c>
      <c r="E53" s="1010">
        <v>27</v>
      </c>
      <c r="F53" s="531">
        <v>1779</v>
      </c>
      <c r="G53" s="531">
        <v>726.56</v>
      </c>
      <c r="H53" s="999">
        <f t="shared" si="3"/>
        <v>27.15</v>
      </c>
      <c r="I53" s="1008">
        <f t="shared" si="1"/>
        <v>733.05</v>
      </c>
      <c r="J53" s="1005">
        <f>I53/$M7*$M8</f>
        <v>-4.6697170617892771</v>
      </c>
      <c r="K53" s="999">
        <f t="shared" si="2"/>
        <v>27</v>
      </c>
      <c r="L53" s="999">
        <f>$M8/H53</f>
        <v>-497.48066298342889</v>
      </c>
      <c r="M53" s="999"/>
      <c r="N53" s="587"/>
      <c r="O53" s="587"/>
      <c r="P53" s="587"/>
      <c r="Q53" s="587"/>
      <c r="R53" s="587"/>
      <c r="S53" s="587"/>
      <c r="T53" s="587"/>
      <c r="U53" s="587"/>
      <c r="V53" s="587"/>
      <c r="W53" s="587"/>
      <c r="X53" s="587"/>
    </row>
    <row r="54" spans="1:24" ht="12" thickBot="1">
      <c r="A54" s="588" t="s">
        <v>1468</v>
      </c>
      <c r="B54" s="522" t="s">
        <v>436</v>
      </c>
      <c r="C54" s="522" t="s">
        <v>372</v>
      </c>
      <c r="D54" s="522" t="s">
        <v>1001</v>
      </c>
      <c r="E54" s="1009">
        <v>7211</v>
      </c>
      <c r="F54" s="525">
        <v>193827</v>
      </c>
      <c r="G54" s="525">
        <v>54360.06</v>
      </c>
      <c r="H54" s="999">
        <f t="shared" si="3"/>
        <v>7.54</v>
      </c>
      <c r="I54" s="1008">
        <f t="shared" si="1"/>
        <v>54370.94</v>
      </c>
      <c r="J54" s="1005">
        <f>I54/$M7*$M8</f>
        <v>-346.35687358777864</v>
      </c>
      <c r="K54" s="999">
        <f t="shared" si="2"/>
        <v>7165</v>
      </c>
      <c r="L54" s="999">
        <f>$M8/H54</f>
        <v>-1791.326259946962</v>
      </c>
      <c r="M54" s="999"/>
      <c r="N54" s="587"/>
      <c r="O54" s="587"/>
      <c r="P54" s="587"/>
      <c r="Q54" s="587"/>
      <c r="R54" s="587"/>
      <c r="S54" s="587"/>
      <c r="T54" s="587"/>
      <c r="U54" s="587"/>
      <c r="V54" s="587"/>
      <c r="W54" s="587"/>
      <c r="X54" s="587"/>
    </row>
    <row r="55" spans="1:24" ht="12" thickBot="1">
      <c r="A55" s="588" t="s">
        <v>1468</v>
      </c>
      <c r="B55" s="522" t="s">
        <v>436</v>
      </c>
      <c r="C55" s="522" t="s">
        <v>381</v>
      </c>
      <c r="D55" s="522" t="s">
        <v>1002</v>
      </c>
      <c r="E55" s="1010">
        <v>8738</v>
      </c>
      <c r="F55" s="531">
        <v>319252</v>
      </c>
      <c r="G55" s="531">
        <v>75666.75</v>
      </c>
      <c r="H55" s="999">
        <f t="shared" si="3"/>
        <v>8.66</v>
      </c>
      <c r="I55" s="1008">
        <f t="shared" si="1"/>
        <v>75671.08</v>
      </c>
      <c r="J55" s="1005">
        <f>I55/$M7*$M8</f>
        <v>-482.0442444035487</v>
      </c>
      <c r="K55" s="999">
        <f t="shared" si="2"/>
        <v>8682</v>
      </c>
      <c r="L55" s="999">
        <f>$M8/H55</f>
        <v>-1559.653579676685</v>
      </c>
      <c r="M55" s="999"/>
      <c r="N55" s="587"/>
      <c r="O55" s="587"/>
      <c r="P55" s="587"/>
      <c r="Q55" s="587"/>
      <c r="R55" s="587"/>
      <c r="S55" s="587"/>
      <c r="T55" s="587"/>
      <c r="U55" s="587"/>
      <c r="V55" s="587"/>
      <c r="W55" s="587"/>
      <c r="X55" s="587"/>
    </row>
    <row r="56" spans="1:24" ht="12" thickBot="1">
      <c r="A56" s="588" t="s">
        <v>1468</v>
      </c>
      <c r="B56" s="522" t="s">
        <v>436</v>
      </c>
      <c r="C56" s="522" t="s">
        <v>404</v>
      </c>
      <c r="D56" s="522" t="s">
        <v>1003</v>
      </c>
      <c r="E56" s="1009">
        <v>20839</v>
      </c>
      <c r="F56" s="525">
        <v>1090731</v>
      </c>
      <c r="G56" s="525">
        <v>190420.19</v>
      </c>
      <c r="H56" s="999">
        <f t="shared" si="3"/>
        <v>9.14</v>
      </c>
      <c r="I56" s="1008">
        <f t="shared" si="1"/>
        <v>190468.46000000002</v>
      </c>
      <c r="J56" s="1005">
        <f>I56/$M7*$M8</f>
        <v>-1213.3330842299006</v>
      </c>
      <c r="K56" s="999">
        <f t="shared" si="2"/>
        <v>20706</v>
      </c>
      <c r="L56" s="999">
        <f>$M8/H56</f>
        <v>-1477.746170678347</v>
      </c>
      <c r="M56" s="999"/>
      <c r="N56" s="587"/>
      <c r="O56" s="587"/>
      <c r="P56" s="587"/>
      <c r="Q56" s="587"/>
      <c r="R56" s="587"/>
      <c r="S56" s="587"/>
      <c r="T56" s="587"/>
      <c r="U56" s="587"/>
      <c r="V56" s="587"/>
      <c r="W56" s="587"/>
      <c r="X56" s="587"/>
    </row>
    <row r="57" spans="1:24" ht="12" thickBot="1">
      <c r="A57" s="588" t="s">
        <v>1468</v>
      </c>
      <c r="B57" s="522" t="s">
        <v>436</v>
      </c>
      <c r="C57" s="522" t="s">
        <v>361</v>
      </c>
      <c r="D57" s="522" t="s">
        <v>1004</v>
      </c>
      <c r="E57" s="1009">
        <v>7628</v>
      </c>
      <c r="F57" s="525">
        <v>825681</v>
      </c>
      <c r="G57" s="525">
        <v>108680.5</v>
      </c>
      <c r="H57" s="999">
        <f t="shared" si="3"/>
        <v>14.25</v>
      </c>
      <c r="I57" s="1008">
        <f t="shared" si="1"/>
        <v>108699</v>
      </c>
      <c r="J57" s="1005">
        <f>I57/$M7*$M8</f>
        <v>-692.44059054557351</v>
      </c>
      <c r="K57" s="999">
        <f t="shared" si="2"/>
        <v>7579</v>
      </c>
      <c r="L57" s="999">
        <f>$M8/H57</f>
        <v>-947.83157894737496</v>
      </c>
      <c r="M57" s="999"/>
      <c r="N57" s="587"/>
      <c r="O57" s="587"/>
      <c r="P57" s="587"/>
      <c r="Q57" s="587"/>
      <c r="R57" s="587"/>
      <c r="S57" s="587"/>
      <c r="T57" s="587"/>
      <c r="U57" s="587"/>
      <c r="V57" s="587"/>
      <c r="W57" s="587"/>
      <c r="X57" s="587"/>
    </row>
    <row r="58" spans="1:24" ht="12" thickBot="1">
      <c r="A58" s="588" t="s">
        <v>1468</v>
      </c>
      <c r="B58" s="522" t="s">
        <v>436</v>
      </c>
      <c r="C58" s="522" t="s">
        <v>393</v>
      </c>
      <c r="D58" s="522" t="s">
        <v>1005</v>
      </c>
      <c r="E58" s="1009">
        <v>2804</v>
      </c>
      <c r="F58" s="525">
        <v>593898</v>
      </c>
      <c r="G58" s="525">
        <v>64053.53</v>
      </c>
      <c r="H58" s="999">
        <f t="shared" si="3"/>
        <v>22.84</v>
      </c>
      <c r="I58" s="1008">
        <f t="shared" si="1"/>
        <v>64043.360000000001</v>
      </c>
      <c r="J58" s="1005">
        <f>I58/$M7*$M8</f>
        <v>-407.97267701563732</v>
      </c>
      <c r="K58" s="999">
        <f t="shared" si="2"/>
        <v>2786</v>
      </c>
      <c r="L58" s="999">
        <f>$M8/H58</f>
        <v>-591.3572679509673</v>
      </c>
      <c r="M58" s="999"/>
      <c r="N58" s="587"/>
      <c r="O58" s="587"/>
      <c r="P58" s="587"/>
      <c r="Q58" s="587"/>
      <c r="R58" s="587"/>
      <c r="S58" s="587"/>
      <c r="T58" s="587"/>
      <c r="U58" s="587"/>
      <c r="V58" s="587"/>
      <c r="W58" s="587"/>
      <c r="X58" s="587"/>
    </row>
    <row r="59" spans="1:24" ht="12" thickBot="1">
      <c r="A59" s="588" t="s">
        <v>1468</v>
      </c>
      <c r="B59" s="522" t="s">
        <v>436</v>
      </c>
      <c r="C59" s="522" t="s">
        <v>379</v>
      </c>
      <c r="D59" s="522" t="s">
        <v>1006</v>
      </c>
      <c r="E59" s="1009">
        <v>855</v>
      </c>
      <c r="F59" s="525">
        <v>23586</v>
      </c>
      <c r="G59" s="525">
        <v>8224.76</v>
      </c>
      <c r="H59" s="999">
        <f t="shared" si="3"/>
        <v>9.620000000000001</v>
      </c>
      <c r="I59" s="1008">
        <f t="shared" si="1"/>
        <v>8225.1</v>
      </c>
      <c r="J59" s="1005">
        <f>I59/$M7*$M8</f>
        <v>-52.396002735042615</v>
      </c>
      <c r="K59" s="999">
        <f t="shared" si="2"/>
        <v>850</v>
      </c>
      <c r="L59" s="999">
        <f>$M8/H59</f>
        <v>-1404.0124740124836</v>
      </c>
      <c r="M59" s="999"/>
      <c r="N59" s="587"/>
      <c r="O59" s="587"/>
      <c r="P59" s="587"/>
      <c r="Q59" s="587"/>
      <c r="R59" s="587"/>
      <c r="S59" s="587"/>
      <c r="T59" s="587"/>
      <c r="U59" s="587"/>
      <c r="V59" s="587"/>
      <c r="W59" s="587"/>
      <c r="X59" s="587"/>
    </row>
    <row r="60" spans="1:24" ht="12" thickBot="1">
      <c r="A60" s="588" t="s">
        <v>1468</v>
      </c>
      <c r="B60" s="522" t="s">
        <v>436</v>
      </c>
      <c r="C60" s="522" t="s">
        <v>389</v>
      </c>
      <c r="D60" s="522" t="s">
        <v>1007</v>
      </c>
      <c r="E60" s="1010">
        <v>1353</v>
      </c>
      <c r="F60" s="531">
        <v>50612</v>
      </c>
      <c r="G60" s="531">
        <v>14574.12</v>
      </c>
      <c r="H60" s="999">
        <f t="shared" si="3"/>
        <v>10.770000000000001</v>
      </c>
      <c r="I60" s="1008">
        <f t="shared" si="1"/>
        <v>14571.810000000001</v>
      </c>
      <c r="J60" s="1005">
        <f>I60/$M7*$M8</f>
        <v>-92.826177993522435</v>
      </c>
      <c r="K60" s="999">
        <f t="shared" si="2"/>
        <v>1344</v>
      </c>
      <c r="L60" s="999">
        <f>$M8/H60</f>
        <v>-1254.0947075208999</v>
      </c>
      <c r="M60" s="999"/>
      <c r="N60" s="587"/>
      <c r="O60" s="587"/>
      <c r="P60" s="587"/>
      <c r="Q60" s="587"/>
      <c r="R60" s="587"/>
      <c r="S60" s="587"/>
      <c r="T60" s="587"/>
      <c r="U60" s="587"/>
      <c r="V60" s="587"/>
      <c r="W60" s="587"/>
      <c r="X60" s="587"/>
    </row>
    <row r="61" spans="1:24" ht="12" thickBot="1">
      <c r="A61" s="588" t="s">
        <v>1468</v>
      </c>
      <c r="B61" s="522" t="s">
        <v>436</v>
      </c>
      <c r="C61" s="522" t="s">
        <v>412</v>
      </c>
      <c r="D61" s="522" t="s">
        <v>1008</v>
      </c>
      <c r="E61" s="1009">
        <v>4050</v>
      </c>
      <c r="F61" s="525">
        <v>213413</v>
      </c>
      <c r="G61" s="525">
        <v>45190.83</v>
      </c>
      <c r="H61" s="999">
        <f t="shared" si="3"/>
        <v>11.16</v>
      </c>
      <c r="I61" s="1008">
        <f t="shared" si="1"/>
        <v>45198</v>
      </c>
      <c r="J61" s="1005">
        <f>I61/$M7*$M8</f>
        <v>-287.92288624070903</v>
      </c>
      <c r="K61" s="999">
        <f t="shared" si="2"/>
        <v>4024</v>
      </c>
      <c r="L61" s="999">
        <f>$M8/H61</f>
        <v>-1210.2688172043095</v>
      </c>
      <c r="M61" s="999"/>
      <c r="N61" s="587"/>
      <c r="O61" s="587"/>
      <c r="P61" s="587"/>
      <c r="Q61" s="587"/>
      <c r="R61" s="587"/>
      <c r="S61" s="587"/>
      <c r="T61" s="587"/>
      <c r="U61" s="587"/>
      <c r="V61" s="587"/>
      <c r="W61" s="587"/>
      <c r="X61" s="587"/>
    </row>
    <row r="62" spans="1:24" ht="12" thickBot="1">
      <c r="A62" s="588" t="s">
        <v>1468</v>
      </c>
      <c r="B62" s="522" t="s">
        <v>436</v>
      </c>
      <c r="C62" s="522" t="s">
        <v>367</v>
      </c>
      <c r="D62" s="522" t="s">
        <v>1009</v>
      </c>
      <c r="E62" s="1010">
        <v>293</v>
      </c>
      <c r="F62" s="531">
        <v>46478</v>
      </c>
      <c r="G62" s="531">
        <v>9686.35</v>
      </c>
      <c r="H62" s="999">
        <f t="shared" si="3"/>
        <v>33.100000000000009</v>
      </c>
      <c r="I62" s="1008">
        <f t="shared" si="1"/>
        <v>9698.3000000000029</v>
      </c>
      <c r="J62" s="1005">
        <f>I62/$M7*$M8</f>
        <v>-61.780665684947778</v>
      </c>
      <c r="K62" s="999">
        <f t="shared" si="2"/>
        <v>291</v>
      </c>
      <c r="L62" s="999">
        <f>$M8/H62</f>
        <v>-408.0543806646553</v>
      </c>
      <c r="M62" s="999"/>
      <c r="N62" s="587"/>
      <c r="O62" s="587"/>
      <c r="P62" s="587"/>
      <c r="Q62" s="587"/>
      <c r="R62" s="587"/>
      <c r="S62" s="587"/>
      <c r="T62" s="587"/>
      <c r="U62" s="587"/>
      <c r="V62" s="587"/>
      <c r="W62" s="587"/>
      <c r="X62" s="587"/>
    </row>
    <row r="63" spans="1:24" ht="12" thickBot="1">
      <c r="A63" s="588" t="s">
        <v>1468</v>
      </c>
      <c r="B63" s="522" t="s">
        <v>436</v>
      </c>
      <c r="C63" s="522" t="s">
        <v>330</v>
      </c>
      <c r="D63" s="522" t="s">
        <v>1010</v>
      </c>
      <c r="E63" s="1009">
        <v>61</v>
      </c>
      <c r="F63" s="525">
        <v>29712</v>
      </c>
      <c r="G63" s="525">
        <v>3373.7</v>
      </c>
      <c r="H63" s="999">
        <f t="shared" si="3"/>
        <v>55.250000000000007</v>
      </c>
      <c r="I63" s="1008">
        <f t="shared" si="1"/>
        <v>3370.2500000000005</v>
      </c>
      <c r="J63" s="1005">
        <f>I63/$M7*$M8</f>
        <v>-21.469359426362889</v>
      </c>
      <c r="K63" s="999">
        <f t="shared" si="2"/>
        <v>61</v>
      </c>
      <c r="L63" s="999">
        <f>$M8/H63</f>
        <v>-244.46334841629124</v>
      </c>
      <c r="M63" s="999"/>
      <c r="N63" s="587"/>
      <c r="O63" s="587"/>
      <c r="P63" s="587"/>
      <c r="Q63" s="587"/>
      <c r="R63" s="587"/>
      <c r="S63" s="587"/>
      <c r="T63" s="587"/>
      <c r="U63" s="587"/>
      <c r="V63" s="587"/>
      <c r="W63" s="587"/>
      <c r="X63" s="587"/>
    </row>
    <row r="64" spans="1:24" ht="12" thickBot="1">
      <c r="A64" s="588" t="s">
        <v>1468</v>
      </c>
      <c r="B64" s="522" t="s">
        <v>436</v>
      </c>
      <c r="C64" s="522" t="s">
        <v>371</v>
      </c>
      <c r="D64" s="522" t="s">
        <v>1011</v>
      </c>
      <c r="E64" s="1010">
        <v>3569</v>
      </c>
      <c r="F64" s="531">
        <v>87384</v>
      </c>
      <c r="G64" s="531">
        <v>37429.370000000003</v>
      </c>
      <c r="H64" s="999">
        <f t="shared" si="3"/>
        <v>10.49</v>
      </c>
      <c r="I64" s="1008">
        <f t="shared" si="1"/>
        <v>37438.81</v>
      </c>
      <c r="J64" s="1005">
        <f>I64/$M7*$M8</f>
        <v>-238.4948500512748</v>
      </c>
      <c r="K64" s="999">
        <f t="shared" si="2"/>
        <v>3546</v>
      </c>
      <c r="L64" s="999">
        <f>$M8/H64</f>
        <v>-1287.5691134413817</v>
      </c>
      <c r="M64" s="999"/>
      <c r="N64" s="587"/>
      <c r="O64" s="587"/>
      <c r="P64" s="587"/>
      <c r="Q64" s="587"/>
      <c r="R64" s="587"/>
      <c r="S64" s="587"/>
      <c r="T64" s="587"/>
      <c r="U64" s="587"/>
      <c r="V64" s="587"/>
      <c r="W64" s="587"/>
      <c r="X64" s="587"/>
    </row>
    <row r="65" spans="1:24" ht="12" thickBot="1">
      <c r="A65" s="588" t="s">
        <v>1468</v>
      </c>
      <c r="B65" s="522" t="s">
        <v>436</v>
      </c>
      <c r="C65" s="522" t="s">
        <v>380</v>
      </c>
      <c r="D65" s="522" t="s">
        <v>1012</v>
      </c>
      <c r="E65" s="1009">
        <v>8447</v>
      </c>
      <c r="F65" s="525">
        <v>287919</v>
      </c>
      <c r="G65" s="525">
        <v>97968.78</v>
      </c>
      <c r="H65" s="999">
        <f t="shared" si="3"/>
        <v>11.600000000000001</v>
      </c>
      <c r="I65" s="1008">
        <f t="shared" si="1"/>
        <v>97985.200000000012</v>
      </c>
      <c r="J65" s="1005">
        <f>I65/$M7*$M8</f>
        <v>-624.19092864447828</v>
      </c>
      <c r="K65" s="999">
        <f t="shared" si="2"/>
        <v>8393</v>
      </c>
      <c r="L65" s="999">
        <f>$M8/H65</f>
        <v>-1164.3620689655252</v>
      </c>
      <c r="M65" s="999"/>
      <c r="N65" s="587"/>
      <c r="O65" s="587"/>
      <c r="P65" s="587"/>
      <c r="Q65" s="587"/>
      <c r="R65" s="587"/>
      <c r="S65" s="587"/>
      <c r="T65" s="587"/>
      <c r="U65" s="587"/>
      <c r="V65" s="587"/>
      <c r="W65" s="587"/>
      <c r="X65" s="587"/>
    </row>
    <row r="66" spans="1:24" ht="12" thickBot="1">
      <c r="A66" s="588" t="s">
        <v>1468</v>
      </c>
      <c r="B66" s="522" t="s">
        <v>436</v>
      </c>
      <c r="C66" s="522" t="s">
        <v>403</v>
      </c>
      <c r="D66" s="522" t="s">
        <v>1013</v>
      </c>
      <c r="E66" s="1010">
        <v>3345</v>
      </c>
      <c r="F66" s="531">
        <v>166897</v>
      </c>
      <c r="G66" s="531">
        <v>41129.08</v>
      </c>
      <c r="H66" s="999">
        <f t="shared" si="3"/>
        <v>12.3</v>
      </c>
      <c r="I66" s="1008">
        <f t="shared" si="1"/>
        <v>41143.5</v>
      </c>
      <c r="J66" s="1005">
        <f>I66/$M7*$M8</f>
        <v>-262.0946783053368</v>
      </c>
      <c r="K66" s="999">
        <f t="shared" si="2"/>
        <v>3324</v>
      </c>
      <c r="L66" s="999">
        <f>$M8/H66</f>
        <v>-1098.0975609756172</v>
      </c>
      <c r="M66" s="999"/>
      <c r="N66" s="587"/>
      <c r="O66" s="587"/>
      <c r="P66" s="587"/>
      <c r="Q66" s="587"/>
      <c r="R66" s="587"/>
      <c r="S66" s="587"/>
      <c r="T66" s="587"/>
      <c r="U66" s="587"/>
      <c r="V66" s="587"/>
      <c r="W66" s="587"/>
      <c r="X66" s="587"/>
    </row>
    <row r="67" spans="1:24" ht="12" thickBot="1">
      <c r="A67" s="588" t="s">
        <v>1468</v>
      </c>
      <c r="B67" s="522" t="s">
        <v>436</v>
      </c>
      <c r="C67" s="522" t="s">
        <v>360</v>
      </c>
      <c r="D67" s="522" t="s">
        <v>1014</v>
      </c>
      <c r="E67" s="1009">
        <v>5074</v>
      </c>
      <c r="F67" s="525">
        <v>525796</v>
      </c>
      <c r="G67" s="525">
        <v>88326.31</v>
      </c>
      <c r="H67" s="999">
        <f t="shared" si="3"/>
        <v>17.41</v>
      </c>
      <c r="I67" s="1008">
        <f t="shared" si="1"/>
        <v>88338.34</v>
      </c>
      <c r="J67" s="1005">
        <f>I67/$M7*$M8</f>
        <v>-562.73794899139511</v>
      </c>
      <c r="K67" s="999">
        <f t="shared" si="2"/>
        <v>5042</v>
      </c>
      <c r="L67" s="999">
        <f>$M8/H67</f>
        <v>-775.79551981620295</v>
      </c>
      <c r="M67" s="999"/>
      <c r="N67" s="587"/>
      <c r="O67" s="587"/>
      <c r="P67" s="587"/>
      <c r="Q67" s="587"/>
      <c r="R67" s="587"/>
      <c r="S67" s="587"/>
      <c r="T67" s="587"/>
      <c r="U67" s="587"/>
      <c r="V67" s="587"/>
      <c r="W67" s="587"/>
      <c r="X67" s="587"/>
    </row>
    <row r="68" spans="1:24" ht="12" thickBot="1">
      <c r="A68" s="588" t="s">
        <v>1468</v>
      </c>
      <c r="B68" s="522" t="s">
        <v>436</v>
      </c>
      <c r="C68" s="522" t="s">
        <v>392</v>
      </c>
      <c r="D68" s="522" t="s">
        <v>1015</v>
      </c>
      <c r="E68" s="1010">
        <v>506</v>
      </c>
      <c r="F68" s="531">
        <v>102413</v>
      </c>
      <c r="G68" s="531">
        <v>12366.13</v>
      </c>
      <c r="H68" s="999">
        <f t="shared" si="3"/>
        <v>24.46</v>
      </c>
      <c r="I68" s="1008">
        <f t="shared" si="1"/>
        <v>12376.76</v>
      </c>
      <c r="J68" s="1005">
        <f>I68/$M7*$M8</f>
        <v>-78.843144862793892</v>
      </c>
      <c r="K68" s="999">
        <f t="shared" si="2"/>
        <v>503</v>
      </c>
      <c r="L68" s="999">
        <f>$M8/H68</f>
        <v>-552.19133278822949</v>
      </c>
      <c r="M68" s="999"/>
      <c r="N68" s="587"/>
      <c r="O68" s="587"/>
      <c r="P68" s="587"/>
      <c r="Q68" s="587"/>
      <c r="R68" s="587"/>
      <c r="S68" s="587"/>
      <c r="T68" s="587"/>
      <c r="U68" s="587"/>
      <c r="V68" s="587"/>
      <c r="W68" s="587"/>
      <c r="X68" s="587"/>
    </row>
    <row r="69" spans="1:24" ht="12" thickBot="1">
      <c r="A69" s="588" t="s">
        <v>1468</v>
      </c>
      <c r="B69" s="522" t="s">
        <v>436</v>
      </c>
      <c r="C69" s="522" t="s">
        <v>390</v>
      </c>
      <c r="D69" s="522" t="s">
        <v>1016</v>
      </c>
      <c r="E69" s="1009">
        <v>4464</v>
      </c>
      <c r="F69" s="525">
        <v>150439</v>
      </c>
      <c r="G69" s="525">
        <v>74939.399999999994</v>
      </c>
      <c r="H69" s="999">
        <f t="shared" ref="H69:H85" si="4">SUMIF(_Lights_Tariff_Category,20140101&amp;$C69,_Lights_Rates)</f>
        <v>16.79</v>
      </c>
      <c r="I69" s="1008">
        <f t="shared" si="1"/>
        <v>74950.559999999998</v>
      </c>
      <c r="J69" s="1005">
        <f>I69/$M7*$M8</f>
        <v>-477.45434666484005</v>
      </c>
      <c r="K69" s="999">
        <f t="shared" si="2"/>
        <v>4436</v>
      </c>
      <c r="L69" s="999">
        <f>$M8/H69</f>
        <v>-804.44312090530639</v>
      </c>
      <c r="M69" s="999"/>
      <c r="N69" s="587"/>
      <c r="O69" s="587"/>
      <c r="P69" s="587"/>
      <c r="Q69" s="587"/>
      <c r="R69" s="587"/>
      <c r="S69" s="587"/>
      <c r="T69" s="587"/>
      <c r="U69" s="587"/>
      <c r="V69" s="587"/>
      <c r="W69" s="587"/>
      <c r="X69" s="587"/>
    </row>
    <row r="70" spans="1:24" ht="12" thickBot="1">
      <c r="A70" s="588" t="s">
        <v>1468</v>
      </c>
      <c r="B70" s="522" t="s">
        <v>436</v>
      </c>
      <c r="C70" s="522" t="s">
        <v>414</v>
      </c>
      <c r="D70" s="522" t="s">
        <v>1017</v>
      </c>
      <c r="E70" s="1010">
        <v>1061</v>
      </c>
      <c r="F70" s="531">
        <v>53162</v>
      </c>
      <c r="G70" s="531">
        <v>22255.99</v>
      </c>
      <c r="H70" s="999">
        <f t="shared" si="4"/>
        <v>20.97</v>
      </c>
      <c r="I70" s="1008">
        <f t="shared" ref="I70:I85" si="5">E70*H70</f>
        <v>22249.17</v>
      </c>
      <c r="J70" s="1005">
        <f>I70/$M7*$M8</f>
        <v>-141.73293603389965</v>
      </c>
      <c r="K70" s="999">
        <f t="shared" ref="K70:K85" si="6">ROUND((I70+J70)/H70,0)</f>
        <v>1054</v>
      </c>
      <c r="L70" s="999">
        <f>$M8/H70</f>
        <v>-644.09155937053379</v>
      </c>
      <c r="M70" s="999"/>
      <c r="N70" s="587"/>
      <c r="O70" s="587"/>
      <c r="P70" s="587"/>
      <c r="Q70" s="587"/>
      <c r="R70" s="587"/>
      <c r="S70" s="587"/>
      <c r="T70" s="587"/>
      <c r="U70" s="587"/>
      <c r="V70" s="587"/>
      <c r="W70" s="587"/>
      <c r="X70" s="587"/>
    </row>
    <row r="71" spans="1:24" ht="12" thickBot="1">
      <c r="A71" s="588" t="s">
        <v>1468</v>
      </c>
      <c r="B71" s="522" t="s">
        <v>436</v>
      </c>
      <c r="C71" s="522" t="s">
        <v>364</v>
      </c>
      <c r="D71" s="522" t="s">
        <v>1018</v>
      </c>
      <c r="E71" s="1009">
        <v>1421</v>
      </c>
      <c r="F71" s="525">
        <v>149194</v>
      </c>
      <c r="G71" s="525">
        <v>38179.42</v>
      </c>
      <c r="H71" s="999">
        <f t="shared" si="4"/>
        <v>26.86</v>
      </c>
      <c r="I71" s="1008">
        <f t="shared" si="5"/>
        <v>38168.06</v>
      </c>
      <c r="J71" s="1005">
        <f>I71/$M7*$M8</f>
        <v>-243.14036013559354</v>
      </c>
      <c r="K71" s="999">
        <f t="shared" si="6"/>
        <v>1412</v>
      </c>
      <c r="L71" s="999">
        <f>$M8/H71</f>
        <v>-502.85182427401691</v>
      </c>
      <c r="M71" s="999"/>
      <c r="N71" s="587"/>
      <c r="O71" s="587"/>
      <c r="P71" s="587"/>
      <c r="Q71" s="587"/>
      <c r="R71" s="587"/>
      <c r="S71" s="587"/>
      <c r="T71" s="587"/>
      <c r="U71" s="587"/>
      <c r="V71" s="587"/>
      <c r="W71" s="587"/>
      <c r="X71" s="587"/>
    </row>
    <row r="72" spans="1:24" ht="12" thickBot="1">
      <c r="A72" s="588" t="s">
        <v>1468</v>
      </c>
      <c r="B72" s="522" t="s">
        <v>436</v>
      </c>
      <c r="C72" s="522" t="s">
        <v>396</v>
      </c>
      <c r="D72" s="522" t="s">
        <v>1019</v>
      </c>
      <c r="E72" s="1010">
        <v>962</v>
      </c>
      <c r="F72" s="531">
        <v>201363</v>
      </c>
      <c r="G72" s="531">
        <v>31846.74</v>
      </c>
      <c r="H72" s="999">
        <f t="shared" si="4"/>
        <v>33.119999999999997</v>
      </c>
      <c r="I72" s="1008">
        <f t="shared" si="5"/>
        <v>31861.439999999999</v>
      </c>
      <c r="J72" s="1005">
        <f>I72/$M7*$M8</f>
        <v>-202.96556848942822</v>
      </c>
      <c r="K72" s="999">
        <f t="shared" si="6"/>
        <v>956</v>
      </c>
      <c r="L72" s="999">
        <f>$M8/H72</f>
        <v>-407.80797101449559</v>
      </c>
      <c r="M72" s="999"/>
      <c r="N72" s="587"/>
      <c r="O72" s="587"/>
      <c r="P72" s="587"/>
      <c r="Q72" s="587"/>
      <c r="R72" s="587"/>
      <c r="S72" s="587"/>
      <c r="T72" s="587"/>
      <c r="U72" s="587"/>
      <c r="V72" s="587"/>
      <c r="W72" s="587"/>
      <c r="X72" s="587"/>
    </row>
    <row r="73" spans="1:24" ht="12" thickBot="1">
      <c r="A73" s="588" t="s">
        <v>1468</v>
      </c>
      <c r="B73" s="522" t="s">
        <v>436</v>
      </c>
      <c r="C73" s="522" t="s">
        <v>415</v>
      </c>
      <c r="D73" s="522" t="s">
        <v>1020</v>
      </c>
      <c r="E73" s="1010">
        <v>11100</v>
      </c>
      <c r="F73" s="531">
        <v>584473</v>
      </c>
      <c r="G73" s="531">
        <v>99880.55</v>
      </c>
      <c r="H73" s="999">
        <f t="shared" si="4"/>
        <v>9</v>
      </c>
      <c r="I73" s="1008">
        <f t="shared" si="5"/>
        <v>99900</v>
      </c>
      <c r="J73" s="1005">
        <f>I73/$M7*$M8</f>
        <v>-636.38869718675232</v>
      </c>
      <c r="K73" s="999">
        <f t="shared" si="6"/>
        <v>11029</v>
      </c>
      <c r="L73" s="999">
        <f>$M8/H73</f>
        <v>-1500.7333333333436</v>
      </c>
      <c r="M73" s="999"/>
      <c r="N73" s="587"/>
      <c r="O73" s="587"/>
      <c r="P73" s="587"/>
      <c r="Q73" s="587"/>
      <c r="R73" s="587"/>
      <c r="S73" s="587"/>
      <c r="T73" s="587"/>
      <c r="U73" s="587"/>
      <c r="V73" s="587"/>
      <c r="W73" s="587"/>
      <c r="X73" s="587"/>
    </row>
    <row r="74" spans="1:24" ht="12" thickBot="1">
      <c r="A74" s="588" t="s">
        <v>1468</v>
      </c>
      <c r="B74" s="522" t="s">
        <v>436</v>
      </c>
      <c r="C74" s="522" t="s">
        <v>365</v>
      </c>
      <c r="D74" s="522" t="s">
        <v>1021</v>
      </c>
      <c r="E74" s="1010">
        <v>6584</v>
      </c>
      <c r="F74" s="531">
        <v>715170</v>
      </c>
      <c r="G74" s="531">
        <v>89786.48</v>
      </c>
      <c r="H74" s="999">
        <f t="shared" si="4"/>
        <v>13.639999999999999</v>
      </c>
      <c r="I74" s="1008">
        <f t="shared" si="5"/>
        <v>89805.759999999995</v>
      </c>
      <c r="J74" s="1005">
        <f>I74/$M7*$M8</f>
        <v>-572.08579185451606</v>
      </c>
      <c r="K74" s="999">
        <f t="shared" si="6"/>
        <v>6542</v>
      </c>
      <c r="L74" s="999">
        <f>$M8/H74</f>
        <v>-990.21994134898057</v>
      </c>
      <c r="M74" s="999"/>
      <c r="N74" s="587"/>
      <c r="O74" s="587"/>
      <c r="P74" s="587"/>
      <c r="Q74" s="587"/>
      <c r="R74" s="587"/>
      <c r="S74" s="587"/>
      <c r="T74" s="587"/>
      <c r="U74" s="587"/>
      <c r="V74" s="587"/>
      <c r="W74" s="587"/>
      <c r="X74" s="587"/>
    </row>
    <row r="75" spans="1:24" ht="12" thickBot="1">
      <c r="A75" s="588" t="s">
        <v>1468</v>
      </c>
      <c r="B75" s="522" t="s">
        <v>436</v>
      </c>
      <c r="C75" s="522" t="s">
        <v>397</v>
      </c>
      <c r="D75" s="522" t="s">
        <v>1022</v>
      </c>
      <c r="E75" s="1010">
        <v>8363</v>
      </c>
      <c r="F75" s="531">
        <v>1766222</v>
      </c>
      <c r="G75" s="531">
        <v>162730.60999999999</v>
      </c>
      <c r="H75" s="999">
        <f t="shared" si="4"/>
        <v>19.46</v>
      </c>
      <c r="I75" s="1008">
        <f t="shared" si="5"/>
        <v>162743.98000000001</v>
      </c>
      <c r="J75" s="1005">
        <f>I75/$M7*$M8</f>
        <v>-1036.721015086956</v>
      </c>
      <c r="K75" s="999">
        <f t="shared" si="6"/>
        <v>8310</v>
      </c>
      <c r="L75" s="999">
        <f>$M8/H75</f>
        <v>-694.06988694758957</v>
      </c>
      <c r="M75" s="999"/>
      <c r="N75" s="587"/>
      <c r="O75" s="587"/>
      <c r="P75" s="587"/>
      <c r="Q75" s="587"/>
      <c r="R75" s="587"/>
      <c r="S75" s="587"/>
      <c r="T75" s="587"/>
      <c r="U75" s="587"/>
      <c r="V75" s="587"/>
      <c r="W75" s="587"/>
      <c r="X75" s="587"/>
    </row>
    <row r="76" spans="1:24" ht="12" thickBot="1">
      <c r="A76" s="588" t="s">
        <v>1468</v>
      </c>
      <c r="B76" s="522" t="s">
        <v>436</v>
      </c>
      <c r="C76" s="522" t="s">
        <v>337</v>
      </c>
      <c r="D76" s="522" t="s">
        <v>1023</v>
      </c>
      <c r="E76" s="1010">
        <v>58</v>
      </c>
      <c r="F76" s="531">
        <v>3863</v>
      </c>
      <c r="G76" s="531">
        <v>895.49</v>
      </c>
      <c r="H76" s="999">
        <f t="shared" si="4"/>
        <v>15.47</v>
      </c>
      <c r="I76" s="1008">
        <f t="shared" si="5"/>
        <v>897.26</v>
      </c>
      <c r="J76" s="1005">
        <f>I76/$M7*$M8</f>
        <v>-5.7157770013792337</v>
      </c>
      <c r="K76" s="999">
        <f t="shared" si="6"/>
        <v>58</v>
      </c>
      <c r="L76" s="999">
        <f>$M8/H76</f>
        <v>-873.0833872010403</v>
      </c>
      <c r="M76" s="999"/>
      <c r="N76" s="587"/>
      <c r="O76" s="587"/>
      <c r="P76" s="587"/>
      <c r="Q76" s="587"/>
      <c r="R76" s="587"/>
      <c r="S76" s="587"/>
      <c r="T76" s="587"/>
      <c r="U76" s="587"/>
      <c r="V76" s="587"/>
      <c r="W76" s="587"/>
      <c r="X76" s="587"/>
    </row>
    <row r="77" spans="1:24" ht="12" thickBot="1">
      <c r="A77" s="588" t="s">
        <v>1468</v>
      </c>
      <c r="B77" s="522" t="s">
        <v>436</v>
      </c>
      <c r="C77" s="522" t="s">
        <v>369</v>
      </c>
      <c r="D77" s="522" t="s">
        <v>1024</v>
      </c>
      <c r="E77" s="1009">
        <v>301</v>
      </c>
      <c r="F77" s="525">
        <v>47128</v>
      </c>
      <c r="G77" s="525">
        <v>6594.86</v>
      </c>
      <c r="H77" s="999">
        <f t="shared" si="4"/>
        <v>21.930000000000003</v>
      </c>
      <c r="I77" s="1008">
        <f t="shared" si="5"/>
        <v>6600.9300000000012</v>
      </c>
      <c r="J77" s="1005">
        <f>I77/$M7*$M8</f>
        <v>-42.049622051260762</v>
      </c>
      <c r="K77" s="999">
        <f t="shared" si="6"/>
        <v>299</v>
      </c>
      <c r="L77" s="999">
        <f>$M8/H77</f>
        <v>-615.89603283174154</v>
      </c>
      <c r="M77" s="999"/>
      <c r="N77" s="587"/>
      <c r="O77" s="587"/>
      <c r="P77" s="587"/>
      <c r="Q77" s="587"/>
      <c r="R77" s="587"/>
      <c r="S77" s="587"/>
      <c r="T77" s="587"/>
      <c r="U77" s="587"/>
      <c r="V77" s="587"/>
      <c r="W77" s="587"/>
      <c r="X77" s="587"/>
    </row>
    <row r="78" spans="1:24" ht="12" thickBot="1">
      <c r="A78" s="588" t="s">
        <v>1468</v>
      </c>
      <c r="B78" s="522" t="s">
        <v>436</v>
      </c>
      <c r="C78" s="522" t="s">
        <v>715</v>
      </c>
      <c r="D78" s="522" t="s">
        <v>1025</v>
      </c>
      <c r="E78" s="1010">
        <v>2</v>
      </c>
      <c r="F78" s="531">
        <v>77</v>
      </c>
      <c r="G78" s="531">
        <v>30.74</v>
      </c>
      <c r="H78" s="999">
        <f t="shared" si="4"/>
        <v>15.370000000000001</v>
      </c>
      <c r="I78" s="1008">
        <f t="shared" si="5"/>
        <v>30.740000000000002</v>
      </c>
      <c r="J78" s="1005">
        <f>I78/$M7*$M8</f>
        <v>-0.19582170722243011</v>
      </c>
      <c r="K78" s="999">
        <f t="shared" si="6"/>
        <v>2</v>
      </c>
      <c r="L78" s="999">
        <f>$M8/H78</f>
        <v>-878.76382563435868</v>
      </c>
      <c r="M78" s="999"/>
      <c r="N78" s="587"/>
      <c r="O78" s="587"/>
      <c r="P78" s="587"/>
      <c r="Q78" s="587"/>
      <c r="R78" s="587"/>
      <c r="S78" s="587"/>
      <c r="T78" s="587"/>
      <c r="U78" s="587"/>
      <c r="V78" s="587"/>
      <c r="W78" s="587"/>
      <c r="X78" s="587"/>
    </row>
    <row r="79" spans="1:24" ht="12" thickBot="1">
      <c r="A79" s="588" t="s">
        <v>1468</v>
      </c>
      <c r="B79" s="522" t="s">
        <v>436</v>
      </c>
      <c r="C79" s="522" t="s">
        <v>332</v>
      </c>
      <c r="D79" s="522" t="s">
        <v>1026</v>
      </c>
      <c r="E79" s="1009">
        <v>43</v>
      </c>
      <c r="F79" s="525">
        <v>21093</v>
      </c>
      <c r="G79" s="525">
        <v>1965.1</v>
      </c>
      <c r="H79" s="999">
        <f t="shared" si="4"/>
        <v>45.7</v>
      </c>
      <c r="I79" s="1008">
        <f t="shared" si="5"/>
        <v>1965.1000000000001</v>
      </c>
      <c r="J79" s="1005">
        <f>I79/$M7*$M8</f>
        <v>-12.518192480897769</v>
      </c>
      <c r="K79" s="999">
        <f t="shared" si="6"/>
        <v>43</v>
      </c>
      <c r="L79" s="999">
        <f>$M8/H79</f>
        <v>-295.54923413566939</v>
      </c>
      <c r="M79" s="999"/>
      <c r="N79" s="587"/>
      <c r="O79" s="587"/>
      <c r="P79" s="587"/>
      <c r="Q79" s="587"/>
      <c r="R79" s="587"/>
      <c r="S79" s="587"/>
      <c r="T79" s="587"/>
      <c r="U79" s="587"/>
      <c r="V79" s="587"/>
      <c r="W79" s="587"/>
      <c r="X79" s="587"/>
    </row>
    <row r="80" spans="1:24" ht="12" thickBot="1">
      <c r="A80" s="588" t="s">
        <v>1468</v>
      </c>
      <c r="B80" s="522" t="s">
        <v>436</v>
      </c>
      <c r="C80" s="522" t="s">
        <v>334</v>
      </c>
      <c r="D80" s="522" t="s">
        <v>1027</v>
      </c>
      <c r="E80" s="1010">
        <v>167</v>
      </c>
      <c r="F80" s="531">
        <v>11037</v>
      </c>
      <c r="G80" s="531">
        <v>4740.79</v>
      </c>
      <c r="H80" s="999">
        <f t="shared" si="4"/>
        <v>28.37</v>
      </c>
      <c r="I80" s="1008">
        <f t="shared" si="5"/>
        <v>4737.79</v>
      </c>
      <c r="J80" s="1005">
        <f>I80/$M7*$M8</f>
        <v>-30.180940997441674</v>
      </c>
      <c r="K80" s="999">
        <f t="shared" si="6"/>
        <v>166</v>
      </c>
      <c r="L80" s="999">
        <f>$M8/H80</f>
        <v>-476.08741628481118</v>
      </c>
      <c r="M80" s="999"/>
      <c r="N80" s="587"/>
      <c r="O80" s="587"/>
      <c r="P80" s="587"/>
      <c r="Q80" s="587"/>
      <c r="R80" s="587"/>
      <c r="S80" s="587"/>
      <c r="T80" s="587"/>
      <c r="U80" s="587"/>
      <c r="V80" s="587"/>
      <c r="W80" s="587"/>
      <c r="X80" s="587"/>
    </row>
    <row r="81" spans="1:31" ht="12" thickBot="1">
      <c r="A81" s="588" t="s">
        <v>1468</v>
      </c>
      <c r="B81" s="522" t="s">
        <v>436</v>
      </c>
      <c r="C81" s="522" t="s">
        <v>366</v>
      </c>
      <c r="D81" s="522" t="s">
        <v>1028</v>
      </c>
      <c r="E81" s="1009">
        <v>617</v>
      </c>
      <c r="F81" s="525">
        <v>96967</v>
      </c>
      <c r="G81" s="525">
        <v>21499.93</v>
      </c>
      <c r="H81" s="999">
        <f t="shared" si="4"/>
        <v>34.830000000000005</v>
      </c>
      <c r="I81" s="1008">
        <f t="shared" si="5"/>
        <v>21490.110000000004</v>
      </c>
      <c r="J81" s="1005">
        <f>I81/$M7*$M8</f>
        <v>-136.89752858158158</v>
      </c>
      <c r="K81" s="999">
        <f t="shared" si="6"/>
        <v>613</v>
      </c>
      <c r="L81" s="999">
        <f>$M8/H81</f>
        <v>-387.78639104220758</v>
      </c>
      <c r="M81" s="999"/>
      <c r="N81" s="587"/>
      <c r="O81" s="587"/>
      <c r="P81" s="587"/>
      <c r="Q81" s="587"/>
      <c r="R81" s="587"/>
      <c r="S81" s="587"/>
      <c r="T81" s="587"/>
      <c r="U81" s="587"/>
      <c r="V81" s="587"/>
      <c r="W81" s="587"/>
      <c r="X81" s="587"/>
    </row>
    <row r="82" spans="1:31" ht="12" thickBot="1">
      <c r="A82" s="588" t="s">
        <v>1468</v>
      </c>
      <c r="B82" s="522" t="s">
        <v>436</v>
      </c>
      <c r="C82" s="522" t="s">
        <v>329</v>
      </c>
      <c r="D82" s="522" t="s">
        <v>1029</v>
      </c>
      <c r="E82" s="1010">
        <v>157</v>
      </c>
      <c r="F82" s="531">
        <v>76312</v>
      </c>
      <c r="G82" s="531">
        <v>9194.5400000000009</v>
      </c>
      <c r="H82" s="999">
        <f t="shared" si="4"/>
        <v>58.59</v>
      </c>
      <c r="I82" s="1008">
        <f t="shared" si="5"/>
        <v>9198.630000000001</v>
      </c>
      <c r="J82" s="1005">
        <f>I82/$M7*$M8</f>
        <v>-58.597639255285046</v>
      </c>
      <c r="K82" s="999">
        <f t="shared" si="6"/>
        <v>156</v>
      </c>
      <c r="L82" s="999">
        <f>$M8/H82</f>
        <v>-230.52739375320178</v>
      </c>
      <c r="M82" s="999"/>
      <c r="N82" s="587"/>
      <c r="O82" s="587"/>
      <c r="P82" s="587"/>
      <c r="Q82" s="587"/>
      <c r="R82" s="587"/>
      <c r="S82" s="587"/>
      <c r="T82" s="587"/>
      <c r="U82" s="587"/>
      <c r="V82" s="587"/>
      <c r="W82" s="587"/>
      <c r="X82" s="587"/>
    </row>
    <row r="83" spans="1:31" ht="12" thickBot="1">
      <c r="A83" s="588" t="s">
        <v>1468</v>
      </c>
      <c r="B83" s="522" t="s">
        <v>436</v>
      </c>
      <c r="C83" s="522" t="s">
        <v>683</v>
      </c>
      <c r="D83" s="522" t="s">
        <v>1047</v>
      </c>
      <c r="E83" s="1009">
        <v>8</v>
      </c>
      <c r="F83" s="525">
        <v>427</v>
      </c>
      <c r="G83" s="525">
        <v>122.8</v>
      </c>
      <c r="H83" s="999">
        <f t="shared" si="4"/>
        <v>15.35</v>
      </c>
      <c r="I83" s="1008">
        <f t="shared" si="5"/>
        <v>122.8</v>
      </c>
      <c r="J83" s="1005">
        <f>I83/$M7*$M8</f>
        <v>-0.78226758773306504</v>
      </c>
      <c r="K83" s="999">
        <f t="shared" si="6"/>
        <v>8</v>
      </c>
      <c r="L83" s="999">
        <f>$M8/H83</f>
        <v>-879.90879478827969</v>
      </c>
      <c r="M83" s="999"/>
      <c r="N83" s="587"/>
      <c r="O83" s="587"/>
      <c r="P83" s="587"/>
      <c r="Q83" s="587"/>
      <c r="R83" s="587"/>
      <c r="S83" s="587"/>
      <c r="T83" s="587"/>
      <c r="U83" s="587"/>
      <c r="V83" s="587"/>
      <c r="W83" s="587"/>
      <c r="X83" s="587"/>
    </row>
    <row r="84" spans="1:31" ht="12" thickBot="1">
      <c r="A84" s="588" t="s">
        <v>1468</v>
      </c>
      <c r="B84" s="522" t="s">
        <v>436</v>
      </c>
      <c r="C84" s="522" t="s">
        <v>463</v>
      </c>
      <c r="D84" s="522" t="s">
        <v>1030</v>
      </c>
      <c r="E84" s="1010">
        <v>24</v>
      </c>
      <c r="F84" s="531">
        <v>2496</v>
      </c>
      <c r="G84" s="531">
        <v>425.28</v>
      </c>
      <c r="H84" s="999">
        <f t="shared" si="4"/>
        <v>17.72</v>
      </c>
      <c r="I84" s="1008">
        <f t="shared" si="5"/>
        <v>425.28</v>
      </c>
      <c r="J84" s="1005">
        <f>I84/$M7*$M8</f>
        <v>-2.7091429943902106</v>
      </c>
      <c r="K84" s="999">
        <f t="shared" si="6"/>
        <v>24</v>
      </c>
      <c r="L84" s="999">
        <f>$M8/H84</f>
        <v>-762.22347629797366</v>
      </c>
      <c r="M84" s="999"/>
      <c r="N84" s="587"/>
      <c r="O84" s="587"/>
      <c r="P84" s="587"/>
      <c r="Q84" s="587"/>
      <c r="R84" s="587"/>
      <c r="S84" s="587"/>
      <c r="T84" s="587"/>
      <c r="U84" s="587"/>
      <c r="V84" s="587"/>
      <c r="W84" s="587"/>
      <c r="X84" s="587"/>
    </row>
    <row r="85" spans="1:31" ht="12" thickBot="1">
      <c r="A85" s="588" t="s">
        <v>1468</v>
      </c>
      <c r="B85" s="522" t="s">
        <v>436</v>
      </c>
      <c r="C85" s="522" t="s">
        <v>653</v>
      </c>
      <c r="D85" s="522" t="s">
        <v>1031</v>
      </c>
      <c r="E85" s="1009">
        <v>24</v>
      </c>
      <c r="F85" s="525">
        <v>5168</v>
      </c>
      <c r="G85" s="525">
        <v>515.04999999999995</v>
      </c>
      <c r="H85" s="999">
        <f t="shared" si="4"/>
        <v>21.490000000000002</v>
      </c>
      <c r="I85" s="1008">
        <f t="shared" si="5"/>
        <v>515.76</v>
      </c>
      <c r="J85" s="1005">
        <f>I85/$M7*$M8</f>
        <v>-3.2855238684788728</v>
      </c>
      <c r="K85" s="999">
        <f t="shared" si="6"/>
        <v>24</v>
      </c>
      <c r="L85" s="999">
        <f>$M8/H85</f>
        <v>-628.50628199162827</v>
      </c>
      <c r="M85" s="999"/>
      <c r="N85" s="587"/>
      <c r="O85" s="587"/>
      <c r="P85" s="587"/>
      <c r="Q85" s="587"/>
      <c r="R85" s="587"/>
      <c r="S85" s="587"/>
      <c r="T85" s="587"/>
      <c r="U85" s="587"/>
      <c r="V85" s="587"/>
      <c r="W85" s="587"/>
      <c r="X85" s="587"/>
    </row>
    <row r="86" spans="1:31" ht="12" thickBot="1">
      <c r="A86" s="588" t="s">
        <v>1468</v>
      </c>
      <c r="B86" s="522" t="s">
        <v>436</v>
      </c>
      <c r="C86" s="543" t="s">
        <v>9</v>
      </c>
      <c r="D86" s="544"/>
      <c r="E86" s="539">
        <f>SUM(E5:E85)</f>
        <v>171012</v>
      </c>
      <c r="F86" s="540">
        <v>13846401</v>
      </c>
      <c r="G86" s="540">
        <v>2120767.98</v>
      </c>
      <c r="H86" s="999"/>
      <c r="I86" s="1005">
        <f>SUM(I5:I85)</f>
        <v>2120259.75</v>
      </c>
      <c r="J86" s="999">
        <f>SUM(J5:J85)</f>
        <v>-13506.600000000093</v>
      </c>
      <c r="K86" s="999">
        <f>SUM(K5:K85)</f>
        <v>169925</v>
      </c>
      <c r="L86" s="999"/>
      <c r="M86" s="999"/>
      <c r="N86" s="587"/>
      <c r="O86" s="587"/>
      <c r="P86" s="587"/>
      <c r="Q86" s="587"/>
      <c r="R86" s="587"/>
      <c r="S86" s="587"/>
      <c r="T86" s="587"/>
      <c r="U86" s="587"/>
      <c r="V86" s="587"/>
      <c r="W86" s="587"/>
      <c r="X86" s="587"/>
      <c r="Y86" s="587"/>
      <c r="Z86" s="587"/>
      <c r="AA86" s="587"/>
      <c r="AB86" s="587"/>
      <c r="AC86" s="587"/>
      <c r="AD86" s="587"/>
      <c r="AE86" s="587"/>
    </row>
    <row r="87" spans="1:31" ht="12" thickBot="1">
      <c r="A87" s="549"/>
      <c r="B87" s="589"/>
      <c r="C87" s="550"/>
      <c r="D87" s="541"/>
      <c r="E87" s="522" t="s">
        <v>65</v>
      </c>
      <c r="F87" s="522" t="s">
        <v>66</v>
      </c>
      <c r="G87" s="522" t="s">
        <v>3</v>
      </c>
      <c r="H87" s="999"/>
      <c r="I87" s="999"/>
      <c r="J87" s="999"/>
      <c r="K87" s="999"/>
      <c r="L87" s="999"/>
      <c r="M87" s="999"/>
      <c r="N87" s="587"/>
      <c r="O87" s="587"/>
      <c r="P87" s="587"/>
      <c r="Q87" s="587"/>
      <c r="R87" s="587"/>
      <c r="S87" s="587"/>
      <c r="T87" s="587"/>
      <c r="U87" s="587"/>
      <c r="V87" s="587"/>
      <c r="W87" s="587"/>
      <c r="X87" s="587"/>
      <c r="Y87" s="587"/>
      <c r="Z87" s="587"/>
      <c r="AA87" s="587"/>
      <c r="AB87" s="587"/>
      <c r="AC87" s="587"/>
      <c r="AD87" s="587"/>
      <c r="AE87" s="587"/>
    </row>
    <row r="88" spans="1:31" ht="12" thickBot="1">
      <c r="A88" s="522" t="s">
        <v>0</v>
      </c>
      <c r="B88" s="591"/>
      <c r="C88" s="522" t="s">
        <v>6</v>
      </c>
      <c r="D88" s="557"/>
      <c r="E88" s="541"/>
      <c r="F88" s="541" t="s">
        <v>7</v>
      </c>
      <c r="G88" s="541" t="s">
        <v>8</v>
      </c>
      <c r="H88" s="999"/>
      <c r="I88" s="999"/>
      <c r="J88" s="999"/>
      <c r="K88" s="999"/>
      <c r="L88" s="999"/>
      <c r="M88" s="999"/>
      <c r="N88" s="587"/>
      <c r="O88" s="587"/>
      <c r="P88" s="587"/>
      <c r="Q88" s="587"/>
      <c r="R88" s="587"/>
      <c r="S88" s="587"/>
      <c r="T88" s="587"/>
      <c r="U88" s="587"/>
      <c r="V88" s="587"/>
      <c r="W88" s="587"/>
      <c r="X88" s="587"/>
      <c r="Y88" s="587"/>
      <c r="Z88" s="587"/>
      <c r="AA88" s="587"/>
      <c r="AB88" s="587"/>
      <c r="AC88" s="587"/>
      <c r="AD88" s="587"/>
      <c r="AE88" s="587"/>
    </row>
    <row r="89" spans="1:31" ht="12" thickBot="1">
      <c r="A89" s="588" t="s">
        <v>1469</v>
      </c>
      <c r="B89" s="522" t="s">
        <v>436</v>
      </c>
      <c r="C89" s="522" t="s">
        <v>449</v>
      </c>
      <c r="D89" s="522" t="s">
        <v>448</v>
      </c>
      <c r="E89" s="524"/>
      <c r="F89" s="525"/>
      <c r="G89" s="525"/>
      <c r="H89" s="999"/>
      <c r="I89" s="999"/>
      <c r="J89" s="999"/>
      <c r="K89" s="999"/>
      <c r="L89" s="999"/>
      <c r="M89" s="847">
        <f>'12MonLights'!$O$177</f>
        <v>2094693.25</v>
      </c>
      <c r="N89" s="587" t="s">
        <v>1520</v>
      </c>
      <c r="O89" s="587"/>
      <c r="P89" s="587"/>
      <c r="Q89" s="587"/>
      <c r="R89" s="1004" t="s">
        <v>1517</v>
      </c>
      <c r="S89" s="587"/>
      <c r="T89" s="587"/>
      <c r="U89" s="587"/>
      <c r="V89" s="587"/>
      <c r="W89" s="587"/>
      <c r="X89" s="587"/>
      <c r="Y89" s="587"/>
      <c r="Z89" s="587"/>
      <c r="AA89" s="587"/>
      <c r="AB89" s="587"/>
      <c r="AC89" s="587"/>
      <c r="AD89" s="587"/>
      <c r="AE89" s="587"/>
    </row>
    <row r="90" spans="1:31" ht="12" thickBot="1">
      <c r="A90" s="588" t="s">
        <v>1469</v>
      </c>
      <c r="B90" s="522" t="s">
        <v>436</v>
      </c>
      <c r="C90" s="522" t="s">
        <v>447</v>
      </c>
      <c r="D90" s="522" t="s">
        <v>446</v>
      </c>
      <c r="E90" s="530"/>
      <c r="F90" s="531"/>
      <c r="G90" s="531"/>
      <c r="H90" s="999"/>
      <c r="I90" s="999"/>
      <c r="J90" s="999"/>
      <c r="K90" s="999"/>
      <c r="L90" s="999"/>
      <c r="M90" s="1005">
        <f>'12MonResults'!$AV$62</f>
        <v>782.7</v>
      </c>
      <c r="N90" s="587" t="s">
        <v>1521</v>
      </c>
      <c r="O90" s="587"/>
      <c r="P90" s="587"/>
      <c r="Q90" s="587"/>
      <c r="R90" s="587"/>
      <c r="S90" s="587"/>
      <c r="T90" s="587"/>
      <c r="U90" s="587"/>
      <c r="V90" s="587"/>
      <c r="W90" s="587"/>
      <c r="X90" s="587"/>
      <c r="Y90" s="587"/>
      <c r="Z90" s="587"/>
      <c r="AA90" s="587"/>
      <c r="AB90" s="587"/>
      <c r="AC90" s="587"/>
      <c r="AD90" s="587"/>
      <c r="AE90" s="587"/>
    </row>
    <row r="91" spans="1:31" ht="14.25" thickBot="1">
      <c r="A91" s="588" t="s">
        <v>1469</v>
      </c>
      <c r="B91" s="522" t="s">
        <v>436</v>
      </c>
      <c r="C91" s="522" t="s">
        <v>339</v>
      </c>
      <c r="D91" s="522" t="s">
        <v>952</v>
      </c>
      <c r="E91" s="1012">
        <v>177</v>
      </c>
      <c r="F91" s="525">
        <v>14449</v>
      </c>
      <c r="G91" s="525">
        <v>9848.74</v>
      </c>
      <c r="H91" s="999">
        <f t="shared" ref="H91:H122" si="7">SUMIF(_Lights_Tariff_Category,20140101&amp;$C91,_Lights_Rates)</f>
        <v>55.33</v>
      </c>
      <c r="I91" s="1008">
        <f>E91*H91</f>
        <v>9793.41</v>
      </c>
      <c r="J91" s="1005">
        <f>I91/$M93*$M94</f>
        <v>-55.985777544082211</v>
      </c>
      <c r="K91" s="1011">
        <f>ROUND((I91+J91)/H91,0)</f>
        <v>176</v>
      </c>
      <c r="L91" s="999">
        <f>$M94/H91</f>
        <v>-216.42309777696931</v>
      </c>
      <c r="M91" s="1007">
        <f>'12MonResults'!$AV$64</f>
        <v>11191.66</v>
      </c>
      <c r="N91" s="1006" t="s">
        <v>1522</v>
      </c>
      <c r="O91" s="587"/>
      <c r="P91" s="587"/>
      <c r="Q91" s="587"/>
      <c r="R91" s="587"/>
      <c r="S91" s="587"/>
      <c r="T91" s="587"/>
      <c r="U91" s="587"/>
      <c r="V91" s="587"/>
      <c r="W91" s="587"/>
      <c r="X91" s="587"/>
      <c r="Y91" s="587"/>
      <c r="Z91" s="587"/>
      <c r="AA91" s="587"/>
      <c r="AB91" s="587"/>
      <c r="AC91" s="587"/>
      <c r="AD91" s="587"/>
      <c r="AE91" s="587"/>
    </row>
    <row r="92" spans="1:31" ht="12" thickBot="1">
      <c r="A92" s="588" t="s">
        <v>1469</v>
      </c>
      <c r="B92" s="522" t="s">
        <v>436</v>
      </c>
      <c r="C92" s="522" t="s">
        <v>344</v>
      </c>
      <c r="D92" s="522" t="s">
        <v>953</v>
      </c>
      <c r="E92" s="1013">
        <v>25</v>
      </c>
      <c r="F92" s="531">
        <v>2012</v>
      </c>
      <c r="G92" s="531">
        <v>2079</v>
      </c>
      <c r="H92" s="999">
        <f t="shared" si="7"/>
        <v>83.16</v>
      </c>
      <c r="I92" s="1008">
        <f t="shared" ref="I92:I154" si="8">E92*H92</f>
        <v>2079</v>
      </c>
      <c r="J92" s="1005">
        <f>I92/$M93*$M94</f>
        <v>-11.884974846774201</v>
      </c>
      <c r="K92" s="1011">
        <f t="shared" ref="K92:K154" si="9">ROUND((I92+J92)/H92,0)</f>
        <v>25</v>
      </c>
      <c r="L92" s="999">
        <f>$M94/H92</f>
        <v>-143.99579124578779</v>
      </c>
      <c r="M92" s="1005">
        <f>M89-M90-M91</f>
        <v>2082718.8900000001</v>
      </c>
      <c r="N92" s="587" t="s">
        <v>1523</v>
      </c>
      <c r="O92" s="587"/>
      <c r="P92" s="587"/>
      <c r="Q92" s="587"/>
      <c r="R92" s="587"/>
      <c r="S92" s="587"/>
      <c r="T92" s="587"/>
      <c r="U92" s="587"/>
      <c r="V92" s="587"/>
      <c r="W92" s="587"/>
      <c r="X92" s="587"/>
      <c r="Y92" s="587"/>
      <c r="Z92" s="587"/>
      <c r="AA92" s="587"/>
      <c r="AB92" s="587"/>
      <c r="AC92" s="587"/>
      <c r="AD92" s="587"/>
      <c r="AE92" s="587"/>
    </row>
    <row r="93" spans="1:31" ht="12" thickBot="1">
      <c r="A93" s="588" t="s">
        <v>1469</v>
      </c>
      <c r="B93" s="522" t="s">
        <v>436</v>
      </c>
      <c r="C93" s="522" t="s">
        <v>347</v>
      </c>
      <c r="D93" s="522" t="s">
        <v>954</v>
      </c>
      <c r="E93" s="1012">
        <v>43</v>
      </c>
      <c r="F93" s="525">
        <v>2835</v>
      </c>
      <c r="G93" s="525">
        <v>2570.54</v>
      </c>
      <c r="H93" s="999">
        <f t="shared" si="7"/>
        <v>59.78</v>
      </c>
      <c r="I93" s="1008">
        <f t="shared" si="8"/>
        <v>2570.54</v>
      </c>
      <c r="J93" s="1005">
        <f>I93/$M93*$M94</f>
        <v>-14.694951054654618</v>
      </c>
      <c r="K93" s="1011">
        <f t="shared" si="9"/>
        <v>43</v>
      </c>
      <c r="L93" s="999">
        <f>$M94/H93</f>
        <v>-200.3126463700186</v>
      </c>
      <c r="M93" s="1005">
        <f>I172</f>
        <v>2094693.5799999998</v>
      </c>
      <c r="N93" s="587" t="s">
        <v>1524</v>
      </c>
      <c r="O93" s="587"/>
      <c r="P93" s="587"/>
      <c r="Q93" s="587"/>
      <c r="R93" s="587"/>
      <c r="S93" s="587"/>
      <c r="T93" s="587"/>
      <c r="U93" s="587"/>
      <c r="V93" s="587"/>
      <c r="W93" s="587"/>
      <c r="X93" s="587"/>
      <c r="Y93" s="587"/>
      <c r="Z93" s="587"/>
      <c r="AA93" s="587"/>
      <c r="AB93" s="587"/>
      <c r="AC93" s="587"/>
      <c r="AD93" s="587"/>
      <c r="AE93" s="587"/>
    </row>
    <row r="94" spans="1:31" ht="12" thickBot="1">
      <c r="A94" s="588" t="s">
        <v>1469</v>
      </c>
      <c r="B94" s="522" t="s">
        <v>436</v>
      </c>
      <c r="C94" s="522" t="s">
        <v>348</v>
      </c>
      <c r="D94" s="522" t="s">
        <v>955</v>
      </c>
      <c r="E94" s="1013">
        <v>5</v>
      </c>
      <c r="F94" s="531">
        <v>394</v>
      </c>
      <c r="G94" s="531">
        <v>308.75</v>
      </c>
      <c r="H94" s="999">
        <f t="shared" si="7"/>
        <v>61.75</v>
      </c>
      <c r="I94" s="1008">
        <f t="shared" si="8"/>
        <v>308.75</v>
      </c>
      <c r="J94" s="1005">
        <f>I94/$M93*$M94</f>
        <v>-1.7650245233004012</v>
      </c>
      <c r="K94" s="1011">
        <f t="shared" si="9"/>
        <v>5</v>
      </c>
      <c r="L94" s="999">
        <f>$M94/H94</f>
        <v>-193.92210526315321</v>
      </c>
      <c r="M94" s="1005">
        <f>M92-M93</f>
        <v>-11974.689999999711</v>
      </c>
      <c r="N94" s="587"/>
      <c r="O94" s="587"/>
      <c r="P94" s="587"/>
      <c r="Q94" s="587"/>
      <c r="R94" s="587"/>
      <c r="S94" s="587"/>
      <c r="T94" s="587"/>
      <c r="U94" s="587"/>
      <c r="V94" s="587"/>
      <c r="W94" s="587"/>
      <c r="X94" s="587"/>
      <c r="Y94" s="587"/>
      <c r="Z94" s="587"/>
      <c r="AA94" s="587"/>
      <c r="AB94" s="587"/>
      <c r="AC94" s="587"/>
      <c r="AD94" s="587"/>
      <c r="AE94" s="587"/>
    </row>
    <row r="95" spans="1:31" ht="12" thickBot="1">
      <c r="A95" s="588" t="s">
        <v>1469</v>
      </c>
      <c r="B95" s="522" t="s">
        <v>436</v>
      </c>
      <c r="C95" s="522" t="s">
        <v>349</v>
      </c>
      <c r="D95" s="522" t="s">
        <v>956</v>
      </c>
      <c r="E95" s="1012">
        <v>1</v>
      </c>
      <c r="F95" s="525">
        <v>79</v>
      </c>
      <c r="G95" s="525">
        <v>63.11</v>
      </c>
      <c r="H95" s="999">
        <f t="shared" si="7"/>
        <v>63.11</v>
      </c>
      <c r="I95" s="1008">
        <f t="shared" si="8"/>
        <v>63.11</v>
      </c>
      <c r="J95" s="1005">
        <f>I95/$M93*$M94</f>
        <v>-0.36077958758052903</v>
      </c>
      <c r="K95" s="1011">
        <f t="shared" si="9"/>
        <v>1</v>
      </c>
      <c r="L95" s="999">
        <f>$M94/H95</f>
        <v>-189.74314688638427</v>
      </c>
      <c r="M95" s="999"/>
      <c r="N95" s="587"/>
      <c r="O95" s="587"/>
      <c r="P95" s="587"/>
      <c r="Q95" s="587"/>
      <c r="R95" s="587"/>
      <c r="S95" s="587"/>
      <c r="T95" s="587"/>
      <c r="U95" s="587"/>
      <c r="V95" s="587"/>
      <c r="W95" s="587"/>
      <c r="X95" s="587"/>
      <c r="Y95" s="587"/>
      <c r="Z95" s="587"/>
      <c r="AA95" s="587"/>
      <c r="AB95" s="587"/>
      <c r="AC95" s="587"/>
      <c r="AD95" s="587"/>
      <c r="AE95" s="587"/>
    </row>
    <row r="96" spans="1:31" ht="12" thickBot="1">
      <c r="A96" s="588" t="s">
        <v>1469</v>
      </c>
      <c r="B96" s="522" t="s">
        <v>436</v>
      </c>
      <c r="C96" s="522" t="s">
        <v>351</v>
      </c>
      <c r="D96" s="522" t="s">
        <v>957</v>
      </c>
      <c r="E96" s="1013">
        <v>5</v>
      </c>
      <c r="F96" s="531">
        <v>397</v>
      </c>
      <c r="G96" s="531">
        <v>404.7</v>
      </c>
      <c r="H96" s="999">
        <f t="shared" si="7"/>
        <v>80.94</v>
      </c>
      <c r="I96" s="1008">
        <f t="shared" si="8"/>
        <v>404.7</v>
      </c>
      <c r="J96" s="1005">
        <f>I96/$M93*$M94</f>
        <v>-2.3135398366952953</v>
      </c>
      <c r="K96" s="1011">
        <f t="shared" si="9"/>
        <v>5</v>
      </c>
      <c r="L96" s="999">
        <f>$M94/H96</f>
        <v>-147.94526809982347</v>
      </c>
      <c r="M96" s="999"/>
      <c r="N96" s="587"/>
      <c r="O96" s="587"/>
      <c r="P96" s="587"/>
      <c r="Q96" s="587"/>
      <c r="R96" s="587"/>
      <c r="S96" s="587"/>
      <c r="T96" s="587"/>
      <c r="U96" s="587"/>
      <c r="V96" s="587"/>
      <c r="W96" s="587"/>
      <c r="X96" s="587"/>
      <c r="Y96" s="587"/>
      <c r="Z96" s="587"/>
      <c r="AA96" s="587"/>
      <c r="AB96" s="587"/>
      <c r="AC96" s="587"/>
      <c r="AD96" s="587"/>
      <c r="AE96" s="587"/>
    </row>
    <row r="97" spans="1:31" ht="12" thickBot="1">
      <c r="A97" s="588" t="s">
        <v>1469</v>
      </c>
      <c r="B97" s="522" t="s">
        <v>436</v>
      </c>
      <c r="C97" s="522" t="s">
        <v>352</v>
      </c>
      <c r="D97" s="522" t="s">
        <v>958</v>
      </c>
      <c r="E97" s="1012">
        <v>9</v>
      </c>
      <c r="F97" s="525">
        <v>711</v>
      </c>
      <c r="G97" s="525">
        <v>710.73</v>
      </c>
      <c r="H97" s="999">
        <f t="shared" si="7"/>
        <v>78.97</v>
      </c>
      <c r="I97" s="1008">
        <f t="shared" si="8"/>
        <v>710.73</v>
      </c>
      <c r="J97" s="1005">
        <f>I97/$M93*$M94</f>
        <v>-4.0630149941547993</v>
      </c>
      <c r="K97" s="1011">
        <f t="shared" si="9"/>
        <v>9</v>
      </c>
      <c r="L97" s="999">
        <f>$M94/H97</f>
        <v>-151.63593769785629</v>
      </c>
      <c r="M97" s="999"/>
      <c r="N97" s="587"/>
      <c r="O97" s="587"/>
      <c r="P97" s="587"/>
      <c r="Q97" s="587"/>
      <c r="R97" s="587"/>
      <c r="S97" s="587"/>
      <c r="T97" s="587"/>
      <c r="U97" s="587"/>
      <c r="V97" s="587"/>
      <c r="W97" s="587"/>
      <c r="X97" s="587"/>
      <c r="Y97" s="587"/>
      <c r="Z97" s="587"/>
      <c r="AA97" s="587"/>
      <c r="AB97" s="587"/>
      <c r="AC97" s="587"/>
      <c r="AD97" s="587"/>
      <c r="AE97" s="587"/>
    </row>
    <row r="98" spans="1:31" ht="12" thickBot="1">
      <c r="A98" s="588" t="s">
        <v>1469</v>
      </c>
      <c r="B98" s="522" t="s">
        <v>436</v>
      </c>
      <c r="C98" s="522" t="s">
        <v>354</v>
      </c>
      <c r="D98" s="522" t="s">
        <v>959</v>
      </c>
      <c r="E98" s="1013">
        <v>25</v>
      </c>
      <c r="F98" s="531">
        <v>2030</v>
      </c>
      <c r="G98" s="531">
        <v>1530.75</v>
      </c>
      <c r="H98" s="999">
        <f t="shared" si="7"/>
        <v>61.230000000000004</v>
      </c>
      <c r="I98" s="1008">
        <f t="shared" si="8"/>
        <v>1530.75</v>
      </c>
      <c r="J98" s="1005">
        <f>I98/$M93*$M94</f>
        <v>-8.750805794468306</v>
      </c>
      <c r="K98" s="1011">
        <f t="shared" si="9"/>
        <v>25</v>
      </c>
      <c r="L98" s="999">
        <f>$M94/H98</f>
        <v>-195.56900212313752</v>
      </c>
      <c r="M98" s="999"/>
      <c r="N98" s="587"/>
      <c r="O98" s="587"/>
      <c r="P98" s="587"/>
      <c r="Q98" s="587"/>
      <c r="R98" s="587"/>
      <c r="S98" s="587"/>
      <c r="T98" s="587"/>
      <c r="U98" s="587"/>
      <c r="V98" s="587"/>
      <c r="W98" s="587"/>
      <c r="X98" s="587"/>
      <c r="Y98" s="587"/>
      <c r="Z98" s="587"/>
      <c r="AA98" s="587"/>
      <c r="AB98" s="587"/>
      <c r="AC98" s="587"/>
      <c r="AD98" s="587"/>
      <c r="AE98" s="587"/>
    </row>
    <row r="99" spans="1:31" ht="12" thickBot="1">
      <c r="A99" s="588" t="s">
        <v>1469</v>
      </c>
      <c r="B99" s="522" t="s">
        <v>436</v>
      </c>
      <c r="C99" s="522" t="s">
        <v>355</v>
      </c>
      <c r="D99" s="522" t="s">
        <v>960</v>
      </c>
      <c r="E99" s="1012">
        <v>1</v>
      </c>
      <c r="F99" s="525">
        <v>79</v>
      </c>
      <c r="G99" s="525">
        <v>56.69</v>
      </c>
      <c r="H99" s="999">
        <f t="shared" si="7"/>
        <v>56.69</v>
      </c>
      <c r="I99" s="1008">
        <f t="shared" si="8"/>
        <v>56.69</v>
      </c>
      <c r="J99" s="1005">
        <f>I99/$M93*$M94</f>
        <v>-0.32407851085311662</v>
      </c>
      <c r="K99" s="1011">
        <f t="shared" si="9"/>
        <v>1</v>
      </c>
      <c r="L99" s="999">
        <f>$M94/H99</f>
        <v>-211.23108131945162</v>
      </c>
      <c r="M99" s="999"/>
      <c r="N99" s="587"/>
      <c r="O99" s="587"/>
      <c r="P99" s="587"/>
      <c r="Q99" s="587"/>
      <c r="R99" s="587"/>
      <c r="S99" s="587"/>
      <c r="T99" s="587"/>
      <c r="U99" s="587"/>
      <c r="V99" s="587"/>
      <c r="W99" s="587"/>
      <c r="X99" s="587"/>
      <c r="Y99" s="587"/>
      <c r="Z99" s="587"/>
      <c r="AA99" s="587"/>
      <c r="AB99" s="587"/>
      <c r="AC99" s="587"/>
      <c r="AD99" s="587"/>
      <c r="AE99" s="587"/>
    </row>
    <row r="100" spans="1:31" ht="12" thickBot="1">
      <c r="A100" s="588" t="s">
        <v>1469</v>
      </c>
      <c r="B100" s="522" t="s">
        <v>436</v>
      </c>
      <c r="C100" s="522" t="s">
        <v>341</v>
      </c>
      <c r="D100" s="522" t="s">
        <v>961</v>
      </c>
      <c r="E100" s="1013">
        <v>15</v>
      </c>
      <c r="F100" s="531">
        <v>1165</v>
      </c>
      <c r="G100" s="531">
        <v>1117.8</v>
      </c>
      <c r="H100" s="999">
        <f t="shared" si="7"/>
        <v>74.52</v>
      </c>
      <c r="I100" s="1008">
        <f t="shared" si="8"/>
        <v>1117.8</v>
      </c>
      <c r="J100" s="1005">
        <f>I100/$M93*$M94</f>
        <v>-6.3901033591746996</v>
      </c>
      <c r="K100" s="1011">
        <f t="shared" si="9"/>
        <v>15</v>
      </c>
      <c r="L100" s="999">
        <f>$M94/H100</f>
        <v>-160.69095544819797</v>
      </c>
      <c r="M100" s="999"/>
      <c r="N100" s="587"/>
      <c r="O100" s="587"/>
      <c r="P100" s="587"/>
      <c r="Q100" s="587"/>
      <c r="R100" s="587"/>
      <c r="S100" s="587"/>
      <c r="T100" s="587"/>
      <c r="U100" s="587"/>
      <c r="V100" s="587"/>
      <c r="W100" s="587"/>
      <c r="X100" s="587"/>
      <c r="Y100" s="587"/>
      <c r="Z100" s="587"/>
      <c r="AA100" s="587"/>
      <c r="AB100" s="587"/>
      <c r="AC100" s="587"/>
      <c r="AD100" s="587"/>
      <c r="AE100" s="587"/>
    </row>
    <row r="101" spans="1:31" ht="12" thickBot="1">
      <c r="A101" s="588" t="s">
        <v>1469</v>
      </c>
      <c r="B101" s="522" t="s">
        <v>436</v>
      </c>
      <c r="C101" s="522" t="s">
        <v>350</v>
      </c>
      <c r="D101" s="522" t="s">
        <v>962</v>
      </c>
      <c r="E101" s="1012">
        <v>1</v>
      </c>
      <c r="F101" s="525">
        <v>79</v>
      </c>
      <c r="G101" s="525">
        <v>82.3</v>
      </c>
      <c r="H101" s="999">
        <f t="shared" si="7"/>
        <v>82.3</v>
      </c>
      <c r="I101" s="1008">
        <f t="shared" si="8"/>
        <v>82.3</v>
      </c>
      <c r="J101" s="1005">
        <f>I101/$M93*$M94</f>
        <v>-0.47048265025950775</v>
      </c>
      <c r="K101" s="1011">
        <f t="shared" si="9"/>
        <v>1</v>
      </c>
      <c r="L101" s="999">
        <f>$M94/H101</f>
        <v>-145.50048602672797</v>
      </c>
      <c r="M101" s="999"/>
      <c r="N101" s="587"/>
      <c r="O101" s="587"/>
      <c r="P101" s="587"/>
      <c r="Q101" s="587"/>
      <c r="R101" s="587"/>
      <c r="S101" s="587"/>
      <c r="T101" s="587"/>
      <c r="U101" s="587"/>
      <c r="V101" s="587"/>
      <c r="W101" s="587"/>
      <c r="X101" s="587"/>
      <c r="Y101" s="587"/>
      <c r="Z101" s="587"/>
      <c r="AA101" s="587"/>
      <c r="AB101" s="587"/>
      <c r="AC101" s="587"/>
      <c r="AD101" s="587"/>
      <c r="AE101" s="587"/>
    </row>
    <row r="102" spans="1:31" ht="12" thickBot="1">
      <c r="A102" s="588" t="s">
        <v>1469</v>
      </c>
      <c r="B102" s="522" t="s">
        <v>436</v>
      </c>
      <c r="C102" s="522" t="s">
        <v>342</v>
      </c>
      <c r="D102" s="522" t="s">
        <v>963</v>
      </c>
      <c r="E102" s="1013">
        <v>20</v>
      </c>
      <c r="F102" s="531">
        <v>1634</v>
      </c>
      <c r="G102" s="531">
        <v>1490.4</v>
      </c>
      <c r="H102" s="999">
        <f t="shared" si="7"/>
        <v>74.52</v>
      </c>
      <c r="I102" s="1008">
        <f t="shared" si="8"/>
        <v>1490.3999999999999</v>
      </c>
      <c r="J102" s="1005">
        <f>I102/$M93*$M94</f>
        <v>-8.5201378122329317</v>
      </c>
      <c r="K102" s="1011">
        <f t="shared" si="9"/>
        <v>20</v>
      </c>
      <c r="L102" s="999">
        <f>$M94/H102</f>
        <v>-160.69095544819797</v>
      </c>
      <c r="M102" s="999"/>
      <c r="N102" s="587"/>
      <c r="O102" s="587"/>
      <c r="P102" s="587"/>
      <c r="Q102" s="587"/>
      <c r="R102" s="587"/>
      <c r="S102" s="587"/>
      <c r="T102" s="587"/>
      <c r="U102" s="587"/>
      <c r="V102" s="587"/>
      <c r="W102" s="587"/>
      <c r="X102" s="587"/>
      <c r="Y102" s="587"/>
      <c r="Z102" s="587"/>
      <c r="AA102" s="587"/>
      <c r="AB102" s="587"/>
      <c r="AC102" s="587"/>
      <c r="AD102" s="587"/>
      <c r="AE102" s="587"/>
    </row>
    <row r="103" spans="1:31" ht="12" thickBot="1">
      <c r="A103" s="588" t="s">
        <v>1469</v>
      </c>
      <c r="B103" s="522" t="s">
        <v>436</v>
      </c>
      <c r="C103" s="522" t="s">
        <v>346</v>
      </c>
      <c r="D103" s="522" t="s">
        <v>964</v>
      </c>
      <c r="E103" s="1012">
        <v>4</v>
      </c>
      <c r="F103" s="525">
        <v>320</v>
      </c>
      <c r="G103" s="525">
        <v>303.52</v>
      </c>
      <c r="H103" s="999">
        <f t="shared" si="7"/>
        <v>75.88</v>
      </c>
      <c r="I103" s="1008">
        <f t="shared" si="8"/>
        <v>303.52</v>
      </c>
      <c r="J103" s="1005">
        <f>I103/$M93*$M94</f>
        <v>-1.7351262941283814</v>
      </c>
      <c r="K103" s="1011">
        <f t="shared" si="9"/>
        <v>4</v>
      </c>
      <c r="L103" s="999">
        <f>$M94/H103</f>
        <v>-157.81088560885229</v>
      </c>
      <c r="M103" s="999"/>
      <c r="N103" s="587"/>
      <c r="O103" s="587"/>
      <c r="P103" s="587"/>
      <c r="Q103" s="587"/>
      <c r="R103" s="587"/>
      <c r="S103" s="587"/>
      <c r="T103" s="587"/>
      <c r="U103" s="587"/>
      <c r="V103" s="587"/>
      <c r="W103" s="587"/>
      <c r="X103" s="587"/>
      <c r="Y103" s="587"/>
      <c r="Z103" s="587"/>
      <c r="AA103" s="587"/>
      <c r="AB103" s="587"/>
      <c r="AC103" s="587"/>
      <c r="AD103" s="587"/>
      <c r="AE103" s="587"/>
    </row>
    <row r="104" spans="1:31" ht="12" thickBot="1">
      <c r="A104" s="588" t="s">
        <v>1469</v>
      </c>
      <c r="B104" s="522" t="s">
        <v>436</v>
      </c>
      <c r="C104" s="522" t="s">
        <v>353</v>
      </c>
      <c r="D104" s="522" t="s">
        <v>965</v>
      </c>
      <c r="E104" s="1013">
        <v>3</v>
      </c>
      <c r="F104" s="531">
        <v>245</v>
      </c>
      <c r="G104" s="531">
        <v>236.91</v>
      </c>
      <c r="H104" s="999">
        <f t="shared" si="7"/>
        <v>78.97</v>
      </c>
      <c r="I104" s="1008">
        <f t="shared" si="8"/>
        <v>236.91</v>
      </c>
      <c r="J104" s="1005">
        <f>I104/$M93*$M94</f>
        <v>-1.3543383313849331</v>
      </c>
      <c r="K104" s="1011">
        <f t="shared" si="9"/>
        <v>3</v>
      </c>
      <c r="L104" s="999">
        <f>$M94/H104</f>
        <v>-151.63593769785629</v>
      </c>
      <c r="M104" s="999"/>
      <c r="N104" s="587"/>
      <c r="O104" s="587"/>
      <c r="P104" s="587"/>
      <c r="Q104" s="587"/>
      <c r="R104" s="587"/>
      <c r="S104" s="587"/>
      <c r="T104" s="587"/>
      <c r="U104" s="587"/>
      <c r="V104" s="587"/>
      <c r="W104" s="587"/>
      <c r="X104" s="587"/>
      <c r="Y104" s="587"/>
      <c r="Z104" s="587"/>
      <c r="AA104" s="587"/>
      <c r="AB104" s="587"/>
      <c r="AC104" s="587"/>
      <c r="AD104" s="587"/>
      <c r="AE104" s="587"/>
    </row>
    <row r="105" spans="1:31" ht="12" thickBot="1">
      <c r="A105" s="588" t="s">
        <v>1469</v>
      </c>
      <c r="B105" s="522" t="s">
        <v>436</v>
      </c>
      <c r="C105" s="522" t="s">
        <v>345</v>
      </c>
      <c r="D105" s="522" t="s">
        <v>966</v>
      </c>
      <c r="E105" s="1012">
        <v>2</v>
      </c>
      <c r="F105" s="525">
        <v>163</v>
      </c>
      <c r="G105" s="525">
        <v>154.52000000000001</v>
      </c>
      <c r="H105" s="999">
        <f t="shared" si="7"/>
        <v>77.259999999999991</v>
      </c>
      <c r="I105" s="1008">
        <f t="shared" si="8"/>
        <v>154.51999999999998</v>
      </c>
      <c r="J105" s="1005">
        <f>I105/$M93*$M94</f>
        <v>-0.88334118004980722</v>
      </c>
      <c r="K105" s="1011">
        <f t="shared" si="9"/>
        <v>2</v>
      </c>
      <c r="L105" s="999">
        <f>$M94/H105</f>
        <v>-154.99210458192744</v>
      </c>
      <c r="M105" s="999"/>
      <c r="N105" s="587"/>
      <c r="O105" s="587"/>
      <c r="P105" s="587"/>
      <c r="Q105" s="587"/>
      <c r="R105" s="587"/>
      <c r="S105" s="587"/>
      <c r="T105" s="587"/>
      <c r="U105" s="587"/>
      <c r="V105" s="587"/>
      <c r="W105" s="587"/>
      <c r="X105" s="587"/>
      <c r="Y105" s="587"/>
      <c r="Z105" s="587"/>
      <c r="AA105" s="587"/>
      <c r="AB105" s="587"/>
      <c r="AC105" s="587"/>
      <c r="AD105" s="587"/>
      <c r="AE105" s="587"/>
    </row>
    <row r="106" spans="1:31" ht="12" thickBot="1">
      <c r="A106" s="588" t="s">
        <v>1469</v>
      </c>
      <c r="B106" s="522" t="s">
        <v>436</v>
      </c>
      <c r="C106" s="522" t="s">
        <v>343</v>
      </c>
      <c r="D106" s="522" t="s">
        <v>967</v>
      </c>
      <c r="E106" s="1013">
        <v>51</v>
      </c>
      <c r="F106" s="531">
        <v>4136</v>
      </c>
      <c r="G106" s="531">
        <v>3273.69</v>
      </c>
      <c r="H106" s="999">
        <f t="shared" si="7"/>
        <v>64.19</v>
      </c>
      <c r="I106" s="1008">
        <f t="shared" si="8"/>
        <v>3273.69</v>
      </c>
      <c r="J106" s="1005">
        <f>I106/$M93*$M94</f>
        <v>-18.714633624885153</v>
      </c>
      <c r="K106" s="1011">
        <f t="shared" si="9"/>
        <v>51</v>
      </c>
      <c r="L106" s="999">
        <f>$M94/H106</f>
        <v>-186.5507088331471</v>
      </c>
      <c r="M106" s="999"/>
      <c r="N106" s="587"/>
      <c r="O106" s="587"/>
      <c r="P106" s="587"/>
      <c r="Q106" s="587"/>
      <c r="R106" s="587"/>
      <c r="S106" s="587"/>
      <c r="T106" s="587"/>
      <c r="U106" s="587"/>
      <c r="V106" s="587"/>
      <c r="W106" s="587"/>
      <c r="X106" s="587"/>
      <c r="Y106" s="587"/>
      <c r="Z106" s="587"/>
      <c r="AA106" s="587"/>
      <c r="AB106" s="587"/>
      <c r="AC106" s="587"/>
      <c r="AD106" s="587"/>
      <c r="AE106" s="587"/>
    </row>
    <row r="107" spans="1:31" ht="12" thickBot="1">
      <c r="A107" s="588" t="s">
        <v>1469</v>
      </c>
      <c r="B107" s="522" t="s">
        <v>436</v>
      </c>
      <c r="C107" s="522" t="s">
        <v>472</v>
      </c>
      <c r="D107" s="522" t="s">
        <v>968</v>
      </c>
      <c r="E107" s="1012">
        <v>2</v>
      </c>
      <c r="F107" s="525">
        <v>167</v>
      </c>
      <c r="G107" s="525">
        <v>151.80000000000001</v>
      </c>
      <c r="H107" s="999">
        <f t="shared" si="7"/>
        <v>75.899999999999991</v>
      </c>
      <c r="I107" s="1008">
        <f t="shared" si="8"/>
        <v>151.79999999999998</v>
      </c>
      <c r="J107" s="1005">
        <f>I107/$M93*$M94</f>
        <v>-0.86779181420890983</v>
      </c>
      <c r="K107" s="1011">
        <f t="shared" si="9"/>
        <v>2</v>
      </c>
      <c r="L107" s="999">
        <f>$M94/H107</f>
        <v>-157.76930171277618</v>
      </c>
      <c r="M107" s="999"/>
      <c r="N107" s="587"/>
      <c r="O107" s="587"/>
      <c r="P107" s="587"/>
      <c r="Q107" s="587"/>
      <c r="R107" s="587"/>
      <c r="S107" s="587"/>
      <c r="T107" s="587"/>
      <c r="U107" s="587"/>
      <c r="V107" s="587"/>
      <c r="W107" s="587"/>
      <c r="X107" s="587"/>
      <c r="Y107" s="587"/>
      <c r="Z107" s="587"/>
      <c r="AA107" s="587"/>
      <c r="AB107" s="587"/>
      <c r="AC107" s="587"/>
      <c r="AD107" s="587"/>
      <c r="AE107" s="587"/>
    </row>
    <row r="108" spans="1:31" ht="12" thickBot="1">
      <c r="A108" s="588" t="s">
        <v>1469</v>
      </c>
      <c r="B108" s="522" t="s">
        <v>436</v>
      </c>
      <c r="C108" s="522" t="s">
        <v>382</v>
      </c>
      <c r="D108" s="522" t="s">
        <v>969</v>
      </c>
      <c r="E108" s="1013">
        <v>52</v>
      </c>
      <c r="F108" s="531">
        <v>1653</v>
      </c>
      <c r="G108" s="531">
        <v>772.72</v>
      </c>
      <c r="H108" s="999">
        <f t="shared" si="7"/>
        <v>14.860000000000001</v>
      </c>
      <c r="I108" s="1008">
        <f t="shared" si="8"/>
        <v>772.72</v>
      </c>
      <c r="J108" s="1005">
        <f>I108/$M93*$M94</f>
        <v>-4.4173919016831942</v>
      </c>
      <c r="K108" s="1011">
        <f t="shared" si="9"/>
        <v>52</v>
      </c>
      <c r="L108" s="999">
        <f>$M94/H108</f>
        <v>-805.83378196498722</v>
      </c>
      <c r="M108" s="999"/>
      <c r="N108" s="587"/>
      <c r="O108" s="587"/>
      <c r="P108" s="587"/>
      <c r="Q108" s="587"/>
      <c r="R108" s="587"/>
      <c r="S108" s="587"/>
      <c r="T108" s="587"/>
      <c r="U108" s="587"/>
      <c r="V108" s="587"/>
      <c r="W108" s="587"/>
      <c r="X108" s="587"/>
      <c r="Y108" s="587"/>
      <c r="Z108" s="587"/>
      <c r="AA108" s="587"/>
      <c r="AB108" s="587"/>
      <c r="AC108" s="587"/>
      <c r="AD108" s="587"/>
      <c r="AE108" s="587"/>
    </row>
    <row r="109" spans="1:31" ht="12" thickBot="1">
      <c r="A109" s="588" t="s">
        <v>1469</v>
      </c>
      <c r="B109" s="522" t="s">
        <v>436</v>
      </c>
      <c r="C109" s="522" t="s">
        <v>402</v>
      </c>
      <c r="D109" s="522" t="s">
        <v>970</v>
      </c>
      <c r="E109" s="1012">
        <v>7335</v>
      </c>
      <c r="F109" s="525">
        <v>565440</v>
      </c>
      <c r="G109" s="525">
        <v>76341.19</v>
      </c>
      <c r="H109" s="999">
        <f t="shared" si="7"/>
        <v>10.570000000000002</v>
      </c>
      <c r="I109" s="1008">
        <f t="shared" si="8"/>
        <v>77530.950000000012</v>
      </c>
      <c r="J109" s="1005">
        <f>I109/$M93*$M94</f>
        <v>-443.21952409644462</v>
      </c>
      <c r="K109" s="1011">
        <f t="shared" si="9"/>
        <v>7293</v>
      </c>
      <c r="L109" s="999">
        <f>$M94/H109</f>
        <v>-1132.8940397350718</v>
      </c>
      <c r="M109" s="999"/>
      <c r="N109" s="587"/>
      <c r="O109" s="587"/>
      <c r="P109" s="587"/>
      <c r="Q109" s="587"/>
      <c r="R109" s="587"/>
      <c r="S109" s="587"/>
      <c r="T109" s="587"/>
      <c r="U109" s="587"/>
      <c r="V109" s="587"/>
      <c r="W109" s="587"/>
      <c r="X109" s="587"/>
      <c r="Y109" s="587"/>
      <c r="Z109" s="587"/>
      <c r="AA109" s="587"/>
      <c r="AB109" s="587"/>
      <c r="AC109" s="587"/>
      <c r="AD109" s="587"/>
      <c r="AE109" s="587"/>
    </row>
    <row r="110" spans="1:31" ht="12" thickBot="1">
      <c r="A110" s="588" t="s">
        <v>1469</v>
      </c>
      <c r="B110" s="522" t="s">
        <v>436</v>
      </c>
      <c r="C110" s="522" t="s">
        <v>398</v>
      </c>
      <c r="D110" s="522" t="s">
        <v>971</v>
      </c>
      <c r="E110" s="1012">
        <v>136</v>
      </c>
      <c r="F110" s="525">
        <v>25034</v>
      </c>
      <c r="G110" s="525">
        <v>1604.27</v>
      </c>
      <c r="H110" s="999">
        <f t="shared" si="7"/>
        <v>11.71</v>
      </c>
      <c r="I110" s="1008">
        <f t="shared" si="8"/>
        <v>1592.5600000000002</v>
      </c>
      <c r="J110" s="1005">
        <f>I110/$M93*$M94</f>
        <v>-9.1041536998454653</v>
      </c>
      <c r="K110" s="1011">
        <f t="shared" si="9"/>
        <v>135</v>
      </c>
      <c r="L110" s="999">
        <f>$M94/H110</f>
        <v>-1022.6037574722212</v>
      </c>
      <c r="M110" s="999"/>
      <c r="N110" s="587"/>
      <c r="O110" s="587"/>
      <c r="P110" s="587"/>
      <c r="Q110" s="587"/>
      <c r="R110" s="587"/>
      <c r="S110" s="587"/>
      <c r="T110" s="587"/>
      <c r="U110" s="587"/>
      <c r="V110" s="587"/>
      <c r="W110" s="587"/>
      <c r="X110" s="587"/>
      <c r="Y110" s="587"/>
      <c r="Z110" s="587"/>
      <c r="AA110" s="587"/>
      <c r="AB110" s="587"/>
      <c r="AC110" s="587"/>
      <c r="AD110" s="587"/>
      <c r="AE110" s="587"/>
    </row>
    <row r="111" spans="1:31" ht="12" thickBot="1">
      <c r="A111" s="588" t="s">
        <v>1469</v>
      </c>
      <c r="B111" s="522" t="s">
        <v>436</v>
      </c>
      <c r="C111" s="522" t="s">
        <v>376</v>
      </c>
      <c r="D111" s="522" t="s">
        <v>972</v>
      </c>
      <c r="E111" s="1012">
        <v>239</v>
      </c>
      <c r="F111" s="525">
        <v>5413</v>
      </c>
      <c r="G111" s="525">
        <v>4862.3999999999996</v>
      </c>
      <c r="H111" s="999">
        <f t="shared" si="7"/>
        <v>20.259999999999998</v>
      </c>
      <c r="I111" s="1008">
        <f t="shared" si="8"/>
        <v>4842.1399999999994</v>
      </c>
      <c r="J111" s="1005">
        <f>I111/$M93*$M94</f>
        <v>-27.68095820325119</v>
      </c>
      <c r="K111" s="1011">
        <f t="shared" si="9"/>
        <v>238</v>
      </c>
      <c r="L111" s="999">
        <f>$M94/H111</f>
        <v>-591.05083909179234</v>
      </c>
      <c r="M111" s="999"/>
      <c r="N111" s="587"/>
      <c r="O111" s="587"/>
      <c r="P111" s="587"/>
      <c r="Q111" s="587"/>
      <c r="R111" s="587"/>
      <c r="S111" s="587"/>
      <c r="T111" s="587"/>
      <c r="U111" s="587"/>
      <c r="V111" s="587"/>
      <c r="W111" s="587"/>
      <c r="X111" s="587"/>
      <c r="Y111" s="587"/>
      <c r="Z111" s="587"/>
      <c r="AA111" s="587"/>
      <c r="AB111" s="587"/>
      <c r="AC111" s="587"/>
      <c r="AD111" s="587"/>
      <c r="AE111" s="587"/>
    </row>
    <row r="112" spans="1:31" ht="12" thickBot="1">
      <c r="A112" s="588" t="s">
        <v>1469</v>
      </c>
      <c r="B112" s="522" t="s">
        <v>436</v>
      </c>
      <c r="C112" s="522" t="s">
        <v>384</v>
      </c>
      <c r="D112" s="522" t="s">
        <v>973</v>
      </c>
      <c r="E112" s="1013">
        <v>144</v>
      </c>
      <c r="F112" s="531">
        <v>4503</v>
      </c>
      <c r="G112" s="531">
        <v>3100.1</v>
      </c>
      <c r="H112" s="999">
        <f t="shared" si="7"/>
        <v>21.38</v>
      </c>
      <c r="I112" s="1008">
        <f t="shared" si="8"/>
        <v>3078.72</v>
      </c>
      <c r="J112" s="1005">
        <f>I112/$M93*$M94</f>
        <v>-17.600052794738176</v>
      </c>
      <c r="K112" s="1011">
        <f t="shared" si="9"/>
        <v>143</v>
      </c>
      <c r="L112" s="999">
        <f>$M94/H112</f>
        <v>-560.08840037416803</v>
      </c>
      <c r="M112" s="999"/>
      <c r="N112" s="587"/>
      <c r="O112" s="587"/>
      <c r="P112" s="587"/>
      <c r="Q112" s="587"/>
      <c r="R112" s="587"/>
      <c r="S112" s="587"/>
      <c r="T112" s="587"/>
      <c r="U112" s="587"/>
      <c r="V112" s="587"/>
      <c r="W112" s="587"/>
      <c r="X112" s="587"/>
      <c r="Y112" s="587"/>
      <c r="Z112" s="587"/>
      <c r="AA112" s="587"/>
      <c r="AB112" s="587"/>
      <c r="AC112" s="587"/>
      <c r="AD112" s="587"/>
      <c r="AE112" s="587"/>
    </row>
    <row r="113" spans="1:31" ht="12" thickBot="1">
      <c r="A113" s="588" t="s">
        <v>1469</v>
      </c>
      <c r="B113" s="522" t="s">
        <v>436</v>
      </c>
      <c r="C113" s="522" t="s">
        <v>386</v>
      </c>
      <c r="D113" s="522" t="s">
        <v>974</v>
      </c>
      <c r="E113" s="1012">
        <v>28</v>
      </c>
      <c r="F113" s="525">
        <v>915</v>
      </c>
      <c r="G113" s="525">
        <v>863.52</v>
      </c>
      <c r="H113" s="999">
        <f t="shared" si="7"/>
        <v>30.84</v>
      </c>
      <c r="I113" s="1008">
        <f t="shared" si="8"/>
        <v>863.52</v>
      </c>
      <c r="J113" s="1005">
        <f>I113/$M93*$M94</f>
        <v>-4.9364663201955068</v>
      </c>
      <c r="K113" s="1011">
        <f t="shared" si="9"/>
        <v>28</v>
      </c>
      <c r="L113" s="999">
        <f>$M94/H113</f>
        <v>-388.28437094681294</v>
      </c>
      <c r="M113" s="999"/>
      <c r="N113" s="587"/>
      <c r="O113" s="587"/>
      <c r="P113" s="587"/>
      <c r="Q113" s="587"/>
      <c r="R113" s="587"/>
      <c r="S113" s="587"/>
      <c r="T113" s="587"/>
      <c r="U113" s="587"/>
      <c r="V113" s="587"/>
      <c r="W113" s="587"/>
      <c r="X113" s="587"/>
      <c r="Y113" s="587"/>
      <c r="Z113" s="587"/>
      <c r="AA113" s="587"/>
      <c r="AB113" s="587"/>
      <c r="AC113" s="587"/>
      <c r="AD113" s="587"/>
      <c r="AE113" s="587"/>
    </row>
    <row r="114" spans="1:31" ht="12" thickBot="1">
      <c r="A114" s="588" t="s">
        <v>1469</v>
      </c>
      <c r="B114" s="522" t="s">
        <v>436</v>
      </c>
      <c r="C114" s="522" t="s">
        <v>409</v>
      </c>
      <c r="D114" s="522" t="s">
        <v>975</v>
      </c>
      <c r="E114" s="1013">
        <v>96</v>
      </c>
      <c r="F114" s="531">
        <v>4244</v>
      </c>
      <c r="G114" s="531">
        <v>2997.12</v>
      </c>
      <c r="H114" s="999">
        <f t="shared" si="7"/>
        <v>31.22</v>
      </c>
      <c r="I114" s="1008">
        <f t="shared" si="8"/>
        <v>2997.12</v>
      </c>
      <c r="J114" s="1005">
        <f>I114/$M93*$M94</f>
        <v>-17.13357181951125</v>
      </c>
      <c r="K114" s="1011">
        <f t="shared" si="9"/>
        <v>95</v>
      </c>
      <c r="L114" s="999">
        <f>$M94/H114</f>
        <v>-383.55829596411633</v>
      </c>
      <c r="M114" s="999"/>
      <c r="N114" s="587"/>
      <c r="O114" s="587"/>
      <c r="P114" s="587"/>
      <c r="Q114" s="587"/>
      <c r="R114" s="587"/>
      <c r="S114" s="587"/>
      <c r="T114" s="587"/>
      <c r="U114" s="587"/>
      <c r="V114" s="587"/>
      <c r="W114" s="587"/>
      <c r="X114" s="587"/>
      <c r="Y114" s="587"/>
      <c r="Z114" s="587"/>
      <c r="AA114" s="587"/>
      <c r="AB114" s="587"/>
      <c r="AC114" s="587"/>
      <c r="AD114" s="587"/>
      <c r="AE114" s="587"/>
    </row>
    <row r="115" spans="1:31" ht="12" thickBot="1">
      <c r="A115" s="588" t="s">
        <v>1469</v>
      </c>
      <c r="B115" s="522" t="s">
        <v>436</v>
      </c>
      <c r="C115" s="522" t="s">
        <v>387</v>
      </c>
      <c r="D115" s="522" t="s">
        <v>976</v>
      </c>
      <c r="E115" s="1012">
        <v>21</v>
      </c>
      <c r="F115" s="525">
        <v>757</v>
      </c>
      <c r="G115" s="525">
        <v>647.64</v>
      </c>
      <c r="H115" s="999">
        <f t="shared" si="7"/>
        <v>30.84</v>
      </c>
      <c r="I115" s="1008">
        <f t="shared" si="8"/>
        <v>647.64</v>
      </c>
      <c r="J115" s="1005">
        <f>I115/$M93*$M94</f>
        <v>-3.7023497401466297</v>
      </c>
      <c r="K115" s="1011">
        <f t="shared" si="9"/>
        <v>21</v>
      </c>
      <c r="L115" s="999">
        <f>$M94/H115</f>
        <v>-388.28437094681294</v>
      </c>
      <c r="M115" s="999"/>
      <c r="N115" s="587"/>
      <c r="O115" s="587"/>
      <c r="P115" s="587"/>
      <c r="Q115" s="587"/>
      <c r="R115" s="587"/>
      <c r="S115" s="587"/>
      <c r="T115" s="587"/>
      <c r="U115" s="587"/>
      <c r="V115" s="587"/>
      <c r="W115" s="587"/>
      <c r="X115" s="587"/>
      <c r="Y115" s="587"/>
      <c r="Z115" s="587"/>
      <c r="AA115" s="587"/>
      <c r="AB115" s="587"/>
      <c r="AC115" s="587"/>
      <c r="AD115" s="587"/>
      <c r="AE115" s="587"/>
    </row>
    <row r="116" spans="1:31" ht="12" thickBot="1">
      <c r="A116" s="588" t="s">
        <v>1469</v>
      </c>
      <c r="B116" s="522" t="s">
        <v>436</v>
      </c>
      <c r="C116" s="522" t="s">
        <v>410</v>
      </c>
      <c r="D116" s="522" t="s">
        <v>977</v>
      </c>
      <c r="E116" s="1013">
        <v>10</v>
      </c>
      <c r="F116" s="531">
        <v>508</v>
      </c>
      <c r="G116" s="531">
        <v>312.2</v>
      </c>
      <c r="H116" s="999">
        <f t="shared" si="7"/>
        <v>31.22</v>
      </c>
      <c r="I116" s="1008">
        <f t="shared" si="8"/>
        <v>312.2</v>
      </c>
      <c r="J116" s="1005">
        <f>I116/$M93*$M94</f>
        <v>-1.7847470645324217</v>
      </c>
      <c r="K116" s="1011">
        <f t="shared" si="9"/>
        <v>10</v>
      </c>
      <c r="L116" s="999">
        <f>$M94/H116</f>
        <v>-383.55829596411633</v>
      </c>
      <c r="M116" s="999"/>
      <c r="N116" s="587"/>
      <c r="O116" s="587"/>
      <c r="P116" s="587"/>
      <c r="Q116" s="587"/>
      <c r="R116" s="587"/>
      <c r="S116" s="587"/>
      <c r="T116" s="587"/>
      <c r="U116" s="587"/>
      <c r="V116" s="587"/>
      <c r="W116" s="587"/>
      <c r="X116" s="587"/>
      <c r="Y116" s="587"/>
      <c r="Z116" s="587"/>
      <c r="AA116" s="587"/>
      <c r="AB116" s="587"/>
      <c r="AC116" s="587"/>
      <c r="AD116" s="587"/>
      <c r="AE116" s="587"/>
    </row>
    <row r="117" spans="1:31" ht="12" thickBot="1">
      <c r="A117" s="588" t="s">
        <v>1469</v>
      </c>
      <c r="B117" s="522" t="s">
        <v>436</v>
      </c>
      <c r="C117" s="522" t="s">
        <v>405</v>
      </c>
      <c r="D117" s="522" t="s">
        <v>978</v>
      </c>
      <c r="E117" s="1012">
        <v>462</v>
      </c>
      <c r="F117" s="525">
        <v>21467</v>
      </c>
      <c r="G117" s="525">
        <v>7127.04</v>
      </c>
      <c r="H117" s="999">
        <f t="shared" si="7"/>
        <v>15.360000000000001</v>
      </c>
      <c r="I117" s="1008">
        <f t="shared" si="8"/>
        <v>7096.3200000000006</v>
      </c>
      <c r="J117" s="1005">
        <f>I117/$M93*$M94</f>
        <v>-40.567380810322604</v>
      </c>
      <c r="K117" s="1011">
        <f t="shared" si="9"/>
        <v>459</v>
      </c>
      <c r="L117" s="999">
        <f>$M94/H117</f>
        <v>-779.60221354164776</v>
      </c>
      <c r="M117" s="999"/>
      <c r="N117" s="587"/>
      <c r="O117" s="587"/>
      <c r="P117" s="587"/>
      <c r="Q117" s="587"/>
      <c r="R117" s="587"/>
      <c r="S117" s="587"/>
      <c r="T117" s="587"/>
      <c r="U117" s="587"/>
      <c r="V117" s="587"/>
      <c r="W117" s="587"/>
      <c r="X117" s="587"/>
      <c r="Y117" s="587"/>
      <c r="Z117" s="587"/>
      <c r="AA117" s="587"/>
      <c r="AB117" s="587"/>
      <c r="AC117" s="587"/>
      <c r="AD117" s="587"/>
      <c r="AE117" s="587"/>
    </row>
    <row r="118" spans="1:31" ht="12" thickBot="1">
      <c r="A118" s="588" t="s">
        <v>1469</v>
      </c>
      <c r="B118" s="522" t="s">
        <v>436</v>
      </c>
      <c r="C118" s="522" t="s">
        <v>326</v>
      </c>
      <c r="D118" s="522" t="s">
        <v>979</v>
      </c>
      <c r="E118" s="1013">
        <v>5</v>
      </c>
      <c r="F118" s="531">
        <v>214</v>
      </c>
      <c r="G118" s="531">
        <v>16.95</v>
      </c>
      <c r="H118" s="999">
        <f t="shared" si="7"/>
        <v>3.39</v>
      </c>
      <c r="I118" s="1008">
        <f t="shared" si="8"/>
        <v>16.95</v>
      </c>
      <c r="J118" s="1005">
        <f>I118/$M93*$M94</f>
        <v>-9.6897702574710295E-2</v>
      </c>
      <c r="K118" s="1011">
        <f t="shared" si="9"/>
        <v>5</v>
      </c>
      <c r="L118" s="999">
        <f>$M94/H118</f>
        <v>-3532.3569321533068</v>
      </c>
      <c r="M118" s="999"/>
      <c r="N118" s="587"/>
      <c r="O118" s="587"/>
      <c r="P118" s="587"/>
      <c r="Q118" s="587"/>
      <c r="R118" s="587"/>
      <c r="S118" s="587"/>
      <c r="T118" s="587"/>
      <c r="U118" s="587"/>
      <c r="V118" s="587"/>
      <c r="W118" s="587"/>
      <c r="X118" s="587"/>
      <c r="Y118" s="587"/>
      <c r="Z118" s="587"/>
      <c r="AA118" s="587"/>
      <c r="AB118" s="587"/>
      <c r="AC118" s="587"/>
      <c r="AD118" s="587"/>
      <c r="AE118" s="587"/>
    </row>
    <row r="119" spans="1:31" ht="12" thickBot="1">
      <c r="A119" s="588" t="s">
        <v>1469</v>
      </c>
      <c r="B119" s="522" t="s">
        <v>436</v>
      </c>
      <c r="C119" s="522" t="s">
        <v>356</v>
      </c>
      <c r="D119" s="522" t="s">
        <v>980</v>
      </c>
      <c r="E119" s="1012">
        <v>686</v>
      </c>
      <c r="F119" s="525">
        <v>54287</v>
      </c>
      <c r="G119" s="525">
        <v>3117.59</v>
      </c>
      <c r="H119" s="999">
        <f t="shared" si="7"/>
        <v>4.5400000000000009</v>
      </c>
      <c r="I119" s="1008">
        <f t="shared" si="8"/>
        <v>3114.4400000000005</v>
      </c>
      <c r="J119" s="1005">
        <f>I119/$M93*$M94</f>
        <v>-17.804252554972315</v>
      </c>
      <c r="K119" s="1011">
        <f t="shared" si="9"/>
        <v>682</v>
      </c>
      <c r="L119" s="999">
        <f>$M94/H119</f>
        <v>-2637.5969162994952</v>
      </c>
      <c r="M119" s="999"/>
      <c r="N119" s="587"/>
      <c r="O119" s="587"/>
      <c r="P119" s="587"/>
      <c r="Q119" s="587"/>
      <c r="R119" s="587"/>
      <c r="S119" s="587"/>
      <c r="T119" s="587"/>
      <c r="U119" s="587"/>
      <c r="V119" s="587"/>
      <c r="W119" s="587"/>
      <c r="X119" s="587"/>
      <c r="Y119" s="587"/>
      <c r="Z119" s="587"/>
      <c r="AA119" s="587"/>
      <c r="AB119" s="587"/>
      <c r="AC119" s="587"/>
      <c r="AD119" s="587"/>
      <c r="AE119" s="587"/>
    </row>
    <row r="120" spans="1:31" ht="12" thickBot="1">
      <c r="A120" s="588" t="s">
        <v>1469</v>
      </c>
      <c r="B120" s="522" t="s">
        <v>436</v>
      </c>
      <c r="C120" s="522" t="s">
        <v>374</v>
      </c>
      <c r="D120" s="522" t="s">
        <v>981</v>
      </c>
      <c r="E120" s="1013">
        <v>87</v>
      </c>
      <c r="F120" s="531">
        <v>12295</v>
      </c>
      <c r="G120" s="531">
        <v>575.33000000000004</v>
      </c>
      <c r="H120" s="999">
        <f t="shared" si="7"/>
        <v>6.78</v>
      </c>
      <c r="I120" s="1008">
        <f t="shared" si="8"/>
        <v>589.86</v>
      </c>
      <c r="J120" s="1005">
        <f>I120/$M93*$M94</f>
        <v>-3.3720400495999181</v>
      </c>
      <c r="K120" s="1011">
        <f t="shared" si="9"/>
        <v>87</v>
      </c>
      <c r="L120" s="999">
        <f>$M94/H120</f>
        <v>-1766.1784660766534</v>
      </c>
      <c r="M120" s="999"/>
      <c r="N120" s="587"/>
      <c r="O120" s="587"/>
      <c r="P120" s="587"/>
      <c r="Q120" s="587"/>
      <c r="R120" s="587"/>
      <c r="S120" s="587"/>
      <c r="T120" s="587"/>
      <c r="U120" s="587"/>
      <c r="V120" s="587"/>
      <c r="W120" s="587"/>
      <c r="X120" s="587"/>
      <c r="Y120" s="587"/>
      <c r="Z120" s="587"/>
      <c r="AA120" s="587"/>
      <c r="AB120" s="587"/>
      <c r="AC120" s="587"/>
      <c r="AD120" s="587"/>
      <c r="AE120" s="587"/>
    </row>
    <row r="121" spans="1:31" ht="12" thickBot="1">
      <c r="A121" s="588" t="s">
        <v>1469</v>
      </c>
      <c r="B121" s="522" t="s">
        <v>436</v>
      </c>
      <c r="C121" s="522" t="s">
        <v>399</v>
      </c>
      <c r="D121" s="522" t="s">
        <v>982</v>
      </c>
      <c r="E121" s="1012">
        <v>2</v>
      </c>
      <c r="F121" s="525">
        <v>347</v>
      </c>
      <c r="G121" s="525">
        <v>18.12</v>
      </c>
      <c r="H121" s="999">
        <f t="shared" si="7"/>
        <v>9.06</v>
      </c>
      <c r="I121" s="1008">
        <f t="shared" si="8"/>
        <v>18.12</v>
      </c>
      <c r="J121" s="1005">
        <f>I121/$M93*$M94</f>
        <v>-0.1035862165577434</v>
      </c>
      <c r="K121" s="1011">
        <f t="shared" si="9"/>
        <v>2</v>
      </c>
      <c r="L121" s="999">
        <f>$M94/H121</f>
        <v>-1321.7097130242507</v>
      </c>
      <c r="M121" s="999"/>
      <c r="N121" s="587"/>
      <c r="O121" s="587"/>
      <c r="P121" s="587"/>
      <c r="Q121" s="587"/>
      <c r="R121" s="587"/>
      <c r="S121" s="587"/>
      <c r="T121" s="587"/>
      <c r="U121" s="587"/>
      <c r="V121" s="587"/>
      <c r="W121" s="587"/>
      <c r="X121" s="587"/>
      <c r="Y121" s="587"/>
      <c r="Z121" s="587"/>
      <c r="AA121" s="587"/>
      <c r="AB121" s="587"/>
      <c r="AC121" s="587"/>
      <c r="AD121" s="587"/>
      <c r="AE121" s="587"/>
    </row>
    <row r="122" spans="1:31" ht="12" thickBot="1">
      <c r="A122" s="588" t="s">
        <v>1469</v>
      </c>
      <c r="B122" s="522" t="s">
        <v>436</v>
      </c>
      <c r="C122" s="522" t="s">
        <v>391</v>
      </c>
      <c r="D122" s="522" t="s">
        <v>983</v>
      </c>
      <c r="E122" s="1013">
        <v>171</v>
      </c>
      <c r="F122" s="531">
        <v>5233</v>
      </c>
      <c r="G122" s="531">
        <v>1246.44</v>
      </c>
      <c r="H122" s="999">
        <f t="shared" si="7"/>
        <v>7.4399999999999995</v>
      </c>
      <c r="I122" s="1008">
        <f t="shared" si="8"/>
        <v>1272.24</v>
      </c>
      <c r="J122" s="1005">
        <f>I122/$M93*$M94</f>
        <v>-7.2729872049350694</v>
      </c>
      <c r="K122" s="1011">
        <f t="shared" si="9"/>
        <v>170</v>
      </c>
      <c r="L122" s="999">
        <f>$M94/H122</f>
        <v>-1609.5013440859827</v>
      </c>
      <c r="M122" s="999"/>
      <c r="N122" s="587"/>
      <c r="O122" s="587"/>
      <c r="P122" s="587"/>
      <c r="Q122" s="587"/>
      <c r="R122" s="587"/>
      <c r="S122" s="587"/>
      <c r="T122" s="587"/>
      <c r="U122" s="587"/>
      <c r="V122" s="587"/>
      <c r="W122" s="587"/>
      <c r="X122" s="587"/>
      <c r="Y122" s="587"/>
      <c r="Z122" s="587"/>
      <c r="AA122" s="587"/>
      <c r="AB122" s="587"/>
      <c r="AC122" s="587"/>
      <c r="AD122" s="587"/>
      <c r="AE122" s="587"/>
    </row>
    <row r="123" spans="1:31" ht="12" thickBot="1">
      <c r="A123" s="588" t="s">
        <v>1469</v>
      </c>
      <c r="B123" s="522" t="s">
        <v>436</v>
      </c>
      <c r="C123" s="522" t="s">
        <v>416</v>
      </c>
      <c r="D123" s="522" t="s">
        <v>984</v>
      </c>
      <c r="E123" s="1012">
        <v>36616</v>
      </c>
      <c r="F123" s="525">
        <v>1599187</v>
      </c>
      <c r="G123" s="525">
        <v>284595.69</v>
      </c>
      <c r="H123" s="999">
        <f t="shared" ref="H123:H154" si="10">SUMIF(_Lights_Tariff_Category,20140101&amp;$C123,_Lights_Rates)</f>
        <v>7.84</v>
      </c>
      <c r="I123" s="1008">
        <f t="shared" si="8"/>
        <v>287069.44</v>
      </c>
      <c r="J123" s="1005">
        <f>I123/$M93*$M94</f>
        <v>-1641.0837295226336</v>
      </c>
      <c r="K123" s="1011">
        <f t="shared" si="9"/>
        <v>36407</v>
      </c>
      <c r="L123" s="999">
        <f>$M94/H123</f>
        <v>-1527.3839285713918</v>
      </c>
      <c r="M123" s="999"/>
      <c r="N123" s="587"/>
      <c r="O123" s="587"/>
      <c r="P123" s="587"/>
      <c r="Q123" s="587"/>
      <c r="R123" s="587"/>
      <c r="S123" s="587"/>
      <c r="T123" s="587"/>
      <c r="U123" s="587"/>
      <c r="V123" s="587"/>
      <c r="W123" s="587"/>
      <c r="X123" s="587"/>
      <c r="Y123" s="587"/>
      <c r="Z123" s="587"/>
      <c r="AA123" s="587"/>
      <c r="AB123" s="587"/>
      <c r="AC123" s="587"/>
      <c r="AD123" s="587"/>
      <c r="AE123" s="587"/>
    </row>
    <row r="124" spans="1:31" ht="12" thickBot="1">
      <c r="A124" s="588" t="s">
        <v>1469</v>
      </c>
      <c r="B124" s="522" t="s">
        <v>436</v>
      </c>
      <c r="C124" s="522" t="s">
        <v>407</v>
      </c>
      <c r="D124" s="522" t="s">
        <v>985</v>
      </c>
      <c r="E124" s="1013">
        <v>1148</v>
      </c>
      <c r="F124" s="531">
        <v>52870</v>
      </c>
      <c r="G124" s="531">
        <v>25366</v>
      </c>
      <c r="H124" s="999">
        <f t="shared" si="10"/>
        <v>22</v>
      </c>
      <c r="I124" s="1008">
        <f t="shared" si="8"/>
        <v>25256</v>
      </c>
      <c r="J124" s="1005">
        <f>I124/$M93*$M94</f>
        <v>-144.38043517562733</v>
      </c>
      <c r="K124" s="1011">
        <f t="shared" si="9"/>
        <v>1141</v>
      </c>
      <c r="L124" s="999">
        <f>$M94/H124</f>
        <v>-544.30409090907779</v>
      </c>
      <c r="M124" s="999"/>
      <c r="N124" s="587"/>
      <c r="O124" s="587"/>
      <c r="P124" s="587"/>
      <c r="Q124" s="587"/>
      <c r="R124" s="587"/>
      <c r="S124" s="587"/>
      <c r="T124" s="587"/>
      <c r="U124" s="587"/>
      <c r="V124" s="587"/>
      <c r="W124" s="587"/>
      <c r="X124" s="587"/>
      <c r="Y124" s="587"/>
      <c r="Z124" s="587"/>
      <c r="AA124" s="587"/>
      <c r="AB124" s="587"/>
      <c r="AC124" s="587"/>
      <c r="AD124" s="587"/>
      <c r="AE124" s="587"/>
    </row>
    <row r="125" spans="1:31" ht="12" thickBot="1">
      <c r="A125" s="588" t="s">
        <v>1469</v>
      </c>
      <c r="B125" s="522" t="s">
        <v>436</v>
      </c>
      <c r="C125" s="522" t="s">
        <v>373</v>
      </c>
      <c r="D125" s="522" t="s">
        <v>986</v>
      </c>
      <c r="E125" s="1012">
        <v>6</v>
      </c>
      <c r="F125" s="525">
        <v>900</v>
      </c>
      <c r="G125" s="525">
        <v>46</v>
      </c>
      <c r="H125" s="999">
        <f t="shared" si="10"/>
        <v>7.74</v>
      </c>
      <c r="I125" s="1008">
        <f t="shared" si="8"/>
        <v>46.44</v>
      </c>
      <c r="J125" s="1005">
        <f>I125/$M93*$M94</f>
        <v>-0.26548255501885226</v>
      </c>
      <c r="K125" s="1011">
        <f t="shared" si="9"/>
        <v>6</v>
      </c>
      <c r="L125" s="999">
        <f>$M94/H125</f>
        <v>-1547.1175710593941</v>
      </c>
      <c r="M125" s="999"/>
      <c r="N125" s="587"/>
      <c r="O125" s="587"/>
      <c r="P125" s="587"/>
      <c r="Q125" s="587"/>
      <c r="R125" s="587"/>
      <c r="S125" s="587"/>
      <c r="T125" s="587"/>
      <c r="U125" s="587"/>
      <c r="V125" s="587"/>
      <c r="W125" s="587"/>
      <c r="X125" s="587"/>
      <c r="Y125" s="587"/>
      <c r="Z125" s="587"/>
      <c r="AA125" s="587"/>
      <c r="AB125" s="587"/>
      <c r="AC125" s="587"/>
      <c r="AD125" s="587"/>
      <c r="AE125" s="587"/>
    </row>
    <row r="126" spans="1:31" ht="12" thickBot="1">
      <c r="A126" s="588" t="s">
        <v>1469</v>
      </c>
      <c r="B126" s="522" t="s">
        <v>436</v>
      </c>
      <c r="C126" s="522" t="s">
        <v>375</v>
      </c>
      <c r="D126" s="522" t="s">
        <v>987</v>
      </c>
      <c r="E126" s="1013">
        <v>2</v>
      </c>
      <c r="F126" s="531">
        <v>45</v>
      </c>
      <c r="G126" s="531">
        <v>27.22</v>
      </c>
      <c r="H126" s="999">
        <f t="shared" si="10"/>
        <v>13.610000000000001</v>
      </c>
      <c r="I126" s="1008">
        <f t="shared" si="8"/>
        <v>27.220000000000002</v>
      </c>
      <c r="J126" s="1005">
        <f>I126/$M93*$M94</f>
        <v>-0.15560799198133418</v>
      </c>
      <c r="K126" s="1011">
        <f t="shared" si="9"/>
        <v>2</v>
      </c>
      <c r="L126" s="999">
        <f>$M94/H126</f>
        <v>-879.84496693605513</v>
      </c>
      <c r="M126" s="999"/>
      <c r="N126" s="587"/>
      <c r="O126" s="587"/>
      <c r="P126" s="587"/>
      <c r="Q126" s="587"/>
      <c r="R126" s="587"/>
      <c r="S126" s="587"/>
      <c r="T126" s="587"/>
      <c r="U126" s="587"/>
      <c r="V126" s="587"/>
      <c r="W126" s="587"/>
      <c r="X126" s="587"/>
      <c r="Y126" s="587"/>
      <c r="Z126" s="587"/>
      <c r="AA126" s="587"/>
      <c r="AB126" s="587"/>
      <c r="AC126" s="587"/>
      <c r="AD126" s="587"/>
      <c r="AE126" s="587"/>
    </row>
    <row r="127" spans="1:31" ht="12" thickBot="1">
      <c r="A127" s="588" t="s">
        <v>1469</v>
      </c>
      <c r="B127" s="522" t="s">
        <v>436</v>
      </c>
      <c r="C127" s="522" t="s">
        <v>401</v>
      </c>
      <c r="D127" s="522" t="s">
        <v>988</v>
      </c>
      <c r="E127" s="1012">
        <v>1082</v>
      </c>
      <c r="F127" s="525">
        <v>87347</v>
      </c>
      <c r="G127" s="525">
        <v>10391.719999999999</v>
      </c>
      <c r="H127" s="999">
        <f t="shared" si="10"/>
        <v>9.5600000000000023</v>
      </c>
      <c r="I127" s="1008">
        <f t="shared" si="8"/>
        <v>10343.920000000002</v>
      </c>
      <c r="J127" s="1005">
        <f>I127/$M93*$M94</f>
        <v>-59.132866290064754</v>
      </c>
      <c r="K127" s="1011">
        <f t="shared" si="9"/>
        <v>1076</v>
      </c>
      <c r="L127" s="999">
        <f>$M94/H127</f>
        <v>-1252.5826359832331</v>
      </c>
      <c r="M127" s="999"/>
      <c r="N127" s="587"/>
      <c r="O127" s="587"/>
      <c r="P127" s="587"/>
      <c r="Q127" s="587"/>
      <c r="R127" s="587"/>
      <c r="S127" s="587"/>
      <c r="T127" s="587"/>
      <c r="U127" s="587"/>
      <c r="V127" s="587"/>
      <c r="W127" s="587"/>
      <c r="X127" s="587"/>
      <c r="Y127" s="587"/>
      <c r="Z127" s="587"/>
      <c r="AA127" s="587"/>
      <c r="AB127" s="587"/>
      <c r="AC127" s="587"/>
      <c r="AD127" s="587"/>
      <c r="AE127" s="587"/>
    </row>
    <row r="128" spans="1:31" ht="12" thickBot="1">
      <c r="A128" s="588" t="s">
        <v>1469</v>
      </c>
      <c r="B128" s="522" t="s">
        <v>436</v>
      </c>
      <c r="C128" s="522" t="s">
        <v>328</v>
      </c>
      <c r="D128" s="522" t="s">
        <v>989</v>
      </c>
      <c r="E128" s="1013">
        <v>752</v>
      </c>
      <c r="F128" s="531">
        <v>101581</v>
      </c>
      <c r="G128" s="531">
        <v>8527.52</v>
      </c>
      <c r="H128" s="999">
        <f t="shared" si="10"/>
        <v>11.32</v>
      </c>
      <c r="I128" s="1008">
        <f t="shared" si="8"/>
        <v>8512.64</v>
      </c>
      <c r="J128" s="1005">
        <f>I128/$M93*$M94</f>
        <v>-48.664027070535795</v>
      </c>
      <c r="K128" s="1011">
        <f t="shared" si="9"/>
        <v>748</v>
      </c>
      <c r="L128" s="999">
        <f>$M94/H128</f>
        <v>-1057.8348056536847</v>
      </c>
      <c r="M128" s="999"/>
      <c r="N128" s="587"/>
      <c r="O128" s="587"/>
      <c r="P128" s="587"/>
      <c r="Q128" s="587"/>
      <c r="R128" s="587"/>
      <c r="S128" s="587"/>
      <c r="T128" s="587"/>
      <c r="U128" s="587"/>
      <c r="V128" s="587"/>
      <c r="W128" s="587"/>
      <c r="X128" s="587"/>
      <c r="Y128" s="587"/>
      <c r="Z128" s="587"/>
      <c r="AA128" s="587"/>
      <c r="AB128" s="587"/>
      <c r="AC128" s="587"/>
      <c r="AD128" s="587"/>
      <c r="AE128" s="587"/>
    </row>
    <row r="129" spans="1:31" ht="12" thickBot="1">
      <c r="A129" s="588" t="s">
        <v>1469</v>
      </c>
      <c r="B129" s="522" t="s">
        <v>436</v>
      </c>
      <c r="C129" s="522" t="s">
        <v>437</v>
      </c>
      <c r="D129" s="522" t="s">
        <v>990</v>
      </c>
      <c r="E129" s="1012">
        <v>1493</v>
      </c>
      <c r="F129" s="525">
        <v>275956</v>
      </c>
      <c r="G129" s="525">
        <v>19158.45</v>
      </c>
      <c r="H129" s="999">
        <f t="shared" si="10"/>
        <v>12.809999999999999</v>
      </c>
      <c r="I129" s="1008">
        <f t="shared" si="8"/>
        <v>19125.329999999998</v>
      </c>
      <c r="J129" s="1005">
        <f>I129/$M93*$M94</f>
        <v>-109.33336507275422</v>
      </c>
      <c r="K129" s="1011">
        <f t="shared" si="9"/>
        <v>1484</v>
      </c>
      <c r="L129" s="999">
        <f>$M94/H129</f>
        <v>-934.79234972675351</v>
      </c>
      <c r="M129" s="999"/>
      <c r="N129" s="587"/>
      <c r="O129" s="587"/>
      <c r="P129" s="587"/>
      <c r="Q129" s="587"/>
      <c r="R129" s="587"/>
      <c r="S129" s="587"/>
      <c r="T129" s="587"/>
      <c r="U129" s="587"/>
      <c r="V129" s="587"/>
      <c r="W129" s="587"/>
      <c r="X129" s="587"/>
      <c r="Y129" s="587"/>
      <c r="Z129" s="587"/>
      <c r="AA129" s="587"/>
      <c r="AB129" s="587"/>
      <c r="AC129" s="587"/>
      <c r="AD129" s="587"/>
      <c r="AE129" s="587"/>
    </row>
    <row r="130" spans="1:31" ht="12" thickBot="1">
      <c r="A130" s="588" t="s">
        <v>1469</v>
      </c>
      <c r="B130" s="522" t="s">
        <v>436</v>
      </c>
      <c r="C130" s="522" t="s">
        <v>338</v>
      </c>
      <c r="D130" s="522" t="s">
        <v>991</v>
      </c>
      <c r="E130" s="1012">
        <v>660</v>
      </c>
      <c r="F130" s="525">
        <v>37694</v>
      </c>
      <c r="G130" s="525">
        <v>9442.9599999999991</v>
      </c>
      <c r="H130" s="999">
        <f t="shared" si="10"/>
        <v>14.25</v>
      </c>
      <c r="I130" s="1008">
        <f t="shared" si="8"/>
        <v>9405</v>
      </c>
      <c r="J130" s="1005">
        <f>I130/$M93*$M94</f>
        <v>-53.765362402073769</v>
      </c>
      <c r="K130" s="1011">
        <f t="shared" si="9"/>
        <v>656</v>
      </c>
      <c r="L130" s="999">
        <f>$M94/H130</f>
        <v>-840.32912280699725</v>
      </c>
      <c r="M130" s="999"/>
      <c r="N130" s="587"/>
      <c r="O130" s="587"/>
      <c r="P130" s="587"/>
      <c r="Q130" s="587"/>
      <c r="R130" s="587"/>
      <c r="S130" s="587"/>
      <c r="T130" s="587"/>
      <c r="U130" s="587"/>
      <c r="V130" s="587"/>
      <c r="W130" s="587"/>
      <c r="X130" s="587"/>
      <c r="Y130" s="587"/>
      <c r="Z130" s="587"/>
      <c r="AA130" s="587"/>
      <c r="AB130" s="587"/>
      <c r="AC130" s="587"/>
      <c r="AD130" s="587"/>
      <c r="AE130" s="587"/>
    </row>
    <row r="131" spans="1:31" ht="12" thickBot="1">
      <c r="A131" s="588" t="s">
        <v>1469</v>
      </c>
      <c r="B131" s="522" t="s">
        <v>436</v>
      </c>
      <c r="C131" s="522" t="s">
        <v>370</v>
      </c>
      <c r="D131" s="522" t="s">
        <v>992</v>
      </c>
      <c r="E131" s="1012">
        <v>5068</v>
      </c>
      <c r="F131" s="525">
        <v>668147</v>
      </c>
      <c r="G131" s="525">
        <v>101955.2</v>
      </c>
      <c r="H131" s="999">
        <f t="shared" si="10"/>
        <v>20.200000000000003</v>
      </c>
      <c r="I131" s="1008">
        <f t="shared" si="8"/>
        <v>102373.60000000002</v>
      </c>
      <c r="J131" s="1005">
        <f>I131/$M93*$M94</f>
        <v>-585.23697016533117</v>
      </c>
      <c r="K131" s="1011">
        <f t="shared" si="9"/>
        <v>5039</v>
      </c>
      <c r="L131" s="999">
        <f>$M94/H131</f>
        <v>-592.80643564355</v>
      </c>
      <c r="M131" s="999"/>
      <c r="N131" s="587"/>
      <c r="O131" s="587"/>
      <c r="P131" s="587"/>
      <c r="Q131" s="587"/>
      <c r="R131" s="587"/>
      <c r="S131" s="587"/>
      <c r="T131" s="587"/>
      <c r="U131" s="587"/>
      <c r="V131" s="587"/>
      <c r="W131" s="587"/>
      <c r="X131" s="587"/>
      <c r="Y131" s="587"/>
      <c r="Z131" s="587"/>
      <c r="AA131" s="587"/>
      <c r="AB131" s="587"/>
      <c r="AC131" s="587"/>
      <c r="AD131" s="587"/>
      <c r="AE131" s="587"/>
    </row>
    <row r="132" spans="1:31" ht="12" thickBot="1">
      <c r="A132" s="588" t="s">
        <v>1469</v>
      </c>
      <c r="B132" s="522" t="s">
        <v>436</v>
      </c>
      <c r="C132" s="522" t="s">
        <v>333</v>
      </c>
      <c r="D132" s="522" t="s">
        <v>993</v>
      </c>
      <c r="E132" s="1012">
        <v>1038</v>
      </c>
      <c r="F132" s="525">
        <v>421796</v>
      </c>
      <c r="G132" s="525">
        <v>43897.19</v>
      </c>
      <c r="H132" s="999">
        <f t="shared" si="10"/>
        <v>42.350000000000009</v>
      </c>
      <c r="I132" s="1008">
        <f t="shared" si="8"/>
        <v>43959.30000000001</v>
      </c>
      <c r="J132" s="1005">
        <f>I132/$M93*$M94</f>
        <v>-251.30119037123677</v>
      </c>
      <c r="K132" s="1011">
        <f t="shared" si="9"/>
        <v>1032</v>
      </c>
      <c r="L132" s="999">
        <f>$M94/H132</f>
        <v>-282.75537190081957</v>
      </c>
      <c r="M132" s="999"/>
      <c r="N132" s="587"/>
      <c r="O132" s="587"/>
      <c r="P132" s="587"/>
      <c r="Q132" s="587"/>
      <c r="R132" s="587"/>
      <c r="S132" s="587"/>
      <c r="T132" s="587"/>
      <c r="U132" s="587"/>
      <c r="V132" s="587"/>
      <c r="W132" s="587"/>
      <c r="X132" s="587"/>
      <c r="Y132" s="587"/>
      <c r="Z132" s="587"/>
      <c r="AA132" s="587"/>
      <c r="AB132" s="587"/>
      <c r="AC132" s="587"/>
      <c r="AD132" s="587"/>
      <c r="AE132" s="587"/>
    </row>
    <row r="133" spans="1:31" ht="12" thickBot="1">
      <c r="A133" s="588" t="s">
        <v>1469</v>
      </c>
      <c r="B133" s="522" t="s">
        <v>436</v>
      </c>
      <c r="C133" s="522" t="s">
        <v>336</v>
      </c>
      <c r="D133" s="522" t="s">
        <v>994</v>
      </c>
      <c r="E133" s="1012">
        <v>155</v>
      </c>
      <c r="F133" s="525">
        <v>9005</v>
      </c>
      <c r="G133" s="525">
        <v>2909.4</v>
      </c>
      <c r="H133" s="999">
        <f t="shared" si="10"/>
        <v>18.649999999999999</v>
      </c>
      <c r="I133" s="1008">
        <f t="shared" si="8"/>
        <v>2890.75</v>
      </c>
      <c r="J133" s="1005">
        <f>I133/$M93*$M94</f>
        <v>-16.525488714917035</v>
      </c>
      <c r="K133" s="1011">
        <f t="shared" si="9"/>
        <v>154</v>
      </c>
      <c r="L133" s="999">
        <f>$M94/H133</f>
        <v>-642.07453083108373</v>
      </c>
      <c r="M133" s="999"/>
      <c r="N133" s="587"/>
      <c r="O133" s="587"/>
      <c r="P133" s="587"/>
      <c r="Q133" s="587"/>
      <c r="R133" s="587"/>
      <c r="S133" s="587"/>
      <c r="T133" s="587"/>
      <c r="U133" s="587"/>
      <c r="V133" s="587"/>
      <c r="W133" s="587"/>
      <c r="X133" s="587"/>
      <c r="Y133" s="587"/>
      <c r="Z133" s="587"/>
      <c r="AA133" s="587"/>
      <c r="AB133" s="587"/>
      <c r="AC133" s="587"/>
      <c r="AD133" s="587"/>
      <c r="AE133" s="587"/>
    </row>
    <row r="134" spans="1:31" ht="12" thickBot="1">
      <c r="A134" s="588" t="s">
        <v>1469</v>
      </c>
      <c r="B134" s="522" t="s">
        <v>436</v>
      </c>
      <c r="C134" s="522" t="s">
        <v>368</v>
      </c>
      <c r="D134" s="522" t="s">
        <v>995</v>
      </c>
      <c r="E134" s="1012">
        <v>1014</v>
      </c>
      <c r="F134" s="525">
        <v>135070</v>
      </c>
      <c r="G134" s="525">
        <v>25061.98</v>
      </c>
      <c r="H134" s="999">
        <f t="shared" si="10"/>
        <v>24.59</v>
      </c>
      <c r="I134" s="1008">
        <f t="shared" si="8"/>
        <v>24934.26</v>
      </c>
      <c r="J134" s="1005">
        <f>I134/$M93*$M94</f>
        <v>-142.5411509970794</v>
      </c>
      <c r="K134" s="1011">
        <f t="shared" si="9"/>
        <v>1008</v>
      </c>
      <c r="L134" s="999">
        <f>$M94/H134</f>
        <v>-486.9739731598093</v>
      </c>
      <c r="M134" s="999"/>
      <c r="N134" s="587"/>
      <c r="O134" s="587"/>
      <c r="P134" s="587"/>
      <c r="Q134" s="587"/>
      <c r="R134" s="587"/>
      <c r="S134" s="587"/>
      <c r="T134" s="587"/>
      <c r="U134" s="587"/>
      <c r="V134" s="587"/>
      <c r="W134" s="587"/>
      <c r="X134" s="587"/>
      <c r="Y134" s="587"/>
      <c r="Z134" s="587"/>
      <c r="AA134" s="587"/>
      <c r="AB134" s="587"/>
      <c r="AC134" s="587"/>
      <c r="AD134" s="587"/>
      <c r="AE134" s="587"/>
    </row>
    <row r="135" spans="1:31" ht="12" thickBot="1">
      <c r="A135" s="588" t="s">
        <v>1469</v>
      </c>
      <c r="B135" s="522" t="s">
        <v>436</v>
      </c>
      <c r="C135" s="522" t="s">
        <v>400</v>
      </c>
      <c r="D135" s="522" t="s">
        <v>996</v>
      </c>
      <c r="E135" s="1013">
        <v>139</v>
      </c>
      <c r="F135" s="531">
        <v>11188</v>
      </c>
      <c r="G135" s="531">
        <v>1661.8</v>
      </c>
      <c r="H135" s="999">
        <f t="shared" si="10"/>
        <v>11.870000000000001</v>
      </c>
      <c r="I135" s="1008">
        <f t="shared" si="8"/>
        <v>1649.93</v>
      </c>
      <c r="J135" s="1005">
        <f>I135/$M93*$M94</f>
        <v>-9.4321195521588059</v>
      </c>
      <c r="K135" s="1011">
        <f t="shared" si="9"/>
        <v>138</v>
      </c>
      <c r="L135" s="999">
        <f>$M94/H135</f>
        <v>-1008.8197135635813</v>
      </c>
      <c r="M135" s="999"/>
      <c r="N135" s="587"/>
      <c r="O135" s="587"/>
      <c r="P135" s="587"/>
      <c r="Q135" s="587"/>
      <c r="R135" s="587"/>
      <c r="S135" s="587"/>
      <c r="T135" s="587"/>
      <c r="U135" s="587"/>
      <c r="V135" s="587"/>
      <c r="W135" s="587"/>
      <c r="X135" s="587"/>
      <c r="Y135" s="587"/>
      <c r="Z135" s="587"/>
      <c r="AA135" s="587"/>
      <c r="AB135" s="587"/>
      <c r="AC135" s="587"/>
      <c r="AD135" s="587"/>
      <c r="AE135" s="587"/>
    </row>
    <row r="136" spans="1:31" ht="12" thickBot="1">
      <c r="A136" s="588" t="s">
        <v>1469</v>
      </c>
      <c r="B136" s="522" t="s">
        <v>436</v>
      </c>
      <c r="C136" s="522" t="s">
        <v>327</v>
      </c>
      <c r="D136" s="522" t="s">
        <v>997</v>
      </c>
      <c r="E136" s="1012">
        <v>451</v>
      </c>
      <c r="F136" s="525">
        <v>61579</v>
      </c>
      <c r="G136" s="525">
        <v>6053.61</v>
      </c>
      <c r="H136" s="999">
        <f t="shared" si="10"/>
        <v>13.360000000000001</v>
      </c>
      <c r="I136" s="1008">
        <f t="shared" si="8"/>
        <v>6025.3600000000006</v>
      </c>
      <c r="J136" s="1005">
        <f>I136/$M93*$M94</f>
        <v>-34.445046677613952</v>
      </c>
      <c r="K136" s="1011">
        <f t="shared" si="9"/>
        <v>448</v>
      </c>
      <c r="L136" s="999">
        <f>$M94/H136</f>
        <v>-896.30913173650526</v>
      </c>
      <c r="M136" s="999"/>
      <c r="N136" s="587"/>
      <c r="O136" s="587"/>
      <c r="P136" s="587"/>
      <c r="Q136" s="587"/>
      <c r="R136" s="587"/>
      <c r="S136" s="587"/>
      <c r="T136" s="587"/>
      <c r="U136" s="587"/>
      <c r="V136" s="587"/>
      <c r="W136" s="587"/>
      <c r="X136" s="587"/>
      <c r="Y136" s="587"/>
      <c r="Z136" s="587"/>
      <c r="AA136" s="587"/>
      <c r="AB136" s="587"/>
      <c r="AC136" s="587"/>
      <c r="AD136" s="587"/>
      <c r="AE136" s="587"/>
    </row>
    <row r="137" spans="1:31" ht="12" thickBot="1">
      <c r="A137" s="588" t="s">
        <v>1469</v>
      </c>
      <c r="B137" s="522" t="s">
        <v>436</v>
      </c>
      <c r="C137" s="522" t="s">
        <v>357</v>
      </c>
      <c r="D137" s="522" t="s">
        <v>998</v>
      </c>
      <c r="E137" s="1013">
        <v>1458</v>
      </c>
      <c r="F137" s="531">
        <v>286305</v>
      </c>
      <c r="G137" s="531">
        <v>22032.47</v>
      </c>
      <c r="H137" s="999">
        <f t="shared" si="10"/>
        <v>15.079999999999998</v>
      </c>
      <c r="I137" s="1008">
        <f t="shared" si="8"/>
        <v>21986.639999999996</v>
      </c>
      <c r="J137" s="1005">
        <f>I137/$M93*$M94</f>
        <v>-125.690554769158</v>
      </c>
      <c r="K137" s="1011">
        <f t="shared" si="9"/>
        <v>1450</v>
      </c>
      <c r="L137" s="999">
        <f>$M94/H137</f>
        <v>-794.07758620687753</v>
      </c>
      <c r="M137" s="999"/>
      <c r="N137" s="587"/>
      <c r="O137" s="587"/>
      <c r="P137" s="587"/>
      <c r="Q137" s="587"/>
      <c r="R137" s="587"/>
      <c r="S137" s="587"/>
      <c r="T137" s="587"/>
      <c r="U137" s="587"/>
      <c r="V137" s="587"/>
      <c r="W137" s="587"/>
      <c r="X137" s="587"/>
      <c r="Y137" s="587"/>
      <c r="Z137" s="587"/>
      <c r="AA137" s="587"/>
      <c r="AB137" s="587"/>
      <c r="AC137" s="587"/>
      <c r="AD137" s="587"/>
      <c r="AE137" s="587"/>
    </row>
    <row r="138" spans="1:31" ht="12" thickBot="1">
      <c r="A138" s="588" t="s">
        <v>1469</v>
      </c>
      <c r="B138" s="522" t="s">
        <v>436</v>
      </c>
      <c r="C138" s="522" t="s">
        <v>331</v>
      </c>
      <c r="D138" s="522" t="s">
        <v>999</v>
      </c>
      <c r="E138" s="1012">
        <v>227</v>
      </c>
      <c r="F138" s="525">
        <v>92232</v>
      </c>
      <c r="G138" s="525">
        <v>10656.72</v>
      </c>
      <c r="H138" s="999">
        <f t="shared" si="10"/>
        <v>46.740000000000009</v>
      </c>
      <c r="I138" s="1008">
        <f t="shared" si="8"/>
        <v>10609.980000000001</v>
      </c>
      <c r="J138" s="1005">
        <f>I138/$M93*$M94</f>
        <v>-60.653845803163705</v>
      </c>
      <c r="K138" s="1011">
        <f t="shared" si="9"/>
        <v>226</v>
      </c>
      <c r="L138" s="999">
        <f>$M94/H138</f>
        <v>-256.19790329481617</v>
      </c>
      <c r="M138" s="999"/>
      <c r="N138" s="587"/>
      <c r="O138" s="587"/>
      <c r="P138" s="587"/>
      <c r="Q138" s="587"/>
      <c r="R138" s="587"/>
      <c r="S138" s="587"/>
      <c r="T138" s="587"/>
      <c r="U138" s="587"/>
      <c r="V138" s="587"/>
      <c r="W138" s="587"/>
      <c r="X138" s="587"/>
      <c r="Y138" s="587"/>
      <c r="Z138" s="587"/>
      <c r="AA138" s="587"/>
      <c r="AB138" s="587"/>
      <c r="AC138" s="587"/>
      <c r="AD138" s="587"/>
      <c r="AE138" s="587"/>
    </row>
    <row r="139" spans="1:31" ht="12" thickBot="1">
      <c r="A139" s="588" t="s">
        <v>1469</v>
      </c>
      <c r="B139" s="522" t="s">
        <v>436</v>
      </c>
      <c r="C139" s="522" t="s">
        <v>335</v>
      </c>
      <c r="D139" s="522" t="s">
        <v>1000</v>
      </c>
      <c r="E139" s="1012">
        <v>27</v>
      </c>
      <c r="F139" s="525">
        <v>1639</v>
      </c>
      <c r="G139" s="525">
        <v>733.05</v>
      </c>
      <c r="H139" s="999">
        <f t="shared" si="10"/>
        <v>27.15</v>
      </c>
      <c r="I139" s="1008">
        <f t="shared" si="8"/>
        <v>733.05</v>
      </c>
      <c r="J139" s="1005">
        <f>I139/$M93*$M94</f>
        <v>-4.1906112609080459</v>
      </c>
      <c r="K139" s="1011">
        <f t="shared" si="9"/>
        <v>27</v>
      </c>
      <c r="L139" s="999">
        <f>$M94/H139</f>
        <v>-441.05672191527486</v>
      </c>
      <c r="M139" s="999"/>
      <c r="N139" s="587"/>
      <c r="O139" s="587"/>
      <c r="P139" s="587"/>
      <c r="Q139" s="587"/>
      <c r="R139" s="587"/>
      <c r="S139" s="587"/>
      <c r="T139" s="587"/>
      <c r="U139" s="587"/>
      <c r="V139" s="587"/>
      <c r="W139" s="587"/>
      <c r="X139" s="587"/>
      <c r="Y139" s="587"/>
      <c r="Z139" s="587"/>
      <c r="AA139" s="587"/>
      <c r="AB139" s="587"/>
      <c r="AC139" s="587"/>
      <c r="AD139" s="587"/>
      <c r="AE139" s="587"/>
    </row>
    <row r="140" spans="1:31" ht="12" thickBot="1">
      <c r="A140" s="588" t="s">
        <v>1469</v>
      </c>
      <c r="B140" s="522" t="s">
        <v>436</v>
      </c>
      <c r="C140" s="522" t="s">
        <v>372</v>
      </c>
      <c r="D140" s="522" t="s">
        <v>1001</v>
      </c>
      <c r="E140" s="1013">
        <v>6484</v>
      </c>
      <c r="F140" s="531">
        <v>153364</v>
      </c>
      <c r="G140" s="531">
        <v>49115.56</v>
      </c>
      <c r="H140" s="999">
        <f t="shared" si="10"/>
        <v>7.54</v>
      </c>
      <c r="I140" s="1008">
        <f t="shared" si="8"/>
        <v>48889.36</v>
      </c>
      <c r="J140" s="1005">
        <f>I140/$M93*$M94</f>
        <v>-279.48475895858041</v>
      </c>
      <c r="K140" s="1011">
        <f t="shared" si="9"/>
        <v>6447</v>
      </c>
      <c r="L140" s="999">
        <f>$M94/H140</f>
        <v>-1588.1551724137548</v>
      </c>
      <c r="M140" s="999"/>
      <c r="N140" s="587"/>
      <c r="O140" s="587"/>
      <c r="P140" s="587"/>
      <c r="Q140" s="587"/>
      <c r="R140" s="587"/>
      <c r="S140" s="587"/>
      <c r="T140" s="587"/>
      <c r="U140" s="587"/>
      <c r="V140" s="587"/>
      <c r="W140" s="587"/>
      <c r="X140" s="587"/>
      <c r="Y140" s="587"/>
      <c r="Z140" s="587"/>
      <c r="AA140" s="587"/>
      <c r="AB140" s="587"/>
      <c r="AC140" s="587"/>
      <c r="AD140" s="587"/>
      <c r="AE140" s="587"/>
    </row>
    <row r="141" spans="1:31" ht="12" thickBot="1">
      <c r="A141" s="588" t="s">
        <v>1469</v>
      </c>
      <c r="B141" s="522" t="s">
        <v>436</v>
      </c>
      <c r="C141" s="522" t="s">
        <v>381</v>
      </c>
      <c r="D141" s="522" t="s">
        <v>1002</v>
      </c>
      <c r="E141" s="1012">
        <v>8582</v>
      </c>
      <c r="F141" s="525">
        <v>293703</v>
      </c>
      <c r="G141" s="525">
        <v>74666.52</v>
      </c>
      <c r="H141" s="999">
        <f t="shared" si="10"/>
        <v>8.66</v>
      </c>
      <c r="I141" s="1008">
        <f t="shared" si="8"/>
        <v>74320.12</v>
      </c>
      <c r="J141" s="1005">
        <f>I141/$M93*$M94</f>
        <v>-424.86424088948536</v>
      </c>
      <c r="K141" s="1011">
        <f t="shared" si="9"/>
        <v>8533</v>
      </c>
      <c r="L141" s="999">
        <f>$M94/H141</f>
        <v>-1382.7586605080498</v>
      </c>
      <c r="M141" s="999"/>
      <c r="N141" s="587"/>
      <c r="O141" s="587"/>
      <c r="P141" s="587"/>
      <c r="Q141" s="587"/>
      <c r="R141" s="587"/>
      <c r="S141" s="587"/>
      <c r="T141" s="587"/>
      <c r="U141" s="587"/>
      <c r="V141" s="587"/>
      <c r="W141" s="587"/>
      <c r="X141" s="587"/>
      <c r="Y141" s="587"/>
      <c r="Z141" s="587"/>
      <c r="AA141" s="587"/>
      <c r="AB141" s="587"/>
      <c r="AC141" s="587"/>
      <c r="AD141" s="587"/>
      <c r="AE141" s="587"/>
    </row>
    <row r="142" spans="1:31" ht="12" thickBot="1">
      <c r="A142" s="588" t="s">
        <v>1469</v>
      </c>
      <c r="B142" s="522" t="s">
        <v>436</v>
      </c>
      <c r="C142" s="522" t="s">
        <v>404</v>
      </c>
      <c r="D142" s="522" t="s">
        <v>1003</v>
      </c>
      <c r="E142" s="1013">
        <v>19530</v>
      </c>
      <c r="F142" s="531">
        <v>891496</v>
      </c>
      <c r="G142" s="531">
        <v>179410.22</v>
      </c>
      <c r="H142" s="999">
        <f t="shared" si="10"/>
        <v>9.14</v>
      </c>
      <c r="I142" s="1008">
        <f t="shared" si="8"/>
        <v>178504.2</v>
      </c>
      <c r="J142" s="1005">
        <f>I142/$M93*$M94</f>
        <v>-1020.4511433590916</v>
      </c>
      <c r="K142" s="1011">
        <f t="shared" si="9"/>
        <v>19418</v>
      </c>
      <c r="L142" s="999">
        <f>$M94/H142</f>
        <v>-1310.1411378555481</v>
      </c>
      <c r="M142" s="999"/>
      <c r="N142" s="587"/>
      <c r="O142" s="587"/>
      <c r="P142" s="587"/>
      <c r="Q142" s="587"/>
      <c r="R142" s="587"/>
      <c r="S142" s="587"/>
      <c r="T142" s="587"/>
      <c r="U142" s="587"/>
      <c r="V142" s="587"/>
      <c r="W142" s="587"/>
      <c r="X142" s="587"/>
      <c r="Y142" s="587"/>
      <c r="Z142" s="587"/>
      <c r="AA142" s="587"/>
      <c r="AB142" s="587"/>
      <c r="AC142" s="587"/>
      <c r="AD142" s="587"/>
      <c r="AE142" s="587"/>
    </row>
    <row r="143" spans="1:31" ht="12" thickBot="1">
      <c r="A143" s="588" t="s">
        <v>1469</v>
      </c>
      <c r="B143" s="522" t="s">
        <v>436</v>
      </c>
      <c r="C143" s="522" t="s">
        <v>361</v>
      </c>
      <c r="D143" s="522" t="s">
        <v>1004</v>
      </c>
      <c r="E143" s="1013">
        <v>7340</v>
      </c>
      <c r="F143" s="531">
        <v>697831</v>
      </c>
      <c r="G143" s="531">
        <v>105123.31</v>
      </c>
      <c r="H143" s="999">
        <f t="shared" si="10"/>
        <v>14.25</v>
      </c>
      <c r="I143" s="1008">
        <f t="shared" si="8"/>
        <v>104595</v>
      </c>
      <c r="J143" s="1005">
        <f>I143/$M93*$M94</f>
        <v>-597.93600004730513</v>
      </c>
      <c r="K143" s="1011">
        <f t="shared" si="9"/>
        <v>7298</v>
      </c>
      <c r="L143" s="999">
        <f>$M94/H143</f>
        <v>-840.32912280699725</v>
      </c>
      <c r="M143" s="999"/>
      <c r="N143" s="587"/>
      <c r="O143" s="587"/>
      <c r="P143" s="587"/>
      <c r="Q143" s="587"/>
      <c r="R143" s="587"/>
      <c r="S143" s="587"/>
      <c r="T143" s="587"/>
      <c r="U143" s="587"/>
      <c r="V143" s="587"/>
      <c r="W143" s="587"/>
      <c r="X143" s="587"/>
      <c r="Y143" s="587"/>
      <c r="Z143" s="587"/>
      <c r="AA143" s="587"/>
      <c r="AB143" s="587"/>
      <c r="AC143" s="587"/>
      <c r="AD143" s="587"/>
      <c r="AE143" s="587"/>
    </row>
    <row r="144" spans="1:31" ht="12" thickBot="1">
      <c r="A144" s="588" t="s">
        <v>1469</v>
      </c>
      <c r="B144" s="522" t="s">
        <v>436</v>
      </c>
      <c r="C144" s="522" t="s">
        <v>393</v>
      </c>
      <c r="D144" s="522" t="s">
        <v>1005</v>
      </c>
      <c r="E144" s="1013">
        <v>2710</v>
      </c>
      <c r="F144" s="531">
        <v>498461</v>
      </c>
      <c r="G144" s="531">
        <v>62615.87</v>
      </c>
      <c r="H144" s="999">
        <f t="shared" si="10"/>
        <v>22.84</v>
      </c>
      <c r="I144" s="1008">
        <f t="shared" si="8"/>
        <v>61896.4</v>
      </c>
      <c r="J144" s="1005">
        <f>I144/$M93*$M94</f>
        <v>-353.84182640975212</v>
      </c>
      <c r="K144" s="1011">
        <f t="shared" si="9"/>
        <v>2695</v>
      </c>
      <c r="L144" s="999">
        <f>$M94/H144</f>
        <v>-524.28590192643219</v>
      </c>
      <c r="M144" s="999"/>
      <c r="N144" s="587"/>
      <c r="O144" s="587"/>
      <c r="P144" s="587"/>
      <c r="Q144" s="587"/>
      <c r="R144" s="587"/>
      <c r="S144" s="587"/>
      <c r="T144" s="587"/>
      <c r="U144" s="587"/>
      <c r="V144" s="587"/>
      <c r="W144" s="587"/>
      <c r="X144" s="587"/>
      <c r="Y144" s="587"/>
      <c r="Z144" s="587"/>
      <c r="AA144" s="587"/>
      <c r="AB144" s="587"/>
      <c r="AC144" s="587"/>
      <c r="AD144" s="587"/>
      <c r="AE144" s="587"/>
    </row>
    <row r="145" spans="1:31" ht="12" thickBot="1">
      <c r="A145" s="588" t="s">
        <v>1469</v>
      </c>
      <c r="B145" s="522" t="s">
        <v>436</v>
      </c>
      <c r="C145" s="522" t="s">
        <v>379</v>
      </c>
      <c r="D145" s="522" t="s">
        <v>1006</v>
      </c>
      <c r="E145" s="1013">
        <v>712</v>
      </c>
      <c r="F145" s="531">
        <v>16572</v>
      </c>
      <c r="G145" s="531">
        <v>6878.3</v>
      </c>
      <c r="H145" s="999">
        <f t="shared" si="10"/>
        <v>9.620000000000001</v>
      </c>
      <c r="I145" s="1008">
        <f t="shared" si="8"/>
        <v>6849.4400000000005</v>
      </c>
      <c r="J145" s="1005">
        <f>I145/$M93*$M94</f>
        <v>-39.156047193116443</v>
      </c>
      <c r="K145" s="1011">
        <f t="shared" si="9"/>
        <v>708</v>
      </c>
      <c r="L145" s="999">
        <f>$M94/H145</f>
        <v>-1244.7702702702402</v>
      </c>
      <c r="M145" s="999"/>
      <c r="N145" s="587"/>
      <c r="O145" s="587"/>
      <c r="P145" s="587"/>
      <c r="Q145" s="587"/>
      <c r="R145" s="587"/>
      <c r="S145" s="587"/>
      <c r="T145" s="587"/>
      <c r="U145" s="587"/>
      <c r="V145" s="587"/>
      <c r="W145" s="587"/>
      <c r="X145" s="587"/>
      <c r="Y145" s="587"/>
      <c r="Z145" s="587"/>
      <c r="AA145" s="587"/>
      <c r="AB145" s="587"/>
      <c r="AC145" s="587"/>
      <c r="AD145" s="587"/>
      <c r="AE145" s="587"/>
    </row>
    <row r="146" spans="1:31" ht="12" thickBot="1">
      <c r="A146" s="588" t="s">
        <v>1469</v>
      </c>
      <c r="B146" s="522" t="s">
        <v>436</v>
      </c>
      <c r="C146" s="522" t="s">
        <v>389</v>
      </c>
      <c r="D146" s="522" t="s">
        <v>1007</v>
      </c>
      <c r="E146" s="1012">
        <v>1232</v>
      </c>
      <c r="F146" s="525">
        <v>39652</v>
      </c>
      <c r="G146" s="525">
        <v>13333.26</v>
      </c>
      <c r="H146" s="999">
        <f t="shared" si="10"/>
        <v>10.770000000000001</v>
      </c>
      <c r="I146" s="1008">
        <f t="shared" si="8"/>
        <v>13268.640000000001</v>
      </c>
      <c r="J146" s="1005">
        <f>I146/$M93*$M94</f>
        <v>-75.85255057763446</v>
      </c>
      <c r="K146" s="1011">
        <f t="shared" si="9"/>
        <v>1225</v>
      </c>
      <c r="L146" s="999">
        <f>$M94/H146</f>
        <v>-1111.8560817084224</v>
      </c>
      <c r="M146" s="999"/>
      <c r="N146" s="587"/>
      <c r="O146" s="587"/>
      <c r="P146" s="587"/>
      <c r="Q146" s="587"/>
      <c r="R146" s="587"/>
      <c r="S146" s="587"/>
      <c r="T146" s="587"/>
      <c r="U146" s="587"/>
      <c r="V146" s="587"/>
      <c r="W146" s="587"/>
      <c r="X146" s="587"/>
      <c r="Y146" s="587"/>
      <c r="Z146" s="587"/>
      <c r="AA146" s="587"/>
      <c r="AB146" s="587"/>
      <c r="AC146" s="587"/>
      <c r="AD146" s="587"/>
      <c r="AE146" s="587"/>
    </row>
    <row r="147" spans="1:31" ht="12" thickBot="1">
      <c r="A147" s="588" t="s">
        <v>1469</v>
      </c>
      <c r="B147" s="522" t="s">
        <v>436</v>
      </c>
      <c r="C147" s="522" t="s">
        <v>412</v>
      </c>
      <c r="D147" s="522" t="s">
        <v>1008</v>
      </c>
      <c r="E147" s="1013">
        <v>3948</v>
      </c>
      <c r="F147" s="531">
        <v>176153</v>
      </c>
      <c r="G147" s="531">
        <v>44217.62</v>
      </c>
      <c r="H147" s="999">
        <f t="shared" si="10"/>
        <v>11.16</v>
      </c>
      <c r="I147" s="1008">
        <f t="shared" si="8"/>
        <v>44059.68</v>
      </c>
      <c r="J147" s="1005">
        <f>I147/$M93*$M94</f>
        <v>-251.87503057090925</v>
      </c>
      <c r="K147" s="1011">
        <f t="shared" si="9"/>
        <v>3925</v>
      </c>
      <c r="L147" s="999">
        <f>$M94/H147</f>
        <v>-1073.0008960573218</v>
      </c>
      <c r="M147" s="999"/>
      <c r="N147" s="587"/>
      <c r="O147" s="587"/>
      <c r="P147" s="587"/>
      <c r="Q147" s="587"/>
      <c r="R147" s="587"/>
      <c r="S147" s="587"/>
      <c r="T147" s="587"/>
      <c r="U147" s="587"/>
      <c r="V147" s="587"/>
      <c r="W147" s="587"/>
      <c r="X147" s="587"/>
      <c r="Y147" s="587"/>
      <c r="Z147" s="587"/>
      <c r="AA147" s="587"/>
      <c r="AB147" s="587"/>
      <c r="AC147" s="587"/>
      <c r="AD147" s="587"/>
      <c r="AE147" s="587"/>
    </row>
    <row r="148" spans="1:31" ht="12" thickBot="1">
      <c r="A148" s="588" t="s">
        <v>1469</v>
      </c>
      <c r="B148" s="522" t="s">
        <v>436</v>
      </c>
      <c r="C148" s="522" t="s">
        <v>367</v>
      </c>
      <c r="D148" s="522" t="s">
        <v>1009</v>
      </c>
      <c r="E148" s="1012">
        <v>277</v>
      </c>
      <c r="F148" s="525">
        <v>37163</v>
      </c>
      <c r="G148" s="525">
        <v>9159.74</v>
      </c>
      <c r="H148" s="999">
        <f t="shared" si="10"/>
        <v>33.100000000000009</v>
      </c>
      <c r="I148" s="1008">
        <f t="shared" si="8"/>
        <v>9168.7000000000025</v>
      </c>
      <c r="J148" s="1005">
        <f>I148/$M93*$M94</f>
        <v>-52.414511244645816</v>
      </c>
      <c r="K148" s="1011">
        <f t="shared" si="9"/>
        <v>275</v>
      </c>
      <c r="L148" s="999">
        <f>$M94/H148</f>
        <v>-361.7731117824685</v>
      </c>
      <c r="M148" s="999"/>
      <c r="N148" s="587"/>
      <c r="O148" s="587"/>
      <c r="P148" s="587"/>
      <c r="Q148" s="587"/>
      <c r="R148" s="587"/>
      <c r="S148" s="587"/>
      <c r="T148" s="587"/>
      <c r="U148" s="587"/>
      <c r="V148" s="587"/>
      <c r="W148" s="587"/>
      <c r="X148" s="587"/>
      <c r="Y148" s="587"/>
      <c r="Z148" s="587"/>
      <c r="AA148" s="587"/>
      <c r="AB148" s="587"/>
      <c r="AC148" s="587"/>
      <c r="AD148" s="587"/>
      <c r="AE148" s="587"/>
    </row>
    <row r="149" spans="1:31" ht="12" thickBot="1">
      <c r="A149" s="588" t="s">
        <v>1469</v>
      </c>
      <c r="B149" s="522" t="s">
        <v>436</v>
      </c>
      <c r="C149" s="522" t="s">
        <v>330</v>
      </c>
      <c r="D149" s="522" t="s">
        <v>1010</v>
      </c>
      <c r="E149" s="1013">
        <v>53</v>
      </c>
      <c r="F149" s="531">
        <v>21462</v>
      </c>
      <c r="G149" s="531">
        <v>2911.18</v>
      </c>
      <c r="H149" s="999">
        <f t="shared" si="10"/>
        <v>55.250000000000007</v>
      </c>
      <c r="I149" s="1008">
        <f t="shared" si="8"/>
        <v>2928.2500000000005</v>
      </c>
      <c r="J149" s="1005">
        <f>I149/$M93*$M94</f>
        <v>-16.739864163091177</v>
      </c>
      <c r="K149" s="1011">
        <f t="shared" si="9"/>
        <v>53</v>
      </c>
      <c r="L149" s="999">
        <f>$M94/H149</f>
        <v>-216.73647058823005</v>
      </c>
      <c r="M149" s="999"/>
      <c r="N149" s="587"/>
      <c r="O149" s="587"/>
      <c r="P149" s="587"/>
      <c r="Q149" s="587"/>
      <c r="R149" s="587"/>
      <c r="S149" s="587"/>
      <c r="T149" s="587"/>
      <c r="U149" s="587"/>
      <c r="V149" s="587"/>
      <c r="W149" s="587"/>
      <c r="X149" s="587"/>
      <c r="Y149" s="587"/>
      <c r="Z149" s="587"/>
      <c r="AA149" s="587"/>
      <c r="AB149" s="587"/>
      <c r="AC149" s="587"/>
      <c r="AD149" s="587"/>
      <c r="AE149" s="587"/>
    </row>
    <row r="150" spans="1:31" ht="12" thickBot="1">
      <c r="A150" s="588" t="s">
        <v>1469</v>
      </c>
      <c r="B150" s="522" t="s">
        <v>436</v>
      </c>
      <c r="C150" s="522" t="s">
        <v>371</v>
      </c>
      <c r="D150" s="522" t="s">
        <v>1011</v>
      </c>
      <c r="E150" s="1012">
        <v>3656</v>
      </c>
      <c r="F150" s="525">
        <v>101870</v>
      </c>
      <c r="G150" s="525">
        <v>38529.769999999997</v>
      </c>
      <c r="H150" s="999">
        <f t="shared" si="10"/>
        <v>10.49</v>
      </c>
      <c r="I150" s="1008">
        <f t="shared" si="8"/>
        <v>38351.440000000002</v>
      </c>
      <c r="J150" s="1005">
        <f>I150/$M93*$M94</f>
        <v>-219.24285701662816</v>
      </c>
      <c r="K150" s="1011">
        <f t="shared" si="9"/>
        <v>3635</v>
      </c>
      <c r="L150" s="999">
        <f>$M94/H150</f>
        <v>-1141.533841754024</v>
      </c>
      <c r="M150" s="999"/>
      <c r="N150" s="587"/>
      <c r="O150" s="587"/>
      <c r="P150" s="587"/>
      <c r="Q150" s="587"/>
      <c r="R150" s="587"/>
      <c r="S150" s="587"/>
      <c r="T150" s="587"/>
      <c r="U150" s="587"/>
      <c r="V150" s="587"/>
      <c r="W150" s="587"/>
      <c r="X150" s="587"/>
      <c r="Y150" s="587"/>
      <c r="Z150" s="587"/>
      <c r="AA150" s="587"/>
      <c r="AB150" s="587"/>
      <c r="AC150" s="587"/>
      <c r="AD150" s="587"/>
      <c r="AE150" s="587"/>
    </row>
    <row r="151" spans="1:31" ht="12" thickBot="1">
      <c r="A151" s="588" t="s">
        <v>1469</v>
      </c>
      <c r="B151" s="522" t="s">
        <v>436</v>
      </c>
      <c r="C151" s="522" t="s">
        <v>380</v>
      </c>
      <c r="D151" s="522" t="s">
        <v>1012</v>
      </c>
      <c r="E151" s="1013">
        <v>8687</v>
      </c>
      <c r="F151" s="531">
        <v>334261</v>
      </c>
      <c r="G151" s="531">
        <v>101244.8</v>
      </c>
      <c r="H151" s="999">
        <f t="shared" si="10"/>
        <v>11.600000000000001</v>
      </c>
      <c r="I151" s="1008">
        <f t="shared" si="8"/>
        <v>100769.20000000001</v>
      </c>
      <c r="J151" s="1005">
        <f>I151/$M93*$M94</f>
        <v>-576.06513099064875</v>
      </c>
      <c r="K151" s="1011">
        <f t="shared" si="9"/>
        <v>8637</v>
      </c>
      <c r="L151" s="999">
        <f>$M94/H151</f>
        <v>-1032.3008620689404</v>
      </c>
      <c r="M151" s="999"/>
      <c r="N151" s="587"/>
      <c r="O151" s="587"/>
      <c r="P151" s="587"/>
      <c r="Q151" s="587"/>
      <c r="R151" s="587"/>
      <c r="S151" s="587"/>
      <c r="T151" s="587"/>
      <c r="U151" s="587"/>
      <c r="V151" s="587"/>
      <c r="W151" s="587"/>
      <c r="X151" s="587"/>
      <c r="Y151" s="587"/>
      <c r="Z151" s="587"/>
      <c r="AA151" s="587"/>
      <c r="AB151" s="587"/>
      <c r="AC151" s="587"/>
      <c r="AD151" s="587"/>
      <c r="AE151" s="587"/>
    </row>
    <row r="152" spans="1:31" ht="12" thickBot="1">
      <c r="A152" s="588" t="s">
        <v>1469</v>
      </c>
      <c r="B152" s="522" t="s">
        <v>436</v>
      </c>
      <c r="C152" s="522" t="s">
        <v>403</v>
      </c>
      <c r="D152" s="522" t="s">
        <v>1013</v>
      </c>
      <c r="E152" s="1012">
        <v>3353</v>
      </c>
      <c r="F152" s="525">
        <v>168210</v>
      </c>
      <c r="G152" s="525">
        <v>41452.050000000003</v>
      </c>
      <c r="H152" s="999">
        <f t="shared" si="10"/>
        <v>12.3</v>
      </c>
      <c r="I152" s="1008">
        <f t="shared" si="8"/>
        <v>41241.9</v>
      </c>
      <c r="J152" s="1005">
        <f>I152/$M93*$M94</f>
        <v>-235.76668789474598</v>
      </c>
      <c r="K152" s="1011">
        <f t="shared" si="9"/>
        <v>3334</v>
      </c>
      <c r="L152" s="999">
        <f>$M94/H152</f>
        <v>-973.55203252030162</v>
      </c>
      <c r="M152" s="999"/>
      <c r="N152" s="587"/>
      <c r="O152" s="587"/>
      <c r="P152" s="587"/>
      <c r="Q152" s="587"/>
      <c r="R152" s="587"/>
      <c r="S152" s="587"/>
      <c r="T152" s="587"/>
      <c r="U152" s="587"/>
      <c r="V152" s="587"/>
      <c r="W152" s="587"/>
      <c r="X152" s="587"/>
      <c r="Y152" s="587"/>
      <c r="Z152" s="587"/>
      <c r="AA152" s="587"/>
      <c r="AB152" s="587"/>
      <c r="AC152" s="587"/>
      <c r="AD152" s="587"/>
      <c r="AE152" s="587"/>
    </row>
    <row r="153" spans="1:31" ht="12" thickBot="1">
      <c r="A153" s="588" t="s">
        <v>1469</v>
      </c>
      <c r="B153" s="522" t="s">
        <v>436</v>
      </c>
      <c r="C153" s="522" t="s">
        <v>360</v>
      </c>
      <c r="D153" s="522" t="s">
        <v>1014</v>
      </c>
      <c r="E153" s="1013">
        <v>5081</v>
      </c>
      <c r="F153" s="531">
        <v>527294</v>
      </c>
      <c r="G153" s="531">
        <v>88933.27</v>
      </c>
      <c r="H153" s="999">
        <f t="shared" si="10"/>
        <v>17.41</v>
      </c>
      <c r="I153" s="1008">
        <f t="shared" si="8"/>
        <v>88460.21</v>
      </c>
      <c r="J153" s="1005">
        <f>I153/$M93*$M94</f>
        <v>-505.69859104875599</v>
      </c>
      <c r="K153" s="1011">
        <f t="shared" si="9"/>
        <v>5052</v>
      </c>
      <c r="L153" s="999">
        <f>$M94/H153</f>
        <v>-687.8052843193401</v>
      </c>
      <c r="M153" s="999"/>
      <c r="N153" s="587"/>
      <c r="O153" s="587"/>
      <c r="P153" s="587"/>
      <c r="Q153" s="587"/>
      <c r="R153" s="587"/>
      <c r="S153" s="587"/>
      <c r="T153" s="587"/>
      <c r="U153" s="587"/>
      <c r="V153" s="587"/>
      <c r="W153" s="587"/>
      <c r="X153" s="587"/>
      <c r="Y153" s="587"/>
      <c r="Z153" s="587"/>
      <c r="AA153" s="587"/>
      <c r="AB153" s="587"/>
      <c r="AC153" s="587"/>
      <c r="AD153" s="587"/>
      <c r="AE153" s="587"/>
    </row>
    <row r="154" spans="1:31" ht="12" thickBot="1">
      <c r="A154" s="588" t="s">
        <v>1469</v>
      </c>
      <c r="B154" s="522" t="s">
        <v>436</v>
      </c>
      <c r="C154" s="522" t="s">
        <v>392</v>
      </c>
      <c r="D154" s="522" t="s">
        <v>1015</v>
      </c>
      <c r="E154" s="1012">
        <v>511</v>
      </c>
      <c r="F154" s="525">
        <v>103042</v>
      </c>
      <c r="G154" s="525">
        <v>12547.98</v>
      </c>
      <c r="H154" s="999">
        <f t="shared" si="10"/>
        <v>24.46</v>
      </c>
      <c r="I154" s="1008">
        <f t="shared" si="8"/>
        <v>12499.060000000001</v>
      </c>
      <c r="J154" s="1005">
        <f>I154/$M93*$M94</f>
        <v>-71.453109046811718</v>
      </c>
      <c r="K154" s="1011">
        <f t="shared" si="9"/>
        <v>508</v>
      </c>
      <c r="L154" s="999">
        <f>$M94/H154</f>
        <v>-489.56214227308709</v>
      </c>
      <c r="M154" s="999"/>
      <c r="N154" s="587"/>
      <c r="O154" s="587"/>
      <c r="P154" s="587"/>
      <c r="Q154" s="587"/>
      <c r="R154" s="587"/>
      <c r="S154" s="587"/>
      <c r="T154" s="587"/>
      <c r="U154" s="587"/>
      <c r="V154" s="587"/>
      <c r="W154" s="587"/>
      <c r="X154" s="587"/>
      <c r="Y154" s="587"/>
      <c r="Z154" s="587"/>
      <c r="AA154" s="587"/>
      <c r="AB154" s="587"/>
      <c r="AC154" s="587"/>
      <c r="AD154" s="587"/>
      <c r="AE154" s="587"/>
    </row>
    <row r="155" spans="1:31" ht="12" thickBot="1">
      <c r="A155" s="588" t="s">
        <v>1469</v>
      </c>
      <c r="B155" s="522" t="s">
        <v>436</v>
      </c>
      <c r="C155" s="522" t="s">
        <v>390</v>
      </c>
      <c r="D155" s="522" t="s">
        <v>1016</v>
      </c>
      <c r="E155" s="1013">
        <v>4548</v>
      </c>
      <c r="F155" s="531">
        <v>175161</v>
      </c>
      <c r="G155" s="531">
        <v>76713.509999999995</v>
      </c>
      <c r="H155" s="999">
        <f t="shared" ref="H155:H171" si="11">SUMIF(_Lights_Tariff_Category,20140101&amp;$C155,_Lights_Rates)</f>
        <v>16.79</v>
      </c>
      <c r="I155" s="1008">
        <f t="shared" ref="I155:I170" si="12">E155*H155</f>
        <v>76360.92</v>
      </c>
      <c r="J155" s="1005">
        <f>I155/$M93*$M94</f>
        <v>-436.53083861305288</v>
      </c>
      <c r="K155" s="1011">
        <f t="shared" ref="K155:K170" si="13">ROUND((I155+J155)/H155,0)</f>
        <v>4522</v>
      </c>
      <c r="L155" s="999">
        <f>$M94/H155</f>
        <v>-713.20369267419369</v>
      </c>
      <c r="M155" s="999"/>
      <c r="N155" s="587"/>
      <c r="O155" s="587"/>
      <c r="P155" s="587"/>
      <c r="Q155" s="587"/>
      <c r="R155" s="587"/>
      <c r="S155" s="587"/>
      <c r="T155" s="587"/>
      <c r="U155" s="587"/>
      <c r="V155" s="587"/>
      <c r="W155" s="587"/>
      <c r="X155" s="587"/>
      <c r="Y155" s="587"/>
      <c r="Z155" s="587"/>
      <c r="AA155" s="587"/>
      <c r="AB155" s="587"/>
      <c r="AC155" s="587"/>
      <c r="AD155" s="587"/>
      <c r="AE155" s="587"/>
    </row>
    <row r="156" spans="1:31" ht="12" thickBot="1">
      <c r="A156" s="588" t="s">
        <v>1469</v>
      </c>
      <c r="B156" s="522" t="s">
        <v>436</v>
      </c>
      <c r="C156" s="522" t="s">
        <v>414</v>
      </c>
      <c r="D156" s="522" t="s">
        <v>1017</v>
      </c>
      <c r="E156" s="1012">
        <f>1058-1</f>
        <v>1057</v>
      </c>
      <c r="F156" s="525">
        <v>52460</v>
      </c>
      <c r="G156" s="525">
        <v>22291.11</v>
      </c>
      <c r="H156" s="999">
        <f t="shared" si="11"/>
        <v>20.97</v>
      </c>
      <c r="I156" s="1008">
        <f t="shared" si="12"/>
        <v>22165.289999999997</v>
      </c>
      <c r="J156" s="1005">
        <f>I156/$M93*$M94</f>
        <v>-126.71183940425961</v>
      </c>
      <c r="K156" s="1011">
        <f t="shared" si="13"/>
        <v>1051</v>
      </c>
      <c r="L156" s="999">
        <f>$M94/H156</f>
        <v>-571.03910348114982</v>
      </c>
      <c r="M156" s="999"/>
      <c r="N156" s="587"/>
      <c r="O156" s="587"/>
      <c r="P156" s="587"/>
      <c r="Q156" s="587"/>
      <c r="R156" s="587"/>
      <c r="S156" s="587"/>
      <c r="T156" s="587"/>
      <c r="U156" s="587"/>
      <c r="V156" s="587"/>
      <c r="W156" s="587"/>
      <c r="X156" s="587"/>
      <c r="Y156" s="587"/>
      <c r="Z156" s="587"/>
      <c r="AA156" s="587"/>
      <c r="AB156" s="587"/>
      <c r="AC156" s="587"/>
      <c r="AD156" s="587"/>
      <c r="AE156" s="587"/>
    </row>
    <row r="157" spans="1:31" ht="12" thickBot="1">
      <c r="A157" s="588" t="s">
        <v>1469</v>
      </c>
      <c r="B157" s="522" t="s">
        <v>436</v>
      </c>
      <c r="C157" s="522" t="s">
        <v>364</v>
      </c>
      <c r="D157" s="522" t="s">
        <v>1018</v>
      </c>
      <c r="E157" s="1013">
        <v>1389</v>
      </c>
      <c r="F157" s="531">
        <v>139766</v>
      </c>
      <c r="G157" s="531">
        <v>37469.699999999997</v>
      </c>
      <c r="H157" s="999">
        <f t="shared" si="11"/>
        <v>26.86</v>
      </c>
      <c r="I157" s="1008">
        <f t="shared" si="12"/>
        <v>37308.54</v>
      </c>
      <c r="J157" s="1005">
        <f>I157/$M93*$M94</f>
        <v>-213.28093288593993</v>
      </c>
      <c r="K157" s="1011">
        <f t="shared" si="13"/>
        <v>1381</v>
      </c>
      <c r="L157" s="999">
        <f>$M94/H157</f>
        <v>-445.81868950110618</v>
      </c>
      <c r="M157" s="999"/>
      <c r="N157" s="587"/>
      <c r="O157" s="587"/>
      <c r="P157" s="587"/>
      <c r="Q157" s="587"/>
      <c r="R157" s="587"/>
      <c r="S157" s="587"/>
      <c r="T157" s="587"/>
      <c r="U157" s="587"/>
      <c r="V157" s="587"/>
      <c r="W157" s="587"/>
      <c r="X157" s="587"/>
      <c r="Y157" s="587"/>
      <c r="Z157" s="587"/>
      <c r="AA157" s="587"/>
      <c r="AB157" s="587"/>
      <c r="AC157" s="587"/>
      <c r="AD157" s="587"/>
      <c r="AE157" s="587"/>
    </row>
    <row r="158" spans="1:31" ht="12" thickBot="1">
      <c r="A158" s="588" t="s">
        <v>1469</v>
      </c>
      <c r="B158" s="522" t="s">
        <v>436</v>
      </c>
      <c r="C158" s="522" t="s">
        <v>396</v>
      </c>
      <c r="D158" s="522" t="s">
        <v>1019</v>
      </c>
      <c r="E158" s="1012">
        <v>954</v>
      </c>
      <c r="F158" s="525">
        <v>172889</v>
      </c>
      <c r="G158" s="525">
        <v>31331.52</v>
      </c>
      <c r="H158" s="999">
        <f t="shared" si="11"/>
        <v>33.119999999999997</v>
      </c>
      <c r="I158" s="1008">
        <f t="shared" si="12"/>
        <v>31596.479999999996</v>
      </c>
      <c r="J158" s="1005">
        <f>I158/$M93*$M94</f>
        <v>-180.62692161933816</v>
      </c>
      <c r="K158" s="1011">
        <f t="shared" si="13"/>
        <v>949</v>
      </c>
      <c r="L158" s="999">
        <f>$M94/H158</f>
        <v>-361.55464975844541</v>
      </c>
      <c r="M158" s="999"/>
      <c r="N158" s="587"/>
      <c r="O158" s="587"/>
      <c r="P158" s="587"/>
      <c r="Q158" s="587"/>
      <c r="R158" s="587"/>
      <c r="S158" s="587"/>
      <c r="T158" s="587"/>
      <c r="U158" s="587"/>
      <c r="V158" s="587"/>
      <c r="W158" s="587"/>
      <c r="X158" s="587"/>
      <c r="Y158" s="587"/>
      <c r="Z158" s="587"/>
      <c r="AA158" s="587"/>
      <c r="AB158" s="587"/>
      <c r="AC158" s="587"/>
      <c r="AD158" s="587"/>
      <c r="AE158" s="587"/>
    </row>
    <row r="159" spans="1:31" ht="12" thickBot="1">
      <c r="A159" s="588" t="s">
        <v>1469</v>
      </c>
      <c r="B159" s="522" t="s">
        <v>436</v>
      </c>
      <c r="C159" s="522" t="s">
        <v>415</v>
      </c>
      <c r="D159" s="522" t="s">
        <v>1020</v>
      </c>
      <c r="E159" s="1012">
        <v>11147</v>
      </c>
      <c r="F159" s="525">
        <v>487177</v>
      </c>
      <c r="G159" s="525">
        <v>99532.11</v>
      </c>
      <c r="H159" s="999">
        <f t="shared" si="11"/>
        <v>9</v>
      </c>
      <c r="I159" s="1008">
        <f t="shared" si="12"/>
        <v>100323</v>
      </c>
      <c r="J159" s="1005">
        <f>I159/$M93*$M94</f>
        <v>-573.51434899130743</v>
      </c>
      <c r="K159" s="1011">
        <f t="shared" si="13"/>
        <v>11083</v>
      </c>
      <c r="L159" s="999">
        <f>$M94/H159</f>
        <v>-1330.5211111110791</v>
      </c>
      <c r="M159" s="999"/>
      <c r="N159" s="587"/>
      <c r="O159" s="587"/>
      <c r="P159" s="587"/>
      <c r="Q159" s="587"/>
      <c r="R159" s="587"/>
      <c r="S159" s="587"/>
      <c r="T159" s="587"/>
      <c r="U159" s="587"/>
      <c r="V159" s="587"/>
      <c r="W159" s="587"/>
      <c r="X159" s="587"/>
      <c r="Y159" s="587"/>
      <c r="Z159" s="587"/>
      <c r="AA159" s="587"/>
      <c r="AB159" s="587"/>
      <c r="AC159" s="587"/>
      <c r="AD159" s="587"/>
      <c r="AE159" s="587"/>
    </row>
    <row r="160" spans="1:31" ht="12" thickBot="1">
      <c r="A160" s="588" t="s">
        <v>1469</v>
      </c>
      <c r="B160" s="522" t="s">
        <v>436</v>
      </c>
      <c r="C160" s="522" t="s">
        <v>365</v>
      </c>
      <c r="D160" s="522" t="s">
        <v>1021</v>
      </c>
      <c r="E160" s="1012">
        <v>6551</v>
      </c>
      <c r="F160" s="525">
        <v>600357</v>
      </c>
      <c r="G160" s="525">
        <v>89252.36</v>
      </c>
      <c r="H160" s="999">
        <f t="shared" si="11"/>
        <v>13.639999999999999</v>
      </c>
      <c r="I160" s="1008">
        <f t="shared" si="12"/>
        <v>89355.639999999985</v>
      </c>
      <c r="J160" s="1005">
        <f>I160/$M93*$M94</f>
        <v>-510.81747658365106</v>
      </c>
      <c r="K160" s="1011">
        <f t="shared" si="13"/>
        <v>6514</v>
      </c>
      <c r="L160" s="999">
        <f>$M94/H160</f>
        <v>-877.90982404689976</v>
      </c>
      <c r="M160" s="999"/>
      <c r="N160" s="587"/>
      <c r="O160" s="587"/>
      <c r="P160" s="587"/>
      <c r="Q160" s="587"/>
      <c r="R160" s="587"/>
      <c r="S160" s="587"/>
      <c r="T160" s="587"/>
      <c r="U160" s="587"/>
      <c r="V160" s="587"/>
      <c r="W160" s="587"/>
      <c r="X160" s="587"/>
      <c r="Y160" s="587"/>
      <c r="Z160" s="587"/>
      <c r="AA160" s="587"/>
      <c r="AB160" s="587"/>
      <c r="AC160" s="587"/>
      <c r="AD160" s="587"/>
      <c r="AE160" s="587"/>
    </row>
    <row r="161" spans="1:31" ht="12" thickBot="1">
      <c r="A161" s="588" t="s">
        <v>1469</v>
      </c>
      <c r="B161" s="522" t="s">
        <v>436</v>
      </c>
      <c r="C161" s="522" t="s">
        <v>397</v>
      </c>
      <c r="D161" s="522" t="s">
        <v>1022</v>
      </c>
      <c r="E161" s="1012">
        <v>8278</v>
      </c>
      <c r="F161" s="525">
        <v>1482007</v>
      </c>
      <c r="G161" s="525">
        <v>160794.76999999999</v>
      </c>
      <c r="H161" s="999">
        <f t="shared" si="11"/>
        <v>19.46</v>
      </c>
      <c r="I161" s="1008">
        <f t="shared" si="12"/>
        <v>161089.88</v>
      </c>
      <c r="J161" s="1005">
        <f>I161/$M93*$M94</f>
        <v>-920.8990725684821</v>
      </c>
      <c r="K161" s="1011">
        <f t="shared" si="13"/>
        <v>8231</v>
      </c>
      <c r="L161" s="999">
        <f>$M94/H161</f>
        <v>-615.34892086329444</v>
      </c>
      <c r="M161" s="999"/>
      <c r="N161" s="587"/>
      <c r="O161" s="587"/>
      <c r="P161" s="587"/>
      <c r="Q161" s="587"/>
      <c r="R161" s="587"/>
      <c r="S161" s="587"/>
      <c r="T161" s="587"/>
      <c r="U161" s="587"/>
      <c r="V161" s="587"/>
      <c r="W161" s="587"/>
      <c r="X161" s="587"/>
      <c r="Y161" s="587"/>
      <c r="Z161" s="587"/>
      <c r="AA161" s="587"/>
      <c r="AB161" s="587"/>
      <c r="AC161" s="587"/>
      <c r="AD161" s="587"/>
      <c r="AE161" s="587"/>
    </row>
    <row r="162" spans="1:31" ht="12" thickBot="1">
      <c r="A162" s="588" t="s">
        <v>1469</v>
      </c>
      <c r="B162" s="522" t="s">
        <v>436</v>
      </c>
      <c r="C162" s="522" t="s">
        <v>337</v>
      </c>
      <c r="D162" s="522" t="s">
        <v>1023</v>
      </c>
      <c r="E162" s="1012">
        <v>60</v>
      </c>
      <c r="F162" s="525">
        <v>3459</v>
      </c>
      <c r="G162" s="525">
        <v>926.96</v>
      </c>
      <c r="H162" s="999">
        <f t="shared" si="11"/>
        <v>15.47</v>
      </c>
      <c r="I162" s="1008">
        <f t="shared" si="12"/>
        <v>928.2</v>
      </c>
      <c r="J162" s="1005">
        <f>I162/$M93*$M94</f>
        <v>-5.3062210932062595</v>
      </c>
      <c r="K162" s="1011">
        <f t="shared" si="13"/>
        <v>60</v>
      </c>
      <c r="L162" s="999">
        <f>$M94/H162</f>
        <v>-774.05882352939307</v>
      </c>
      <c r="M162" s="999"/>
      <c r="N162" s="587"/>
      <c r="O162" s="587"/>
      <c r="P162" s="587"/>
      <c r="Q162" s="587"/>
      <c r="R162" s="587"/>
      <c r="S162" s="587"/>
      <c r="T162" s="587"/>
      <c r="U162" s="587"/>
      <c r="V162" s="587"/>
      <c r="W162" s="587"/>
      <c r="X162" s="587"/>
      <c r="Y162" s="587"/>
      <c r="Z162" s="587"/>
      <c r="AA162" s="587"/>
      <c r="AB162" s="587"/>
      <c r="AC162" s="587"/>
      <c r="AD162" s="587"/>
      <c r="AE162" s="587"/>
    </row>
    <row r="163" spans="1:31" ht="12" thickBot="1">
      <c r="A163" s="588" t="s">
        <v>1469</v>
      </c>
      <c r="B163" s="522" t="s">
        <v>436</v>
      </c>
      <c r="C163" s="522" t="s">
        <v>369</v>
      </c>
      <c r="D163" s="522" t="s">
        <v>1024</v>
      </c>
      <c r="E163" s="1013">
        <v>302</v>
      </c>
      <c r="F163" s="531">
        <v>39056</v>
      </c>
      <c r="G163" s="531">
        <v>6460.58</v>
      </c>
      <c r="H163" s="999">
        <f t="shared" si="11"/>
        <v>21.930000000000003</v>
      </c>
      <c r="I163" s="1008">
        <f t="shared" si="12"/>
        <v>6622.8600000000006</v>
      </c>
      <c r="J163" s="1005">
        <f>I163/$M93*$M94</f>
        <v>-37.860762151855212</v>
      </c>
      <c r="K163" s="1011">
        <f t="shared" si="13"/>
        <v>300</v>
      </c>
      <c r="L163" s="999">
        <f>$M94/H163</f>
        <v>-546.04149566802141</v>
      </c>
      <c r="M163" s="999"/>
      <c r="N163" s="587"/>
      <c r="O163" s="587"/>
      <c r="P163" s="587"/>
      <c r="Q163" s="587"/>
      <c r="R163" s="587"/>
      <c r="S163" s="587"/>
      <c r="T163" s="587"/>
      <c r="U163" s="587"/>
      <c r="V163" s="587"/>
      <c r="W163" s="587"/>
      <c r="X163" s="587"/>
      <c r="Y163" s="587"/>
      <c r="Z163" s="587"/>
      <c r="AA163" s="587"/>
      <c r="AB163" s="587"/>
      <c r="AC163" s="587"/>
      <c r="AD163" s="587"/>
      <c r="AE163" s="587"/>
    </row>
    <row r="164" spans="1:31" ht="12" thickBot="1">
      <c r="A164" s="588" t="s">
        <v>1469</v>
      </c>
      <c r="B164" s="522" t="s">
        <v>436</v>
      </c>
      <c r="C164" s="522" t="s">
        <v>715</v>
      </c>
      <c r="D164" s="522" t="s">
        <v>1025</v>
      </c>
      <c r="E164" s="1012">
        <v>2</v>
      </c>
      <c r="F164" s="525">
        <v>60</v>
      </c>
      <c r="G164" s="525">
        <v>30.74</v>
      </c>
      <c r="H164" s="999">
        <f t="shared" si="11"/>
        <v>15.370000000000001</v>
      </c>
      <c r="I164" s="1008">
        <f t="shared" si="12"/>
        <v>30.740000000000002</v>
      </c>
      <c r="J164" s="1005">
        <f>I164/$M93*$M94</f>
        <v>-0.17573070071661323</v>
      </c>
      <c r="K164" s="1011">
        <f t="shared" si="13"/>
        <v>2</v>
      </c>
      <c r="L164" s="999">
        <f>$M94/H164</f>
        <v>-779.09499024070988</v>
      </c>
      <c r="M164" s="999"/>
      <c r="N164" s="587"/>
      <c r="O164" s="587"/>
      <c r="P164" s="587"/>
      <c r="Q164" s="587"/>
      <c r="R164" s="587"/>
      <c r="S164" s="587"/>
      <c r="T164" s="587"/>
      <c r="U164" s="587"/>
      <c r="V164" s="587"/>
      <c r="W164" s="587"/>
      <c r="X164" s="587"/>
      <c r="Y164" s="587"/>
      <c r="Z164" s="587"/>
      <c r="AA164" s="587"/>
      <c r="AB164" s="587"/>
      <c r="AC164" s="587"/>
      <c r="AD164" s="587"/>
      <c r="AE164" s="587"/>
    </row>
    <row r="165" spans="1:31" ht="12" thickBot="1">
      <c r="A165" s="588" t="s">
        <v>1469</v>
      </c>
      <c r="B165" s="522" t="s">
        <v>436</v>
      </c>
      <c r="C165" s="522" t="s">
        <v>332</v>
      </c>
      <c r="D165" s="522" t="s">
        <v>1026</v>
      </c>
      <c r="E165" s="1013">
        <v>43</v>
      </c>
      <c r="F165" s="531">
        <v>17544</v>
      </c>
      <c r="G165" s="531">
        <v>1965.1</v>
      </c>
      <c r="H165" s="999">
        <f t="shared" si="11"/>
        <v>45.7</v>
      </c>
      <c r="I165" s="1008">
        <f t="shared" si="12"/>
        <v>1965.1000000000001</v>
      </c>
      <c r="J165" s="1005">
        <f>I165/$M93*$M94</f>
        <v>-11.233845152186619</v>
      </c>
      <c r="K165" s="1011">
        <f t="shared" si="13"/>
        <v>43</v>
      </c>
      <c r="L165" s="999">
        <f>$M94/H165</f>
        <v>-262.02822757110965</v>
      </c>
      <c r="M165" s="999"/>
      <c r="N165" s="587"/>
      <c r="O165" s="587"/>
      <c r="P165" s="587"/>
      <c r="Q165" s="587"/>
      <c r="R165" s="587"/>
      <c r="S165" s="587"/>
      <c r="T165" s="587"/>
      <c r="U165" s="587"/>
      <c r="V165" s="587"/>
      <c r="W165" s="587"/>
      <c r="X165" s="587"/>
      <c r="Y165" s="587"/>
      <c r="Z165" s="587"/>
      <c r="AA165" s="587"/>
      <c r="AB165" s="587"/>
      <c r="AC165" s="587"/>
      <c r="AD165" s="587"/>
      <c r="AE165" s="587"/>
    </row>
    <row r="166" spans="1:31" ht="12" thickBot="1">
      <c r="A166" s="588" t="s">
        <v>1469</v>
      </c>
      <c r="B166" s="522" t="s">
        <v>436</v>
      </c>
      <c r="C166" s="522" t="s">
        <v>334</v>
      </c>
      <c r="D166" s="522" t="s">
        <v>1027</v>
      </c>
      <c r="E166" s="1012">
        <v>179</v>
      </c>
      <c r="F166" s="525">
        <v>10753</v>
      </c>
      <c r="G166" s="525">
        <v>5092.9799999999996</v>
      </c>
      <c r="H166" s="999">
        <f t="shared" si="11"/>
        <v>28.37</v>
      </c>
      <c r="I166" s="1008">
        <f t="shared" si="12"/>
        <v>5078.2300000000005</v>
      </c>
      <c r="J166" s="1005">
        <f>I166/$M93*$M94</f>
        <v>-29.030608858169387</v>
      </c>
      <c r="K166" s="1011">
        <f t="shared" si="13"/>
        <v>178</v>
      </c>
      <c r="L166" s="999">
        <f>$M94/H166</f>
        <v>-422.08988367993339</v>
      </c>
      <c r="M166" s="999"/>
      <c r="N166" s="587"/>
      <c r="O166" s="587"/>
      <c r="P166" s="587"/>
      <c r="Q166" s="587"/>
      <c r="R166" s="587"/>
      <c r="S166" s="587"/>
      <c r="T166" s="587"/>
      <c r="U166" s="587"/>
      <c r="V166" s="587"/>
      <c r="W166" s="587"/>
      <c r="X166" s="587"/>
      <c r="Y166" s="587"/>
      <c r="Z166" s="587"/>
      <c r="AA166" s="587"/>
      <c r="AB166" s="587"/>
      <c r="AC166" s="587"/>
      <c r="AD166" s="587"/>
      <c r="AE166" s="587"/>
    </row>
    <row r="167" spans="1:31" ht="12" thickBot="1">
      <c r="A167" s="588" t="s">
        <v>1469</v>
      </c>
      <c r="B167" s="522" t="s">
        <v>436</v>
      </c>
      <c r="C167" s="522" t="s">
        <v>366</v>
      </c>
      <c r="D167" s="522" t="s">
        <v>1028</v>
      </c>
      <c r="E167" s="1013">
        <v>624</v>
      </c>
      <c r="F167" s="531">
        <v>81325</v>
      </c>
      <c r="G167" s="531">
        <v>21339.18</v>
      </c>
      <c r="H167" s="999">
        <f t="shared" si="11"/>
        <v>34.830000000000005</v>
      </c>
      <c r="I167" s="1008">
        <f t="shared" si="12"/>
        <v>21733.920000000002</v>
      </c>
      <c r="J167" s="1005">
        <f>I167/$M93*$M94</f>
        <v>-124.24583574882287</v>
      </c>
      <c r="K167" s="1011">
        <f t="shared" si="13"/>
        <v>620</v>
      </c>
      <c r="L167" s="999">
        <f>$M94/H167</f>
        <v>-343.80390467986535</v>
      </c>
      <c r="M167" s="999"/>
      <c r="N167" s="587"/>
      <c r="O167" s="587"/>
      <c r="P167" s="587"/>
      <c r="Q167" s="587"/>
      <c r="R167" s="587"/>
      <c r="S167" s="587"/>
      <c r="T167" s="587"/>
      <c r="U167" s="587"/>
      <c r="V167" s="587"/>
      <c r="W167" s="587"/>
      <c r="X167" s="587"/>
      <c r="Y167" s="587"/>
      <c r="Z167" s="587"/>
      <c r="AA167" s="587"/>
      <c r="AB167" s="587"/>
      <c r="AC167" s="587"/>
      <c r="AD167" s="587"/>
      <c r="AE167" s="587"/>
    </row>
    <row r="168" spans="1:31" ht="12" thickBot="1">
      <c r="A168" s="588" t="s">
        <v>1469</v>
      </c>
      <c r="B168" s="522" t="s">
        <v>436</v>
      </c>
      <c r="C168" s="522" t="s">
        <v>329</v>
      </c>
      <c r="D168" s="522" t="s">
        <v>1029</v>
      </c>
      <c r="E168" s="1012">
        <v>156</v>
      </c>
      <c r="F168" s="525">
        <v>64313</v>
      </c>
      <c r="G168" s="525">
        <v>9198.64</v>
      </c>
      <c r="H168" s="999">
        <f t="shared" si="11"/>
        <v>58.59</v>
      </c>
      <c r="I168" s="1008">
        <f t="shared" si="12"/>
        <v>9140.0400000000009</v>
      </c>
      <c r="J168" s="1005">
        <f>I168/$M93*$M94</f>
        <v>-52.250671235454583</v>
      </c>
      <c r="K168" s="1011">
        <f t="shared" si="13"/>
        <v>155</v>
      </c>
      <c r="L168" s="999">
        <f>$M94/H168</f>
        <v>-204.38112305853747</v>
      </c>
      <c r="M168" s="999"/>
      <c r="N168" s="587"/>
      <c r="O168" s="587"/>
      <c r="P168" s="587"/>
      <c r="Q168" s="587"/>
      <c r="R168" s="587"/>
      <c r="S168" s="587"/>
      <c r="T168" s="587"/>
      <c r="U168" s="587"/>
      <c r="V168" s="587"/>
      <c r="W168" s="587"/>
      <c r="X168" s="587"/>
      <c r="Y168" s="587"/>
      <c r="Z168" s="587"/>
      <c r="AA168" s="587"/>
      <c r="AB168" s="587"/>
      <c r="AC168" s="587"/>
      <c r="AD168" s="587"/>
      <c r="AE168" s="587"/>
    </row>
    <row r="169" spans="1:31" ht="12" thickBot="1">
      <c r="A169" s="588" t="s">
        <v>1469</v>
      </c>
      <c r="B169" s="522" t="s">
        <v>436</v>
      </c>
      <c r="C169" s="522" t="s">
        <v>683</v>
      </c>
      <c r="D169" s="522" t="s">
        <v>1047</v>
      </c>
      <c r="E169" s="1013">
        <v>8</v>
      </c>
      <c r="F169" s="531">
        <v>361</v>
      </c>
      <c r="G169" s="531">
        <v>122.8</v>
      </c>
      <c r="H169" s="999">
        <f t="shared" si="11"/>
        <v>15.35</v>
      </c>
      <c r="I169" s="1008">
        <f t="shared" si="12"/>
        <v>122.8</v>
      </c>
      <c r="J169" s="1005">
        <f>I169/$M93*$M94</f>
        <v>-0.70200813428757658</v>
      </c>
      <c r="K169" s="1011">
        <f t="shared" si="13"/>
        <v>8</v>
      </c>
      <c r="L169" s="999">
        <f>$M94/H169</f>
        <v>-780.11009771985096</v>
      </c>
      <c r="M169" s="999"/>
      <c r="N169" s="587"/>
      <c r="O169" s="587"/>
      <c r="P169" s="587"/>
      <c r="Q169" s="587"/>
      <c r="R169" s="587"/>
      <c r="S169" s="587"/>
      <c r="T169" s="587"/>
      <c r="U169" s="587"/>
      <c r="V169" s="587"/>
      <c r="W169" s="587"/>
      <c r="X169" s="587"/>
      <c r="Y169" s="587"/>
      <c r="Z169" s="587"/>
      <c r="AA169" s="587"/>
      <c r="AB169" s="587"/>
      <c r="AC169" s="587"/>
      <c r="AD169" s="587"/>
      <c r="AE169" s="587"/>
    </row>
    <row r="170" spans="1:31" ht="12" thickBot="1">
      <c r="A170" s="588" t="s">
        <v>1469</v>
      </c>
      <c r="B170" s="522" t="s">
        <v>436</v>
      </c>
      <c r="C170" s="522" t="s">
        <v>463</v>
      </c>
      <c r="D170" s="522" t="s">
        <v>1030</v>
      </c>
      <c r="E170" s="1012">
        <v>30</v>
      </c>
      <c r="F170" s="525">
        <v>2984</v>
      </c>
      <c r="G170" s="525">
        <v>531.6</v>
      </c>
      <c r="H170" s="999">
        <f t="shared" si="11"/>
        <v>17.72</v>
      </c>
      <c r="I170" s="1008">
        <f t="shared" si="12"/>
        <v>531.59999999999991</v>
      </c>
      <c r="J170" s="1005">
        <f>I170/$M93*$M94</f>
        <v>-3.0389863533165768</v>
      </c>
      <c r="K170" s="1011">
        <f t="shared" si="13"/>
        <v>30</v>
      </c>
      <c r="L170" s="999">
        <f>$M94/H170</f>
        <v>-675.77257336341495</v>
      </c>
      <c r="M170" s="999"/>
      <c r="N170" s="587"/>
      <c r="O170" s="587"/>
      <c r="P170" s="587"/>
      <c r="Q170" s="587"/>
      <c r="R170" s="587"/>
      <c r="S170" s="587"/>
      <c r="T170" s="587"/>
      <c r="U170" s="587"/>
      <c r="V170" s="587"/>
      <c r="W170" s="587"/>
      <c r="X170" s="587"/>
      <c r="Y170" s="587"/>
      <c r="Z170" s="587"/>
      <c r="AA170" s="587"/>
      <c r="AB170" s="587"/>
      <c r="AC170" s="587"/>
      <c r="AD170" s="587"/>
      <c r="AE170" s="587"/>
    </row>
    <row r="171" spans="1:31" ht="12" thickBot="1">
      <c r="A171" s="588" t="s">
        <v>1469</v>
      </c>
      <c r="B171" s="522" t="s">
        <v>436</v>
      </c>
      <c r="C171" s="522" t="s">
        <v>653</v>
      </c>
      <c r="D171" s="522" t="s">
        <v>1031</v>
      </c>
      <c r="E171" s="1013">
        <v>24</v>
      </c>
      <c r="F171" s="531">
        <v>4253</v>
      </c>
      <c r="G171" s="531">
        <v>515.76</v>
      </c>
      <c r="H171" s="999">
        <f t="shared" si="11"/>
        <v>21.490000000000002</v>
      </c>
      <c r="I171" s="1008">
        <f>E171*H171</f>
        <v>515.76</v>
      </c>
      <c r="J171" s="1005">
        <f>I171/$M94*$M95</f>
        <v>0</v>
      </c>
      <c r="K171" s="1011">
        <f>ROUND((I171+J171)/H171,0)</f>
        <v>24</v>
      </c>
      <c r="L171" s="999">
        <f>$M95/H171</f>
        <v>0</v>
      </c>
      <c r="M171" s="999"/>
      <c r="N171" s="587"/>
      <c r="O171" s="587"/>
      <c r="P171" s="587"/>
      <c r="Q171" s="587"/>
      <c r="R171" s="587"/>
      <c r="S171" s="587"/>
      <c r="T171" s="587"/>
      <c r="U171" s="587"/>
      <c r="V171" s="587"/>
      <c r="W171" s="587"/>
      <c r="X171" s="587"/>
      <c r="Y171" s="587"/>
      <c r="Z171" s="587"/>
      <c r="AA171" s="587"/>
      <c r="AB171" s="587"/>
      <c r="AC171" s="587"/>
      <c r="AD171" s="587"/>
      <c r="AE171" s="587"/>
    </row>
    <row r="172" spans="1:31" ht="12" thickBot="1">
      <c r="A172" s="588" t="s">
        <v>1469</v>
      </c>
      <c r="B172" s="522" t="s">
        <v>436</v>
      </c>
      <c r="C172" s="543" t="s">
        <v>9</v>
      </c>
      <c r="D172" s="544"/>
      <c r="E172" s="539">
        <f>SUM(E91:E171)</f>
        <v>168707</v>
      </c>
      <c r="F172" s="540">
        <v>12025776</v>
      </c>
      <c r="G172" s="540">
        <f>SUM(G91:G171)</f>
        <v>2094212.4300000009</v>
      </c>
      <c r="H172" s="999"/>
      <c r="I172" s="1005">
        <f>SUM(I91:I171)</f>
        <v>2094693.5799999998</v>
      </c>
      <c r="J172" s="1005">
        <f>SUM(J91:J171)</f>
        <v>-11971.741565835702</v>
      </c>
      <c r="K172" s="1011">
        <f>SUM(K91:K171)</f>
        <v>167744</v>
      </c>
      <c r="L172" s="999"/>
      <c r="M172" s="999"/>
      <c r="N172" s="587"/>
      <c r="O172" s="587"/>
      <c r="P172" s="587"/>
      <c r="Q172" s="587"/>
      <c r="R172" s="587"/>
      <c r="S172" s="587"/>
      <c r="T172" s="587"/>
      <c r="U172" s="587"/>
    </row>
    <row r="173" spans="1:31" ht="12" thickBot="1">
      <c r="A173" s="583"/>
      <c r="B173" s="590"/>
      <c r="C173" s="584"/>
      <c r="D173" s="541"/>
      <c r="E173" s="522"/>
      <c r="F173" s="522"/>
      <c r="G173" s="522"/>
      <c r="H173" s="999"/>
      <c r="J173" s="999"/>
      <c r="K173" s="999"/>
      <c r="L173" s="999"/>
      <c r="M173" s="999"/>
      <c r="N173" s="587"/>
      <c r="O173" s="587"/>
      <c r="P173" s="587"/>
      <c r="Q173" s="587"/>
      <c r="R173" s="587"/>
      <c r="S173" s="587"/>
      <c r="T173" s="587"/>
      <c r="U173" s="587"/>
    </row>
    <row r="174" spans="1:31" ht="12" thickBot="1">
      <c r="A174" s="522" t="s">
        <v>0</v>
      </c>
      <c r="B174" s="522" t="s">
        <v>75</v>
      </c>
      <c r="C174" s="522" t="s">
        <v>6</v>
      </c>
      <c r="D174" s="557"/>
      <c r="E174" s="541"/>
      <c r="F174" s="541"/>
      <c r="G174" s="541"/>
      <c r="H174" s="999"/>
      <c r="I174" s="999"/>
      <c r="J174" s="999"/>
      <c r="K174" s="999"/>
      <c r="L174" s="999"/>
      <c r="M174" s="999"/>
      <c r="N174" s="587"/>
      <c r="O174" s="587"/>
      <c r="P174" s="587"/>
      <c r="Q174" s="587"/>
      <c r="R174" s="587"/>
      <c r="S174" s="587"/>
      <c r="T174" s="587"/>
      <c r="U174" s="587"/>
    </row>
    <row r="175" spans="1:31" ht="12" thickBot="1">
      <c r="A175" s="588" t="s">
        <v>1360</v>
      </c>
      <c r="B175" s="522" t="s">
        <v>436</v>
      </c>
      <c r="C175" s="522" t="s">
        <v>449</v>
      </c>
      <c r="D175" s="522" t="s">
        <v>448</v>
      </c>
      <c r="E175" s="524">
        <v>2</v>
      </c>
      <c r="F175" s="525">
        <v>136</v>
      </c>
      <c r="G175" s="525">
        <v>19.04</v>
      </c>
      <c r="H175" s="999"/>
      <c r="I175" s="999"/>
      <c r="J175" s="999"/>
      <c r="K175" s="999"/>
      <c r="L175" s="999"/>
      <c r="M175" s="999"/>
      <c r="N175" s="587"/>
      <c r="O175" s="587"/>
      <c r="P175" s="587"/>
      <c r="Q175" s="587"/>
      <c r="R175" s="587"/>
      <c r="S175" s="587"/>
      <c r="T175" s="587"/>
      <c r="U175" s="587"/>
    </row>
    <row r="176" spans="1:31" ht="12" thickBot="1">
      <c r="A176" s="588" t="s">
        <v>1360</v>
      </c>
      <c r="B176" s="522" t="s">
        <v>436</v>
      </c>
      <c r="C176" s="522" t="s">
        <v>447</v>
      </c>
      <c r="D176" s="522" t="s">
        <v>446</v>
      </c>
      <c r="E176" s="530">
        <v>1</v>
      </c>
      <c r="F176" s="531">
        <v>38</v>
      </c>
      <c r="G176" s="531">
        <v>6.9</v>
      </c>
      <c r="H176" s="999"/>
      <c r="I176" s="999"/>
      <c r="J176" s="999"/>
      <c r="K176" s="999"/>
      <c r="L176" s="999"/>
      <c r="M176" s="999"/>
      <c r="N176" s="587"/>
      <c r="O176" s="587"/>
      <c r="P176" s="587"/>
      <c r="Q176" s="587"/>
      <c r="R176" s="587"/>
      <c r="S176" s="587"/>
      <c r="T176" s="587"/>
      <c r="U176" s="587"/>
    </row>
    <row r="177" spans="1:21" ht="12" thickBot="1">
      <c r="A177" s="588" t="s">
        <v>1360</v>
      </c>
      <c r="B177" s="522" t="s">
        <v>436</v>
      </c>
      <c r="C177" s="522" t="s">
        <v>339</v>
      </c>
      <c r="D177" s="522" t="s">
        <v>952</v>
      </c>
      <c r="E177" s="524">
        <v>178</v>
      </c>
      <c r="F177" s="525">
        <v>11853</v>
      </c>
      <c r="G177" s="525">
        <v>9848.74</v>
      </c>
      <c r="H177" s="999"/>
      <c r="I177" s="999"/>
      <c r="J177" s="999"/>
      <c r="K177" s="999"/>
      <c r="L177" s="999"/>
      <c r="M177" s="999"/>
      <c r="N177" s="587"/>
      <c r="O177" s="587"/>
      <c r="P177" s="587"/>
      <c r="Q177" s="587"/>
      <c r="R177" s="587"/>
      <c r="S177" s="587"/>
      <c r="T177" s="587"/>
      <c r="U177" s="587"/>
    </row>
    <row r="178" spans="1:21" ht="12" thickBot="1">
      <c r="A178" s="588" t="s">
        <v>1360</v>
      </c>
      <c r="B178" s="522" t="s">
        <v>436</v>
      </c>
      <c r="C178" s="522" t="s">
        <v>344</v>
      </c>
      <c r="D178" s="522" t="s">
        <v>953</v>
      </c>
      <c r="E178" s="530">
        <v>25</v>
      </c>
      <c r="F178" s="531">
        <v>1650</v>
      </c>
      <c r="G178" s="531">
        <v>2079</v>
      </c>
      <c r="H178" s="999"/>
      <c r="I178" s="999"/>
      <c r="J178" s="999"/>
      <c r="K178" s="999"/>
      <c r="L178" s="999"/>
      <c r="M178" s="999"/>
      <c r="N178" s="587"/>
      <c r="O178" s="587"/>
      <c r="P178" s="587"/>
      <c r="Q178" s="587"/>
      <c r="R178" s="587"/>
      <c r="S178" s="587"/>
      <c r="T178" s="587"/>
      <c r="U178" s="587"/>
    </row>
    <row r="179" spans="1:21" ht="12" thickBot="1">
      <c r="A179" s="588" t="s">
        <v>1360</v>
      </c>
      <c r="B179" s="522" t="s">
        <v>436</v>
      </c>
      <c r="C179" s="522" t="s">
        <v>347</v>
      </c>
      <c r="D179" s="522" t="s">
        <v>954</v>
      </c>
      <c r="E179" s="524">
        <v>43</v>
      </c>
      <c r="F179" s="525">
        <v>2317</v>
      </c>
      <c r="G179" s="525">
        <v>2570.54</v>
      </c>
      <c r="H179" s="999"/>
      <c r="I179" s="999"/>
      <c r="J179" s="999"/>
      <c r="K179" s="999"/>
      <c r="L179" s="999"/>
      <c r="M179" s="999"/>
      <c r="N179" s="587"/>
      <c r="O179" s="587"/>
      <c r="P179" s="587"/>
      <c r="Q179" s="587"/>
      <c r="R179" s="587"/>
      <c r="S179" s="587"/>
      <c r="T179" s="587"/>
      <c r="U179" s="587"/>
    </row>
    <row r="180" spans="1:21" ht="12" thickBot="1">
      <c r="A180" s="588" t="s">
        <v>1360</v>
      </c>
      <c r="B180" s="522" t="s">
        <v>436</v>
      </c>
      <c r="C180" s="522" t="s">
        <v>348</v>
      </c>
      <c r="D180" s="522" t="s">
        <v>955</v>
      </c>
      <c r="E180" s="530">
        <v>5</v>
      </c>
      <c r="F180" s="531">
        <v>325</v>
      </c>
      <c r="G180" s="531">
        <v>308.75</v>
      </c>
      <c r="H180" s="999"/>
      <c r="I180" s="999"/>
      <c r="J180" s="999"/>
      <c r="K180" s="999"/>
      <c r="L180" s="999"/>
      <c r="M180" s="999"/>
      <c r="N180" s="587"/>
      <c r="O180" s="587"/>
      <c r="P180" s="587"/>
      <c r="Q180" s="587"/>
      <c r="R180" s="587"/>
      <c r="S180" s="587"/>
      <c r="T180" s="587"/>
      <c r="U180" s="587"/>
    </row>
    <row r="181" spans="1:21" ht="12" thickBot="1">
      <c r="A181" s="588" t="s">
        <v>1360</v>
      </c>
      <c r="B181" s="522" t="s">
        <v>436</v>
      </c>
      <c r="C181" s="522" t="s">
        <v>349</v>
      </c>
      <c r="D181" s="522" t="s">
        <v>956</v>
      </c>
      <c r="E181" s="524">
        <v>1</v>
      </c>
      <c r="F181" s="525">
        <v>65</v>
      </c>
      <c r="G181" s="525">
        <v>63.11</v>
      </c>
      <c r="H181" s="999"/>
      <c r="I181" s="999"/>
      <c r="J181" s="999"/>
      <c r="K181" s="999"/>
      <c r="L181" s="999"/>
      <c r="M181" s="999"/>
      <c r="N181" s="587"/>
      <c r="O181" s="587"/>
      <c r="P181" s="587"/>
      <c r="Q181" s="587"/>
      <c r="R181" s="587"/>
      <c r="S181" s="587"/>
      <c r="T181" s="587"/>
      <c r="U181" s="587"/>
    </row>
    <row r="182" spans="1:21" ht="12" thickBot="1">
      <c r="A182" s="588" t="s">
        <v>1360</v>
      </c>
      <c r="B182" s="522" t="s">
        <v>436</v>
      </c>
      <c r="C182" s="522" t="s">
        <v>351</v>
      </c>
      <c r="D182" s="522" t="s">
        <v>957</v>
      </c>
      <c r="E182" s="530">
        <v>5</v>
      </c>
      <c r="F182" s="531">
        <v>327</v>
      </c>
      <c r="G182" s="531">
        <v>404.7</v>
      </c>
      <c r="H182" s="999"/>
      <c r="I182" s="999"/>
      <c r="J182" s="999"/>
      <c r="K182" s="999"/>
      <c r="L182" s="999"/>
      <c r="M182" s="999"/>
      <c r="N182" s="587"/>
      <c r="O182" s="587"/>
      <c r="P182" s="587"/>
      <c r="Q182" s="587"/>
      <c r="R182" s="587"/>
      <c r="S182" s="587"/>
      <c r="T182" s="587"/>
      <c r="U182" s="587"/>
    </row>
    <row r="183" spans="1:21" ht="12" thickBot="1">
      <c r="A183" s="588" t="s">
        <v>1360</v>
      </c>
      <c r="B183" s="522" t="s">
        <v>436</v>
      </c>
      <c r="C183" s="522" t="s">
        <v>352</v>
      </c>
      <c r="D183" s="522" t="s">
        <v>958</v>
      </c>
      <c r="E183" s="524">
        <v>9</v>
      </c>
      <c r="F183" s="525">
        <v>587</v>
      </c>
      <c r="G183" s="525">
        <v>710.73</v>
      </c>
      <c r="H183" s="999"/>
      <c r="I183" s="999"/>
      <c r="J183" s="999"/>
      <c r="K183" s="999"/>
      <c r="L183" s="999"/>
      <c r="M183" s="999"/>
      <c r="N183" s="587"/>
      <c r="O183" s="587"/>
      <c r="P183" s="587"/>
      <c r="Q183" s="587"/>
      <c r="R183" s="587"/>
      <c r="S183" s="587"/>
      <c r="T183" s="587"/>
      <c r="U183" s="587"/>
    </row>
    <row r="184" spans="1:21" ht="12" thickBot="1">
      <c r="A184" s="588" t="s">
        <v>1360</v>
      </c>
      <c r="B184" s="522" t="s">
        <v>436</v>
      </c>
      <c r="C184" s="522" t="s">
        <v>354</v>
      </c>
      <c r="D184" s="522" t="s">
        <v>959</v>
      </c>
      <c r="E184" s="530">
        <v>25</v>
      </c>
      <c r="F184" s="531">
        <v>1672</v>
      </c>
      <c r="G184" s="531">
        <v>1530.75</v>
      </c>
      <c r="H184" s="999"/>
      <c r="I184" s="999"/>
      <c r="J184" s="999"/>
      <c r="K184" s="999"/>
      <c r="L184" s="999"/>
      <c r="M184" s="999"/>
      <c r="N184" s="587"/>
      <c r="O184" s="587"/>
      <c r="P184" s="587"/>
      <c r="Q184" s="587"/>
      <c r="R184" s="587"/>
      <c r="S184" s="587"/>
      <c r="T184" s="587"/>
      <c r="U184" s="587"/>
    </row>
    <row r="185" spans="1:21" ht="12" thickBot="1">
      <c r="A185" s="588" t="s">
        <v>1360</v>
      </c>
      <c r="B185" s="522" t="s">
        <v>436</v>
      </c>
      <c r="C185" s="522" t="s">
        <v>355</v>
      </c>
      <c r="D185" s="522" t="s">
        <v>960</v>
      </c>
      <c r="E185" s="524">
        <v>1</v>
      </c>
      <c r="F185" s="525">
        <v>65</v>
      </c>
      <c r="G185" s="525">
        <v>56.69</v>
      </c>
      <c r="H185" s="999"/>
      <c r="I185" s="999"/>
      <c r="J185" s="999"/>
      <c r="K185" s="999"/>
      <c r="L185" s="999"/>
      <c r="M185" s="999"/>
      <c r="N185" s="587"/>
      <c r="O185" s="587"/>
      <c r="P185" s="587"/>
      <c r="Q185" s="587"/>
      <c r="R185" s="587"/>
      <c r="S185" s="587"/>
      <c r="T185" s="587"/>
      <c r="U185" s="587"/>
    </row>
    <row r="186" spans="1:21" ht="12" thickBot="1">
      <c r="A186" s="588" t="s">
        <v>1360</v>
      </c>
      <c r="B186" s="522" t="s">
        <v>436</v>
      </c>
      <c r="C186" s="522" t="s">
        <v>341</v>
      </c>
      <c r="D186" s="522" t="s">
        <v>961</v>
      </c>
      <c r="E186" s="530">
        <v>15</v>
      </c>
      <c r="F186" s="531">
        <v>985</v>
      </c>
      <c r="G186" s="531">
        <v>1117.8</v>
      </c>
      <c r="H186" s="999"/>
      <c r="I186" s="999"/>
      <c r="J186" s="999"/>
      <c r="K186" s="999"/>
      <c r="L186" s="999"/>
      <c r="M186" s="999"/>
      <c r="N186" s="587"/>
      <c r="O186" s="587"/>
      <c r="P186" s="587"/>
      <c r="Q186" s="587"/>
      <c r="R186" s="587"/>
      <c r="S186" s="587"/>
      <c r="T186" s="587"/>
      <c r="U186" s="587"/>
    </row>
    <row r="187" spans="1:21" ht="12" thickBot="1">
      <c r="A187" s="588" t="s">
        <v>1360</v>
      </c>
      <c r="B187" s="522" t="s">
        <v>436</v>
      </c>
      <c r="C187" s="522" t="s">
        <v>350</v>
      </c>
      <c r="D187" s="522" t="s">
        <v>962</v>
      </c>
      <c r="E187" s="524">
        <v>1</v>
      </c>
      <c r="F187" s="525">
        <v>65</v>
      </c>
      <c r="G187" s="525">
        <v>82.3</v>
      </c>
      <c r="H187" s="999"/>
      <c r="I187" s="999"/>
      <c r="J187" s="999"/>
      <c r="K187" s="999"/>
      <c r="L187" s="999"/>
      <c r="M187" s="999"/>
      <c r="N187" s="587"/>
      <c r="O187" s="587"/>
      <c r="P187" s="587"/>
      <c r="Q187" s="587"/>
      <c r="R187" s="587"/>
      <c r="S187" s="587"/>
      <c r="T187" s="587"/>
      <c r="U187" s="587"/>
    </row>
    <row r="188" spans="1:21" ht="12" thickBot="1">
      <c r="A188" s="588" t="s">
        <v>1360</v>
      </c>
      <c r="B188" s="522" t="s">
        <v>436</v>
      </c>
      <c r="C188" s="522" t="s">
        <v>342</v>
      </c>
      <c r="D188" s="522" t="s">
        <v>963</v>
      </c>
      <c r="E188" s="530">
        <v>20</v>
      </c>
      <c r="F188" s="531">
        <v>1339</v>
      </c>
      <c r="G188" s="531">
        <v>1490.4</v>
      </c>
      <c r="H188" s="999"/>
      <c r="I188" s="999"/>
      <c r="J188" s="999"/>
      <c r="K188" s="999"/>
      <c r="L188" s="999"/>
      <c r="M188" s="999"/>
      <c r="N188" s="587"/>
      <c r="O188" s="587"/>
      <c r="P188" s="587"/>
      <c r="Q188" s="587"/>
      <c r="R188" s="587"/>
      <c r="S188" s="587"/>
      <c r="T188" s="587"/>
      <c r="U188" s="587"/>
    </row>
    <row r="189" spans="1:21" ht="12" thickBot="1">
      <c r="A189" s="588" t="s">
        <v>1360</v>
      </c>
      <c r="B189" s="522" t="s">
        <v>436</v>
      </c>
      <c r="C189" s="522" t="s">
        <v>346</v>
      </c>
      <c r="D189" s="522" t="s">
        <v>964</v>
      </c>
      <c r="E189" s="524">
        <v>4</v>
      </c>
      <c r="F189" s="525">
        <v>264</v>
      </c>
      <c r="G189" s="525">
        <v>303.52</v>
      </c>
      <c r="H189" s="999"/>
      <c r="I189" s="999"/>
      <c r="J189" s="999"/>
      <c r="K189" s="999"/>
      <c r="L189" s="999"/>
      <c r="M189" s="999"/>
      <c r="N189" s="587"/>
      <c r="O189" s="587"/>
      <c r="P189" s="587"/>
      <c r="Q189" s="587"/>
      <c r="R189" s="587"/>
      <c r="S189" s="587"/>
      <c r="T189" s="587"/>
      <c r="U189" s="587"/>
    </row>
    <row r="190" spans="1:21" ht="12" thickBot="1">
      <c r="A190" s="588" t="s">
        <v>1360</v>
      </c>
      <c r="B190" s="522" t="s">
        <v>436</v>
      </c>
      <c r="C190" s="522" t="s">
        <v>353</v>
      </c>
      <c r="D190" s="522" t="s">
        <v>965</v>
      </c>
      <c r="E190" s="530">
        <v>3</v>
      </c>
      <c r="F190" s="531">
        <v>201</v>
      </c>
      <c r="G190" s="531">
        <v>236.91</v>
      </c>
      <c r="H190" s="999"/>
      <c r="I190" s="999"/>
      <c r="J190" s="999"/>
      <c r="K190" s="999"/>
      <c r="L190" s="999"/>
      <c r="M190" s="999"/>
      <c r="N190" s="587"/>
      <c r="O190" s="587"/>
      <c r="P190" s="587"/>
      <c r="Q190" s="587"/>
      <c r="R190" s="587"/>
      <c r="S190" s="587"/>
      <c r="T190" s="587"/>
      <c r="U190" s="587"/>
    </row>
    <row r="191" spans="1:21" ht="12" thickBot="1">
      <c r="A191" s="588" t="s">
        <v>1360</v>
      </c>
      <c r="B191" s="522" t="s">
        <v>436</v>
      </c>
      <c r="C191" s="522" t="s">
        <v>345</v>
      </c>
      <c r="D191" s="522" t="s">
        <v>966</v>
      </c>
      <c r="E191" s="524">
        <v>2</v>
      </c>
      <c r="F191" s="525">
        <v>134</v>
      </c>
      <c r="G191" s="525">
        <v>154.52000000000001</v>
      </c>
      <c r="H191" s="999"/>
      <c r="I191" s="999"/>
      <c r="J191" s="999"/>
      <c r="K191" s="999"/>
      <c r="L191" s="999"/>
      <c r="M191" s="999"/>
      <c r="N191" s="587"/>
      <c r="O191" s="587"/>
      <c r="P191" s="587"/>
      <c r="Q191" s="587"/>
      <c r="R191" s="587"/>
      <c r="S191" s="587"/>
      <c r="T191" s="587"/>
      <c r="U191" s="587"/>
    </row>
    <row r="192" spans="1:21" ht="12" thickBot="1">
      <c r="A192" s="588" t="s">
        <v>1360</v>
      </c>
      <c r="B192" s="522" t="s">
        <v>436</v>
      </c>
      <c r="C192" s="522" t="s">
        <v>343</v>
      </c>
      <c r="D192" s="522" t="s">
        <v>967</v>
      </c>
      <c r="E192" s="530">
        <v>51</v>
      </c>
      <c r="F192" s="531">
        <v>3393</v>
      </c>
      <c r="G192" s="531">
        <v>3273.69</v>
      </c>
      <c r="H192" s="999"/>
      <c r="I192" s="999"/>
      <c r="J192" s="999"/>
      <c r="K192" s="999"/>
      <c r="L192" s="999"/>
      <c r="M192" s="999"/>
      <c r="N192" s="587"/>
      <c r="O192" s="587"/>
      <c r="P192" s="587"/>
      <c r="Q192" s="587"/>
      <c r="R192" s="587"/>
      <c r="S192" s="587"/>
      <c r="T192" s="587"/>
      <c r="U192" s="587"/>
    </row>
    <row r="193" spans="1:21" ht="12" thickBot="1">
      <c r="A193" s="588" t="s">
        <v>1360</v>
      </c>
      <c r="B193" s="522" t="s">
        <v>436</v>
      </c>
      <c r="C193" s="522" t="s">
        <v>472</v>
      </c>
      <c r="D193" s="522" t="s">
        <v>968</v>
      </c>
      <c r="E193" s="524">
        <v>2</v>
      </c>
      <c r="F193" s="525">
        <v>140</v>
      </c>
      <c r="G193" s="525">
        <v>151.80000000000001</v>
      </c>
      <c r="H193" s="999"/>
      <c r="I193" s="999"/>
      <c r="J193" s="999"/>
      <c r="K193" s="999"/>
      <c r="L193" s="999"/>
      <c r="M193" s="999"/>
      <c r="N193" s="587"/>
      <c r="O193" s="587"/>
      <c r="P193" s="587"/>
      <c r="Q193" s="587"/>
      <c r="R193" s="587"/>
      <c r="S193" s="587"/>
      <c r="T193" s="587"/>
      <c r="U193" s="587"/>
    </row>
    <row r="194" spans="1:21" ht="12" thickBot="1">
      <c r="A194" s="588" t="s">
        <v>1360</v>
      </c>
      <c r="B194" s="522" t="s">
        <v>436</v>
      </c>
      <c r="C194" s="522" t="s">
        <v>382</v>
      </c>
      <c r="D194" s="522" t="s">
        <v>969</v>
      </c>
      <c r="E194" s="530">
        <v>52</v>
      </c>
      <c r="F194" s="531">
        <v>1565</v>
      </c>
      <c r="G194" s="531">
        <v>772.72</v>
      </c>
      <c r="H194" s="999"/>
      <c r="I194" s="999"/>
      <c r="J194" s="999"/>
      <c r="K194" s="999"/>
      <c r="L194" s="999"/>
      <c r="M194" s="999"/>
      <c r="N194" s="587"/>
      <c r="O194" s="587"/>
      <c r="P194" s="587"/>
      <c r="Q194" s="587"/>
      <c r="R194" s="587"/>
      <c r="S194" s="587"/>
      <c r="T194" s="587"/>
      <c r="U194" s="587"/>
    </row>
    <row r="195" spans="1:21" ht="12" thickBot="1">
      <c r="A195" s="588" t="s">
        <v>1360</v>
      </c>
      <c r="B195" s="522" t="s">
        <v>436</v>
      </c>
      <c r="C195" s="522" t="s">
        <v>402</v>
      </c>
      <c r="D195" s="522" t="s">
        <v>970</v>
      </c>
      <c r="E195" s="524">
        <v>7282</v>
      </c>
      <c r="F195" s="525">
        <v>530883</v>
      </c>
      <c r="G195" s="525">
        <v>76177.45</v>
      </c>
      <c r="H195" s="999"/>
      <c r="I195" s="999"/>
      <c r="J195" s="999"/>
      <c r="K195" s="999"/>
      <c r="L195" s="999"/>
      <c r="M195" s="999"/>
      <c r="N195" s="587"/>
      <c r="O195" s="587"/>
      <c r="P195" s="587"/>
      <c r="Q195" s="587"/>
      <c r="R195" s="587"/>
      <c r="S195" s="587"/>
      <c r="T195" s="587"/>
      <c r="U195" s="587"/>
    </row>
    <row r="196" spans="1:21" ht="12" thickBot="1">
      <c r="A196" s="588" t="s">
        <v>1360</v>
      </c>
      <c r="B196" s="522" t="s">
        <v>436</v>
      </c>
      <c r="C196" s="522" t="s">
        <v>398</v>
      </c>
      <c r="D196" s="522" t="s">
        <v>971</v>
      </c>
      <c r="E196" s="530">
        <v>143</v>
      </c>
      <c r="F196" s="531">
        <v>23606</v>
      </c>
      <c r="G196" s="531">
        <v>1674.53</v>
      </c>
      <c r="H196" s="999"/>
      <c r="I196" s="999"/>
      <c r="J196" s="999"/>
      <c r="K196" s="999"/>
      <c r="L196" s="999"/>
      <c r="M196" s="999"/>
      <c r="N196" s="587"/>
      <c r="O196" s="587"/>
      <c r="P196" s="587"/>
      <c r="Q196" s="587"/>
      <c r="R196" s="587"/>
      <c r="S196" s="587"/>
      <c r="T196" s="587"/>
      <c r="U196" s="587"/>
    </row>
    <row r="197" spans="1:21" ht="12" thickBot="1">
      <c r="A197" s="588" t="s">
        <v>1360</v>
      </c>
      <c r="B197" s="522" t="s">
        <v>436</v>
      </c>
      <c r="C197" s="522" t="s">
        <v>376</v>
      </c>
      <c r="D197" s="522" t="s">
        <v>972</v>
      </c>
      <c r="E197" s="530">
        <v>240</v>
      </c>
      <c r="F197" s="531">
        <v>5403</v>
      </c>
      <c r="G197" s="531">
        <v>4862.41</v>
      </c>
      <c r="H197" s="999"/>
      <c r="I197" s="999"/>
      <c r="J197" s="999"/>
      <c r="K197" s="999"/>
      <c r="L197" s="999"/>
      <c r="M197" s="999"/>
      <c r="N197" s="587"/>
      <c r="O197" s="587"/>
      <c r="P197" s="587"/>
      <c r="Q197" s="587"/>
      <c r="R197" s="587"/>
      <c r="S197" s="587"/>
      <c r="T197" s="587"/>
      <c r="U197" s="587"/>
    </row>
    <row r="198" spans="1:21" ht="12" thickBot="1">
      <c r="A198" s="588" t="s">
        <v>1360</v>
      </c>
      <c r="B198" s="522" t="s">
        <v>436</v>
      </c>
      <c r="C198" s="522" t="s">
        <v>384</v>
      </c>
      <c r="D198" s="522" t="s">
        <v>973</v>
      </c>
      <c r="E198" s="524">
        <v>145</v>
      </c>
      <c r="F198" s="525">
        <v>4424</v>
      </c>
      <c r="G198" s="525">
        <v>3100.1</v>
      </c>
      <c r="H198" s="999"/>
      <c r="I198" s="999"/>
      <c r="J198" s="999"/>
      <c r="K198" s="999"/>
      <c r="L198" s="999"/>
      <c r="M198" s="999"/>
      <c r="N198" s="587"/>
      <c r="O198" s="587"/>
      <c r="P198" s="587"/>
      <c r="Q198" s="587"/>
      <c r="R198" s="587"/>
      <c r="S198" s="587"/>
      <c r="T198" s="587"/>
      <c r="U198" s="587"/>
    </row>
    <row r="199" spans="1:21" ht="12" thickBot="1">
      <c r="A199" s="588" t="s">
        <v>1360</v>
      </c>
      <c r="B199" s="522" t="s">
        <v>436</v>
      </c>
      <c r="C199" s="522" t="s">
        <v>386</v>
      </c>
      <c r="D199" s="522" t="s">
        <v>974</v>
      </c>
      <c r="E199" s="530">
        <v>28</v>
      </c>
      <c r="F199" s="531">
        <v>908</v>
      </c>
      <c r="G199" s="531">
        <v>863.52</v>
      </c>
      <c r="H199" s="999"/>
      <c r="I199" s="999"/>
      <c r="J199" s="999"/>
      <c r="K199" s="999"/>
      <c r="L199" s="999"/>
      <c r="M199" s="999"/>
      <c r="N199" s="587"/>
      <c r="O199" s="587"/>
      <c r="P199" s="587"/>
      <c r="Q199" s="587"/>
      <c r="R199" s="587"/>
      <c r="S199" s="587"/>
      <c r="T199" s="587"/>
      <c r="U199" s="587"/>
    </row>
    <row r="200" spans="1:21" ht="12" thickBot="1">
      <c r="A200" s="588" t="s">
        <v>1360</v>
      </c>
      <c r="B200" s="522" t="s">
        <v>436</v>
      </c>
      <c r="C200" s="522" t="s">
        <v>409</v>
      </c>
      <c r="D200" s="522" t="s">
        <v>975</v>
      </c>
      <c r="E200" s="524">
        <v>96</v>
      </c>
      <c r="F200" s="525">
        <v>4171</v>
      </c>
      <c r="G200" s="525">
        <v>2997.12</v>
      </c>
      <c r="H200" s="999"/>
      <c r="I200" s="999"/>
      <c r="J200" s="999"/>
      <c r="K200" s="999"/>
      <c r="L200" s="999"/>
      <c r="M200" s="999"/>
      <c r="N200" s="587"/>
      <c r="O200" s="587"/>
      <c r="P200" s="587"/>
      <c r="Q200" s="587"/>
      <c r="R200" s="587"/>
      <c r="S200" s="587"/>
      <c r="T200" s="587"/>
      <c r="U200" s="587"/>
    </row>
    <row r="201" spans="1:21" ht="12" thickBot="1">
      <c r="A201" s="588" t="s">
        <v>1360</v>
      </c>
      <c r="B201" s="522" t="s">
        <v>436</v>
      </c>
      <c r="C201" s="522" t="s">
        <v>387</v>
      </c>
      <c r="D201" s="522" t="s">
        <v>976</v>
      </c>
      <c r="E201" s="530">
        <v>21</v>
      </c>
      <c r="F201" s="531">
        <v>624</v>
      </c>
      <c r="G201" s="531">
        <v>647.64</v>
      </c>
      <c r="H201" s="999"/>
      <c r="I201" s="999"/>
      <c r="J201" s="999"/>
      <c r="K201" s="999"/>
      <c r="L201" s="999"/>
      <c r="M201" s="999"/>
      <c r="N201" s="587"/>
      <c r="O201" s="587"/>
      <c r="P201" s="587"/>
      <c r="Q201" s="587"/>
      <c r="R201" s="587"/>
      <c r="S201" s="587"/>
      <c r="T201" s="587"/>
      <c r="U201" s="587"/>
    </row>
    <row r="202" spans="1:21" ht="12" thickBot="1">
      <c r="A202" s="588" t="s">
        <v>1360</v>
      </c>
      <c r="B202" s="522" t="s">
        <v>436</v>
      </c>
      <c r="C202" s="522" t="s">
        <v>410</v>
      </c>
      <c r="D202" s="522" t="s">
        <v>977</v>
      </c>
      <c r="E202" s="524">
        <v>10</v>
      </c>
      <c r="F202" s="525">
        <v>419</v>
      </c>
      <c r="G202" s="525">
        <v>312.2</v>
      </c>
      <c r="H202" s="999"/>
      <c r="I202" s="999"/>
      <c r="J202" s="999"/>
      <c r="K202" s="999"/>
      <c r="L202" s="999"/>
      <c r="M202" s="999"/>
      <c r="N202" s="587"/>
      <c r="O202" s="587"/>
      <c r="P202" s="587"/>
      <c r="Q202" s="587"/>
      <c r="R202" s="587"/>
      <c r="S202" s="587"/>
      <c r="T202" s="587"/>
      <c r="U202" s="587"/>
    </row>
    <row r="203" spans="1:21" ht="12" thickBot="1">
      <c r="A203" s="588" t="s">
        <v>1360</v>
      </c>
      <c r="B203" s="522" t="s">
        <v>436</v>
      </c>
      <c r="C203" s="522" t="s">
        <v>405</v>
      </c>
      <c r="D203" s="522" t="s">
        <v>978</v>
      </c>
      <c r="E203" s="530">
        <v>466</v>
      </c>
      <c r="F203" s="531">
        <v>19728</v>
      </c>
      <c r="G203" s="531">
        <v>7133.18</v>
      </c>
      <c r="H203" s="999"/>
      <c r="I203" s="999"/>
      <c r="J203" s="999"/>
      <c r="K203" s="999"/>
      <c r="L203" s="999"/>
      <c r="M203" s="999"/>
      <c r="N203" s="587"/>
      <c r="O203" s="587"/>
      <c r="P203" s="587"/>
      <c r="Q203" s="587"/>
      <c r="R203" s="587"/>
      <c r="S203" s="587"/>
      <c r="T203" s="587"/>
      <c r="U203" s="587"/>
    </row>
    <row r="204" spans="1:21" ht="12" thickBot="1">
      <c r="A204" s="588" t="s">
        <v>1360</v>
      </c>
      <c r="B204" s="522" t="s">
        <v>436</v>
      </c>
      <c r="C204" s="522" t="s">
        <v>326</v>
      </c>
      <c r="D204" s="522" t="s">
        <v>979</v>
      </c>
      <c r="E204" s="524">
        <v>5</v>
      </c>
      <c r="F204" s="525">
        <v>187</v>
      </c>
      <c r="G204" s="525">
        <v>16.95</v>
      </c>
      <c r="H204" s="999"/>
      <c r="I204" s="999"/>
      <c r="J204" s="999"/>
      <c r="K204" s="999"/>
      <c r="L204" s="999"/>
      <c r="M204" s="999"/>
      <c r="N204" s="587"/>
      <c r="O204" s="587"/>
      <c r="P204" s="587"/>
      <c r="Q204" s="587"/>
      <c r="R204" s="587"/>
      <c r="S204" s="587"/>
      <c r="T204" s="587"/>
      <c r="U204" s="587"/>
    </row>
    <row r="205" spans="1:21" ht="12" thickBot="1">
      <c r="A205" s="588" t="s">
        <v>1360</v>
      </c>
      <c r="B205" s="522" t="s">
        <v>436</v>
      </c>
      <c r="C205" s="522" t="s">
        <v>356</v>
      </c>
      <c r="D205" s="522" t="s">
        <v>980</v>
      </c>
      <c r="E205" s="530">
        <v>678</v>
      </c>
      <c r="F205" s="531">
        <v>49573</v>
      </c>
      <c r="G205" s="531">
        <v>3074.43</v>
      </c>
      <c r="H205" s="999"/>
      <c r="I205" s="999"/>
      <c r="J205" s="999"/>
      <c r="K205" s="999"/>
      <c r="L205" s="999"/>
      <c r="M205" s="999"/>
      <c r="N205" s="587"/>
      <c r="O205" s="587"/>
      <c r="P205" s="587"/>
      <c r="Q205" s="587"/>
      <c r="R205" s="587"/>
      <c r="S205" s="587"/>
      <c r="T205" s="587"/>
      <c r="U205" s="587"/>
    </row>
    <row r="206" spans="1:21" ht="12" thickBot="1">
      <c r="A206" s="588" t="s">
        <v>1360</v>
      </c>
      <c r="B206" s="522" t="s">
        <v>436</v>
      </c>
      <c r="C206" s="522" t="s">
        <v>374</v>
      </c>
      <c r="D206" s="522" t="s">
        <v>981</v>
      </c>
      <c r="E206" s="524">
        <v>70</v>
      </c>
      <c r="F206" s="525">
        <v>8382</v>
      </c>
      <c r="G206" s="525">
        <v>474.61</v>
      </c>
      <c r="H206" s="999"/>
      <c r="I206" s="999"/>
      <c r="J206" s="999"/>
      <c r="K206" s="999"/>
      <c r="L206" s="999"/>
      <c r="M206" s="999"/>
      <c r="N206" s="587"/>
      <c r="O206" s="587"/>
      <c r="P206" s="587"/>
      <c r="Q206" s="587"/>
      <c r="R206" s="587"/>
      <c r="S206" s="587"/>
      <c r="T206" s="587"/>
      <c r="U206" s="587"/>
    </row>
    <row r="207" spans="1:21" ht="12" thickBot="1">
      <c r="A207" s="588" t="s">
        <v>1360</v>
      </c>
      <c r="B207" s="522" t="s">
        <v>436</v>
      </c>
      <c r="C207" s="522" t="s">
        <v>399</v>
      </c>
      <c r="D207" s="522" t="s">
        <v>982</v>
      </c>
      <c r="E207" s="530">
        <v>2</v>
      </c>
      <c r="F207" s="531">
        <v>321</v>
      </c>
      <c r="G207" s="531">
        <v>18.12</v>
      </c>
      <c r="H207" s="999"/>
      <c r="I207" s="999"/>
      <c r="J207" s="999"/>
      <c r="K207" s="999"/>
      <c r="L207" s="999"/>
      <c r="M207" s="999"/>
      <c r="N207" s="587"/>
      <c r="O207" s="587"/>
      <c r="P207" s="587"/>
      <c r="Q207" s="587"/>
      <c r="R207" s="587"/>
      <c r="S207" s="587"/>
      <c r="T207" s="587"/>
      <c r="U207" s="587"/>
    </row>
    <row r="208" spans="1:21" ht="12" thickBot="1">
      <c r="A208" s="588" t="s">
        <v>1360</v>
      </c>
      <c r="B208" s="522" t="s">
        <v>436</v>
      </c>
      <c r="C208" s="522" t="s">
        <v>391</v>
      </c>
      <c r="D208" s="522" t="s">
        <v>983</v>
      </c>
      <c r="E208" s="524">
        <v>170</v>
      </c>
      <c r="F208" s="525">
        <v>4968</v>
      </c>
      <c r="G208" s="525">
        <v>1258.5999999999999</v>
      </c>
      <c r="H208" s="999"/>
      <c r="I208" s="999"/>
      <c r="J208" s="999"/>
      <c r="K208" s="999"/>
      <c r="L208" s="999"/>
      <c r="M208" s="999"/>
      <c r="N208" s="587"/>
      <c r="O208" s="587"/>
      <c r="P208" s="587"/>
      <c r="Q208" s="587"/>
      <c r="R208" s="587"/>
      <c r="S208" s="587"/>
      <c r="T208" s="587"/>
      <c r="U208" s="587"/>
    </row>
    <row r="209" spans="1:21" ht="12" thickBot="1">
      <c r="A209" s="588" t="s">
        <v>1360</v>
      </c>
      <c r="B209" s="522" t="s">
        <v>436</v>
      </c>
      <c r="C209" s="522" t="s">
        <v>416</v>
      </c>
      <c r="D209" s="522" t="s">
        <v>984</v>
      </c>
      <c r="E209" s="530">
        <v>36742</v>
      </c>
      <c r="F209" s="531">
        <v>1517873</v>
      </c>
      <c r="G209" s="531">
        <v>285893.11</v>
      </c>
      <c r="H209" s="999"/>
      <c r="I209" s="999"/>
      <c r="J209" s="999"/>
      <c r="K209" s="999"/>
      <c r="L209" s="999"/>
      <c r="M209" s="999"/>
      <c r="N209" s="587"/>
      <c r="O209" s="587"/>
      <c r="P209" s="587"/>
      <c r="Q209" s="587"/>
      <c r="R209" s="587"/>
      <c r="S209" s="587"/>
      <c r="T209" s="587"/>
      <c r="U209" s="587"/>
    </row>
    <row r="210" spans="1:21" ht="12" thickBot="1">
      <c r="A210" s="588" t="s">
        <v>1360</v>
      </c>
      <c r="B210" s="522" t="s">
        <v>436</v>
      </c>
      <c r="C210" s="522" t="s">
        <v>362</v>
      </c>
      <c r="D210" s="522" t="s">
        <v>271</v>
      </c>
      <c r="E210" s="530">
        <v>0</v>
      </c>
      <c r="F210" s="531">
        <v>0</v>
      </c>
      <c r="G210" s="531">
        <v>0</v>
      </c>
      <c r="H210" s="999"/>
      <c r="I210" s="999"/>
      <c r="J210" s="999"/>
      <c r="K210" s="999"/>
      <c r="L210" s="999"/>
      <c r="M210" s="999"/>
      <c r="N210" s="587"/>
      <c r="O210" s="587"/>
      <c r="P210" s="587"/>
      <c r="Q210" s="587"/>
      <c r="R210" s="587"/>
      <c r="S210" s="587"/>
      <c r="T210" s="587"/>
      <c r="U210" s="587"/>
    </row>
    <row r="211" spans="1:21" ht="12" thickBot="1">
      <c r="A211" s="588" t="s">
        <v>1360</v>
      </c>
      <c r="B211" s="522" t="s">
        <v>436</v>
      </c>
      <c r="C211" s="522" t="s">
        <v>407</v>
      </c>
      <c r="D211" s="522" t="s">
        <v>985</v>
      </c>
      <c r="E211" s="530">
        <v>1180</v>
      </c>
      <c r="F211" s="531">
        <v>48915</v>
      </c>
      <c r="G211" s="531">
        <v>25639.58</v>
      </c>
      <c r="H211" s="999"/>
      <c r="I211" s="999"/>
      <c r="J211" s="999"/>
      <c r="K211" s="999"/>
      <c r="L211" s="999"/>
      <c r="M211" s="999"/>
      <c r="N211" s="587"/>
      <c r="O211" s="587"/>
      <c r="P211" s="587"/>
      <c r="Q211" s="587"/>
      <c r="R211" s="587"/>
      <c r="S211" s="587"/>
      <c r="T211" s="587"/>
      <c r="U211" s="587"/>
    </row>
    <row r="212" spans="1:21" ht="12" thickBot="1">
      <c r="A212" s="588" t="s">
        <v>1360</v>
      </c>
      <c r="B212" s="522" t="s">
        <v>436</v>
      </c>
      <c r="C212" s="522" t="s">
        <v>373</v>
      </c>
      <c r="D212" s="522" t="s">
        <v>986</v>
      </c>
      <c r="E212" s="524">
        <v>5</v>
      </c>
      <c r="F212" s="525">
        <v>596</v>
      </c>
      <c r="G212" s="525">
        <v>38.700000000000003</v>
      </c>
      <c r="H212" s="999"/>
      <c r="I212" s="999"/>
      <c r="J212" s="999"/>
      <c r="K212" s="999"/>
      <c r="L212" s="999"/>
      <c r="M212" s="999"/>
      <c r="N212" s="587"/>
      <c r="O212" s="587"/>
      <c r="P212" s="587"/>
      <c r="Q212" s="587"/>
      <c r="R212" s="587"/>
      <c r="S212" s="587"/>
      <c r="T212" s="587"/>
      <c r="U212" s="587"/>
    </row>
    <row r="213" spans="1:21" ht="12" thickBot="1">
      <c r="A213" s="588" t="s">
        <v>1360</v>
      </c>
      <c r="B213" s="522" t="s">
        <v>436</v>
      </c>
      <c r="C213" s="522" t="s">
        <v>375</v>
      </c>
      <c r="D213" s="522" t="s">
        <v>987</v>
      </c>
      <c r="E213" s="530">
        <v>2</v>
      </c>
      <c r="F213" s="531">
        <v>43</v>
      </c>
      <c r="G213" s="531">
        <v>27.22</v>
      </c>
      <c r="H213" s="999"/>
      <c r="I213" s="999"/>
      <c r="J213" s="999"/>
      <c r="K213" s="999"/>
      <c r="L213" s="999"/>
      <c r="M213" s="999"/>
      <c r="N213" s="587"/>
      <c r="O213" s="587"/>
      <c r="P213" s="587"/>
      <c r="Q213" s="587"/>
      <c r="R213" s="587"/>
      <c r="S213" s="587"/>
      <c r="T213" s="587"/>
      <c r="U213" s="587"/>
    </row>
    <row r="214" spans="1:21" ht="12" thickBot="1">
      <c r="A214" s="588" t="s">
        <v>1360</v>
      </c>
      <c r="B214" s="522" t="s">
        <v>436</v>
      </c>
      <c r="C214" s="522" t="s">
        <v>401</v>
      </c>
      <c r="D214" s="522" t="s">
        <v>988</v>
      </c>
      <c r="E214" s="524">
        <v>1087</v>
      </c>
      <c r="F214" s="525">
        <v>81899</v>
      </c>
      <c r="G214" s="525">
        <v>10358.200000000001</v>
      </c>
      <c r="H214" s="999"/>
      <c r="I214" s="999"/>
      <c r="J214" s="999"/>
      <c r="K214" s="999"/>
      <c r="L214" s="999"/>
      <c r="M214" s="999"/>
      <c r="N214" s="587"/>
      <c r="O214" s="587"/>
      <c r="P214" s="587"/>
      <c r="Q214" s="587"/>
      <c r="R214" s="587"/>
      <c r="S214" s="587"/>
      <c r="T214" s="587"/>
      <c r="U214" s="587"/>
    </row>
    <row r="215" spans="1:21" ht="12" thickBot="1">
      <c r="A215" s="588" t="s">
        <v>1360</v>
      </c>
      <c r="B215" s="522" t="s">
        <v>436</v>
      </c>
      <c r="C215" s="522" t="s">
        <v>328</v>
      </c>
      <c r="D215" s="522" t="s">
        <v>989</v>
      </c>
      <c r="E215" s="530">
        <v>744</v>
      </c>
      <c r="F215" s="531">
        <v>83963</v>
      </c>
      <c r="G215" s="531">
        <v>8378.27</v>
      </c>
      <c r="H215" s="999"/>
      <c r="I215" s="999"/>
      <c r="J215" s="999"/>
      <c r="K215" s="999"/>
      <c r="L215" s="999"/>
      <c r="M215" s="999"/>
      <c r="N215" s="587"/>
      <c r="O215" s="587"/>
      <c r="P215" s="587"/>
      <c r="Q215" s="587"/>
      <c r="R215" s="587"/>
      <c r="S215" s="587"/>
      <c r="T215" s="587"/>
      <c r="U215" s="587"/>
    </row>
    <row r="216" spans="1:21" ht="12" thickBot="1">
      <c r="A216" s="588" t="s">
        <v>1360</v>
      </c>
      <c r="B216" s="522" t="s">
        <v>436</v>
      </c>
      <c r="C216" s="522" t="s">
        <v>437</v>
      </c>
      <c r="D216" s="522" t="s">
        <v>990</v>
      </c>
      <c r="E216" s="524">
        <v>1487</v>
      </c>
      <c r="F216" s="525">
        <v>245797</v>
      </c>
      <c r="G216" s="525">
        <v>18980.72</v>
      </c>
      <c r="H216" s="999"/>
      <c r="I216" s="999"/>
      <c r="J216" s="999"/>
      <c r="K216" s="999"/>
      <c r="L216" s="999"/>
      <c r="M216" s="999"/>
      <c r="N216" s="587"/>
      <c r="O216" s="587"/>
      <c r="P216" s="587"/>
      <c r="Q216" s="587"/>
      <c r="R216" s="587"/>
      <c r="S216" s="587"/>
      <c r="T216" s="587"/>
      <c r="U216" s="587"/>
    </row>
    <row r="217" spans="1:21" ht="12" thickBot="1">
      <c r="A217" s="588" t="s">
        <v>1360</v>
      </c>
      <c r="B217" s="522" t="s">
        <v>436</v>
      </c>
      <c r="C217" s="522" t="s">
        <v>338</v>
      </c>
      <c r="D217" s="522" t="s">
        <v>991</v>
      </c>
      <c r="E217" s="524">
        <v>664</v>
      </c>
      <c r="F217" s="525">
        <v>35473</v>
      </c>
      <c r="G217" s="525">
        <v>9439.2099999999991</v>
      </c>
      <c r="H217" s="999"/>
      <c r="I217" s="999"/>
      <c r="J217" s="999"/>
      <c r="K217" s="999"/>
      <c r="L217" s="999"/>
      <c r="M217" s="999"/>
      <c r="N217" s="587"/>
      <c r="O217" s="587"/>
      <c r="P217" s="587"/>
      <c r="Q217" s="587"/>
      <c r="R217" s="587"/>
      <c r="S217" s="587"/>
      <c r="T217" s="587"/>
      <c r="U217" s="587"/>
    </row>
    <row r="218" spans="1:21" ht="12" thickBot="1">
      <c r="A218" s="588" t="s">
        <v>1360</v>
      </c>
      <c r="B218" s="522" t="s">
        <v>436</v>
      </c>
      <c r="C218" s="522" t="s">
        <v>370</v>
      </c>
      <c r="D218" s="522" t="s">
        <v>992</v>
      </c>
      <c r="E218" s="524">
        <v>5148</v>
      </c>
      <c r="F218" s="525">
        <v>641218</v>
      </c>
      <c r="G218" s="525">
        <v>103628.78</v>
      </c>
      <c r="H218" s="999"/>
      <c r="I218" s="999"/>
      <c r="J218" s="999"/>
      <c r="K218" s="999"/>
      <c r="L218" s="999"/>
      <c r="M218" s="999"/>
      <c r="N218" s="587"/>
      <c r="O218" s="587"/>
      <c r="P218" s="587"/>
      <c r="Q218" s="587"/>
      <c r="R218" s="587"/>
      <c r="S218" s="587"/>
      <c r="T218" s="587"/>
      <c r="U218" s="587"/>
    </row>
    <row r="219" spans="1:21" ht="12" thickBot="1">
      <c r="A219" s="588" t="s">
        <v>1360</v>
      </c>
      <c r="B219" s="522" t="s">
        <v>436</v>
      </c>
      <c r="C219" s="522" t="s">
        <v>333</v>
      </c>
      <c r="D219" s="522" t="s">
        <v>993</v>
      </c>
      <c r="E219" s="524">
        <v>1044</v>
      </c>
      <c r="F219" s="525">
        <v>399341</v>
      </c>
      <c r="G219" s="525">
        <v>43891.93</v>
      </c>
      <c r="H219" s="999"/>
      <c r="I219" s="999"/>
      <c r="J219" s="999"/>
      <c r="K219" s="999"/>
      <c r="L219" s="999"/>
      <c r="M219" s="999"/>
      <c r="N219" s="587"/>
      <c r="O219" s="587"/>
      <c r="P219" s="587"/>
      <c r="Q219" s="587"/>
      <c r="R219" s="587"/>
      <c r="S219" s="587"/>
      <c r="T219" s="587"/>
      <c r="U219" s="587"/>
    </row>
    <row r="220" spans="1:21" ht="12" thickBot="1">
      <c r="A220" s="588" t="s">
        <v>1360</v>
      </c>
      <c r="B220" s="522" t="s">
        <v>436</v>
      </c>
      <c r="C220" s="522" t="s">
        <v>336</v>
      </c>
      <c r="D220" s="522" t="s">
        <v>994</v>
      </c>
      <c r="E220" s="524">
        <v>151</v>
      </c>
      <c r="F220" s="525">
        <v>8051</v>
      </c>
      <c r="G220" s="525">
        <v>2796.71</v>
      </c>
      <c r="H220" s="999"/>
      <c r="I220" s="999"/>
      <c r="J220" s="999"/>
      <c r="K220" s="999"/>
      <c r="L220" s="999"/>
      <c r="M220" s="999"/>
      <c r="N220" s="587"/>
      <c r="O220" s="587"/>
      <c r="P220" s="587"/>
      <c r="Q220" s="587"/>
      <c r="R220" s="587"/>
      <c r="S220" s="587"/>
      <c r="T220" s="587"/>
      <c r="U220" s="587"/>
    </row>
    <row r="221" spans="1:21" ht="12" thickBot="1">
      <c r="A221" s="588" t="s">
        <v>1360</v>
      </c>
      <c r="B221" s="522" t="s">
        <v>436</v>
      </c>
      <c r="C221" s="522" t="s">
        <v>368</v>
      </c>
      <c r="D221" s="522" t="s">
        <v>995</v>
      </c>
      <c r="E221" s="524">
        <v>1035</v>
      </c>
      <c r="F221" s="525">
        <v>129998</v>
      </c>
      <c r="G221" s="525">
        <v>25414.61</v>
      </c>
      <c r="H221" s="999"/>
      <c r="I221" s="999"/>
      <c r="J221" s="999"/>
      <c r="K221" s="999"/>
      <c r="L221" s="999"/>
      <c r="M221" s="999"/>
      <c r="N221" s="587"/>
      <c r="O221" s="587"/>
      <c r="P221" s="587"/>
      <c r="Q221" s="587"/>
      <c r="R221" s="587"/>
      <c r="S221" s="587"/>
      <c r="T221" s="587"/>
      <c r="U221" s="587"/>
    </row>
    <row r="222" spans="1:21" ht="12" thickBot="1">
      <c r="A222" s="588" t="s">
        <v>1360</v>
      </c>
      <c r="B222" s="522" t="s">
        <v>436</v>
      </c>
      <c r="C222" s="522" t="s">
        <v>400</v>
      </c>
      <c r="D222" s="522" t="s">
        <v>996</v>
      </c>
      <c r="E222" s="530">
        <v>140</v>
      </c>
      <c r="F222" s="531">
        <v>10881</v>
      </c>
      <c r="G222" s="531">
        <v>1661.8</v>
      </c>
      <c r="H222" s="999"/>
      <c r="I222" s="999"/>
      <c r="J222" s="999"/>
      <c r="K222" s="999"/>
      <c r="L222" s="999"/>
      <c r="M222" s="999"/>
      <c r="N222" s="587"/>
      <c r="O222" s="587"/>
      <c r="P222" s="587"/>
      <c r="Q222" s="587"/>
      <c r="R222" s="587"/>
      <c r="S222" s="587"/>
      <c r="T222" s="587"/>
      <c r="U222" s="587"/>
    </row>
    <row r="223" spans="1:21" ht="12" thickBot="1">
      <c r="A223" s="588" t="s">
        <v>1360</v>
      </c>
      <c r="B223" s="522" t="s">
        <v>436</v>
      </c>
      <c r="C223" s="522" t="s">
        <v>327</v>
      </c>
      <c r="D223" s="522" t="s">
        <v>997</v>
      </c>
      <c r="E223" s="524">
        <v>454</v>
      </c>
      <c r="F223" s="525">
        <v>51367</v>
      </c>
      <c r="G223" s="525">
        <v>6054.23</v>
      </c>
      <c r="H223" s="999"/>
      <c r="I223" s="999"/>
      <c r="J223" s="999"/>
      <c r="K223" s="999"/>
      <c r="L223" s="999"/>
      <c r="M223" s="999"/>
      <c r="N223" s="587"/>
      <c r="O223" s="587"/>
      <c r="P223" s="587"/>
      <c r="Q223" s="587"/>
      <c r="R223" s="587"/>
      <c r="S223" s="587"/>
      <c r="T223" s="587"/>
      <c r="U223" s="587"/>
    </row>
    <row r="224" spans="1:21" ht="12" thickBot="1">
      <c r="A224" s="588" t="s">
        <v>1360</v>
      </c>
      <c r="B224" s="522" t="s">
        <v>436</v>
      </c>
      <c r="C224" s="522" t="s">
        <v>357</v>
      </c>
      <c r="D224" s="522" t="s">
        <v>998</v>
      </c>
      <c r="E224" s="530">
        <v>1480</v>
      </c>
      <c r="F224" s="531">
        <v>248939</v>
      </c>
      <c r="G224" s="531">
        <v>22191.919999999998</v>
      </c>
      <c r="H224" s="999"/>
      <c r="I224" s="999"/>
      <c r="J224" s="999"/>
      <c r="K224" s="999"/>
      <c r="L224" s="999"/>
      <c r="M224" s="999"/>
      <c r="N224" s="587"/>
      <c r="O224" s="587"/>
      <c r="P224" s="587"/>
      <c r="Q224" s="587"/>
      <c r="R224" s="587"/>
      <c r="S224" s="587"/>
      <c r="T224" s="587"/>
      <c r="U224" s="587"/>
    </row>
    <row r="225" spans="1:21" ht="12" thickBot="1">
      <c r="A225" s="588" t="s">
        <v>1360</v>
      </c>
      <c r="B225" s="522" t="s">
        <v>436</v>
      </c>
      <c r="C225" s="522" t="s">
        <v>331</v>
      </c>
      <c r="D225" s="522" t="s">
        <v>999</v>
      </c>
      <c r="E225" s="524">
        <v>228</v>
      </c>
      <c r="F225" s="525">
        <v>84965</v>
      </c>
      <c r="G225" s="525">
        <v>10402.89</v>
      </c>
      <c r="H225" s="999"/>
      <c r="I225" s="999"/>
      <c r="J225" s="999"/>
      <c r="K225" s="999"/>
      <c r="L225" s="999"/>
      <c r="M225" s="999"/>
      <c r="N225" s="587"/>
      <c r="O225" s="587"/>
      <c r="P225" s="587"/>
      <c r="Q225" s="587"/>
      <c r="R225" s="587"/>
      <c r="S225" s="587"/>
      <c r="T225" s="587"/>
      <c r="U225" s="587"/>
    </row>
    <row r="226" spans="1:21" ht="12" thickBot="1">
      <c r="A226" s="588" t="s">
        <v>1360</v>
      </c>
      <c r="B226" s="522" t="s">
        <v>436</v>
      </c>
      <c r="C226" s="522" t="s">
        <v>335</v>
      </c>
      <c r="D226" s="522" t="s">
        <v>1000</v>
      </c>
      <c r="E226" s="524">
        <v>27</v>
      </c>
      <c r="F226" s="525">
        <v>1425</v>
      </c>
      <c r="G226" s="525">
        <v>711.33</v>
      </c>
      <c r="H226" s="999"/>
      <c r="I226" s="999"/>
      <c r="J226" s="999"/>
      <c r="K226" s="999"/>
      <c r="L226" s="999"/>
      <c r="M226" s="999"/>
      <c r="N226" s="587"/>
      <c r="O226" s="587"/>
      <c r="P226" s="587"/>
      <c r="Q226" s="587"/>
      <c r="R226" s="587"/>
      <c r="S226" s="587"/>
      <c r="T226" s="587"/>
      <c r="U226" s="587"/>
    </row>
    <row r="227" spans="1:21" ht="12" thickBot="1">
      <c r="A227" s="588" t="s">
        <v>1360</v>
      </c>
      <c r="B227" s="522" t="s">
        <v>436</v>
      </c>
      <c r="C227" s="522" t="s">
        <v>372</v>
      </c>
      <c r="D227" s="522" t="s">
        <v>1001</v>
      </c>
      <c r="E227" s="530">
        <v>6930</v>
      </c>
      <c r="F227" s="531">
        <v>151272</v>
      </c>
      <c r="G227" s="531">
        <v>52242.84</v>
      </c>
      <c r="H227" s="999"/>
      <c r="I227" s="999"/>
      <c r="J227" s="999"/>
      <c r="K227" s="999"/>
      <c r="L227" s="999"/>
      <c r="M227" s="999"/>
      <c r="N227" s="587"/>
      <c r="O227" s="587"/>
      <c r="P227" s="587"/>
      <c r="Q227" s="587"/>
      <c r="R227" s="587"/>
      <c r="S227" s="587"/>
      <c r="T227" s="587"/>
      <c r="U227" s="587"/>
    </row>
    <row r="228" spans="1:21" ht="12" thickBot="1">
      <c r="A228" s="588" t="s">
        <v>1360</v>
      </c>
      <c r="B228" s="522" t="s">
        <v>436</v>
      </c>
      <c r="C228" s="522" t="s">
        <v>381</v>
      </c>
      <c r="D228" s="522" t="s">
        <v>1002</v>
      </c>
      <c r="E228" s="524">
        <v>8850</v>
      </c>
      <c r="F228" s="525">
        <v>272657</v>
      </c>
      <c r="G228" s="525">
        <v>76641.009999999995</v>
      </c>
      <c r="H228" s="999"/>
      <c r="I228" s="999"/>
      <c r="J228" s="999"/>
      <c r="K228" s="999"/>
      <c r="L228" s="999"/>
      <c r="M228" s="999"/>
      <c r="N228" s="587"/>
      <c r="O228" s="587"/>
      <c r="P228" s="587"/>
      <c r="Q228" s="587"/>
      <c r="R228" s="587"/>
      <c r="S228" s="587"/>
      <c r="T228" s="587"/>
      <c r="U228" s="587"/>
    </row>
    <row r="229" spans="1:21" ht="12" thickBot="1">
      <c r="A229" s="588" t="s">
        <v>1360</v>
      </c>
      <c r="B229" s="522" t="s">
        <v>436</v>
      </c>
      <c r="C229" s="522" t="s">
        <v>404</v>
      </c>
      <c r="D229" s="522" t="s">
        <v>1003</v>
      </c>
      <c r="E229" s="530">
        <v>20622</v>
      </c>
      <c r="F229" s="531">
        <v>876292</v>
      </c>
      <c r="G229" s="531">
        <v>188691.96</v>
      </c>
      <c r="H229" s="999"/>
      <c r="I229" s="999"/>
      <c r="J229" s="999"/>
      <c r="K229" s="999"/>
      <c r="L229" s="999"/>
      <c r="M229" s="999"/>
      <c r="N229" s="587"/>
      <c r="O229" s="587"/>
      <c r="P229" s="587"/>
      <c r="Q229" s="587"/>
      <c r="R229" s="587"/>
      <c r="S229" s="587"/>
      <c r="T229" s="587"/>
      <c r="U229" s="587"/>
    </row>
    <row r="230" spans="1:21" ht="12" thickBot="1">
      <c r="A230" s="588" t="s">
        <v>1360</v>
      </c>
      <c r="B230" s="522" t="s">
        <v>436</v>
      </c>
      <c r="C230" s="522" t="s">
        <v>361</v>
      </c>
      <c r="D230" s="522" t="s">
        <v>1004</v>
      </c>
      <c r="E230" s="530">
        <v>7602</v>
      </c>
      <c r="F230" s="531">
        <v>671063</v>
      </c>
      <c r="G230" s="531">
        <v>108184.62</v>
      </c>
      <c r="H230" s="999"/>
      <c r="I230" s="999"/>
      <c r="J230" s="999"/>
      <c r="K230" s="999"/>
      <c r="L230" s="999"/>
      <c r="M230" s="999"/>
      <c r="N230" s="587"/>
      <c r="O230" s="587"/>
      <c r="P230" s="587"/>
      <c r="Q230" s="587"/>
      <c r="R230" s="587"/>
      <c r="S230" s="587"/>
      <c r="T230" s="587"/>
      <c r="U230" s="587"/>
    </row>
    <row r="231" spans="1:21" ht="12" thickBot="1">
      <c r="A231" s="588" t="s">
        <v>1360</v>
      </c>
      <c r="B231" s="522" t="s">
        <v>436</v>
      </c>
      <c r="C231" s="522" t="s">
        <v>393</v>
      </c>
      <c r="D231" s="522" t="s">
        <v>1005</v>
      </c>
      <c r="E231" s="530">
        <v>2814</v>
      </c>
      <c r="F231" s="531">
        <v>476796</v>
      </c>
      <c r="G231" s="531">
        <v>63970.46</v>
      </c>
      <c r="H231" s="999"/>
      <c r="I231" s="999"/>
      <c r="J231" s="999"/>
      <c r="K231" s="999"/>
      <c r="L231" s="999"/>
      <c r="M231" s="999"/>
      <c r="N231" s="587"/>
      <c r="O231" s="587"/>
      <c r="P231" s="587"/>
      <c r="Q231" s="587"/>
      <c r="R231" s="587"/>
      <c r="S231" s="587"/>
      <c r="T231" s="587"/>
      <c r="U231" s="587"/>
    </row>
    <row r="232" spans="1:21" ht="12" thickBot="1">
      <c r="A232" s="588" t="s">
        <v>1360</v>
      </c>
      <c r="B232" s="522" t="s">
        <v>436</v>
      </c>
      <c r="C232" s="522" t="s">
        <v>379</v>
      </c>
      <c r="D232" s="522" t="s">
        <v>1006</v>
      </c>
      <c r="E232" s="530">
        <v>858</v>
      </c>
      <c r="F232" s="531">
        <v>19192</v>
      </c>
      <c r="G232" s="531">
        <v>8253.9699999999993</v>
      </c>
      <c r="H232" s="999"/>
      <c r="I232" s="999"/>
      <c r="J232" s="999"/>
      <c r="K232" s="999"/>
      <c r="L232" s="999"/>
      <c r="M232" s="999"/>
      <c r="N232" s="587"/>
      <c r="O232" s="587"/>
      <c r="P232" s="587"/>
      <c r="Q232" s="587"/>
      <c r="R232" s="587"/>
      <c r="S232" s="587"/>
      <c r="T232" s="587"/>
      <c r="U232" s="587"/>
    </row>
    <row r="233" spans="1:21" ht="12" thickBot="1">
      <c r="A233" s="588" t="s">
        <v>1360</v>
      </c>
      <c r="B233" s="522" t="s">
        <v>436</v>
      </c>
      <c r="C233" s="522" t="s">
        <v>389</v>
      </c>
      <c r="D233" s="522" t="s">
        <v>1007</v>
      </c>
      <c r="E233" s="524">
        <v>1355</v>
      </c>
      <c r="F233" s="525">
        <v>40950</v>
      </c>
      <c r="G233" s="525">
        <v>14593.35</v>
      </c>
      <c r="H233" s="999"/>
      <c r="I233" s="999"/>
      <c r="J233" s="999"/>
      <c r="K233" s="999"/>
      <c r="L233" s="999"/>
      <c r="M233" s="999"/>
      <c r="N233" s="587"/>
      <c r="O233" s="587"/>
      <c r="P233" s="587"/>
      <c r="Q233" s="587"/>
      <c r="R233" s="587"/>
      <c r="S233" s="587"/>
      <c r="T233" s="587"/>
      <c r="U233" s="587"/>
    </row>
    <row r="234" spans="1:21" ht="12" thickBot="1">
      <c r="A234" s="588" t="s">
        <v>1360</v>
      </c>
      <c r="B234" s="522" t="s">
        <v>436</v>
      </c>
      <c r="C234" s="522" t="s">
        <v>412</v>
      </c>
      <c r="D234" s="522" t="s">
        <v>1008</v>
      </c>
      <c r="E234" s="530">
        <v>3990</v>
      </c>
      <c r="F234" s="531">
        <v>170039</v>
      </c>
      <c r="G234" s="531">
        <v>44858.07</v>
      </c>
      <c r="H234" s="999"/>
      <c r="I234" s="999"/>
      <c r="J234" s="999"/>
      <c r="K234" s="999"/>
      <c r="L234" s="999"/>
      <c r="M234" s="999"/>
      <c r="N234" s="587"/>
      <c r="O234" s="587"/>
      <c r="P234" s="587"/>
      <c r="Q234" s="587"/>
      <c r="R234" s="587"/>
      <c r="S234" s="587"/>
      <c r="T234" s="587"/>
      <c r="U234" s="587"/>
    </row>
    <row r="235" spans="1:21" ht="12" thickBot="1">
      <c r="A235" s="588" t="s">
        <v>1360</v>
      </c>
      <c r="B235" s="522" t="s">
        <v>436</v>
      </c>
      <c r="C235" s="522" t="s">
        <v>367</v>
      </c>
      <c r="D235" s="522" t="s">
        <v>1009</v>
      </c>
      <c r="E235" s="524">
        <v>292</v>
      </c>
      <c r="F235" s="525">
        <v>36114</v>
      </c>
      <c r="G235" s="525">
        <v>9548.4699999999993</v>
      </c>
      <c r="H235" s="999"/>
      <c r="I235" s="999"/>
      <c r="J235" s="999"/>
      <c r="K235" s="999"/>
      <c r="L235" s="999"/>
      <c r="M235" s="999"/>
      <c r="N235" s="587"/>
      <c r="O235" s="587"/>
      <c r="P235" s="587"/>
      <c r="Q235" s="587"/>
      <c r="R235" s="587"/>
      <c r="S235" s="587"/>
      <c r="T235" s="587"/>
      <c r="U235" s="587"/>
    </row>
    <row r="236" spans="1:21" ht="12" thickBot="1">
      <c r="A236" s="588" t="s">
        <v>1360</v>
      </c>
      <c r="B236" s="522" t="s">
        <v>436</v>
      </c>
      <c r="C236" s="522" t="s">
        <v>330</v>
      </c>
      <c r="D236" s="522" t="s">
        <v>1010</v>
      </c>
      <c r="E236" s="530">
        <v>61</v>
      </c>
      <c r="F236" s="531">
        <v>23031</v>
      </c>
      <c r="G236" s="531">
        <v>3370.25</v>
      </c>
      <c r="H236" s="999"/>
      <c r="I236" s="999"/>
      <c r="J236" s="999"/>
      <c r="K236" s="999"/>
      <c r="L236" s="999"/>
      <c r="M236" s="999"/>
      <c r="N236" s="587"/>
      <c r="O236" s="587"/>
      <c r="P236" s="587"/>
      <c r="Q236" s="587"/>
      <c r="R236" s="587"/>
      <c r="S236" s="587"/>
      <c r="T236" s="587"/>
      <c r="U236" s="587"/>
    </row>
    <row r="237" spans="1:21" ht="12" thickBot="1">
      <c r="A237" s="588" t="s">
        <v>1360</v>
      </c>
      <c r="B237" s="522" t="s">
        <v>436</v>
      </c>
      <c r="C237" s="522" t="s">
        <v>371</v>
      </c>
      <c r="D237" s="522" t="s">
        <v>1011</v>
      </c>
      <c r="E237" s="524">
        <v>3673</v>
      </c>
      <c r="F237" s="525">
        <v>85064</v>
      </c>
      <c r="G237" s="525">
        <v>38468.18</v>
      </c>
      <c r="H237" s="999"/>
      <c r="I237" s="999"/>
      <c r="J237" s="999"/>
      <c r="K237" s="999"/>
      <c r="L237" s="999"/>
      <c r="M237" s="999"/>
      <c r="N237" s="587"/>
      <c r="O237" s="587"/>
      <c r="P237" s="587"/>
      <c r="Q237" s="587"/>
      <c r="R237" s="587"/>
      <c r="S237" s="587"/>
      <c r="T237" s="587"/>
      <c r="U237" s="587"/>
    </row>
    <row r="238" spans="1:21" ht="12" thickBot="1">
      <c r="A238" s="588" t="s">
        <v>1360</v>
      </c>
      <c r="B238" s="522" t="s">
        <v>436</v>
      </c>
      <c r="C238" s="522" t="s">
        <v>380</v>
      </c>
      <c r="D238" s="522" t="s">
        <v>1012</v>
      </c>
      <c r="E238" s="530">
        <v>8736</v>
      </c>
      <c r="F238" s="531">
        <v>280404</v>
      </c>
      <c r="G238" s="531">
        <v>101405.71</v>
      </c>
      <c r="H238" s="999"/>
      <c r="I238" s="999"/>
      <c r="J238" s="999"/>
      <c r="K238" s="999"/>
      <c r="L238" s="999"/>
      <c r="M238" s="999"/>
      <c r="N238" s="587"/>
      <c r="O238" s="587"/>
      <c r="P238" s="587"/>
      <c r="Q238" s="587"/>
      <c r="R238" s="587"/>
      <c r="S238" s="587"/>
      <c r="T238" s="587"/>
      <c r="U238" s="587"/>
    </row>
    <row r="239" spans="1:21" ht="12" thickBot="1">
      <c r="A239" s="588" t="s">
        <v>1360</v>
      </c>
      <c r="B239" s="522" t="s">
        <v>436</v>
      </c>
      <c r="C239" s="522" t="s">
        <v>403</v>
      </c>
      <c r="D239" s="522" t="s">
        <v>1013</v>
      </c>
      <c r="E239" s="524">
        <v>3398</v>
      </c>
      <c r="F239" s="525">
        <v>148044</v>
      </c>
      <c r="G239" s="525">
        <v>41792.629999999997</v>
      </c>
      <c r="H239" s="999"/>
      <c r="I239" s="999"/>
      <c r="J239" s="999"/>
      <c r="K239" s="999"/>
      <c r="L239" s="999"/>
      <c r="M239" s="999"/>
      <c r="N239" s="587"/>
      <c r="O239" s="587"/>
      <c r="P239" s="587"/>
      <c r="Q239" s="587"/>
      <c r="R239" s="587"/>
      <c r="S239" s="587"/>
      <c r="T239" s="587"/>
      <c r="U239" s="587"/>
    </row>
    <row r="240" spans="1:21" ht="12" thickBot="1">
      <c r="A240" s="588" t="s">
        <v>1360</v>
      </c>
      <c r="B240" s="522" t="s">
        <v>436</v>
      </c>
      <c r="C240" s="522" t="s">
        <v>360</v>
      </c>
      <c r="D240" s="522" t="s">
        <v>1014</v>
      </c>
      <c r="E240" s="530">
        <v>5158</v>
      </c>
      <c r="F240" s="531">
        <v>470273</v>
      </c>
      <c r="G240" s="531">
        <v>89892.31</v>
      </c>
      <c r="H240" s="999"/>
      <c r="I240" s="999"/>
      <c r="J240" s="999"/>
      <c r="K240" s="999"/>
      <c r="L240" s="999"/>
      <c r="M240" s="999"/>
      <c r="N240" s="587"/>
      <c r="O240" s="587"/>
      <c r="P240" s="587"/>
      <c r="Q240" s="587"/>
      <c r="R240" s="587"/>
      <c r="S240" s="587"/>
      <c r="T240" s="587"/>
      <c r="U240" s="587"/>
    </row>
    <row r="241" spans="1:21" ht="12" thickBot="1">
      <c r="A241" s="588" t="s">
        <v>1360</v>
      </c>
      <c r="B241" s="522" t="s">
        <v>436</v>
      </c>
      <c r="C241" s="522" t="s">
        <v>392</v>
      </c>
      <c r="D241" s="522" t="s">
        <v>1015</v>
      </c>
      <c r="E241" s="524">
        <v>514</v>
      </c>
      <c r="F241" s="525">
        <v>91504</v>
      </c>
      <c r="G241" s="525">
        <v>12592.95</v>
      </c>
      <c r="H241" s="999"/>
      <c r="I241" s="999"/>
      <c r="J241" s="999"/>
      <c r="K241" s="999"/>
      <c r="L241" s="999"/>
      <c r="M241" s="999"/>
      <c r="N241" s="587"/>
      <c r="O241" s="587"/>
      <c r="P241" s="587"/>
      <c r="Q241" s="587"/>
      <c r="R241" s="587"/>
      <c r="S241" s="587"/>
      <c r="T241" s="587"/>
      <c r="U241" s="587"/>
    </row>
    <row r="242" spans="1:21" ht="12" thickBot="1">
      <c r="A242" s="588" t="s">
        <v>1360</v>
      </c>
      <c r="B242" s="522" t="s">
        <v>436</v>
      </c>
      <c r="C242" s="522" t="s">
        <v>390</v>
      </c>
      <c r="D242" s="522" t="s">
        <v>1016</v>
      </c>
      <c r="E242" s="530">
        <v>4569</v>
      </c>
      <c r="F242" s="531">
        <v>146577</v>
      </c>
      <c r="G242" s="531">
        <v>76713.509999999995</v>
      </c>
      <c r="H242" s="999"/>
      <c r="I242" s="999"/>
      <c r="J242" s="999"/>
      <c r="K242" s="999"/>
      <c r="L242" s="999"/>
      <c r="M242" s="999"/>
      <c r="N242" s="587"/>
      <c r="O242" s="587"/>
      <c r="P242" s="587"/>
      <c r="Q242" s="587"/>
      <c r="R242" s="587"/>
      <c r="S242" s="587"/>
      <c r="T242" s="587"/>
      <c r="U242" s="587"/>
    </row>
    <row r="243" spans="1:21" ht="12" thickBot="1">
      <c r="A243" s="588" t="s">
        <v>1360</v>
      </c>
      <c r="B243" s="522" t="s">
        <v>436</v>
      </c>
      <c r="C243" s="522" t="s">
        <v>414</v>
      </c>
      <c r="D243" s="522" t="s">
        <v>1017</v>
      </c>
      <c r="E243" s="524">
        <v>1063</v>
      </c>
      <c r="F243" s="525">
        <v>46505</v>
      </c>
      <c r="G243" s="525">
        <v>22291.11</v>
      </c>
      <c r="H243" s="999"/>
      <c r="I243" s="999"/>
      <c r="J243" s="999"/>
      <c r="K243" s="999"/>
      <c r="L243" s="999"/>
      <c r="M243" s="999"/>
      <c r="N243" s="587"/>
      <c r="O243" s="587"/>
      <c r="P243" s="587"/>
      <c r="Q243" s="587"/>
      <c r="R243" s="587"/>
      <c r="S243" s="587"/>
      <c r="T243" s="587"/>
      <c r="U243" s="587"/>
    </row>
    <row r="244" spans="1:21" ht="12" thickBot="1">
      <c r="A244" s="588" t="s">
        <v>1360</v>
      </c>
      <c r="B244" s="522" t="s">
        <v>436</v>
      </c>
      <c r="C244" s="522" t="s">
        <v>364</v>
      </c>
      <c r="D244" s="522" t="s">
        <v>1018</v>
      </c>
      <c r="E244" s="530">
        <v>1419</v>
      </c>
      <c r="F244" s="531">
        <v>127334</v>
      </c>
      <c r="G244" s="531">
        <v>38114.35</v>
      </c>
      <c r="H244" s="999"/>
      <c r="I244" s="999"/>
      <c r="J244" s="999"/>
      <c r="K244" s="999"/>
      <c r="L244" s="999"/>
      <c r="M244" s="999"/>
      <c r="N244" s="587"/>
      <c r="O244" s="587"/>
      <c r="P244" s="587"/>
      <c r="Q244" s="587"/>
      <c r="R244" s="587"/>
      <c r="S244" s="587"/>
      <c r="T244" s="587"/>
      <c r="U244" s="587"/>
    </row>
    <row r="245" spans="1:21" ht="12" thickBot="1">
      <c r="A245" s="588" t="s">
        <v>1360</v>
      </c>
      <c r="B245" s="522" t="s">
        <v>436</v>
      </c>
      <c r="C245" s="522" t="s">
        <v>396</v>
      </c>
      <c r="D245" s="522" t="s">
        <v>1019</v>
      </c>
      <c r="E245" s="524">
        <v>961</v>
      </c>
      <c r="F245" s="525">
        <v>162580</v>
      </c>
      <c r="G245" s="525">
        <v>31708.99</v>
      </c>
      <c r="H245" s="999"/>
      <c r="I245" s="999"/>
      <c r="J245" s="999"/>
      <c r="K245" s="999"/>
      <c r="L245" s="999"/>
      <c r="M245" s="999"/>
      <c r="N245" s="587"/>
      <c r="O245" s="587"/>
      <c r="P245" s="587"/>
      <c r="Q245" s="587"/>
      <c r="R245" s="587"/>
      <c r="S245" s="587"/>
      <c r="T245" s="587"/>
      <c r="U245" s="587"/>
    </row>
    <row r="246" spans="1:21" ht="12" thickBot="1">
      <c r="A246" s="588" t="s">
        <v>1360</v>
      </c>
      <c r="B246" s="522" t="s">
        <v>436</v>
      </c>
      <c r="C246" s="522" t="s">
        <v>415</v>
      </c>
      <c r="D246" s="522" t="s">
        <v>1020</v>
      </c>
      <c r="E246" s="524">
        <v>11143</v>
      </c>
      <c r="F246" s="525">
        <v>459228</v>
      </c>
      <c r="G246" s="525">
        <v>99560.83</v>
      </c>
      <c r="H246" s="999"/>
      <c r="I246" s="999"/>
      <c r="J246" s="999"/>
      <c r="K246" s="999"/>
      <c r="L246" s="999"/>
      <c r="M246" s="999"/>
      <c r="N246" s="587"/>
      <c r="O246" s="587"/>
      <c r="P246" s="587"/>
      <c r="Q246" s="587"/>
      <c r="R246" s="587"/>
      <c r="S246" s="587"/>
      <c r="T246" s="587"/>
      <c r="U246" s="587"/>
    </row>
    <row r="247" spans="1:21" ht="12" thickBot="1">
      <c r="A247" s="588" t="s">
        <v>1360</v>
      </c>
      <c r="B247" s="522" t="s">
        <v>436</v>
      </c>
      <c r="C247" s="522" t="s">
        <v>365</v>
      </c>
      <c r="D247" s="522" t="s">
        <v>1021</v>
      </c>
      <c r="E247" s="524">
        <v>6431</v>
      </c>
      <c r="F247" s="525">
        <v>584387</v>
      </c>
      <c r="G247" s="525">
        <v>92213.95</v>
      </c>
      <c r="H247" s="999"/>
      <c r="I247" s="999"/>
      <c r="J247" s="999"/>
      <c r="K247" s="999"/>
      <c r="L247" s="999"/>
      <c r="M247" s="999"/>
      <c r="N247" s="587"/>
      <c r="O247" s="587"/>
      <c r="P247" s="587"/>
      <c r="Q247" s="587"/>
      <c r="R247" s="587"/>
      <c r="S247" s="587"/>
      <c r="T247" s="587"/>
      <c r="U247" s="587"/>
    </row>
    <row r="248" spans="1:21" ht="12" thickBot="1">
      <c r="A248" s="588" t="s">
        <v>1360</v>
      </c>
      <c r="B248" s="522" t="s">
        <v>436</v>
      </c>
      <c r="C248" s="522" t="s">
        <v>397</v>
      </c>
      <c r="D248" s="522" t="s">
        <v>1022</v>
      </c>
      <c r="E248" s="524">
        <v>8182</v>
      </c>
      <c r="F248" s="525">
        <v>1375653</v>
      </c>
      <c r="G248" s="525">
        <v>159076.07999999999</v>
      </c>
      <c r="H248" s="999"/>
      <c r="I248" s="999"/>
      <c r="J248" s="999"/>
      <c r="K248" s="999"/>
      <c r="L248" s="999"/>
      <c r="M248" s="999"/>
      <c r="N248" s="587"/>
      <c r="O248" s="587"/>
      <c r="P248" s="587"/>
      <c r="Q248" s="587"/>
      <c r="R248" s="587"/>
      <c r="S248" s="587"/>
      <c r="T248" s="587"/>
      <c r="U248" s="587"/>
    </row>
    <row r="249" spans="1:21" ht="12" thickBot="1">
      <c r="A249" s="588" t="s">
        <v>1360</v>
      </c>
      <c r="B249" s="522" t="s">
        <v>436</v>
      </c>
      <c r="C249" s="522" t="s">
        <v>337</v>
      </c>
      <c r="D249" s="522" t="s">
        <v>1023</v>
      </c>
      <c r="E249" s="524">
        <v>58</v>
      </c>
      <c r="F249" s="525">
        <v>3059</v>
      </c>
      <c r="G249" s="525">
        <v>897.26</v>
      </c>
      <c r="H249" s="999"/>
      <c r="I249" s="999"/>
      <c r="J249" s="999"/>
      <c r="K249" s="999"/>
      <c r="L249" s="999"/>
      <c r="M249" s="999"/>
      <c r="N249" s="587"/>
      <c r="O249" s="587"/>
      <c r="P249" s="587"/>
      <c r="Q249" s="587"/>
      <c r="R249" s="587"/>
      <c r="S249" s="587"/>
      <c r="T249" s="587"/>
      <c r="U249" s="587"/>
    </row>
    <row r="250" spans="1:21" ht="12" thickBot="1">
      <c r="A250" s="588" t="s">
        <v>1360</v>
      </c>
      <c r="B250" s="522" t="s">
        <v>436</v>
      </c>
      <c r="C250" s="522" t="s">
        <v>369</v>
      </c>
      <c r="D250" s="522" t="s">
        <v>1024</v>
      </c>
      <c r="E250" s="530">
        <v>314</v>
      </c>
      <c r="F250" s="531">
        <v>37676</v>
      </c>
      <c r="G250" s="531">
        <v>6652.1</v>
      </c>
      <c r="H250" s="999"/>
      <c r="I250" s="999"/>
      <c r="J250" s="999"/>
      <c r="K250" s="999"/>
      <c r="L250" s="999"/>
      <c r="M250" s="999"/>
      <c r="N250" s="587"/>
      <c r="O250" s="587"/>
      <c r="P250" s="587"/>
      <c r="Q250" s="587"/>
      <c r="R250" s="587"/>
      <c r="S250" s="587"/>
      <c r="T250" s="587"/>
      <c r="U250" s="587"/>
    </row>
    <row r="251" spans="1:21" ht="12" thickBot="1">
      <c r="A251" s="588" t="s">
        <v>1360</v>
      </c>
      <c r="B251" s="522" t="s">
        <v>436</v>
      </c>
      <c r="C251" s="522" t="s">
        <v>715</v>
      </c>
      <c r="D251" s="522" t="s">
        <v>1025</v>
      </c>
      <c r="E251" s="524">
        <v>2</v>
      </c>
      <c r="F251" s="525">
        <v>59</v>
      </c>
      <c r="G251" s="525">
        <v>30.74</v>
      </c>
      <c r="H251" s="999"/>
      <c r="I251" s="999"/>
      <c r="J251" s="999"/>
      <c r="K251" s="999"/>
      <c r="L251" s="999"/>
      <c r="M251" s="999"/>
      <c r="N251" s="587"/>
      <c r="O251" s="587"/>
      <c r="P251" s="587"/>
      <c r="Q251" s="587"/>
      <c r="R251" s="587"/>
      <c r="S251" s="587"/>
      <c r="T251" s="587"/>
      <c r="U251" s="587"/>
    </row>
    <row r="252" spans="1:21" ht="12" thickBot="1">
      <c r="A252" s="588" t="s">
        <v>1360</v>
      </c>
      <c r="B252" s="522" t="s">
        <v>436</v>
      </c>
      <c r="C252" s="522" t="s">
        <v>332</v>
      </c>
      <c r="D252" s="522" t="s">
        <v>1026</v>
      </c>
      <c r="E252" s="530">
        <v>43</v>
      </c>
      <c r="F252" s="531">
        <v>16697</v>
      </c>
      <c r="G252" s="531">
        <v>1965.1</v>
      </c>
      <c r="H252" s="999"/>
      <c r="I252" s="999"/>
      <c r="J252" s="999"/>
      <c r="K252" s="999"/>
      <c r="L252" s="999"/>
      <c r="M252" s="999"/>
      <c r="N252" s="587"/>
      <c r="O252" s="587"/>
      <c r="P252" s="587"/>
      <c r="Q252" s="587"/>
      <c r="R252" s="587"/>
      <c r="S252" s="587"/>
      <c r="T252" s="587"/>
      <c r="U252" s="587"/>
    </row>
    <row r="253" spans="1:21" ht="12" thickBot="1">
      <c r="A253" s="588" t="s">
        <v>1360</v>
      </c>
      <c r="B253" s="522" t="s">
        <v>436</v>
      </c>
      <c r="C253" s="522" t="s">
        <v>334</v>
      </c>
      <c r="D253" s="522" t="s">
        <v>1027</v>
      </c>
      <c r="E253" s="524">
        <v>168</v>
      </c>
      <c r="F253" s="525">
        <v>9130</v>
      </c>
      <c r="G253" s="525">
        <v>4766.16</v>
      </c>
      <c r="H253" s="999"/>
      <c r="I253" s="999"/>
      <c r="J253" s="999"/>
      <c r="K253" s="999"/>
      <c r="L253" s="999"/>
      <c r="M253" s="999"/>
      <c r="N253" s="587"/>
      <c r="O253" s="587"/>
      <c r="P253" s="587"/>
      <c r="Q253" s="587"/>
      <c r="R253" s="587"/>
      <c r="S253" s="587"/>
      <c r="T253" s="587"/>
      <c r="U253" s="587"/>
    </row>
    <row r="254" spans="1:21" ht="12" thickBot="1">
      <c r="A254" s="588" t="s">
        <v>1360</v>
      </c>
      <c r="B254" s="522" t="s">
        <v>436</v>
      </c>
      <c r="C254" s="522" t="s">
        <v>366</v>
      </c>
      <c r="D254" s="522" t="s">
        <v>1028</v>
      </c>
      <c r="E254" s="530">
        <v>626</v>
      </c>
      <c r="F254" s="531">
        <v>77106</v>
      </c>
      <c r="G254" s="531">
        <v>21726.67</v>
      </c>
      <c r="H254" s="999"/>
      <c r="I254" s="999"/>
      <c r="J254" s="999"/>
      <c r="K254" s="999"/>
      <c r="L254" s="999"/>
      <c r="M254" s="999"/>
      <c r="N254" s="587"/>
      <c r="O254" s="587"/>
      <c r="P254" s="587"/>
      <c r="Q254" s="587"/>
      <c r="R254" s="587"/>
      <c r="S254" s="587"/>
      <c r="T254" s="587"/>
      <c r="U254" s="587"/>
    </row>
    <row r="255" spans="1:21" ht="12" thickBot="1">
      <c r="A255" s="588" t="s">
        <v>1360</v>
      </c>
      <c r="B255" s="522" t="s">
        <v>436</v>
      </c>
      <c r="C255" s="522" t="s">
        <v>329</v>
      </c>
      <c r="D255" s="522" t="s">
        <v>1029</v>
      </c>
      <c r="E255" s="524">
        <v>157</v>
      </c>
      <c r="F255" s="525">
        <v>60170</v>
      </c>
      <c r="G255" s="525">
        <v>9198.6299999999992</v>
      </c>
      <c r="H255" s="999"/>
      <c r="I255" s="999"/>
      <c r="J255" s="999"/>
      <c r="K255" s="999"/>
      <c r="L255" s="999"/>
      <c r="M255" s="999"/>
      <c r="N255" s="587"/>
      <c r="O255" s="587"/>
      <c r="P255" s="587"/>
      <c r="Q255" s="587"/>
      <c r="R255" s="587"/>
      <c r="S255" s="587"/>
      <c r="T255" s="587"/>
      <c r="U255" s="587"/>
    </row>
    <row r="256" spans="1:21" ht="12" thickBot="1">
      <c r="A256" s="588" t="s">
        <v>1360</v>
      </c>
      <c r="B256" s="522" t="s">
        <v>436</v>
      </c>
      <c r="C256" s="522" t="s">
        <v>683</v>
      </c>
      <c r="D256" s="522" t="s">
        <v>1047</v>
      </c>
      <c r="E256" s="530">
        <v>10</v>
      </c>
      <c r="F256" s="531">
        <v>532</v>
      </c>
      <c r="G256" s="531">
        <v>197.5</v>
      </c>
      <c r="H256" s="999"/>
      <c r="I256" s="999"/>
      <c r="J256" s="999"/>
      <c r="K256" s="999"/>
      <c r="L256" s="999"/>
      <c r="M256" s="999"/>
      <c r="N256" s="587"/>
      <c r="O256" s="587"/>
      <c r="P256" s="587"/>
      <c r="Q256" s="587"/>
      <c r="R256" s="587"/>
      <c r="S256" s="587"/>
      <c r="T256" s="587"/>
      <c r="U256" s="587"/>
    </row>
    <row r="257" spans="1:21" ht="12" thickBot="1">
      <c r="A257" s="588" t="s">
        <v>1360</v>
      </c>
      <c r="B257" s="522" t="s">
        <v>436</v>
      </c>
      <c r="C257" s="522" t="s">
        <v>463</v>
      </c>
      <c r="D257" s="522" t="s">
        <v>1030</v>
      </c>
      <c r="E257" s="524">
        <v>30</v>
      </c>
      <c r="F257" s="525">
        <v>2673</v>
      </c>
      <c r="G257" s="525">
        <v>531.6</v>
      </c>
      <c r="H257" s="999"/>
      <c r="I257" s="999"/>
      <c r="J257" s="999"/>
      <c r="K257" s="999"/>
      <c r="L257" s="999"/>
      <c r="M257" s="999"/>
      <c r="N257" s="587"/>
      <c r="O257" s="587"/>
      <c r="P257" s="587"/>
      <c r="Q257" s="587"/>
      <c r="R257" s="587"/>
      <c r="S257" s="587"/>
      <c r="T257" s="587"/>
      <c r="U257" s="587"/>
    </row>
    <row r="258" spans="1:21" ht="12" thickBot="1">
      <c r="A258" s="588" t="s">
        <v>1360</v>
      </c>
      <c r="B258" s="522" t="s">
        <v>436</v>
      </c>
      <c r="C258" s="522" t="s">
        <v>653</v>
      </c>
      <c r="D258" s="522" t="s">
        <v>1031</v>
      </c>
      <c r="E258" s="530">
        <v>24</v>
      </c>
      <c r="F258" s="531">
        <v>4223</v>
      </c>
      <c r="G258" s="531">
        <v>515.76</v>
      </c>
      <c r="H258" s="999"/>
      <c r="I258" s="999"/>
      <c r="J258" s="999"/>
      <c r="K258" s="999"/>
      <c r="L258" s="999"/>
      <c r="M258" s="999"/>
      <c r="N258" s="587"/>
      <c r="O258" s="587"/>
      <c r="P258" s="587"/>
      <c r="Q258" s="587"/>
      <c r="R258" s="587"/>
      <c r="S258" s="587"/>
      <c r="T258" s="587"/>
      <c r="U258" s="587"/>
    </row>
    <row r="259" spans="1:21" ht="12" thickBot="1">
      <c r="A259" s="588" t="s">
        <v>1360</v>
      </c>
      <c r="B259" s="522" t="s">
        <v>436</v>
      </c>
      <c r="C259" s="543" t="s">
        <v>9</v>
      </c>
      <c r="D259" s="544"/>
      <c r="E259" s="539">
        <v>171472</v>
      </c>
      <c r="F259" s="540">
        <v>11253592</v>
      </c>
      <c r="G259" s="540">
        <v>2123969.7999999998</v>
      </c>
    </row>
    <row r="260" spans="1:21" ht="12" thickBot="1">
      <c r="A260" s="549"/>
      <c r="B260" s="589"/>
      <c r="C260" s="550"/>
      <c r="D260" s="541"/>
      <c r="E260" s="522" t="s">
        <v>65</v>
      </c>
      <c r="F260" s="522" t="s">
        <v>66</v>
      </c>
      <c r="G260" s="522" t="s">
        <v>3</v>
      </c>
    </row>
    <row r="261" spans="1:21" ht="12" thickBot="1">
      <c r="A261" s="522" t="s">
        <v>0</v>
      </c>
      <c r="B261" s="522" t="s">
        <v>75</v>
      </c>
      <c r="C261" s="522" t="s">
        <v>6</v>
      </c>
      <c r="D261" s="557"/>
      <c r="E261" s="541"/>
      <c r="F261" s="541" t="s">
        <v>7</v>
      </c>
      <c r="G261" s="541" t="s">
        <v>8</v>
      </c>
    </row>
    <row r="262" spans="1:21" ht="12" thickBot="1">
      <c r="A262" s="565" t="s">
        <v>1361</v>
      </c>
      <c r="B262" s="522" t="s">
        <v>436</v>
      </c>
      <c r="C262" s="522" t="s">
        <v>449</v>
      </c>
      <c r="D262" s="522" t="s">
        <v>448</v>
      </c>
      <c r="E262" s="524">
        <v>2</v>
      </c>
      <c r="F262" s="525">
        <v>128</v>
      </c>
      <c r="G262" s="525">
        <v>19.04</v>
      </c>
    </row>
    <row r="263" spans="1:21" ht="12" thickBot="1">
      <c r="A263" s="565" t="s">
        <v>1361</v>
      </c>
      <c r="B263" s="522" t="s">
        <v>436</v>
      </c>
      <c r="C263" s="522" t="s">
        <v>447</v>
      </c>
      <c r="D263" s="522" t="s">
        <v>446</v>
      </c>
      <c r="E263" s="530">
        <v>1</v>
      </c>
      <c r="F263" s="531">
        <v>36</v>
      </c>
      <c r="G263" s="531">
        <v>6.9</v>
      </c>
    </row>
    <row r="264" spans="1:21" ht="12" thickBot="1">
      <c r="A264" s="565" t="s">
        <v>1361</v>
      </c>
      <c r="B264" s="522" t="s">
        <v>436</v>
      </c>
      <c r="C264" s="522" t="s">
        <v>339</v>
      </c>
      <c r="D264" s="522" t="s">
        <v>952</v>
      </c>
      <c r="E264" s="524">
        <v>178</v>
      </c>
      <c r="F264" s="525">
        <v>11766</v>
      </c>
      <c r="G264" s="525">
        <v>9848.74</v>
      </c>
    </row>
    <row r="265" spans="1:21" ht="12" thickBot="1">
      <c r="A265" s="565" t="s">
        <v>1361</v>
      </c>
      <c r="B265" s="522" t="s">
        <v>436</v>
      </c>
      <c r="C265" s="522" t="s">
        <v>344</v>
      </c>
      <c r="D265" s="522" t="s">
        <v>953</v>
      </c>
      <c r="E265" s="530">
        <v>25</v>
      </c>
      <c r="F265" s="531">
        <v>1593</v>
      </c>
      <c r="G265" s="531">
        <v>2079</v>
      </c>
    </row>
    <row r="266" spans="1:21" ht="12" thickBot="1">
      <c r="A266" s="565" t="s">
        <v>1361</v>
      </c>
      <c r="B266" s="522" t="s">
        <v>436</v>
      </c>
      <c r="C266" s="522" t="s">
        <v>347</v>
      </c>
      <c r="D266" s="522" t="s">
        <v>954</v>
      </c>
      <c r="E266" s="524">
        <v>43</v>
      </c>
      <c r="F266" s="525">
        <v>2273</v>
      </c>
      <c r="G266" s="525">
        <v>2570.54</v>
      </c>
    </row>
    <row r="267" spans="1:21" ht="12" thickBot="1">
      <c r="A267" s="565" t="s">
        <v>1361</v>
      </c>
      <c r="B267" s="522" t="s">
        <v>436</v>
      </c>
      <c r="C267" s="522" t="s">
        <v>348</v>
      </c>
      <c r="D267" s="522" t="s">
        <v>955</v>
      </c>
      <c r="E267" s="530">
        <v>5</v>
      </c>
      <c r="F267" s="531">
        <v>296</v>
      </c>
      <c r="G267" s="531">
        <v>308.75</v>
      </c>
    </row>
    <row r="268" spans="1:21" ht="12" thickBot="1">
      <c r="A268" s="565" t="s">
        <v>1361</v>
      </c>
      <c r="B268" s="522" t="s">
        <v>436</v>
      </c>
      <c r="C268" s="522" t="s">
        <v>349</v>
      </c>
      <c r="D268" s="522" t="s">
        <v>956</v>
      </c>
      <c r="E268" s="524">
        <v>1</v>
      </c>
      <c r="F268" s="525">
        <v>59</v>
      </c>
      <c r="G268" s="525">
        <v>63.11</v>
      </c>
    </row>
    <row r="269" spans="1:21" ht="12" thickBot="1">
      <c r="A269" s="565" t="s">
        <v>1361</v>
      </c>
      <c r="B269" s="522" t="s">
        <v>436</v>
      </c>
      <c r="C269" s="522" t="s">
        <v>351</v>
      </c>
      <c r="D269" s="522" t="s">
        <v>957</v>
      </c>
      <c r="E269" s="530">
        <v>5</v>
      </c>
      <c r="F269" s="531">
        <v>305</v>
      </c>
      <c r="G269" s="531">
        <v>404.7</v>
      </c>
    </row>
    <row r="270" spans="1:21" ht="12" thickBot="1">
      <c r="A270" s="565" t="s">
        <v>1361</v>
      </c>
      <c r="B270" s="522" t="s">
        <v>436</v>
      </c>
      <c r="C270" s="522" t="s">
        <v>352</v>
      </c>
      <c r="D270" s="522" t="s">
        <v>958</v>
      </c>
      <c r="E270" s="524">
        <v>9</v>
      </c>
      <c r="F270" s="525">
        <v>541</v>
      </c>
      <c r="G270" s="525">
        <v>710.73</v>
      </c>
    </row>
    <row r="271" spans="1:21" ht="12" thickBot="1">
      <c r="A271" s="565" t="s">
        <v>1361</v>
      </c>
      <c r="B271" s="522" t="s">
        <v>436</v>
      </c>
      <c r="C271" s="522" t="s">
        <v>354</v>
      </c>
      <c r="D271" s="522" t="s">
        <v>959</v>
      </c>
      <c r="E271" s="530">
        <v>25</v>
      </c>
      <c r="F271" s="531">
        <v>1664</v>
      </c>
      <c r="G271" s="531">
        <v>1530.75</v>
      </c>
    </row>
    <row r="272" spans="1:21" ht="12" thickBot="1">
      <c r="A272" s="565" t="s">
        <v>1361</v>
      </c>
      <c r="B272" s="522" t="s">
        <v>436</v>
      </c>
      <c r="C272" s="522" t="s">
        <v>355</v>
      </c>
      <c r="D272" s="522" t="s">
        <v>960</v>
      </c>
      <c r="E272" s="524">
        <v>1</v>
      </c>
      <c r="F272" s="525">
        <v>59</v>
      </c>
      <c r="G272" s="525">
        <v>56.69</v>
      </c>
    </row>
    <row r="273" spans="1:7" ht="12" thickBot="1">
      <c r="A273" s="565" t="s">
        <v>1361</v>
      </c>
      <c r="B273" s="522" t="s">
        <v>436</v>
      </c>
      <c r="C273" s="522" t="s">
        <v>341</v>
      </c>
      <c r="D273" s="522" t="s">
        <v>961</v>
      </c>
      <c r="E273" s="530">
        <v>15</v>
      </c>
      <c r="F273" s="531">
        <v>906</v>
      </c>
      <c r="G273" s="531">
        <v>1117.8</v>
      </c>
    </row>
    <row r="274" spans="1:7" ht="12" thickBot="1">
      <c r="A274" s="565" t="s">
        <v>1361</v>
      </c>
      <c r="B274" s="522" t="s">
        <v>436</v>
      </c>
      <c r="C274" s="522" t="s">
        <v>350</v>
      </c>
      <c r="D274" s="522" t="s">
        <v>962</v>
      </c>
      <c r="E274" s="524">
        <v>1</v>
      </c>
      <c r="F274" s="525">
        <v>59</v>
      </c>
      <c r="G274" s="525">
        <v>82.3</v>
      </c>
    </row>
    <row r="275" spans="1:7" ht="12" thickBot="1">
      <c r="A275" s="565" t="s">
        <v>1361</v>
      </c>
      <c r="B275" s="522" t="s">
        <v>436</v>
      </c>
      <c r="C275" s="522" t="s">
        <v>342</v>
      </c>
      <c r="D275" s="522" t="s">
        <v>963</v>
      </c>
      <c r="E275" s="530">
        <v>20</v>
      </c>
      <c r="F275" s="531">
        <v>1356</v>
      </c>
      <c r="G275" s="531">
        <v>1490.4</v>
      </c>
    </row>
    <row r="276" spans="1:7" ht="12" thickBot="1">
      <c r="A276" s="565" t="s">
        <v>1361</v>
      </c>
      <c r="B276" s="522" t="s">
        <v>436</v>
      </c>
      <c r="C276" s="522" t="s">
        <v>346</v>
      </c>
      <c r="D276" s="522" t="s">
        <v>964</v>
      </c>
      <c r="E276" s="524">
        <v>4</v>
      </c>
      <c r="F276" s="525">
        <v>254</v>
      </c>
      <c r="G276" s="525">
        <v>303.52</v>
      </c>
    </row>
    <row r="277" spans="1:7" ht="12" thickBot="1">
      <c r="A277" s="565" t="s">
        <v>1361</v>
      </c>
      <c r="B277" s="522" t="s">
        <v>436</v>
      </c>
      <c r="C277" s="522" t="s">
        <v>353</v>
      </c>
      <c r="D277" s="522" t="s">
        <v>965</v>
      </c>
      <c r="E277" s="530">
        <v>3</v>
      </c>
      <c r="F277" s="531">
        <v>204</v>
      </c>
      <c r="G277" s="531">
        <v>236.91</v>
      </c>
    </row>
    <row r="278" spans="1:7" ht="12" thickBot="1">
      <c r="A278" s="565" t="s">
        <v>1361</v>
      </c>
      <c r="B278" s="522" t="s">
        <v>436</v>
      </c>
      <c r="C278" s="522" t="s">
        <v>345</v>
      </c>
      <c r="D278" s="522" t="s">
        <v>966</v>
      </c>
      <c r="E278" s="524">
        <v>2</v>
      </c>
      <c r="F278" s="525">
        <v>136</v>
      </c>
      <c r="G278" s="525">
        <v>154.52000000000001</v>
      </c>
    </row>
    <row r="279" spans="1:7" ht="12" thickBot="1">
      <c r="A279" s="565" t="s">
        <v>1361</v>
      </c>
      <c r="B279" s="522" t="s">
        <v>436</v>
      </c>
      <c r="C279" s="522" t="s">
        <v>343</v>
      </c>
      <c r="D279" s="522" t="s">
        <v>967</v>
      </c>
      <c r="E279" s="530">
        <v>51</v>
      </c>
      <c r="F279" s="531">
        <v>3370</v>
      </c>
      <c r="G279" s="531">
        <v>3273.69</v>
      </c>
    </row>
    <row r="280" spans="1:7" ht="12" thickBot="1">
      <c r="A280" s="565" t="s">
        <v>1361</v>
      </c>
      <c r="B280" s="522" t="s">
        <v>436</v>
      </c>
      <c r="C280" s="522" t="s">
        <v>472</v>
      </c>
      <c r="D280" s="522" t="s">
        <v>968</v>
      </c>
      <c r="E280" s="524">
        <v>2</v>
      </c>
      <c r="F280" s="525">
        <v>119</v>
      </c>
      <c r="G280" s="525">
        <v>151.80000000000001</v>
      </c>
    </row>
    <row r="281" spans="1:7" ht="12" thickBot="1">
      <c r="A281" s="565" t="s">
        <v>1361</v>
      </c>
      <c r="B281" s="522" t="s">
        <v>436</v>
      </c>
      <c r="C281" s="522" t="s">
        <v>382</v>
      </c>
      <c r="D281" s="522" t="s">
        <v>969</v>
      </c>
      <c r="E281" s="530">
        <v>52</v>
      </c>
      <c r="F281" s="531">
        <v>1359</v>
      </c>
      <c r="G281" s="531">
        <v>772.72</v>
      </c>
    </row>
    <row r="282" spans="1:7" ht="12" thickBot="1">
      <c r="A282" s="565" t="s">
        <v>1361</v>
      </c>
      <c r="B282" s="522" t="s">
        <v>436</v>
      </c>
      <c r="C282" s="522" t="s">
        <v>402</v>
      </c>
      <c r="D282" s="522" t="s">
        <v>970</v>
      </c>
      <c r="E282" s="524">
        <v>7206</v>
      </c>
      <c r="F282" s="525">
        <v>472181</v>
      </c>
      <c r="G282" s="525">
        <v>75614.23</v>
      </c>
    </row>
    <row r="283" spans="1:7" ht="12" thickBot="1">
      <c r="A283" s="565" t="s">
        <v>1361</v>
      </c>
      <c r="B283" s="522" t="s">
        <v>436</v>
      </c>
      <c r="C283" s="522" t="s">
        <v>394</v>
      </c>
      <c r="D283" s="522" t="s">
        <v>303</v>
      </c>
      <c r="E283" s="530">
        <v>0</v>
      </c>
      <c r="F283" s="531">
        <v>0</v>
      </c>
      <c r="G283" s="531">
        <v>0</v>
      </c>
    </row>
    <row r="284" spans="1:7" ht="12" thickBot="1">
      <c r="A284" s="565" t="s">
        <v>1361</v>
      </c>
      <c r="B284" s="522" t="s">
        <v>436</v>
      </c>
      <c r="C284" s="522" t="s">
        <v>398</v>
      </c>
      <c r="D284" s="522" t="s">
        <v>971</v>
      </c>
      <c r="E284" s="524">
        <v>141</v>
      </c>
      <c r="F284" s="525">
        <v>21137</v>
      </c>
      <c r="G284" s="525">
        <v>1651.11</v>
      </c>
    </row>
    <row r="285" spans="1:7" ht="12" thickBot="1">
      <c r="A285" s="565" t="s">
        <v>1361</v>
      </c>
      <c r="B285" s="522" t="s">
        <v>436</v>
      </c>
      <c r="C285" s="522" t="s">
        <v>376</v>
      </c>
      <c r="D285" s="522" t="s">
        <v>972</v>
      </c>
      <c r="E285" s="524">
        <v>240</v>
      </c>
      <c r="F285" s="525">
        <v>4596</v>
      </c>
      <c r="G285" s="525">
        <v>4862.3999999999996</v>
      </c>
    </row>
    <row r="286" spans="1:7" ht="12" thickBot="1">
      <c r="A286" s="565" t="s">
        <v>1361</v>
      </c>
      <c r="B286" s="522" t="s">
        <v>436</v>
      </c>
      <c r="C286" s="522" t="s">
        <v>384</v>
      </c>
      <c r="D286" s="522" t="s">
        <v>973</v>
      </c>
      <c r="E286" s="530">
        <v>150</v>
      </c>
      <c r="F286" s="531">
        <v>3889</v>
      </c>
      <c r="G286" s="531">
        <v>3146.42</v>
      </c>
    </row>
    <row r="287" spans="1:7" ht="12" thickBot="1">
      <c r="A287" s="565" t="s">
        <v>1361</v>
      </c>
      <c r="B287" s="522" t="s">
        <v>436</v>
      </c>
      <c r="C287" s="522" t="s">
        <v>386</v>
      </c>
      <c r="D287" s="522" t="s">
        <v>974</v>
      </c>
      <c r="E287" s="524">
        <v>28</v>
      </c>
      <c r="F287" s="525">
        <v>752</v>
      </c>
      <c r="G287" s="525">
        <v>863.52</v>
      </c>
    </row>
    <row r="288" spans="1:7" ht="12" thickBot="1">
      <c r="A288" s="565" t="s">
        <v>1361</v>
      </c>
      <c r="B288" s="522" t="s">
        <v>436</v>
      </c>
      <c r="C288" s="522" t="s">
        <v>409</v>
      </c>
      <c r="D288" s="522" t="s">
        <v>975</v>
      </c>
      <c r="E288" s="530">
        <v>96</v>
      </c>
      <c r="F288" s="531">
        <v>3617</v>
      </c>
      <c r="G288" s="531">
        <v>2997.12</v>
      </c>
    </row>
    <row r="289" spans="1:7" ht="12" thickBot="1">
      <c r="A289" s="565" t="s">
        <v>1361</v>
      </c>
      <c r="B289" s="522" t="s">
        <v>436</v>
      </c>
      <c r="C289" s="522" t="s">
        <v>387</v>
      </c>
      <c r="D289" s="522" t="s">
        <v>976</v>
      </c>
      <c r="E289" s="524">
        <v>21</v>
      </c>
      <c r="F289" s="525">
        <v>568</v>
      </c>
      <c r="G289" s="525">
        <v>647.64</v>
      </c>
    </row>
    <row r="290" spans="1:7" ht="12" thickBot="1">
      <c r="A290" s="565" t="s">
        <v>1361</v>
      </c>
      <c r="B290" s="522" t="s">
        <v>436</v>
      </c>
      <c r="C290" s="522" t="s">
        <v>410</v>
      </c>
      <c r="D290" s="522" t="s">
        <v>977</v>
      </c>
      <c r="E290" s="530">
        <v>10</v>
      </c>
      <c r="F290" s="531">
        <v>381</v>
      </c>
      <c r="G290" s="531">
        <v>312.2</v>
      </c>
    </row>
    <row r="291" spans="1:7" ht="12" thickBot="1">
      <c r="A291" s="565" t="s">
        <v>1361</v>
      </c>
      <c r="B291" s="522" t="s">
        <v>436</v>
      </c>
      <c r="C291" s="522" t="s">
        <v>405</v>
      </c>
      <c r="D291" s="522" t="s">
        <v>978</v>
      </c>
      <c r="E291" s="524">
        <v>465</v>
      </c>
      <c r="F291" s="525">
        <v>17721</v>
      </c>
      <c r="G291" s="525">
        <v>7142.4</v>
      </c>
    </row>
    <row r="292" spans="1:7" ht="12" thickBot="1">
      <c r="A292" s="565" t="s">
        <v>1361</v>
      </c>
      <c r="B292" s="522" t="s">
        <v>436</v>
      </c>
      <c r="C292" s="522" t="s">
        <v>326</v>
      </c>
      <c r="D292" s="522" t="s">
        <v>979</v>
      </c>
      <c r="E292" s="530">
        <v>5</v>
      </c>
      <c r="F292" s="531">
        <v>182</v>
      </c>
      <c r="G292" s="531">
        <v>16.95</v>
      </c>
    </row>
    <row r="293" spans="1:7" ht="12" thickBot="1">
      <c r="A293" s="565" t="s">
        <v>1361</v>
      </c>
      <c r="B293" s="522" t="s">
        <v>436</v>
      </c>
      <c r="C293" s="522" t="s">
        <v>356</v>
      </c>
      <c r="D293" s="522" t="s">
        <v>980</v>
      </c>
      <c r="E293" s="524">
        <v>676</v>
      </c>
      <c r="F293" s="525">
        <v>44244</v>
      </c>
      <c r="G293" s="525">
        <v>3065.12</v>
      </c>
    </row>
    <row r="294" spans="1:7" ht="12" thickBot="1">
      <c r="A294" s="565" t="s">
        <v>1361</v>
      </c>
      <c r="B294" s="522" t="s">
        <v>436</v>
      </c>
      <c r="C294" s="522" t="s">
        <v>374</v>
      </c>
      <c r="D294" s="522" t="s">
        <v>981</v>
      </c>
      <c r="E294" s="530">
        <v>65</v>
      </c>
      <c r="F294" s="531">
        <v>7032</v>
      </c>
      <c r="G294" s="531">
        <v>440.7</v>
      </c>
    </row>
    <row r="295" spans="1:7" ht="12" thickBot="1">
      <c r="A295" s="565" t="s">
        <v>1361</v>
      </c>
      <c r="B295" s="522" t="s">
        <v>436</v>
      </c>
      <c r="C295" s="522" t="s">
        <v>399</v>
      </c>
      <c r="D295" s="522" t="s">
        <v>982</v>
      </c>
      <c r="E295" s="524">
        <v>2</v>
      </c>
      <c r="F295" s="525">
        <v>283</v>
      </c>
      <c r="G295" s="525">
        <v>18.12</v>
      </c>
    </row>
    <row r="296" spans="1:7" ht="12" thickBot="1">
      <c r="A296" s="565" t="s">
        <v>1361</v>
      </c>
      <c r="B296" s="522" t="s">
        <v>436</v>
      </c>
      <c r="C296" s="522" t="s">
        <v>391</v>
      </c>
      <c r="D296" s="522" t="s">
        <v>983</v>
      </c>
      <c r="E296" s="530">
        <v>172</v>
      </c>
      <c r="F296" s="531">
        <v>4517</v>
      </c>
      <c r="G296" s="531">
        <v>1272.74</v>
      </c>
    </row>
    <row r="297" spans="1:7" ht="12" thickBot="1">
      <c r="A297" s="565" t="s">
        <v>1361</v>
      </c>
      <c r="B297" s="522" t="s">
        <v>436</v>
      </c>
      <c r="C297" s="522" t="s">
        <v>416</v>
      </c>
      <c r="D297" s="522" t="s">
        <v>984</v>
      </c>
      <c r="E297" s="524">
        <v>36644</v>
      </c>
      <c r="F297" s="525">
        <v>1360504</v>
      </c>
      <c r="G297" s="525">
        <v>285573.15000000002</v>
      </c>
    </row>
    <row r="298" spans="1:7" ht="12" thickBot="1">
      <c r="A298" s="565" t="s">
        <v>1361</v>
      </c>
      <c r="B298" s="522" t="s">
        <v>436</v>
      </c>
      <c r="C298" s="522" t="s">
        <v>407</v>
      </c>
      <c r="D298" s="522" t="s">
        <v>985</v>
      </c>
      <c r="E298" s="530">
        <v>1180</v>
      </c>
      <c r="F298" s="531">
        <v>44594</v>
      </c>
      <c r="G298" s="531">
        <v>25960</v>
      </c>
    </row>
    <row r="299" spans="1:7" ht="12" thickBot="1">
      <c r="A299" s="565" t="s">
        <v>1361</v>
      </c>
      <c r="B299" s="522" t="s">
        <v>436</v>
      </c>
      <c r="C299" s="522" t="s">
        <v>373</v>
      </c>
      <c r="D299" s="522" t="s">
        <v>986</v>
      </c>
      <c r="E299" s="524">
        <v>5</v>
      </c>
      <c r="F299" s="525">
        <v>547</v>
      </c>
      <c r="G299" s="525">
        <v>38.700000000000003</v>
      </c>
    </row>
    <row r="300" spans="1:7" ht="12" thickBot="1">
      <c r="A300" s="565" t="s">
        <v>1361</v>
      </c>
      <c r="B300" s="522" t="s">
        <v>436</v>
      </c>
      <c r="C300" s="522" t="s">
        <v>375</v>
      </c>
      <c r="D300" s="522" t="s">
        <v>987</v>
      </c>
      <c r="E300" s="530">
        <v>2</v>
      </c>
      <c r="F300" s="531">
        <v>39</v>
      </c>
      <c r="G300" s="531">
        <v>27.22</v>
      </c>
    </row>
    <row r="301" spans="1:7" ht="12" thickBot="1">
      <c r="A301" s="565" t="s">
        <v>1361</v>
      </c>
      <c r="B301" s="522" t="s">
        <v>436</v>
      </c>
      <c r="C301" s="522" t="s">
        <v>401</v>
      </c>
      <c r="D301" s="522" t="s">
        <v>988</v>
      </c>
      <c r="E301" s="524">
        <v>1081</v>
      </c>
      <c r="F301" s="525">
        <v>71543</v>
      </c>
      <c r="G301" s="525">
        <v>10327.11</v>
      </c>
    </row>
    <row r="302" spans="1:7" ht="12" thickBot="1">
      <c r="A302" s="565" t="s">
        <v>1361</v>
      </c>
      <c r="B302" s="522" t="s">
        <v>436</v>
      </c>
      <c r="C302" s="522" t="s">
        <v>328</v>
      </c>
      <c r="D302" s="522" t="s">
        <v>989</v>
      </c>
      <c r="E302" s="530">
        <v>742</v>
      </c>
      <c r="F302" s="531">
        <v>71643</v>
      </c>
      <c r="G302" s="531">
        <v>8399.44</v>
      </c>
    </row>
    <row r="303" spans="1:7" ht="12" thickBot="1">
      <c r="A303" s="565" t="s">
        <v>1361</v>
      </c>
      <c r="B303" s="522" t="s">
        <v>436</v>
      </c>
      <c r="C303" s="522" t="s">
        <v>437</v>
      </c>
      <c r="D303" s="522" t="s">
        <v>990</v>
      </c>
      <c r="E303" s="524">
        <v>1480</v>
      </c>
      <c r="F303" s="525">
        <v>213646</v>
      </c>
      <c r="G303" s="525">
        <v>18933.18</v>
      </c>
    </row>
    <row r="304" spans="1:7" ht="12" thickBot="1">
      <c r="A304" s="565" t="s">
        <v>1361</v>
      </c>
      <c r="B304" s="522" t="s">
        <v>436</v>
      </c>
      <c r="C304" s="522" t="s">
        <v>338</v>
      </c>
      <c r="D304" s="522" t="s">
        <v>991</v>
      </c>
      <c r="E304" s="524">
        <v>660</v>
      </c>
      <c r="F304" s="525">
        <v>31479</v>
      </c>
      <c r="G304" s="525">
        <v>9382.68</v>
      </c>
    </row>
    <row r="305" spans="1:7" ht="12" thickBot="1">
      <c r="A305" s="565" t="s">
        <v>1361</v>
      </c>
      <c r="B305" s="522" t="s">
        <v>436</v>
      </c>
      <c r="C305" s="522" t="s">
        <v>370</v>
      </c>
      <c r="D305" s="522" t="s">
        <v>992</v>
      </c>
      <c r="E305" s="524">
        <v>5128</v>
      </c>
      <c r="F305" s="525">
        <v>574590</v>
      </c>
      <c r="G305" s="525">
        <v>103621.66</v>
      </c>
    </row>
    <row r="306" spans="1:7" ht="12" thickBot="1">
      <c r="A306" s="565" t="s">
        <v>1361</v>
      </c>
      <c r="B306" s="522" t="s">
        <v>436</v>
      </c>
      <c r="C306" s="522" t="s">
        <v>333</v>
      </c>
      <c r="D306" s="522" t="s">
        <v>993</v>
      </c>
      <c r="E306" s="524">
        <v>1045</v>
      </c>
      <c r="F306" s="525">
        <v>357912</v>
      </c>
      <c r="G306" s="525">
        <v>44072.25</v>
      </c>
    </row>
    <row r="307" spans="1:7" ht="12" thickBot="1">
      <c r="A307" s="565" t="s">
        <v>1361</v>
      </c>
      <c r="B307" s="522" t="s">
        <v>436</v>
      </c>
      <c r="C307" s="522" t="s">
        <v>336</v>
      </c>
      <c r="D307" s="522" t="s">
        <v>994</v>
      </c>
      <c r="E307" s="524">
        <v>150</v>
      </c>
      <c r="F307" s="525">
        <v>7191</v>
      </c>
      <c r="G307" s="525">
        <v>2797.5</v>
      </c>
    </row>
    <row r="308" spans="1:7" ht="12" thickBot="1">
      <c r="A308" s="565" t="s">
        <v>1361</v>
      </c>
      <c r="B308" s="522" t="s">
        <v>436</v>
      </c>
      <c r="C308" s="522" t="s">
        <v>368</v>
      </c>
      <c r="D308" s="522" t="s">
        <v>995</v>
      </c>
      <c r="E308" s="524">
        <v>1022</v>
      </c>
      <c r="F308" s="525">
        <v>113937</v>
      </c>
      <c r="G308" s="525">
        <v>25075.24</v>
      </c>
    </row>
    <row r="309" spans="1:7" ht="12" thickBot="1">
      <c r="A309" s="565" t="s">
        <v>1361</v>
      </c>
      <c r="B309" s="522" t="s">
        <v>436</v>
      </c>
      <c r="C309" s="522" t="s">
        <v>400</v>
      </c>
      <c r="D309" s="522" t="s">
        <v>996</v>
      </c>
      <c r="E309" s="530">
        <v>140</v>
      </c>
      <c r="F309" s="531">
        <v>9167</v>
      </c>
      <c r="G309" s="531">
        <v>1661.8</v>
      </c>
    </row>
    <row r="310" spans="1:7" ht="12" thickBot="1">
      <c r="A310" s="565" t="s">
        <v>1361</v>
      </c>
      <c r="B310" s="522" t="s">
        <v>436</v>
      </c>
      <c r="C310" s="522" t="s">
        <v>327</v>
      </c>
      <c r="D310" s="522" t="s">
        <v>997</v>
      </c>
      <c r="E310" s="524">
        <v>453</v>
      </c>
      <c r="F310" s="525">
        <v>43841</v>
      </c>
      <c r="G310" s="525">
        <v>6052.08</v>
      </c>
    </row>
    <row r="311" spans="1:7" ht="12" thickBot="1">
      <c r="A311" s="565" t="s">
        <v>1361</v>
      </c>
      <c r="B311" s="522" t="s">
        <v>436</v>
      </c>
      <c r="C311" s="522" t="s">
        <v>357</v>
      </c>
      <c r="D311" s="522" t="s">
        <v>998</v>
      </c>
      <c r="E311" s="530">
        <v>1479</v>
      </c>
      <c r="F311" s="531">
        <v>217321</v>
      </c>
      <c r="G311" s="531">
        <v>22249.17</v>
      </c>
    </row>
    <row r="312" spans="1:7" ht="12" thickBot="1">
      <c r="A312" s="565" t="s">
        <v>1361</v>
      </c>
      <c r="B312" s="522" t="s">
        <v>436</v>
      </c>
      <c r="C312" s="522" t="s">
        <v>331</v>
      </c>
      <c r="D312" s="522" t="s">
        <v>999</v>
      </c>
      <c r="E312" s="524">
        <v>224</v>
      </c>
      <c r="F312" s="525">
        <v>76873</v>
      </c>
      <c r="G312" s="525">
        <v>10469.76</v>
      </c>
    </row>
    <row r="313" spans="1:7" ht="12" thickBot="1">
      <c r="A313" s="565" t="s">
        <v>1361</v>
      </c>
      <c r="B313" s="522" t="s">
        <v>436</v>
      </c>
      <c r="C313" s="522" t="s">
        <v>335</v>
      </c>
      <c r="D313" s="522" t="s">
        <v>1000</v>
      </c>
      <c r="E313" s="524">
        <v>26</v>
      </c>
      <c r="F313" s="525">
        <v>1296</v>
      </c>
      <c r="G313" s="525">
        <v>705.9</v>
      </c>
    </row>
    <row r="314" spans="1:7" ht="12" thickBot="1">
      <c r="A314" s="565" t="s">
        <v>1361</v>
      </c>
      <c r="B314" s="522" t="s">
        <v>436</v>
      </c>
      <c r="C314" s="522" t="s">
        <v>372</v>
      </c>
      <c r="D314" s="522" t="s">
        <v>1001</v>
      </c>
      <c r="E314" s="530">
        <v>6930</v>
      </c>
      <c r="F314" s="531">
        <v>133527</v>
      </c>
      <c r="G314" s="531">
        <v>52252.2</v>
      </c>
    </row>
    <row r="315" spans="1:7" ht="12" thickBot="1">
      <c r="A315" s="565" t="s">
        <v>1361</v>
      </c>
      <c r="B315" s="522" t="s">
        <v>436</v>
      </c>
      <c r="C315" s="522" t="s">
        <v>381</v>
      </c>
      <c r="D315" s="522" t="s">
        <v>1002</v>
      </c>
      <c r="E315" s="524">
        <v>8850</v>
      </c>
      <c r="F315" s="525">
        <v>238864</v>
      </c>
      <c r="G315" s="525">
        <v>76646.69</v>
      </c>
    </row>
    <row r="316" spans="1:7" ht="12" thickBot="1">
      <c r="A316" s="565" t="s">
        <v>1361</v>
      </c>
      <c r="B316" s="522" t="s">
        <v>436</v>
      </c>
      <c r="C316" s="522" t="s">
        <v>404</v>
      </c>
      <c r="D316" s="522" t="s">
        <v>1003</v>
      </c>
      <c r="E316" s="530">
        <v>19941</v>
      </c>
      <c r="F316" s="531">
        <v>768695</v>
      </c>
      <c r="G316" s="531">
        <v>186256.84</v>
      </c>
    </row>
    <row r="317" spans="1:7" ht="12" thickBot="1">
      <c r="A317" s="565" t="s">
        <v>1361</v>
      </c>
      <c r="B317" s="522" t="s">
        <v>436</v>
      </c>
      <c r="C317" s="522" t="s">
        <v>361</v>
      </c>
      <c r="D317" s="522" t="s">
        <v>1004</v>
      </c>
      <c r="E317" s="530">
        <v>7556</v>
      </c>
      <c r="F317" s="531">
        <v>591568</v>
      </c>
      <c r="G317" s="531">
        <v>107697.51</v>
      </c>
    </row>
    <row r="318" spans="1:7" ht="12" thickBot="1">
      <c r="A318" s="565" t="s">
        <v>1361</v>
      </c>
      <c r="B318" s="522" t="s">
        <v>436</v>
      </c>
      <c r="C318" s="522" t="s">
        <v>393</v>
      </c>
      <c r="D318" s="522" t="s">
        <v>1005</v>
      </c>
      <c r="E318" s="530">
        <v>2806</v>
      </c>
      <c r="F318" s="531">
        <v>422257</v>
      </c>
      <c r="G318" s="531">
        <v>64013.37</v>
      </c>
    </row>
    <row r="319" spans="1:7" ht="12" thickBot="1">
      <c r="A319" s="565" t="s">
        <v>1361</v>
      </c>
      <c r="B319" s="522" t="s">
        <v>436</v>
      </c>
      <c r="C319" s="522" t="s">
        <v>379</v>
      </c>
      <c r="D319" s="522" t="s">
        <v>1006</v>
      </c>
      <c r="E319" s="530">
        <v>854</v>
      </c>
      <c r="F319" s="531">
        <v>16723</v>
      </c>
      <c r="G319" s="531">
        <v>8215.48</v>
      </c>
    </row>
    <row r="320" spans="1:7" ht="12" thickBot="1">
      <c r="A320" s="565" t="s">
        <v>1361</v>
      </c>
      <c r="B320" s="522" t="s">
        <v>436</v>
      </c>
      <c r="C320" s="522" t="s">
        <v>389</v>
      </c>
      <c r="D320" s="522" t="s">
        <v>1007</v>
      </c>
      <c r="E320" s="524">
        <v>1355</v>
      </c>
      <c r="F320" s="525">
        <v>36448</v>
      </c>
      <c r="G320" s="525">
        <v>14629.25</v>
      </c>
    </row>
    <row r="321" spans="1:7" ht="12" thickBot="1">
      <c r="A321" s="565" t="s">
        <v>1361</v>
      </c>
      <c r="B321" s="522" t="s">
        <v>436</v>
      </c>
      <c r="C321" s="522" t="s">
        <v>412</v>
      </c>
      <c r="D321" s="522" t="s">
        <v>1008</v>
      </c>
      <c r="E321" s="530">
        <v>4025</v>
      </c>
      <c r="F321" s="531">
        <v>152011</v>
      </c>
      <c r="G321" s="531">
        <v>44861.72</v>
      </c>
    </row>
    <row r="322" spans="1:7" ht="12" thickBot="1">
      <c r="A322" s="565" t="s">
        <v>1361</v>
      </c>
      <c r="B322" s="522" t="s">
        <v>436</v>
      </c>
      <c r="C322" s="522" t="s">
        <v>367</v>
      </c>
      <c r="D322" s="522" t="s">
        <v>1009</v>
      </c>
      <c r="E322" s="524">
        <v>294</v>
      </c>
      <c r="F322" s="525">
        <v>33107</v>
      </c>
      <c r="G322" s="525">
        <v>9731.41</v>
      </c>
    </row>
    <row r="323" spans="1:7" ht="12" thickBot="1">
      <c r="A323" s="565" t="s">
        <v>1361</v>
      </c>
      <c r="B323" s="522" t="s">
        <v>436</v>
      </c>
      <c r="C323" s="522" t="s">
        <v>330</v>
      </c>
      <c r="D323" s="522" t="s">
        <v>1010</v>
      </c>
      <c r="E323" s="530">
        <v>61</v>
      </c>
      <c r="F323" s="531">
        <v>21414</v>
      </c>
      <c r="G323" s="531">
        <v>3370.26</v>
      </c>
    </row>
    <row r="324" spans="1:7" ht="12" thickBot="1">
      <c r="A324" s="565" t="s">
        <v>1361</v>
      </c>
      <c r="B324" s="522" t="s">
        <v>436</v>
      </c>
      <c r="C324" s="522" t="s">
        <v>371</v>
      </c>
      <c r="D324" s="522" t="s">
        <v>1011</v>
      </c>
      <c r="E324" s="524">
        <v>3666</v>
      </c>
      <c r="F324" s="525">
        <v>72368</v>
      </c>
      <c r="G324" s="525">
        <v>38456.339999999997</v>
      </c>
    </row>
    <row r="325" spans="1:7" ht="12" thickBot="1">
      <c r="A325" s="565" t="s">
        <v>1361</v>
      </c>
      <c r="B325" s="522" t="s">
        <v>436</v>
      </c>
      <c r="C325" s="522" t="s">
        <v>380</v>
      </c>
      <c r="D325" s="522" t="s">
        <v>1012</v>
      </c>
      <c r="E325" s="530">
        <v>8743</v>
      </c>
      <c r="F325" s="531">
        <v>238682</v>
      </c>
      <c r="G325" s="531">
        <v>101414</v>
      </c>
    </row>
    <row r="326" spans="1:7" ht="12" thickBot="1">
      <c r="A326" s="565" t="s">
        <v>1361</v>
      </c>
      <c r="B326" s="522" t="s">
        <v>436</v>
      </c>
      <c r="C326" s="522" t="s">
        <v>403</v>
      </c>
      <c r="D326" s="522" t="s">
        <v>1013</v>
      </c>
      <c r="E326" s="524">
        <v>3396</v>
      </c>
      <c r="F326" s="525">
        <v>129425</v>
      </c>
      <c r="G326" s="525">
        <v>41717.360000000001</v>
      </c>
    </row>
    <row r="327" spans="1:7" ht="12" thickBot="1">
      <c r="A327" s="565" t="s">
        <v>1361</v>
      </c>
      <c r="B327" s="522" t="s">
        <v>436</v>
      </c>
      <c r="C327" s="522" t="s">
        <v>360</v>
      </c>
      <c r="D327" s="522" t="s">
        <v>1014</v>
      </c>
      <c r="E327" s="530">
        <v>5167</v>
      </c>
      <c r="F327" s="531">
        <v>407328</v>
      </c>
      <c r="G327" s="531">
        <v>89957.47</v>
      </c>
    </row>
    <row r="328" spans="1:7" ht="12" thickBot="1">
      <c r="A328" s="565" t="s">
        <v>1361</v>
      </c>
      <c r="B328" s="522" t="s">
        <v>436</v>
      </c>
      <c r="C328" s="522" t="s">
        <v>392</v>
      </c>
      <c r="D328" s="522" t="s">
        <v>1015</v>
      </c>
      <c r="E328" s="524">
        <v>515</v>
      </c>
      <c r="F328" s="525">
        <v>78787</v>
      </c>
      <c r="G328" s="525">
        <v>12596.9</v>
      </c>
    </row>
    <row r="329" spans="1:7" ht="12" thickBot="1">
      <c r="A329" s="565" t="s">
        <v>1361</v>
      </c>
      <c r="B329" s="522" t="s">
        <v>436</v>
      </c>
      <c r="C329" s="522" t="s">
        <v>390</v>
      </c>
      <c r="D329" s="522" t="s">
        <v>1016</v>
      </c>
      <c r="E329" s="530">
        <v>4569</v>
      </c>
      <c r="F329" s="531">
        <v>124839</v>
      </c>
      <c r="G329" s="531">
        <v>76696.710000000006</v>
      </c>
    </row>
    <row r="330" spans="1:7" ht="12" thickBot="1">
      <c r="A330" s="565" t="s">
        <v>1361</v>
      </c>
      <c r="B330" s="522" t="s">
        <v>436</v>
      </c>
      <c r="C330" s="522" t="s">
        <v>414</v>
      </c>
      <c r="D330" s="522" t="s">
        <v>1017</v>
      </c>
      <c r="E330" s="524">
        <v>1063</v>
      </c>
      <c r="F330" s="525">
        <v>40276</v>
      </c>
      <c r="G330" s="525">
        <v>22204.61</v>
      </c>
    </row>
    <row r="331" spans="1:7" ht="12" thickBot="1">
      <c r="A331" s="565" t="s">
        <v>1361</v>
      </c>
      <c r="B331" s="522" t="s">
        <v>436</v>
      </c>
      <c r="C331" s="522" t="s">
        <v>364</v>
      </c>
      <c r="D331" s="522" t="s">
        <v>1018</v>
      </c>
      <c r="E331" s="530">
        <v>1411</v>
      </c>
      <c r="F331" s="531">
        <v>111040</v>
      </c>
      <c r="G331" s="531">
        <v>38049.68</v>
      </c>
    </row>
    <row r="332" spans="1:7" ht="12" thickBot="1">
      <c r="A332" s="565" t="s">
        <v>1361</v>
      </c>
      <c r="B332" s="522" t="s">
        <v>436</v>
      </c>
      <c r="C332" s="522" t="s">
        <v>396</v>
      </c>
      <c r="D332" s="522" t="s">
        <v>1019</v>
      </c>
      <c r="E332" s="524">
        <v>951</v>
      </c>
      <c r="F332" s="525">
        <v>142763</v>
      </c>
      <c r="G332" s="525">
        <v>31466.21</v>
      </c>
    </row>
    <row r="333" spans="1:7" ht="12" thickBot="1">
      <c r="A333" s="565" t="s">
        <v>1361</v>
      </c>
      <c r="B333" s="522" t="s">
        <v>436</v>
      </c>
      <c r="C333" s="522" t="s">
        <v>415</v>
      </c>
      <c r="D333" s="522" t="s">
        <v>1020</v>
      </c>
      <c r="E333" s="524">
        <v>11147</v>
      </c>
      <c r="F333" s="525">
        <v>413239</v>
      </c>
      <c r="G333" s="525">
        <v>99614.8</v>
      </c>
    </row>
    <row r="334" spans="1:7" ht="12" thickBot="1">
      <c r="A334" s="565" t="s">
        <v>1361</v>
      </c>
      <c r="B334" s="522" t="s">
        <v>436</v>
      </c>
      <c r="C334" s="522" t="s">
        <v>365</v>
      </c>
      <c r="D334" s="522" t="s">
        <v>1021</v>
      </c>
      <c r="E334" s="524">
        <v>6632</v>
      </c>
      <c r="F334" s="525">
        <v>512569</v>
      </c>
      <c r="G334" s="525">
        <v>90475.08</v>
      </c>
    </row>
    <row r="335" spans="1:7" ht="12" thickBot="1">
      <c r="A335" s="565" t="s">
        <v>1361</v>
      </c>
      <c r="B335" s="522" t="s">
        <v>436</v>
      </c>
      <c r="C335" s="522" t="s">
        <v>397</v>
      </c>
      <c r="D335" s="522" t="s">
        <v>1022</v>
      </c>
      <c r="E335" s="524">
        <v>8347</v>
      </c>
      <c r="F335" s="525">
        <v>1248214</v>
      </c>
      <c r="G335" s="525">
        <v>161411.22</v>
      </c>
    </row>
    <row r="336" spans="1:7" ht="12" thickBot="1">
      <c r="A336" s="565" t="s">
        <v>1361</v>
      </c>
      <c r="B336" s="522" t="s">
        <v>436</v>
      </c>
      <c r="C336" s="522" t="s">
        <v>337</v>
      </c>
      <c r="D336" s="522" t="s">
        <v>1023</v>
      </c>
      <c r="E336" s="524">
        <v>58</v>
      </c>
      <c r="F336" s="525">
        <v>2776</v>
      </c>
      <c r="G336" s="525">
        <v>897.26</v>
      </c>
    </row>
    <row r="337" spans="1:7" ht="12" thickBot="1">
      <c r="A337" s="565" t="s">
        <v>1361</v>
      </c>
      <c r="B337" s="522" t="s">
        <v>436</v>
      </c>
      <c r="C337" s="522" t="s">
        <v>369</v>
      </c>
      <c r="D337" s="522" t="s">
        <v>1024</v>
      </c>
      <c r="E337" s="530">
        <v>301</v>
      </c>
      <c r="F337" s="531">
        <v>33049</v>
      </c>
      <c r="G337" s="531">
        <v>6530.75</v>
      </c>
    </row>
    <row r="338" spans="1:7" ht="12" thickBot="1">
      <c r="A338" s="565" t="s">
        <v>1361</v>
      </c>
      <c r="B338" s="522" t="s">
        <v>436</v>
      </c>
      <c r="C338" s="522" t="s">
        <v>715</v>
      </c>
      <c r="D338" s="522" t="s">
        <v>1025</v>
      </c>
      <c r="E338" s="524">
        <v>2</v>
      </c>
      <c r="F338" s="525">
        <v>51</v>
      </c>
      <c r="G338" s="525">
        <v>30.74</v>
      </c>
    </row>
    <row r="339" spans="1:7" ht="12" thickBot="1">
      <c r="A339" s="565" t="s">
        <v>1361</v>
      </c>
      <c r="B339" s="522" t="s">
        <v>436</v>
      </c>
      <c r="C339" s="522" t="s">
        <v>332</v>
      </c>
      <c r="D339" s="522" t="s">
        <v>1026</v>
      </c>
      <c r="E339" s="530">
        <v>43</v>
      </c>
      <c r="F339" s="531">
        <v>14638</v>
      </c>
      <c r="G339" s="531">
        <v>1965.1</v>
      </c>
    </row>
    <row r="340" spans="1:7" ht="12" thickBot="1">
      <c r="A340" s="565" t="s">
        <v>1361</v>
      </c>
      <c r="B340" s="522" t="s">
        <v>436</v>
      </c>
      <c r="C340" s="522" t="s">
        <v>334</v>
      </c>
      <c r="D340" s="522" t="s">
        <v>1027</v>
      </c>
      <c r="E340" s="524">
        <v>168</v>
      </c>
      <c r="F340" s="525">
        <v>8108</v>
      </c>
      <c r="G340" s="525">
        <v>4766.16</v>
      </c>
    </row>
    <row r="341" spans="1:7" ht="12" thickBot="1">
      <c r="A341" s="565" t="s">
        <v>1361</v>
      </c>
      <c r="B341" s="522" t="s">
        <v>436</v>
      </c>
      <c r="C341" s="522" t="s">
        <v>366</v>
      </c>
      <c r="D341" s="522" t="s">
        <v>1028</v>
      </c>
      <c r="E341" s="530">
        <v>620</v>
      </c>
      <c r="F341" s="531">
        <v>68106</v>
      </c>
      <c r="G341" s="531">
        <v>21408.84</v>
      </c>
    </row>
    <row r="342" spans="1:7" ht="12" thickBot="1">
      <c r="A342" s="565" t="s">
        <v>1361</v>
      </c>
      <c r="B342" s="522" t="s">
        <v>436</v>
      </c>
      <c r="C342" s="522" t="s">
        <v>329</v>
      </c>
      <c r="D342" s="522" t="s">
        <v>1029</v>
      </c>
      <c r="E342" s="524">
        <v>157</v>
      </c>
      <c r="F342" s="525">
        <v>52698</v>
      </c>
      <c r="G342" s="525">
        <v>9077.5400000000009</v>
      </c>
    </row>
    <row r="343" spans="1:7" ht="12" thickBot="1">
      <c r="A343" s="565" t="s">
        <v>1361</v>
      </c>
      <c r="B343" s="522" t="s">
        <v>436</v>
      </c>
      <c r="C343" s="522" t="s">
        <v>683</v>
      </c>
      <c r="D343" s="522" t="s">
        <v>1047</v>
      </c>
      <c r="E343" s="530">
        <v>10</v>
      </c>
      <c r="F343" s="531">
        <v>369</v>
      </c>
      <c r="G343" s="531">
        <v>153.5</v>
      </c>
    </row>
    <row r="344" spans="1:7" ht="12" thickBot="1">
      <c r="A344" s="565" t="s">
        <v>1361</v>
      </c>
      <c r="B344" s="522" t="s">
        <v>436</v>
      </c>
      <c r="C344" s="522" t="s">
        <v>463</v>
      </c>
      <c r="D344" s="522" t="s">
        <v>1030</v>
      </c>
      <c r="E344" s="524">
        <v>12</v>
      </c>
      <c r="F344" s="525">
        <v>573</v>
      </c>
      <c r="G344" s="525">
        <v>212.64</v>
      </c>
    </row>
    <row r="345" spans="1:7" ht="12" thickBot="1">
      <c r="A345" s="565" t="s">
        <v>1361</v>
      </c>
      <c r="B345" s="522" t="s">
        <v>436</v>
      </c>
      <c r="C345" s="522" t="s">
        <v>653</v>
      </c>
      <c r="D345" s="522" t="s">
        <v>1031</v>
      </c>
      <c r="E345" s="530">
        <v>24</v>
      </c>
      <c r="F345" s="531">
        <v>3606</v>
      </c>
      <c r="G345" s="531">
        <v>515.76</v>
      </c>
    </row>
    <row r="346" spans="1:7" ht="12" thickBot="1">
      <c r="A346" s="565" t="s">
        <v>1361</v>
      </c>
      <c r="B346" s="522" t="s">
        <v>436</v>
      </c>
      <c r="C346" s="543" t="s">
        <v>9</v>
      </c>
      <c r="D346" s="544"/>
      <c r="E346" s="539">
        <v>170857</v>
      </c>
      <c r="F346" s="540">
        <v>9971729</v>
      </c>
      <c r="G346" s="540">
        <v>2119873.52</v>
      </c>
    </row>
    <row r="347" spans="1:7" ht="12.75" thickBot="1">
      <c r="A347" s="834"/>
      <c r="B347" s="835"/>
      <c r="C347" s="550"/>
      <c r="D347" s="541"/>
      <c r="E347" s="522" t="s">
        <v>65</v>
      </c>
      <c r="F347" s="522" t="s">
        <v>66</v>
      </c>
      <c r="G347" s="522" t="s">
        <v>3</v>
      </c>
    </row>
    <row r="348" spans="1:7" ht="12" thickBot="1">
      <c r="A348" s="522" t="s">
        <v>0</v>
      </c>
      <c r="B348" s="522"/>
      <c r="C348" s="522" t="s">
        <v>6</v>
      </c>
      <c r="D348" s="557"/>
      <c r="E348" s="541"/>
      <c r="F348" s="541" t="s">
        <v>7</v>
      </c>
      <c r="G348" s="541" t="s">
        <v>8</v>
      </c>
    </row>
    <row r="349" spans="1:7" ht="12" thickBot="1">
      <c r="A349" s="588" t="s">
        <v>1362</v>
      </c>
      <c r="B349" s="522" t="s">
        <v>436</v>
      </c>
      <c r="C349" s="522" t="s">
        <v>449</v>
      </c>
      <c r="D349" s="522" t="s">
        <v>448</v>
      </c>
      <c r="E349" s="530">
        <v>2</v>
      </c>
      <c r="F349" s="531">
        <v>122</v>
      </c>
      <c r="G349" s="531">
        <v>19.04</v>
      </c>
    </row>
    <row r="350" spans="1:7" ht="12" thickBot="1">
      <c r="A350" s="588" t="s">
        <v>1362</v>
      </c>
      <c r="B350" s="522" t="s">
        <v>436</v>
      </c>
      <c r="C350" s="522" t="s">
        <v>447</v>
      </c>
      <c r="D350" s="522" t="s">
        <v>446</v>
      </c>
      <c r="E350" s="524">
        <v>1</v>
      </c>
      <c r="F350" s="525">
        <v>35</v>
      </c>
      <c r="G350" s="525">
        <v>6.9</v>
      </c>
    </row>
    <row r="351" spans="1:7" ht="12" thickBot="1">
      <c r="A351" s="588" t="s">
        <v>1362</v>
      </c>
      <c r="B351" s="522" t="s">
        <v>436</v>
      </c>
      <c r="C351" s="522" t="s">
        <v>339</v>
      </c>
      <c r="D351" s="522" t="s">
        <v>952</v>
      </c>
      <c r="E351" s="530">
        <v>178</v>
      </c>
      <c r="F351" s="531">
        <v>9961</v>
      </c>
      <c r="G351" s="531">
        <v>9848.74</v>
      </c>
    </row>
    <row r="352" spans="1:7" ht="12" thickBot="1">
      <c r="A352" s="588" t="s">
        <v>1362</v>
      </c>
      <c r="B352" s="522" t="s">
        <v>436</v>
      </c>
      <c r="C352" s="522" t="s">
        <v>344</v>
      </c>
      <c r="D352" s="522" t="s">
        <v>953</v>
      </c>
      <c r="E352" s="524">
        <v>25</v>
      </c>
      <c r="F352" s="525">
        <v>1427</v>
      </c>
      <c r="G352" s="525">
        <v>2079</v>
      </c>
    </row>
    <row r="353" spans="1:7" ht="12" thickBot="1">
      <c r="A353" s="588" t="s">
        <v>1362</v>
      </c>
      <c r="B353" s="522" t="s">
        <v>436</v>
      </c>
      <c r="C353" s="522" t="s">
        <v>347</v>
      </c>
      <c r="D353" s="522" t="s">
        <v>954</v>
      </c>
      <c r="E353" s="530">
        <v>43</v>
      </c>
      <c r="F353" s="531">
        <v>1982</v>
      </c>
      <c r="G353" s="531">
        <v>2570.54</v>
      </c>
    </row>
    <row r="354" spans="1:7" ht="12" thickBot="1">
      <c r="A354" s="588" t="s">
        <v>1362</v>
      </c>
      <c r="B354" s="522" t="s">
        <v>436</v>
      </c>
      <c r="C354" s="522" t="s">
        <v>348</v>
      </c>
      <c r="D354" s="522" t="s">
        <v>955</v>
      </c>
      <c r="E354" s="524">
        <v>5</v>
      </c>
      <c r="F354" s="525">
        <v>295</v>
      </c>
      <c r="G354" s="525">
        <v>308.75</v>
      </c>
    </row>
    <row r="355" spans="1:7" ht="12" thickBot="1">
      <c r="A355" s="588" t="s">
        <v>1362</v>
      </c>
      <c r="B355" s="522" t="s">
        <v>436</v>
      </c>
      <c r="C355" s="522" t="s">
        <v>349</v>
      </c>
      <c r="D355" s="522" t="s">
        <v>956</v>
      </c>
      <c r="E355" s="530">
        <v>1</v>
      </c>
      <c r="F355" s="531">
        <v>59</v>
      </c>
      <c r="G355" s="531">
        <v>63.11</v>
      </c>
    </row>
    <row r="356" spans="1:7" ht="12" thickBot="1">
      <c r="A356" s="588" t="s">
        <v>1362</v>
      </c>
      <c r="B356" s="522" t="s">
        <v>436</v>
      </c>
      <c r="C356" s="522" t="s">
        <v>351</v>
      </c>
      <c r="D356" s="522" t="s">
        <v>957</v>
      </c>
      <c r="E356" s="524">
        <v>5</v>
      </c>
      <c r="F356" s="525">
        <v>292</v>
      </c>
      <c r="G356" s="525">
        <v>404.7</v>
      </c>
    </row>
    <row r="357" spans="1:7" ht="12" thickBot="1">
      <c r="A357" s="588" t="s">
        <v>1362</v>
      </c>
      <c r="B357" s="522" t="s">
        <v>436</v>
      </c>
      <c r="C357" s="522" t="s">
        <v>352</v>
      </c>
      <c r="D357" s="522" t="s">
        <v>958</v>
      </c>
      <c r="E357" s="530">
        <v>9</v>
      </c>
      <c r="F357" s="531">
        <v>528</v>
      </c>
      <c r="G357" s="531">
        <v>710.73</v>
      </c>
    </row>
    <row r="358" spans="1:7" ht="12" thickBot="1">
      <c r="A358" s="588" t="s">
        <v>1362</v>
      </c>
      <c r="B358" s="522" t="s">
        <v>436</v>
      </c>
      <c r="C358" s="522" t="s">
        <v>354</v>
      </c>
      <c r="D358" s="522" t="s">
        <v>959</v>
      </c>
      <c r="E358" s="524">
        <v>25</v>
      </c>
      <c r="F358" s="525">
        <v>1420</v>
      </c>
      <c r="G358" s="525">
        <v>1530.75</v>
      </c>
    </row>
    <row r="359" spans="1:7" ht="12" thickBot="1">
      <c r="A359" s="588" t="s">
        <v>1362</v>
      </c>
      <c r="B359" s="522" t="s">
        <v>436</v>
      </c>
      <c r="C359" s="522" t="s">
        <v>355</v>
      </c>
      <c r="D359" s="522" t="s">
        <v>960</v>
      </c>
      <c r="E359" s="530">
        <v>1</v>
      </c>
      <c r="F359" s="531">
        <v>59</v>
      </c>
      <c r="G359" s="531">
        <v>56.69</v>
      </c>
    </row>
    <row r="360" spans="1:7" ht="12" thickBot="1">
      <c r="A360" s="588" t="s">
        <v>1362</v>
      </c>
      <c r="B360" s="522" t="s">
        <v>436</v>
      </c>
      <c r="C360" s="522" t="s">
        <v>341</v>
      </c>
      <c r="D360" s="522" t="s">
        <v>961</v>
      </c>
      <c r="E360" s="524">
        <v>15</v>
      </c>
      <c r="F360" s="525">
        <v>860</v>
      </c>
      <c r="G360" s="525">
        <v>1117.8</v>
      </c>
    </row>
    <row r="361" spans="1:7" ht="12" thickBot="1">
      <c r="A361" s="588" t="s">
        <v>1362</v>
      </c>
      <c r="B361" s="522" t="s">
        <v>436</v>
      </c>
      <c r="C361" s="522" t="s">
        <v>350</v>
      </c>
      <c r="D361" s="522" t="s">
        <v>962</v>
      </c>
      <c r="E361" s="530">
        <v>1</v>
      </c>
      <c r="F361" s="531">
        <v>59</v>
      </c>
      <c r="G361" s="531">
        <v>82.3</v>
      </c>
    </row>
    <row r="362" spans="1:7" ht="12" thickBot="1">
      <c r="A362" s="588" t="s">
        <v>1362</v>
      </c>
      <c r="B362" s="522" t="s">
        <v>436</v>
      </c>
      <c r="C362" s="522" t="s">
        <v>342</v>
      </c>
      <c r="D362" s="522" t="s">
        <v>963</v>
      </c>
      <c r="E362" s="524">
        <v>20</v>
      </c>
      <c r="F362" s="525">
        <v>1112</v>
      </c>
      <c r="G362" s="525">
        <v>1490.4</v>
      </c>
    </row>
    <row r="363" spans="1:7" ht="12" thickBot="1">
      <c r="A363" s="588" t="s">
        <v>1362</v>
      </c>
      <c r="B363" s="522" t="s">
        <v>436</v>
      </c>
      <c r="C363" s="522" t="s">
        <v>346</v>
      </c>
      <c r="D363" s="522" t="s">
        <v>964</v>
      </c>
      <c r="E363" s="530">
        <v>4</v>
      </c>
      <c r="F363" s="531">
        <v>229</v>
      </c>
      <c r="G363" s="531">
        <v>303.52</v>
      </c>
    </row>
    <row r="364" spans="1:7" ht="12" thickBot="1">
      <c r="A364" s="588" t="s">
        <v>1362</v>
      </c>
      <c r="B364" s="522" t="s">
        <v>436</v>
      </c>
      <c r="C364" s="522" t="s">
        <v>353</v>
      </c>
      <c r="D364" s="522" t="s">
        <v>965</v>
      </c>
      <c r="E364" s="524">
        <v>3</v>
      </c>
      <c r="F364" s="525">
        <v>167</v>
      </c>
      <c r="G364" s="525">
        <v>236.91</v>
      </c>
    </row>
    <row r="365" spans="1:7" ht="12" thickBot="1">
      <c r="A365" s="588" t="s">
        <v>1362</v>
      </c>
      <c r="B365" s="522" t="s">
        <v>436</v>
      </c>
      <c r="C365" s="522" t="s">
        <v>345</v>
      </c>
      <c r="D365" s="522" t="s">
        <v>966</v>
      </c>
      <c r="E365" s="530">
        <v>2</v>
      </c>
      <c r="F365" s="531">
        <v>111</v>
      </c>
      <c r="G365" s="531">
        <v>154.52000000000001</v>
      </c>
    </row>
    <row r="366" spans="1:7" ht="12" thickBot="1">
      <c r="A366" s="588" t="s">
        <v>1362</v>
      </c>
      <c r="B366" s="522" t="s">
        <v>436</v>
      </c>
      <c r="C366" s="522" t="s">
        <v>343</v>
      </c>
      <c r="D366" s="522" t="s">
        <v>967</v>
      </c>
      <c r="E366" s="524">
        <v>51</v>
      </c>
      <c r="F366" s="525">
        <v>2869</v>
      </c>
      <c r="G366" s="525">
        <v>3273.69</v>
      </c>
    </row>
    <row r="367" spans="1:7" ht="12" thickBot="1">
      <c r="A367" s="588" t="s">
        <v>1362</v>
      </c>
      <c r="B367" s="522" t="s">
        <v>436</v>
      </c>
      <c r="C367" s="522" t="s">
        <v>472</v>
      </c>
      <c r="D367" s="522" t="s">
        <v>968</v>
      </c>
      <c r="E367" s="530">
        <v>2</v>
      </c>
      <c r="F367" s="531">
        <v>111</v>
      </c>
      <c r="G367" s="531">
        <v>151.80000000000001</v>
      </c>
    </row>
    <row r="368" spans="1:7" ht="12" thickBot="1">
      <c r="A368" s="588" t="s">
        <v>1362</v>
      </c>
      <c r="B368" s="522" t="s">
        <v>436</v>
      </c>
      <c r="C368" s="522" t="s">
        <v>382</v>
      </c>
      <c r="D368" s="522" t="s">
        <v>969</v>
      </c>
      <c r="E368" s="524">
        <v>52</v>
      </c>
      <c r="F368" s="525">
        <v>1267</v>
      </c>
      <c r="G368" s="525">
        <v>772.72</v>
      </c>
    </row>
    <row r="369" spans="1:7" ht="12" thickBot="1">
      <c r="A369" s="588" t="s">
        <v>1362</v>
      </c>
      <c r="B369" s="522" t="s">
        <v>436</v>
      </c>
      <c r="C369" s="522" t="s">
        <v>402</v>
      </c>
      <c r="D369" s="522" t="s">
        <v>970</v>
      </c>
      <c r="E369" s="530">
        <v>7101</v>
      </c>
      <c r="F369" s="531">
        <v>424496</v>
      </c>
      <c r="G369" s="531">
        <v>74592.94</v>
      </c>
    </row>
    <row r="370" spans="1:7" ht="12" thickBot="1">
      <c r="A370" s="588" t="s">
        <v>1362</v>
      </c>
      <c r="B370" s="522" t="s">
        <v>436</v>
      </c>
      <c r="C370" s="522" t="s">
        <v>398</v>
      </c>
      <c r="D370" s="522" t="s">
        <v>971</v>
      </c>
      <c r="E370" s="524">
        <v>141</v>
      </c>
      <c r="F370" s="525">
        <v>19685</v>
      </c>
      <c r="G370" s="525">
        <v>1651.11</v>
      </c>
    </row>
    <row r="371" spans="1:7" ht="12" thickBot="1">
      <c r="A371" s="588" t="s">
        <v>1362</v>
      </c>
      <c r="B371" s="522" t="s">
        <v>436</v>
      </c>
      <c r="C371" s="522" t="s">
        <v>376</v>
      </c>
      <c r="D371" s="522" t="s">
        <v>972</v>
      </c>
      <c r="E371" s="524">
        <v>240</v>
      </c>
      <c r="F371" s="525">
        <v>4220</v>
      </c>
      <c r="G371" s="525">
        <v>4862.3999999999996</v>
      </c>
    </row>
    <row r="372" spans="1:7" ht="12" thickBot="1">
      <c r="A372" s="588" t="s">
        <v>1362</v>
      </c>
      <c r="B372" s="522" t="s">
        <v>436</v>
      </c>
      <c r="C372" s="522" t="s">
        <v>384</v>
      </c>
      <c r="D372" s="522" t="s">
        <v>973</v>
      </c>
      <c r="E372" s="530">
        <v>150</v>
      </c>
      <c r="F372" s="531">
        <v>3617</v>
      </c>
      <c r="G372" s="531">
        <v>3207</v>
      </c>
    </row>
    <row r="373" spans="1:7" ht="12" thickBot="1">
      <c r="A373" s="588" t="s">
        <v>1362</v>
      </c>
      <c r="B373" s="522" t="s">
        <v>436</v>
      </c>
      <c r="C373" s="522" t="s">
        <v>386</v>
      </c>
      <c r="D373" s="522" t="s">
        <v>974</v>
      </c>
      <c r="E373" s="524">
        <v>28</v>
      </c>
      <c r="F373" s="525">
        <v>697</v>
      </c>
      <c r="G373" s="525">
        <v>863.52</v>
      </c>
    </row>
    <row r="374" spans="1:7" ht="12" thickBot="1">
      <c r="A374" s="588" t="s">
        <v>1362</v>
      </c>
      <c r="B374" s="522" t="s">
        <v>436</v>
      </c>
      <c r="C374" s="522" t="s">
        <v>409</v>
      </c>
      <c r="D374" s="522" t="s">
        <v>975</v>
      </c>
      <c r="E374" s="530">
        <v>96</v>
      </c>
      <c r="F374" s="531">
        <v>3357</v>
      </c>
      <c r="G374" s="531">
        <v>2997.12</v>
      </c>
    </row>
    <row r="375" spans="1:7" ht="12" thickBot="1">
      <c r="A375" s="588" t="s">
        <v>1362</v>
      </c>
      <c r="B375" s="522" t="s">
        <v>436</v>
      </c>
      <c r="C375" s="522" t="s">
        <v>387</v>
      </c>
      <c r="D375" s="522" t="s">
        <v>976</v>
      </c>
      <c r="E375" s="524">
        <v>21</v>
      </c>
      <c r="F375" s="525">
        <v>566</v>
      </c>
      <c r="G375" s="525">
        <v>647.64</v>
      </c>
    </row>
    <row r="376" spans="1:7" ht="12" thickBot="1">
      <c r="A376" s="588" t="s">
        <v>1362</v>
      </c>
      <c r="B376" s="522" t="s">
        <v>436</v>
      </c>
      <c r="C376" s="522" t="s">
        <v>410</v>
      </c>
      <c r="D376" s="522" t="s">
        <v>977</v>
      </c>
      <c r="E376" s="530">
        <v>10</v>
      </c>
      <c r="F376" s="531">
        <v>380</v>
      </c>
      <c r="G376" s="531">
        <v>312.2</v>
      </c>
    </row>
    <row r="377" spans="1:7" ht="12" thickBot="1">
      <c r="A377" s="588" t="s">
        <v>1362</v>
      </c>
      <c r="B377" s="522" t="s">
        <v>436</v>
      </c>
      <c r="C377" s="522" t="s">
        <v>405</v>
      </c>
      <c r="D377" s="522" t="s">
        <v>978</v>
      </c>
      <c r="E377" s="524">
        <v>466</v>
      </c>
      <c r="F377" s="525">
        <v>16149</v>
      </c>
      <c r="G377" s="525">
        <v>7118.85</v>
      </c>
    </row>
    <row r="378" spans="1:7" ht="12" thickBot="1">
      <c r="A378" s="588" t="s">
        <v>1362</v>
      </c>
      <c r="B378" s="522" t="s">
        <v>436</v>
      </c>
      <c r="C378" s="522" t="s">
        <v>326</v>
      </c>
      <c r="D378" s="522" t="s">
        <v>979</v>
      </c>
      <c r="E378" s="530">
        <v>5</v>
      </c>
      <c r="F378" s="531">
        <v>152</v>
      </c>
      <c r="G378" s="531">
        <v>16.95</v>
      </c>
    </row>
    <row r="379" spans="1:7" ht="12" thickBot="1">
      <c r="A379" s="588" t="s">
        <v>1362</v>
      </c>
      <c r="B379" s="522" t="s">
        <v>436</v>
      </c>
      <c r="C379" s="522" t="s">
        <v>356</v>
      </c>
      <c r="D379" s="522" t="s">
        <v>980</v>
      </c>
      <c r="E379" s="524">
        <v>674</v>
      </c>
      <c r="F379" s="525">
        <v>39662</v>
      </c>
      <c r="G379" s="525">
        <v>3054.81</v>
      </c>
    </row>
    <row r="380" spans="1:7" ht="12" thickBot="1">
      <c r="A380" s="588" t="s">
        <v>1362</v>
      </c>
      <c r="B380" s="522" t="s">
        <v>436</v>
      </c>
      <c r="C380" s="522" t="s">
        <v>374</v>
      </c>
      <c r="D380" s="522" t="s">
        <v>981</v>
      </c>
      <c r="E380" s="530">
        <v>47</v>
      </c>
      <c r="F380" s="531">
        <v>4825</v>
      </c>
      <c r="G380" s="531">
        <v>318.66000000000003</v>
      </c>
    </row>
    <row r="381" spans="1:7" ht="12" thickBot="1">
      <c r="A381" s="588" t="s">
        <v>1362</v>
      </c>
      <c r="B381" s="522" t="s">
        <v>436</v>
      </c>
      <c r="C381" s="522" t="s">
        <v>399</v>
      </c>
      <c r="D381" s="522" t="s">
        <v>982</v>
      </c>
      <c r="E381" s="524">
        <v>2</v>
      </c>
      <c r="F381" s="525">
        <v>279</v>
      </c>
      <c r="G381" s="525">
        <v>18.12</v>
      </c>
    </row>
    <row r="382" spans="1:7" ht="12" thickBot="1">
      <c r="A382" s="588" t="s">
        <v>1362</v>
      </c>
      <c r="B382" s="522" t="s">
        <v>436</v>
      </c>
      <c r="C382" s="522" t="s">
        <v>391</v>
      </c>
      <c r="D382" s="522" t="s">
        <v>983</v>
      </c>
      <c r="E382" s="530">
        <v>170</v>
      </c>
      <c r="F382" s="531">
        <v>4106</v>
      </c>
      <c r="G382" s="531">
        <v>1256.53</v>
      </c>
    </row>
    <row r="383" spans="1:7" ht="12" thickBot="1">
      <c r="A383" s="588" t="s">
        <v>1362</v>
      </c>
      <c r="B383" s="522" t="s">
        <v>436</v>
      </c>
      <c r="C383" s="522" t="s">
        <v>416</v>
      </c>
      <c r="D383" s="522" t="s">
        <v>984</v>
      </c>
      <c r="E383" s="524">
        <v>36658</v>
      </c>
      <c r="F383" s="525">
        <v>1236726</v>
      </c>
      <c r="G383" s="525">
        <v>285222.11</v>
      </c>
    </row>
    <row r="384" spans="1:7" ht="12" thickBot="1">
      <c r="A384" s="588" t="s">
        <v>1362</v>
      </c>
      <c r="B384" s="522" t="s">
        <v>436</v>
      </c>
      <c r="C384" s="522" t="s">
        <v>407</v>
      </c>
      <c r="D384" s="522" t="s">
        <v>985</v>
      </c>
      <c r="E384" s="530">
        <v>1185</v>
      </c>
      <c r="F384" s="531">
        <v>40922</v>
      </c>
      <c r="G384" s="531">
        <v>26004</v>
      </c>
    </row>
    <row r="385" spans="1:7" ht="12" thickBot="1">
      <c r="A385" s="588" t="s">
        <v>1362</v>
      </c>
      <c r="B385" s="522" t="s">
        <v>436</v>
      </c>
      <c r="C385" s="522" t="s">
        <v>373</v>
      </c>
      <c r="D385" s="522" t="s">
        <v>986</v>
      </c>
      <c r="E385" s="524">
        <v>3</v>
      </c>
      <c r="F385" s="525">
        <v>327</v>
      </c>
      <c r="G385" s="525">
        <v>23.22</v>
      </c>
    </row>
    <row r="386" spans="1:7" ht="12" thickBot="1">
      <c r="A386" s="588" t="s">
        <v>1362</v>
      </c>
      <c r="B386" s="522" t="s">
        <v>436</v>
      </c>
      <c r="C386" s="522" t="s">
        <v>375</v>
      </c>
      <c r="D386" s="522" t="s">
        <v>987</v>
      </c>
      <c r="E386" s="530">
        <v>2</v>
      </c>
      <c r="F386" s="531">
        <v>34</v>
      </c>
      <c r="G386" s="531">
        <v>27.22</v>
      </c>
    </row>
    <row r="387" spans="1:7" ht="12" thickBot="1">
      <c r="A387" s="588" t="s">
        <v>1362</v>
      </c>
      <c r="B387" s="522" t="s">
        <v>436</v>
      </c>
      <c r="C387" s="522" t="s">
        <v>401</v>
      </c>
      <c r="D387" s="522" t="s">
        <v>988</v>
      </c>
      <c r="E387" s="524">
        <v>1080</v>
      </c>
      <c r="F387" s="525">
        <v>66536</v>
      </c>
      <c r="G387" s="525">
        <v>10324.799999999999</v>
      </c>
    </row>
    <row r="388" spans="1:7" ht="12" thickBot="1">
      <c r="A388" s="588" t="s">
        <v>1362</v>
      </c>
      <c r="B388" s="522" t="s">
        <v>436</v>
      </c>
      <c r="C388" s="522" t="s">
        <v>328</v>
      </c>
      <c r="D388" s="522" t="s">
        <v>989</v>
      </c>
      <c r="E388" s="530">
        <v>742</v>
      </c>
      <c r="F388" s="531">
        <v>66765</v>
      </c>
      <c r="G388" s="531">
        <v>8364.34</v>
      </c>
    </row>
    <row r="389" spans="1:7" ht="12" thickBot="1">
      <c r="A389" s="588" t="s">
        <v>1362</v>
      </c>
      <c r="B389" s="522" t="s">
        <v>436</v>
      </c>
      <c r="C389" s="522" t="s">
        <v>437</v>
      </c>
      <c r="D389" s="522" t="s">
        <v>990</v>
      </c>
      <c r="E389" s="524">
        <v>1477</v>
      </c>
      <c r="F389" s="525">
        <v>202882</v>
      </c>
      <c r="G389" s="525">
        <v>18874.169999999998</v>
      </c>
    </row>
    <row r="390" spans="1:7" ht="12" thickBot="1">
      <c r="A390" s="588" t="s">
        <v>1362</v>
      </c>
      <c r="B390" s="522" t="s">
        <v>436</v>
      </c>
      <c r="C390" s="522" t="s">
        <v>338</v>
      </c>
      <c r="D390" s="522" t="s">
        <v>991</v>
      </c>
      <c r="E390" s="524">
        <v>669</v>
      </c>
      <c r="F390" s="525">
        <v>29418</v>
      </c>
      <c r="G390" s="525">
        <v>9539.89</v>
      </c>
    </row>
    <row r="391" spans="1:7" ht="12" thickBot="1">
      <c r="A391" s="588" t="s">
        <v>1362</v>
      </c>
      <c r="B391" s="522" t="s">
        <v>436</v>
      </c>
      <c r="C391" s="522" t="s">
        <v>370</v>
      </c>
      <c r="D391" s="522" t="s">
        <v>992</v>
      </c>
      <c r="E391" s="524">
        <v>5180</v>
      </c>
      <c r="F391" s="525">
        <v>532466</v>
      </c>
      <c r="G391" s="525">
        <v>104938.45</v>
      </c>
    </row>
    <row r="392" spans="1:7" ht="12" thickBot="1">
      <c r="A392" s="588" t="s">
        <v>1362</v>
      </c>
      <c r="B392" s="522" t="s">
        <v>436</v>
      </c>
      <c r="C392" s="522" t="s">
        <v>333</v>
      </c>
      <c r="D392" s="522" t="s">
        <v>993</v>
      </c>
      <c r="E392" s="524">
        <v>1038</v>
      </c>
      <c r="F392" s="525">
        <v>325327</v>
      </c>
      <c r="G392" s="525">
        <v>43845.88</v>
      </c>
    </row>
    <row r="393" spans="1:7" ht="12" thickBot="1">
      <c r="A393" s="588" t="s">
        <v>1362</v>
      </c>
      <c r="B393" s="522" t="s">
        <v>436</v>
      </c>
      <c r="C393" s="522" t="s">
        <v>336</v>
      </c>
      <c r="D393" s="522" t="s">
        <v>994</v>
      </c>
      <c r="E393" s="524">
        <v>151</v>
      </c>
      <c r="F393" s="525">
        <v>6671</v>
      </c>
      <c r="G393" s="525">
        <v>2804.34</v>
      </c>
    </row>
    <row r="394" spans="1:7" ht="12" thickBot="1">
      <c r="A394" s="588" t="s">
        <v>1362</v>
      </c>
      <c r="B394" s="522" t="s">
        <v>436</v>
      </c>
      <c r="C394" s="522" t="s">
        <v>368</v>
      </c>
      <c r="D394" s="522" t="s">
        <v>995</v>
      </c>
      <c r="E394" s="524">
        <v>1051</v>
      </c>
      <c r="F394" s="525">
        <v>108538</v>
      </c>
      <c r="G394" s="525">
        <v>25959.66</v>
      </c>
    </row>
    <row r="395" spans="1:7" ht="12" thickBot="1">
      <c r="A395" s="588" t="s">
        <v>1362</v>
      </c>
      <c r="B395" s="522" t="s">
        <v>436</v>
      </c>
      <c r="C395" s="522" t="s">
        <v>400</v>
      </c>
      <c r="D395" s="522" t="s">
        <v>996</v>
      </c>
      <c r="E395" s="530">
        <v>140</v>
      </c>
      <c r="F395" s="531">
        <v>8667</v>
      </c>
      <c r="G395" s="531">
        <v>1661.8</v>
      </c>
    </row>
    <row r="396" spans="1:7" ht="12" thickBot="1">
      <c r="A396" s="588" t="s">
        <v>1362</v>
      </c>
      <c r="B396" s="522" t="s">
        <v>436</v>
      </c>
      <c r="C396" s="522" t="s">
        <v>327</v>
      </c>
      <c r="D396" s="522" t="s">
        <v>997</v>
      </c>
      <c r="E396" s="524">
        <v>453</v>
      </c>
      <c r="F396" s="525">
        <v>41184</v>
      </c>
      <c r="G396" s="525">
        <v>6052.08</v>
      </c>
    </row>
    <row r="397" spans="1:7" ht="12" thickBot="1">
      <c r="A397" s="588" t="s">
        <v>1362</v>
      </c>
      <c r="B397" s="522" t="s">
        <v>436</v>
      </c>
      <c r="C397" s="522" t="s">
        <v>357</v>
      </c>
      <c r="D397" s="522" t="s">
        <v>998</v>
      </c>
      <c r="E397" s="530">
        <v>1473</v>
      </c>
      <c r="F397" s="531">
        <v>203596</v>
      </c>
      <c r="G397" s="531">
        <v>22185.22</v>
      </c>
    </row>
    <row r="398" spans="1:7" ht="12" thickBot="1">
      <c r="A398" s="588" t="s">
        <v>1362</v>
      </c>
      <c r="B398" s="522" t="s">
        <v>436</v>
      </c>
      <c r="C398" s="522" t="s">
        <v>331</v>
      </c>
      <c r="D398" s="522" t="s">
        <v>999</v>
      </c>
      <c r="E398" s="524">
        <v>223</v>
      </c>
      <c r="F398" s="525">
        <v>69200</v>
      </c>
      <c r="G398" s="525">
        <v>10407.44</v>
      </c>
    </row>
    <row r="399" spans="1:7" ht="12" thickBot="1">
      <c r="A399" s="588" t="s">
        <v>1362</v>
      </c>
      <c r="B399" s="522" t="s">
        <v>436</v>
      </c>
      <c r="C399" s="522" t="s">
        <v>335</v>
      </c>
      <c r="D399" s="522" t="s">
        <v>1000</v>
      </c>
      <c r="E399" s="524">
        <v>26</v>
      </c>
      <c r="F399" s="525">
        <v>1151</v>
      </c>
      <c r="G399" s="525">
        <v>705.9</v>
      </c>
    </row>
    <row r="400" spans="1:7" ht="12" thickBot="1">
      <c r="A400" s="588" t="s">
        <v>1362</v>
      </c>
      <c r="B400" s="522" t="s">
        <v>436</v>
      </c>
      <c r="C400" s="522" t="s">
        <v>372</v>
      </c>
      <c r="D400" s="522" t="s">
        <v>1001</v>
      </c>
      <c r="E400" s="530">
        <v>4370</v>
      </c>
      <c r="F400" s="531">
        <v>124739</v>
      </c>
      <c r="G400" s="531">
        <v>52220.94</v>
      </c>
    </row>
    <row r="401" spans="1:7" ht="12" thickBot="1">
      <c r="A401" s="588" t="s">
        <v>1362</v>
      </c>
      <c r="B401" s="522" t="s">
        <v>436</v>
      </c>
      <c r="C401" s="522" t="s">
        <v>381</v>
      </c>
      <c r="D401" s="522" t="s">
        <v>1002</v>
      </c>
      <c r="E401" s="524">
        <v>8851</v>
      </c>
      <c r="F401" s="525">
        <v>223648</v>
      </c>
      <c r="G401" s="525">
        <v>76651.97</v>
      </c>
    </row>
    <row r="402" spans="1:7" ht="12" thickBot="1">
      <c r="A402" s="588" t="s">
        <v>1362</v>
      </c>
      <c r="B402" s="522" t="s">
        <v>436</v>
      </c>
      <c r="C402" s="522" t="s">
        <v>404</v>
      </c>
      <c r="D402" s="522" t="s">
        <v>1003</v>
      </c>
      <c r="E402" s="530">
        <v>20240</v>
      </c>
      <c r="F402" s="531">
        <v>693781</v>
      </c>
      <c r="G402" s="531">
        <v>182480.28</v>
      </c>
    </row>
    <row r="403" spans="1:7" ht="12" thickBot="1">
      <c r="A403" s="588" t="s">
        <v>1362</v>
      </c>
      <c r="B403" s="522" t="s">
        <v>436</v>
      </c>
      <c r="C403" s="522" t="s">
        <v>361</v>
      </c>
      <c r="D403" s="522" t="s">
        <v>1004</v>
      </c>
      <c r="E403" s="530">
        <v>7395</v>
      </c>
      <c r="F403" s="531">
        <v>549134</v>
      </c>
      <c r="G403" s="531">
        <v>108590</v>
      </c>
    </row>
    <row r="404" spans="1:7" ht="12" thickBot="1">
      <c r="A404" s="588" t="s">
        <v>1362</v>
      </c>
      <c r="B404" s="522" t="s">
        <v>436</v>
      </c>
      <c r="C404" s="522" t="s">
        <v>393</v>
      </c>
      <c r="D404" s="522" t="s">
        <v>1005</v>
      </c>
      <c r="E404" s="530">
        <v>2813</v>
      </c>
      <c r="F404" s="531">
        <v>390816</v>
      </c>
      <c r="G404" s="531">
        <v>64172.78</v>
      </c>
    </row>
    <row r="405" spans="1:7" ht="12" thickBot="1">
      <c r="A405" s="588" t="s">
        <v>1362</v>
      </c>
      <c r="B405" s="522" t="s">
        <v>436</v>
      </c>
      <c r="C405" s="522" t="s">
        <v>379</v>
      </c>
      <c r="D405" s="522" t="s">
        <v>1006</v>
      </c>
      <c r="E405" s="530">
        <v>858</v>
      </c>
      <c r="F405" s="531">
        <v>15497</v>
      </c>
      <c r="G405" s="531">
        <v>8235.36</v>
      </c>
    </row>
    <row r="406" spans="1:7" ht="12" thickBot="1">
      <c r="A406" s="588" t="s">
        <v>1362</v>
      </c>
      <c r="B406" s="522" t="s">
        <v>436</v>
      </c>
      <c r="C406" s="522" t="s">
        <v>389</v>
      </c>
      <c r="D406" s="522" t="s">
        <v>1007</v>
      </c>
      <c r="E406" s="524">
        <v>1359</v>
      </c>
      <c r="F406" s="525">
        <v>33707</v>
      </c>
      <c r="G406" s="525">
        <v>14669.46</v>
      </c>
    </row>
    <row r="407" spans="1:7" ht="12" thickBot="1">
      <c r="A407" s="588" t="s">
        <v>1362</v>
      </c>
      <c r="B407" s="522" t="s">
        <v>436</v>
      </c>
      <c r="C407" s="522" t="s">
        <v>412</v>
      </c>
      <c r="D407" s="522" t="s">
        <v>1008</v>
      </c>
      <c r="E407" s="530">
        <v>4029</v>
      </c>
      <c r="F407" s="531">
        <v>139149</v>
      </c>
      <c r="G407" s="531">
        <v>44917.89</v>
      </c>
    </row>
    <row r="408" spans="1:7" ht="12" thickBot="1">
      <c r="A408" s="588" t="s">
        <v>1362</v>
      </c>
      <c r="B408" s="522" t="s">
        <v>436</v>
      </c>
      <c r="C408" s="522" t="s">
        <v>367</v>
      </c>
      <c r="D408" s="522" t="s">
        <v>1009</v>
      </c>
      <c r="E408" s="524">
        <v>294</v>
      </c>
      <c r="F408" s="525">
        <v>30191</v>
      </c>
      <c r="G408" s="525">
        <v>9731.4</v>
      </c>
    </row>
    <row r="409" spans="1:7" ht="12" thickBot="1">
      <c r="A409" s="588" t="s">
        <v>1362</v>
      </c>
      <c r="B409" s="522" t="s">
        <v>436</v>
      </c>
      <c r="C409" s="522" t="s">
        <v>330</v>
      </c>
      <c r="D409" s="522" t="s">
        <v>1010</v>
      </c>
      <c r="E409" s="530">
        <v>61</v>
      </c>
      <c r="F409" s="531">
        <v>18805</v>
      </c>
      <c r="G409" s="531">
        <v>3370.25</v>
      </c>
    </row>
    <row r="410" spans="1:7" ht="12" thickBot="1">
      <c r="A410" s="588" t="s">
        <v>1362</v>
      </c>
      <c r="B410" s="522" t="s">
        <v>436</v>
      </c>
      <c r="C410" s="522" t="s">
        <v>371</v>
      </c>
      <c r="D410" s="522" t="s">
        <v>1011</v>
      </c>
      <c r="E410" s="524">
        <v>3666</v>
      </c>
      <c r="F410" s="525">
        <v>67777</v>
      </c>
      <c r="G410" s="525">
        <v>38456.339999999997</v>
      </c>
    </row>
    <row r="411" spans="1:7" ht="12" thickBot="1">
      <c r="A411" s="588" t="s">
        <v>1362</v>
      </c>
      <c r="B411" s="522" t="s">
        <v>436</v>
      </c>
      <c r="C411" s="522" t="s">
        <v>380</v>
      </c>
      <c r="D411" s="522" t="s">
        <v>1012</v>
      </c>
      <c r="E411" s="530">
        <v>8741</v>
      </c>
      <c r="F411" s="531">
        <v>223370</v>
      </c>
      <c r="G411" s="531">
        <v>101395.6</v>
      </c>
    </row>
    <row r="412" spans="1:7" ht="12" thickBot="1">
      <c r="A412" s="588" t="s">
        <v>1362</v>
      </c>
      <c r="B412" s="522" t="s">
        <v>436</v>
      </c>
      <c r="C412" s="522" t="s">
        <v>403</v>
      </c>
      <c r="D412" s="522" t="s">
        <v>1013</v>
      </c>
      <c r="E412" s="524">
        <v>3391</v>
      </c>
      <c r="F412" s="525">
        <v>118945</v>
      </c>
      <c r="G412" s="525">
        <v>41522.339999999997</v>
      </c>
    </row>
    <row r="413" spans="1:7" ht="12" thickBot="1">
      <c r="A413" s="588" t="s">
        <v>1362</v>
      </c>
      <c r="B413" s="522" t="s">
        <v>436</v>
      </c>
      <c r="C413" s="522" t="s">
        <v>360</v>
      </c>
      <c r="D413" s="522" t="s">
        <v>1014</v>
      </c>
      <c r="E413" s="530">
        <v>5167</v>
      </c>
      <c r="F413" s="531">
        <v>378907</v>
      </c>
      <c r="G413" s="531">
        <v>90056.12</v>
      </c>
    </row>
    <row r="414" spans="1:7" ht="12" thickBot="1">
      <c r="A414" s="588" t="s">
        <v>1362</v>
      </c>
      <c r="B414" s="522" t="s">
        <v>436</v>
      </c>
      <c r="C414" s="522" t="s">
        <v>392</v>
      </c>
      <c r="D414" s="522" t="s">
        <v>1015</v>
      </c>
      <c r="E414" s="524">
        <v>515</v>
      </c>
      <c r="F414" s="525">
        <v>74515</v>
      </c>
      <c r="G414" s="525">
        <v>12596.9</v>
      </c>
    </row>
    <row r="415" spans="1:7" ht="12" thickBot="1">
      <c r="A415" s="588" t="s">
        <v>1362</v>
      </c>
      <c r="B415" s="522" t="s">
        <v>436</v>
      </c>
      <c r="C415" s="522" t="s">
        <v>390</v>
      </c>
      <c r="D415" s="522" t="s">
        <v>1016</v>
      </c>
      <c r="E415" s="530">
        <v>4565</v>
      </c>
      <c r="F415" s="531">
        <v>116639</v>
      </c>
      <c r="G415" s="531">
        <v>76620.61</v>
      </c>
    </row>
    <row r="416" spans="1:7" ht="12" thickBot="1">
      <c r="A416" s="588" t="s">
        <v>1362</v>
      </c>
      <c r="B416" s="522" t="s">
        <v>436</v>
      </c>
      <c r="C416" s="522" t="s">
        <v>414</v>
      </c>
      <c r="D416" s="522" t="s">
        <v>1017</v>
      </c>
      <c r="E416" s="524">
        <v>1052</v>
      </c>
      <c r="F416" s="525">
        <v>37197</v>
      </c>
      <c r="G416" s="525">
        <v>22060.44</v>
      </c>
    </row>
    <row r="417" spans="1:7" ht="12" thickBot="1">
      <c r="A417" s="588" t="s">
        <v>1362</v>
      </c>
      <c r="B417" s="522" t="s">
        <v>436</v>
      </c>
      <c r="C417" s="522" t="s">
        <v>364</v>
      </c>
      <c r="D417" s="522" t="s">
        <v>1018</v>
      </c>
      <c r="E417" s="530">
        <v>1412</v>
      </c>
      <c r="F417" s="531">
        <v>102574</v>
      </c>
      <c r="G417" s="531">
        <v>37853.800000000003</v>
      </c>
    </row>
    <row r="418" spans="1:7" ht="12" thickBot="1">
      <c r="A418" s="588" t="s">
        <v>1362</v>
      </c>
      <c r="B418" s="522" t="s">
        <v>436</v>
      </c>
      <c r="C418" s="522" t="s">
        <v>396</v>
      </c>
      <c r="D418" s="522" t="s">
        <v>1019</v>
      </c>
      <c r="E418" s="524">
        <v>949</v>
      </c>
      <c r="F418" s="525">
        <v>131393</v>
      </c>
      <c r="G418" s="525">
        <v>31377.89</v>
      </c>
    </row>
    <row r="419" spans="1:7" ht="12" thickBot="1">
      <c r="A419" s="588" t="s">
        <v>1362</v>
      </c>
      <c r="B419" s="522" t="s">
        <v>436</v>
      </c>
      <c r="C419" s="522" t="s">
        <v>415</v>
      </c>
      <c r="D419" s="522" t="s">
        <v>1020</v>
      </c>
      <c r="E419" s="524">
        <v>11163</v>
      </c>
      <c r="F419" s="525">
        <v>377034</v>
      </c>
      <c r="G419" s="525">
        <v>99785.89</v>
      </c>
    </row>
    <row r="420" spans="1:7" ht="12" thickBot="1">
      <c r="A420" s="588" t="s">
        <v>1362</v>
      </c>
      <c r="B420" s="522" t="s">
        <v>436</v>
      </c>
      <c r="C420" s="522" t="s">
        <v>365</v>
      </c>
      <c r="D420" s="522" t="s">
        <v>1021</v>
      </c>
      <c r="E420" s="524">
        <v>6636</v>
      </c>
      <c r="F420" s="525">
        <v>467243</v>
      </c>
      <c r="G420" s="525">
        <v>90121.58</v>
      </c>
    </row>
    <row r="421" spans="1:7" ht="12" thickBot="1">
      <c r="A421" s="588" t="s">
        <v>1362</v>
      </c>
      <c r="B421" s="522" t="s">
        <v>436</v>
      </c>
      <c r="C421" s="522" t="s">
        <v>397</v>
      </c>
      <c r="D421" s="522" t="s">
        <v>1022</v>
      </c>
      <c r="E421" s="524">
        <v>8310</v>
      </c>
      <c r="F421" s="525">
        <v>1154025</v>
      </c>
      <c r="G421" s="525">
        <v>162434.04</v>
      </c>
    </row>
    <row r="422" spans="1:7" ht="12" thickBot="1">
      <c r="A422" s="588" t="s">
        <v>1362</v>
      </c>
      <c r="B422" s="522" t="s">
        <v>436</v>
      </c>
      <c r="C422" s="522" t="s">
        <v>337</v>
      </c>
      <c r="D422" s="522" t="s">
        <v>1023</v>
      </c>
      <c r="E422" s="524">
        <v>58</v>
      </c>
      <c r="F422" s="525">
        <v>2608</v>
      </c>
      <c r="G422" s="525">
        <v>897.26</v>
      </c>
    </row>
    <row r="423" spans="1:7" ht="12" thickBot="1">
      <c r="A423" s="588" t="s">
        <v>1362</v>
      </c>
      <c r="B423" s="522" t="s">
        <v>436</v>
      </c>
      <c r="C423" s="522" t="s">
        <v>369</v>
      </c>
      <c r="D423" s="522" t="s">
        <v>1024</v>
      </c>
      <c r="E423" s="530">
        <v>295</v>
      </c>
      <c r="F423" s="531">
        <v>30423</v>
      </c>
      <c r="G423" s="531">
        <v>6469.35</v>
      </c>
    </row>
    <row r="424" spans="1:7" ht="12" thickBot="1">
      <c r="A424" s="588" t="s">
        <v>1362</v>
      </c>
      <c r="B424" s="522" t="s">
        <v>436</v>
      </c>
      <c r="C424" s="522" t="s">
        <v>715</v>
      </c>
      <c r="D424" s="522" t="s">
        <v>1025</v>
      </c>
      <c r="E424" s="524">
        <v>2</v>
      </c>
      <c r="F424" s="525">
        <v>45</v>
      </c>
      <c r="G424" s="525">
        <v>30.74</v>
      </c>
    </row>
    <row r="425" spans="1:7" ht="12" thickBot="1">
      <c r="A425" s="588" t="s">
        <v>1362</v>
      </c>
      <c r="B425" s="522" t="s">
        <v>436</v>
      </c>
      <c r="C425" s="522" t="s">
        <v>332</v>
      </c>
      <c r="D425" s="522" t="s">
        <v>1026</v>
      </c>
      <c r="E425" s="530">
        <v>43</v>
      </c>
      <c r="F425" s="531">
        <v>13934</v>
      </c>
      <c r="G425" s="531">
        <v>1965.1</v>
      </c>
    </row>
    <row r="426" spans="1:7" ht="12" thickBot="1">
      <c r="A426" s="588" t="s">
        <v>1362</v>
      </c>
      <c r="B426" s="522" t="s">
        <v>436</v>
      </c>
      <c r="C426" s="522" t="s">
        <v>334</v>
      </c>
      <c r="D426" s="522" t="s">
        <v>1027</v>
      </c>
      <c r="E426" s="524">
        <v>168</v>
      </c>
      <c r="F426" s="525">
        <v>7629</v>
      </c>
      <c r="G426" s="525">
        <v>4766.16</v>
      </c>
    </row>
    <row r="427" spans="1:7" ht="12" thickBot="1">
      <c r="A427" s="588" t="s">
        <v>1362</v>
      </c>
      <c r="B427" s="522" t="s">
        <v>436</v>
      </c>
      <c r="C427" s="522" t="s">
        <v>366</v>
      </c>
      <c r="D427" s="522" t="s">
        <v>1028</v>
      </c>
      <c r="E427" s="530">
        <v>621</v>
      </c>
      <c r="F427" s="531">
        <v>63234</v>
      </c>
      <c r="G427" s="531">
        <v>21513.040000000001</v>
      </c>
    </row>
    <row r="428" spans="1:7" ht="12" thickBot="1">
      <c r="A428" s="588" t="s">
        <v>1362</v>
      </c>
      <c r="B428" s="522" t="s">
        <v>436</v>
      </c>
      <c r="C428" s="522" t="s">
        <v>329</v>
      </c>
      <c r="D428" s="522" t="s">
        <v>1029</v>
      </c>
      <c r="E428" s="524">
        <v>154</v>
      </c>
      <c r="F428" s="525">
        <v>48358</v>
      </c>
      <c r="G428" s="525">
        <v>9022.86</v>
      </c>
    </row>
    <row r="429" spans="1:7" ht="12" thickBot="1">
      <c r="A429" s="588" t="s">
        <v>1362</v>
      </c>
      <c r="B429" s="522" t="s">
        <v>436</v>
      </c>
      <c r="C429" s="522" t="s">
        <v>683</v>
      </c>
      <c r="D429" s="522" t="s">
        <v>1047</v>
      </c>
      <c r="E429" s="530">
        <v>10</v>
      </c>
      <c r="F429" s="531">
        <v>325</v>
      </c>
      <c r="G429" s="531">
        <v>153.5</v>
      </c>
    </row>
    <row r="430" spans="1:7" ht="12" thickBot="1">
      <c r="A430" s="588" t="s">
        <v>1362</v>
      </c>
      <c r="B430" s="522" t="s">
        <v>436</v>
      </c>
      <c r="C430" s="522" t="s">
        <v>463</v>
      </c>
      <c r="D430" s="522" t="s">
        <v>1030</v>
      </c>
      <c r="E430" s="524">
        <v>24</v>
      </c>
      <c r="F430" s="525">
        <v>1763</v>
      </c>
      <c r="G430" s="525">
        <v>425.28</v>
      </c>
    </row>
    <row r="431" spans="1:7" ht="12" thickBot="1">
      <c r="A431" s="588" t="s">
        <v>1362</v>
      </c>
      <c r="B431" s="522" t="s">
        <v>436</v>
      </c>
      <c r="C431" s="522" t="s">
        <v>653</v>
      </c>
      <c r="D431" s="522" t="s">
        <v>1031</v>
      </c>
      <c r="E431" s="530">
        <v>24</v>
      </c>
      <c r="F431" s="531">
        <v>3265</v>
      </c>
      <c r="G431" s="531">
        <v>515.76</v>
      </c>
    </row>
    <row r="432" spans="1:7" ht="12" thickBot="1">
      <c r="A432" s="588" t="s">
        <v>1362</v>
      </c>
      <c r="B432" s="522" t="s">
        <v>436</v>
      </c>
      <c r="C432" s="543" t="s">
        <v>9</v>
      </c>
      <c r="D432" s="544"/>
      <c r="E432" s="539">
        <v>168383</v>
      </c>
      <c r="F432" s="540">
        <v>9172097</v>
      </c>
      <c r="G432" s="540">
        <v>2118121.9099999992</v>
      </c>
    </row>
    <row r="433" spans="1:7" ht="12" thickBot="1">
      <c r="A433" s="549"/>
      <c r="B433" s="589"/>
      <c r="C433" s="550"/>
      <c r="D433" s="541"/>
      <c r="E433" s="522" t="s">
        <v>65</v>
      </c>
      <c r="F433" s="522" t="s">
        <v>66</v>
      </c>
      <c r="G433" s="522" t="s">
        <v>3</v>
      </c>
    </row>
    <row r="434" spans="1:7" ht="12" thickBot="1">
      <c r="A434" s="522" t="s">
        <v>0</v>
      </c>
      <c r="B434" s="522" t="s">
        <v>75</v>
      </c>
      <c r="C434" s="522" t="s">
        <v>6</v>
      </c>
      <c r="D434" s="557"/>
      <c r="E434" s="541"/>
      <c r="F434" s="541" t="s">
        <v>7</v>
      </c>
      <c r="G434" s="541" t="s">
        <v>8</v>
      </c>
    </row>
    <row r="435" spans="1:7" ht="12" thickBot="1">
      <c r="A435" s="522" t="s">
        <v>1363</v>
      </c>
      <c r="B435" s="522" t="s">
        <v>436</v>
      </c>
      <c r="C435" s="522" t="s">
        <v>449</v>
      </c>
      <c r="D435" s="522" t="s">
        <v>448</v>
      </c>
      <c r="E435" s="524">
        <v>2</v>
      </c>
      <c r="F435" s="525">
        <v>104</v>
      </c>
      <c r="G435" s="525">
        <v>19.04</v>
      </c>
    </row>
    <row r="436" spans="1:7" ht="12" thickBot="1">
      <c r="A436" s="522" t="s">
        <v>1363</v>
      </c>
      <c r="B436" s="522" t="s">
        <v>436</v>
      </c>
      <c r="C436" s="522" t="s">
        <v>447</v>
      </c>
      <c r="D436" s="522" t="s">
        <v>446</v>
      </c>
      <c r="E436" s="530">
        <v>1</v>
      </c>
      <c r="F436" s="531">
        <v>29</v>
      </c>
      <c r="G436" s="531">
        <v>6.9</v>
      </c>
    </row>
    <row r="437" spans="1:7" ht="12" thickBot="1">
      <c r="A437" s="522" t="s">
        <v>1363</v>
      </c>
      <c r="B437" s="522" t="s">
        <v>436</v>
      </c>
      <c r="C437" s="522" t="s">
        <v>339</v>
      </c>
      <c r="D437" s="522" t="s">
        <v>952</v>
      </c>
      <c r="E437" s="524">
        <v>178</v>
      </c>
      <c r="F437" s="525">
        <v>9125</v>
      </c>
      <c r="G437" s="525">
        <v>9848.74</v>
      </c>
    </row>
    <row r="438" spans="1:7" ht="12" thickBot="1">
      <c r="A438" s="522" t="s">
        <v>1363</v>
      </c>
      <c r="B438" s="522" t="s">
        <v>436</v>
      </c>
      <c r="C438" s="522" t="s">
        <v>344</v>
      </c>
      <c r="D438" s="522" t="s">
        <v>953</v>
      </c>
      <c r="E438" s="530">
        <v>25</v>
      </c>
      <c r="F438" s="531">
        <v>1265</v>
      </c>
      <c r="G438" s="531">
        <v>2079</v>
      </c>
    </row>
    <row r="439" spans="1:7" ht="12" thickBot="1">
      <c r="A439" s="522" t="s">
        <v>1363</v>
      </c>
      <c r="B439" s="522" t="s">
        <v>436</v>
      </c>
      <c r="C439" s="522" t="s">
        <v>347</v>
      </c>
      <c r="D439" s="522" t="s">
        <v>954</v>
      </c>
      <c r="E439" s="524">
        <v>43</v>
      </c>
      <c r="F439" s="525">
        <v>1780</v>
      </c>
      <c r="G439" s="525">
        <v>2570.54</v>
      </c>
    </row>
    <row r="440" spans="1:7" ht="12" thickBot="1">
      <c r="A440" s="522" t="s">
        <v>1363</v>
      </c>
      <c r="B440" s="522" t="s">
        <v>436</v>
      </c>
      <c r="C440" s="522" t="s">
        <v>348</v>
      </c>
      <c r="D440" s="522" t="s">
        <v>955</v>
      </c>
      <c r="E440" s="530">
        <v>5</v>
      </c>
      <c r="F440" s="531">
        <v>248</v>
      </c>
      <c r="G440" s="531">
        <v>308.75</v>
      </c>
    </row>
    <row r="441" spans="1:7" ht="12" thickBot="1">
      <c r="A441" s="522" t="s">
        <v>1363</v>
      </c>
      <c r="B441" s="522" t="s">
        <v>436</v>
      </c>
      <c r="C441" s="522" t="s">
        <v>349</v>
      </c>
      <c r="D441" s="522" t="s">
        <v>956</v>
      </c>
      <c r="E441" s="524">
        <v>1</v>
      </c>
      <c r="F441" s="525">
        <v>50</v>
      </c>
      <c r="G441" s="525">
        <v>63.11</v>
      </c>
    </row>
    <row r="442" spans="1:7" ht="12" thickBot="1">
      <c r="A442" s="522" t="s">
        <v>1363</v>
      </c>
      <c r="B442" s="522" t="s">
        <v>436</v>
      </c>
      <c r="C442" s="522" t="s">
        <v>351</v>
      </c>
      <c r="D442" s="522" t="s">
        <v>957</v>
      </c>
      <c r="E442" s="530">
        <v>5</v>
      </c>
      <c r="F442" s="531">
        <v>250</v>
      </c>
      <c r="G442" s="531">
        <v>404.7</v>
      </c>
    </row>
    <row r="443" spans="1:7" ht="12" thickBot="1">
      <c r="A443" s="522" t="s">
        <v>1363</v>
      </c>
      <c r="B443" s="522" t="s">
        <v>436</v>
      </c>
      <c r="C443" s="522" t="s">
        <v>352</v>
      </c>
      <c r="D443" s="522" t="s">
        <v>958</v>
      </c>
      <c r="E443" s="524">
        <v>9</v>
      </c>
      <c r="F443" s="525">
        <v>449</v>
      </c>
      <c r="G443" s="525">
        <v>710.73</v>
      </c>
    </row>
    <row r="444" spans="1:7" ht="12" thickBot="1">
      <c r="A444" s="522" t="s">
        <v>1363</v>
      </c>
      <c r="B444" s="522" t="s">
        <v>436</v>
      </c>
      <c r="C444" s="522" t="s">
        <v>354</v>
      </c>
      <c r="D444" s="522" t="s">
        <v>959</v>
      </c>
      <c r="E444" s="530">
        <v>25</v>
      </c>
      <c r="F444" s="531">
        <v>1296</v>
      </c>
      <c r="G444" s="531">
        <v>1530.75</v>
      </c>
    </row>
    <row r="445" spans="1:7" ht="12" thickBot="1">
      <c r="A445" s="522" t="s">
        <v>1363</v>
      </c>
      <c r="B445" s="522" t="s">
        <v>436</v>
      </c>
      <c r="C445" s="522" t="s">
        <v>355</v>
      </c>
      <c r="D445" s="522" t="s">
        <v>960</v>
      </c>
      <c r="E445" s="524">
        <v>1</v>
      </c>
      <c r="F445" s="525">
        <v>50</v>
      </c>
      <c r="G445" s="525">
        <v>56.69</v>
      </c>
    </row>
    <row r="446" spans="1:7" ht="12" thickBot="1">
      <c r="A446" s="522" t="s">
        <v>1363</v>
      </c>
      <c r="B446" s="522" t="s">
        <v>436</v>
      </c>
      <c r="C446" s="522" t="s">
        <v>341</v>
      </c>
      <c r="D446" s="522" t="s">
        <v>961</v>
      </c>
      <c r="E446" s="530">
        <v>15</v>
      </c>
      <c r="F446" s="531">
        <v>753</v>
      </c>
      <c r="G446" s="531">
        <v>1117.8</v>
      </c>
    </row>
    <row r="447" spans="1:7" ht="12" thickBot="1">
      <c r="A447" s="522" t="s">
        <v>1363</v>
      </c>
      <c r="B447" s="522" t="s">
        <v>436</v>
      </c>
      <c r="C447" s="522" t="s">
        <v>350</v>
      </c>
      <c r="D447" s="522" t="s">
        <v>962</v>
      </c>
      <c r="E447" s="524">
        <v>1</v>
      </c>
      <c r="F447" s="525">
        <v>50</v>
      </c>
      <c r="G447" s="525">
        <v>82.3</v>
      </c>
    </row>
    <row r="448" spans="1:7" ht="12" thickBot="1">
      <c r="A448" s="522" t="s">
        <v>1363</v>
      </c>
      <c r="B448" s="522" t="s">
        <v>436</v>
      </c>
      <c r="C448" s="522" t="s">
        <v>342</v>
      </c>
      <c r="D448" s="522" t="s">
        <v>963</v>
      </c>
      <c r="E448" s="530">
        <v>20</v>
      </c>
      <c r="F448" s="531">
        <v>1037</v>
      </c>
      <c r="G448" s="531">
        <v>1490.4</v>
      </c>
    </row>
    <row r="449" spans="1:7" ht="12" thickBot="1">
      <c r="A449" s="522" t="s">
        <v>1363</v>
      </c>
      <c r="B449" s="522" t="s">
        <v>436</v>
      </c>
      <c r="C449" s="522" t="s">
        <v>346</v>
      </c>
      <c r="D449" s="522" t="s">
        <v>964</v>
      </c>
      <c r="E449" s="524">
        <v>4</v>
      </c>
      <c r="F449" s="525">
        <v>203</v>
      </c>
      <c r="G449" s="525">
        <v>303.52</v>
      </c>
    </row>
    <row r="450" spans="1:7" ht="12" thickBot="1">
      <c r="A450" s="522" t="s">
        <v>1363</v>
      </c>
      <c r="B450" s="522" t="s">
        <v>436</v>
      </c>
      <c r="C450" s="522" t="s">
        <v>353</v>
      </c>
      <c r="D450" s="522" t="s">
        <v>965</v>
      </c>
      <c r="E450" s="530">
        <v>3</v>
      </c>
      <c r="F450" s="531">
        <v>156</v>
      </c>
      <c r="G450" s="531">
        <v>236.91</v>
      </c>
    </row>
    <row r="451" spans="1:7" ht="12" thickBot="1">
      <c r="A451" s="522" t="s">
        <v>1363</v>
      </c>
      <c r="B451" s="522" t="s">
        <v>436</v>
      </c>
      <c r="C451" s="522" t="s">
        <v>345</v>
      </c>
      <c r="D451" s="522" t="s">
        <v>966</v>
      </c>
      <c r="E451" s="524">
        <v>2</v>
      </c>
      <c r="F451" s="525">
        <v>104</v>
      </c>
      <c r="G451" s="525">
        <v>154.52000000000001</v>
      </c>
    </row>
    <row r="452" spans="1:7" ht="12" thickBot="1">
      <c r="A452" s="522" t="s">
        <v>1363</v>
      </c>
      <c r="B452" s="522" t="s">
        <v>436</v>
      </c>
      <c r="C452" s="522" t="s">
        <v>343</v>
      </c>
      <c r="D452" s="522" t="s">
        <v>967</v>
      </c>
      <c r="E452" s="530">
        <v>51</v>
      </c>
      <c r="F452" s="531">
        <v>2622</v>
      </c>
      <c r="G452" s="531">
        <v>3273.69</v>
      </c>
    </row>
    <row r="453" spans="1:7" ht="12" thickBot="1">
      <c r="A453" s="522" t="s">
        <v>1363</v>
      </c>
      <c r="B453" s="522" t="s">
        <v>436</v>
      </c>
      <c r="C453" s="522" t="s">
        <v>472</v>
      </c>
      <c r="D453" s="522" t="s">
        <v>968</v>
      </c>
      <c r="E453" s="524">
        <v>2</v>
      </c>
      <c r="F453" s="525">
        <v>97</v>
      </c>
      <c r="G453" s="525">
        <v>151.80000000000001</v>
      </c>
    </row>
    <row r="454" spans="1:7" ht="12" thickBot="1">
      <c r="A454" s="522" t="s">
        <v>1363</v>
      </c>
      <c r="B454" s="522" t="s">
        <v>436</v>
      </c>
      <c r="C454" s="522" t="s">
        <v>382</v>
      </c>
      <c r="D454" s="522" t="s">
        <v>969</v>
      </c>
      <c r="E454" s="530">
        <v>52</v>
      </c>
      <c r="F454" s="531">
        <v>1185</v>
      </c>
      <c r="G454" s="531">
        <v>772.72</v>
      </c>
    </row>
    <row r="455" spans="1:7" ht="12" thickBot="1">
      <c r="A455" s="522" t="s">
        <v>1363</v>
      </c>
      <c r="B455" s="522" t="s">
        <v>436</v>
      </c>
      <c r="C455" s="522" t="s">
        <v>402</v>
      </c>
      <c r="D455" s="522" t="s">
        <v>970</v>
      </c>
      <c r="E455" s="524">
        <v>7133</v>
      </c>
      <c r="F455" s="525">
        <v>397531</v>
      </c>
      <c r="G455" s="525">
        <v>74898.91</v>
      </c>
    </row>
    <row r="456" spans="1:7" ht="12" thickBot="1">
      <c r="A456" s="522" t="s">
        <v>1363</v>
      </c>
      <c r="B456" s="522" t="s">
        <v>436</v>
      </c>
      <c r="C456" s="522" t="s">
        <v>398</v>
      </c>
      <c r="D456" s="522" t="s">
        <v>971</v>
      </c>
      <c r="E456" s="530">
        <v>141</v>
      </c>
      <c r="F456" s="531">
        <v>18054</v>
      </c>
      <c r="G456" s="532">
        <v>1649.6</v>
      </c>
    </row>
    <row r="457" spans="1:7" ht="12" thickBot="1">
      <c r="A457" s="522" t="s">
        <v>1363</v>
      </c>
      <c r="B457" s="522" t="s">
        <v>436</v>
      </c>
      <c r="C457" s="522" t="s">
        <v>376</v>
      </c>
      <c r="D457" s="522" t="s">
        <v>972</v>
      </c>
      <c r="E457" s="530">
        <v>240</v>
      </c>
      <c r="F457" s="531">
        <v>4041</v>
      </c>
      <c r="G457" s="532">
        <v>4862.3999999999996</v>
      </c>
    </row>
    <row r="458" spans="1:7" ht="12" thickBot="1">
      <c r="A458" s="522" t="s">
        <v>1363</v>
      </c>
      <c r="B458" s="522" t="s">
        <v>436</v>
      </c>
      <c r="C458" s="522" t="s">
        <v>384</v>
      </c>
      <c r="D458" s="522" t="s">
        <v>973</v>
      </c>
      <c r="E458" s="524">
        <v>150</v>
      </c>
      <c r="F458" s="525">
        <v>3441</v>
      </c>
      <c r="G458" s="525">
        <v>3207</v>
      </c>
    </row>
    <row r="459" spans="1:7" ht="12" thickBot="1">
      <c r="A459" s="522" t="s">
        <v>1363</v>
      </c>
      <c r="B459" s="522" t="s">
        <v>436</v>
      </c>
      <c r="C459" s="522" t="s">
        <v>386</v>
      </c>
      <c r="D459" s="522" t="s">
        <v>974</v>
      </c>
      <c r="E459" s="530">
        <v>28</v>
      </c>
      <c r="F459" s="531">
        <v>672</v>
      </c>
      <c r="G459" s="531">
        <v>863.52</v>
      </c>
    </row>
    <row r="460" spans="1:7" ht="12" thickBot="1">
      <c r="A460" s="522" t="s">
        <v>1363</v>
      </c>
      <c r="B460" s="522" t="s">
        <v>436</v>
      </c>
      <c r="C460" s="522" t="s">
        <v>409</v>
      </c>
      <c r="D460" s="522" t="s">
        <v>975</v>
      </c>
      <c r="E460" s="524">
        <v>96</v>
      </c>
      <c r="F460" s="525">
        <v>3113</v>
      </c>
      <c r="G460" s="525">
        <v>2997.12</v>
      </c>
    </row>
    <row r="461" spans="1:7" ht="12" thickBot="1">
      <c r="A461" s="522" t="s">
        <v>1363</v>
      </c>
      <c r="B461" s="522" t="s">
        <v>436</v>
      </c>
      <c r="C461" s="522" t="s">
        <v>387</v>
      </c>
      <c r="D461" s="522" t="s">
        <v>976</v>
      </c>
      <c r="E461" s="530">
        <v>21</v>
      </c>
      <c r="F461" s="531">
        <v>476</v>
      </c>
      <c r="G461" s="531">
        <v>647.64</v>
      </c>
    </row>
    <row r="462" spans="1:7" ht="12" thickBot="1">
      <c r="A462" s="522" t="s">
        <v>1363</v>
      </c>
      <c r="B462" s="522" t="s">
        <v>436</v>
      </c>
      <c r="C462" s="522" t="s">
        <v>410</v>
      </c>
      <c r="D462" s="522" t="s">
        <v>977</v>
      </c>
      <c r="E462" s="524">
        <v>10</v>
      </c>
      <c r="F462" s="525">
        <v>319</v>
      </c>
      <c r="G462" s="525">
        <v>312.2</v>
      </c>
    </row>
    <row r="463" spans="1:7" ht="12" thickBot="1">
      <c r="A463" s="522" t="s">
        <v>1363</v>
      </c>
      <c r="B463" s="522" t="s">
        <v>436</v>
      </c>
      <c r="C463" s="522" t="s">
        <v>405</v>
      </c>
      <c r="D463" s="522" t="s">
        <v>978</v>
      </c>
      <c r="E463" s="530">
        <v>477</v>
      </c>
      <c r="F463" s="531">
        <v>20804</v>
      </c>
      <c r="G463" s="531">
        <v>9523.2000000000007</v>
      </c>
    </row>
    <row r="464" spans="1:7" ht="12" thickBot="1">
      <c r="A464" s="522" t="s">
        <v>1363</v>
      </c>
      <c r="B464" s="522" t="s">
        <v>436</v>
      </c>
      <c r="C464" s="522" t="s">
        <v>326</v>
      </c>
      <c r="D464" s="522" t="s">
        <v>979</v>
      </c>
      <c r="E464" s="524">
        <v>5</v>
      </c>
      <c r="F464" s="525">
        <v>144</v>
      </c>
      <c r="G464" s="525">
        <v>16.95</v>
      </c>
    </row>
    <row r="465" spans="1:7" ht="12" thickBot="1">
      <c r="A465" s="522" t="s">
        <v>1363</v>
      </c>
      <c r="B465" s="522" t="s">
        <v>436</v>
      </c>
      <c r="C465" s="522" t="s">
        <v>356</v>
      </c>
      <c r="D465" s="522" t="s">
        <v>980</v>
      </c>
      <c r="E465" s="530">
        <v>672</v>
      </c>
      <c r="F465" s="531">
        <v>37585</v>
      </c>
      <c r="G465" s="531">
        <v>3041.26</v>
      </c>
    </row>
    <row r="466" spans="1:7" ht="12" thickBot="1">
      <c r="A466" s="522" t="s">
        <v>1363</v>
      </c>
      <c r="B466" s="522" t="s">
        <v>436</v>
      </c>
      <c r="C466" s="522" t="s">
        <v>374</v>
      </c>
      <c r="D466" s="522" t="s">
        <v>981</v>
      </c>
      <c r="E466" s="524">
        <v>47</v>
      </c>
      <c r="F466" s="525">
        <v>4264</v>
      </c>
      <c r="G466" s="525">
        <v>318.19</v>
      </c>
    </row>
    <row r="467" spans="1:7" ht="12" thickBot="1">
      <c r="A467" s="522" t="s">
        <v>1363</v>
      </c>
      <c r="B467" s="522" t="s">
        <v>436</v>
      </c>
      <c r="C467" s="522" t="s">
        <v>399</v>
      </c>
      <c r="D467" s="522" t="s">
        <v>982</v>
      </c>
      <c r="E467" s="530">
        <v>2</v>
      </c>
      <c r="F467" s="531">
        <v>239</v>
      </c>
      <c r="G467" s="531">
        <v>18.12</v>
      </c>
    </row>
    <row r="468" spans="1:7" ht="12" thickBot="1">
      <c r="A468" s="522" t="s">
        <v>1363</v>
      </c>
      <c r="B468" s="522" t="s">
        <v>436</v>
      </c>
      <c r="C468" s="522" t="s">
        <v>391</v>
      </c>
      <c r="D468" s="522" t="s">
        <v>983</v>
      </c>
      <c r="E468" s="524">
        <v>173</v>
      </c>
      <c r="F468" s="525">
        <v>3824</v>
      </c>
      <c r="G468" s="525">
        <v>1273.48</v>
      </c>
    </row>
    <row r="469" spans="1:7" ht="12" thickBot="1">
      <c r="A469" s="522" t="s">
        <v>1363</v>
      </c>
      <c r="B469" s="522" t="s">
        <v>436</v>
      </c>
      <c r="C469" s="522" t="s">
        <v>416</v>
      </c>
      <c r="D469" s="522" t="s">
        <v>984</v>
      </c>
      <c r="E469" s="530">
        <v>36660</v>
      </c>
      <c r="F469" s="531">
        <v>1151916</v>
      </c>
      <c r="G469" s="531">
        <v>285245.71000000002</v>
      </c>
    </row>
    <row r="470" spans="1:7" ht="12" thickBot="1">
      <c r="A470" s="522" t="s">
        <v>1363</v>
      </c>
      <c r="B470" s="522" t="s">
        <v>436</v>
      </c>
      <c r="C470" s="522" t="s">
        <v>407</v>
      </c>
      <c r="D470" s="522" t="s">
        <v>985</v>
      </c>
      <c r="E470" s="524">
        <v>1173</v>
      </c>
      <c r="F470" s="525">
        <v>37577</v>
      </c>
      <c r="G470" s="525">
        <v>25806</v>
      </c>
    </row>
    <row r="471" spans="1:7" ht="12" thickBot="1">
      <c r="A471" s="522" t="s">
        <v>1363</v>
      </c>
      <c r="B471" s="522" t="s">
        <v>436</v>
      </c>
      <c r="C471" s="522" t="s">
        <v>373</v>
      </c>
      <c r="D471" s="522" t="s">
        <v>986</v>
      </c>
      <c r="E471" s="530">
        <v>3</v>
      </c>
      <c r="F471" s="531">
        <v>258</v>
      </c>
      <c r="G471" s="532">
        <v>22.42</v>
      </c>
    </row>
    <row r="472" spans="1:7" ht="12" thickBot="1">
      <c r="A472" s="522" t="s">
        <v>1363</v>
      </c>
      <c r="B472" s="522" t="s">
        <v>436</v>
      </c>
      <c r="C472" s="522" t="s">
        <v>375</v>
      </c>
      <c r="D472" s="522" t="s">
        <v>987</v>
      </c>
      <c r="E472" s="524">
        <v>2</v>
      </c>
      <c r="F472" s="525">
        <v>33</v>
      </c>
      <c r="G472" s="525">
        <v>27.22</v>
      </c>
    </row>
    <row r="473" spans="1:7" ht="12" thickBot="1">
      <c r="A473" s="522" t="s">
        <v>1363</v>
      </c>
      <c r="B473" s="522" t="s">
        <v>436</v>
      </c>
      <c r="C473" s="522" t="s">
        <v>401</v>
      </c>
      <c r="D473" s="522" t="s">
        <v>988</v>
      </c>
      <c r="E473" s="530">
        <v>1083</v>
      </c>
      <c r="F473" s="531">
        <v>61894</v>
      </c>
      <c r="G473" s="531">
        <v>10353.15</v>
      </c>
    </row>
    <row r="474" spans="1:7" ht="12" thickBot="1">
      <c r="A474" s="522" t="s">
        <v>1363</v>
      </c>
      <c r="B474" s="522" t="s">
        <v>436</v>
      </c>
      <c r="C474" s="522" t="s">
        <v>328</v>
      </c>
      <c r="D474" s="522" t="s">
        <v>989</v>
      </c>
      <c r="E474" s="524">
        <v>711</v>
      </c>
      <c r="F474" s="525">
        <v>56270</v>
      </c>
      <c r="G474" s="525">
        <v>8048.52</v>
      </c>
    </row>
    <row r="475" spans="1:7" ht="12" thickBot="1">
      <c r="A475" s="522" t="s">
        <v>1363</v>
      </c>
      <c r="B475" s="522" t="s">
        <v>436</v>
      </c>
      <c r="C475" s="522" t="s">
        <v>437</v>
      </c>
      <c r="D475" s="522" t="s">
        <v>990</v>
      </c>
      <c r="E475" s="530">
        <v>1480</v>
      </c>
      <c r="F475" s="531">
        <v>182292</v>
      </c>
      <c r="G475" s="531">
        <v>18950.8</v>
      </c>
    </row>
    <row r="476" spans="1:7" ht="12" thickBot="1">
      <c r="A476" s="522" t="s">
        <v>1363</v>
      </c>
      <c r="B476" s="522" t="s">
        <v>436</v>
      </c>
      <c r="C476" s="522" t="s">
        <v>338</v>
      </c>
      <c r="D476" s="522" t="s">
        <v>991</v>
      </c>
      <c r="E476" s="530">
        <v>668</v>
      </c>
      <c r="F476" s="531">
        <v>27252</v>
      </c>
      <c r="G476" s="531">
        <v>9520.0300000000007</v>
      </c>
    </row>
    <row r="477" spans="1:7" ht="12" thickBot="1">
      <c r="A477" s="522" t="s">
        <v>1363</v>
      </c>
      <c r="B477" s="522" t="s">
        <v>436</v>
      </c>
      <c r="C477" s="522" t="s">
        <v>370</v>
      </c>
      <c r="D477" s="522" t="s">
        <v>992</v>
      </c>
      <c r="E477" s="530">
        <v>5202</v>
      </c>
      <c r="F477" s="531">
        <v>492479</v>
      </c>
      <c r="G477" s="531">
        <v>104649.61</v>
      </c>
    </row>
    <row r="478" spans="1:7" ht="12" thickBot="1">
      <c r="A478" s="522" t="s">
        <v>1363</v>
      </c>
      <c r="B478" s="522" t="s">
        <v>436</v>
      </c>
      <c r="C478" s="522" t="s">
        <v>333</v>
      </c>
      <c r="D478" s="522" t="s">
        <v>993</v>
      </c>
      <c r="E478" s="530">
        <v>1041</v>
      </c>
      <c r="F478" s="531">
        <v>304174</v>
      </c>
      <c r="G478" s="531">
        <v>44012.41</v>
      </c>
    </row>
    <row r="479" spans="1:7" ht="12" thickBot="1">
      <c r="A479" s="522" t="s">
        <v>1363</v>
      </c>
      <c r="B479" s="522" t="s">
        <v>436</v>
      </c>
      <c r="C479" s="522" t="s">
        <v>336</v>
      </c>
      <c r="D479" s="522" t="s">
        <v>994</v>
      </c>
      <c r="E479" s="530">
        <v>150</v>
      </c>
      <c r="F479" s="531">
        <v>6119</v>
      </c>
      <c r="G479" s="531">
        <v>2797.5</v>
      </c>
    </row>
    <row r="480" spans="1:7" ht="12" thickBot="1">
      <c r="A480" s="522" t="s">
        <v>1363</v>
      </c>
      <c r="B480" s="522" t="s">
        <v>436</v>
      </c>
      <c r="C480" s="522" t="s">
        <v>368</v>
      </c>
      <c r="D480" s="522" t="s">
        <v>995</v>
      </c>
      <c r="E480" s="530">
        <v>1026</v>
      </c>
      <c r="F480" s="531">
        <v>97919</v>
      </c>
      <c r="G480" s="531">
        <v>25180.16</v>
      </c>
    </row>
    <row r="481" spans="1:7" ht="12" thickBot="1">
      <c r="A481" s="522" t="s">
        <v>1363</v>
      </c>
      <c r="B481" s="522" t="s">
        <v>436</v>
      </c>
      <c r="C481" s="522" t="s">
        <v>400</v>
      </c>
      <c r="D481" s="522" t="s">
        <v>996</v>
      </c>
      <c r="E481" s="524">
        <v>141</v>
      </c>
      <c r="F481" s="525">
        <v>9161</v>
      </c>
      <c r="G481" s="526">
        <v>1843.41</v>
      </c>
    </row>
    <row r="482" spans="1:7" ht="12" thickBot="1">
      <c r="A482" s="522" t="s">
        <v>1363</v>
      </c>
      <c r="B482" s="522" t="s">
        <v>436</v>
      </c>
      <c r="C482" s="522" t="s">
        <v>327</v>
      </c>
      <c r="D482" s="522" t="s">
        <v>997</v>
      </c>
      <c r="E482" s="530">
        <v>453</v>
      </c>
      <c r="F482" s="531">
        <v>35797</v>
      </c>
      <c r="G482" s="531">
        <v>6052.08</v>
      </c>
    </row>
    <row r="483" spans="1:7" ht="12" thickBot="1">
      <c r="A483" s="522" t="s">
        <v>1363</v>
      </c>
      <c r="B483" s="522" t="s">
        <v>436</v>
      </c>
      <c r="C483" s="522" t="s">
        <v>357</v>
      </c>
      <c r="D483" s="522" t="s">
        <v>998</v>
      </c>
      <c r="E483" s="524">
        <v>1460</v>
      </c>
      <c r="F483" s="525">
        <v>178050</v>
      </c>
      <c r="G483" s="525">
        <v>21964.02</v>
      </c>
    </row>
    <row r="484" spans="1:7" ht="12" thickBot="1">
      <c r="A484" s="522" t="s">
        <v>1363</v>
      </c>
      <c r="B484" s="522" t="s">
        <v>436</v>
      </c>
      <c r="C484" s="522" t="s">
        <v>331</v>
      </c>
      <c r="D484" s="522" t="s">
        <v>999</v>
      </c>
      <c r="E484" s="530">
        <v>226</v>
      </c>
      <c r="F484" s="531">
        <v>66115</v>
      </c>
      <c r="G484" s="531">
        <v>10532.08</v>
      </c>
    </row>
    <row r="485" spans="1:7" ht="12" thickBot="1">
      <c r="A485" s="522" t="s">
        <v>1363</v>
      </c>
      <c r="B485" s="522" t="s">
        <v>436</v>
      </c>
      <c r="C485" s="522" t="s">
        <v>335</v>
      </c>
      <c r="D485" s="522" t="s">
        <v>1000</v>
      </c>
      <c r="E485" s="530">
        <v>26</v>
      </c>
      <c r="F485" s="531">
        <v>1118</v>
      </c>
      <c r="G485" s="531">
        <v>705.9</v>
      </c>
    </row>
    <row r="486" spans="1:7" ht="12" thickBot="1">
      <c r="A486" s="522" t="s">
        <v>1363</v>
      </c>
      <c r="B486" s="522" t="s">
        <v>436</v>
      </c>
      <c r="C486" s="522" t="s">
        <v>372</v>
      </c>
      <c r="D486" s="522" t="s">
        <v>1001</v>
      </c>
      <c r="E486" s="524">
        <v>6930</v>
      </c>
      <c r="F486" s="525">
        <v>113244</v>
      </c>
      <c r="G486" s="526">
        <v>52252.2</v>
      </c>
    </row>
    <row r="487" spans="1:7" ht="12" thickBot="1">
      <c r="A487" s="522" t="s">
        <v>1363</v>
      </c>
      <c r="B487" s="522" t="s">
        <v>436</v>
      </c>
      <c r="C487" s="522" t="s">
        <v>381</v>
      </c>
      <c r="D487" s="522" t="s">
        <v>1002</v>
      </c>
      <c r="E487" s="530">
        <v>8748</v>
      </c>
      <c r="F487" s="531">
        <v>199542</v>
      </c>
      <c r="G487" s="531">
        <v>75765.14</v>
      </c>
    </row>
    <row r="488" spans="1:7" ht="12" thickBot="1">
      <c r="A488" s="522" t="s">
        <v>1363</v>
      </c>
      <c r="B488" s="522" t="s">
        <v>436</v>
      </c>
      <c r="C488" s="522" t="s">
        <v>404</v>
      </c>
      <c r="D488" s="522" t="s">
        <v>1003</v>
      </c>
      <c r="E488" s="524">
        <v>20390</v>
      </c>
      <c r="F488" s="525">
        <v>675986</v>
      </c>
      <c r="G488" s="525">
        <v>192772.9</v>
      </c>
    </row>
    <row r="489" spans="1:7" ht="12" thickBot="1">
      <c r="A489" s="522" t="s">
        <v>1363</v>
      </c>
      <c r="B489" s="522" t="s">
        <v>436</v>
      </c>
      <c r="C489" s="522" t="s">
        <v>361</v>
      </c>
      <c r="D489" s="522" t="s">
        <v>1004</v>
      </c>
      <c r="E489" s="524">
        <v>7581</v>
      </c>
      <c r="F489" s="525">
        <v>502539</v>
      </c>
      <c r="G489" s="525">
        <v>107939</v>
      </c>
    </row>
    <row r="490" spans="1:7" ht="12" thickBot="1">
      <c r="A490" s="522" t="s">
        <v>1363</v>
      </c>
      <c r="B490" s="522" t="s">
        <v>436</v>
      </c>
      <c r="C490" s="522" t="s">
        <v>393</v>
      </c>
      <c r="D490" s="522" t="s">
        <v>1005</v>
      </c>
      <c r="E490" s="524">
        <v>2810</v>
      </c>
      <c r="F490" s="525">
        <v>361038</v>
      </c>
      <c r="G490" s="525">
        <v>63998.44</v>
      </c>
    </row>
    <row r="491" spans="1:7" ht="12" thickBot="1">
      <c r="A491" s="522" t="s">
        <v>1363</v>
      </c>
      <c r="B491" s="522" t="s">
        <v>436</v>
      </c>
      <c r="C491" s="522" t="s">
        <v>379</v>
      </c>
      <c r="D491" s="522" t="s">
        <v>1006</v>
      </c>
      <c r="E491" s="524">
        <v>864</v>
      </c>
      <c r="F491" s="525">
        <v>14462</v>
      </c>
      <c r="G491" s="525">
        <v>8252.68</v>
      </c>
    </row>
    <row r="492" spans="1:7" ht="12" thickBot="1">
      <c r="A492" s="522" t="s">
        <v>1363</v>
      </c>
      <c r="B492" s="522" t="s">
        <v>436</v>
      </c>
      <c r="C492" s="522" t="s">
        <v>389</v>
      </c>
      <c r="D492" s="522" t="s">
        <v>1007</v>
      </c>
      <c r="E492" s="530">
        <v>1364</v>
      </c>
      <c r="F492" s="531">
        <v>31452</v>
      </c>
      <c r="G492" s="531">
        <v>14679.51</v>
      </c>
    </row>
    <row r="493" spans="1:7" ht="12" thickBot="1">
      <c r="A493" s="522" t="s">
        <v>1363</v>
      </c>
      <c r="B493" s="522" t="s">
        <v>436</v>
      </c>
      <c r="C493" s="522" t="s">
        <v>412</v>
      </c>
      <c r="D493" s="522" t="s">
        <v>1008</v>
      </c>
      <c r="E493" s="524">
        <v>4032</v>
      </c>
      <c r="F493" s="525">
        <v>128481</v>
      </c>
      <c r="G493" s="525">
        <v>44959.93</v>
      </c>
    </row>
    <row r="494" spans="1:7" ht="12" thickBot="1">
      <c r="A494" s="522" t="s">
        <v>1363</v>
      </c>
      <c r="B494" s="522" t="s">
        <v>436</v>
      </c>
      <c r="C494" s="522" t="s">
        <v>367</v>
      </c>
      <c r="D494" s="522" t="s">
        <v>1009</v>
      </c>
      <c r="E494" s="530">
        <v>295</v>
      </c>
      <c r="F494" s="531">
        <v>28022</v>
      </c>
      <c r="G494" s="531">
        <v>9736.92</v>
      </c>
    </row>
    <row r="495" spans="1:7" ht="12" thickBot="1">
      <c r="A495" s="522" t="s">
        <v>1363</v>
      </c>
      <c r="B495" s="522" t="s">
        <v>436</v>
      </c>
      <c r="C495" s="522" t="s">
        <v>330</v>
      </c>
      <c r="D495" s="522" t="s">
        <v>1010</v>
      </c>
      <c r="E495" s="524">
        <v>61</v>
      </c>
      <c r="F495" s="525">
        <v>17537</v>
      </c>
      <c r="G495" s="525">
        <v>3370.25</v>
      </c>
    </row>
    <row r="496" spans="1:7" ht="12" thickBot="1">
      <c r="A496" s="522" t="s">
        <v>1363</v>
      </c>
      <c r="B496" s="522" t="s">
        <v>436</v>
      </c>
      <c r="C496" s="522" t="s">
        <v>371</v>
      </c>
      <c r="D496" s="522" t="s">
        <v>1011</v>
      </c>
      <c r="E496" s="530">
        <v>3666</v>
      </c>
      <c r="F496" s="531">
        <v>59109</v>
      </c>
      <c r="G496" s="531">
        <v>38456.339999999997</v>
      </c>
    </row>
    <row r="497" spans="1:7" ht="12" thickBot="1">
      <c r="A497" s="522" t="s">
        <v>1363</v>
      </c>
      <c r="B497" s="522" t="s">
        <v>436</v>
      </c>
      <c r="C497" s="522" t="s">
        <v>380</v>
      </c>
      <c r="D497" s="522" t="s">
        <v>1012</v>
      </c>
      <c r="E497" s="524">
        <v>8766</v>
      </c>
      <c r="F497" s="525">
        <v>195755</v>
      </c>
      <c r="G497" s="525">
        <v>101811.6</v>
      </c>
    </row>
    <row r="498" spans="1:7" ht="12" thickBot="1">
      <c r="A498" s="522" t="s">
        <v>1363</v>
      </c>
      <c r="B498" s="522" t="s">
        <v>436</v>
      </c>
      <c r="C498" s="522" t="s">
        <v>403</v>
      </c>
      <c r="D498" s="522" t="s">
        <v>1013</v>
      </c>
      <c r="E498" s="530">
        <v>3372</v>
      </c>
      <c r="F498" s="531">
        <v>106302</v>
      </c>
      <c r="G498" s="531">
        <v>41476.879999999997</v>
      </c>
    </row>
    <row r="499" spans="1:7" ht="12" thickBot="1">
      <c r="A499" s="522" t="s">
        <v>1363</v>
      </c>
      <c r="B499" s="522" t="s">
        <v>436</v>
      </c>
      <c r="C499" s="522" t="s">
        <v>360</v>
      </c>
      <c r="D499" s="522" t="s">
        <v>1014</v>
      </c>
      <c r="E499" s="524">
        <v>5195</v>
      </c>
      <c r="F499" s="525">
        <v>340071</v>
      </c>
      <c r="G499" s="525">
        <v>90427.41</v>
      </c>
    </row>
    <row r="500" spans="1:7" ht="12" thickBot="1">
      <c r="A500" s="522" t="s">
        <v>1363</v>
      </c>
      <c r="B500" s="522" t="s">
        <v>436</v>
      </c>
      <c r="C500" s="522" t="s">
        <v>392</v>
      </c>
      <c r="D500" s="522" t="s">
        <v>1015</v>
      </c>
      <c r="E500" s="530">
        <v>508</v>
      </c>
      <c r="F500" s="531">
        <v>65574</v>
      </c>
      <c r="G500" s="531">
        <v>12415.56</v>
      </c>
    </row>
    <row r="501" spans="1:7" ht="12" thickBot="1">
      <c r="A501" s="522" t="s">
        <v>1363</v>
      </c>
      <c r="B501" s="522" t="s">
        <v>436</v>
      </c>
      <c r="C501" s="522" t="s">
        <v>390</v>
      </c>
      <c r="D501" s="522" t="s">
        <v>1016</v>
      </c>
      <c r="E501" s="524">
        <v>4563</v>
      </c>
      <c r="F501" s="525">
        <v>101832</v>
      </c>
      <c r="G501" s="525">
        <v>76612.77</v>
      </c>
    </row>
    <row r="502" spans="1:7" ht="12" thickBot="1">
      <c r="A502" s="522" t="s">
        <v>1363</v>
      </c>
      <c r="B502" s="522" t="s">
        <v>436</v>
      </c>
      <c r="C502" s="522" t="s">
        <v>414</v>
      </c>
      <c r="D502" s="522" t="s">
        <v>1017</v>
      </c>
      <c r="E502" s="530">
        <v>1052</v>
      </c>
      <c r="F502" s="531">
        <v>33657</v>
      </c>
      <c r="G502" s="531">
        <v>22060.44</v>
      </c>
    </row>
    <row r="503" spans="1:7" ht="12" thickBot="1">
      <c r="A503" s="522" t="s">
        <v>1363</v>
      </c>
      <c r="B503" s="522" t="s">
        <v>436</v>
      </c>
      <c r="C503" s="522" t="s">
        <v>364</v>
      </c>
      <c r="D503" s="522" t="s">
        <v>1018</v>
      </c>
      <c r="E503" s="524">
        <v>1407</v>
      </c>
      <c r="F503" s="525">
        <v>92710</v>
      </c>
      <c r="G503" s="525">
        <v>37792.019999999997</v>
      </c>
    </row>
    <row r="504" spans="1:7" ht="12" thickBot="1">
      <c r="A504" s="522" t="s">
        <v>1363</v>
      </c>
      <c r="B504" s="522" t="s">
        <v>436</v>
      </c>
      <c r="C504" s="522" t="s">
        <v>396</v>
      </c>
      <c r="D504" s="522" t="s">
        <v>1019</v>
      </c>
      <c r="E504" s="530">
        <v>941</v>
      </c>
      <c r="F504" s="531">
        <v>120887</v>
      </c>
      <c r="G504" s="531">
        <v>31181.38</v>
      </c>
    </row>
    <row r="505" spans="1:7" ht="12" thickBot="1">
      <c r="A505" s="522" t="s">
        <v>1363</v>
      </c>
      <c r="B505" s="522" t="s">
        <v>436</v>
      </c>
      <c r="C505" s="522" t="s">
        <v>415</v>
      </c>
      <c r="D505" s="522" t="s">
        <v>1020</v>
      </c>
      <c r="E505" s="530">
        <v>11165</v>
      </c>
      <c r="F505" s="531">
        <v>350850</v>
      </c>
      <c r="G505" s="532">
        <v>99813.72</v>
      </c>
    </row>
    <row r="506" spans="1:7" ht="12" thickBot="1">
      <c r="A506" s="522" t="s">
        <v>1363</v>
      </c>
      <c r="B506" s="522" t="s">
        <v>436</v>
      </c>
      <c r="C506" s="522" t="s">
        <v>365</v>
      </c>
      <c r="D506" s="522" t="s">
        <v>1021</v>
      </c>
      <c r="E506" s="530">
        <v>6630</v>
      </c>
      <c r="F506" s="531">
        <v>433016</v>
      </c>
      <c r="G506" s="531">
        <v>90055.37</v>
      </c>
    </row>
    <row r="507" spans="1:7" ht="12" thickBot="1">
      <c r="A507" s="522" t="s">
        <v>1363</v>
      </c>
      <c r="B507" s="522" t="s">
        <v>436</v>
      </c>
      <c r="C507" s="522" t="s">
        <v>397</v>
      </c>
      <c r="D507" s="522" t="s">
        <v>1022</v>
      </c>
      <c r="E507" s="530">
        <v>8378</v>
      </c>
      <c r="F507" s="531">
        <v>1073293</v>
      </c>
      <c r="G507" s="531">
        <v>162860.66</v>
      </c>
    </row>
    <row r="508" spans="1:7" ht="12" thickBot="1">
      <c r="A508" s="522" t="s">
        <v>1363</v>
      </c>
      <c r="B508" s="522" t="s">
        <v>436</v>
      </c>
      <c r="C508" s="522" t="s">
        <v>337</v>
      </c>
      <c r="D508" s="522" t="s">
        <v>1023</v>
      </c>
      <c r="E508" s="530">
        <v>58</v>
      </c>
      <c r="F508" s="531">
        <v>2307</v>
      </c>
      <c r="G508" s="531">
        <v>897.26</v>
      </c>
    </row>
    <row r="509" spans="1:7" ht="12" thickBot="1">
      <c r="A509" s="522" t="s">
        <v>1363</v>
      </c>
      <c r="B509" s="522" t="s">
        <v>436</v>
      </c>
      <c r="C509" s="522" t="s">
        <v>369</v>
      </c>
      <c r="D509" s="522" t="s">
        <v>1024</v>
      </c>
      <c r="E509" s="524">
        <v>312</v>
      </c>
      <c r="F509" s="525">
        <v>32617</v>
      </c>
      <c r="G509" s="526">
        <v>7357.52</v>
      </c>
    </row>
    <row r="510" spans="1:7" ht="12" thickBot="1">
      <c r="A510" s="522" t="s">
        <v>1363</v>
      </c>
      <c r="B510" s="522" t="s">
        <v>436</v>
      </c>
      <c r="C510" s="522" t="s">
        <v>715</v>
      </c>
      <c r="D510" s="522" t="s">
        <v>1025</v>
      </c>
      <c r="E510" s="530">
        <v>2</v>
      </c>
      <c r="F510" s="531">
        <v>46</v>
      </c>
      <c r="G510" s="531">
        <v>30.74</v>
      </c>
    </row>
    <row r="511" spans="1:7" ht="12" thickBot="1">
      <c r="A511" s="522" t="s">
        <v>1363</v>
      </c>
      <c r="B511" s="522" t="s">
        <v>436</v>
      </c>
      <c r="C511" s="522" t="s">
        <v>332</v>
      </c>
      <c r="D511" s="522" t="s">
        <v>1026</v>
      </c>
      <c r="E511" s="524">
        <v>43</v>
      </c>
      <c r="F511" s="525">
        <v>12619</v>
      </c>
      <c r="G511" s="525">
        <v>1965.1</v>
      </c>
    </row>
    <row r="512" spans="1:7" ht="12" thickBot="1">
      <c r="A512" s="522" t="s">
        <v>1363</v>
      </c>
      <c r="B512" s="522" t="s">
        <v>436</v>
      </c>
      <c r="C512" s="522" t="s">
        <v>334</v>
      </c>
      <c r="D512" s="522" t="s">
        <v>1027</v>
      </c>
      <c r="E512" s="530">
        <v>168</v>
      </c>
      <c r="F512" s="531">
        <v>6887</v>
      </c>
      <c r="G512" s="531">
        <v>4766.16</v>
      </c>
    </row>
    <row r="513" spans="1:13" ht="12" thickBot="1">
      <c r="A513" s="522" t="s">
        <v>1363</v>
      </c>
      <c r="B513" s="522" t="s">
        <v>436</v>
      </c>
      <c r="C513" s="522" t="s">
        <v>366</v>
      </c>
      <c r="D513" s="522" t="s">
        <v>1028</v>
      </c>
      <c r="E513" s="524">
        <v>632</v>
      </c>
      <c r="F513" s="525">
        <v>61681</v>
      </c>
      <c r="G513" s="525">
        <v>22422.400000000001</v>
      </c>
    </row>
    <row r="514" spans="1:13" ht="12" thickBot="1">
      <c r="A514" s="522" t="s">
        <v>1363</v>
      </c>
      <c r="B514" s="522" t="s">
        <v>436</v>
      </c>
      <c r="C514" s="522" t="s">
        <v>329</v>
      </c>
      <c r="D514" s="522" t="s">
        <v>1029</v>
      </c>
      <c r="E514" s="530">
        <v>154</v>
      </c>
      <c r="F514" s="531">
        <v>45473</v>
      </c>
      <c r="G514" s="531">
        <v>9022.86</v>
      </c>
    </row>
    <row r="515" spans="1:13" ht="12" thickBot="1">
      <c r="A515" s="522" t="s">
        <v>1363</v>
      </c>
      <c r="B515" s="522" t="s">
        <v>436</v>
      </c>
      <c r="C515" s="522" t="s">
        <v>683</v>
      </c>
      <c r="D515" s="522" t="s">
        <v>1047</v>
      </c>
      <c r="E515" s="524">
        <v>10</v>
      </c>
      <c r="F515" s="525">
        <v>323</v>
      </c>
      <c r="G515" s="525">
        <v>153.5</v>
      </c>
    </row>
    <row r="516" spans="1:13" ht="12" thickBot="1">
      <c r="A516" s="522" t="s">
        <v>1363</v>
      </c>
      <c r="B516" s="522" t="s">
        <v>436</v>
      </c>
      <c r="C516" s="522" t="s">
        <v>463</v>
      </c>
      <c r="D516" s="522" t="s">
        <v>1030</v>
      </c>
      <c r="E516" s="530">
        <v>26</v>
      </c>
      <c r="F516" s="531">
        <v>3994</v>
      </c>
      <c r="G516" s="531">
        <v>967.51</v>
      </c>
    </row>
    <row r="517" spans="1:13" ht="12" thickBot="1">
      <c r="A517" s="522" t="s">
        <v>1363</v>
      </c>
      <c r="B517" s="522" t="s">
        <v>436</v>
      </c>
      <c r="C517" s="522" t="s">
        <v>653</v>
      </c>
      <c r="D517" s="522" t="s">
        <v>1031</v>
      </c>
      <c r="E517" s="524">
        <v>24</v>
      </c>
      <c r="F517" s="525">
        <v>3193</v>
      </c>
      <c r="G517" s="525">
        <v>515.76</v>
      </c>
    </row>
    <row r="518" spans="1:13" ht="12" thickBot="1">
      <c r="A518" s="522" t="s">
        <v>1363</v>
      </c>
      <c r="B518" s="522" t="s">
        <v>436</v>
      </c>
      <c r="C518" s="522" t="s">
        <v>1368</v>
      </c>
      <c r="D518" s="522" t="s">
        <v>1369</v>
      </c>
      <c r="E518" s="530">
        <v>0</v>
      </c>
      <c r="F518" s="531">
        <v>0</v>
      </c>
      <c r="G518" s="531">
        <v>0</v>
      </c>
    </row>
    <row r="519" spans="1:13" s="836" customFormat="1" ht="12.75" thickBot="1">
      <c r="A519" s="522" t="s">
        <v>1363</v>
      </c>
      <c r="B519" s="522" t="s">
        <v>436</v>
      </c>
      <c r="C519" s="543" t="s">
        <v>9</v>
      </c>
      <c r="D519" s="544"/>
      <c r="E519" s="539">
        <v>171292</v>
      </c>
      <c r="F519" s="540">
        <v>8481226</v>
      </c>
      <c r="G519" s="540">
        <v>2131313.149999999</v>
      </c>
      <c r="H519" s="1003"/>
      <c r="I519" s="1003"/>
      <c r="J519" s="1003"/>
      <c r="K519" s="1003"/>
      <c r="L519" s="1003"/>
      <c r="M519" s="1003"/>
    </row>
    <row r="520" spans="1:13" s="836" customFormat="1" ht="12.75" thickBot="1">
      <c r="A520" s="522" t="s">
        <v>1424</v>
      </c>
      <c r="B520" s="522" t="s">
        <v>436</v>
      </c>
      <c r="C520" s="522" t="s">
        <v>449</v>
      </c>
      <c r="D520" s="522" t="s">
        <v>448</v>
      </c>
      <c r="E520" s="524">
        <v>2</v>
      </c>
      <c r="F520" s="525">
        <v>108</v>
      </c>
      <c r="G520" s="525">
        <v>19.04</v>
      </c>
      <c r="H520" s="1003"/>
      <c r="I520" s="1003"/>
      <c r="J520" s="1003"/>
      <c r="K520" s="1003"/>
      <c r="L520" s="1003"/>
      <c r="M520" s="1003"/>
    </row>
    <row r="521" spans="1:13" s="836" customFormat="1" ht="12.75" thickBot="1">
      <c r="A521" s="522" t="s">
        <v>1424</v>
      </c>
      <c r="B521" s="522" t="s">
        <v>436</v>
      </c>
      <c r="C521" s="522" t="s">
        <v>447</v>
      </c>
      <c r="D521" s="522" t="s">
        <v>446</v>
      </c>
      <c r="E521" s="530">
        <v>1</v>
      </c>
      <c r="F521" s="531">
        <v>31</v>
      </c>
      <c r="G521" s="531">
        <v>6.9</v>
      </c>
      <c r="H521" s="1003"/>
      <c r="I521" s="1003"/>
      <c r="J521" s="1003"/>
      <c r="K521" s="1003"/>
      <c r="L521" s="1003"/>
      <c r="M521" s="1003"/>
    </row>
    <row r="522" spans="1:13" s="836" customFormat="1" ht="12.75" thickBot="1">
      <c r="A522" s="522" t="s">
        <v>1424</v>
      </c>
      <c r="B522" s="522" t="s">
        <v>436</v>
      </c>
      <c r="C522" s="522" t="s">
        <v>339</v>
      </c>
      <c r="D522" s="522" t="s">
        <v>952</v>
      </c>
      <c r="E522" s="524">
        <v>178</v>
      </c>
      <c r="F522" s="525">
        <v>8936</v>
      </c>
      <c r="G522" s="525">
        <v>9848.74</v>
      </c>
      <c r="H522" s="1003"/>
      <c r="I522" s="1003"/>
      <c r="J522" s="1003"/>
      <c r="K522" s="1003"/>
      <c r="L522" s="1003"/>
      <c r="M522" s="1003"/>
    </row>
    <row r="523" spans="1:13" s="836" customFormat="1" ht="12.75" thickBot="1">
      <c r="A523" s="522" t="s">
        <v>1424</v>
      </c>
      <c r="B523" s="522" t="s">
        <v>436</v>
      </c>
      <c r="C523" s="522" t="s">
        <v>344</v>
      </c>
      <c r="D523" s="522" t="s">
        <v>953</v>
      </c>
      <c r="E523" s="530">
        <v>25</v>
      </c>
      <c r="F523" s="531">
        <v>1211</v>
      </c>
      <c r="G523" s="531">
        <v>2079</v>
      </c>
      <c r="H523" s="1003"/>
      <c r="I523" s="1003"/>
      <c r="J523" s="1003"/>
      <c r="K523" s="1003"/>
      <c r="L523" s="1003"/>
      <c r="M523" s="1003"/>
    </row>
    <row r="524" spans="1:13" s="836" customFormat="1" ht="12.75" thickBot="1">
      <c r="A524" s="522" t="s">
        <v>1424</v>
      </c>
      <c r="B524" s="522" t="s">
        <v>436</v>
      </c>
      <c r="C524" s="522" t="s">
        <v>347</v>
      </c>
      <c r="D524" s="522" t="s">
        <v>954</v>
      </c>
      <c r="E524" s="524">
        <v>43</v>
      </c>
      <c r="F524" s="525">
        <v>1727</v>
      </c>
      <c r="G524" s="525">
        <v>2570.54</v>
      </c>
      <c r="H524" s="1003"/>
      <c r="I524" s="1003"/>
      <c r="J524" s="1003"/>
      <c r="K524" s="1003"/>
      <c r="L524" s="1003"/>
      <c r="M524" s="1003"/>
    </row>
    <row r="525" spans="1:13" s="836" customFormat="1" ht="12.75" thickBot="1">
      <c r="A525" s="522" t="s">
        <v>1424</v>
      </c>
      <c r="B525" s="522" t="s">
        <v>436</v>
      </c>
      <c r="C525" s="522" t="s">
        <v>348</v>
      </c>
      <c r="D525" s="522" t="s">
        <v>955</v>
      </c>
      <c r="E525" s="530">
        <v>5</v>
      </c>
      <c r="F525" s="531">
        <v>226</v>
      </c>
      <c r="G525" s="531">
        <v>308.75</v>
      </c>
      <c r="H525" s="1003"/>
      <c r="I525" s="1003"/>
      <c r="J525" s="1003"/>
      <c r="K525" s="1003"/>
      <c r="L525" s="1003"/>
      <c r="M525" s="1003"/>
    </row>
    <row r="526" spans="1:13" s="836" customFormat="1" ht="12.75" thickBot="1">
      <c r="A526" s="522" t="s">
        <v>1424</v>
      </c>
      <c r="B526" s="522" t="s">
        <v>436</v>
      </c>
      <c r="C526" s="522" t="s">
        <v>349</v>
      </c>
      <c r="D526" s="522" t="s">
        <v>956</v>
      </c>
      <c r="E526" s="524">
        <v>1</v>
      </c>
      <c r="F526" s="525">
        <v>45</v>
      </c>
      <c r="G526" s="525">
        <v>63.11</v>
      </c>
      <c r="H526" s="1003"/>
      <c r="I526" s="1003"/>
      <c r="J526" s="1003"/>
      <c r="K526" s="1003"/>
      <c r="L526" s="1003"/>
      <c r="M526" s="1003"/>
    </row>
    <row r="527" spans="1:13" s="836" customFormat="1" ht="12.75" thickBot="1">
      <c r="A527" s="522" t="s">
        <v>1424</v>
      </c>
      <c r="B527" s="522" t="s">
        <v>436</v>
      </c>
      <c r="C527" s="522" t="s">
        <v>351</v>
      </c>
      <c r="D527" s="522" t="s">
        <v>957</v>
      </c>
      <c r="E527" s="530">
        <v>5</v>
      </c>
      <c r="F527" s="531">
        <v>232</v>
      </c>
      <c r="G527" s="531">
        <v>404.7</v>
      </c>
      <c r="H527" s="1003"/>
      <c r="I527" s="1003"/>
      <c r="J527" s="1003"/>
      <c r="K527" s="1003"/>
      <c r="L527" s="1003"/>
      <c r="M527" s="1003"/>
    </row>
    <row r="528" spans="1:13" s="836" customFormat="1" ht="12.75" thickBot="1">
      <c r="A528" s="522" t="s">
        <v>1424</v>
      </c>
      <c r="B528" s="522" t="s">
        <v>436</v>
      </c>
      <c r="C528" s="522" t="s">
        <v>352</v>
      </c>
      <c r="D528" s="522" t="s">
        <v>958</v>
      </c>
      <c r="E528" s="524">
        <v>9</v>
      </c>
      <c r="F528" s="525">
        <v>413</v>
      </c>
      <c r="G528" s="525">
        <v>710.73</v>
      </c>
      <c r="H528" s="1003"/>
      <c r="I528" s="1003"/>
      <c r="J528" s="1003"/>
      <c r="K528" s="1003"/>
      <c r="L528" s="1003"/>
      <c r="M528" s="1003"/>
    </row>
    <row r="529" spans="1:13" s="836" customFormat="1" ht="12.75" thickBot="1">
      <c r="A529" s="522" t="s">
        <v>1424</v>
      </c>
      <c r="B529" s="522" t="s">
        <v>436</v>
      </c>
      <c r="C529" s="522" t="s">
        <v>354</v>
      </c>
      <c r="D529" s="522" t="s">
        <v>959</v>
      </c>
      <c r="E529" s="530">
        <v>25</v>
      </c>
      <c r="F529" s="531">
        <v>1253</v>
      </c>
      <c r="G529" s="531">
        <v>1530.75</v>
      </c>
      <c r="H529" s="1003"/>
      <c r="I529" s="1003"/>
      <c r="J529" s="1003"/>
      <c r="K529" s="1003"/>
      <c r="L529" s="1003"/>
      <c r="M529" s="1003"/>
    </row>
    <row r="530" spans="1:13" s="836" customFormat="1" ht="12.75" thickBot="1">
      <c r="A530" s="522" t="s">
        <v>1424</v>
      </c>
      <c r="B530" s="522" t="s">
        <v>436</v>
      </c>
      <c r="C530" s="522" t="s">
        <v>355</v>
      </c>
      <c r="D530" s="522" t="s">
        <v>960</v>
      </c>
      <c r="E530" s="524">
        <v>1</v>
      </c>
      <c r="F530" s="525">
        <v>45</v>
      </c>
      <c r="G530" s="525">
        <v>56.69</v>
      </c>
      <c r="H530" s="1003"/>
      <c r="I530" s="1003"/>
      <c r="J530" s="1003"/>
      <c r="K530" s="1003"/>
      <c r="L530" s="1003"/>
      <c r="M530" s="1003"/>
    </row>
    <row r="531" spans="1:13" s="836" customFormat="1" ht="12.75" thickBot="1">
      <c r="A531" s="522" t="s">
        <v>1424</v>
      </c>
      <c r="B531" s="522" t="s">
        <v>436</v>
      </c>
      <c r="C531" s="522" t="s">
        <v>341</v>
      </c>
      <c r="D531" s="522" t="s">
        <v>961</v>
      </c>
      <c r="E531" s="530">
        <v>15</v>
      </c>
      <c r="F531" s="531">
        <v>699</v>
      </c>
      <c r="G531" s="531">
        <v>1117.8</v>
      </c>
      <c r="H531" s="1003"/>
      <c r="I531" s="1003"/>
      <c r="J531" s="1003"/>
      <c r="K531" s="1003"/>
      <c r="L531" s="1003"/>
      <c r="M531" s="1003"/>
    </row>
    <row r="532" spans="1:13" s="836" customFormat="1" ht="12.75" thickBot="1">
      <c r="A532" s="522" t="s">
        <v>1424</v>
      </c>
      <c r="B532" s="522" t="s">
        <v>436</v>
      </c>
      <c r="C532" s="522" t="s">
        <v>350</v>
      </c>
      <c r="D532" s="522" t="s">
        <v>962</v>
      </c>
      <c r="E532" s="524">
        <v>1</v>
      </c>
      <c r="F532" s="525">
        <v>45</v>
      </c>
      <c r="G532" s="525">
        <v>82.3</v>
      </c>
      <c r="H532" s="1003"/>
      <c r="I532" s="1003"/>
      <c r="J532" s="1003"/>
      <c r="K532" s="1003"/>
      <c r="L532" s="1003"/>
      <c r="M532" s="1003"/>
    </row>
    <row r="533" spans="1:13" s="836" customFormat="1" ht="12.75" thickBot="1">
      <c r="A533" s="522" t="s">
        <v>1424</v>
      </c>
      <c r="B533" s="522" t="s">
        <v>436</v>
      </c>
      <c r="C533" s="522" t="s">
        <v>342</v>
      </c>
      <c r="D533" s="522" t="s">
        <v>963</v>
      </c>
      <c r="E533" s="530">
        <v>20</v>
      </c>
      <c r="F533" s="531">
        <v>1021</v>
      </c>
      <c r="G533" s="531">
        <v>1490.4</v>
      </c>
      <c r="H533" s="1003"/>
      <c r="I533" s="1003"/>
      <c r="J533" s="1003"/>
      <c r="K533" s="1003"/>
      <c r="L533" s="1003"/>
      <c r="M533" s="1003"/>
    </row>
    <row r="534" spans="1:13" s="836" customFormat="1" ht="12.75" thickBot="1">
      <c r="A534" s="522" t="s">
        <v>1424</v>
      </c>
      <c r="B534" s="522" t="s">
        <v>436</v>
      </c>
      <c r="C534" s="522" t="s">
        <v>346</v>
      </c>
      <c r="D534" s="522" t="s">
        <v>964</v>
      </c>
      <c r="E534" s="524">
        <v>4</v>
      </c>
      <c r="F534" s="525">
        <v>193</v>
      </c>
      <c r="G534" s="525">
        <v>303.52</v>
      </c>
      <c r="H534" s="1003"/>
      <c r="I534" s="1003"/>
      <c r="J534" s="1003"/>
      <c r="K534" s="1003"/>
      <c r="L534" s="1003"/>
      <c r="M534" s="1003"/>
    </row>
    <row r="535" spans="1:13" s="836" customFormat="1" ht="12.75" thickBot="1">
      <c r="A535" s="522" t="s">
        <v>1424</v>
      </c>
      <c r="B535" s="522" t="s">
        <v>436</v>
      </c>
      <c r="C535" s="522" t="s">
        <v>353</v>
      </c>
      <c r="D535" s="522" t="s">
        <v>965</v>
      </c>
      <c r="E535" s="530">
        <v>3</v>
      </c>
      <c r="F535" s="531">
        <v>153</v>
      </c>
      <c r="G535" s="531">
        <v>236.91</v>
      </c>
      <c r="H535" s="1003"/>
      <c r="I535" s="1003"/>
      <c r="J535" s="1003"/>
      <c r="K535" s="1003"/>
      <c r="L535" s="1003"/>
      <c r="M535" s="1003"/>
    </row>
    <row r="536" spans="1:13" s="836" customFormat="1" ht="12.75" thickBot="1">
      <c r="A536" s="522" t="s">
        <v>1424</v>
      </c>
      <c r="B536" s="522" t="s">
        <v>436</v>
      </c>
      <c r="C536" s="522" t="s">
        <v>345</v>
      </c>
      <c r="D536" s="522" t="s">
        <v>966</v>
      </c>
      <c r="E536" s="524">
        <v>2</v>
      </c>
      <c r="F536" s="525">
        <v>102</v>
      </c>
      <c r="G536" s="525">
        <v>154.52000000000001</v>
      </c>
      <c r="H536" s="1003"/>
      <c r="I536" s="1003"/>
      <c r="J536" s="1003"/>
      <c r="K536" s="1003"/>
      <c r="L536" s="1003"/>
      <c r="M536" s="1003"/>
    </row>
    <row r="537" spans="1:13" s="836" customFormat="1" ht="12.75" thickBot="1">
      <c r="A537" s="522" t="s">
        <v>1424</v>
      </c>
      <c r="B537" s="522" t="s">
        <v>436</v>
      </c>
      <c r="C537" s="522" t="s">
        <v>343</v>
      </c>
      <c r="D537" s="522" t="s">
        <v>967</v>
      </c>
      <c r="E537" s="530">
        <v>51</v>
      </c>
      <c r="F537" s="531">
        <v>2546</v>
      </c>
      <c r="G537" s="531">
        <v>3273.69</v>
      </c>
      <c r="H537" s="1003"/>
      <c r="I537" s="1003"/>
      <c r="J537" s="1003"/>
      <c r="K537" s="1003"/>
      <c r="L537" s="1003"/>
      <c r="M537" s="1003"/>
    </row>
    <row r="538" spans="1:13" s="836" customFormat="1" ht="12.75" thickBot="1">
      <c r="A538" s="522" t="s">
        <v>1424</v>
      </c>
      <c r="B538" s="522" t="s">
        <v>436</v>
      </c>
      <c r="C538" s="522" t="s">
        <v>472</v>
      </c>
      <c r="D538" s="522" t="s">
        <v>968</v>
      </c>
      <c r="E538" s="524">
        <v>2</v>
      </c>
      <c r="F538" s="525">
        <v>101</v>
      </c>
      <c r="G538" s="525">
        <v>151.80000000000001</v>
      </c>
      <c r="H538" s="1003"/>
      <c r="I538" s="1003"/>
      <c r="J538" s="1003"/>
      <c r="K538" s="1003"/>
      <c r="L538" s="1003"/>
      <c r="M538" s="1003"/>
    </row>
    <row r="539" spans="1:13" s="836" customFormat="1" ht="12.75" thickBot="1">
      <c r="A539" s="522" t="s">
        <v>1424</v>
      </c>
      <c r="B539" s="522" t="s">
        <v>436</v>
      </c>
      <c r="C539" s="522" t="s">
        <v>382</v>
      </c>
      <c r="D539" s="522" t="s">
        <v>969</v>
      </c>
      <c r="E539" s="530">
        <v>52</v>
      </c>
      <c r="F539" s="531">
        <v>1130</v>
      </c>
      <c r="G539" s="531">
        <v>772.72</v>
      </c>
      <c r="H539" s="1003"/>
      <c r="I539" s="1003"/>
      <c r="J539" s="1003"/>
      <c r="K539" s="1003"/>
      <c r="L539" s="1003"/>
      <c r="M539" s="1003"/>
    </row>
    <row r="540" spans="1:13" s="836" customFormat="1" ht="12.75" thickBot="1">
      <c r="A540" s="522" t="s">
        <v>1424</v>
      </c>
      <c r="B540" s="522" t="s">
        <v>436</v>
      </c>
      <c r="C540" s="522" t="s">
        <v>402</v>
      </c>
      <c r="D540" s="522" t="s">
        <v>970</v>
      </c>
      <c r="E540" s="524">
        <v>7087</v>
      </c>
      <c r="F540" s="525">
        <v>386380</v>
      </c>
      <c r="G540" s="525">
        <v>74347.649999999994</v>
      </c>
      <c r="H540" s="1003"/>
      <c r="I540" s="1003"/>
      <c r="J540" s="1003"/>
      <c r="K540" s="1003"/>
      <c r="L540" s="1003"/>
      <c r="M540" s="1003"/>
    </row>
    <row r="541" spans="1:13" s="836" customFormat="1" ht="12.75" thickBot="1">
      <c r="A541" s="522" t="s">
        <v>1424</v>
      </c>
      <c r="B541" s="522" t="s">
        <v>436</v>
      </c>
      <c r="C541" s="522" t="s">
        <v>398</v>
      </c>
      <c r="D541" s="522" t="s">
        <v>971</v>
      </c>
      <c r="E541" s="530">
        <v>137</v>
      </c>
      <c r="F541" s="531">
        <v>16975</v>
      </c>
      <c r="G541" s="531">
        <v>1604.27</v>
      </c>
      <c r="H541" s="1003"/>
      <c r="I541" s="1003"/>
      <c r="J541" s="1003"/>
      <c r="K541" s="1003"/>
      <c r="L541" s="1003"/>
      <c r="M541" s="1003"/>
    </row>
    <row r="542" spans="1:13" s="836" customFormat="1" ht="12.75" thickBot="1">
      <c r="A542" s="522" t="s">
        <v>1424</v>
      </c>
      <c r="B542" s="522" t="s">
        <v>436</v>
      </c>
      <c r="C542" s="522" t="s">
        <v>376</v>
      </c>
      <c r="D542" s="522" t="s">
        <v>972</v>
      </c>
      <c r="E542" s="530">
        <v>240</v>
      </c>
      <c r="F542" s="531">
        <v>3695</v>
      </c>
      <c r="G542" s="531">
        <v>4862.3999999999996</v>
      </c>
      <c r="H542" s="1003"/>
      <c r="I542" s="1003"/>
      <c r="J542" s="1003"/>
      <c r="K542" s="1003"/>
      <c r="L542" s="1003"/>
      <c r="M542" s="1003"/>
    </row>
    <row r="543" spans="1:13" s="836" customFormat="1" ht="12.75" thickBot="1">
      <c r="A543" s="522" t="s">
        <v>1424</v>
      </c>
      <c r="B543" s="522" t="s">
        <v>436</v>
      </c>
      <c r="C543" s="522" t="s">
        <v>384</v>
      </c>
      <c r="D543" s="522" t="s">
        <v>973</v>
      </c>
      <c r="E543" s="524">
        <v>150</v>
      </c>
      <c r="F543" s="525">
        <v>3286</v>
      </c>
      <c r="G543" s="525">
        <v>3207</v>
      </c>
      <c r="H543" s="1003"/>
      <c r="I543" s="1003"/>
      <c r="J543" s="1003"/>
      <c r="K543" s="1003"/>
      <c r="L543" s="1003"/>
      <c r="M543" s="1003"/>
    </row>
    <row r="544" spans="1:13" s="836" customFormat="1" ht="12.75" thickBot="1">
      <c r="A544" s="522" t="s">
        <v>1424</v>
      </c>
      <c r="B544" s="522" t="s">
        <v>436</v>
      </c>
      <c r="C544" s="522" t="s">
        <v>386</v>
      </c>
      <c r="D544" s="522" t="s">
        <v>974</v>
      </c>
      <c r="E544" s="530">
        <v>28</v>
      </c>
      <c r="F544" s="531">
        <v>578</v>
      </c>
      <c r="G544" s="531">
        <v>863.52</v>
      </c>
      <c r="H544" s="1003"/>
      <c r="I544" s="1003"/>
      <c r="J544" s="1003"/>
      <c r="K544" s="1003"/>
      <c r="L544" s="1003"/>
      <c r="M544" s="1003"/>
    </row>
    <row r="545" spans="1:13" s="836" customFormat="1" ht="12.75" thickBot="1">
      <c r="A545" s="522" t="s">
        <v>1424</v>
      </c>
      <c r="B545" s="522" t="s">
        <v>436</v>
      </c>
      <c r="C545" s="522" t="s">
        <v>409</v>
      </c>
      <c r="D545" s="522" t="s">
        <v>975</v>
      </c>
      <c r="E545" s="524">
        <v>96</v>
      </c>
      <c r="F545" s="525">
        <v>2948</v>
      </c>
      <c r="G545" s="525">
        <v>2997.12</v>
      </c>
      <c r="H545" s="1003"/>
      <c r="I545" s="1003"/>
      <c r="J545" s="1003"/>
      <c r="K545" s="1003"/>
      <c r="L545" s="1003"/>
      <c r="M545" s="1003"/>
    </row>
    <row r="546" spans="1:13" s="836" customFormat="1" ht="12.75" thickBot="1">
      <c r="A546" s="522" t="s">
        <v>1424</v>
      </c>
      <c r="B546" s="522" t="s">
        <v>436</v>
      </c>
      <c r="C546" s="522" t="s">
        <v>387</v>
      </c>
      <c r="D546" s="522" t="s">
        <v>976</v>
      </c>
      <c r="E546" s="530">
        <v>21</v>
      </c>
      <c r="F546" s="531">
        <v>435</v>
      </c>
      <c r="G546" s="531">
        <v>647.64</v>
      </c>
      <c r="H546" s="1003"/>
      <c r="I546" s="1003"/>
      <c r="J546" s="1003"/>
      <c r="K546" s="1003"/>
      <c r="L546" s="1003"/>
      <c r="M546" s="1003"/>
    </row>
    <row r="547" spans="1:13" s="836" customFormat="1" ht="12.75" thickBot="1">
      <c r="A547" s="522" t="s">
        <v>1424</v>
      </c>
      <c r="B547" s="522" t="s">
        <v>436</v>
      </c>
      <c r="C547" s="522" t="s">
        <v>410</v>
      </c>
      <c r="D547" s="522" t="s">
        <v>977</v>
      </c>
      <c r="E547" s="524">
        <v>10</v>
      </c>
      <c r="F547" s="525">
        <v>292</v>
      </c>
      <c r="G547" s="525">
        <v>312.2</v>
      </c>
      <c r="H547" s="1003"/>
      <c r="I547" s="1003"/>
      <c r="J547" s="1003"/>
      <c r="K547" s="1003"/>
      <c r="L547" s="1003"/>
      <c r="M547" s="1003"/>
    </row>
    <row r="548" spans="1:13" s="836" customFormat="1" ht="12.75" thickBot="1">
      <c r="A548" s="522" t="s">
        <v>1424</v>
      </c>
      <c r="B548" s="522" t="s">
        <v>436</v>
      </c>
      <c r="C548" s="522" t="s">
        <v>405</v>
      </c>
      <c r="D548" s="522" t="s">
        <v>978</v>
      </c>
      <c r="E548" s="530">
        <v>477</v>
      </c>
      <c r="F548" s="531">
        <v>15008</v>
      </c>
      <c r="G548" s="531">
        <v>7326.72</v>
      </c>
      <c r="H548" s="1003"/>
      <c r="I548" s="1003"/>
      <c r="J548" s="1003"/>
      <c r="K548" s="1003"/>
      <c r="L548" s="1003"/>
      <c r="M548" s="1003"/>
    </row>
    <row r="549" spans="1:13" s="836" customFormat="1" ht="12.75" thickBot="1">
      <c r="A549" s="522" t="s">
        <v>1424</v>
      </c>
      <c r="B549" s="522" t="s">
        <v>436</v>
      </c>
      <c r="C549" s="522" t="s">
        <v>326</v>
      </c>
      <c r="D549" s="522" t="s">
        <v>979</v>
      </c>
      <c r="E549" s="524">
        <v>5</v>
      </c>
      <c r="F549" s="525">
        <v>139</v>
      </c>
      <c r="G549" s="525">
        <v>16.95</v>
      </c>
      <c r="H549" s="1003"/>
      <c r="I549" s="1003"/>
      <c r="J549" s="1003"/>
      <c r="K549" s="1003"/>
      <c r="L549" s="1003"/>
      <c r="M549" s="1003"/>
    </row>
    <row r="550" spans="1:13" s="836" customFormat="1" ht="12.75" thickBot="1">
      <c r="A550" s="522" t="s">
        <v>1424</v>
      </c>
      <c r="B550" s="522" t="s">
        <v>436</v>
      </c>
      <c r="C550" s="522" t="s">
        <v>356</v>
      </c>
      <c r="D550" s="522" t="s">
        <v>980</v>
      </c>
      <c r="E550" s="530">
        <v>667</v>
      </c>
      <c r="F550" s="531">
        <v>35602</v>
      </c>
      <c r="G550" s="531">
        <v>3028.19</v>
      </c>
      <c r="H550" s="1003"/>
      <c r="I550" s="1003"/>
      <c r="J550" s="1003"/>
      <c r="K550" s="1003"/>
      <c r="L550" s="1003"/>
      <c r="M550" s="1003"/>
    </row>
    <row r="551" spans="1:13" s="836" customFormat="1" ht="12.75" thickBot="1">
      <c r="A551" s="522" t="s">
        <v>1424</v>
      </c>
      <c r="B551" s="522" t="s">
        <v>436</v>
      </c>
      <c r="C551" s="522" t="s">
        <v>374</v>
      </c>
      <c r="D551" s="522" t="s">
        <v>981</v>
      </c>
      <c r="E551" s="524">
        <v>49</v>
      </c>
      <c r="F551" s="525">
        <v>4235</v>
      </c>
      <c r="G551" s="525">
        <v>332.22</v>
      </c>
      <c r="H551" s="1003"/>
      <c r="I551" s="1003"/>
      <c r="J551" s="1003"/>
      <c r="K551" s="1003"/>
      <c r="L551" s="1003"/>
      <c r="M551" s="1003"/>
    </row>
    <row r="552" spans="1:13" s="836" customFormat="1" ht="12.75" thickBot="1">
      <c r="A552" s="522" t="s">
        <v>1424</v>
      </c>
      <c r="B552" s="522" t="s">
        <v>436</v>
      </c>
      <c r="C552" s="522" t="s">
        <v>399</v>
      </c>
      <c r="D552" s="522" t="s">
        <v>982</v>
      </c>
      <c r="E552" s="530">
        <v>2</v>
      </c>
      <c r="F552" s="531">
        <v>239</v>
      </c>
      <c r="G552" s="531">
        <v>18.12</v>
      </c>
      <c r="H552" s="1003"/>
      <c r="I552" s="1003"/>
      <c r="J552" s="1003"/>
      <c r="K552" s="1003"/>
      <c r="L552" s="1003"/>
      <c r="M552" s="1003"/>
    </row>
    <row r="553" spans="1:13" s="836" customFormat="1" ht="12.75" thickBot="1">
      <c r="A553" s="522" t="s">
        <v>1424</v>
      </c>
      <c r="B553" s="522" t="s">
        <v>436</v>
      </c>
      <c r="C553" s="522" t="s">
        <v>391</v>
      </c>
      <c r="D553" s="522" t="s">
        <v>983</v>
      </c>
      <c r="E553" s="524">
        <v>176</v>
      </c>
      <c r="F553" s="525">
        <v>3783</v>
      </c>
      <c r="G553" s="525">
        <v>1273.48</v>
      </c>
      <c r="H553" s="1003"/>
      <c r="I553" s="1003"/>
      <c r="J553" s="1003"/>
      <c r="K553" s="1003"/>
      <c r="L553" s="1003"/>
      <c r="M553" s="1003"/>
    </row>
    <row r="554" spans="1:13" s="836" customFormat="1" ht="12.75" thickBot="1">
      <c r="A554" s="522" t="s">
        <v>1424</v>
      </c>
      <c r="B554" s="522" t="s">
        <v>436</v>
      </c>
      <c r="C554" s="522" t="s">
        <v>416</v>
      </c>
      <c r="D554" s="522" t="s">
        <v>984</v>
      </c>
      <c r="E554" s="530">
        <v>36675</v>
      </c>
      <c r="F554" s="531">
        <v>1132128</v>
      </c>
      <c r="G554" s="531">
        <v>285687.15999999997</v>
      </c>
      <c r="H554" s="1003"/>
      <c r="I554" s="1003"/>
      <c r="J554" s="1003"/>
      <c r="K554" s="1003"/>
      <c r="L554" s="1003"/>
      <c r="M554" s="1003"/>
    </row>
    <row r="555" spans="1:13" s="836" customFormat="1" ht="12.75" thickBot="1">
      <c r="A555" s="522" t="s">
        <v>1424</v>
      </c>
      <c r="B555" s="522" t="s">
        <v>436</v>
      </c>
      <c r="C555" s="522" t="s">
        <v>407</v>
      </c>
      <c r="D555" s="522" t="s">
        <v>985</v>
      </c>
      <c r="E555" s="524">
        <v>1181</v>
      </c>
      <c r="F555" s="525">
        <v>36690</v>
      </c>
      <c r="G555" s="525">
        <v>25982</v>
      </c>
      <c r="H555" s="1003"/>
      <c r="I555" s="1003"/>
      <c r="J555" s="1003"/>
      <c r="K555" s="1003"/>
      <c r="L555" s="1003"/>
      <c r="M555" s="1003"/>
    </row>
    <row r="556" spans="1:13" s="836" customFormat="1" ht="12.75" thickBot="1">
      <c r="A556" s="522" t="s">
        <v>1424</v>
      </c>
      <c r="B556" s="522" t="s">
        <v>436</v>
      </c>
      <c r="C556" s="522" t="s">
        <v>375</v>
      </c>
      <c r="D556" s="522" t="s">
        <v>987</v>
      </c>
      <c r="E556" s="530">
        <v>2</v>
      </c>
      <c r="F556" s="531">
        <v>33</v>
      </c>
      <c r="G556" s="531">
        <v>27.22</v>
      </c>
      <c r="H556" s="1003"/>
      <c r="I556" s="1003"/>
      <c r="J556" s="1003"/>
      <c r="K556" s="1003"/>
      <c r="L556" s="1003"/>
      <c r="M556" s="1003"/>
    </row>
    <row r="557" spans="1:13" s="836" customFormat="1" ht="12.75" thickBot="1">
      <c r="A557" s="522" t="s">
        <v>1424</v>
      </c>
      <c r="B557" s="522" t="s">
        <v>436</v>
      </c>
      <c r="C557" s="522" t="s">
        <v>401</v>
      </c>
      <c r="D557" s="522" t="s">
        <v>988</v>
      </c>
      <c r="E557" s="524">
        <v>1079</v>
      </c>
      <c r="F557" s="525">
        <v>58497</v>
      </c>
      <c r="G557" s="525">
        <v>10307.99</v>
      </c>
      <c r="H557" s="1003"/>
      <c r="I557" s="1003"/>
      <c r="J557" s="1003"/>
      <c r="K557" s="1003"/>
      <c r="L557" s="1003"/>
      <c r="M557" s="1003"/>
    </row>
    <row r="558" spans="1:13" s="836" customFormat="1" ht="12.75" thickBot="1">
      <c r="A558" s="522" t="s">
        <v>1424</v>
      </c>
      <c r="B558" s="522" t="s">
        <v>436</v>
      </c>
      <c r="C558" s="522" t="s">
        <v>328</v>
      </c>
      <c r="D558" s="522" t="s">
        <v>989</v>
      </c>
      <c r="E558" s="530">
        <v>711</v>
      </c>
      <c r="F558" s="531">
        <v>57967</v>
      </c>
      <c r="G558" s="531">
        <v>8048.52</v>
      </c>
      <c r="H558" s="1003"/>
      <c r="I558" s="1003"/>
      <c r="J558" s="1003"/>
      <c r="K558" s="1003"/>
      <c r="L558" s="1003"/>
      <c r="M558" s="1003"/>
    </row>
    <row r="559" spans="1:13" s="836" customFormat="1" ht="12.75" thickBot="1">
      <c r="A559" s="522" t="s">
        <v>1424</v>
      </c>
      <c r="B559" s="522" t="s">
        <v>436</v>
      </c>
      <c r="C559" s="522" t="s">
        <v>437</v>
      </c>
      <c r="D559" s="522" t="s">
        <v>990</v>
      </c>
      <c r="E559" s="524">
        <v>1484</v>
      </c>
      <c r="F559" s="525">
        <v>178431</v>
      </c>
      <c r="G559" s="525">
        <v>18984.32</v>
      </c>
      <c r="H559" s="1003"/>
      <c r="I559" s="1003"/>
      <c r="J559" s="1003"/>
      <c r="K559" s="1003"/>
      <c r="L559" s="1003"/>
      <c r="M559" s="1003"/>
    </row>
    <row r="560" spans="1:13" s="836" customFormat="1" ht="12.75" thickBot="1">
      <c r="A560" s="522" t="s">
        <v>1424</v>
      </c>
      <c r="B560" s="522" t="s">
        <v>436</v>
      </c>
      <c r="C560" s="522" t="s">
        <v>338</v>
      </c>
      <c r="D560" s="522" t="s">
        <v>991</v>
      </c>
      <c r="E560" s="524">
        <v>673</v>
      </c>
      <c r="F560" s="525">
        <v>26775</v>
      </c>
      <c r="G560" s="525">
        <v>9590.27</v>
      </c>
      <c r="H560" s="1003"/>
      <c r="I560" s="1003"/>
      <c r="J560" s="1003"/>
      <c r="K560" s="1003"/>
      <c r="L560" s="1003"/>
      <c r="M560" s="1003"/>
    </row>
    <row r="561" spans="1:13" s="836" customFormat="1" ht="12.75" thickBot="1">
      <c r="A561" s="522" t="s">
        <v>1424</v>
      </c>
      <c r="B561" s="522" t="s">
        <v>436</v>
      </c>
      <c r="C561" s="522" t="s">
        <v>370</v>
      </c>
      <c r="D561" s="522" t="s">
        <v>992</v>
      </c>
      <c r="E561" s="524">
        <v>5257</v>
      </c>
      <c r="F561" s="525">
        <v>488822</v>
      </c>
      <c r="G561" s="525">
        <v>106081.55</v>
      </c>
      <c r="H561" s="1003"/>
      <c r="I561" s="1003"/>
      <c r="J561" s="1003"/>
      <c r="K561" s="1003"/>
      <c r="L561" s="1003"/>
      <c r="M561" s="1003"/>
    </row>
    <row r="562" spans="1:13" s="836" customFormat="1" ht="12.75" thickBot="1">
      <c r="A562" s="522" t="s">
        <v>1424</v>
      </c>
      <c r="B562" s="522" t="s">
        <v>436</v>
      </c>
      <c r="C562" s="522" t="s">
        <v>333</v>
      </c>
      <c r="D562" s="522" t="s">
        <v>993</v>
      </c>
      <c r="E562" s="524">
        <v>1049</v>
      </c>
      <c r="F562" s="525">
        <v>297944</v>
      </c>
      <c r="G562" s="525">
        <v>44185.18</v>
      </c>
      <c r="H562" s="1003"/>
      <c r="I562" s="1003"/>
      <c r="J562" s="1003"/>
      <c r="K562" s="1003"/>
      <c r="L562" s="1003"/>
      <c r="M562" s="1003"/>
    </row>
    <row r="563" spans="1:13" s="836" customFormat="1" ht="12.75" thickBot="1">
      <c r="A563" s="522" t="s">
        <v>1424</v>
      </c>
      <c r="B563" s="522" t="s">
        <v>436</v>
      </c>
      <c r="C563" s="522" t="s">
        <v>336</v>
      </c>
      <c r="D563" s="522" t="s">
        <v>994</v>
      </c>
      <c r="E563" s="524">
        <v>152</v>
      </c>
      <c r="F563" s="525">
        <v>6013</v>
      </c>
      <c r="G563" s="525">
        <v>2824.23</v>
      </c>
      <c r="H563" s="1003"/>
      <c r="I563" s="1003"/>
      <c r="J563" s="1003"/>
      <c r="K563" s="1003"/>
      <c r="L563" s="1003"/>
      <c r="M563" s="1003"/>
    </row>
    <row r="564" spans="1:13" s="836" customFormat="1" ht="12.75" thickBot="1">
      <c r="A564" s="522" t="s">
        <v>1424</v>
      </c>
      <c r="B564" s="522" t="s">
        <v>436</v>
      </c>
      <c r="C564" s="522" t="s">
        <v>368</v>
      </c>
      <c r="D564" s="522" t="s">
        <v>995</v>
      </c>
      <c r="E564" s="524">
        <v>1032</v>
      </c>
      <c r="F564" s="525">
        <v>95717</v>
      </c>
      <c r="G564" s="525">
        <v>25362.46</v>
      </c>
      <c r="H564" s="1003"/>
      <c r="I564" s="1003"/>
      <c r="J564" s="1003"/>
      <c r="K564" s="1003"/>
      <c r="L564" s="1003"/>
      <c r="M564" s="1003"/>
    </row>
    <row r="565" spans="1:13" s="836" customFormat="1" ht="12.75" thickBot="1">
      <c r="A565" s="522" t="s">
        <v>1424</v>
      </c>
      <c r="B565" s="522" t="s">
        <v>436</v>
      </c>
      <c r="C565" s="522" t="s">
        <v>400</v>
      </c>
      <c r="D565" s="522" t="s">
        <v>996</v>
      </c>
      <c r="E565" s="530">
        <v>141</v>
      </c>
      <c r="F565" s="531">
        <v>7634</v>
      </c>
      <c r="G565" s="531">
        <v>1673.67</v>
      </c>
      <c r="H565" s="1003"/>
      <c r="I565" s="1003"/>
      <c r="J565" s="1003"/>
      <c r="K565" s="1003"/>
      <c r="L565" s="1003"/>
      <c r="M565" s="1003"/>
    </row>
    <row r="566" spans="1:13" s="836" customFormat="1" ht="12.75" thickBot="1">
      <c r="A566" s="522" t="s">
        <v>1424</v>
      </c>
      <c r="B566" s="522" t="s">
        <v>436</v>
      </c>
      <c r="C566" s="522" t="s">
        <v>327</v>
      </c>
      <c r="D566" s="522" t="s">
        <v>997</v>
      </c>
      <c r="E566" s="524">
        <v>453</v>
      </c>
      <c r="F566" s="525">
        <v>36923</v>
      </c>
      <c r="G566" s="525">
        <v>6052.08</v>
      </c>
      <c r="H566" s="1003"/>
      <c r="I566" s="1003"/>
      <c r="J566" s="1003"/>
      <c r="K566" s="1003"/>
      <c r="L566" s="1003"/>
      <c r="M566" s="1003"/>
    </row>
    <row r="567" spans="1:13" s="836" customFormat="1" ht="12.75" thickBot="1">
      <c r="A567" s="522" t="s">
        <v>1424</v>
      </c>
      <c r="B567" s="522" t="s">
        <v>436</v>
      </c>
      <c r="C567" s="522" t="s">
        <v>357</v>
      </c>
      <c r="D567" s="522" t="s">
        <v>998</v>
      </c>
      <c r="E567" s="530">
        <v>1460</v>
      </c>
      <c r="F567" s="531">
        <v>179254</v>
      </c>
      <c r="G567" s="531">
        <v>22020.92</v>
      </c>
      <c r="H567" s="1003"/>
      <c r="I567" s="1003"/>
      <c r="J567" s="1003"/>
      <c r="K567" s="1003"/>
      <c r="L567" s="1003"/>
      <c r="M567" s="1003"/>
    </row>
    <row r="568" spans="1:13" s="836" customFormat="1" ht="12.75" thickBot="1">
      <c r="A568" s="522" t="s">
        <v>1424</v>
      </c>
      <c r="B568" s="522" t="s">
        <v>436</v>
      </c>
      <c r="C568" s="522" t="s">
        <v>331</v>
      </c>
      <c r="D568" s="522" t="s">
        <v>999</v>
      </c>
      <c r="E568" s="524">
        <v>222</v>
      </c>
      <c r="F568" s="525">
        <v>63734</v>
      </c>
      <c r="G568" s="525">
        <v>10376.280000000001</v>
      </c>
      <c r="H568" s="1003"/>
      <c r="I568" s="1003"/>
      <c r="J568" s="1003"/>
      <c r="K568" s="1003"/>
      <c r="L568" s="1003"/>
      <c r="M568" s="1003"/>
    </row>
    <row r="569" spans="1:13" s="836" customFormat="1" ht="12.75" thickBot="1">
      <c r="A569" s="522" t="s">
        <v>1424</v>
      </c>
      <c r="B569" s="522" t="s">
        <v>436</v>
      </c>
      <c r="C569" s="522" t="s">
        <v>335</v>
      </c>
      <c r="D569" s="522" t="s">
        <v>1000</v>
      </c>
      <c r="E569" s="524">
        <v>26</v>
      </c>
      <c r="F569" s="525">
        <v>1043</v>
      </c>
      <c r="G569" s="525">
        <v>705.9</v>
      </c>
      <c r="H569" s="1003"/>
      <c r="I569" s="1003"/>
      <c r="J569" s="1003"/>
      <c r="K569" s="1003"/>
      <c r="L569" s="1003"/>
      <c r="M569" s="1003"/>
    </row>
    <row r="570" spans="1:13" s="836" customFormat="1" ht="12.75" thickBot="1">
      <c r="A570" s="522" t="s">
        <v>1424</v>
      </c>
      <c r="B570" s="522" t="s">
        <v>436</v>
      </c>
      <c r="C570" s="522" t="s">
        <v>372</v>
      </c>
      <c r="D570" s="522" t="s">
        <v>1001</v>
      </c>
      <c r="E570" s="530">
        <v>6996</v>
      </c>
      <c r="F570" s="531">
        <v>110015</v>
      </c>
      <c r="G570" s="531">
        <v>52749.84</v>
      </c>
      <c r="H570" s="1003"/>
      <c r="I570" s="1003"/>
      <c r="J570" s="1003"/>
      <c r="K570" s="1003"/>
      <c r="L570" s="1003"/>
      <c r="M570" s="1003"/>
    </row>
    <row r="571" spans="1:13" s="836" customFormat="1" ht="12.75" thickBot="1">
      <c r="A571" s="522" t="s">
        <v>1424</v>
      </c>
      <c r="B571" s="522" t="s">
        <v>436</v>
      </c>
      <c r="C571" s="522" t="s">
        <v>381</v>
      </c>
      <c r="D571" s="522" t="s">
        <v>1002</v>
      </c>
      <c r="E571" s="524">
        <v>8969</v>
      </c>
      <c r="F571" s="525">
        <v>197574</v>
      </c>
      <c r="G571" s="525">
        <v>77671.539999999994</v>
      </c>
      <c r="H571" s="1003"/>
      <c r="I571" s="1003"/>
      <c r="J571" s="1003"/>
      <c r="K571" s="1003"/>
      <c r="L571" s="1003"/>
      <c r="M571" s="1003"/>
    </row>
    <row r="572" spans="1:13" s="836" customFormat="1" ht="12.75" thickBot="1">
      <c r="A572" s="522" t="s">
        <v>1424</v>
      </c>
      <c r="B572" s="522" t="s">
        <v>436</v>
      </c>
      <c r="C572" s="522" t="s">
        <v>404</v>
      </c>
      <c r="D572" s="522" t="s">
        <v>1003</v>
      </c>
      <c r="E572" s="530">
        <v>21037</v>
      </c>
      <c r="F572" s="531">
        <v>653234</v>
      </c>
      <c r="G572" s="531">
        <v>192207.2</v>
      </c>
      <c r="H572" s="1003"/>
      <c r="I572" s="1003"/>
      <c r="J572" s="1003"/>
      <c r="K572" s="1003"/>
      <c r="L572" s="1003"/>
      <c r="M572" s="1003"/>
    </row>
    <row r="573" spans="1:13" s="836" customFormat="1" ht="12.75" thickBot="1">
      <c r="A573" s="522" t="s">
        <v>1424</v>
      </c>
      <c r="B573" s="522" t="s">
        <v>436</v>
      </c>
      <c r="C573" s="522" t="s">
        <v>361</v>
      </c>
      <c r="D573" s="522" t="s">
        <v>1004</v>
      </c>
      <c r="E573" s="530">
        <v>7766</v>
      </c>
      <c r="F573" s="531">
        <v>499239</v>
      </c>
      <c r="G573" s="531">
        <v>110588.56</v>
      </c>
      <c r="H573" s="1003"/>
      <c r="I573" s="1003"/>
      <c r="J573" s="1003"/>
      <c r="K573" s="1003"/>
      <c r="L573" s="1003"/>
      <c r="M573" s="1003"/>
    </row>
    <row r="574" spans="1:13" s="836" customFormat="1" ht="12.75" thickBot="1">
      <c r="A574" s="522" t="s">
        <v>1424</v>
      </c>
      <c r="B574" s="522" t="s">
        <v>436</v>
      </c>
      <c r="C574" s="522" t="s">
        <v>393</v>
      </c>
      <c r="D574" s="522" t="s">
        <v>1005</v>
      </c>
      <c r="E574" s="530">
        <v>2800</v>
      </c>
      <c r="F574" s="531">
        <v>350205</v>
      </c>
      <c r="G574" s="531">
        <v>63940.62</v>
      </c>
      <c r="H574" s="1003"/>
      <c r="I574" s="1003"/>
      <c r="J574" s="1003"/>
      <c r="K574" s="1003"/>
      <c r="L574" s="1003"/>
      <c r="M574" s="1003"/>
    </row>
    <row r="575" spans="1:13" s="836" customFormat="1" ht="12.75" thickBot="1">
      <c r="A575" s="522" t="s">
        <v>1424</v>
      </c>
      <c r="B575" s="522" t="s">
        <v>436</v>
      </c>
      <c r="C575" s="522" t="s">
        <v>379</v>
      </c>
      <c r="D575" s="522" t="s">
        <v>1006</v>
      </c>
      <c r="E575" s="530">
        <v>997</v>
      </c>
      <c r="F575" s="531">
        <v>15452</v>
      </c>
      <c r="G575" s="531">
        <v>9591.14</v>
      </c>
      <c r="H575" s="1003"/>
      <c r="I575" s="1003"/>
      <c r="J575" s="1003"/>
      <c r="K575" s="1003"/>
      <c r="L575" s="1003"/>
      <c r="M575" s="1003"/>
    </row>
    <row r="576" spans="1:13" s="836" customFormat="1" ht="12.75" thickBot="1">
      <c r="A576" s="522" t="s">
        <v>1424</v>
      </c>
      <c r="B576" s="522" t="s">
        <v>436</v>
      </c>
      <c r="C576" s="522" t="s">
        <v>389</v>
      </c>
      <c r="D576" s="522" t="s">
        <v>1007</v>
      </c>
      <c r="E576" s="524">
        <v>1478</v>
      </c>
      <c r="F576" s="525">
        <v>32365</v>
      </c>
      <c r="G576" s="525">
        <v>15918.06</v>
      </c>
      <c r="H576" s="1003"/>
      <c r="I576" s="1003"/>
      <c r="J576" s="1003"/>
      <c r="K576" s="1003"/>
      <c r="L576" s="1003"/>
      <c r="M576" s="1003"/>
    </row>
    <row r="577" spans="1:13" s="836" customFormat="1" ht="12.75" thickBot="1">
      <c r="A577" s="522" t="s">
        <v>1424</v>
      </c>
      <c r="B577" s="522" t="s">
        <v>436</v>
      </c>
      <c r="C577" s="522" t="s">
        <v>412</v>
      </c>
      <c r="D577" s="522" t="s">
        <v>1008</v>
      </c>
      <c r="E577" s="530">
        <v>4074</v>
      </c>
      <c r="F577" s="531">
        <v>127928</v>
      </c>
      <c r="G577" s="531">
        <v>45740.69</v>
      </c>
      <c r="H577" s="1003"/>
      <c r="I577" s="1003"/>
      <c r="J577" s="1003"/>
      <c r="K577" s="1003"/>
      <c r="L577" s="1003"/>
      <c r="M577" s="1003"/>
    </row>
    <row r="578" spans="1:13" s="836" customFormat="1" ht="12.75" thickBot="1">
      <c r="A578" s="522" t="s">
        <v>1424</v>
      </c>
      <c r="B578" s="522" t="s">
        <v>436</v>
      </c>
      <c r="C578" s="522" t="s">
        <v>367</v>
      </c>
      <c r="D578" s="522" t="s">
        <v>1009</v>
      </c>
      <c r="E578" s="524">
        <v>294</v>
      </c>
      <c r="F578" s="525">
        <v>27128</v>
      </c>
      <c r="G578" s="525">
        <v>9685.06</v>
      </c>
      <c r="H578" s="1003"/>
      <c r="I578" s="1003"/>
      <c r="J578" s="1003"/>
      <c r="K578" s="1003"/>
      <c r="L578" s="1003"/>
      <c r="M578" s="1003"/>
    </row>
    <row r="579" spans="1:13" s="836" customFormat="1" ht="12.75" thickBot="1">
      <c r="A579" s="522" t="s">
        <v>1424</v>
      </c>
      <c r="B579" s="522" t="s">
        <v>436</v>
      </c>
      <c r="C579" s="522" t="s">
        <v>330</v>
      </c>
      <c r="D579" s="522" t="s">
        <v>1010</v>
      </c>
      <c r="E579" s="530">
        <v>61</v>
      </c>
      <c r="F579" s="531">
        <v>17949</v>
      </c>
      <c r="G579" s="531">
        <v>3370.25</v>
      </c>
      <c r="H579" s="1003"/>
      <c r="I579" s="1003"/>
      <c r="J579" s="1003"/>
      <c r="K579" s="1003"/>
      <c r="L579" s="1003"/>
      <c r="M579" s="1003"/>
    </row>
    <row r="580" spans="1:13" s="836" customFormat="1" ht="12.75" thickBot="1">
      <c r="A580" s="522" t="s">
        <v>1424</v>
      </c>
      <c r="B580" s="522" t="s">
        <v>436</v>
      </c>
      <c r="C580" s="522" t="s">
        <v>371</v>
      </c>
      <c r="D580" s="522" t="s">
        <v>1011</v>
      </c>
      <c r="E580" s="524">
        <v>3666</v>
      </c>
      <c r="F580" s="525">
        <v>61139</v>
      </c>
      <c r="G580" s="525">
        <v>38456.339999999997</v>
      </c>
      <c r="H580" s="1003"/>
      <c r="I580" s="1003"/>
      <c r="J580" s="1003"/>
      <c r="K580" s="1003"/>
      <c r="L580" s="1003"/>
      <c r="M580" s="1003"/>
    </row>
    <row r="581" spans="1:13" s="836" customFormat="1" ht="12.75" thickBot="1">
      <c r="A581" s="522" t="s">
        <v>1424</v>
      </c>
      <c r="B581" s="522" t="s">
        <v>436</v>
      </c>
      <c r="C581" s="522" t="s">
        <v>380</v>
      </c>
      <c r="D581" s="522" t="s">
        <v>1012</v>
      </c>
      <c r="E581" s="530">
        <v>8803</v>
      </c>
      <c r="F581" s="531">
        <v>203179</v>
      </c>
      <c r="G581" s="531">
        <v>102140.54</v>
      </c>
      <c r="H581" s="1003"/>
      <c r="I581" s="1003"/>
      <c r="J581" s="1003"/>
      <c r="K581" s="1003"/>
      <c r="L581" s="1003"/>
      <c r="M581" s="1003"/>
    </row>
    <row r="582" spans="1:13" s="836" customFormat="1" ht="12.75" thickBot="1">
      <c r="A582" s="522" t="s">
        <v>1424</v>
      </c>
      <c r="B582" s="522" t="s">
        <v>436</v>
      </c>
      <c r="C582" s="522" t="s">
        <v>403</v>
      </c>
      <c r="D582" s="522" t="s">
        <v>1013</v>
      </c>
      <c r="E582" s="524">
        <v>3398</v>
      </c>
      <c r="F582" s="525">
        <v>108566</v>
      </c>
      <c r="G582" s="525">
        <v>41795.4</v>
      </c>
      <c r="H582" s="1003"/>
      <c r="I582" s="1003"/>
      <c r="J582" s="1003"/>
      <c r="K582" s="1003"/>
      <c r="L582" s="1003"/>
      <c r="M582" s="1003"/>
    </row>
    <row r="583" spans="1:13" s="836" customFormat="1" ht="12.75" thickBot="1">
      <c r="A583" s="522" t="s">
        <v>1424</v>
      </c>
      <c r="B583" s="522" t="s">
        <v>436</v>
      </c>
      <c r="C583" s="522" t="s">
        <v>360</v>
      </c>
      <c r="D583" s="522" t="s">
        <v>1014</v>
      </c>
      <c r="E583" s="530">
        <v>5221</v>
      </c>
      <c r="F583" s="531">
        <v>344450</v>
      </c>
      <c r="G583" s="531">
        <v>90893.8</v>
      </c>
      <c r="H583" s="1003"/>
      <c r="I583" s="1003"/>
      <c r="J583" s="1003"/>
      <c r="K583" s="1003"/>
      <c r="L583" s="1003"/>
      <c r="M583" s="1003"/>
    </row>
    <row r="584" spans="1:13" s="836" customFormat="1" ht="12.75" thickBot="1">
      <c r="A584" s="522" t="s">
        <v>1424</v>
      </c>
      <c r="B584" s="522" t="s">
        <v>436</v>
      </c>
      <c r="C584" s="522" t="s">
        <v>392</v>
      </c>
      <c r="D584" s="522" t="s">
        <v>1015</v>
      </c>
      <c r="E584" s="524">
        <v>509</v>
      </c>
      <c r="F584" s="525">
        <v>64424</v>
      </c>
      <c r="G584" s="525">
        <v>12489.94</v>
      </c>
      <c r="H584" s="1003"/>
      <c r="I584" s="1003"/>
      <c r="J584" s="1003"/>
      <c r="K584" s="1003"/>
      <c r="L584" s="1003"/>
      <c r="M584" s="1003"/>
    </row>
    <row r="585" spans="1:13" s="836" customFormat="1" ht="12.75" thickBot="1">
      <c r="A585" s="522" t="s">
        <v>1424</v>
      </c>
      <c r="B585" s="522" t="s">
        <v>436</v>
      </c>
      <c r="C585" s="522" t="s">
        <v>390</v>
      </c>
      <c r="D585" s="522" t="s">
        <v>1016</v>
      </c>
      <c r="E585" s="530">
        <v>4563</v>
      </c>
      <c r="F585" s="531">
        <v>105339</v>
      </c>
      <c r="G585" s="531">
        <v>76650.55</v>
      </c>
      <c r="H585" s="1003"/>
      <c r="I585" s="1003"/>
      <c r="J585" s="1003"/>
      <c r="K585" s="1003"/>
      <c r="L585" s="1003"/>
      <c r="M585" s="1003"/>
    </row>
    <row r="586" spans="1:13" s="836" customFormat="1" ht="12.75" thickBot="1">
      <c r="A586" s="522" t="s">
        <v>1424</v>
      </c>
      <c r="B586" s="522" t="s">
        <v>436</v>
      </c>
      <c r="C586" s="522" t="s">
        <v>414</v>
      </c>
      <c r="D586" s="522" t="s">
        <v>1017</v>
      </c>
      <c r="E586" s="524">
        <v>1052</v>
      </c>
      <c r="F586" s="525">
        <v>33103</v>
      </c>
      <c r="G586" s="525">
        <v>22094.52</v>
      </c>
      <c r="H586" s="1003"/>
      <c r="I586" s="1003"/>
      <c r="J586" s="1003"/>
      <c r="K586" s="1003"/>
      <c r="L586" s="1003"/>
      <c r="M586" s="1003"/>
    </row>
    <row r="587" spans="1:13" s="836" customFormat="1" ht="12.75" thickBot="1">
      <c r="A587" s="522" t="s">
        <v>1424</v>
      </c>
      <c r="B587" s="522" t="s">
        <v>436</v>
      </c>
      <c r="C587" s="522" t="s">
        <v>364</v>
      </c>
      <c r="D587" s="522" t="s">
        <v>1018</v>
      </c>
      <c r="E587" s="530">
        <v>1409</v>
      </c>
      <c r="F587" s="531">
        <v>91701</v>
      </c>
      <c r="G587" s="531">
        <v>37845.760000000002</v>
      </c>
      <c r="H587" s="1003"/>
      <c r="I587" s="1003"/>
      <c r="J587" s="1003"/>
      <c r="K587" s="1003"/>
      <c r="L587" s="1003"/>
      <c r="M587" s="1003"/>
    </row>
    <row r="588" spans="1:13" s="836" customFormat="1" ht="12.75" thickBot="1">
      <c r="A588" s="522" t="s">
        <v>1424</v>
      </c>
      <c r="B588" s="522" t="s">
        <v>436</v>
      </c>
      <c r="C588" s="522" t="s">
        <v>396</v>
      </c>
      <c r="D588" s="522" t="s">
        <v>1019</v>
      </c>
      <c r="E588" s="524">
        <v>948</v>
      </c>
      <c r="F588" s="525">
        <v>118105</v>
      </c>
      <c r="G588" s="525">
        <v>31276.32</v>
      </c>
      <c r="H588" s="1003"/>
      <c r="I588" s="1003"/>
      <c r="J588" s="1003"/>
      <c r="K588" s="1003"/>
      <c r="L588" s="1003"/>
      <c r="M588" s="1003"/>
    </row>
    <row r="589" spans="1:13" s="836" customFormat="1" ht="12.75" thickBot="1">
      <c r="A589" s="522" t="s">
        <v>1424</v>
      </c>
      <c r="B589" s="522" t="s">
        <v>436</v>
      </c>
      <c r="C589" s="522" t="s">
        <v>415</v>
      </c>
      <c r="D589" s="522" t="s">
        <v>1020</v>
      </c>
      <c r="E589" s="524">
        <v>11165</v>
      </c>
      <c r="F589" s="525">
        <v>345044</v>
      </c>
      <c r="G589" s="525">
        <v>99820.29</v>
      </c>
      <c r="H589" s="1003"/>
      <c r="I589" s="1003"/>
      <c r="J589" s="1003"/>
      <c r="K589" s="1003"/>
      <c r="L589" s="1003"/>
      <c r="M589" s="1003"/>
    </row>
    <row r="590" spans="1:13" s="836" customFormat="1" ht="12.75" thickBot="1">
      <c r="A590" s="522" t="s">
        <v>1424</v>
      </c>
      <c r="B590" s="522" t="s">
        <v>436</v>
      </c>
      <c r="C590" s="522" t="s">
        <v>365</v>
      </c>
      <c r="D590" s="522" t="s">
        <v>1021</v>
      </c>
      <c r="E590" s="524">
        <v>6669</v>
      </c>
      <c r="F590" s="525">
        <v>425848</v>
      </c>
      <c r="G590" s="525">
        <v>90397.17</v>
      </c>
      <c r="H590" s="1003"/>
      <c r="I590" s="1003"/>
      <c r="J590" s="1003"/>
      <c r="K590" s="1003"/>
      <c r="L590" s="1003"/>
      <c r="M590" s="1003"/>
    </row>
    <row r="591" spans="1:13" s="836" customFormat="1" ht="12.75" thickBot="1">
      <c r="A591" s="522" t="s">
        <v>1424</v>
      </c>
      <c r="B591" s="522" t="s">
        <v>436</v>
      </c>
      <c r="C591" s="522" t="s">
        <v>397</v>
      </c>
      <c r="D591" s="522" t="s">
        <v>1022</v>
      </c>
      <c r="E591" s="524">
        <v>8390</v>
      </c>
      <c r="F591" s="525">
        <v>1046275</v>
      </c>
      <c r="G591" s="525">
        <v>162930.23999999999</v>
      </c>
      <c r="H591" s="1003"/>
      <c r="I591" s="1003"/>
      <c r="J591" s="1003"/>
      <c r="K591" s="1003"/>
      <c r="L591" s="1003"/>
      <c r="M591" s="1003"/>
    </row>
    <row r="592" spans="1:13" s="836" customFormat="1" ht="12.75" thickBot="1">
      <c r="A592" s="522" t="s">
        <v>1424</v>
      </c>
      <c r="B592" s="522" t="s">
        <v>436</v>
      </c>
      <c r="C592" s="522" t="s">
        <v>337</v>
      </c>
      <c r="D592" s="522" t="s">
        <v>1023</v>
      </c>
      <c r="E592" s="524">
        <v>60</v>
      </c>
      <c r="F592" s="525">
        <v>2298</v>
      </c>
      <c r="G592" s="525">
        <v>910.67</v>
      </c>
      <c r="H592" s="1003"/>
      <c r="I592" s="1003"/>
      <c r="J592" s="1003"/>
      <c r="K592" s="1003"/>
      <c r="L592" s="1003"/>
      <c r="M592" s="1003"/>
    </row>
    <row r="593" spans="1:13" s="836" customFormat="1" ht="12.75" thickBot="1">
      <c r="A593" s="522" t="s">
        <v>1424</v>
      </c>
      <c r="B593" s="522" t="s">
        <v>436</v>
      </c>
      <c r="C593" s="522" t="s">
        <v>369</v>
      </c>
      <c r="D593" s="522" t="s">
        <v>1024</v>
      </c>
      <c r="E593" s="530">
        <v>304</v>
      </c>
      <c r="F593" s="531">
        <v>26015</v>
      </c>
      <c r="G593" s="531">
        <v>6274.17</v>
      </c>
      <c r="H593" s="1003"/>
      <c r="I593" s="1003"/>
      <c r="J593" s="1003"/>
      <c r="K593" s="1003"/>
      <c r="L593" s="1003"/>
      <c r="M593" s="1003"/>
    </row>
    <row r="594" spans="1:13" s="836" customFormat="1" ht="12.75" thickBot="1">
      <c r="A594" s="522" t="s">
        <v>1424</v>
      </c>
      <c r="B594" s="522" t="s">
        <v>436</v>
      </c>
      <c r="C594" s="522" t="s">
        <v>715</v>
      </c>
      <c r="D594" s="522" t="s">
        <v>1025</v>
      </c>
      <c r="E594" s="524">
        <v>2</v>
      </c>
      <c r="F594" s="525">
        <v>44</v>
      </c>
      <c r="G594" s="525">
        <v>30.74</v>
      </c>
      <c r="H594" s="1003"/>
      <c r="I594" s="1003"/>
      <c r="J594" s="1003"/>
      <c r="K594" s="1003"/>
      <c r="L594" s="1003"/>
      <c r="M594" s="1003"/>
    </row>
    <row r="595" spans="1:13" s="836" customFormat="1" ht="12.75" thickBot="1">
      <c r="A595" s="522" t="s">
        <v>1424</v>
      </c>
      <c r="B595" s="522" t="s">
        <v>436</v>
      </c>
      <c r="C595" s="522" t="s">
        <v>332</v>
      </c>
      <c r="D595" s="522" t="s">
        <v>1026</v>
      </c>
      <c r="E595" s="530">
        <v>43</v>
      </c>
      <c r="F595" s="531">
        <v>12411</v>
      </c>
      <c r="G595" s="531">
        <v>1965.1</v>
      </c>
      <c r="H595" s="1003"/>
      <c r="I595" s="1003"/>
      <c r="J595" s="1003"/>
      <c r="K595" s="1003"/>
      <c r="L595" s="1003"/>
      <c r="M595" s="1003"/>
    </row>
    <row r="596" spans="1:13" s="836" customFormat="1" ht="12.75" thickBot="1">
      <c r="A596" s="522" t="s">
        <v>1424</v>
      </c>
      <c r="B596" s="522" t="s">
        <v>436</v>
      </c>
      <c r="C596" s="522" t="s">
        <v>334</v>
      </c>
      <c r="D596" s="522" t="s">
        <v>1027</v>
      </c>
      <c r="E596" s="524">
        <v>182</v>
      </c>
      <c r="F596" s="525">
        <v>6776</v>
      </c>
      <c r="G596" s="525">
        <v>4938.2700000000004</v>
      </c>
      <c r="H596" s="1003"/>
      <c r="I596" s="1003"/>
      <c r="J596" s="1003"/>
      <c r="K596" s="1003"/>
      <c r="L596" s="1003"/>
      <c r="M596" s="1003"/>
    </row>
    <row r="597" spans="1:13" s="836" customFormat="1" ht="12.75" thickBot="1">
      <c r="A597" s="522" t="s">
        <v>1424</v>
      </c>
      <c r="B597" s="522" t="s">
        <v>436</v>
      </c>
      <c r="C597" s="522" t="s">
        <v>366</v>
      </c>
      <c r="D597" s="522" t="s">
        <v>1028</v>
      </c>
      <c r="E597" s="530">
        <v>649</v>
      </c>
      <c r="F597" s="531">
        <v>59891</v>
      </c>
      <c r="G597" s="531">
        <v>22440.97</v>
      </c>
      <c r="H597" s="1003"/>
      <c r="I597" s="1003"/>
      <c r="J597" s="1003"/>
      <c r="K597" s="1003"/>
      <c r="L597" s="1003"/>
      <c r="M597" s="1003"/>
    </row>
    <row r="598" spans="1:13" s="836" customFormat="1" ht="12.75" thickBot="1">
      <c r="A598" s="522" t="s">
        <v>1424</v>
      </c>
      <c r="B598" s="522" t="s">
        <v>436</v>
      </c>
      <c r="C598" s="522" t="s">
        <v>329</v>
      </c>
      <c r="D598" s="522" t="s">
        <v>1029</v>
      </c>
      <c r="E598" s="524">
        <v>154</v>
      </c>
      <c r="F598" s="525">
        <v>43809</v>
      </c>
      <c r="G598" s="525">
        <v>8940.84</v>
      </c>
      <c r="H598" s="1003"/>
      <c r="I598" s="1003"/>
      <c r="J598" s="1003"/>
      <c r="K598" s="1003"/>
      <c r="L598" s="1003"/>
      <c r="M598" s="1003"/>
    </row>
    <row r="599" spans="1:13" s="836" customFormat="1" ht="12.75" thickBot="1">
      <c r="A599" s="522" t="s">
        <v>1424</v>
      </c>
      <c r="B599" s="522" t="s">
        <v>436</v>
      </c>
      <c r="C599" s="522" t="s">
        <v>683</v>
      </c>
      <c r="D599" s="522" t="s">
        <v>1047</v>
      </c>
      <c r="E599" s="530">
        <v>10</v>
      </c>
      <c r="F599" s="531">
        <v>309</v>
      </c>
      <c r="G599" s="531">
        <v>153.5</v>
      </c>
      <c r="H599" s="1003"/>
      <c r="I599" s="1003"/>
      <c r="J599" s="1003"/>
      <c r="K599" s="1003"/>
      <c r="L599" s="1003"/>
      <c r="M599" s="1003"/>
    </row>
    <row r="600" spans="1:13" s="836" customFormat="1" ht="12.75" thickBot="1">
      <c r="A600" s="522" t="s">
        <v>1424</v>
      </c>
      <c r="B600" s="522" t="s">
        <v>436</v>
      </c>
      <c r="C600" s="522" t="s">
        <v>463</v>
      </c>
      <c r="D600" s="522" t="s">
        <v>1030</v>
      </c>
      <c r="E600" s="524">
        <v>26</v>
      </c>
      <c r="F600" s="525">
        <v>1626</v>
      </c>
      <c r="G600" s="525">
        <v>460.72</v>
      </c>
      <c r="H600" s="1003"/>
      <c r="I600" s="1003"/>
      <c r="J600" s="1003"/>
      <c r="K600" s="1003"/>
      <c r="L600" s="1003"/>
      <c r="M600" s="1003"/>
    </row>
    <row r="601" spans="1:13" s="836" customFormat="1" ht="12.75" thickBot="1">
      <c r="A601" s="522" t="s">
        <v>1424</v>
      </c>
      <c r="B601" s="522" t="s">
        <v>436</v>
      </c>
      <c r="C601" s="522" t="s">
        <v>653</v>
      </c>
      <c r="D601" s="522" t="s">
        <v>1031</v>
      </c>
      <c r="E601" s="530">
        <v>30</v>
      </c>
      <c r="F601" s="531">
        <v>3205</v>
      </c>
      <c r="G601" s="531">
        <v>565.9</v>
      </c>
      <c r="H601" s="1003"/>
      <c r="I601" s="1003"/>
      <c r="J601" s="1003"/>
      <c r="K601" s="1003"/>
      <c r="L601" s="1003"/>
      <c r="M601" s="1003"/>
    </row>
    <row r="602" spans="1:13" ht="12" thickBot="1">
      <c r="A602" s="522" t="s">
        <v>1424</v>
      </c>
      <c r="B602" s="522" t="s">
        <v>436</v>
      </c>
      <c r="C602" s="543" t="s">
        <v>9</v>
      </c>
      <c r="D602" s="544"/>
      <c r="E602" s="539">
        <v>172912</v>
      </c>
      <c r="F602" s="540">
        <v>8337458</v>
      </c>
      <c r="G602" s="540">
        <v>2138864.5500000007</v>
      </c>
    </row>
    <row r="603" spans="1:13" ht="12" thickBot="1">
      <c r="A603" s="522" t="s">
        <v>1429</v>
      </c>
      <c r="B603" s="522" t="s">
        <v>436</v>
      </c>
      <c r="C603" s="522" t="s">
        <v>449</v>
      </c>
      <c r="D603" s="522" t="s">
        <v>448</v>
      </c>
      <c r="E603" s="524">
        <v>2</v>
      </c>
      <c r="F603" s="525">
        <v>122</v>
      </c>
      <c r="G603" s="525">
        <v>19.04</v>
      </c>
    </row>
    <row r="604" spans="1:13" ht="12" thickBot="1">
      <c r="A604" s="522" t="s">
        <v>1429</v>
      </c>
      <c r="B604" s="522" t="s">
        <v>436</v>
      </c>
      <c r="C604" s="522" t="s">
        <v>447</v>
      </c>
      <c r="D604" s="522" t="s">
        <v>446</v>
      </c>
      <c r="E604" s="530">
        <v>1</v>
      </c>
      <c r="F604" s="531">
        <v>34</v>
      </c>
      <c r="G604" s="531">
        <v>6.9</v>
      </c>
    </row>
    <row r="605" spans="1:13" ht="12" thickBot="1">
      <c r="A605" s="522" t="s">
        <v>1429</v>
      </c>
      <c r="B605" s="522" t="s">
        <v>436</v>
      </c>
      <c r="C605" s="522" t="s">
        <v>339</v>
      </c>
      <c r="D605" s="522" t="s">
        <v>952</v>
      </c>
      <c r="E605" s="524">
        <v>178</v>
      </c>
      <c r="F605" s="525">
        <v>8494</v>
      </c>
      <c r="G605" s="525">
        <v>9848.74</v>
      </c>
    </row>
    <row r="606" spans="1:13" ht="12" thickBot="1">
      <c r="A606" s="522" t="s">
        <v>1429</v>
      </c>
      <c r="B606" s="522" t="s">
        <v>436</v>
      </c>
      <c r="C606" s="522" t="s">
        <v>344</v>
      </c>
      <c r="D606" s="522" t="s">
        <v>953</v>
      </c>
      <c r="E606" s="530">
        <v>25</v>
      </c>
      <c r="F606" s="531">
        <v>1220</v>
      </c>
      <c r="G606" s="531">
        <v>2079</v>
      </c>
    </row>
    <row r="607" spans="1:13" ht="12" thickBot="1">
      <c r="A607" s="522" t="s">
        <v>1429</v>
      </c>
      <c r="B607" s="522" t="s">
        <v>436</v>
      </c>
      <c r="C607" s="522" t="s">
        <v>347</v>
      </c>
      <c r="D607" s="522" t="s">
        <v>954</v>
      </c>
      <c r="E607" s="524">
        <v>43</v>
      </c>
      <c r="F607" s="525">
        <v>1689</v>
      </c>
      <c r="G607" s="525">
        <v>2570.54</v>
      </c>
    </row>
    <row r="608" spans="1:13" ht="12" thickBot="1">
      <c r="A608" s="522" t="s">
        <v>1429</v>
      </c>
      <c r="B608" s="522" t="s">
        <v>436</v>
      </c>
      <c r="C608" s="522" t="s">
        <v>348</v>
      </c>
      <c r="D608" s="522" t="s">
        <v>955</v>
      </c>
      <c r="E608" s="530">
        <v>5</v>
      </c>
      <c r="F608" s="531">
        <v>254</v>
      </c>
      <c r="G608" s="531">
        <v>308.75</v>
      </c>
    </row>
    <row r="609" spans="1:7" ht="12" thickBot="1">
      <c r="A609" s="522" t="s">
        <v>1429</v>
      </c>
      <c r="B609" s="522" t="s">
        <v>436</v>
      </c>
      <c r="C609" s="522" t="s">
        <v>349</v>
      </c>
      <c r="D609" s="522" t="s">
        <v>956</v>
      </c>
      <c r="E609" s="524">
        <v>1</v>
      </c>
      <c r="F609" s="525">
        <v>51</v>
      </c>
      <c r="G609" s="525">
        <v>63.11</v>
      </c>
    </row>
    <row r="610" spans="1:7" ht="12" thickBot="1">
      <c r="A610" s="522" t="s">
        <v>1429</v>
      </c>
      <c r="B610" s="522" t="s">
        <v>436</v>
      </c>
      <c r="C610" s="522" t="s">
        <v>351</v>
      </c>
      <c r="D610" s="522" t="s">
        <v>957</v>
      </c>
      <c r="E610" s="530">
        <v>5</v>
      </c>
      <c r="F610" s="531">
        <v>250</v>
      </c>
      <c r="G610" s="531">
        <v>404.7</v>
      </c>
    </row>
    <row r="611" spans="1:7" ht="12" thickBot="1">
      <c r="A611" s="522" t="s">
        <v>1429</v>
      </c>
      <c r="B611" s="522" t="s">
        <v>436</v>
      </c>
      <c r="C611" s="522" t="s">
        <v>352</v>
      </c>
      <c r="D611" s="522" t="s">
        <v>958</v>
      </c>
      <c r="E611" s="524">
        <v>9</v>
      </c>
      <c r="F611" s="525">
        <v>454</v>
      </c>
      <c r="G611" s="525">
        <v>710.73</v>
      </c>
    </row>
    <row r="612" spans="1:7" ht="12" thickBot="1">
      <c r="A612" s="522" t="s">
        <v>1429</v>
      </c>
      <c r="B612" s="522" t="s">
        <v>436</v>
      </c>
      <c r="C612" s="522" t="s">
        <v>354</v>
      </c>
      <c r="D612" s="522" t="s">
        <v>959</v>
      </c>
      <c r="E612" s="530">
        <v>25</v>
      </c>
      <c r="F612" s="531">
        <v>1196</v>
      </c>
      <c r="G612" s="531">
        <v>1530.75</v>
      </c>
    </row>
    <row r="613" spans="1:7" ht="12" thickBot="1">
      <c r="A613" s="522" t="s">
        <v>1429</v>
      </c>
      <c r="B613" s="522" t="s">
        <v>436</v>
      </c>
      <c r="C613" s="522" t="s">
        <v>355</v>
      </c>
      <c r="D613" s="522" t="s">
        <v>960</v>
      </c>
      <c r="E613" s="524">
        <v>1</v>
      </c>
      <c r="F613" s="525">
        <v>51</v>
      </c>
      <c r="G613" s="525">
        <v>56.69</v>
      </c>
    </row>
    <row r="614" spans="1:7" ht="12" thickBot="1">
      <c r="A614" s="522" t="s">
        <v>1429</v>
      </c>
      <c r="B614" s="522" t="s">
        <v>436</v>
      </c>
      <c r="C614" s="522" t="s">
        <v>341</v>
      </c>
      <c r="D614" s="522" t="s">
        <v>961</v>
      </c>
      <c r="E614" s="530">
        <v>15</v>
      </c>
      <c r="F614" s="531">
        <v>747</v>
      </c>
      <c r="G614" s="531">
        <v>1117.8</v>
      </c>
    </row>
    <row r="615" spans="1:7" ht="12" thickBot="1">
      <c r="A615" s="522" t="s">
        <v>1429</v>
      </c>
      <c r="B615" s="522" t="s">
        <v>436</v>
      </c>
      <c r="C615" s="522" t="s">
        <v>350</v>
      </c>
      <c r="D615" s="522" t="s">
        <v>962</v>
      </c>
      <c r="E615" s="524">
        <v>1</v>
      </c>
      <c r="F615" s="525">
        <v>51</v>
      </c>
      <c r="G615" s="525">
        <v>82.3</v>
      </c>
    </row>
    <row r="616" spans="1:7" ht="12" thickBot="1">
      <c r="A616" s="522" t="s">
        <v>1429</v>
      </c>
      <c r="B616" s="522" t="s">
        <v>436</v>
      </c>
      <c r="C616" s="522" t="s">
        <v>342</v>
      </c>
      <c r="D616" s="522" t="s">
        <v>963</v>
      </c>
      <c r="E616" s="530">
        <v>20</v>
      </c>
      <c r="F616" s="531">
        <v>944</v>
      </c>
      <c r="G616" s="531">
        <v>1490.4</v>
      </c>
    </row>
    <row r="617" spans="1:7" ht="12" thickBot="1">
      <c r="A617" s="522" t="s">
        <v>1429</v>
      </c>
      <c r="B617" s="522" t="s">
        <v>436</v>
      </c>
      <c r="C617" s="522" t="s">
        <v>346</v>
      </c>
      <c r="D617" s="522" t="s">
        <v>964</v>
      </c>
      <c r="E617" s="524">
        <v>4</v>
      </c>
      <c r="F617" s="525">
        <v>196</v>
      </c>
      <c r="G617" s="525">
        <v>303.52</v>
      </c>
    </row>
    <row r="618" spans="1:7" ht="12" thickBot="1">
      <c r="A618" s="522" t="s">
        <v>1429</v>
      </c>
      <c r="B618" s="522" t="s">
        <v>436</v>
      </c>
      <c r="C618" s="522" t="s">
        <v>353</v>
      </c>
      <c r="D618" s="522" t="s">
        <v>965</v>
      </c>
      <c r="E618" s="530">
        <v>3</v>
      </c>
      <c r="F618" s="531">
        <v>141</v>
      </c>
      <c r="G618" s="531">
        <v>236.91</v>
      </c>
    </row>
    <row r="619" spans="1:7" ht="12" thickBot="1">
      <c r="A619" s="522" t="s">
        <v>1429</v>
      </c>
      <c r="B619" s="522" t="s">
        <v>436</v>
      </c>
      <c r="C619" s="522" t="s">
        <v>345</v>
      </c>
      <c r="D619" s="522" t="s">
        <v>966</v>
      </c>
      <c r="E619" s="524">
        <v>2</v>
      </c>
      <c r="F619" s="525">
        <v>94</v>
      </c>
      <c r="G619" s="525">
        <v>154.52000000000001</v>
      </c>
    </row>
    <row r="620" spans="1:7" ht="12" thickBot="1">
      <c r="A620" s="522" t="s">
        <v>1429</v>
      </c>
      <c r="B620" s="522" t="s">
        <v>436</v>
      </c>
      <c r="C620" s="522" t="s">
        <v>343</v>
      </c>
      <c r="D620" s="522" t="s">
        <v>967</v>
      </c>
      <c r="E620" s="530">
        <v>51</v>
      </c>
      <c r="F620" s="531">
        <v>2445</v>
      </c>
      <c r="G620" s="531">
        <v>3273.69</v>
      </c>
    </row>
    <row r="621" spans="1:7" ht="12" thickBot="1">
      <c r="A621" s="522" t="s">
        <v>1429</v>
      </c>
      <c r="B621" s="522" t="s">
        <v>436</v>
      </c>
      <c r="C621" s="522" t="s">
        <v>472</v>
      </c>
      <c r="D621" s="522" t="s">
        <v>968</v>
      </c>
      <c r="E621" s="524">
        <v>2</v>
      </c>
      <c r="F621" s="525">
        <v>95</v>
      </c>
      <c r="G621" s="525">
        <v>151.80000000000001</v>
      </c>
    </row>
    <row r="622" spans="1:7" ht="12" thickBot="1">
      <c r="A622" s="522" t="s">
        <v>1429</v>
      </c>
      <c r="B622" s="522" t="s">
        <v>436</v>
      </c>
      <c r="C622" s="522" t="s">
        <v>382</v>
      </c>
      <c r="D622" s="522" t="s">
        <v>969</v>
      </c>
      <c r="E622" s="530">
        <v>52</v>
      </c>
      <c r="F622" s="531">
        <v>1174</v>
      </c>
      <c r="G622" s="531">
        <v>772.72</v>
      </c>
    </row>
    <row r="623" spans="1:7" ht="12" thickBot="1">
      <c r="A623" s="522" t="s">
        <v>1429</v>
      </c>
      <c r="B623" s="522" t="s">
        <v>436</v>
      </c>
      <c r="C623" s="522" t="s">
        <v>402</v>
      </c>
      <c r="D623" s="522" t="s">
        <v>970</v>
      </c>
      <c r="E623" s="524">
        <v>7037</v>
      </c>
      <c r="F623" s="525">
        <v>392051</v>
      </c>
      <c r="G623" s="525">
        <v>73868.570000000007</v>
      </c>
    </row>
    <row r="624" spans="1:7" ht="12" thickBot="1">
      <c r="A624" s="522" t="s">
        <v>1429</v>
      </c>
      <c r="B624" s="522" t="s">
        <v>436</v>
      </c>
      <c r="C624" s="522" t="s">
        <v>398</v>
      </c>
      <c r="D624" s="522" t="s">
        <v>971</v>
      </c>
      <c r="E624" s="530">
        <v>137</v>
      </c>
      <c r="F624" s="531">
        <v>17675</v>
      </c>
      <c r="G624" s="531">
        <v>1597.63</v>
      </c>
    </row>
    <row r="625" spans="1:7" ht="12" thickBot="1">
      <c r="A625" s="522" t="s">
        <v>1429</v>
      </c>
      <c r="B625" s="522" t="s">
        <v>436</v>
      </c>
      <c r="C625" s="522" t="s">
        <v>376</v>
      </c>
      <c r="D625" s="522" t="s">
        <v>972</v>
      </c>
      <c r="E625" s="530">
        <v>240</v>
      </c>
      <c r="F625" s="531">
        <v>3860</v>
      </c>
      <c r="G625" s="531">
        <v>4862.3999999999996</v>
      </c>
    </row>
    <row r="626" spans="1:7" ht="12" thickBot="1">
      <c r="A626" s="522" t="s">
        <v>1429</v>
      </c>
      <c r="B626" s="522" t="s">
        <v>436</v>
      </c>
      <c r="C626" s="522" t="s">
        <v>384</v>
      </c>
      <c r="D626" s="522" t="s">
        <v>973</v>
      </c>
      <c r="E626" s="524">
        <v>150</v>
      </c>
      <c r="F626" s="525">
        <v>3320</v>
      </c>
      <c r="G626" s="525">
        <v>3207</v>
      </c>
    </row>
    <row r="627" spans="1:7" ht="12" thickBot="1">
      <c r="A627" s="522" t="s">
        <v>1429</v>
      </c>
      <c r="B627" s="522" t="s">
        <v>436</v>
      </c>
      <c r="C627" s="522" t="s">
        <v>386</v>
      </c>
      <c r="D627" s="522" t="s">
        <v>974</v>
      </c>
      <c r="E627" s="530">
        <v>28</v>
      </c>
      <c r="F627" s="531">
        <v>614</v>
      </c>
      <c r="G627" s="531">
        <v>863.52</v>
      </c>
    </row>
    <row r="628" spans="1:7" ht="12" thickBot="1">
      <c r="A628" s="522" t="s">
        <v>1429</v>
      </c>
      <c r="B628" s="522" t="s">
        <v>436</v>
      </c>
      <c r="C628" s="522" t="s">
        <v>409</v>
      </c>
      <c r="D628" s="522" t="s">
        <v>975</v>
      </c>
      <c r="E628" s="524">
        <v>96</v>
      </c>
      <c r="F628" s="525">
        <v>2982</v>
      </c>
      <c r="G628" s="525">
        <v>2997.12</v>
      </c>
    </row>
    <row r="629" spans="1:7" ht="12" thickBot="1">
      <c r="A629" s="522" t="s">
        <v>1429</v>
      </c>
      <c r="B629" s="522" t="s">
        <v>436</v>
      </c>
      <c r="C629" s="522" t="s">
        <v>387</v>
      </c>
      <c r="D629" s="522" t="s">
        <v>976</v>
      </c>
      <c r="E629" s="530">
        <v>21</v>
      </c>
      <c r="F629" s="531">
        <v>490</v>
      </c>
      <c r="G629" s="531">
        <v>647.64</v>
      </c>
    </row>
    <row r="630" spans="1:7" ht="12" thickBot="1">
      <c r="A630" s="522" t="s">
        <v>1429</v>
      </c>
      <c r="B630" s="522" t="s">
        <v>436</v>
      </c>
      <c r="C630" s="522" t="s">
        <v>410</v>
      </c>
      <c r="D630" s="522" t="s">
        <v>977</v>
      </c>
      <c r="E630" s="524">
        <v>10</v>
      </c>
      <c r="F630" s="525">
        <v>329</v>
      </c>
      <c r="G630" s="525">
        <v>312.2</v>
      </c>
    </row>
    <row r="631" spans="1:7" ht="12" thickBot="1">
      <c r="A631" s="522" t="s">
        <v>1429</v>
      </c>
      <c r="B631" s="522" t="s">
        <v>436</v>
      </c>
      <c r="C631" s="522" t="s">
        <v>405</v>
      </c>
      <c r="D631" s="522" t="s">
        <v>978</v>
      </c>
      <c r="E631" s="530">
        <v>510</v>
      </c>
      <c r="F631" s="531">
        <v>16515</v>
      </c>
      <c r="G631" s="531">
        <v>8087.04</v>
      </c>
    </row>
    <row r="632" spans="1:7" ht="12" thickBot="1">
      <c r="A632" s="522" t="s">
        <v>1429</v>
      </c>
      <c r="B632" s="522" t="s">
        <v>436</v>
      </c>
      <c r="C632" s="522" t="s">
        <v>326</v>
      </c>
      <c r="D632" s="522" t="s">
        <v>979</v>
      </c>
      <c r="E632" s="524">
        <v>5</v>
      </c>
      <c r="F632" s="525">
        <v>135</v>
      </c>
      <c r="G632" s="525">
        <v>16.95</v>
      </c>
    </row>
    <row r="633" spans="1:7" ht="12" thickBot="1">
      <c r="A633" s="522" t="s">
        <v>1429</v>
      </c>
      <c r="B633" s="522" t="s">
        <v>436</v>
      </c>
      <c r="C633" s="522" t="s">
        <v>356</v>
      </c>
      <c r="D633" s="522" t="s">
        <v>980</v>
      </c>
      <c r="E633" s="530">
        <v>667</v>
      </c>
      <c r="F633" s="531">
        <v>35590</v>
      </c>
      <c r="G633" s="531">
        <v>3028.18</v>
      </c>
    </row>
    <row r="634" spans="1:7" ht="12" thickBot="1">
      <c r="A634" s="522" t="s">
        <v>1429</v>
      </c>
      <c r="B634" s="522" t="s">
        <v>436</v>
      </c>
      <c r="C634" s="522" t="s">
        <v>374</v>
      </c>
      <c r="D634" s="522" t="s">
        <v>981</v>
      </c>
      <c r="E634" s="524">
        <v>45</v>
      </c>
      <c r="F634" s="525">
        <v>4022</v>
      </c>
      <c r="G634" s="525">
        <v>305.10000000000002</v>
      </c>
    </row>
    <row r="635" spans="1:7" ht="12" thickBot="1">
      <c r="A635" s="522" t="s">
        <v>1429</v>
      </c>
      <c r="B635" s="522" t="s">
        <v>436</v>
      </c>
      <c r="C635" s="522" t="s">
        <v>399</v>
      </c>
      <c r="D635" s="522" t="s">
        <v>982</v>
      </c>
      <c r="E635" s="530">
        <v>2</v>
      </c>
      <c r="F635" s="531">
        <v>242</v>
      </c>
      <c r="G635" s="531">
        <v>18.12</v>
      </c>
    </row>
    <row r="636" spans="1:7" ht="12" thickBot="1">
      <c r="A636" s="522" t="s">
        <v>1429</v>
      </c>
      <c r="B636" s="522" t="s">
        <v>436</v>
      </c>
      <c r="C636" s="522" t="s">
        <v>391</v>
      </c>
      <c r="D636" s="522" t="s">
        <v>983</v>
      </c>
      <c r="E636" s="524">
        <v>171</v>
      </c>
      <c r="F636" s="525">
        <v>3823</v>
      </c>
      <c r="G636" s="525">
        <v>1263.31</v>
      </c>
    </row>
    <row r="637" spans="1:7" ht="12" thickBot="1">
      <c r="A637" s="522" t="s">
        <v>1429</v>
      </c>
      <c r="B637" s="522" t="s">
        <v>436</v>
      </c>
      <c r="C637" s="522" t="s">
        <v>416</v>
      </c>
      <c r="D637" s="522" t="s">
        <v>984</v>
      </c>
      <c r="E637" s="530">
        <v>36630</v>
      </c>
      <c r="F637" s="531">
        <v>1152212</v>
      </c>
      <c r="G637" s="531">
        <v>285061.78999999998</v>
      </c>
    </row>
    <row r="638" spans="1:7" ht="12" thickBot="1">
      <c r="A638" s="522" t="s">
        <v>1429</v>
      </c>
      <c r="B638" s="522" t="s">
        <v>436</v>
      </c>
      <c r="C638" s="522" t="s">
        <v>407</v>
      </c>
      <c r="D638" s="522" t="s">
        <v>985</v>
      </c>
      <c r="E638" s="524">
        <v>1182</v>
      </c>
      <c r="F638" s="525">
        <v>37148</v>
      </c>
      <c r="G638" s="525">
        <v>25984.93</v>
      </c>
    </row>
    <row r="639" spans="1:7" ht="12" thickBot="1">
      <c r="A639" s="522" t="s">
        <v>1429</v>
      </c>
      <c r="B639" s="522" t="s">
        <v>436</v>
      </c>
      <c r="C639" s="522" t="s">
        <v>375</v>
      </c>
      <c r="D639" s="522" t="s">
        <v>987</v>
      </c>
      <c r="E639" s="530">
        <v>2</v>
      </c>
      <c r="F639" s="531">
        <v>32</v>
      </c>
      <c r="G639" s="531">
        <v>27.22</v>
      </c>
    </row>
    <row r="640" spans="1:7" ht="12" thickBot="1">
      <c r="A640" s="522" t="s">
        <v>1429</v>
      </c>
      <c r="B640" s="522" t="s">
        <v>436</v>
      </c>
      <c r="C640" s="522" t="s">
        <v>401</v>
      </c>
      <c r="D640" s="522" t="s">
        <v>988</v>
      </c>
      <c r="E640" s="524">
        <v>1081</v>
      </c>
      <c r="F640" s="525">
        <v>60417</v>
      </c>
      <c r="G640" s="525">
        <v>10334.36</v>
      </c>
    </row>
    <row r="641" spans="1:7" ht="12" thickBot="1">
      <c r="A641" s="522" t="s">
        <v>1429</v>
      </c>
      <c r="B641" s="522" t="s">
        <v>436</v>
      </c>
      <c r="C641" s="522" t="s">
        <v>328</v>
      </c>
      <c r="D641" s="522" t="s">
        <v>989</v>
      </c>
      <c r="E641" s="530">
        <v>711</v>
      </c>
      <c r="F641" s="531">
        <v>54961</v>
      </c>
      <c r="G641" s="531">
        <v>8048.52</v>
      </c>
    </row>
    <row r="642" spans="1:7" ht="12" thickBot="1">
      <c r="A642" s="522" t="s">
        <v>1429</v>
      </c>
      <c r="B642" s="522" t="s">
        <v>436</v>
      </c>
      <c r="C642" s="522" t="s">
        <v>437</v>
      </c>
      <c r="D642" s="522" t="s">
        <v>990</v>
      </c>
      <c r="E642" s="524">
        <v>1475</v>
      </c>
      <c r="F642" s="525">
        <v>180852</v>
      </c>
      <c r="G642" s="525">
        <v>18894.75</v>
      </c>
    </row>
    <row r="643" spans="1:7" ht="12" thickBot="1">
      <c r="A643" s="522" t="s">
        <v>1429</v>
      </c>
      <c r="B643" s="522" t="s">
        <v>436</v>
      </c>
      <c r="C643" s="522" t="s">
        <v>338</v>
      </c>
      <c r="D643" s="522" t="s">
        <v>991</v>
      </c>
      <c r="E643" s="524">
        <v>679</v>
      </c>
      <c r="F643" s="525">
        <v>27335</v>
      </c>
      <c r="G643" s="525">
        <v>9613.19</v>
      </c>
    </row>
    <row r="644" spans="1:7" ht="12" thickBot="1">
      <c r="A644" s="522" t="s">
        <v>1429</v>
      </c>
      <c r="B644" s="522" t="s">
        <v>436</v>
      </c>
      <c r="C644" s="522" t="s">
        <v>370</v>
      </c>
      <c r="D644" s="522" t="s">
        <v>992</v>
      </c>
      <c r="E644" s="524">
        <v>5186</v>
      </c>
      <c r="F644" s="525">
        <v>490727</v>
      </c>
      <c r="G644" s="525">
        <v>104632.57</v>
      </c>
    </row>
    <row r="645" spans="1:7" ht="12" thickBot="1">
      <c r="A645" s="522" t="s">
        <v>1429</v>
      </c>
      <c r="B645" s="522" t="s">
        <v>436</v>
      </c>
      <c r="C645" s="522" t="s">
        <v>333</v>
      </c>
      <c r="D645" s="522" t="s">
        <v>993</v>
      </c>
      <c r="E645" s="524">
        <v>1063</v>
      </c>
      <c r="F645" s="525">
        <v>304154</v>
      </c>
      <c r="G645" s="525">
        <v>44261.41</v>
      </c>
    </row>
    <row r="646" spans="1:7" ht="12" thickBot="1">
      <c r="A646" s="522" t="s">
        <v>1429</v>
      </c>
      <c r="B646" s="522" t="s">
        <v>436</v>
      </c>
      <c r="C646" s="522" t="s">
        <v>336</v>
      </c>
      <c r="D646" s="522" t="s">
        <v>994</v>
      </c>
      <c r="E646" s="524">
        <v>150</v>
      </c>
      <c r="F646" s="525">
        <v>6068</v>
      </c>
      <c r="G646" s="525">
        <v>2781.34</v>
      </c>
    </row>
    <row r="647" spans="1:7" ht="12" thickBot="1">
      <c r="A647" s="522" t="s">
        <v>1429</v>
      </c>
      <c r="B647" s="522" t="s">
        <v>436</v>
      </c>
      <c r="C647" s="522" t="s">
        <v>368</v>
      </c>
      <c r="D647" s="522" t="s">
        <v>995</v>
      </c>
      <c r="E647" s="524">
        <v>1026</v>
      </c>
      <c r="F647" s="525">
        <v>96912</v>
      </c>
      <c r="G647" s="525">
        <v>25240.03</v>
      </c>
    </row>
    <row r="648" spans="1:7" ht="12" thickBot="1">
      <c r="A648" s="522" t="s">
        <v>1429</v>
      </c>
      <c r="B648" s="522" t="s">
        <v>436</v>
      </c>
      <c r="C648" s="522" t="s">
        <v>400</v>
      </c>
      <c r="D648" s="522" t="s">
        <v>996</v>
      </c>
      <c r="E648" s="530">
        <v>141</v>
      </c>
      <c r="F648" s="531">
        <v>7748</v>
      </c>
      <c r="G648" s="531">
        <v>1673.67</v>
      </c>
    </row>
    <row r="649" spans="1:7" ht="12" thickBot="1">
      <c r="A649" s="522" t="s">
        <v>1429</v>
      </c>
      <c r="B649" s="522" t="s">
        <v>436</v>
      </c>
      <c r="C649" s="522" t="s">
        <v>327</v>
      </c>
      <c r="D649" s="522" t="s">
        <v>997</v>
      </c>
      <c r="E649" s="524">
        <v>453</v>
      </c>
      <c r="F649" s="525">
        <v>35114</v>
      </c>
      <c r="G649" s="525">
        <v>6052.08</v>
      </c>
    </row>
    <row r="650" spans="1:7" ht="12" thickBot="1">
      <c r="A650" s="522" t="s">
        <v>1429</v>
      </c>
      <c r="B650" s="522" t="s">
        <v>436</v>
      </c>
      <c r="C650" s="522" t="s">
        <v>357</v>
      </c>
      <c r="D650" s="522" t="s">
        <v>998</v>
      </c>
      <c r="E650" s="530">
        <v>1457</v>
      </c>
      <c r="F650" s="531">
        <v>176567</v>
      </c>
      <c r="G650" s="531">
        <v>21943.360000000001</v>
      </c>
    </row>
    <row r="651" spans="1:7" ht="12" thickBot="1">
      <c r="A651" s="522" t="s">
        <v>1429</v>
      </c>
      <c r="B651" s="522" t="s">
        <v>436</v>
      </c>
      <c r="C651" s="522" t="s">
        <v>331</v>
      </c>
      <c r="D651" s="522" t="s">
        <v>999</v>
      </c>
      <c r="E651" s="524">
        <v>226</v>
      </c>
      <c r="F651" s="525">
        <v>64875</v>
      </c>
      <c r="G651" s="525">
        <v>10334.39</v>
      </c>
    </row>
    <row r="652" spans="1:7" ht="12" thickBot="1">
      <c r="A652" s="522" t="s">
        <v>1429</v>
      </c>
      <c r="B652" s="522" t="s">
        <v>436</v>
      </c>
      <c r="C652" s="522" t="s">
        <v>335</v>
      </c>
      <c r="D652" s="522" t="s">
        <v>1000</v>
      </c>
      <c r="E652" s="524">
        <v>26</v>
      </c>
      <c r="F652" s="525">
        <v>952</v>
      </c>
      <c r="G652" s="525">
        <v>644.11</v>
      </c>
    </row>
    <row r="653" spans="1:7" ht="12" thickBot="1">
      <c r="A653" s="522" t="s">
        <v>1429</v>
      </c>
      <c r="B653" s="522" t="s">
        <v>436</v>
      </c>
      <c r="C653" s="522" t="s">
        <v>372</v>
      </c>
      <c r="D653" s="522" t="s">
        <v>1001</v>
      </c>
      <c r="E653" s="530">
        <v>6924</v>
      </c>
      <c r="F653" s="531">
        <v>113920</v>
      </c>
      <c r="G653" s="531">
        <v>52199.89</v>
      </c>
    </row>
    <row r="654" spans="1:7" ht="12" thickBot="1">
      <c r="A654" s="522" t="s">
        <v>1429</v>
      </c>
      <c r="B654" s="522" t="s">
        <v>436</v>
      </c>
      <c r="C654" s="522" t="s">
        <v>381</v>
      </c>
      <c r="D654" s="522" t="s">
        <v>1002</v>
      </c>
      <c r="E654" s="524">
        <v>8811</v>
      </c>
      <c r="F654" s="525">
        <v>195970</v>
      </c>
      <c r="G654" s="525">
        <v>76303.259999999995</v>
      </c>
    </row>
    <row r="655" spans="1:7" ht="12" thickBot="1">
      <c r="A655" s="522" t="s">
        <v>1429</v>
      </c>
      <c r="B655" s="522" t="s">
        <v>436</v>
      </c>
      <c r="C655" s="522" t="s">
        <v>404</v>
      </c>
      <c r="D655" s="522" t="s">
        <v>1003</v>
      </c>
      <c r="E655" s="530">
        <v>20541</v>
      </c>
      <c r="F655" s="531">
        <v>658361</v>
      </c>
      <c r="G655" s="531">
        <v>189899.72</v>
      </c>
    </row>
    <row r="656" spans="1:7" ht="12" thickBot="1">
      <c r="A656" s="522" t="s">
        <v>1429</v>
      </c>
      <c r="B656" s="522" t="s">
        <v>436</v>
      </c>
      <c r="C656" s="522" t="s">
        <v>361</v>
      </c>
      <c r="D656" s="522" t="s">
        <v>1004</v>
      </c>
      <c r="E656" s="530">
        <v>7614</v>
      </c>
      <c r="F656" s="531">
        <v>495786</v>
      </c>
      <c r="G656" s="531">
        <v>108743.17</v>
      </c>
    </row>
    <row r="657" spans="1:7" ht="12" thickBot="1">
      <c r="A657" s="522" t="s">
        <v>1429</v>
      </c>
      <c r="B657" s="522" t="s">
        <v>436</v>
      </c>
      <c r="C657" s="522" t="s">
        <v>393</v>
      </c>
      <c r="D657" s="522" t="s">
        <v>1005</v>
      </c>
      <c r="E657" s="530">
        <v>2791</v>
      </c>
      <c r="F657" s="531">
        <v>355398</v>
      </c>
      <c r="G657" s="531">
        <v>63866.74</v>
      </c>
    </row>
    <row r="658" spans="1:7" ht="12" thickBot="1">
      <c r="A658" s="522" t="s">
        <v>1429</v>
      </c>
      <c r="B658" s="522" t="s">
        <v>436</v>
      </c>
      <c r="C658" s="522" t="s">
        <v>379</v>
      </c>
      <c r="D658" s="522" t="s">
        <v>1006</v>
      </c>
      <c r="E658" s="530">
        <v>856</v>
      </c>
      <c r="F658" s="531">
        <v>13841</v>
      </c>
      <c r="G658" s="531">
        <v>8234.7199999999993</v>
      </c>
    </row>
    <row r="659" spans="1:7" ht="12" thickBot="1">
      <c r="A659" s="522" t="s">
        <v>1429</v>
      </c>
      <c r="B659" s="522" t="s">
        <v>436</v>
      </c>
      <c r="C659" s="522" t="s">
        <v>389</v>
      </c>
      <c r="D659" s="522" t="s">
        <v>1007</v>
      </c>
      <c r="E659" s="524">
        <v>1363</v>
      </c>
      <c r="F659" s="525">
        <v>30487</v>
      </c>
      <c r="G659" s="525">
        <v>14696.7</v>
      </c>
    </row>
    <row r="660" spans="1:7" ht="12" thickBot="1">
      <c r="A660" s="522" t="s">
        <v>1429</v>
      </c>
      <c r="B660" s="522" t="s">
        <v>436</v>
      </c>
      <c r="C660" s="522" t="s">
        <v>412</v>
      </c>
      <c r="D660" s="522" t="s">
        <v>1008</v>
      </c>
      <c r="E660" s="530">
        <v>4040</v>
      </c>
      <c r="F660" s="531">
        <v>126666</v>
      </c>
      <c r="G660" s="531">
        <v>45062.55</v>
      </c>
    </row>
    <row r="661" spans="1:7" ht="12" thickBot="1">
      <c r="A661" s="522" t="s">
        <v>1429</v>
      </c>
      <c r="B661" s="522" t="s">
        <v>436</v>
      </c>
      <c r="C661" s="522" t="s">
        <v>367</v>
      </c>
      <c r="D661" s="522" t="s">
        <v>1009</v>
      </c>
      <c r="E661" s="524">
        <v>292</v>
      </c>
      <c r="F661" s="525">
        <v>27556</v>
      </c>
      <c r="G661" s="525">
        <v>9665.2099999999991</v>
      </c>
    </row>
    <row r="662" spans="1:7" ht="12" thickBot="1">
      <c r="A662" s="522" t="s">
        <v>1429</v>
      </c>
      <c r="B662" s="522" t="s">
        <v>436</v>
      </c>
      <c r="C662" s="522" t="s">
        <v>330</v>
      </c>
      <c r="D662" s="522" t="s">
        <v>1010</v>
      </c>
      <c r="E662" s="530">
        <v>61</v>
      </c>
      <c r="F662" s="531">
        <v>17715</v>
      </c>
      <c r="G662" s="531">
        <v>3370.25</v>
      </c>
    </row>
    <row r="663" spans="1:7" ht="12" thickBot="1">
      <c r="A663" s="522" t="s">
        <v>1429</v>
      </c>
      <c r="B663" s="522" t="s">
        <v>436</v>
      </c>
      <c r="C663" s="522" t="s">
        <v>371</v>
      </c>
      <c r="D663" s="522" t="s">
        <v>1011</v>
      </c>
      <c r="E663" s="524">
        <v>3666</v>
      </c>
      <c r="F663" s="525">
        <v>57824</v>
      </c>
      <c r="G663" s="525">
        <v>38456.339999999997</v>
      </c>
    </row>
    <row r="664" spans="1:7" ht="12" thickBot="1">
      <c r="A664" s="522" t="s">
        <v>1429</v>
      </c>
      <c r="B664" s="522" t="s">
        <v>436</v>
      </c>
      <c r="C664" s="522" t="s">
        <v>380</v>
      </c>
      <c r="D664" s="522" t="s">
        <v>1012</v>
      </c>
      <c r="E664" s="530">
        <v>8799</v>
      </c>
      <c r="F664" s="531">
        <v>191984</v>
      </c>
      <c r="G664" s="531">
        <v>102098.17</v>
      </c>
    </row>
    <row r="665" spans="1:7" ht="12" thickBot="1">
      <c r="A665" s="522" t="s">
        <v>1429</v>
      </c>
      <c r="B665" s="522" t="s">
        <v>436</v>
      </c>
      <c r="C665" s="522" t="s">
        <v>403</v>
      </c>
      <c r="D665" s="522" t="s">
        <v>1013</v>
      </c>
      <c r="E665" s="524">
        <v>3375</v>
      </c>
      <c r="F665" s="525">
        <v>105591</v>
      </c>
      <c r="G665" s="525">
        <v>41512.5</v>
      </c>
    </row>
    <row r="666" spans="1:7" ht="12" thickBot="1">
      <c r="A666" s="522" t="s">
        <v>1429</v>
      </c>
      <c r="B666" s="522" t="s">
        <v>436</v>
      </c>
      <c r="C666" s="522" t="s">
        <v>360</v>
      </c>
      <c r="D666" s="522" t="s">
        <v>1014</v>
      </c>
      <c r="E666" s="530">
        <v>5183</v>
      </c>
      <c r="F666" s="531">
        <v>332928</v>
      </c>
      <c r="G666" s="531">
        <v>90202.37</v>
      </c>
    </row>
    <row r="667" spans="1:7" ht="12" thickBot="1">
      <c r="A667" s="522" t="s">
        <v>1429</v>
      </c>
      <c r="B667" s="522" t="s">
        <v>436</v>
      </c>
      <c r="C667" s="522" t="s">
        <v>392</v>
      </c>
      <c r="D667" s="522" t="s">
        <v>1015</v>
      </c>
      <c r="E667" s="524">
        <v>509</v>
      </c>
      <c r="F667" s="525">
        <v>63945</v>
      </c>
      <c r="G667" s="525">
        <v>12450.14</v>
      </c>
    </row>
    <row r="668" spans="1:7" ht="12" thickBot="1">
      <c r="A668" s="522" t="s">
        <v>1429</v>
      </c>
      <c r="B668" s="522" t="s">
        <v>436</v>
      </c>
      <c r="C668" s="522" t="s">
        <v>390</v>
      </c>
      <c r="D668" s="522" t="s">
        <v>1016</v>
      </c>
      <c r="E668" s="530">
        <v>4575</v>
      </c>
      <c r="F668" s="531">
        <v>100028</v>
      </c>
      <c r="G668" s="531">
        <v>76992.78</v>
      </c>
    </row>
    <row r="669" spans="1:7" ht="12" thickBot="1">
      <c r="A669" s="522" t="s">
        <v>1429</v>
      </c>
      <c r="B669" s="522" t="s">
        <v>436</v>
      </c>
      <c r="C669" s="522" t="s">
        <v>414</v>
      </c>
      <c r="D669" s="522" t="s">
        <v>1017</v>
      </c>
      <c r="E669" s="524">
        <v>1054</v>
      </c>
      <c r="F669" s="525">
        <v>32965</v>
      </c>
      <c r="G669" s="525">
        <v>22107.279999999999</v>
      </c>
    </row>
    <row r="670" spans="1:7" ht="12" thickBot="1">
      <c r="A670" s="522" t="s">
        <v>1429</v>
      </c>
      <c r="B670" s="522" t="s">
        <v>436</v>
      </c>
      <c r="C670" s="522" t="s">
        <v>364</v>
      </c>
      <c r="D670" s="522" t="s">
        <v>1018</v>
      </c>
      <c r="E670" s="530">
        <v>1407</v>
      </c>
      <c r="F670" s="531">
        <v>91132</v>
      </c>
      <c r="G670" s="531">
        <v>37792.03</v>
      </c>
    </row>
    <row r="671" spans="1:7" ht="12" thickBot="1">
      <c r="A671" s="522" t="s">
        <v>1429</v>
      </c>
      <c r="B671" s="522" t="s">
        <v>436</v>
      </c>
      <c r="C671" s="522" t="s">
        <v>396</v>
      </c>
      <c r="D671" s="522" t="s">
        <v>1019</v>
      </c>
      <c r="E671" s="524">
        <v>941</v>
      </c>
      <c r="F671" s="525">
        <v>120856</v>
      </c>
      <c r="G671" s="525">
        <v>31428.23</v>
      </c>
    </row>
    <row r="672" spans="1:7" ht="12" thickBot="1">
      <c r="A672" s="522" t="s">
        <v>1429</v>
      </c>
      <c r="B672" s="522" t="s">
        <v>436</v>
      </c>
      <c r="C672" s="522" t="s">
        <v>415</v>
      </c>
      <c r="D672" s="522" t="s">
        <v>1020</v>
      </c>
      <c r="E672" s="524">
        <v>11148</v>
      </c>
      <c r="F672" s="525">
        <v>350948</v>
      </c>
      <c r="G672" s="525">
        <v>99611.26</v>
      </c>
    </row>
    <row r="673" spans="1:18" ht="12" thickBot="1">
      <c r="A673" s="522" t="s">
        <v>1429</v>
      </c>
      <c r="B673" s="522" t="s">
        <v>436</v>
      </c>
      <c r="C673" s="522" t="s">
        <v>365</v>
      </c>
      <c r="D673" s="522" t="s">
        <v>1021</v>
      </c>
      <c r="E673" s="524">
        <v>6622</v>
      </c>
      <c r="F673" s="525">
        <v>432341</v>
      </c>
      <c r="G673" s="525">
        <v>89836.29</v>
      </c>
    </row>
    <row r="674" spans="1:18" ht="12" thickBot="1">
      <c r="A674" s="522" t="s">
        <v>1429</v>
      </c>
      <c r="B674" s="522" t="s">
        <v>436</v>
      </c>
      <c r="C674" s="522" t="s">
        <v>397</v>
      </c>
      <c r="D674" s="522" t="s">
        <v>1022</v>
      </c>
      <c r="E674" s="524">
        <v>8341</v>
      </c>
      <c r="F674" s="525">
        <v>1062610</v>
      </c>
      <c r="G674" s="525">
        <v>161978.04999999999</v>
      </c>
    </row>
    <row r="675" spans="1:18" ht="12" thickBot="1">
      <c r="A675" s="522" t="s">
        <v>1429</v>
      </c>
      <c r="B675" s="522" t="s">
        <v>436</v>
      </c>
      <c r="C675" s="522" t="s">
        <v>337</v>
      </c>
      <c r="D675" s="522" t="s">
        <v>1023</v>
      </c>
      <c r="E675" s="524">
        <v>61</v>
      </c>
      <c r="F675" s="525">
        <v>2533</v>
      </c>
      <c r="G675" s="525">
        <v>932.33</v>
      </c>
    </row>
    <row r="676" spans="1:18" ht="12" thickBot="1">
      <c r="A676" s="522" t="s">
        <v>1429</v>
      </c>
      <c r="B676" s="522" t="s">
        <v>436</v>
      </c>
      <c r="C676" s="522" t="s">
        <v>369</v>
      </c>
      <c r="D676" s="522" t="s">
        <v>1024</v>
      </c>
      <c r="E676" s="530">
        <v>319</v>
      </c>
      <c r="F676" s="531">
        <v>30179</v>
      </c>
      <c r="G676" s="531">
        <v>6992.84</v>
      </c>
    </row>
    <row r="677" spans="1:18" ht="12" thickBot="1">
      <c r="A677" s="522" t="s">
        <v>1429</v>
      </c>
      <c r="B677" s="522" t="s">
        <v>436</v>
      </c>
      <c r="C677" s="522" t="s">
        <v>715</v>
      </c>
      <c r="D677" s="522" t="s">
        <v>1025</v>
      </c>
      <c r="E677" s="524">
        <v>2</v>
      </c>
      <c r="F677" s="525">
        <v>45</v>
      </c>
      <c r="G677" s="525">
        <v>30.74</v>
      </c>
    </row>
    <row r="678" spans="1:18" ht="12" thickBot="1">
      <c r="A678" s="522" t="s">
        <v>1429</v>
      </c>
      <c r="B678" s="522" t="s">
        <v>436</v>
      </c>
      <c r="C678" s="522" t="s">
        <v>332</v>
      </c>
      <c r="D678" s="522" t="s">
        <v>1026</v>
      </c>
      <c r="E678" s="530">
        <v>43</v>
      </c>
      <c r="F678" s="531">
        <v>12493</v>
      </c>
      <c r="G678" s="531">
        <v>1965.11</v>
      </c>
    </row>
    <row r="679" spans="1:18" ht="12" thickBot="1">
      <c r="A679" s="522" t="s">
        <v>1429</v>
      </c>
      <c r="B679" s="522" t="s">
        <v>436</v>
      </c>
      <c r="C679" s="522" t="s">
        <v>334</v>
      </c>
      <c r="D679" s="522" t="s">
        <v>1027</v>
      </c>
      <c r="E679" s="524">
        <v>182</v>
      </c>
      <c r="F679" s="525">
        <v>7557</v>
      </c>
      <c r="G679" s="525">
        <v>5163.34</v>
      </c>
    </row>
    <row r="680" spans="1:18" ht="12" thickBot="1">
      <c r="A680" s="522" t="s">
        <v>1429</v>
      </c>
      <c r="B680" s="522" t="s">
        <v>436</v>
      </c>
      <c r="C680" s="522" t="s">
        <v>366</v>
      </c>
      <c r="D680" s="522" t="s">
        <v>1028</v>
      </c>
      <c r="E680" s="530">
        <v>654</v>
      </c>
      <c r="F680" s="531">
        <v>60888</v>
      </c>
      <c r="G680" s="531">
        <v>22243.39</v>
      </c>
    </row>
    <row r="681" spans="1:18" ht="12" thickBot="1">
      <c r="A681" s="522" t="s">
        <v>1429</v>
      </c>
      <c r="B681" s="522" t="s">
        <v>436</v>
      </c>
      <c r="C681" s="522" t="s">
        <v>329</v>
      </c>
      <c r="D681" s="522" t="s">
        <v>1029</v>
      </c>
      <c r="E681" s="524">
        <v>154</v>
      </c>
      <c r="F681" s="525">
        <v>44986</v>
      </c>
      <c r="G681" s="525">
        <v>9022.86</v>
      </c>
    </row>
    <row r="682" spans="1:18" ht="12" thickBot="1">
      <c r="A682" s="522" t="s">
        <v>1429</v>
      </c>
      <c r="B682" s="522" t="s">
        <v>436</v>
      </c>
      <c r="C682" s="522" t="s">
        <v>683</v>
      </c>
      <c r="D682" s="522" t="s">
        <v>1047</v>
      </c>
      <c r="E682" s="530">
        <v>15</v>
      </c>
      <c r="F682" s="531">
        <v>478</v>
      </c>
      <c r="G682" s="531">
        <v>230.25</v>
      </c>
      <c r="M682" s="564"/>
    </row>
    <row r="683" spans="1:18" ht="12" thickBot="1">
      <c r="A683" s="522" t="s">
        <v>1429</v>
      </c>
      <c r="B683" s="522" t="s">
        <v>436</v>
      </c>
      <c r="C683" s="522" t="s">
        <v>463</v>
      </c>
      <c r="D683" s="522" t="s">
        <v>1030</v>
      </c>
      <c r="E683" s="524">
        <v>26</v>
      </c>
      <c r="F683" s="525">
        <v>1698</v>
      </c>
      <c r="G683" s="525">
        <v>460.72</v>
      </c>
    </row>
    <row r="684" spans="1:18" ht="12" thickBot="1">
      <c r="A684" s="522" t="s">
        <v>1429</v>
      </c>
      <c r="B684" s="522" t="s">
        <v>436</v>
      </c>
      <c r="C684" s="522" t="s">
        <v>653</v>
      </c>
      <c r="D684" s="522" t="s">
        <v>1031</v>
      </c>
      <c r="E684" s="530">
        <v>25</v>
      </c>
      <c r="F684" s="531">
        <v>3854</v>
      </c>
      <c r="G684" s="531">
        <v>688.54</v>
      </c>
    </row>
    <row r="685" spans="1:18" ht="12" thickBot="1">
      <c r="A685" s="522" t="s">
        <v>1429</v>
      </c>
      <c r="B685" s="522" t="s">
        <v>436</v>
      </c>
      <c r="C685" s="543" t="s">
        <v>9</v>
      </c>
      <c r="D685" s="544"/>
      <c r="E685" s="539">
        <v>171446</v>
      </c>
      <c r="F685" s="540">
        <v>8383707</v>
      </c>
      <c r="G685" s="540">
        <v>2126022.8800000004</v>
      </c>
    </row>
    <row r="686" spans="1:18" ht="12" thickBot="1">
      <c r="A686" s="588" t="s">
        <v>1428</v>
      </c>
      <c r="B686" s="522" t="s">
        <v>436</v>
      </c>
      <c r="C686" s="522" t="s">
        <v>449</v>
      </c>
      <c r="D686" s="522" t="s">
        <v>448</v>
      </c>
      <c r="E686" s="524">
        <v>2</v>
      </c>
      <c r="F686" s="525">
        <v>138</v>
      </c>
      <c r="G686" s="525">
        <v>19.04</v>
      </c>
      <c r="H686" s="999"/>
      <c r="I686" s="999"/>
      <c r="J686" s="999"/>
      <c r="K686" s="999"/>
      <c r="L686" s="999"/>
      <c r="M686" s="847">
        <f>'12MonLights'!$O$793</f>
        <v>2026718.25</v>
      </c>
      <c r="N686" s="587" t="s">
        <v>1520</v>
      </c>
      <c r="O686" s="587"/>
      <c r="P686" s="587"/>
      <c r="Q686" s="587"/>
      <c r="R686" s="1004" t="s">
        <v>1525</v>
      </c>
    </row>
    <row r="687" spans="1:18" ht="12" thickBot="1">
      <c r="A687" s="588" t="s">
        <v>1428</v>
      </c>
      <c r="B687" s="522" t="s">
        <v>436</v>
      </c>
      <c r="C687" s="522" t="s">
        <v>447</v>
      </c>
      <c r="D687" s="522" t="s">
        <v>446</v>
      </c>
      <c r="E687" s="530">
        <v>1</v>
      </c>
      <c r="F687" s="531">
        <v>39</v>
      </c>
      <c r="G687" s="531">
        <v>6.9</v>
      </c>
      <c r="H687" s="999"/>
      <c r="I687" s="999"/>
      <c r="J687" s="999"/>
      <c r="K687" s="999"/>
      <c r="L687" s="999"/>
      <c r="M687" s="1005">
        <f>'12MonResults'!$AV$335</f>
        <v>916.49</v>
      </c>
      <c r="N687" s="587" t="s">
        <v>1521</v>
      </c>
      <c r="O687" s="587"/>
      <c r="P687" s="587"/>
      <c r="Q687" s="587"/>
      <c r="R687" s="587"/>
    </row>
    <row r="688" spans="1:18" ht="14.25" thickBot="1">
      <c r="A688" s="588" t="s">
        <v>1428</v>
      </c>
      <c r="B688" s="522" t="s">
        <v>436</v>
      </c>
      <c r="C688" s="522" t="s">
        <v>339</v>
      </c>
      <c r="D688" s="522" t="s">
        <v>952</v>
      </c>
      <c r="E688" s="1012">
        <v>172</v>
      </c>
      <c r="F688" s="525">
        <v>9472</v>
      </c>
      <c r="G688" s="525">
        <v>9513.85</v>
      </c>
      <c r="H688" s="999">
        <f t="shared" ref="H688:H719" si="14">SUMIF(_Lights_Tariff_Category,20140101&amp;$C688,_Lights_Rates)</f>
        <v>55.33</v>
      </c>
      <c r="I688" s="1008">
        <f>E688*H688</f>
        <v>9516.76</v>
      </c>
      <c r="J688" s="1005">
        <f>I688/$M690*$M691</f>
        <v>-54.542300261561337</v>
      </c>
      <c r="K688" s="1011">
        <f>ROUND((I688+J688)/H688,0)</f>
        <v>171</v>
      </c>
      <c r="L688" s="999">
        <f>$M691/H688</f>
        <v>-209.93114043014623</v>
      </c>
      <c r="M688" s="1007">
        <f>'12MonResults'!$AV$337</f>
        <v>10699.82</v>
      </c>
      <c r="N688" s="1006" t="s">
        <v>1522</v>
      </c>
      <c r="O688" s="587"/>
      <c r="P688" s="587"/>
      <c r="Q688" s="587"/>
      <c r="R688" s="587"/>
    </row>
    <row r="689" spans="1:18" ht="12" thickBot="1">
      <c r="A689" s="588" t="s">
        <v>1428</v>
      </c>
      <c r="B689" s="522" t="s">
        <v>436</v>
      </c>
      <c r="C689" s="522" t="s">
        <v>344</v>
      </c>
      <c r="D689" s="522" t="s">
        <v>953</v>
      </c>
      <c r="E689" s="1013">
        <v>26</v>
      </c>
      <c r="F689" s="531">
        <v>1414</v>
      </c>
      <c r="G689" s="531">
        <v>2186.46</v>
      </c>
      <c r="H689" s="999">
        <f t="shared" si="14"/>
        <v>83.16</v>
      </c>
      <c r="I689" s="1008">
        <f t="shared" ref="I689:I751" si="15">E689*H689</f>
        <v>2162.16</v>
      </c>
      <c r="J689" s="1005">
        <f>I689/$M690*$M691</f>
        <v>-12.39173625619827</v>
      </c>
      <c r="K689" s="1011">
        <f t="shared" ref="K689:K751" si="16">ROUND((I689+J689)/H689,0)</f>
        <v>26</v>
      </c>
      <c r="L689" s="999">
        <f>$M691/H689</f>
        <v>-139.67640692640683</v>
      </c>
      <c r="M689" s="1005">
        <f>M686-M687-M688</f>
        <v>2015101.94</v>
      </c>
      <c r="N689" s="587" t="s">
        <v>1523</v>
      </c>
      <c r="O689" s="587"/>
      <c r="P689" s="587"/>
      <c r="Q689" s="587"/>
      <c r="R689" s="587"/>
    </row>
    <row r="690" spans="1:18" ht="12" thickBot="1">
      <c r="A690" s="588" t="s">
        <v>1428</v>
      </c>
      <c r="B690" s="522" t="s">
        <v>436</v>
      </c>
      <c r="C690" s="522" t="s">
        <v>347</v>
      </c>
      <c r="D690" s="522" t="s">
        <v>954</v>
      </c>
      <c r="E690" s="1012">
        <v>40</v>
      </c>
      <c r="F690" s="525">
        <v>1744</v>
      </c>
      <c r="G690" s="525">
        <v>2361.6</v>
      </c>
      <c r="H690" s="999">
        <f t="shared" si="14"/>
        <v>59.78</v>
      </c>
      <c r="I690" s="1008">
        <f t="shared" si="15"/>
        <v>2391.1999999999998</v>
      </c>
      <c r="J690" s="1005">
        <f>I690/$M690*$M691</f>
        <v>-13.704406582223935</v>
      </c>
      <c r="K690" s="1011">
        <f t="shared" si="16"/>
        <v>40</v>
      </c>
      <c r="L690" s="999">
        <f>$M691/H690</f>
        <v>-194.30394780863148</v>
      </c>
      <c r="M690" s="1005">
        <f>I769</f>
        <v>2026717.43</v>
      </c>
      <c r="N690" s="587" t="s">
        <v>1524</v>
      </c>
      <c r="O690" s="587"/>
      <c r="P690" s="587"/>
      <c r="Q690" s="587"/>
      <c r="R690" s="587"/>
    </row>
    <row r="691" spans="1:18" ht="12" thickBot="1">
      <c r="A691" s="588" t="s">
        <v>1428</v>
      </c>
      <c r="B691" s="522" t="s">
        <v>436</v>
      </c>
      <c r="C691" s="522" t="s">
        <v>348</v>
      </c>
      <c r="D691" s="522" t="s">
        <v>955</v>
      </c>
      <c r="E691" s="1013">
        <v>5</v>
      </c>
      <c r="F691" s="531">
        <v>256</v>
      </c>
      <c r="G691" s="531">
        <v>297.85000000000002</v>
      </c>
      <c r="H691" s="999">
        <f t="shared" si="14"/>
        <v>61.75</v>
      </c>
      <c r="I691" s="1008">
        <f t="shared" si="15"/>
        <v>308.75</v>
      </c>
      <c r="J691" s="1005">
        <f>I691/$M690*$M691</f>
        <v>-1.7695029827122952</v>
      </c>
      <c r="K691" s="1011">
        <f t="shared" si="16"/>
        <v>5</v>
      </c>
      <c r="L691" s="999">
        <f>$M691/H691</f>
        <v>-188.10510121457474</v>
      </c>
      <c r="M691" s="1005">
        <f>M689-M690</f>
        <v>-11615.489999999991</v>
      </c>
      <c r="N691" s="587"/>
      <c r="O691" s="587"/>
      <c r="P691" s="587"/>
      <c r="Q691" s="587"/>
      <c r="R691" s="587"/>
    </row>
    <row r="692" spans="1:18" ht="12" thickBot="1">
      <c r="A692" s="588" t="s">
        <v>1428</v>
      </c>
      <c r="B692" s="522" t="s">
        <v>436</v>
      </c>
      <c r="C692" s="522" t="s">
        <v>349</v>
      </c>
      <c r="D692" s="522" t="s">
        <v>956</v>
      </c>
      <c r="E692" s="1012">
        <v>1</v>
      </c>
      <c r="F692" s="525">
        <v>51</v>
      </c>
      <c r="G692" s="525">
        <v>60.93</v>
      </c>
      <c r="H692" s="999">
        <f t="shared" si="14"/>
        <v>63.11</v>
      </c>
      <c r="I692" s="1008">
        <f t="shared" si="15"/>
        <v>63.11</v>
      </c>
      <c r="J692" s="1005">
        <f>I692/$M690*$M691</f>
        <v>-0.36169500644201763</v>
      </c>
      <c r="K692" s="1011">
        <f t="shared" si="16"/>
        <v>1</v>
      </c>
      <c r="L692" s="999">
        <f>$M691/H692</f>
        <v>-184.05149738551719</v>
      </c>
      <c r="M692" s="999"/>
      <c r="N692" s="587"/>
      <c r="O692" s="587"/>
      <c r="P692" s="587"/>
      <c r="Q692" s="587"/>
      <c r="R692" s="587"/>
    </row>
    <row r="693" spans="1:18" ht="12" thickBot="1">
      <c r="A693" s="588" t="s">
        <v>1428</v>
      </c>
      <c r="B693" s="522" t="s">
        <v>436</v>
      </c>
      <c r="C693" s="522" t="s">
        <v>351</v>
      </c>
      <c r="D693" s="522" t="s">
        <v>957</v>
      </c>
      <c r="E693" s="1013">
        <v>5</v>
      </c>
      <c r="F693" s="531">
        <v>258</v>
      </c>
      <c r="G693" s="531">
        <v>393.8</v>
      </c>
      <c r="H693" s="999">
        <f t="shared" si="14"/>
        <v>80.94</v>
      </c>
      <c r="I693" s="1008">
        <f t="shared" si="15"/>
        <v>404.7</v>
      </c>
      <c r="J693" s="1005">
        <f>I693/$M690*$M691</f>
        <v>-2.3194100634936543</v>
      </c>
      <c r="K693" s="1011">
        <f t="shared" si="16"/>
        <v>5</v>
      </c>
      <c r="L693" s="999">
        <f>$M691/H693</f>
        <v>-143.50741289844319</v>
      </c>
      <c r="M693" s="999"/>
      <c r="N693" s="587"/>
      <c r="O693" s="587"/>
      <c r="P693" s="587"/>
      <c r="Q693" s="587"/>
      <c r="R693" s="587"/>
    </row>
    <row r="694" spans="1:18" ht="12" thickBot="1">
      <c r="A694" s="588" t="s">
        <v>1428</v>
      </c>
      <c r="B694" s="522" t="s">
        <v>436</v>
      </c>
      <c r="C694" s="522" t="s">
        <v>352</v>
      </c>
      <c r="D694" s="522" t="s">
        <v>958</v>
      </c>
      <c r="E694" s="1012">
        <v>10</v>
      </c>
      <c r="F694" s="525">
        <v>517</v>
      </c>
      <c r="G694" s="525">
        <v>767.9</v>
      </c>
      <c r="H694" s="999">
        <f t="shared" si="14"/>
        <v>78.97</v>
      </c>
      <c r="I694" s="1008">
        <f t="shared" si="15"/>
        <v>789.7</v>
      </c>
      <c r="J694" s="1005">
        <f>I694/$M690*$M691</f>
        <v>-4.5259158071187029</v>
      </c>
      <c r="K694" s="1011">
        <f t="shared" si="16"/>
        <v>10</v>
      </c>
      <c r="L694" s="999">
        <f>$M691/H694</f>
        <v>-147.0873749525135</v>
      </c>
      <c r="M694" s="999"/>
      <c r="N694" s="587"/>
      <c r="O694" s="587"/>
      <c r="P694" s="587"/>
      <c r="Q694" s="587"/>
      <c r="R694" s="587"/>
    </row>
    <row r="695" spans="1:18" ht="12" thickBot="1">
      <c r="A695" s="588" t="s">
        <v>1428</v>
      </c>
      <c r="B695" s="522" t="s">
        <v>436</v>
      </c>
      <c r="C695" s="522" t="s">
        <v>354</v>
      </c>
      <c r="D695" s="522" t="s">
        <v>959</v>
      </c>
      <c r="E695" s="1013">
        <v>24</v>
      </c>
      <c r="F695" s="531">
        <v>1257</v>
      </c>
      <c r="G695" s="531">
        <v>1476.25</v>
      </c>
      <c r="H695" s="999">
        <f t="shared" si="14"/>
        <v>61.230000000000004</v>
      </c>
      <c r="I695" s="1008">
        <f t="shared" si="15"/>
        <v>1469.52</v>
      </c>
      <c r="J695" s="1005">
        <f>I695/$M690*$M691</f>
        <v>-8.4220891438230669</v>
      </c>
      <c r="K695" s="1011">
        <f t="shared" si="16"/>
        <v>24</v>
      </c>
      <c r="L695" s="999">
        <f>$M691/H695</f>
        <v>-189.70259676629087</v>
      </c>
      <c r="M695" s="999"/>
      <c r="N695" s="587"/>
      <c r="O695" s="587"/>
      <c r="P695" s="587"/>
      <c r="Q695" s="587"/>
      <c r="R695" s="587"/>
    </row>
    <row r="696" spans="1:18" ht="12" thickBot="1">
      <c r="A696" s="588" t="s">
        <v>1428</v>
      </c>
      <c r="B696" s="522" t="s">
        <v>436</v>
      </c>
      <c r="C696" s="522" t="s">
        <v>355</v>
      </c>
      <c r="D696" s="522" t="s">
        <v>960</v>
      </c>
      <c r="E696" s="1012">
        <v>1</v>
      </c>
      <c r="F696" s="525">
        <v>51</v>
      </c>
      <c r="G696" s="525">
        <v>54.51</v>
      </c>
      <c r="H696" s="999">
        <f t="shared" si="14"/>
        <v>56.69</v>
      </c>
      <c r="I696" s="1008">
        <f t="shared" si="15"/>
        <v>56.69</v>
      </c>
      <c r="J696" s="1005">
        <f>I696/$M690*$M691</f>
        <v>-0.32490080676910127</v>
      </c>
      <c r="K696" s="1011">
        <f t="shared" si="16"/>
        <v>1</v>
      </c>
      <c r="L696" s="999">
        <f>$M691/H696</f>
        <v>-204.89486681954475</v>
      </c>
      <c r="M696" s="999"/>
      <c r="N696" s="587"/>
      <c r="O696" s="587"/>
      <c r="P696" s="587"/>
      <c r="Q696" s="587"/>
      <c r="R696" s="587"/>
    </row>
    <row r="697" spans="1:18" ht="12" thickBot="1">
      <c r="A697" s="588" t="s">
        <v>1428</v>
      </c>
      <c r="B697" s="522" t="s">
        <v>436</v>
      </c>
      <c r="C697" s="522" t="s">
        <v>341</v>
      </c>
      <c r="D697" s="522" t="s">
        <v>961</v>
      </c>
      <c r="E697" s="1013">
        <v>16</v>
      </c>
      <c r="F697" s="531">
        <v>835</v>
      </c>
      <c r="G697" s="531">
        <v>1157.44</v>
      </c>
      <c r="H697" s="999">
        <f t="shared" si="14"/>
        <v>74.52</v>
      </c>
      <c r="I697" s="1008">
        <f t="shared" si="15"/>
        <v>1192.32</v>
      </c>
      <c r="J697" s="1005">
        <f>I697/$M690*$M691</f>
        <v>-6.833405008413032</v>
      </c>
      <c r="K697" s="1011">
        <f t="shared" si="16"/>
        <v>16</v>
      </c>
      <c r="L697" s="999">
        <f>$M691/H697</f>
        <v>-155.87077294685977</v>
      </c>
      <c r="M697" s="999"/>
      <c r="N697" s="587"/>
      <c r="O697" s="587"/>
      <c r="P697" s="587"/>
      <c r="Q697" s="587"/>
      <c r="R697" s="587"/>
    </row>
    <row r="698" spans="1:18" ht="12" thickBot="1">
      <c r="A698" s="588" t="s">
        <v>1428</v>
      </c>
      <c r="B698" s="522" t="s">
        <v>436</v>
      </c>
      <c r="C698" s="522" t="s">
        <v>350</v>
      </c>
      <c r="D698" s="522" t="s">
        <v>962</v>
      </c>
      <c r="E698" s="1012">
        <v>1</v>
      </c>
      <c r="F698" s="525">
        <v>51</v>
      </c>
      <c r="G698" s="525">
        <v>80.12</v>
      </c>
      <c r="H698" s="999">
        <f t="shared" si="14"/>
        <v>82.3</v>
      </c>
      <c r="I698" s="1008">
        <f t="shared" si="15"/>
        <v>82.3</v>
      </c>
      <c r="J698" s="1005">
        <f>I698/$M690*$M691</f>
        <v>-0.47167642259828957</v>
      </c>
      <c r="K698" s="1011">
        <f t="shared" si="16"/>
        <v>1</v>
      </c>
      <c r="L698" s="999">
        <f>$M691/H698</f>
        <v>-141.1359659781287</v>
      </c>
      <c r="M698" s="999"/>
      <c r="N698" s="587"/>
      <c r="O698" s="587"/>
      <c r="P698" s="587"/>
      <c r="Q698" s="587"/>
      <c r="R698" s="587"/>
    </row>
    <row r="699" spans="1:18" ht="12" thickBot="1">
      <c r="A699" s="588" t="s">
        <v>1428</v>
      </c>
      <c r="B699" s="522" t="s">
        <v>436</v>
      </c>
      <c r="C699" s="522" t="s">
        <v>342</v>
      </c>
      <c r="D699" s="522" t="s">
        <v>963</v>
      </c>
      <c r="E699" s="1013">
        <v>19</v>
      </c>
      <c r="F699" s="531">
        <v>1060</v>
      </c>
      <c r="G699" s="531">
        <v>1446.8</v>
      </c>
      <c r="H699" s="999">
        <f t="shared" si="14"/>
        <v>74.52</v>
      </c>
      <c r="I699" s="1008">
        <f t="shared" si="15"/>
        <v>1415.8799999999999</v>
      </c>
      <c r="J699" s="1005">
        <f>I699/$M690*$M691</f>
        <v>-8.1146684474904767</v>
      </c>
      <c r="K699" s="1011">
        <f t="shared" si="16"/>
        <v>19</v>
      </c>
      <c r="L699" s="999">
        <f>$M691/H699</f>
        <v>-155.87077294685977</v>
      </c>
      <c r="M699" s="999"/>
      <c r="N699" s="587"/>
      <c r="O699" s="587"/>
      <c r="P699" s="587"/>
      <c r="Q699" s="587"/>
      <c r="R699" s="587"/>
    </row>
    <row r="700" spans="1:18" ht="12" thickBot="1">
      <c r="A700" s="588" t="s">
        <v>1428</v>
      </c>
      <c r="B700" s="522" t="s">
        <v>436</v>
      </c>
      <c r="C700" s="522" t="s">
        <v>346</v>
      </c>
      <c r="D700" s="522" t="s">
        <v>964</v>
      </c>
      <c r="E700" s="1012">
        <v>4</v>
      </c>
      <c r="F700" s="525">
        <v>209</v>
      </c>
      <c r="G700" s="525">
        <v>294.8</v>
      </c>
      <c r="H700" s="999">
        <f t="shared" si="14"/>
        <v>75.88</v>
      </c>
      <c r="I700" s="1008">
        <f t="shared" si="15"/>
        <v>303.52</v>
      </c>
      <c r="J700" s="1005">
        <f>I700/$M690*$M691</f>
        <v>-1.7395288917014924</v>
      </c>
      <c r="K700" s="1011">
        <f t="shared" si="16"/>
        <v>4</v>
      </c>
      <c r="L700" s="999">
        <f>$M691/H700</f>
        <v>-153.07709541381118</v>
      </c>
      <c r="M700" s="999"/>
      <c r="N700" s="587"/>
      <c r="O700" s="587"/>
      <c r="P700" s="587"/>
      <c r="Q700" s="587"/>
      <c r="R700" s="587"/>
    </row>
    <row r="701" spans="1:18" ht="12" thickBot="1">
      <c r="A701" s="588" t="s">
        <v>1428</v>
      </c>
      <c r="B701" s="522" t="s">
        <v>436</v>
      </c>
      <c r="C701" s="522" t="s">
        <v>353</v>
      </c>
      <c r="D701" s="522" t="s">
        <v>965</v>
      </c>
      <c r="E701" s="1013">
        <v>3</v>
      </c>
      <c r="F701" s="531">
        <v>159</v>
      </c>
      <c r="G701" s="531">
        <v>230.37</v>
      </c>
      <c r="H701" s="999">
        <f t="shared" si="14"/>
        <v>78.97</v>
      </c>
      <c r="I701" s="1008">
        <f t="shared" si="15"/>
        <v>236.91</v>
      </c>
      <c r="J701" s="1005">
        <f>I701/$M690*$M691</f>
        <v>-1.3577747421356108</v>
      </c>
      <c r="K701" s="1011">
        <f t="shared" si="16"/>
        <v>3</v>
      </c>
      <c r="L701" s="999">
        <f>$M691/H701</f>
        <v>-147.0873749525135</v>
      </c>
      <c r="M701" s="999"/>
      <c r="N701" s="587"/>
      <c r="O701" s="587"/>
      <c r="P701" s="587"/>
      <c r="Q701" s="587"/>
      <c r="R701" s="587"/>
    </row>
    <row r="702" spans="1:18" ht="12" thickBot="1">
      <c r="A702" s="588" t="s">
        <v>1428</v>
      </c>
      <c r="B702" s="522" t="s">
        <v>436</v>
      </c>
      <c r="C702" s="522" t="s">
        <v>345</v>
      </c>
      <c r="D702" s="522" t="s">
        <v>966</v>
      </c>
      <c r="E702" s="1012">
        <v>2</v>
      </c>
      <c r="F702" s="525">
        <v>106</v>
      </c>
      <c r="G702" s="525">
        <v>150.16</v>
      </c>
      <c r="H702" s="999">
        <f t="shared" si="14"/>
        <v>77.259999999999991</v>
      </c>
      <c r="I702" s="1008">
        <f t="shared" si="15"/>
        <v>154.51999999999998</v>
      </c>
      <c r="J702" s="1005">
        <f>I702/$M690*$M691</f>
        <v>-0.88558251299985036</v>
      </c>
      <c r="K702" s="1011">
        <f t="shared" si="16"/>
        <v>2</v>
      </c>
      <c r="L702" s="999">
        <f>$M691/H702</f>
        <v>-150.34286823712131</v>
      </c>
      <c r="M702" s="999"/>
      <c r="N702" s="587"/>
      <c r="O702" s="587"/>
      <c r="P702" s="587"/>
      <c r="Q702" s="587"/>
      <c r="R702" s="587"/>
    </row>
    <row r="703" spans="1:18" ht="12" thickBot="1">
      <c r="A703" s="588" t="s">
        <v>1428</v>
      </c>
      <c r="B703" s="522" t="s">
        <v>436</v>
      </c>
      <c r="C703" s="522" t="s">
        <v>343</v>
      </c>
      <c r="D703" s="522" t="s">
        <v>967</v>
      </c>
      <c r="E703" s="1013">
        <v>49</v>
      </c>
      <c r="F703" s="531">
        <v>2686</v>
      </c>
      <c r="G703" s="531">
        <v>3162.51</v>
      </c>
      <c r="H703" s="999">
        <f t="shared" si="14"/>
        <v>64.19</v>
      </c>
      <c r="I703" s="1008">
        <f t="shared" si="15"/>
        <v>3145.31</v>
      </c>
      <c r="J703" s="1005">
        <f>I703/$M690*$M691</f>
        <v>-18.026349559691688</v>
      </c>
      <c r="K703" s="1011">
        <f t="shared" si="16"/>
        <v>49</v>
      </c>
      <c r="L703" s="999">
        <f>$M691/H703</f>
        <v>-180.95482162330566</v>
      </c>
      <c r="M703" s="999"/>
      <c r="N703" s="587"/>
      <c r="O703" s="587"/>
      <c r="P703" s="587"/>
      <c r="Q703" s="587"/>
      <c r="R703" s="587"/>
    </row>
    <row r="704" spans="1:18" ht="12" thickBot="1">
      <c r="A704" s="588" t="s">
        <v>1428</v>
      </c>
      <c r="B704" s="522" t="s">
        <v>436</v>
      </c>
      <c r="C704" s="522" t="s">
        <v>472</v>
      </c>
      <c r="D704" s="522" t="s">
        <v>968</v>
      </c>
      <c r="E704" s="1012">
        <v>2</v>
      </c>
      <c r="F704" s="525">
        <v>102</v>
      </c>
      <c r="G704" s="525">
        <v>147.44</v>
      </c>
      <c r="H704" s="999">
        <f t="shared" si="14"/>
        <v>75.899999999999991</v>
      </c>
      <c r="I704" s="1008">
        <f t="shared" si="15"/>
        <v>151.79999999999998</v>
      </c>
      <c r="J704" s="1005">
        <f>I704/$M690*$M691</f>
        <v>-0.86999369320073328</v>
      </c>
      <c r="K704" s="1011">
        <f t="shared" si="16"/>
        <v>2</v>
      </c>
      <c r="L704" s="999">
        <f>$M691/H704</f>
        <v>-153.03675889328053</v>
      </c>
      <c r="M704" s="999"/>
      <c r="N704" s="587"/>
      <c r="O704" s="587"/>
      <c r="P704" s="587"/>
      <c r="Q704" s="587"/>
      <c r="R704" s="587"/>
    </row>
    <row r="705" spans="1:18" ht="12" thickBot="1">
      <c r="A705" s="588" t="s">
        <v>1428</v>
      </c>
      <c r="B705" s="522" t="s">
        <v>436</v>
      </c>
      <c r="C705" s="522" t="s">
        <v>382</v>
      </c>
      <c r="D705" s="522" t="s">
        <v>969</v>
      </c>
      <c r="E705" s="1013">
        <f>51-1</f>
        <v>50</v>
      </c>
      <c r="F705" s="531">
        <v>1320</v>
      </c>
      <c r="G705" s="531">
        <v>752.44</v>
      </c>
      <c r="H705" s="999">
        <f t="shared" si="14"/>
        <v>14.860000000000001</v>
      </c>
      <c r="I705" s="1008">
        <f t="shared" si="15"/>
        <v>743.00000000000011</v>
      </c>
      <c r="J705" s="1005">
        <f>I705/$M690*$M691</f>
        <v>-4.2582695260088599</v>
      </c>
      <c r="K705" s="1011">
        <f t="shared" si="16"/>
        <v>50</v>
      </c>
      <c r="L705" s="999">
        <f>$M691/H705</f>
        <v>-781.66150740242188</v>
      </c>
      <c r="M705" s="999"/>
      <c r="N705" s="587"/>
      <c r="O705" s="587"/>
      <c r="P705" s="587"/>
      <c r="Q705" s="587"/>
      <c r="R705" s="587"/>
    </row>
    <row r="706" spans="1:18" ht="12" thickBot="1">
      <c r="A706" s="588" t="s">
        <v>1428</v>
      </c>
      <c r="B706" s="522" t="s">
        <v>436</v>
      </c>
      <c r="C706" s="522" t="s">
        <v>402</v>
      </c>
      <c r="D706" s="522" t="s">
        <v>970</v>
      </c>
      <c r="E706" s="1012">
        <v>7165</v>
      </c>
      <c r="F706" s="525">
        <v>480554</v>
      </c>
      <c r="G706" s="525">
        <v>75788</v>
      </c>
      <c r="H706" s="999">
        <f t="shared" si="14"/>
        <v>10.570000000000002</v>
      </c>
      <c r="I706" s="1008">
        <f t="shared" si="15"/>
        <v>75734.050000000017</v>
      </c>
      <c r="J706" s="1005">
        <f>I706/$M690*$M691</f>
        <v>-434.04575665710814</v>
      </c>
      <c r="K706" s="1011">
        <f t="shared" si="16"/>
        <v>7124</v>
      </c>
      <c r="L706" s="999">
        <f>$M691/H706</f>
        <v>-1098.9110690633859</v>
      </c>
      <c r="M706" s="999"/>
      <c r="N706" s="587"/>
      <c r="O706" s="587"/>
      <c r="P706" s="587"/>
      <c r="Q706" s="587"/>
      <c r="R706" s="587"/>
    </row>
    <row r="707" spans="1:18" ht="12" thickBot="1">
      <c r="A707" s="588" t="s">
        <v>1428</v>
      </c>
      <c r="B707" s="522" t="s">
        <v>436</v>
      </c>
      <c r="C707" s="522" t="s">
        <v>398</v>
      </c>
      <c r="D707" s="522" t="s">
        <v>971</v>
      </c>
      <c r="E707" s="1012">
        <v>134</v>
      </c>
      <c r="F707" s="525">
        <v>20827</v>
      </c>
      <c r="G707" s="525">
        <v>1573</v>
      </c>
      <c r="H707" s="999">
        <f t="shared" si="14"/>
        <v>11.71</v>
      </c>
      <c r="I707" s="1008">
        <f t="shared" si="15"/>
        <v>1569.14</v>
      </c>
      <c r="J707" s="1005">
        <f>I707/$M690*$M691</f>
        <v>-8.9930296689657361</v>
      </c>
      <c r="K707" s="1011">
        <f t="shared" si="16"/>
        <v>133</v>
      </c>
      <c r="L707" s="999">
        <f>$M691/H707</f>
        <v>-991.92912040990518</v>
      </c>
      <c r="M707" s="999"/>
      <c r="N707" s="587"/>
      <c r="O707" s="587"/>
      <c r="P707" s="587"/>
      <c r="Q707" s="587"/>
      <c r="R707" s="587"/>
    </row>
    <row r="708" spans="1:18" ht="12" thickBot="1">
      <c r="A708" s="588" t="s">
        <v>1428</v>
      </c>
      <c r="B708" s="522" t="s">
        <v>436</v>
      </c>
      <c r="C708" s="522" t="s">
        <v>376</v>
      </c>
      <c r="D708" s="522" t="s">
        <v>972</v>
      </c>
      <c r="E708" s="1012">
        <v>236</v>
      </c>
      <c r="F708" s="525">
        <v>4264</v>
      </c>
      <c r="G708" s="525">
        <v>4790.3999999999996</v>
      </c>
      <c r="H708" s="999">
        <f t="shared" si="14"/>
        <v>20.259999999999998</v>
      </c>
      <c r="I708" s="1008">
        <f t="shared" si="15"/>
        <v>4781.3599999999997</v>
      </c>
      <c r="J708" s="1005">
        <f>I708/$M690*$M691</f>
        <v>-27.402852733348208</v>
      </c>
      <c r="K708" s="1011">
        <f t="shared" si="16"/>
        <v>235</v>
      </c>
      <c r="L708" s="999">
        <f>$M691/H708</f>
        <v>-573.32132280355336</v>
      </c>
      <c r="M708" s="999"/>
      <c r="N708" s="587"/>
      <c r="O708" s="587"/>
      <c r="P708" s="587"/>
      <c r="Q708" s="587"/>
      <c r="R708" s="587"/>
    </row>
    <row r="709" spans="1:18" ht="12" thickBot="1">
      <c r="A709" s="588" t="s">
        <v>1428</v>
      </c>
      <c r="B709" s="522" t="s">
        <v>436</v>
      </c>
      <c r="C709" s="522" t="s">
        <v>384</v>
      </c>
      <c r="D709" s="522" t="s">
        <v>973</v>
      </c>
      <c r="E709" s="1013">
        <v>142</v>
      </c>
      <c r="F709" s="531">
        <v>3700</v>
      </c>
      <c r="G709" s="531">
        <v>3043.55</v>
      </c>
      <c r="H709" s="999">
        <f t="shared" si="14"/>
        <v>21.38</v>
      </c>
      <c r="I709" s="1008">
        <f t="shared" si="15"/>
        <v>3035.96</v>
      </c>
      <c r="J709" s="1005">
        <f>I709/$M690*$M691</f>
        <v>-17.399644616664681</v>
      </c>
      <c r="K709" s="1011">
        <f t="shared" si="16"/>
        <v>141</v>
      </c>
      <c r="L709" s="999">
        <f>$M691/H709</f>
        <v>-543.28765201122508</v>
      </c>
      <c r="M709" s="999"/>
      <c r="N709" s="587"/>
      <c r="O709" s="587"/>
      <c r="P709" s="587"/>
      <c r="Q709" s="587"/>
      <c r="R709" s="587"/>
    </row>
    <row r="710" spans="1:18" ht="12" thickBot="1">
      <c r="A710" s="588" t="s">
        <v>1428</v>
      </c>
      <c r="B710" s="522" t="s">
        <v>436</v>
      </c>
      <c r="C710" s="522" t="s">
        <v>386</v>
      </c>
      <c r="D710" s="522" t="s">
        <v>974</v>
      </c>
      <c r="E710" s="1012">
        <v>28</v>
      </c>
      <c r="F710" s="525">
        <v>669</v>
      </c>
      <c r="G710" s="525">
        <v>852.6</v>
      </c>
      <c r="H710" s="999">
        <f t="shared" si="14"/>
        <v>30.84</v>
      </c>
      <c r="I710" s="1008">
        <f t="shared" si="15"/>
        <v>863.52</v>
      </c>
      <c r="J710" s="1005">
        <f>I710/$M690*$M691</f>
        <v>-4.9489917915197443</v>
      </c>
      <c r="K710" s="1011">
        <f t="shared" si="16"/>
        <v>28</v>
      </c>
      <c r="L710" s="999">
        <f>$M691/H710</f>
        <v>-376.63715953307366</v>
      </c>
      <c r="M710" s="999"/>
      <c r="N710" s="587"/>
      <c r="O710" s="587"/>
      <c r="P710" s="587"/>
      <c r="Q710" s="587"/>
      <c r="R710" s="587"/>
    </row>
    <row r="711" spans="1:18" ht="12" thickBot="1">
      <c r="A711" s="588" t="s">
        <v>1428</v>
      </c>
      <c r="B711" s="522" t="s">
        <v>436</v>
      </c>
      <c r="C711" s="522" t="s">
        <v>409</v>
      </c>
      <c r="D711" s="522" t="s">
        <v>975</v>
      </c>
      <c r="E711" s="1013">
        <v>95</v>
      </c>
      <c r="F711" s="531">
        <v>3442</v>
      </c>
      <c r="G711" s="531">
        <v>2967.36</v>
      </c>
      <c r="H711" s="999">
        <f t="shared" si="14"/>
        <v>31.22</v>
      </c>
      <c r="I711" s="1008">
        <f t="shared" si="15"/>
        <v>2965.9</v>
      </c>
      <c r="J711" s="1005">
        <f>I711/$M690*$M691</f>
        <v>-16.998117883162415</v>
      </c>
      <c r="K711" s="1011">
        <f t="shared" si="16"/>
        <v>94</v>
      </c>
      <c r="L711" s="999">
        <f>$M691/H711</f>
        <v>-372.05285073670694</v>
      </c>
      <c r="M711" s="999"/>
      <c r="N711" s="587"/>
      <c r="O711" s="587"/>
      <c r="P711" s="587"/>
      <c r="Q711" s="587"/>
      <c r="R711" s="587"/>
    </row>
    <row r="712" spans="1:18" ht="12" thickBot="1">
      <c r="A712" s="588" t="s">
        <v>1428</v>
      </c>
      <c r="B712" s="522" t="s">
        <v>436</v>
      </c>
      <c r="C712" s="522" t="s">
        <v>387</v>
      </c>
      <c r="D712" s="522" t="s">
        <v>976</v>
      </c>
      <c r="E712" s="1012">
        <v>21</v>
      </c>
      <c r="F712" s="525">
        <v>529</v>
      </c>
      <c r="G712" s="525">
        <v>639.45000000000005</v>
      </c>
      <c r="H712" s="999">
        <f t="shared" si="14"/>
        <v>30.84</v>
      </c>
      <c r="I712" s="1008">
        <f t="shared" si="15"/>
        <v>647.64</v>
      </c>
      <c r="J712" s="1005">
        <f>I712/$M690*$M691</f>
        <v>-3.7117438436398085</v>
      </c>
      <c r="K712" s="1011">
        <f t="shared" si="16"/>
        <v>21</v>
      </c>
      <c r="L712" s="999">
        <f>$M691/H712</f>
        <v>-376.63715953307366</v>
      </c>
      <c r="M712" s="999"/>
      <c r="N712" s="587"/>
      <c r="O712" s="587"/>
      <c r="P712" s="587"/>
      <c r="Q712" s="587"/>
      <c r="R712" s="587"/>
    </row>
    <row r="713" spans="1:18" ht="12" thickBot="1">
      <c r="A713" s="588" t="s">
        <v>1428</v>
      </c>
      <c r="B713" s="522" t="s">
        <v>436</v>
      </c>
      <c r="C713" s="522" t="s">
        <v>410</v>
      </c>
      <c r="D713" s="522" t="s">
        <v>977</v>
      </c>
      <c r="E713" s="1013">
        <v>10</v>
      </c>
      <c r="F713" s="531">
        <v>355</v>
      </c>
      <c r="G713" s="531">
        <v>309.10000000000002</v>
      </c>
      <c r="H713" s="999">
        <f t="shared" si="14"/>
        <v>31.22</v>
      </c>
      <c r="I713" s="1008">
        <f t="shared" si="15"/>
        <v>312.2</v>
      </c>
      <c r="J713" s="1005">
        <f>I713/$M690*$M691</f>
        <v>-1.7892755666486753</v>
      </c>
      <c r="K713" s="1011">
        <f t="shared" si="16"/>
        <v>10</v>
      </c>
      <c r="L713" s="999">
        <f>$M691/H713</f>
        <v>-372.05285073670694</v>
      </c>
      <c r="M713" s="999"/>
      <c r="N713" s="587"/>
      <c r="O713" s="587"/>
      <c r="P713" s="587"/>
      <c r="Q713" s="587"/>
      <c r="R713" s="587"/>
    </row>
    <row r="714" spans="1:18" ht="12" thickBot="1">
      <c r="A714" s="588" t="s">
        <v>1428</v>
      </c>
      <c r="B714" s="522" t="s">
        <v>436</v>
      </c>
      <c r="C714" s="522" t="s">
        <v>405</v>
      </c>
      <c r="D714" s="522" t="s">
        <v>978</v>
      </c>
      <c r="E714" s="1012">
        <v>448</v>
      </c>
      <c r="F714" s="525">
        <v>16477</v>
      </c>
      <c r="G714" s="525">
        <v>6874.84</v>
      </c>
      <c r="H714" s="999">
        <f t="shared" si="14"/>
        <v>15.360000000000001</v>
      </c>
      <c r="I714" s="1008">
        <f t="shared" si="15"/>
        <v>6881.2800000000007</v>
      </c>
      <c r="J714" s="1005">
        <f>I714/$M690*$M691</f>
        <v>-39.437880112966681</v>
      </c>
      <c r="K714" s="1011">
        <f t="shared" si="16"/>
        <v>445</v>
      </c>
      <c r="L714" s="999">
        <f>$M691/H714</f>
        <v>-756.21679687499932</v>
      </c>
      <c r="M714" s="999"/>
      <c r="N714" s="587"/>
      <c r="O714" s="587"/>
      <c r="P714" s="587"/>
      <c r="Q714" s="587"/>
      <c r="R714" s="587"/>
    </row>
    <row r="715" spans="1:18" ht="12" thickBot="1">
      <c r="A715" s="588" t="s">
        <v>1428</v>
      </c>
      <c r="B715" s="522" t="s">
        <v>436</v>
      </c>
      <c r="C715" s="522" t="s">
        <v>326</v>
      </c>
      <c r="D715" s="522" t="s">
        <v>979</v>
      </c>
      <c r="E715" s="1013">
        <v>5</v>
      </c>
      <c r="F715" s="531">
        <v>152</v>
      </c>
      <c r="G715" s="531">
        <v>16.399999999999999</v>
      </c>
      <c r="H715" s="999">
        <f t="shared" si="14"/>
        <v>3.39</v>
      </c>
      <c r="I715" s="1008">
        <f t="shared" si="15"/>
        <v>16.95</v>
      </c>
      <c r="J715" s="1005">
        <f>I715/$M690*$M691</f>
        <v>-9.7143564556998865E-2</v>
      </c>
      <c r="K715" s="1011">
        <f t="shared" si="16"/>
        <v>5</v>
      </c>
      <c r="L715" s="999">
        <f>$M691/H715</f>
        <v>-3426.3982300884927</v>
      </c>
      <c r="M715" s="999"/>
      <c r="N715" s="587"/>
      <c r="O715" s="587"/>
      <c r="P715" s="587"/>
      <c r="Q715" s="587"/>
      <c r="R715" s="587"/>
    </row>
    <row r="716" spans="1:18" ht="12" thickBot="1">
      <c r="A716" s="588" t="s">
        <v>1428</v>
      </c>
      <c r="B716" s="522" t="s">
        <v>436</v>
      </c>
      <c r="C716" s="522" t="s">
        <v>356</v>
      </c>
      <c r="D716" s="522" t="s">
        <v>980</v>
      </c>
      <c r="E716" s="1012">
        <v>680</v>
      </c>
      <c r="F716" s="525">
        <v>42982</v>
      </c>
      <c r="G716" s="525">
        <v>3090.62</v>
      </c>
      <c r="H716" s="999">
        <f t="shared" si="14"/>
        <v>4.5400000000000009</v>
      </c>
      <c r="I716" s="1008">
        <f t="shared" si="15"/>
        <v>3087.2000000000007</v>
      </c>
      <c r="J716" s="1005">
        <f>I716/$M690*$M691</f>
        <v>-17.693310471998053</v>
      </c>
      <c r="K716" s="1011">
        <f t="shared" si="16"/>
        <v>676</v>
      </c>
      <c r="L716" s="999">
        <f>$M691/H716</f>
        <v>-2558.4779735682791</v>
      </c>
      <c r="M716" s="999"/>
      <c r="N716" s="587"/>
      <c r="O716" s="587"/>
      <c r="P716" s="587"/>
      <c r="Q716" s="587"/>
      <c r="R716" s="587"/>
    </row>
    <row r="717" spans="1:18" ht="12" thickBot="1">
      <c r="A717" s="588" t="s">
        <v>1428</v>
      </c>
      <c r="B717" s="522" t="s">
        <v>436</v>
      </c>
      <c r="C717" s="522" t="s">
        <v>374</v>
      </c>
      <c r="D717" s="522" t="s">
        <v>981</v>
      </c>
      <c r="E717" s="1013">
        <v>134</v>
      </c>
      <c r="F717" s="531">
        <v>12828</v>
      </c>
      <c r="G717" s="531">
        <v>906.59</v>
      </c>
      <c r="H717" s="999">
        <f t="shared" si="14"/>
        <v>6.78</v>
      </c>
      <c r="I717" s="1008">
        <f t="shared" si="15"/>
        <v>908.52</v>
      </c>
      <c r="J717" s="1005">
        <f>I717/$M690*$M691</f>
        <v>-5.2068950602551398</v>
      </c>
      <c r="K717" s="1011">
        <f t="shared" si="16"/>
        <v>133</v>
      </c>
      <c r="L717" s="999">
        <f>$M691/H717</f>
        <v>-1713.1991150442464</v>
      </c>
      <c r="M717" s="999"/>
      <c r="N717" s="587"/>
      <c r="O717" s="587"/>
      <c r="P717" s="587"/>
      <c r="Q717" s="587"/>
      <c r="R717" s="587"/>
    </row>
    <row r="718" spans="1:18" ht="12" thickBot="1">
      <c r="A718" s="588" t="s">
        <v>1428</v>
      </c>
      <c r="B718" s="522" t="s">
        <v>436</v>
      </c>
      <c r="C718" s="522" t="s">
        <v>399</v>
      </c>
      <c r="D718" s="522" t="s">
        <v>982</v>
      </c>
      <c r="E718" s="1012">
        <v>2</v>
      </c>
      <c r="F718" s="525">
        <v>291</v>
      </c>
      <c r="G718" s="525">
        <v>17.52</v>
      </c>
      <c r="H718" s="999">
        <f t="shared" si="14"/>
        <v>9.06</v>
      </c>
      <c r="I718" s="1008">
        <f t="shared" si="15"/>
        <v>18.12</v>
      </c>
      <c r="J718" s="1005">
        <f>I718/$M690*$M691</f>
        <v>-0.10384904954411915</v>
      </c>
      <c r="K718" s="1011">
        <f t="shared" si="16"/>
        <v>2</v>
      </c>
      <c r="L718" s="999">
        <f>$M691/H718</f>
        <v>-1282.0629139072837</v>
      </c>
      <c r="M718" s="999"/>
      <c r="N718" s="587"/>
      <c r="O718" s="587"/>
      <c r="P718" s="587"/>
      <c r="Q718" s="587"/>
      <c r="R718" s="587"/>
    </row>
    <row r="719" spans="1:18" ht="12" thickBot="1">
      <c r="A719" s="588" t="s">
        <v>1428</v>
      </c>
      <c r="B719" s="522" t="s">
        <v>436</v>
      </c>
      <c r="C719" s="522" t="s">
        <v>391</v>
      </c>
      <c r="D719" s="522" t="s">
        <v>983</v>
      </c>
      <c r="E719" s="1013">
        <v>161</v>
      </c>
      <c r="F719" s="531">
        <v>4463</v>
      </c>
      <c r="G719" s="531">
        <v>1201.08</v>
      </c>
      <c r="H719" s="999">
        <f t="shared" si="14"/>
        <v>7.4399999999999995</v>
      </c>
      <c r="I719" s="1008">
        <f t="shared" si="15"/>
        <v>1197.8399999999999</v>
      </c>
      <c r="J719" s="1005">
        <f>I719/$M690*$M691</f>
        <v>-6.8650411427112399</v>
      </c>
      <c r="K719" s="1011">
        <f t="shared" si="16"/>
        <v>160</v>
      </c>
      <c r="L719" s="999">
        <f>$M691/H719</f>
        <v>-1561.2217741935472</v>
      </c>
      <c r="M719" s="999"/>
      <c r="N719" s="587"/>
      <c r="O719" s="587"/>
      <c r="P719" s="587"/>
      <c r="Q719" s="587"/>
      <c r="R719" s="587"/>
    </row>
    <row r="720" spans="1:18" ht="12" thickBot="1">
      <c r="A720" s="588" t="s">
        <v>1428</v>
      </c>
      <c r="B720" s="522" t="s">
        <v>436</v>
      </c>
      <c r="C720" s="522" t="s">
        <v>416</v>
      </c>
      <c r="D720" s="522" t="s">
        <v>984</v>
      </c>
      <c r="E720" s="1012">
        <v>34809</v>
      </c>
      <c r="F720" s="525">
        <v>1327932</v>
      </c>
      <c r="G720" s="525">
        <v>273100.84999999998</v>
      </c>
      <c r="H720" s="999">
        <f t="shared" ref="H720:H751" si="17">SUMIF(_Lights_Tariff_Category,20140101&amp;$C720,_Lights_Rates)</f>
        <v>7.84</v>
      </c>
      <c r="I720" s="1008">
        <f t="shared" si="15"/>
        <v>272902.56</v>
      </c>
      <c r="J720" s="1005">
        <f>I720/$M690*$M691</f>
        <v>-1564.0547171168294</v>
      </c>
      <c r="K720" s="1011">
        <f t="shared" si="16"/>
        <v>34610</v>
      </c>
      <c r="L720" s="999">
        <f>$M691/H720</f>
        <v>-1481.5676020408152</v>
      </c>
      <c r="M720" s="999"/>
      <c r="N720" s="587"/>
      <c r="O720" s="587"/>
      <c r="P720" s="587"/>
      <c r="Q720" s="587"/>
      <c r="R720" s="587"/>
    </row>
    <row r="721" spans="1:18" ht="12" thickBot="1">
      <c r="A721" s="588" t="s">
        <v>1428</v>
      </c>
      <c r="B721" s="522" t="s">
        <v>436</v>
      </c>
      <c r="C721" s="522" t="s">
        <v>407</v>
      </c>
      <c r="D721" s="522" t="s">
        <v>985</v>
      </c>
      <c r="E721" s="1013">
        <v>1086</v>
      </c>
      <c r="F721" s="531">
        <v>39813</v>
      </c>
      <c r="G721" s="531">
        <v>23892.26</v>
      </c>
      <c r="H721" s="999">
        <f t="shared" si="17"/>
        <v>22</v>
      </c>
      <c r="I721" s="1008">
        <f t="shared" si="15"/>
        <v>23892</v>
      </c>
      <c r="J721" s="1005">
        <f>I721/$M690*$M691</f>
        <v>-136.92944214724585</v>
      </c>
      <c r="K721" s="1011">
        <f t="shared" si="16"/>
        <v>1080</v>
      </c>
      <c r="L721" s="999">
        <f>$M691/H721</f>
        <v>-527.97681818181775</v>
      </c>
      <c r="M721" s="999"/>
      <c r="N721" s="587"/>
      <c r="O721" s="587"/>
      <c r="P721" s="587"/>
      <c r="Q721" s="587"/>
      <c r="R721" s="587"/>
    </row>
    <row r="722" spans="1:18" ht="12" thickBot="1">
      <c r="A722" s="588" t="s">
        <v>1428</v>
      </c>
      <c r="B722" s="522" t="s">
        <v>436</v>
      </c>
      <c r="C722" s="522" t="s">
        <v>373</v>
      </c>
      <c r="D722" s="522" t="s">
        <v>986</v>
      </c>
      <c r="E722" s="1012">
        <v>8</v>
      </c>
      <c r="F722" s="525">
        <v>779</v>
      </c>
      <c r="G722" s="525">
        <v>64.67</v>
      </c>
      <c r="H722" s="999">
        <f t="shared" si="17"/>
        <v>7.74</v>
      </c>
      <c r="I722" s="1008">
        <f t="shared" si="15"/>
        <v>61.92</v>
      </c>
      <c r="J722" s="1005">
        <f>I722/$M690*$M691</f>
        <v>-0.35487489777990389</v>
      </c>
      <c r="K722" s="1011">
        <f t="shared" si="16"/>
        <v>8</v>
      </c>
      <c r="L722" s="999">
        <f>$M691/H722</f>
        <v>-1500.7093023255802</v>
      </c>
      <c r="M722" s="999"/>
      <c r="N722" s="587"/>
      <c r="O722" s="587"/>
      <c r="P722" s="587"/>
      <c r="Q722" s="587"/>
      <c r="R722" s="587"/>
    </row>
    <row r="723" spans="1:18" ht="12" thickBot="1">
      <c r="A723" s="588" t="s">
        <v>1428</v>
      </c>
      <c r="B723" s="522" t="s">
        <v>436</v>
      </c>
      <c r="C723" s="522" t="s">
        <v>375</v>
      </c>
      <c r="D723" s="522" t="s">
        <v>987</v>
      </c>
      <c r="E723" s="1013">
        <v>2</v>
      </c>
      <c r="F723" s="531">
        <v>37</v>
      </c>
      <c r="G723" s="531">
        <v>26.62</v>
      </c>
      <c r="H723" s="999">
        <f t="shared" si="17"/>
        <v>13.610000000000001</v>
      </c>
      <c r="I723" s="1008">
        <f t="shared" si="15"/>
        <v>27.220000000000002</v>
      </c>
      <c r="J723" s="1005">
        <f>I723/$M690*$M691</f>
        <v>-0.15600282166616578</v>
      </c>
      <c r="K723" s="1011">
        <f t="shared" si="16"/>
        <v>2</v>
      </c>
      <c r="L723" s="999">
        <f>$M691/H723</f>
        <v>-853.45260837619321</v>
      </c>
      <c r="M723" s="999"/>
      <c r="N723" s="587"/>
      <c r="O723" s="587"/>
      <c r="P723" s="587"/>
      <c r="Q723" s="587"/>
      <c r="R723" s="587"/>
    </row>
    <row r="724" spans="1:18" ht="12" thickBot="1">
      <c r="A724" s="588" t="s">
        <v>1428</v>
      </c>
      <c r="B724" s="522" t="s">
        <v>436</v>
      </c>
      <c r="C724" s="522" t="s">
        <v>401</v>
      </c>
      <c r="D724" s="522" t="s">
        <v>988</v>
      </c>
      <c r="E724" s="1012">
        <v>1037</v>
      </c>
      <c r="F724" s="525">
        <v>68122</v>
      </c>
      <c r="G724" s="525">
        <v>9924.69</v>
      </c>
      <c r="H724" s="999">
        <f t="shared" si="17"/>
        <v>9.5600000000000023</v>
      </c>
      <c r="I724" s="1008">
        <f t="shared" si="15"/>
        <v>9913.720000000003</v>
      </c>
      <c r="J724" s="1005">
        <f>I724/$M690*$M691</f>
        <v>-56.817350962832514</v>
      </c>
      <c r="K724" s="1011">
        <f t="shared" si="16"/>
        <v>1031</v>
      </c>
      <c r="L724" s="999">
        <f>$M691/H724</f>
        <v>-1215.0094142259402</v>
      </c>
      <c r="M724" s="999"/>
      <c r="N724" s="587"/>
      <c r="O724" s="587"/>
      <c r="P724" s="587"/>
      <c r="Q724" s="587"/>
      <c r="R724" s="587"/>
    </row>
    <row r="725" spans="1:18" ht="12" thickBot="1">
      <c r="A725" s="588" t="s">
        <v>1428</v>
      </c>
      <c r="B725" s="522" t="s">
        <v>436</v>
      </c>
      <c r="C725" s="522" t="s">
        <v>328</v>
      </c>
      <c r="D725" s="522" t="s">
        <v>989</v>
      </c>
      <c r="E725" s="1013">
        <v>728</v>
      </c>
      <c r="F725" s="531">
        <v>62792</v>
      </c>
      <c r="G725" s="531">
        <v>8244.6</v>
      </c>
      <c r="H725" s="999">
        <f t="shared" si="17"/>
        <v>11.32</v>
      </c>
      <c r="I725" s="1008">
        <f t="shared" si="15"/>
        <v>8240.9600000000009</v>
      </c>
      <c r="J725" s="1005">
        <f>I725/$M690*$M691</f>
        <v>-47.230456033725403</v>
      </c>
      <c r="K725" s="1011">
        <f t="shared" si="16"/>
        <v>724</v>
      </c>
      <c r="L725" s="999">
        <f>$M691/H725</f>
        <v>-1026.1033568904586</v>
      </c>
      <c r="M725" s="999"/>
      <c r="N725" s="587"/>
      <c r="O725" s="587"/>
      <c r="P725" s="587"/>
      <c r="Q725" s="587"/>
      <c r="R725" s="587"/>
    </row>
    <row r="726" spans="1:18" ht="12" thickBot="1">
      <c r="A726" s="588" t="s">
        <v>1428</v>
      </c>
      <c r="B726" s="522" t="s">
        <v>436</v>
      </c>
      <c r="C726" s="522" t="s">
        <v>437</v>
      </c>
      <c r="D726" s="522" t="s">
        <v>990</v>
      </c>
      <c r="E726" s="1012">
        <v>1561</v>
      </c>
      <c r="F726" s="525">
        <v>222843</v>
      </c>
      <c r="G726" s="525">
        <v>20013.66</v>
      </c>
      <c r="H726" s="999">
        <f t="shared" si="17"/>
        <v>12.809999999999999</v>
      </c>
      <c r="I726" s="1008">
        <f t="shared" si="15"/>
        <v>19996.409999999996</v>
      </c>
      <c r="J726" s="1005">
        <f>I726/$M690*$M691</f>
        <v>-114.60310004384765</v>
      </c>
      <c r="K726" s="1011">
        <f t="shared" si="16"/>
        <v>1552</v>
      </c>
      <c r="L726" s="999">
        <f>$M691/H726</f>
        <v>-906.75175644028036</v>
      </c>
      <c r="M726" s="999"/>
      <c r="N726" s="587"/>
      <c r="O726" s="587"/>
      <c r="P726" s="587"/>
      <c r="Q726" s="587"/>
      <c r="R726" s="587"/>
    </row>
    <row r="727" spans="1:18" ht="12" thickBot="1">
      <c r="A727" s="588" t="s">
        <v>1428</v>
      </c>
      <c r="B727" s="522" t="s">
        <v>436</v>
      </c>
      <c r="C727" s="522" t="s">
        <v>338</v>
      </c>
      <c r="D727" s="522" t="s">
        <v>991</v>
      </c>
      <c r="E727" s="1012">
        <v>614</v>
      </c>
      <c r="F727" s="525">
        <v>30043</v>
      </c>
      <c r="G727" s="525">
        <v>8761.98</v>
      </c>
      <c r="H727" s="999">
        <f t="shared" si="17"/>
        <v>14.25</v>
      </c>
      <c r="I727" s="1008">
        <f t="shared" si="15"/>
        <v>8749.5</v>
      </c>
      <c r="J727" s="1005">
        <f>I727/$M690*$M691</f>
        <v>-50.144992217785351</v>
      </c>
      <c r="K727" s="1011">
        <f t="shared" si="16"/>
        <v>610</v>
      </c>
      <c r="L727" s="999">
        <f>$M691/H727</f>
        <v>-815.12210526315721</v>
      </c>
      <c r="M727" s="999"/>
      <c r="N727" s="587"/>
      <c r="O727" s="587"/>
      <c r="P727" s="587"/>
      <c r="Q727" s="587"/>
      <c r="R727" s="587"/>
    </row>
    <row r="728" spans="1:18" ht="12" thickBot="1">
      <c r="A728" s="588" t="s">
        <v>1428</v>
      </c>
      <c r="B728" s="522" t="s">
        <v>436</v>
      </c>
      <c r="C728" s="522" t="s">
        <v>370</v>
      </c>
      <c r="D728" s="522" t="s">
        <v>992</v>
      </c>
      <c r="E728" s="1012">
        <v>4843</v>
      </c>
      <c r="F728" s="525">
        <v>551141</v>
      </c>
      <c r="G728" s="525">
        <v>97881.66</v>
      </c>
      <c r="H728" s="999">
        <f t="shared" si="17"/>
        <v>20.200000000000003</v>
      </c>
      <c r="I728" s="1008">
        <f t="shared" si="15"/>
        <v>97828.60000000002</v>
      </c>
      <c r="J728" s="1005">
        <f>I728/$M690*$M691</f>
        <v>-560.67368257349983</v>
      </c>
      <c r="K728" s="1011">
        <f t="shared" si="16"/>
        <v>4815</v>
      </c>
      <c r="L728" s="999">
        <f>$M691/H728</f>
        <v>-575.02425742574201</v>
      </c>
      <c r="M728" s="999"/>
      <c r="N728" s="587"/>
      <c r="O728" s="587"/>
      <c r="P728" s="587"/>
      <c r="Q728" s="587"/>
      <c r="R728" s="587"/>
    </row>
    <row r="729" spans="1:18" ht="12" thickBot="1">
      <c r="A729" s="588" t="s">
        <v>1428</v>
      </c>
      <c r="B729" s="522" t="s">
        <v>436</v>
      </c>
      <c r="C729" s="522" t="s">
        <v>333</v>
      </c>
      <c r="D729" s="522" t="s">
        <v>993</v>
      </c>
      <c r="E729" s="1012">
        <v>993</v>
      </c>
      <c r="F729" s="525">
        <v>345708</v>
      </c>
      <c r="G729" s="525">
        <v>42032.639999999999</v>
      </c>
      <c r="H729" s="999">
        <f t="shared" si="17"/>
        <v>42.350000000000009</v>
      </c>
      <c r="I729" s="1008">
        <f t="shared" si="15"/>
        <v>42053.55000000001</v>
      </c>
      <c r="J729" s="1005">
        <f>I729/$M690*$M691</f>
        <v>-241.01662237616407</v>
      </c>
      <c r="K729" s="1011">
        <f t="shared" si="16"/>
        <v>987</v>
      </c>
      <c r="L729" s="999">
        <f>$M691/H729</f>
        <v>-274.27367178276239</v>
      </c>
      <c r="M729" s="999"/>
      <c r="N729" s="587"/>
      <c r="O729" s="587"/>
      <c r="P729" s="587"/>
      <c r="Q729" s="587"/>
      <c r="R729" s="587"/>
    </row>
    <row r="730" spans="1:18" ht="12" thickBot="1">
      <c r="A730" s="588" t="s">
        <v>1428</v>
      </c>
      <c r="B730" s="522" t="s">
        <v>436</v>
      </c>
      <c r="C730" s="522" t="s">
        <v>336</v>
      </c>
      <c r="D730" s="522" t="s">
        <v>994</v>
      </c>
      <c r="E730" s="1012">
        <v>142</v>
      </c>
      <c r="F730" s="525">
        <v>7336</v>
      </c>
      <c r="G730" s="525">
        <v>2841.44</v>
      </c>
      <c r="H730" s="999">
        <f t="shared" si="17"/>
        <v>18.649999999999999</v>
      </c>
      <c r="I730" s="1008">
        <f t="shared" si="15"/>
        <v>2648.2999999999997</v>
      </c>
      <c r="J730" s="1005">
        <f>I730/$M690*$M691</f>
        <v>-15.177893924265492</v>
      </c>
      <c r="K730" s="1011">
        <f t="shared" si="16"/>
        <v>141</v>
      </c>
      <c r="L730" s="999">
        <f>$M691/H730</f>
        <v>-622.81447721179575</v>
      </c>
      <c r="M730" s="999"/>
      <c r="N730" s="587"/>
      <c r="O730" s="587"/>
      <c r="P730" s="587"/>
      <c r="Q730" s="587"/>
      <c r="R730" s="587"/>
    </row>
    <row r="731" spans="1:18" ht="12" thickBot="1">
      <c r="A731" s="588" t="s">
        <v>1428</v>
      </c>
      <c r="B731" s="522" t="s">
        <v>436</v>
      </c>
      <c r="C731" s="522" t="s">
        <v>368</v>
      </c>
      <c r="D731" s="522" t="s">
        <v>995</v>
      </c>
      <c r="E731" s="1012">
        <v>991</v>
      </c>
      <c r="F731" s="525">
        <v>111774</v>
      </c>
      <c r="G731" s="525">
        <v>24376.5</v>
      </c>
      <c r="H731" s="999">
        <f t="shared" si="17"/>
        <v>24.59</v>
      </c>
      <c r="I731" s="1008">
        <f t="shared" si="15"/>
        <v>24368.69</v>
      </c>
      <c r="J731" s="1005">
        <f>I731/$M690*$M691</f>
        <v>-139.66144012887864</v>
      </c>
      <c r="K731" s="1011">
        <f t="shared" si="16"/>
        <v>985</v>
      </c>
      <c r="L731" s="999">
        <f>$M691/H731</f>
        <v>-472.36640910939371</v>
      </c>
      <c r="M731" s="999"/>
      <c r="N731" s="587"/>
      <c r="O731" s="587"/>
      <c r="P731" s="587"/>
      <c r="Q731" s="587"/>
      <c r="R731" s="587"/>
    </row>
    <row r="732" spans="1:18" ht="12" thickBot="1">
      <c r="A732" s="588" t="s">
        <v>1428</v>
      </c>
      <c r="B732" s="522" t="s">
        <v>436</v>
      </c>
      <c r="C732" s="522" t="s">
        <v>400</v>
      </c>
      <c r="D732" s="522" t="s">
        <v>996</v>
      </c>
      <c r="E732" s="1013">
        <v>135</v>
      </c>
      <c r="F732" s="531">
        <v>8765</v>
      </c>
      <c r="G732" s="531">
        <v>1612.8</v>
      </c>
      <c r="H732" s="999">
        <f t="shared" si="17"/>
        <v>11.870000000000001</v>
      </c>
      <c r="I732" s="1008">
        <f t="shared" si="15"/>
        <v>1602.45</v>
      </c>
      <c r="J732" s="1005">
        <f>I732/$M690*$M691</f>
        <v>-9.1839353996674244</v>
      </c>
      <c r="K732" s="1011">
        <f t="shared" si="16"/>
        <v>134</v>
      </c>
      <c r="L732" s="999">
        <f>$M691/H732</f>
        <v>-978.55855096882806</v>
      </c>
      <c r="M732" s="999"/>
      <c r="N732" s="587"/>
      <c r="O732" s="587"/>
      <c r="P732" s="587"/>
      <c r="Q732" s="587"/>
      <c r="R732" s="587"/>
    </row>
    <row r="733" spans="1:18" ht="12" thickBot="1">
      <c r="A733" s="588" t="s">
        <v>1428</v>
      </c>
      <c r="B733" s="522" t="s">
        <v>436</v>
      </c>
      <c r="C733" s="522" t="s">
        <v>327</v>
      </c>
      <c r="D733" s="522" t="s">
        <v>997</v>
      </c>
      <c r="E733" s="1012">
        <v>440</v>
      </c>
      <c r="F733" s="525">
        <v>37807</v>
      </c>
      <c r="G733" s="525">
        <v>5896.8</v>
      </c>
      <c r="H733" s="999">
        <f t="shared" si="17"/>
        <v>13.360000000000001</v>
      </c>
      <c r="I733" s="1008">
        <f t="shared" si="15"/>
        <v>5878.4000000000005</v>
      </c>
      <c r="J733" s="1005">
        <f>I733/$M690*$M691</f>
        <v>-33.690190554092169</v>
      </c>
      <c r="K733" s="1011">
        <f t="shared" si="16"/>
        <v>437</v>
      </c>
      <c r="L733" s="999">
        <f>$M691/H733</f>
        <v>-869.422904191616</v>
      </c>
      <c r="M733" s="999"/>
      <c r="N733" s="587"/>
      <c r="O733" s="587"/>
      <c r="P733" s="587"/>
      <c r="Q733" s="587"/>
      <c r="R733" s="587"/>
    </row>
    <row r="734" spans="1:18" ht="12" thickBot="1">
      <c r="A734" s="588" t="s">
        <v>1428</v>
      </c>
      <c r="B734" s="522" t="s">
        <v>436</v>
      </c>
      <c r="C734" s="522" t="s">
        <v>357</v>
      </c>
      <c r="D734" s="522" t="s">
        <v>998</v>
      </c>
      <c r="E734" s="1013">
        <v>1450</v>
      </c>
      <c r="F734" s="531">
        <v>199954</v>
      </c>
      <c r="G734" s="531">
        <v>21881.15</v>
      </c>
      <c r="H734" s="999">
        <f t="shared" si="17"/>
        <v>15.079999999999998</v>
      </c>
      <c r="I734" s="1008">
        <f t="shared" si="15"/>
        <v>21865.999999999996</v>
      </c>
      <c r="J734" s="1005">
        <f>I734/$M690*$M691</f>
        <v>-125.31806387040336</v>
      </c>
      <c r="K734" s="1011">
        <f t="shared" si="16"/>
        <v>1442</v>
      </c>
      <c r="L734" s="999">
        <f>$M691/H734</f>
        <v>-770.25795755968113</v>
      </c>
      <c r="M734" s="999"/>
      <c r="N734" s="587"/>
      <c r="O734" s="587"/>
      <c r="P734" s="587"/>
      <c r="Q734" s="587"/>
      <c r="R734" s="587"/>
    </row>
    <row r="735" spans="1:18" ht="12" thickBot="1">
      <c r="A735" s="588" t="s">
        <v>1428</v>
      </c>
      <c r="B735" s="522" t="s">
        <v>436</v>
      </c>
      <c r="C735" s="522" t="s">
        <v>331</v>
      </c>
      <c r="D735" s="522" t="s">
        <v>999</v>
      </c>
      <c r="E735" s="1012">
        <v>216</v>
      </c>
      <c r="F735" s="525">
        <v>75174</v>
      </c>
      <c r="G735" s="525">
        <v>10079.6</v>
      </c>
      <c r="H735" s="999">
        <f t="shared" si="17"/>
        <v>46.740000000000009</v>
      </c>
      <c r="I735" s="1008">
        <f t="shared" si="15"/>
        <v>10095.840000000002</v>
      </c>
      <c r="J735" s="1005">
        <f>I735/$M690*$M691</f>
        <v>-57.861114147323406</v>
      </c>
      <c r="K735" s="1011">
        <f t="shared" si="16"/>
        <v>215</v>
      </c>
      <c r="L735" s="999">
        <f>$M691/H735</f>
        <v>-248.51283697047472</v>
      </c>
      <c r="M735" s="999"/>
      <c r="N735" s="587"/>
      <c r="O735" s="587"/>
      <c r="P735" s="587"/>
      <c r="Q735" s="587"/>
      <c r="R735" s="587"/>
    </row>
    <row r="736" spans="1:18" ht="12" thickBot="1">
      <c r="A736" s="588" t="s">
        <v>1428</v>
      </c>
      <c r="B736" s="522" t="s">
        <v>436</v>
      </c>
      <c r="C736" s="522" t="s">
        <v>335</v>
      </c>
      <c r="D736" s="522" t="s">
        <v>1000</v>
      </c>
      <c r="E736" s="1012">
        <v>26</v>
      </c>
      <c r="F736" s="525">
        <v>1192</v>
      </c>
      <c r="G736" s="525">
        <v>717.12</v>
      </c>
      <c r="H736" s="999">
        <f t="shared" si="17"/>
        <v>27.15</v>
      </c>
      <c r="I736" s="1008">
        <f t="shared" si="15"/>
        <v>705.9</v>
      </c>
      <c r="J736" s="1005">
        <f>I736/$M690*$M691</f>
        <v>-4.0456426088958999</v>
      </c>
      <c r="K736" s="1011">
        <f t="shared" si="16"/>
        <v>26</v>
      </c>
      <c r="L736" s="999">
        <f>$M691/H736</f>
        <v>-427.82651933701624</v>
      </c>
      <c r="M736" s="999"/>
      <c r="N736" s="587"/>
      <c r="O736" s="587"/>
      <c r="P736" s="587"/>
      <c r="Q736" s="587"/>
      <c r="R736" s="587"/>
    </row>
    <row r="737" spans="1:18" ht="12" thickBot="1">
      <c r="A737" s="588" t="s">
        <v>1428</v>
      </c>
      <c r="B737" s="522" t="s">
        <v>436</v>
      </c>
      <c r="C737" s="522" t="s">
        <v>372</v>
      </c>
      <c r="D737" s="522" t="s">
        <v>1001</v>
      </c>
      <c r="E737" s="1013">
        <v>6648</v>
      </c>
      <c r="F737" s="531">
        <v>126873</v>
      </c>
      <c r="G737" s="531">
        <v>50165.96</v>
      </c>
      <c r="H737" s="999">
        <f t="shared" si="17"/>
        <v>7.54</v>
      </c>
      <c r="I737" s="1008">
        <f t="shared" si="15"/>
        <v>50125.919999999998</v>
      </c>
      <c r="J737" s="1005">
        <f>I737/$M690*$M691</f>
        <v>-287.28085814153161</v>
      </c>
      <c r="K737" s="1011">
        <f t="shared" si="16"/>
        <v>6610</v>
      </c>
      <c r="L737" s="999">
        <f>$M691/H737</f>
        <v>-1540.5159151193623</v>
      </c>
      <c r="M737" s="999"/>
      <c r="N737" s="587"/>
      <c r="O737" s="587"/>
      <c r="P737" s="587"/>
      <c r="Q737" s="587"/>
      <c r="R737" s="587"/>
    </row>
    <row r="738" spans="1:18" ht="12" thickBot="1">
      <c r="A738" s="588" t="s">
        <v>1428</v>
      </c>
      <c r="B738" s="522" t="s">
        <v>436</v>
      </c>
      <c r="C738" s="522" t="s">
        <v>381</v>
      </c>
      <c r="D738" s="522" t="s">
        <v>1002</v>
      </c>
      <c r="E738" s="1012">
        <v>7031</v>
      </c>
      <c r="F738" s="525">
        <v>185666</v>
      </c>
      <c r="G738" s="525">
        <v>60957.07</v>
      </c>
      <c r="H738" s="999">
        <f t="shared" si="17"/>
        <v>8.66</v>
      </c>
      <c r="I738" s="1008">
        <f t="shared" si="15"/>
        <v>60888.46</v>
      </c>
      <c r="J738" s="1005">
        <f>I738/$M690*$M691</f>
        <v>-348.96295249476361</v>
      </c>
      <c r="K738" s="1011">
        <f t="shared" si="16"/>
        <v>6991</v>
      </c>
      <c r="L738" s="999">
        <f>$M691/H738</f>
        <v>-1341.2806004618926</v>
      </c>
      <c r="M738" s="999"/>
      <c r="N738" s="587"/>
      <c r="O738" s="587"/>
      <c r="P738" s="587"/>
      <c r="Q738" s="587"/>
      <c r="R738" s="587"/>
    </row>
    <row r="739" spans="1:18" ht="12" thickBot="1">
      <c r="A739" s="588" t="s">
        <v>1428</v>
      </c>
      <c r="B739" s="522" t="s">
        <v>436</v>
      </c>
      <c r="C739" s="522" t="s">
        <v>404</v>
      </c>
      <c r="D739" s="522" t="s">
        <v>1003</v>
      </c>
      <c r="E739" s="1013">
        <v>19635</v>
      </c>
      <c r="F739" s="531">
        <v>734126</v>
      </c>
      <c r="G739" s="531">
        <v>179588.83</v>
      </c>
      <c r="H739" s="999">
        <f t="shared" si="17"/>
        <v>9.14</v>
      </c>
      <c r="I739" s="1008">
        <f t="shared" si="15"/>
        <v>179463.90000000002</v>
      </c>
      <c r="J739" s="1005">
        <f>I739/$M690*$M691</f>
        <v>-1028.5405873333802</v>
      </c>
      <c r="K739" s="1011">
        <f t="shared" si="16"/>
        <v>19522</v>
      </c>
      <c r="L739" s="999">
        <f>$M691/H739</f>
        <v>-1270.8413566739596</v>
      </c>
      <c r="M739" s="999"/>
      <c r="N739" s="587"/>
      <c r="O739" s="587"/>
      <c r="P739" s="587"/>
      <c r="Q739" s="587"/>
      <c r="R739" s="587"/>
    </row>
    <row r="740" spans="1:18" ht="12" thickBot="1">
      <c r="A740" s="588" t="s">
        <v>1428</v>
      </c>
      <c r="B740" s="522" t="s">
        <v>436</v>
      </c>
      <c r="C740" s="522" t="s">
        <v>361</v>
      </c>
      <c r="D740" s="522" t="s">
        <v>1004</v>
      </c>
      <c r="E740" s="1013">
        <v>7192</v>
      </c>
      <c r="F740" s="531">
        <v>557620</v>
      </c>
      <c r="G740" s="531">
        <v>102560.17</v>
      </c>
      <c r="H740" s="999">
        <f t="shared" si="17"/>
        <v>14.25</v>
      </c>
      <c r="I740" s="1008">
        <f t="shared" si="15"/>
        <v>102486</v>
      </c>
      <c r="J740" s="1005">
        <f>I740/$M690*$M691</f>
        <v>-587.36609776923819</v>
      </c>
      <c r="K740" s="1011">
        <f t="shared" si="16"/>
        <v>7151</v>
      </c>
      <c r="L740" s="999">
        <f>$M691/H740</f>
        <v>-815.12210526315721</v>
      </c>
      <c r="M740" s="999"/>
      <c r="N740" s="587"/>
      <c r="O740" s="587"/>
      <c r="P740" s="587"/>
      <c r="Q740" s="587"/>
      <c r="R740" s="587"/>
    </row>
    <row r="741" spans="1:18" ht="12" thickBot="1">
      <c r="A741" s="588" t="s">
        <v>1428</v>
      </c>
      <c r="B741" s="522" t="s">
        <v>436</v>
      </c>
      <c r="C741" s="522" t="s">
        <v>393</v>
      </c>
      <c r="D741" s="522" t="s">
        <v>1005</v>
      </c>
      <c r="E741" s="1013">
        <v>2703</v>
      </c>
      <c r="F741" s="531">
        <v>407647</v>
      </c>
      <c r="G741" s="531">
        <v>61775.37</v>
      </c>
      <c r="H741" s="999">
        <f t="shared" si="17"/>
        <v>22.84</v>
      </c>
      <c r="I741" s="1008">
        <f t="shared" si="15"/>
        <v>61736.52</v>
      </c>
      <c r="J741" s="1005">
        <f>I741/$M690*$M691</f>
        <v>-353.82334018551342</v>
      </c>
      <c r="K741" s="1011">
        <f t="shared" si="16"/>
        <v>2688</v>
      </c>
      <c r="L741" s="999">
        <f>$M691/H741</f>
        <v>-508.55910683012218</v>
      </c>
      <c r="M741" s="999"/>
      <c r="N741" s="587"/>
      <c r="O741" s="587"/>
      <c r="P741" s="587"/>
      <c r="Q741" s="587"/>
      <c r="R741" s="587"/>
    </row>
    <row r="742" spans="1:18" ht="12" thickBot="1">
      <c r="A742" s="588" t="s">
        <v>1428</v>
      </c>
      <c r="B742" s="522" t="s">
        <v>436</v>
      </c>
      <c r="C742" s="522" t="s">
        <v>379</v>
      </c>
      <c r="D742" s="522" t="s">
        <v>1006</v>
      </c>
      <c r="E742" s="1013">
        <v>828</v>
      </c>
      <c r="F742" s="531">
        <v>15428</v>
      </c>
      <c r="G742" s="531">
        <v>7977.92</v>
      </c>
      <c r="H742" s="999">
        <f t="shared" si="17"/>
        <v>9.620000000000001</v>
      </c>
      <c r="I742" s="1008">
        <f t="shared" si="15"/>
        <v>7965.3600000000006</v>
      </c>
      <c r="J742" s="1005">
        <f>I742/$M690*$M691</f>
        <v>-45.650941792314839</v>
      </c>
      <c r="K742" s="1011">
        <f t="shared" si="16"/>
        <v>823</v>
      </c>
      <c r="L742" s="999">
        <f>$M691/H742</f>
        <v>-1207.4313929313919</v>
      </c>
      <c r="M742" s="999"/>
      <c r="N742" s="587"/>
      <c r="O742" s="587"/>
      <c r="P742" s="587"/>
      <c r="Q742" s="587"/>
      <c r="R742" s="587"/>
    </row>
    <row r="743" spans="1:18" ht="12" thickBot="1">
      <c r="A743" s="588" t="s">
        <v>1428</v>
      </c>
      <c r="B743" s="522" t="s">
        <v>436</v>
      </c>
      <c r="C743" s="522" t="s">
        <v>389</v>
      </c>
      <c r="D743" s="522" t="s">
        <v>1007</v>
      </c>
      <c r="E743" s="1012">
        <v>1210</v>
      </c>
      <c r="F743" s="525">
        <v>32251</v>
      </c>
      <c r="G743" s="525">
        <v>13038.25</v>
      </c>
      <c r="H743" s="999">
        <f t="shared" si="17"/>
        <v>10.770000000000001</v>
      </c>
      <c r="I743" s="1008">
        <f t="shared" si="15"/>
        <v>13031.7</v>
      </c>
      <c r="J743" s="1005">
        <f>I743/$M690*$M691</f>
        <v>-74.687067270645571</v>
      </c>
      <c r="K743" s="1011">
        <f t="shared" si="16"/>
        <v>1203</v>
      </c>
      <c r="L743" s="999">
        <f>$M691/H743</f>
        <v>-1078.5041782729795</v>
      </c>
      <c r="M743" s="999"/>
      <c r="N743" s="587"/>
      <c r="O743" s="587"/>
      <c r="P743" s="587"/>
      <c r="Q743" s="587"/>
      <c r="R743" s="587"/>
    </row>
    <row r="744" spans="1:18" ht="12" thickBot="1">
      <c r="A744" s="588" t="s">
        <v>1428</v>
      </c>
      <c r="B744" s="522" t="s">
        <v>436</v>
      </c>
      <c r="C744" s="522" t="s">
        <v>412</v>
      </c>
      <c r="D744" s="522" t="s">
        <v>1008</v>
      </c>
      <c r="E744" s="1013">
        <v>3809</v>
      </c>
      <c r="F744" s="531">
        <v>144223</v>
      </c>
      <c r="G744" s="531">
        <v>42543.66</v>
      </c>
      <c r="H744" s="999">
        <f t="shared" si="17"/>
        <v>11.16</v>
      </c>
      <c r="I744" s="1008">
        <f t="shared" si="15"/>
        <v>42508.44</v>
      </c>
      <c r="J744" s="1005">
        <f>I744/$M690*$M691</f>
        <v>-243.62368055205391</v>
      </c>
      <c r="K744" s="1011">
        <f t="shared" si="16"/>
        <v>3787</v>
      </c>
      <c r="L744" s="999">
        <f>$M691/H744</f>
        <v>-1040.8145161290315</v>
      </c>
      <c r="M744" s="999"/>
      <c r="N744" s="587"/>
      <c r="O744" s="587"/>
      <c r="P744" s="587"/>
      <c r="Q744" s="587"/>
      <c r="R744" s="587"/>
    </row>
    <row r="745" spans="1:18" ht="12" thickBot="1">
      <c r="A745" s="588" t="s">
        <v>1428</v>
      </c>
      <c r="B745" s="522" t="s">
        <v>436</v>
      </c>
      <c r="C745" s="522" t="s">
        <v>367</v>
      </c>
      <c r="D745" s="522" t="s">
        <v>1009</v>
      </c>
      <c r="E745" s="1012">
        <v>283</v>
      </c>
      <c r="F745" s="525">
        <v>31574</v>
      </c>
      <c r="G745" s="525">
        <v>9369.98</v>
      </c>
      <c r="H745" s="999">
        <f t="shared" si="17"/>
        <v>33.100000000000009</v>
      </c>
      <c r="I745" s="1008">
        <f t="shared" si="15"/>
        <v>9367.3000000000029</v>
      </c>
      <c r="J745" s="1005">
        <f>I745/$M690*$M691</f>
        <v>-53.685717538334856</v>
      </c>
      <c r="K745" s="1011">
        <f t="shared" si="16"/>
        <v>281</v>
      </c>
      <c r="L745" s="999">
        <f>$M691/H745</f>
        <v>-350.92114803625338</v>
      </c>
      <c r="M745" s="999"/>
      <c r="N745" s="587"/>
      <c r="O745" s="587"/>
      <c r="P745" s="587"/>
      <c r="Q745" s="587"/>
      <c r="R745" s="587"/>
    </row>
    <row r="746" spans="1:18" ht="12" thickBot="1">
      <c r="A746" s="588" t="s">
        <v>1428</v>
      </c>
      <c r="B746" s="522" t="s">
        <v>436</v>
      </c>
      <c r="C746" s="522" t="s">
        <v>330</v>
      </c>
      <c r="D746" s="522" t="s">
        <v>1010</v>
      </c>
      <c r="E746" s="1013">
        <v>68</v>
      </c>
      <c r="F746" s="531">
        <v>24244</v>
      </c>
      <c r="G746" s="531">
        <v>3759.7</v>
      </c>
      <c r="H746" s="999">
        <f t="shared" si="17"/>
        <v>55.250000000000007</v>
      </c>
      <c r="I746" s="1008">
        <f t="shared" si="15"/>
        <v>3757.0000000000005</v>
      </c>
      <c r="J746" s="1005">
        <f>I746/$M690*$M691</f>
        <v>-21.532057347530667</v>
      </c>
      <c r="K746" s="1011">
        <f t="shared" si="16"/>
        <v>68</v>
      </c>
      <c r="L746" s="999">
        <f>$M691/H746</f>
        <v>-210.23511312217175</v>
      </c>
      <c r="M746" s="999"/>
      <c r="N746" s="587"/>
      <c r="O746" s="587"/>
      <c r="P746" s="587"/>
      <c r="Q746" s="587"/>
      <c r="R746" s="587"/>
    </row>
    <row r="747" spans="1:18" ht="12" thickBot="1">
      <c r="A747" s="588" t="s">
        <v>1428</v>
      </c>
      <c r="B747" s="522" t="s">
        <v>436</v>
      </c>
      <c r="C747" s="522" t="s">
        <v>371</v>
      </c>
      <c r="D747" s="522" t="s">
        <v>1011</v>
      </c>
      <c r="E747" s="1012">
        <v>3584</v>
      </c>
      <c r="F747" s="525">
        <v>62454</v>
      </c>
      <c r="G747" s="525">
        <v>37621.480000000003</v>
      </c>
      <c r="H747" s="999">
        <f t="shared" si="17"/>
        <v>10.49</v>
      </c>
      <c r="I747" s="1008">
        <f t="shared" si="15"/>
        <v>37596.160000000003</v>
      </c>
      <c r="J747" s="1005">
        <f>I747/$M690*$M691</f>
        <v>-215.47050124219817</v>
      </c>
      <c r="K747" s="1011">
        <f t="shared" si="16"/>
        <v>3563</v>
      </c>
      <c r="L747" s="999">
        <f>$M691/H747</f>
        <v>-1107.2917063870343</v>
      </c>
      <c r="M747" s="999"/>
      <c r="N747" s="587"/>
      <c r="O747" s="587"/>
      <c r="P747" s="587"/>
      <c r="Q747" s="587"/>
      <c r="R747" s="587"/>
    </row>
    <row r="748" spans="1:18" ht="12" thickBot="1">
      <c r="A748" s="588" t="s">
        <v>1428</v>
      </c>
      <c r="B748" s="522" t="s">
        <v>436</v>
      </c>
      <c r="C748" s="522" t="s">
        <v>380</v>
      </c>
      <c r="D748" s="522" t="s">
        <v>1012</v>
      </c>
      <c r="E748" s="1013">
        <v>8387</v>
      </c>
      <c r="F748" s="531">
        <v>203468</v>
      </c>
      <c r="G748" s="531">
        <v>97358.85</v>
      </c>
      <c r="H748" s="999">
        <f t="shared" si="17"/>
        <v>11.600000000000001</v>
      </c>
      <c r="I748" s="1008">
        <f t="shared" si="15"/>
        <v>97289.200000000012</v>
      </c>
      <c r="J748" s="1005">
        <f>I748/$M690*$M691</f>
        <v>-557.58228205892487</v>
      </c>
      <c r="K748" s="1011">
        <f t="shared" si="16"/>
        <v>8339</v>
      </c>
      <c r="L748" s="999">
        <f>$M691/H748</f>
        <v>-1001.3353448275852</v>
      </c>
      <c r="M748" s="999"/>
      <c r="N748" s="587"/>
      <c r="O748" s="587"/>
      <c r="P748" s="587"/>
      <c r="Q748" s="587"/>
      <c r="R748" s="587"/>
    </row>
    <row r="749" spans="1:18" ht="12" thickBot="1">
      <c r="A749" s="588" t="s">
        <v>1428</v>
      </c>
      <c r="B749" s="522" t="s">
        <v>436</v>
      </c>
      <c r="C749" s="522" t="s">
        <v>403</v>
      </c>
      <c r="D749" s="522" t="s">
        <v>1013</v>
      </c>
      <c r="E749" s="1012">
        <v>3286</v>
      </c>
      <c r="F749" s="525">
        <v>116996</v>
      </c>
      <c r="G749" s="525">
        <v>40436.68</v>
      </c>
      <c r="H749" s="999">
        <f t="shared" si="17"/>
        <v>12.3</v>
      </c>
      <c r="I749" s="1008">
        <f t="shared" si="15"/>
        <v>40417.800000000003</v>
      </c>
      <c r="J749" s="1005">
        <f>I749/$M690*$M691</f>
        <v>-231.64183855763241</v>
      </c>
      <c r="K749" s="1011">
        <f t="shared" si="16"/>
        <v>3267</v>
      </c>
      <c r="L749" s="999">
        <f>$M691/H749</f>
        <v>-944.34878048780411</v>
      </c>
      <c r="M749" s="999"/>
      <c r="N749" s="587"/>
      <c r="O749" s="587"/>
      <c r="P749" s="587"/>
      <c r="Q749" s="587"/>
      <c r="R749" s="587"/>
    </row>
    <row r="750" spans="1:18" ht="12" thickBot="1">
      <c r="A750" s="588" t="s">
        <v>1428</v>
      </c>
      <c r="B750" s="522" t="s">
        <v>436</v>
      </c>
      <c r="C750" s="522" t="s">
        <v>360</v>
      </c>
      <c r="D750" s="522" t="s">
        <v>1014</v>
      </c>
      <c r="E750" s="1013">
        <v>4908</v>
      </c>
      <c r="F750" s="531">
        <v>361973</v>
      </c>
      <c r="G750" s="531">
        <v>85514.89</v>
      </c>
      <c r="H750" s="999">
        <f t="shared" si="17"/>
        <v>17.41</v>
      </c>
      <c r="I750" s="1008">
        <f t="shared" si="15"/>
        <v>85448.28</v>
      </c>
      <c r="J750" s="1005">
        <f>I750/$M690*$M691</f>
        <v>-489.7197937737177</v>
      </c>
      <c r="K750" s="1011">
        <f t="shared" si="16"/>
        <v>4880</v>
      </c>
      <c r="L750" s="999">
        <f>$M691/H750</f>
        <v>-667.17346352670825</v>
      </c>
      <c r="M750" s="999"/>
      <c r="N750" s="587"/>
      <c r="O750" s="587"/>
      <c r="P750" s="587"/>
      <c r="Q750" s="587"/>
      <c r="R750" s="587"/>
    </row>
    <row r="751" spans="1:18" ht="12" thickBot="1">
      <c r="A751" s="588" t="s">
        <v>1428</v>
      </c>
      <c r="B751" s="522" t="s">
        <v>436</v>
      </c>
      <c r="C751" s="522" t="s">
        <v>392</v>
      </c>
      <c r="D751" s="522" t="s">
        <v>1015</v>
      </c>
      <c r="E751" s="1012">
        <v>470</v>
      </c>
      <c r="F751" s="525">
        <v>67009</v>
      </c>
      <c r="G751" s="525">
        <v>11509.4</v>
      </c>
      <c r="H751" s="999">
        <f t="shared" si="17"/>
        <v>24.46</v>
      </c>
      <c r="I751" s="1008">
        <f t="shared" si="15"/>
        <v>11496.2</v>
      </c>
      <c r="J751" s="1005">
        <f>I751/$M690*$M691</f>
        <v>-65.886834623018913</v>
      </c>
      <c r="K751" s="1011">
        <f t="shared" si="16"/>
        <v>467</v>
      </c>
      <c r="L751" s="999">
        <f>$M691/H751</f>
        <v>-474.87694194603392</v>
      </c>
      <c r="M751" s="999"/>
      <c r="N751" s="587"/>
      <c r="O751" s="587"/>
      <c r="P751" s="587"/>
      <c r="Q751" s="587"/>
      <c r="R751" s="587"/>
    </row>
    <row r="752" spans="1:18" ht="12" thickBot="1">
      <c r="A752" s="588" t="s">
        <v>1428</v>
      </c>
      <c r="B752" s="522" t="s">
        <v>436</v>
      </c>
      <c r="C752" s="522" t="s">
        <v>390</v>
      </c>
      <c r="D752" s="522" t="s">
        <v>1016</v>
      </c>
      <c r="E752" s="1013">
        <v>4453</v>
      </c>
      <c r="F752" s="531">
        <v>106790</v>
      </c>
      <c r="G752" s="531">
        <v>74817.89</v>
      </c>
      <c r="H752" s="999">
        <f t="shared" ref="H752:H768" si="18">SUMIF(_Lights_Tariff_Category,20140101&amp;$C752,_Lights_Rates)</f>
        <v>16.79</v>
      </c>
      <c r="I752" s="1008">
        <f t="shared" ref="I752:I767" si="19">E752*H752</f>
        <v>74765.87</v>
      </c>
      <c r="J752" s="1005">
        <f>I752/$M690*$M691</f>
        <v>-428.49693917434718</v>
      </c>
      <c r="K752" s="1011">
        <f t="shared" ref="K752:K767" si="20">ROUND((I752+J752)/H752,0)</f>
        <v>4427</v>
      </c>
      <c r="L752" s="999">
        <f>$M691/H752</f>
        <v>-691.81000595592559</v>
      </c>
      <c r="M752" s="999"/>
      <c r="N752" s="587"/>
      <c r="O752" s="587"/>
      <c r="P752" s="587"/>
      <c r="Q752" s="587"/>
      <c r="R752" s="587"/>
    </row>
    <row r="753" spans="1:18" ht="12" thickBot="1">
      <c r="A753" s="588" t="s">
        <v>1428</v>
      </c>
      <c r="B753" s="522" t="s">
        <v>436</v>
      </c>
      <c r="C753" s="522" t="s">
        <v>414</v>
      </c>
      <c r="D753" s="522" t="s">
        <v>1017</v>
      </c>
      <c r="E753" s="1012">
        <v>1032</v>
      </c>
      <c r="F753" s="525">
        <v>36296</v>
      </c>
      <c r="G753" s="525">
        <v>21672.34</v>
      </c>
      <c r="H753" s="999">
        <f t="shared" si="18"/>
        <v>20.97</v>
      </c>
      <c r="I753" s="1008">
        <f t="shared" si="19"/>
        <v>21641.039999999997</v>
      </c>
      <c r="J753" s="1005">
        <f>I753/$M690*$M691</f>
        <v>-124.02877677407638</v>
      </c>
      <c r="K753" s="1011">
        <f t="shared" si="20"/>
        <v>1026</v>
      </c>
      <c r="L753" s="999">
        <f>$M691/H753</f>
        <v>-553.90987124463481</v>
      </c>
      <c r="M753" s="999"/>
      <c r="N753" s="587"/>
      <c r="O753" s="587"/>
      <c r="P753" s="587"/>
      <c r="Q753" s="587"/>
      <c r="R753" s="587"/>
    </row>
    <row r="754" spans="1:18" ht="12" thickBot="1">
      <c r="A754" s="588" t="s">
        <v>1428</v>
      </c>
      <c r="B754" s="522" t="s">
        <v>436</v>
      </c>
      <c r="C754" s="522" t="s">
        <v>364</v>
      </c>
      <c r="D754" s="522" t="s">
        <v>1018</v>
      </c>
      <c r="E754" s="1013">
        <v>1363</v>
      </c>
      <c r="F754" s="531">
        <v>100179</v>
      </c>
      <c r="G754" s="531">
        <v>36638.94</v>
      </c>
      <c r="H754" s="999">
        <f t="shared" si="18"/>
        <v>26.86</v>
      </c>
      <c r="I754" s="1008">
        <f t="shared" si="19"/>
        <v>36610.18</v>
      </c>
      <c r="J754" s="1005">
        <f>I754/$M690*$M691</f>
        <v>-209.81966868869318</v>
      </c>
      <c r="K754" s="1011">
        <f t="shared" si="20"/>
        <v>1355</v>
      </c>
      <c r="L754" s="999">
        <f>$M691/H754</f>
        <v>-432.44564408041663</v>
      </c>
      <c r="M754" s="999"/>
      <c r="N754" s="587"/>
      <c r="O754" s="587"/>
      <c r="P754" s="587"/>
      <c r="Q754" s="587"/>
      <c r="R754" s="587"/>
    </row>
    <row r="755" spans="1:18" ht="12" thickBot="1">
      <c r="A755" s="588" t="s">
        <v>1428</v>
      </c>
      <c r="B755" s="522" t="s">
        <v>436</v>
      </c>
      <c r="C755" s="522" t="s">
        <v>396</v>
      </c>
      <c r="D755" s="522" t="s">
        <v>1019</v>
      </c>
      <c r="E755" s="1012">
        <v>889</v>
      </c>
      <c r="F755" s="525">
        <v>132421</v>
      </c>
      <c r="G755" s="525">
        <v>29488.78</v>
      </c>
      <c r="H755" s="999">
        <f t="shared" si="18"/>
        <v>33.119999999999997</v>
      </c>
      <c r="I755" s="1008">
        <f t="shared" si="19"/>
        <v>29443.679999999997</v>
      </c>
      <c r="J755" s="1005">
        <f>I755/$M690*$M691</f>
        <v>-168.74714034664402</v>
      </c>
      <c r="K755" s="1011">
        <f t="shared" si="20"/>
        <v>884</v>
      </c>
      <c r="L755" s="999">
        <f>$M691/H755</f>
        <v>-350.70923913043453</v>
      </c>
      <c r="M755" s="999"/>
      <c r="N755" s="587"/>
      <c r="O755" s="587"/>
      <c r="P755" s="587"/>
      <c r="Q755" s="587"/>
      <c r="R755" s="587"/>
    </row>
    <row r="756" spans="1:18" ht="12" thickBot="1">
      <c r="A756" s="588" t="s">
        <v>1428</v>
      </c>
      <c r="B756" s="522" t="s">
        <v>436</v>
      </c>
      <c r="C756" s="522" t="s">
        <v>415</v>
      </c>
      <c r="D756" s="522" t="s">
        <v>1020</v>
      </c>
      <c r="E756" s="1012">
        <v>10610</v>
      </c>
      <c r="F756" s="525">
        <v>402903</v>
      </c>
      <c r="G756" s="525">
        <v>95560.95</v>
      </c>
      <c r="H756" s="999">
        <f t="shared" si="18"/>
        <v>9</v>
      </c>
      <c r="I756" s="1008">
        <f t="shared" si="19"/>
        <v>95490</v>
      </c>
      <c r="J756" s="1005">
        <f>I756/$M690*$M691</f>
        <v>-547.27073625650871</v>
      </c>
      <c r="K756" s="1011">
        <f t="shared" si="20"/>
        <v>10549</v>
      </c>
      <c r="L756" s="999">
        <f>$M691/H756</f>
        <v>-1290.609999999999</v>
      </c>
      <c r="M756" s="999"/>
      <c r="N756" s="587"/>
      <c r="O756" s="587"/>
      <c r="P756" s="587"/>
      <c r="Q756" s="587"/>
      <c r="R756" s="587"/>
    </row>
    <row r="757" spans="1:18" ht="12" thickBot="1">
      <c r="A757" s="588" t="s">
        <v>1428</v>
      </c>
      <c r="B757" s="522" t="s">
        <v>436</v>
      </c>
      <c r="C757" s="522" t="s">
        <v>365</v>
      </c>
      <c r="D757" s="522" t="s">
        <v>1021</v>
      </c>
      <c r="E757" s="1012">
        <v>6289</v>
      </c>
      <c r="F757" s="525">
        <v>495114</v>
      </c>
      <c r="G757" s="525">
        <v>85840.93</v>
      </c>
      <c r="H757" s="999">
        <f t="shared" si="18"/>
        <v>13.639999999999999</v>
      </c>
      <c r="I757" s="1008">
        <f t="shared" si="19"/>
        <v>85781.959999999992</v>
      </c>
      <c r="J757" s="1005">
        <f>I757/$M690*$M691</f>
        <v>-491.63217516730947</v>
      </c>
      <c r="K757" s="1011">
        <f t="shared" si="20"/>
        <v>6253</v>
      </c>
      <c r="L757" s="999">
        <f>$M691/H757</f>
        <v>-851.5755131964803</v>
      </c>
      <c r="M757" s="999"/>
      <c r="N757" s="587"/>
      <c r="O757" s="587"/>
      <c r="P757" s="587"/>
      <c r="Q757" s="587"/>
      <c r="R757" s="587"/>
    </row>
    <row r="758" spans="1:18" ht="12" thickBot="1">
      <c r="A758" s="588" t="s">
        <v>1428</v>
      </c>
      <c r="B758" s="522" t="s">
        <v>436</v>
      </c>
      <c r="C758" s="522" t="s">
        <v>397</v>
      </c>
      <c r="D758" s="522" t="s">
        <v>1022</v>
      </c>
      <c r="E758" s="1012">
        <v>7972</v>
      </c>
      <c r="F758" s="525">
        <v>1216957</v>
      </c>
      <c r="G758" s="525">
        <v>155225.79999999999</v>
      </c>
      <c r="H758" s="999">
        <f t="shared" si="18"/>
        <v>19.46</v>
      </c>
      <c r="I758" s="1008">
        <f t="shared" si="19"/>
        <v>155135.12</v>
      </c>
      <c r="J758" s="1005">
        <f>I758/$M690*$M691</f>
        <v>-889.10787874795085</v>
      </c>
      <c r="K758" s="1011">
        <f t="shared" si="20"/>
        <v>7926</v>
      </c>
      <c r="L758" s="999">
        <f>$M691/H758</f>
        <v>-596.89054470709095</v>
      </c>
      <c r="M758" s="999"/>
      <c r="N758" s="587"/>
      <c r="O758" s="587"/>
      <c r="P758" s="587"/>
      <c r="Q758" s="587"/>
      <c r="R758" s="587"/>
    </row>
    <row r="759" spans="1:18" ht="12" thickBot="1">
      <c r="A759" s="588" t="s">
        <v>1428</v>
      </c>
      <c r="B759" s="522" t="s">
        <v>436</v>
      </c>
      <c r="C759" s="522" t="s">
        <v>337</v>
      </c>
      <c r="D759" s="522" t="s">
        <v>1023</v>
      </c>
      <c r="E759" s="1012">
        <v>56</v>
      </c>
      <c r="F759" s="525">
        <v>2672</v>
      </c>
      <c r="G759" s="525">
        <v>863.04</v>
      </c>
      <c r="H759" s="999">
        <f t="shared" si="18"/>
        <v>15.47</v>
      </c>
      <c r="I759" s="1008">
        <f t="shared" si="19"/>
        <v>866.32</v>
      </c>
      <c r="J759" s="1005">
        <f>I759/$M690*$M691</f>
        <v>-4.9650391060188364</v>
      </c>
      <c r="K759" s="1011">
        <f t="shared" si="20"/>
        <v>56</v>
      </c>
      <c r="L759" s="999">
        <f>$M691/H759</f>
        <v>-750.83968972204207</v>
      </c>
      <c r="M759" s="999"/>
      <c r="N759" s="587"/>
      <c r="O759" s="587"/>
      <c r="P759" s="587"/>
      <c r="Q759" s="587"/>
      <c r="R759" s="587"/>
    </row>
    <row r="760" spans="1:18" ht="12" thickBot="1">
      <c r="A760" s="588" t="s">
        <v>1428</v>
      </c>
      <c r="B760" s="522" t="s">
        <v>436</v>
      </c>
      <c r="C760" s="522" t="s">
        <v>369</v>
      </c>
      <c r="D760" s="522" t="s">
        <v>1024</v>
      </c>
      <c r="E760" s="1013">
        <v>311</v>
      </c>
      <c r="F760" s="531">
        <v>35719</v>
      </c>
      <c r="G760" s="531">
        <v>6816.74</v>
      </c>
      <c r="H760" s="999">
        <f t="shared" si="18"/>
        <v>21.930000000000003</v>
      </c>
      <c r="I760" s="1008">
        <f t="shared" si="19"/>
        <v>6820.2300000000014</v>
      </c>
      <c r="J760" s="1005">
        <f>I760/$M690*$M691</f>
        <v>-39.087991345049005</v>
      </c>
      <c r="K760" s="1011">
        <f t="shared" si="20"/>
        <v>309</v>
      </c>
      <c r="L760" s="999">
        <f>$M691/H760</f>
        <v>-529.66210670314592</v>
      </c>
      <c r="M760" s="999"/>
      <c r="N760" s="587"/>
      <c r="O760" s="587"/>
      <c r="P760" s="587"/>
      <c r="Q760" s="587"/>
      <c r="R760" s="587"/>
    </row>
    <row r="761" spans="1:18" ht="12" thickBot="1">
      <c r="A761" s="588" t="s">
        <v>1428</v>
      </c>
      <c r="B761" s="522" t="s">
        <v>436</v>
      </c>
      <c r="C761" s="522" t="s">
        <v>715</v>
      </c>
      <c r="D761" s="522" t="s">
        <v>1025</v>
      </c>
      <c r="E761" s="1012">
        <v>2</v>
      </c>
      <c r="F761" s="525">
        <v>51</v>
      </c>
      <c r="G761" s="525">
        <v>29.96</v>
      </c>
      <c r="H761" s="999">
        <f t="shared" si="18"/>
        <v>15.370000000000001</v>
      </c>
      <c r="I761" s="1008">
        <f t="shared" si="19"/>
        <v>30.740000000000002</v>
      </c>
      <c r="J761" s="1005">
        <f>I761/$M690*$M691</f>
        <v>-0.17617658846502332</v>
      </c>
      <c r="K761" s="1011">
        <f t="shared" si="20"/>
        <v>2</v>
      </c>
      <c r="L761" s="999">
        <f>$M691/H761</f>
        <v>-755.72478854912106</v>
      </c>
      <c r="M761" s="999"/>
      <c r="N761" s="587"/>
      <c r="O761" s="587"/>
      <c r="P761" s="587"/>
      <c r="Q761" s="587"/>
      <c r="R761" s="587"/>
    </row>
    <row r="762" spans="1:18" ht="12" thickBot="1">
      <c r="A762" s="588" t="s">
        <v>1428</v>
      </c>
      <c r="B762" s="522" t="s">
        <v>436</v>
      </c>
      <c r="C762" s="522" t="s">
        <v>332</v>
      </c>
      <c r="D762" s="522" t="s">
        <v>1026</v>
      </c>
      <c r="E762" s="1013">
        <v>48</v>
      </c>
      <c r="F762" s="531">
        <v>17167</v>
      </c>
      <c r="G762" s="531">
        <v>2208</v>
      </c>
      <c r="H762" s="999">
        <f t="shared" si="18"/>
        <v>45.7</v>
      </c>
      <c r="I762" s="1008">
        <f t="shared" si="19"/>
        <v>2193.6000000000004</v>
      </c>
      <c r="J762" s="1005">
        <f>I762/$M690*$M691</f>
        <v>-12.571924673288068</v>
      </c>
      <c r="K762" s="1011">
        <f t="shared" si="20"/>
        <v>48</v>
      </c>
      <c r="L762" s="999">
        <f>$M691/H762</f>
        <v>-254.16827133479191</v>
      </c>
      <c r="M762" s="999"/>
      <c r="N762" s="587"/>
      <c r="O762" s="587"/>
      <c r="P762" s="587"/>
      <c r="Q762" s="587"/>
      <c r="R762" s="587"/>
    </row>
    <row r="763" spans="1:18" ht="12" thickBot="1">
      <c r="A763" s="588" t="s">
        <v>1428</v>
      </c>
      <c r="B763" s="522" t="s">
        <v>436</v>
      </c>
      <c r="C763" s="522" t="s">
        <v>334</v>
      </c>
      <c r="D763" s="522" t="s">
        <v>1027</v>
      </c>
      <c r="E763" s="1012">
        <v>191</v>
      </c>
      <c r="F763" s="525">
        <v>8651</v>
      </c>
      <c r="G763" s="525">
        <v>5417.1</v>
      </c>
      <c r="H763" s="999">
        <f t="shared" si="18"/>
        <v>28.37</v>
      </c>
      <c r="I763" s="1008">
        <f t="shared" si="19"/>
        <v>5418.67</v>
      </c>
      <c r="J763" s="1005">
        <f>I763/$M690*$M691</f>
        <v>-31.055393448853874</v>
      </c>
      <c r="K763" s="1011">
        <f t="shared" si="20"/>
        <v>190</v>
      </c>
      <c r="L763" s="999">
        <f>$M691/H763</f>
        <v>-409.42862178357387</v>
      </c>
      <c r="M763" s="999"/>
      <c r="N763" s="587"/>
      <c r="O763" s="587"/>
      <c r="P763" s="587"/>
      <c r="Q763" s="587"/>
      <c r="R763" s="587"/>
    </row>
    <row r="764" spans="1:18" ht="12" thickBot="1">
      <c r="A764" s="588" t="s">
        <v>1428</v>
      </c>
      <c r="B764" s="522" t="s">
        <v>436</v>
      </c>
      <c r="C764" s="522" t="s">
        <v>366</v>
      </c>
      <c r="D764" s="522" t="s">
        <v>1028</v>
      </c>
      <c r="E764" s="1013">
        <v>612</v>
      </c>
      <c r="F764" s="531">
        <v>69784</v>
      </c>
      <c r="G764" s="531">
        <v>21502.71</v>
      </c>
      <c r="H764" s="999">
        <f t="shared" si="18"/>
        <v>34.830000000000005</v>
      </c>
      <c r="I764" s="1008">
        <f t="shared" si="19"/>
        <v>21315.960000000003</v>
      </c>
      <c r="J764" s="1005">
        <f>I764/$M690*$M691</f>
        <v>-122.16568356073191</v>
      </c>
      <c r="K764" s="1011">
        <f t="shared" si="20"/>
        <v>608</v>
      </c>
      <c r="L764" s="999">
        <f>$M691/H764</f>
        <v>-333.49095607235108</v>
      </c>
      <c r="M764" s="999"/>
      <c r="N764" s="587"/>
      <c r="O764" s="587"/>
      <c r="P764" s="587"/>
      <c r="Q764" s="587"/>
      <c r="R764" s="587"/>
    </row>
    <row r="765" spans="1:18" ht="12" thickBot="1">
      <c r="A765" s="588" t="s">
        <v>1428</v>
      </c>
      <c r="B765" s="522" t="s">
        <v>436</v>
      </c>
      <c r="C765" s="522" t="s">
        <v>329</v>
      </c>
      <c r="D765" s="522" t="s">
        <v>1029</v>
      </c>
      <c r="E765" s="1012">
        <v>159</v>
      </c>
      <c r="F765" s="525">
        <v>55405</v>
      </c>
      <c r="G765" s="525">
        <v>9299.15</v>
      </c>
      <c r="H765" s="999">
        <f t="shared" si="18"/>
        <v>58.59</v>
      </c>
      <c r="I765" s="1008">
        <f t="shared" si="19"/>
        <v>9315.8100000000013</v>
      </c>
      <c r="J765" s="1005">
        <f>I765/$M690*$M691</f>
        <v>-53.390618887064058</v>
      </c>
      <c r="K765" s="1011">
        <f t="shared" si="20"/>
        <v>158</v>
      </c>
      <c r="L765" s="999">
        <f>$M691/H765</f>
        <v>-198.25038402457741</v>
      </c>
      <c r="M765" s="999"/>
      <c r="N765" s="587"/>
      <c r="O765" s="587"/>
      <c r="P765" s="587"/>
      <c r="Q765" s="587"/>
      <c r="R765" s="587"/>
    </row>
    <row r="766" spans="1:18" ht="12" thickBot="1">
      <c r="A766" s="588" t="s">
        <v>1428</v>
      </c>
      <c r="B766" s="522" t="s">
        <v>436</v>
      </c>
      <c r="C766" s="522" t="s">
        <v>683</v>
      </c>
      <c r="D766" s="522" t="s">
        <v>1047</v>
      </c>
      <c r="E766" s="1013">
        <v>7</v>
      </c>
      <c r="F766" s="531">
        <v>253</v>
      </c>
      <c r="G766" s="531">
        <v>105.28</v>
      </c>
      <c r="H766" s="999">
        <f t="shared" si="18"/>
        <v>15.35</v>
      </c>
      <c r="I766" s="1008">
        <f t="shared" si="19"/>
        <v>107.45</v>
      </c>
      <c r="J766" s="1005">
        <f>I766/$M690*$M691</f>
        <v>-0.61581569390262714</v>
      </c>
      <c r="K766" s="1011">
        <f t="shared" si="20"/>
        <v>7</v>
      </c>
      <c r="L766" s="999">
        <f>$M691/H766</f>
        <v>-756.70944625407105</v>
      </c>
      <c r="M766" s="999"/>
      <c r="N766" s="587"/>
      <c r="O766" s="587"/>
      <c r="P766" s="587"/>
      <c r="Q766" s="587"/>
      <c r="R766" s="587"/>
    </row>
    <row r="767" spans="1:18" ht="12" thickBot="1">
      <c r="A767" s="588" t="s">
        <v>1428</v>
      </c>
      <c r="B767" s="522" t="s">
        <v>436</v>
      </c>
      <c r="C767" s="522" t="s">
        <v>463</v>
      </c>
      <c r="D767" s="522" t="s">
        <v>1030</v>
      </c>
      <c r="E767" s="1012">
        <v>20</v>
      </c>
      <c r="F767" s="525">
        <v>1537</v>
      </c>
      <c r="G767" s="525">
        <v>361.2</v>
      </c>
      <c r="H767" s="999">
        <f t="shared" si="18"/>
        <v>17.72</v>
      </c>
      <c r="I767" s="1008">
        <f t="shared" si="19"/>
        <v>354.4</v>
      </c>
      <c r="J767" s="1005">
        <f>I767/$M690*$M691</f>
        <v>-2.0311315208849794</v>
      </c>
      <c r="K767" s="1011">
        <f t="shared" si="20"/>
        <v>20</v>
      </c>
      <c r="L767" s="999">
        <f>$M691/H767</f>
        <v>-655.50169300225684</v>
      </c>
      <c r="M767" s="999"/>
      <c r="N767" s="587"/>
      <c r="O767" s="587"/>
      <c r="P767" s="587"/>
      <c r="Q767" s="587"/>
      <c r="R767" s="587"/>
    </row>
    <row r="768" spans="1:18" ht="12" thickBot="1">
      <c r="A768" s="588" t="s">
        <v>1428</v>
      </c>
      <c r="B768" s="522" t="s">
        <v>436</v>
      </c>
      <c r="C768" s="522" t="s">
        <v>653</v>
      </c>
      <c r="D768" s="522" t="s">
        <v>1031</v>
      </c>
      <c r="E768" s="1013">
        <v>19</v>
      </c>
      <c r="F768" s="531">
        <v>3653</v>
      </c>
      <c r="G768" s="531">
        <v>533.35</v>
      </c>
      <c r="H768" s="999">
        <f t="shared" si="18"/>
        <v>21.490000000000002</v>
      </c>
      <c r="I768" s="1008">
        <f>E768*H768</f>
        <v>408.31000000000006</v>
      </c>
      <c r="J768" s="1005">
        <f>I768/$M690*$M691</f>
        <v>-2.3400996368299833</v>
      </c>
      <c r="K768" s="1011">
        <f>ROUND((I768+J768)/H768,0)</f>
        <v>19</v>
      </c>
      <c r="L768" s="999">
        <f>$M691/H768</f>
        <v>-540.5067473243364</v>
      </c>
      <c r="M768" s="999"/>
      <c r="N768" s="587"/>
      <c r="O768" s="587"/>
      <c r="P768" s="587"/>
      <c r="Q768" s="587"/>
      <c r="R768" s="587"/>
    </row>
    <row r="769" spans="1:18" ht="12" thickBot="1">
      <c r="A769" s="588" t="s">
        <v>1428</v>
      </c>
      <c r="B769" s="522" t="s">
        <v>436</v>
      </c>
      <c r="C769" s="543" t="s">
        <v>9</v>
      </c>
      <c r="D769" s="544"/>
      <c r="E769" s="1011">
        <f>SUM(E688:E768)</f>
        <v>162847</v>
      </c>
      <c r="F769" s="540">
        <v>9505614</v>
      </c>
      <c r="G769" s="1005">
        <f>SUM(G688:G768)</f>
        <v>2028515.1499999994</v>
      </c>
      <c r="I769" s="1005">
        <f>SUM(I688:I768)</f>
        <v>2026717.43</v>
      </c>
      <c r="J769" s="1005">
        <f>SUM(J688:J768)</f>
        <v>-11615.489999999993</v>
      </c>
      <c r="K769" s="1011">
        <f>SUM(K688:K768)</f>
        <v>161912</v>
      </c>
    </row>
    <row r="770" spans="1:18" ht="12" thickBot="1">
      <c r="A770" s="588" t="s">
        <v>1465</v>
      </c>
      <c r="B770" s="522" t="s">
        <v>436</v>
      </c>
      <c r="C770" s="522" t="s">
        <v>449</v>
      </c>
      <c r="D770" s="522" t="s">
        <v>448</v>
      </c>
      <c r="E770" s="530">
        <v>2</v>
      </c>
      <c r="F770" s="531">
        <v>144</v>
      </c>
      <c r="G770" s="531">
        <v>19.04</v>
      </c>
      <c r="H770" s="999"/>
      <c r="I770" s="999"/>
      <c r="J770" s="999"/>
      <c r="K770" s="999"/>
      <c r="L770" s="999"/>
      <c r="M770" s="847">
        <f>'12MonLights'!$O$881</f>
        <v>2082944.25</v>
      </c>
      <c r="N770" s="587" t="s">
        <v>1520</v>
      </c>
      <c r="O770" s="587"/>
      <c r="P770" s="587"/>
      <c r="Q770" s="587"/>
      <c r="R770" s="1004" t="s">
        <v>1526</v>
      </c>
    </row>
    <row r="771" spans="1:18" ht="12" thickBot="1">
      <c r="A771" s="588" t="s">
        <v>1465</v>
      </c>
      <c r="B771" s="522" t="s">
        <v>436</v>
      </c>
      <c r="C771" s="522" t="s">
        <v>447</v>
      </c>
      <c r="D771" s="522" t="s">
        <v>446</v>
      </c>
      <c r="E771" s="524">
        <v>1</v>
      </c>
      <c r="F771" s="525">
        <v>41</v>
      </c>
      <c r="G771" s="525">
        <v>6.9</v>
      </c>
      <c r="H771" s="999"/>
      <c r="I771" s="999"/>
      <c r="J771" s="999"/>
      <c r="K771" s="999"/>
      <c r="L771" s="999"/>
      <c r="M771" s="1005">
        <f>'12MonResults'!$AV$374</f>
        <v>899.9</v>
      </c>
      <c r="N771" s="587" t="s">
        <v>1521</v>
      </c>
      <c r="O771" s="587"/>
      <c r="P771" s="587"/>
      <c r="Q771" s="587"/>
      <c r="R771" s="587"/>
    </row>
    <row r="772" spans="1:18" ht="14.25" thickBot="1">
      <c r="A772" s="588" t="s">
        <v>1465</v>
      </c>
      <c r="B772" s="522" t="s">
        <v>436</v>
      </c>
      <c r="C772" s="522" t="s">
        <v>339</v>
      </c>
      <c r="D772" s="522" t="s">
        <v>952</v>
      </c>
      <c r="E772" s="1013">
        <v>172</v>
      </c>
      <c r="F772" s="531">
        <v>9965</v>
      </c>
      <c r="G772" s="531">
        <v>9513.85</v>
      </c>
      <c r="H772" s="999">
        <f t="shared" ref="H772:H803" si="21">SUMIF(_Lights_Tariff_Category,20140101&amp;$C772,_Lights_Rates)</f>
        <v>55.33</v>
      </c>
      <c r="I772" s="1008">
        <f>E772*H772</f>
        <v>9516.76</v>
      </c>
      <c r="J772" s="1005">
        <f>I772/$M774*$M775</f>
        <v>-50.902721507354272</v>
      </c>
      <c r="K772" s="1011">
        <f>ROUND((I772+J772)/H772,0)</f>
        <v>171</v>
      </c>
      <c r="L772" s="999">
        <f>$M775/H772</f>
        <v>-201.35803361648527</v>
      </c>
      <c r="M772" s="1007">
        <f>'12MonResults'!$AV$376</f>
        <v>10240.76</v>
      </c>
      <c r="N772" s="1006" t="s">
        <v>1522</v>
      </c>
      <c r="O772" s="587"/>
      <c r="P772" s="587"/>
      <c r="Q772" s="587"/>
      <c r="R772" s="587"/>
    </row>
    <row r="773" spans="1:18" ht="12" thickBot="1">
      <c r="A773" s="588" t="s">
        <v>1465</v>
      </c>
      <c r="B773" s="522" t="s">
        <v>436</v>
      </c>
      <c r="C773" s="522" t="s">
        <v>344</v>
      </c>
      <c r="D773" s="522" t="s">
        <v>953</v>
      </c>
      <c r="E773" s="1012">
        <v>26</v>
      </c>
      <c r="F773" s="525">
        <v>1545</v>
      </c>
      <c r="G773" s="525">
        <v>2186.46</v>
      </c>
      <c r="H773" s="999">
        <f t="shared" si="21"/>
        <v>83.16</v>
      </c>
      <c r="I773" s="1008">
        <f t="shared" ref="I773:I835" si="22">E773*H773</f>
        <v>2162.16</v>
      </c>
      <c r="J773" s="1005">
        <f>I773/$M774*$M775</f>
        <v>-11.564842271355072</v>
      </c>
      <c r="K773" s="1011">
        <f t="shared" ref="K773:K835" si="23">ROUND((I773+J773)/H773,0)</f>
        <v>26</v>
      </c>
      <c r="L773" s="999">
        <f>$M775/H773</f>
        <v>-133.97234247234405</v>
      </c>
      <c r="M773" s="1005">
        <f>M770-M771-M772</f>
        <v>2071803.59</v>
      </c>
      <c r="N773" s="587" t="s">
        <v>1523</v>
      </c>
      <c r="O773" s="587"/>
      <c r="P773" s="587"/>
      <c r="Q773" s="587"/>
      <c r="R773" s="587"/>
    </row>
    <row r="774" spans="1:18" ht="12" thickBot="1">
      <c r="A774" s="588" t="s">
        <v>1465</v>
      </c>
      <c r="B774" s="522" t="s">
        <v>436</v>
      </c>
      <c r="C774" s="522" t="s">
        <v>347</v>
      </c>
      <c r="D774" s="522" t="s">
        <v>954</v>
      </c>
      <c r="E774" s="1013">
        <v>44</v>
      </c>
      <c r="F774" s="531">
        <v>2144</v>
      </c>
      <c r="G774" s="531">
        <v>2649.6</v>
      </c>
      <c r="H774" s="999">
        <f t="shared" si="21"/>
        <v>59.78</v>
      </c>
      <c r="I774" s="1008">
        <f t="shared" si="22"/>
        <v>2630.32</v>
      </c>
      <c r="J774" s="1005">
        <f>I774/$M774*$M775</f>
        <v>-14.06891068338637</v>
      </c>
      <c r="K774" s="1011">
        <f t="shared" si="23"/>
        <v>44</v>
      </c>
      <c r="L774" s="999">
        <f>$M775/H774</f>
        <v>-186.36901973904534</v>
      </c>
      <c r="M774" s="1005">
        <f>I853</f>
        <v>2082944.7300000002</v>
      </c>
      <c r="N774" s="587" t="s">
        <v>1524</v>
      </c>
      <c r="O774" s="587"/>
      <c r="P774" s="587"/>
      <c r="Q774" s="587"/>
      <c r="R774" s="587"/>
    </row>
    <row r="775" spans="1:18" ht="12" thickBot="1">
      <c r="A775" s="588" t="s">
        <v>1465</v>
      </c>
      <c r="B775" s="522" t="s">
        <v>436</v>
      </c>
      <c r="C775" s="522" t="s">
        <v>348</v>
      </c>
      <c r="D775" s="522" t="s">
        <v>955</v>
      </c>
      <c r="E775" s="1012">
        <v>5</v>
      </c>
      <c r="F775" s="525">
        <v>303</v>
      </c>
      <c r="G775" s="525">
        <v>297.85000000000002</v>
      </c>
      <c r="H775" s="999">
        <f t="shared" si="21"/>
        <v>61.75</v>
      </c>
      <c r="I775" s="1008">
        <f t="shared" si="22"/>
        <v>308.75</v>
      </c>
      <c r="J775" s="1005">
        <f>I775/$M774*$M775</f>
        <v>-1.6514249876423941</v>
      </c>
      <c r="K775" s="1011">
        <f t="shared" si="23"/>
        <v>5</v>
      </c>
      <c r="L775" s="999">
        <f>$M775/H775</f>
        <v>-180.4233198380588</v>
      </c>
      <c r="M775" s="1005">
        <f>M773-M774</f>
        <v>-11141.14000000013</v>
      </c>
      <c r="N775" s="587"/>
      <c r="O775" s="587"/>
      <c r="P775" s="587"/>
      <c r="Q775" s="587"/>
      <c r="R775" s="587"/>
    </row>
    <row r="776" spans="1:18" ht="12" thickBot="1">
      <c r="A776" s="588" t="s">
        <v>1465</v>
      </c>
      <c r="B776" s="522" t="s">
        <v>436</v>
      </c>
      <c r="C776" s="522" t="s">
        <v>349</v>
      </c>
      <c r="D776" s="522" t="s">
        <v>956</v>
      </c>
      <c r="E776" s="1013">
        <v>1</v>
      </c>
      <c r="F776" s="531">
        <v>61</v>
      </c>
      <c r="G776" s="531">
        <v>60.93</v>
      </c>
      <c r="H776" s="999">
        <f t="shared" si="21"/>
        <v>63.11</v>
      </c>
      <c r="I776" s="1008">
        <f t="shared" si="22"/>
        <v>63.11</v>
      </c>
      <c r="J776" s="1005">
        <f>I776/$M774*$M775</f>
        <v>-0.33755929059145423</v>
      </c>
      <c r="K776" s="1011">
        <f t="shared" si="23"/>
        <v>1</v>
      </c>
      <c r="L776" s="999">
        <f>$M775/H776</f>
        <v>-176.53525590239471</v>
      </c>
      <c r="M776" s="999"/>
      <c r="N776" s="587"/>
      <c r="O776" s="587"/>
      <c r="P776" s="587"/>
      <c r="Q776" s="587"/>
      <c r="R776" s="587"/>
    </row>
    <row r="777" spans="1:18" ht="12" thickBot="1">
      <c r="A777" s="588" t="s">
        <v>1465</v>
      </c>
      <c r="B777" s="522" t="s">
        <v>436</v>
      </c>
      <c r="C777" s="522" t="s">
        <v>351</v>
      </c>
      <c r="D777" s="522" t="s">
        <v>957</v>
      </c>
      <c r="E777" s="1012">
        <v>5</v>
      </c>
      <c r="F777" s="525">
        <v>297</v>
      </c>
      <c r="G777" s="525">
        <v>393.8</v>
      </c>
      <c r="H777" s="999">
        <f t="shared" si="21"/>
        <v>80.94</v>
      </c>
      <c r="I777" s="1008">
        <f t="shared" si="22"/>
        <v>404.7</v>
      </c>
      <c r="J777" s="1005">
        <f>I777/$M774*$M775</f>
        <v>-2.1646370607251071</v>
      </c>
      <c r="K777" s="1011">
        <f t="shared" si="23"/>
        <v>5</v>
      </c>
      <c r="L777" s="999">
        <f>$M775/H777</f>
        <v>-137.64689893748618</v>
      </c>
      <c r="M777" s="999"/>
      <c r="N777" s="587"/>
      <c r="O777" s="587"/>
      <c r="P777" s="587"/>
      <c r="Q777" s="587"/>
      <c r="R777" s="587"/>
    </row>
    <row r="778" spans="1:18" ht="12" thickBot="1">
      <c r="A778" s="588" t="s">
        <v>1465</v>
      </c>
      <c r="B778" s="522" t="s">
        <v>436</v>
      </c>
      <c r="C778" s="522" t="s">
        <v>352</v>
      </c>
      <c r="D778" s="522" t="s">
        <v>958</v>
      </c>
      <c r="E778" s="1013">
        <v>10</v>
      </c>
      <c r="F778" s="531">
        <v>595</v>
      </c>
      <c r="G778" s="531">
        <v>767.9</v>
      </c>
      <c r="H778" s="999">
        <f t="shared" si="21"/>
        <v>78.97</v>
      </c>
      <c r="I778" s="1008">
        <f t="shared" si="22"/>
        <v>789.7</v>
      </c>
      <c r="J778" s="1005">
        <f>I778/$M774*$M775</f>
        <v>-4.2239038469350563</v>
      </c>
      <c r="K778" s="1011">
        <f t="shared" si="23"/>
        <v>10</v>
      </c>
      <c r="L778" s="999">
        <f>$M775/H778</f>
        <v>-141.0806635431193</v>
      </c>
      <c r="M778" s="999"/>
      <c r="N778" s="587"/>
      <c r="O778" s="587"/>
      <c r="P778" s="587"/>
      <c r="Q778" s="587"/>
      <c r="R778" s="587"/>
    </row>
    <row r="779" spans="1:18" ht="12" thickBot="1">
      <c r="A779" s="588" t="s">
        <v>1465</v>
      </c>
      <c r="B779" s="522" t="s">
        <v>436</v>
      </c>
      <c r="C779" s="522" t="s">
        <v>354</v>
      </c>
      <c r="D779" s="522" t="s">
        <v>959</v>
      </c>
      <c r="E779" s="1012">
        <v>24</v>
      </c>
      <c r="F779" s="525">
        <v>1404</v>
      </c>
      <c r="G779" s="525">
        <v>1476.25</v>
      </c>
      <c r="H779" s="999">
        <f t="shared" si="21"/>
        <v>61.230000000000004</v>
      </c>
      <c r="I779" s="1008">
        <f t="shared" si="22"/>
        <v>1469.52</v>
      </c>
      <c r="J779" s="1005">
        <f>I779/$M774*$M775</f>
        <v>-7.8600876043408938</v>
      </c>
      <c r="K779" s="1011">
        <f t="shared" si="23"/>
        <v>24</v>
      </c>
      <c r="L779" s="999">
        <f>$M775/H779</f>
        <v>-181.95557733137562</v>
      </c>
      <c r="M779" s="999"/>
      <c r="N779" s="587"/>
      <c r="O779" s="587"/>
      <c r="P779" s="587"/>
      <c r="Q779" s="587"/>
      <c r="R779" s="587"/>
    </row>
    <row r="780" spans="1:18" ht="12" thickBot="1">
      <c r="A780" s="588" t="s">
        <v>1465</v>
      </c>
      <c r="B780" s="522" t="s">
        <v>436</v>
      </c>
      <c r="C780" s="522" t="s">
        <v>355</v>
      </c>
      <c r="D780" s="522" t="s">
        <v>960</v>
      </c>
      <c r="E780" s="1013">
        <v>1</v>
      </c>
      <c r="F780" s="531">
        <v>61</v>
      </c>
      <c r="G780" s="531">
        <v>54.51</v>
      </c>
      <c r="H780" s="999">
        <f t="shared" si="21"/>
        <v>56.69</v>
      </c>
      <c r="I780" s="1008">
        <f t="shared" si="22"/>
        <v>56.69</v>
      </c>
      <c r="J780" s="1005">
        <f>I780/$M774*$M775</f>
        <v>-0.30322034833829092</v>
      </c>
      <c r="K780" s="1011">
        <f t="shared" si="23"/>
        <v>1</v>
      </c>
      <c r="L780" s="999">
        <f>$M775/H780</f>
        <v>-196.52742988181569</v>
      </c>
      <c r="M780" s="999"/>
      <c r="N780" s="587"/>
      <c r="O780" s="587"/>
      <c r="P780" s="587"/>
      <c r="Q780" s="587"/>
      <c r="R780" s="587"/>
    </row>
    <row r="781" spans="1:18" ht="12" thickBot="1">
      <c r="A781" s="588" t="s">
        <v>1465</v>
      </c>
      <c r="B781" s="522" t="s">
        <v>436</v>
      </c>
      <c r="C781" s="522" t="s">
        <v>341</v>
      </c>
      <c r="D781" s="522" t="s">
        <v>961</v>
      </c>
      <c r="E781" s="1012">
        <v>16</v>
      </c>
      <c r="F781" s="525">
        <v>956</v>
      </c>
      <c r="G781" s="525">
        <v>1157.44</v>
      </c>
      <c r="H781" s="999">
        <f t="shared" si="21"/>
        <v>74.52</v>
      </c>
      <c r="I781" s="1008">
        <f t="shared" si="22"/>
        <v>1192.32</v>
      </c>
      <c r="J781" s="1005">
        <f>I781/$M774*$M775</f>
        <v>-6.3774155182697303</v>
      </c>
      <c r="K781" s="1011">
        <f t="shared" si="23"/>
        <v>16</v>
      </c>
      <c r="L781" s="999">
        <f>$M775/H781</f>
        <v>-149.50536768652887</v>
      </c>
      <c r="M781" s="999"/>
      <c r="N781" s="587"/>
      <c r="O781" s="587"/>
      <c r="P781" s="587"/>
      <c r="Q781" s="587"/>
      <c r="R781" s="587"/>
    </row>
    <row r="782" spans="1:18" ht="12" thickBot="1">
      <c r="A782" s="588" t="s">
        <v>1465</v>
      </c>
      <c r="B782" s="522" t="s">
        <v>436</v>
      </c>
      <c r="C782" s="522" t="s">
        <v>350</v>
      </c>
      <c r="D782" s="522" t="s">
        <v>962</v>
      </c>
      <c r="E782" s="1013">
        <v>1</v>
      </c>
      <c r="F782" s="531">
        <v>61</v>
      </c>
      <c r="G782" s="531">
        <v>80.12</v>
      </c>
      <c r="H782" s="999">
        <f t="shared" si="21"/>
        <v>82.3</v>
      </c>
      <c r="I782" s="1008">
        <f t="shared" si="22"/>
        <v>82.3</v>
      </c>
      <c r="J782" s="1005">
        <f>I782/$M774*$M775</f>
        <v>-0.4402017052079969</v>
      </c>
      <c r="K782" s="1011">
        <f t="shared" si="23"/>
        <v>1</v>
      </c>
      <c r="L782" s="999">
        <f>$M775/H782</f>
        <v>-135.37229647630778</v>
      </c>
      <c r="M782" s="999"/>
      <c r="N782" s="587"/>
      <c r="O782" s="587"/>
      <c r="P782" s="587"/>
      <c r="Q782" s="587"/>
      <c r="R782" s="587"/>
    </row>
    <row r="783" spans="1:18" ht="12" thickBot="1">
      <c r="A783" s="588" t="s">
        <v>1465</v>
      </c>
      <c r="B783" s="522" t="s">
        <v>436</v>
      </c>
      <c r="C783" s="522" t="s">
        <v>342</v>
      </c>
      <c r="D783" s="522" t="s">
        <v>963</v>
      </c>
      <c r="E783" s="1012">
        <v>19</v>
      </c>
      <c r="F783" s="525">
        <v>1094</v>
      </c>
      <c r="G783" s="525">
        <v>1446.8</v>
      </c>
      <c r="H783" s="999">
        <f t="shared" si="21"/>
        <v>74.52</v>
      </c>
      <c r="I783" s="1008">
        <f t="shared" si="22"/>
        <v>1415.8799999999999</v>
      </c>
      <c r="J783" s="1005">
        <f>I783/$M774*$M775</f>
        <v>-7.5731809279453044</v>
      </c>
      <c r="K783" s="1011">
        <f t="shared" si="23"/>
        <v>19</v>
      </c>
      <c r="L783" s="999">
        <f>$M775/H783</f>
        <v>-149.50536768652887</v>
      </c>
      <c r="M783" s="999"/>
      <c r="N783" s="587"/>
      <c r="O783" s="587"/>
      <c r="P783" s="587"/>
      <c r="Q783" s="587"/>
      <c r="R783" s="587"/>
    </row>
    <row r="784" spans="1:18" ht="12" thickBot="1">
      <c r="A784" s="588" t="s">
        <v>1465</v>
      </c>
      <c r="B784" s="522" t="s">
        <v>436</v>
      </c>
      <c r="C784" s="522" t="s">
        <v>346</v>
      </c>
      <c r="D784" s="522" t="s">
        <v>964</v>
      </c>
      <c r="E784" s="1013">
        <v>4</v>
      </c>
      <c r="F784" s="531">
        <v>231</v>
      </c>
      <c r="G784" s="531">
        <v>294.8</v>
      </c>
      <c r="H784" s="999">
        <f t="shared" si="21"/>
        <v>75.88</v>
      </c>
      <c r="I784" s="1008">
        <f t="shared" si="22"/>
        <v>303.52</v>
      </c>
      <c r="J784" s="1005">
        <f>I784/$M774*$M775</f>
        <v>-1.6234510518193341</v>
      </c>
      <c r="K784" s="1011">
        <f t="shared" si="23"/>
        <v>4</v>
      </c>
      <c r="L784" s="999">
        <f>$M775/H784</f>
        <v>-146.82577754349145</v>
      </c>
      <c r="M784" s="999"/>
      <c r="N784" s="587"/>
      <c r="O784" s="587"/>
      <c r="P784" s="587"/>
      <c r="Q784" s="587"/>
      <c r="R784" s="587"/>
    </row>
    <row r="785" spans="1:18" ht="12" thickBot="1">
      <c r="A785" s="588" t="s">
        <v>1465</v>
      </c>
      <c r="B785" s="522" t="s">
        <v>436</v>
      </c>
      <c r="C785" s="522" t="s">
        <v>353</v>
      </c>
      <c r="D785" s="522" t="s">
        <v>965</v>
      </c>
      <c r="E785" s="1012">
        <v>3</v>
      </c>
      <c r="F785" s="525">
        <v>165</v>
      </c>
      <c r="G785" s="525">
        <v>230.37</v>
      </c>
      <c r="H785" s="999">
        <f t="shared" si="21"/>
        <v>78.97</v>
      </c>
      <c r="I785" s="1008">
        <f t="shared" si="22"/>
        <v>236.91</v>
      </c>
      <c r="J785" s="1005">
        <f>I785/$M774*$M775</f>
        <v>-1.2671711540805168</v>
      </c>
      <c r="K785" s="1011">
        <f t="shared" si="23"/>
        <v>3</v>
      </c>
      <c r="L785" s="999">
        <f>$M775/H785</f>
        <v>-141.0806635431193</v>
      </c>
      <c r="M785" s="999"/>
      <c r="N785" s="587"/>
      <c r="O785" s="587"/>
      <c r="P785" s="587"/>
      <c r="Q785" s="587"/>
      <c r="R785" s="587"/>
    </row>
    <row r="786" spans="1:18" ht="12" thickBot="1">
      <c r="A786" s="588" t="s">
        <v>1465</v>
      </c>
      <c r="B786" s="522" t="s">
        <v>436</v>
      </c>
      <c r="C786" s="522" t="s">
        <v>345</v>
      </c>
      <c r="D786" s="522" t="s">
        <v>966</v>
      </c>
      <c r="E786" s="1013">
        <v>2</v>
      </c>
      <c r="F786" s="531">
        <v>110</v>
      </c>
      <c r="G786" s="531">
        <v>150.16</v>
      </c>
      <c r="H786" s="999">
        <f t="shared" si="21"/>
        <v>77.259999999999991</v>
      </c>
      <c r="I786" s="1008">
        <f t="shared" si="22"/>
        <v>154.51999999999998</v>
      </c>
      <c r="J786" s="1005">
        <f>I786/$M774*$M775</f>
        <v>-0.82648806183158774</v>
      </c>
      <c r="K786" s="1011">
        <f t="shared" si="23"/>
        <v>2</v>
      </c>
      <c r="L786" s="999">
        <f>$M775/H786</f>
        <v>-144.2032099404625</v>
      </c>
      <c r="M786" s="999"/>
      <c r="N786" s="587"/>
      <c r="O786" s="587"/>
      <c r="P786" s="587"/>
      <c r="Q786" s="587"/>
      <c r="R786" s="587"/>
    </row>
    <row r="787" spans="1:18" ht="12" thickBot="1">
      <c r="A787" s="588" t="s">
        <v>1465</v>
      </c>
      <c r="B787" s="522" t="s">
        <v>436</v>
      </c>
      <c r="C787" s="522" t="s">
        <v>343</v>
      </c>
      <c r="D787" s="522" t="s">
        <v>967</v>
      </c>
      <c r="E787" s="1012">
        <v>49</v>
      </c>
      <c r="F787" s="525">
        <v>2850</v>
      </c>
      <c r="G787" s="525">
        <v>3162.51</v>
      </c>
      <c r="H787" s="999">
        <f t="shared" si="21"/>
        <v>64.19</v>
      </c>
      <c r="I787" s="1008">
        <f t="shared" si="22"/>
        <v>3145.31</v>
      </c>
      <c r="J787" s="1005">
        <f>I787/$M774*$M775</f>
        <v>-16.823460819049387</v>
      </c>
      <c r="K787" s="1011">
        <f t="shared" si="23"/>
        <v>49</v>
      </c>
      <c r="L787" s="999">
        <f>$M775/H787</f>
        <v>-173.56504128369107</v>
      </c>
      <c r="M787" s="999"/>
      <c r="N787" s="587"/>
      <c r="O787" s="587"/>
      <c r="P787" s="587"/>
      <c r="Q787" s="587"/>
      <c r="R787" s="587"/>
    </row>
    <row r="788" spans="1:18" ht="12" thickBot="1">
      <c r="A788" s="588" t="s">
        <v>1465</v>
      </c>
      <c r="B788" s="522" t="s">
        <v>436</v>
      </c>
      <c r="C788" s="522" t="s">
        <v>472</v>
      </c>
      <c r="D788" s="522" t="s">
        <v>968</v>
      </c>
      <c r="E788" s="1013">
        <v>2</v>
      </c>
      <c r="F788" s="531">
        <v>113</v>
      </c>
      <c r="G788" s="531">
        <v>147.44</v>
      </c>
      <c r="H788" s="999">
        <f t="shared" si="21"/>
        <v>75.899999999999991</v>
      </c>
      <c r="I788" s="1008">
        <f t="shared" si="22"/>
        <v>151.79999999999998</v>
      </c>
      <c r="J788" s="1005">
        <f>I788/$M774*$M775</f>
        <v>-0.81193947570563696</v>
      </c>
      <c r="K788" s="1011">
        <f t="shared" si="23"/>
        <v>2</v>
      </c>
      <c r="L788" s="999">
        <f>$M775/H788</f>
        <v>-146.78708827404654</v>
      </c>
      <c r="M788" s="999"/>
      <c r="N788" s="587"/>
      <c r="O788" s="587"/>
      <c r="P788" s="587"/>
      <c r="Q788" s="587"/>
      <c r="R788" s="587"/>
    </row>
    <row r="789" spans="1:18" ht="12" thickBot="1">
      <c r="A789" s="588" t="s">
        <v>1465</v>
      </c>
      <c r="B789" s="522" t="s">
        <v>436</v>
      </c>
      <c r="C789" s="522" t="s">
        <v>382</v>
      </c>
      <c r="D789" s="522" t="s">
        <v>969</v>
      </c>
      <c r="E789" s="1012">
        <v>56</v>
      </c>
      <c r="F789" s="525">
        <v>1585</v>
      </c>
      <c r="G789" s="525">
        <v>839.26</v>
      </c>
      <c r="H789" s="999">
        <f t="shared" si="21"/>
        <v>14.860000000000001</v>
      </c>
      <c r="I789" s="1008">
        <f t="shared" si="22"/>
        <v>832.16000000000008</v>
      </c>
      <c r="J789" s="1005">
        <f>I789/$M774*$M775</f>
        <v>-4.4510115553570682</v>
      </c>
      <c r="K789" s="1011">
        <f t="shared" si="23"/>
        <v>56</v>
      </c>
      <c r="L789" s="999">
        <f>$M775/H789</f>
        <v>-749.74024226111237</v>
      </c>
      <c r="M789" s="999"/>
      <c r="N789" s="587"/>
      <c r="O789" s="587"/>
      <c r="P789" s="587"/>
      <c r="Q789" s="587"/>
      <c r="R789" s="587"/>
    </row>
    <row r="790" spans="1:18" ht="12" thickBot="1">
      <c r="A790" s="588" t="s">
        <v>1465</v>
      </c>
      <c r="B790" s="522" t="s">
        <v>436</v>
      </c>
      <c r="C790" s="522" t="s">
        <v>402</v>
      </c>
      <c r="D790" s="522" t="s">
        <v>970</v>
      </c>
      <c r="E790" s="1013">
        <v>7155</v>
      </c>
      <c r="F790" s="531">
        <v>514561</v>
      </c>
      <c r="G790" s="531">
        <v>75609.289999999994</v>
      </c>
      <c r="H790" s="999">
        <f t="shared" si="21"/>
        <v>10.570000000000002</v>
      </c>
      <c r="I790" s="1008">
        <f t="shared" si="22"/>
        <v>75628.35000000002</v>
      </c>
      <c r="J790" s="1005">
        <f>I790/$M774*$M775</f>
        <v>-404.51675130093832</v>
      </c>
      <c r="K790" s="1011">
        <f t="shared" si="23"/>
        <v>7117</v>
      </c>
      <c r="L790" s="999">
        <f>$M775/H790</f>
        <v>-1054.0340586565874</v>
      </c>
      <c r="M790" s="999"/>
      <c r="N790" s="587"/>
      <c r="O790" s="587"/>
      <c r="P790" s="587"/>
      <c r="Q790" s="587"/>
      <c r="R790" s="587"/>
    </row>
    <row r="791" spans="1:18" ht="12" thickBot="1">
      <c r="A791" s="588" t="s">
        <v>1465</v>
      </c>
      <c r="B791" s="522" t="s">
        <v>436</v>
      </c>
      <c r="C791" s="522" t="s">
        <v>398</v>
      </c>
      <c r="D791" s="522" t="s">
        <v>971</v>
      </c>
      <c r="E791" s="1012">
        <v>134</v>
      </c>
      <c r="F791" s="525">
        <v>23101</v>
      </c>
      <c r="G791" s="525">
        <v>1573</v>
      </c>
      <c r="H791" s="999">
        <f t="shared" si="21"/>
        <v>11.71</v>
      </c>
      <c r="I791" s="1008">
        <f t="shared" si="22"/>
        <v>1569.14</v>
      </c>
      <c r="J791" s="1005">
        <f>I791/$M774*$M775</f>
        <v>-8.3929295712038439</v>
      </c>
      <c r="K791" s="1011">
        <f t="shared" si="23"/>
        <v>133</v>
      </c>
      <c r="L791" s="999">
        <f>$M775/H791</f>
        <v>-951.42100768574971</v>
      </c>
      <c r="M791" s="999"/>
      <c r="N791" s="587"/>
      <c r="O791" s="587"/>
      <c r="P791" s="587"/>
      <c r="Q791" s="587"/>
      <c r="R791" s="587"/>
    </row>
    <row r="792" spans="1:18" ht="12" thickBot="1">
      <c r="A792" s="588" t="s">
        <v>1465</v>
      </c>
      <c r="B792" s="522" t="s">
        <v>436</v>
      </c>
      <c r="C792" s="522" t="s">
        <v>376</v>
      </c>
      <c r="D792" s="522" t="s">
        <v>972</v>
      </c>
      <c r="E792" s="1012">
        <v>236</v>
      </c>
      <c r="F792" s="525">
        <v>4925</v>
      </c>
      <c r="G792" s="525">
        <v>4790.3999999999996</v>
      </c>
      <c r="H792" s="999">
        <f t="shared" si="21"/>
        <v>20.259999999999998</v>
      </c>
      <c r="I792" s="1008">
        <f t="shared" si="22"/>
        <v>4781.3599999999997</v>
      </c>
      <c r="J792" s="1005">
        <f>I792/$M774*$M775</f>
        <v>-25.574274911461821</v>
      </c>
      <c r="K792" s="1011">
        <f t="shared" si="23"/>
        <v>235</v>
      </c>
      <c r="L792" s="999">
        <f>$M775/H792</f>
        <v>-549.90819348470541</v>
      </c>
      <c r="M792" s="999"/>
      <c r="N792" s="587"/>
      <c r="O792" s="587"/>
      <c r="P792" s="587"/>
      <c r="Q792" s="587"/>
      <c r="R792" s="587"/>
    </row>
    <row r="793" spans="1:18" ht="12" thickBot="1">
      <c r="A793" s="588" t="s">
        <v>1465</v>
      </c>
      <c r="B793" s="522" t="s">
        <v>436</v>
      </c>
      <c r="C793" s="522" t="s">
        <v>384</v>
      </c>
      <c r="D793" s="522" t="s">
        <v>973</v>
      </c>
      <c r="E793" s="1013">
        <v>142</v>
      </c>
      <c r="F793" s="531">
        <v>3960</v>
      </c>
      <c r="G793" s="531">
        <v>3043.55</v>
      </c>
      <c r="H793" s="999">
        <f t="shared" si="21"/>
        <v>21.38</v>
      </c>
      <c r="I793" s="1008">
        <f t="shared" si="22"/>
        <v>3035.96</v>
      </c>
      <c r="J793" s="1005">
        <f>I793/$M774*$M775</f>
        <v>-16.238575564316768</v>
      </c>
      <c r="K793" s="1011">
        <f t="shared" si="23"/>
        <v>141</v>
      </c>
      <c r="L793" s="999">
        <f>$M775/H793</f>
        <v>-521.10102899907065</v>
      </c>
      <c r="M793" s="999"/>
      <c r="N793" s="587"/>
      <c r="O793" s="587"/>
      <c r="P793" s="587"/>
      <c r="Q793" s="587"/>
      <c r="R793" s="587"/>
    </row>
    <row r="794" spans="1:18" ht="12" thickBot="1">
      <c r="A794" s="588" t="s">
        <v>1465</v>
      </c>
      <c r="B794" s="522" t="s">
        <v>436</v>
      </c>
      <c r="C794" s="522" t="s">
        <v>386</v>
      </c>
      <c r="D794" s="522" t="s">
        <v>974</v>
      </c>
      <c r="E794" s="1012">
        <v>28</v>
      </c>
      <c r="F794" s="525">
        <v>716</v>
      </c>
      <c r="G794" s="525">
        <v>852.6</v>
      </c>
      <c r="H794" s="999">
        <f t="shared" si="21"/>
        <v>30.84</v>
      </c>
      <c r="I794" s="1008">
        <f t="shared" si="22"/>
        <v>863.52</v>
      </c>
      <c r="J794" s="1005">
        <f>I794/$M774*$M775</f>
        <v>-4.6187481953974414</v>
      </c>
      <c r="K794" s="1011">
        <f t="shared" si="23"/>
        <v>28</v>
      </c>
      <c r="L794" s="999">
        <f>$M775/H794</f>
        <v>-361.25616083009504</v>
      </c>
      <c r="M794" s="999"/>
      <c r="N794" s="587"/>
      <c r="O794" s="587"/>
      <c r="P794" s="587"/>
      <c r="Q794" s="587"/>
      <c r="R794" s="587"/>
    </row>
    <row r="795" spans="1:18" ht="12" thickBot="1">
      <c r="A795" s="588" t="s">
        <v>1465</v>
      </c>
      <c r="B795" s="522" t="s">
        <v>436</v>
      </c>
      <c r="C795" s="522" t="s">
        <v>409</v>
      </c>
      <c r="D795" s="522" t="s">
        <v>975</v>
      </c>
      <c r="E795" s="1013">
        <v>95</v>
      </c>
      <c r="F795" s="531">
        <v>3694</v>
      </c>
      <c r="G795" s="531">
        <v>2967.36</v>
      </c>
      <c r="H795" s="999">
        <f t="shared" si="21"/>
        <v>31.22</v>
      </c>
      <c r="I795" s="1008">
        <f t="shared" si="22"/>
        <v>2965.9</v>
      </c>
      <c r="J795" s="1005">
        <f>I795/$M774*$M775</f>
        <v>-15.863842496675552</v>
      </c>
      <c r="K795" s="1011">
        <f t="shared" si="23"/>
        <v>94</v>
      </c>
      <c r="L795" s="999">
        <f>$M775/H795</f>
        <v>-356.85906470211825</v>
      </c>
      <c r="M795" s="999"/>
      <c r="N795" s="587"/>
      <c r="O795" s="587"/>
      <c r="P795" s="587"/>
      <c r="Q795" s="587"/>
      <c r="R795" s="587"/>
    </row>
    <row r="796" spans="1:18" ht="12" thickBot="1">
      <c r="A796" s="588" t="s">
        <v>1465</v>
      </c>
      <c r="B796" s="522" t="s">
        <v>436</v>
      </c>
      <c r="C796" s="522" t="s">
        <v>387</v>
      </c>
      <c r="D796" s="522" t="s">
        <v>976</v>
      </c>
      <c r="E796" s="1012">
        <v>21</v>
      </c>
      <c r="F796" s="525">
        <v>552</v>
      </c>
      <c r="G796" s="525">
        <v>639.45000000000005</v>
      </c>
      <c r="H796" s="999">
        <f t="shared" si="21"/>
        <v>30.84</v>
      </c>
      <c r="I796" s="1008">
        <f t="shared" si="22"/>
        <v>647.64</v>
      </c>
      <c r="J796" s="1005">
        <f>I796/$M774*$M775</f>
        <v>-3.4640611465480813</v>
      </c>
      <c r="K796" s="1011">
        <f t="shared" si="23"/>
        <v>21</v>
      </c>
      <c r="L796" s="999">
        <f>$M775/H796</f>
        <v>-361.25616083009504</v>
      </c>
      <c r="M796" s="999"/>
      <c r="N796" s="587"/>
      <c r="O796" s="587"/>
      <c r="P796" s="587"/>
      <c r="Q796" s="587"/>
      <c r="R796" s="587"/>
    </row>
    <row r="797" spans="1:18" ht="12" thickBot="1">
      <c r="A797" s="588" t="s">
        <v>1465</v>
      </c>
      <c r="B797" s="522" t="s">
        <v>436</v>
      </c>
      <c r="C797" s="522" t="s">
        <v>410</v>
      </c>
      <c r="D797" s="522" t="s">
        <v>977</v>
      </c>
      <c r="E797" s="1013">
        <v>10</v>
      </c>
      <c r="F797" s="531">
        <v>370</v>
      </c>
      <c r="G797" s="531">
        <v>309.10000000000002</v>
      </c>
      <c r="H797" s="999">
        <f t="shared" si="21"/>
        <v>31.22</v>
      </c>
      <c r="I797" s="1008">
        <f t="shared" si="22"/>
        <v>312.2</v>
      </c>
      <c r="J797" s="1005">
        <f>I797/$M774*$M775</f>
        <v>-1.6698781575447947</v>
      </c>
      <c r="K797" s="1011">
        <f t="shared" si="23"/>
        <v>10</v>
      </c>
      <c r="L797" s="999">
        <f>$M775/H797</f>
        <v>-356.85906470211825</v>
      </c>
      <c r="M797" s="999"/>
      <c r="N797" s="587"/>
      <c r="O797" s="587"/>
      <c r="P797" s="587"/>
      <c r="Q797" s="587"/>
      <c r="R797" s="587"/>
    </row>
    <row r="798" spans="1:18" ht="12" thickBot="1">
      <c r="A798" s="588" t="s">
        <v>1465</v>
      </c>
      <c r="B798" s="522" t="s">
        <v>436</v>
      </c>
      <c r="C798" s="522" t="s">
        <v>405</v>
      </c>
      <c r="D798" s="522" t="s">
        <v>978</v>
      </c>
      <c r="E798" s="1012">
        <v>468</v>
      </c>
      <c r="F798" s="525">
        <v>18305</v>
      </c>
      <c r="G798" s="525">
        <v>7193.9</v>
      </c>
      <c r="H798" s="999">
        <f t="shared" si="21"/>
        <v>15.360000000000001</v>
      </c>
      <c r="I798" s="1008">
        <f t="shared" si="22"/>
        <v>7188.4800000000005</v>
      </c>
      <c r="J798" s="1005">
        <f>I798/$M774*$M775</f>
        <v>-38.449345733336351</v>
      </c>
      <c r="K798" s="1011">
        <f t="shared" si="23"/>
        <v>465</v>
      </c>
      <c r="L798" s="999">
        <f>$M775/H798</f>
        <v>-725.33463541667504</v>
      </c>
      <c r="M798" s="999"/>
      <c r="N798" s="587"/>
      <c r="O798" s="587"/>
      <c r="P798" s="587"/>
      <c r="Q798" s="587"/>
      <c r="R798" s="587"/>
    </row>
    <row r="799" spans="1:18" ht="12" thickBot="1">
      <c r="A799" s="588" t="s">
        <v>1465</v>
      </c>
      <c r="B799" s="522" t="s">
        <v>436</v>
      </c>
      <c r="C799" s="522" t="s">
        <v>326</v>
      </c>
      <c r="D799" s="522" t="s">
        <v>979</v>
      </c>
      <c r="E799" s="1013">
        <v>5</v>
      </c>
      <c r="F799" s="531">
        <v>163</v>
      </c>
      <c r="G799" s="531">
        <v>16.399999999999999</v>
      </c>
      <c r="H799" s="999">
        <f t="shared" si="21"/>
        <v>3.39</v>
      </c>
      <c r="I799" s="1008">
        <f t="shared" si="22"/>
        <v>16.95</v>
      </c>
      <c r="J799" s="1005">
        <f>I799/$M774*$M775</f>
        <v>-9.0661226042230217E-2</v>
      </c>
      <c r="K799" s="1011">
        <f t="shared" si="23"/>
        <v>5</v>
      </c>
      <c r="L799" s="999">
        <f>$M775/H799</f>
        <v>-3286.4719764012184</v>
      </c>
      <c r="M799" s="999"/>
      <c r="N799" s="587"/>
      <c r="O799" s="587"/>
      <c r="P799" s="587"/>
      <c r="Q799" s="587"/>
      <c r="R799" s="587"/>
    </row>
    <row r="800" spans="1:18" ht="12" thickBot="1">
      <c r="A800" s="588" t="s">
        <v>1465</v>
      </c>
      <c r="B800" s="522" t="s">
        <v>436</v>
      </c>
      <c r="C800" s="522" t="s">
        <v>356</v>
      </c>
      <c r="D800" s="522" t="s">
        <v>980</v>
      </c>
      <c r="E800" s="1012">
        <v>676</v>
      </c>
      <c r="F800" s="525">
        <v>46964</v>
      </c>
      <c r="G800" s="525">
        <v>3070.38</v>
      </c>
      <c r="H800" s="999">
        <f t="shared" si="21"/>
        <v>4.5400000000000009</v>
      </c>
      <c r="I800" s="1008">
        <f t="shared" si="22"/>
        <v>3069.0400000000004</v>
      </c>
      <c r="J800" s="1005">
        <f>I800/$M774*$M775</f>
        <v>-16.415512045583849</v>
      </c>
      <c r="K800" s="1011">
        <f t="shared" si="23"/>
        <v>672</v>
      </c>
      <c r="L800" s="999">
        <f>$M775/H800</f>
        <v>-2453.9955947136846</v>
      </c>
      <c r="M800" s="999"/>
      <c r="N800" s="587"/>
      <c r="O800" s="587"/>
      <c r="P800" s="587"/>
      <c r="Q800" s="587"/>
      <c r="R800" s="587"/>
    </row>
    <row r="801" spans="1:18" ht="12" thickBot="1">
      <c r="A801" s="588" t="s">
        <v>1465</v>
      </c>
      <c r="B801" s="522" t="s">
        <v>436</v>
      </c>
      <c r="C801" s="522" t="s">
        <v>374</v>
      </c>
      <c r="D801" s="522" t="s">
        <v>981</v>
      </c>
      <c r="E801" s="1013">
        <v>120</v>
      </c>
      <c r="F801" s="531">
        <v>13176</v>
      </c>
      <c r="G801" s="531">
        <v>812.83</v>
      </c>
      <c r="H801" s="999">
        <f t="shared" si="21"/>
        <v>6.78</v>
      </c>
      <c r="I801" s="1008">
        <f t="shared" si="22"/>
        <v>813.6</v>
      </c>
      <c r="J801" s="1005">
        <f>I801/$M774*$M775</f>
        <v>-4.3517388500270506</v>
      </c>
      <c r="K801" s="1011">
        <f t="shared" si="23"/>
        <v>119</v>
      </c>
      <c r="L801" s="999">
        <f>$M775/H801</f>
        <v>-1643.2359882006092</v>
      </c>
      <c r="M801" s="999"/>
      <c r="N801" s="587"/>
      <c r="O801" s="587"/>
      <c r="P801" s="587"/>
      <c r="Q801" s="587"/>
      <c r="R801" s="587"/>
    </row>
    <row r="802" spans="1:18" ht="12" thickBot="1">
      <c r="A802" s="588" t="s">
        <v>1465</v>
      </c>
      <c r="B802" s="522" t="s">
        <v>436</v>
      </c>
      <c r="C802" s="522" t="s">
        <v>399</v>
      </c>
      <c r="D802" s="522" t="s">
        <v>982</v>
      </c>
      <c r="E802" s="1012">
        <v>2</v>
      </c>
      <c r="F802" s="525">
        <v>283</v>
      </c>
      <c r="G802" s="525">
        <v>17.52</v>
      </c>
      <c r="H802" s="999">
        <f t="shared" si="21"/>
        <v>9.06</v>
      </c>
      <c r="I802" s="1008">
        <f t="shared" si="22"/>
        <v>18.12</v>
      </c>
      <c r="J802" s="1005">
        <f>I802/$M774*$M775</f>
        <v>-9.6919257574348772E-2</v>
      </c>
      <c r="K802" s="1011">
        <f t="shared" si="23"/>
        <v>2</v>
      </c>
      <c r="L802" s="999">
        <f>$M775/H802</f>
        <v>-1229.7064017660186</v>
      </c>
      <c r="M802" s="999"/>
      <c r="N802" s="587"/>
      <c r="O802" s="587"/>
      <c r="P802" s="587"/>
      <c r="Q802" s="587"/>
      <c r="R802" s="587"/>
    </row>
    <row r="803" spans="1:18" ht="12" thickBot="1">
      <c r="A803" s="588" t="s">
        <v>1465</v>
      </c>
      <c r="B803" s="522" t="s">
        <v>436</v>
      </c>
      <c r="C803" s="522" t="s">
        <v>391</v>
      </c>
      <c r="D803" s="522" t="s">
        <v>983</v>
      </c>
      <c r="E803" s="1013">
        <v>162</v>
      </c>
      <c r="F803" s="531">
        <v>4757</v>
      </c>
      <c r="G803" s="531">
        <v>1206.8</v>
      </c>
      <c r="H803" s="999">
        <f t="shared" si="21"/>
        <v>7.4399999999999995</v>
      </c>
      <c r="I803" s="1008">
        <f t="shared" si="22"/>
        <v>1205.28</v>
      </c>
      <c r="J803" s="1005">
        <f>I803/$M774*$M775</f>
        <v>-6.4467352521639665</v>
      </c>
      <c r="K803" s="1011">
        <f t="shared" si="23"/>
        <v>161</v>
      </c>
      <c r="L803" s="999">
        <f>$M775/H803</f>
        <v>-1497.4650537634584</v>
      </c>
      <c r="M803" s="999"/>
      <c r="N803" s="587"/>
      <c r="O803" s="587"/>
      <c r="P803" s="587"/>
      <c r="Q803" s="587"/>
      <c r="R803" s="587"/>
    </row>
    <row r="804" spans="1:18" ht="12" thickBot="1">
      <c r="A804" s="588" t="s">
        <v>1465</v>
      </c>
      <c r="B804" s="522" t="s">
        <v>436</v>
      </c>
      <c r="C804" s="522" t="s">
        <v>416</v>
      </c>
      <c r="D804" s="522" t="s">
        <v>984</v>
      </c>
      <c r="E804" s="1012">
        <v>34920</v>
      </c>
      <c r="F804" s="525">
        <v>1429187</v>
      </c>
      <c r="G804" s="525">
        <v>273654.43</v>
      </c>
      <c r="H804" s="999">
        <f t="shared" ref="H804:H835" si="24">SUMIF(_Lights_Tariff_Category,20140101&amp;$C804,_Lights_Rates)</f>
        <v>7.84</v>
      </c>
      <c r="I804" s="1008">
        <f t="shared" si="22"/>
        <v>273772.79999999999</v>
      </c>
      <c r="J804" s="1005">
        <f>I804/$M774*$M775</f>
        <v>-1464.3408675524652</v>
      </c>
      <c r="K804" s="1011">
        <f t="shared" si="23"/>
        <v>34733</v>
      </c>
      <c r="L804" s="999">
        <f>$M775/H804</f>
        <v>-1421.0637755102207</v>
      </c>
      <c r="M804" s="999"/>
      <c r="N804" s="587"/>
      <c r="O804" s="587"/>
      <c r="P804" s="587"/>
      <c r="Q804" s="587"/>
      <c r="R804" s="587"/>
    </row>
    <row r="805" spans="1:18" ht="12" thickBot="1">
      <c r="A805" s="588" t="s">
        <v>1465</v>
      </c>
      <c r="B805" s="522" t="s">
        <v>436</v>
      </c>
      <c r="C805" s="522" t="s">
        <v>407</v>
      </c>
      <c r="D805" s="522" t="s">
        <v>985</v>
      </c>
      <c r="E805" s="1012">
        <v>1146</v>
      </c>
      <c r="F805" s="525">
        <v>45157</v>
      </c>
      <c r="G805" s="525">
        <v>25220.25</v>
      </c>
      <c r="H805" s="999">
        <f t="shared" si="24"/>
        <v>22</v>
      </c>
      <c r="I805" s="1008">
        <f t="shared" si="22"/>
        <v>25212</v>
      </c>
      <c r="J805" s="1005">
        <f>I805/$M774*$M775</f>
        <v>-134.85255639980579</v>
      </c>
      <c r="K805" s="1011">
        <f t="shared" si="23"/>
        <v>1140</v>
      </c>
      <c r="L805" s="999">
        <f>$M775/H805</f>
        <v>-506.41545454546048</v>
      </c>
      <c r="M805" s="999"/>
      <c r="N805" s="587"/>
      <c r="O805" s="587"/>
      <c r="P805" s="587"/>
      <c r="Q805" s="587"/>
      <c r="R805" s="587"/>
    </row>
    <row r="806" spans="1:18" ht="12" thickBot="1">
      <c r="A806" s="588"/>
      <c r="B806" s="522"/>
      <c r="C806" s="522" t="s">
        <v>373</v>
      </c>
      <c r="D806" s="522" t="s">
        <v>986</v>
      </c>
      <c r="E806" s="1013">
        <v>16</v>
      </c>
      <c r="F806" s="531">
        <v>856</v>
      </c>
      <c r="G806" s="531">
        <v>60.16</v>
      </c>
      <c r="H806" s="999">
        <f t="shared" si="24"/>
        <v>7.74</v>
      </c>
      <c r="I806" s="1008">
        <f t="shared" si="22"/>
        <v>123.84</v>
      </c>
      <c r="J806" s="1005">
        <f>I806/$M774*$M775</f>
        <v>-0.66238856832270143</v>
      </c>
      <c r="K806" s="1011">
        <f t="shared" si="23"/>
        <v>16</v>
      </c>
      <c r="L806" s="999">
        <f>$M775/H806</f>
        <v>-1439.4237726098359</v>
      </c>
      <c r="M806" s="999"/>
      <c r="N806" s="587"/>
      <c r="O806" s="587"/>
      <c r="P806" s="587"/>
      <c r="Q806" s="587"/>
      <c r="R806" s="587"/>
    </row>
    <row r="807" spans="1:18" ht="12" thickBot="1">
      <c r="A807" s="588" t="s">
        <v>1465</v>
      </c>
      <c r="B807" s="522" t="s">
        <v>436</v>
      </c>
      <c r="C807" s="522" t="s">
        <v>375</v>
      </c>
      <c r="D807" s="522" t="s">
        <v>987</v>
      </c>
      <c r="E807" s="1012">
        <v>2</v>
      </c>
      <c r="F807" s="525">
        <v>41</v>
      </c>
      <c r="G807" s="525">
        <v>26.62</v>
      </c>
      <c r="H807" s="999">
        <f t="shared" si="24"/>
        <v>13.610000000000001</v>
      </c>
      <c r="I807" s="1008">
        <f t="shared" si="22"/>
        <v>27.220000000000002</v>
      </c>
      <c r="J807" s="1005">
        <f>I807/$M774*$M775</f>
        <v>-0.14559283615749302</v>
      </c>
      <c r="K807" s="1011">
        <f t="shared" si="23"/>
        <v>2</v>
      </c>
      <c r="L807" s="999">
        <f>$M775/H807</f>
        <v>-818.599559147695</v>
      </c>
      <c r="M807" s="999"/>
      <c r="N807" s="587"/>
      <c r="O807" s="587"/>
      <c r="P807" s="587"/>
      <c r="Q807" s="587"/>
      <c r="R807" s="587"/>
    </row>
    <row r="808" spans="1:18" ht="12" thickBot="1">
      <c r="A808" s="588" t="s">
        <v>1465</v>
      </c>
      <c r="B808" s="522" t="s">
        <v>436</v>
      </c>
      <c r="C808" s="522" t="s">
        <v>401</v>
      </c>
      <c r="D808" s="522" t="s">
        <v>988</v>
      </c>
      <c r="E808" s="1013">
        <v>1070</v>
      </c>
      <c r="F808" s="531">
        <v>77226</v>
      </c>
      <c r="G808" s="531">
        <v>10227.709999999999</v>
      </c>
      <c r="H808" s="999">
        <f t="shared" si="24"/>
        <v>9.5600000000000023</v>
      </c>
      <c r="I808" s="1008">
        <f t="shared" si="22"/>
        <v>10229.200000000003</v>
      </c>
      <c r="J808" s="1005">
        <f>I808/$M774*$M775</f>
        <v>-54.71338132337354</v>
      </c>
      <c r="K808" s="1011">
        <f t="shared" si="23"/>
        <v>1064</v>
      </c>
      <c r="L808" s="999">
        <f>$M775/H808</f>
        <v>-1165.3912133891347</v>
      </c>
      <c r="M808" s="999"/>
      <c r="N808" s="587"/>
      <c r="O808" s="587"/>
      <c r="P808" s="587"/>
      <c r="Q808" s="587"/>
      <c r="R808" s="587"/>
    </row>
    <row r="809" spans="1:18" ht="12" thickBot="1">
      <c r="A809" s="588" t="s">
        <v>1465</v>
      </c>
      <c r="B809" s="522" t="s">
        <v>436</v>
      </c>
      <c r="C809" s="522" t="s">
        <v>328</v>
      </c>
      <c r="D809" s="522" t="s">
        <v>989</v>
      </c>
      <c r="E809" s="1012">
        <v>734</v>
      </c>
      <c r="F809" s="525">
        <v>69794</v>
      </c>
      <c r="G809" s="525">
        <v>8310.1200000000008</v>
      </c>
      <c r="H809" s="999">
        <f t="shared" si="24"/>
        <v>11.32</v>
      </c>
      <c r="I809" s="1008">
        <f t="shared" si="22"/>
        <v>8308.880000000001</v>
      </c>
      <c r="J809" s="1005">
        <f>I809/$M774*$M775</f>
        <v>-44.442079518452267</v>
      </c>
      <c r="K809" s="1011">
        <f t="shared" si="23"/>
        <v>730</v>
      </c>
      <c r="L809" s="999">
        <f>$M775/H809</f>
        <v>-984.19964664312101</v>
      </c>
      <c r="M809" s="999"/>
      <c r="N809" s="587"/>
      <c r="O809" s="587"/>
      <c r="P809" s="587"/>
      <c r="Q809" s="587"/>
      <c r="R809" s="587"/>
    </row>
    <row r="810" spans="1:18" ht="12" thickBot="1">
      <c r="A810" s="588" t="s">
        <v>1465</v>
      </c>
      <c r="B810" s="522" t="s">
        <v>436</v>
      </c>
      <c r="C810" s="522" t="s">
        <v>437</v>
      </c>
      <c r="D810" s="522" t="s">
        <v>990</v>
      </c>
      <c r="E810" s="1013">
        <v>1606</v>
      </c>
      <c r="F810" s="531">
        <v>249323</v>
      </c>
      <c r="G810" s="531">
        <v>20574.900000000001</v>
      </c>
      <c r="H810" s="999">
        <f t="shared" si="24"/>
        <v>12.809999999999999</v>
      </c>
      <c r="I810" s="1008">
        <f t="shared" si="22"/>
        <v>20572.859999999997</v>
      </c>
      <c r="J810" s="1005">
        <f>I810/$M774*$M775</f>
        <v>-110.03897998791481</v>
      </c>
      <c r="K810" s="1011">
        <f t="shared" si="23"/>
        <v>1597</v>
      </c>
      <c r="L810" s="999">
        <f>$M775/H810</f>
        <v>-869.72209211554502</v>
      </c>
      <c r="M810" s="999"/>
      <c r="N810" s="587"/>
      <c r="O810" s="587"/>
      <c r="P810" s="587"/>
      <c r="Q810" s="587"/>
      <c r="R810" s="587"/>
    </row>
    <row r="811" spans="1:18" ht="12" thickBot="1">
      <c r="A811" s="588" t="s">
        <v>1465</v>
      </c>
      <c r="B811" s="522" t="s">
        <v>436</v>
      </c>
      <c r="C811" s="522" t="s">
        <v>338</v>
      </c>
      <c r="D811" s="522" t="s">
        <v>991</v>
      </c>
      <c r="E811" s="1013">
        <v>614</v>
      </c>
      <c r="F811" s="531">
        <v>32075</v>
      </c>
      <c r="G811" s="531">
        <v>8747.93</v>
      </c>
      <c r="H811" s="999">
        <f t="shared" si="24"/>
        <v>14.25</v>
      </c>
      <c r="I811" s="1008">
        <f t="shared" si="22"/>
        <v>8749.5</v>
      </c>
      <c r="J811" s="1005">
        <f>I811/$M774*$M775</f>
        <v>-46.798843495958309</v>
      </c>
      <c r="K811" s="1011">
        <f t="shared" si="23"/>
        <v>611</v>
      </c>
      <c r="L811" s="999">
        <f>$M775/H811</f>
        <v>-781.83438596492147</v>
      </c>
      <c r="M811" s="999"/>
      <c r="N811" s="587"/>
      <c r="O811" s="587"/>
      <c r="P811" s="587"/>
      <c r="Q811" s="587"/>
      <c r="R811" s="587"/>
    </row>
    <row r="812" spans="1:18" ht="12" thickBot="1">
      <c r="A812" s="588" t="s">
        <v>1465</v>
      </c>
      <c r="B812" s="522" t="s">
        <v>436</v>
      </c>
      <c r="C812" s="522" t="s">
        <v>370</v>
      </c>
      <c r="D812" s="522" t="s">
        <v>992</v>
      </c>
      <c r="E812" s="1013">
        <v>5012</v>
      </c>
      <c r="F812" s="531">
        <v>589028</v>
      </c>
      <c r="G812" s="531">
        <v>97911.63</v>
      </c>
      <c r="H812" s="999">
        <f t="shared" si="24"/>
        <v>20.200000000000003</v>
      </c>
      <c r="I812" s="1008">
        <f t="shared" si="22"/>
        <v>101242.40000000001</v>
      </c>
      <c r="J812" s="1005">
        <f>I812/$M774*$M775</f>
        <v>-541.51977058748605</v>
      </c>
      <c r="K812" s="1011">
        <f t="shared" si="23"/>
        <v>4985</v>
      </c>
      <c r="L812" s="999">
        <f>$M775/H812</f>
        <v>-551.54158415842221</v>
      </c>
      <c r="M812" s="999"/>
      <c r="N812" s="587"/>
      <c r="O812" s="587"/>
      <c r="P812" s="587"/>
      <c r="Q812" s="587"/>
      <c r="R812" s="587"/>
    </row>
    <row r="813" spans="1:18" ht="12" thickBot="1">
      <c r="A813" s="588" t="s">
        <v>1465</v>
      </c>
      <c r="B813" s="522" t="s">
        <v>436</v>
      </c>
      <c r="C813" s="522" t="s">
        <v>333</v>
      </c>
      <c r="D813" s="522" t="s">
        <v>993</v>
      </c>
      <c r="E813" s="1013">
        <v>1038</v>
      </c>
      <c r="F813" s="531">
        <v>375082</v>
      </c>
      <c r="G813" s="531">
        <v>42424.7</v>
      </c>
      <c r="H813" s="999">
        <f t="shared" si="24"/>
        <v>42.350000000000009</v>
      </c>
      <c r="I813" s="1008">
        <f t="shared" si="22"/>
        <v>43959.30000000001</v>
      </c>
      <c r="J813" s="1005">
        <f>I813/$M774*$M775</f>
        <v>-235.12708164945204</v>
      </c>
      <c r="K813" s="1011">
        <f t="shared" si="23"/>
        <v>1032</v>
      </c>
      <c r="L813" s="999">
        <f>$M775/H813</f>
        <v>-263.07296340023913</v>
      </c>
      <c r="M813" s="999"/>
      <c r="N813" s="587"/>
      <c r="O813" s="587"/>
      <c r="P813" s="587"/>
      <c r="Q813" s="587"/>
      <c r="R813" s="587"/>
    </row>
    <row r="814" spans="1:18" ht="12" thickBot="1">
      <c r="A814" s="588" t="s">
        <v>1465</v>
      </c>
      <c r="B814" s="522" t="s">
        <v>436</v>
      </c>
      <c r="C814" s="522" t="s">
        <v>336</v>
      </c>
      <c r="D814" s="522" t="s">
        <v>994</v>
      </c>
      <c r="E814" s="1013">
        <v>124</v>
      </c>
      <c r="F814" s="531">
        <v>7761</v>
      </c>
      <c r="G814" s="531">
        <v>2808.33</v>
      </c>
      <c r="H814" s="999">
        <f t="shared" si="24"/>
        <v>18.649999999999999</v>
      </c>
      <c r="I814" s="1008">
        <f t="shared" si="22"/>
        <v>2312.6</v>
      </c>
      <c r="J814" s="1005">
        <f>I814/$M774*$M775</f>
        <v>-12.369507453997734</v>
      </c>
      <c r="K814" s="1011">
        <f t="shared" si="23"/>
        <v>123</v>
      </c>
      <c r="L814" s="999">
        <f>$M775/H814</f>
        <v>-597.38016085791594</v>
      </c>
      <c r="M814" s="999"/>
      <c r="N814" s="587"/>
      <c r="O814" s="587"/>
      <c r="P814" s="587"/>
      <c r="Q814" s="587"/>
      <c r="R814" s="587"/>
    </row>
    <row r="815" spans="1:18" ht="12" thickBot="1">
      <c r="A815" s="588" t="s">
        <v>1465</v>
      </c>
      <c r="B815" s="522" t="s">
        <v>436</v>
      </c>
      <c r="C815" s="522" t="s">
        <v>368</v>
      </c>
      <c r="D815" s="522" t="s">
        <v>995</v>
      </c>
      <c r="E815" s="1013">
        <v>1027</v>
      </c>
      <c r="F815" s="531">
        <v>120423</v>
      </c>
      <c r="G815" s="531">
        <v>24574.15</v>
      </c>
      <c r="H815" s="999">
        <f t="shared" si="24"/>
        <v>24.59</v>
      </c>
      <c r="I815" s="1008">
        <f t="shared" si="22"/>
        <v>25253.93</v>
      </c>
      <c r="J815" s="1005">
        <f>I815/$M774*$M775</f>
        <v>-135.0768292734312</v>
      </c>
      <c r="K815" s="1011">
        <f t="shared" si="23"/>
        <v>1022</v>
      </c>
      <c r="L815" s="999">
        <f>$M775/H815</f>
        <v>-453.07604717365314</v>
      </c>
      <c r="M815" s="999"/>
      <c r="N815" s="587"/>
      <c r="O815" s="587"/>
      <c r="P815" s="587"/>
      <c r="Q815" s="587"/>
      <c r="R815" s="587"/>
    </row>
    <row r="816" spans="1:18" ht="12" thickBot="1">
      <c r="A816" s="588" t="s">
        <v>1465</v>
      </c>
      <c r="B816" s="522" t="s">
        <v>436</v>
      </c>
      <c r="C816" s="522" t="s">
        <v>400</v>
      </c>
      <c r="D816" s="522" t="s">
        <v>996</v>
      </c>
      <c r="E816" s="1012">
        <v>126</v>
      </c>
      <c r="F816" s="525">
        <v>9293</v>
      </c>
      <c r="G816" s="525">
        <v>1612.8</v>
      </c>
      <c r="H816" s="999">
        <f t="shared" si="24"/>
        <v>11.870000000000001</v>
      </c>
      <c r="I816" s="1008">
        <f t="shared" si="22"/>
        <v>1495.6200000000001</v>
      </c>
      <c r="J816" s="1005">
        <f>I816/$M774*$M775</f>
        <v>-7.9996898462112318</v>
      </c>
      <c r="K816" s="1011">
        <f t="shared" si="23"/>
        <v>125</v>
      </c>
      <c r="L816" s="999">
        <f>$M775/H816</f>
        <v>-938.5964616680817</v>
      </c>
      <c r="M816" s="999"/>
      <c r="N816" s="587"/>
      <c r="O816" s="587"/>
      <c r="P816" s="587"/>
      <c r="Q816" s="587"/>
      <c r="R816" s="587"/>
    </row>
    <row r="817" spans="1:18" ht="12" thickBot="1">
      <c r="A817" s="588" t="s">
        <v>1465</v>
      </c>
      <c r="B817" s="522" t="s">
        <v>436</v>
      </c>
      <c r="C817" s="522" t="s">
        <v>327</v>
      </c>
      <c r="D817" s="522" t="s">
        <v>997</v>
      </c>
      <c r="E817" s="1013">
        <v>402</v>
      </c>
      <c r="F817" s="531">
        <v>41613</v>
      </c>
      <c r="G817" s="531">
        <v>5896.8</v>
      </c>
      <c r="H817" s="999">
        <f t="shared" si="24"/>
        <v>13.360000000000001</v>
      </c>
      <c r="I817" s="1008">
        <f t="shared" si="22"/>
        <v>5370.72</v>
      </c>
      <c r="J817" s="1005">
        <f>I817/$M774*$M775</f>
        <v>-28.726611205281813</v>
      </c>
      <c r="K817" s="1011">
        <f t="shared" si="23"/>
        <v>400</v>
      </c>
      <c r="L817" s="999">
        <f>$M775/H817</f>
        <v>-833.91766467066839</v>
      </c>
      <c r="M817" s="999"/>
      <c r="N817" s="587"/>
      <c r="O817" s="587"/>
      <c r="P817" s="587"/>
      <c r="Q817" s="587"/>
      <c r="R817" s="587"/>
    </row>
    <row r="818" spans="1:18" ht="12" thickBot="1">
      <c r="A818" s="588" t="s">
        <v>1465</v>
      </c>
      <c r="B818" s="522" t="s">
        <v>436</v>
      </c>
      <c r="C818" s="522" t="s">
        <v>357</v>
      </c>
      <c r="D818" s="522" t="s">
        <v>998</v>
      </c>
      <c r="E818" s="1012">
        <v>1593</v>
      </c>
      <c r="F818" s="525">
        <v>232112</v>
      </c>
      <c r="G818" s="525">
        <v>23343.63</v>
      </c>
      <c r="H818" s="999">
        <f t="shared" si="24"/>
        <v>15.079999999999998</v>
      </c>
      <c r="I818" s="1008">
        <f t="shared" si="22"/>
        <v>24022.44</v>
      </c>
      <c r="J818" s="1005">
        <f>I818/$M774*$M775</f>
        <v>-128.48990341745798</v>
      </c>
      <c r="K818" s="1011">
        <f t="shared" si="23"/>
        <v>1584</v>
      </c>
      <c r="L818" s="999">
        <f>$M775/H818</f>
        <v>-738.80238726791322</v>
      </c>
      <c r="M818" s="999"/>
      <c r="N818" s="587"/>
      <c r="O818" s="587"/>
      <c r="P818" s="587"/>
      <c r="Q818" s="587"/>
      <c r="R818" s="587"/>
    </row>
    <row r="819" spans="1:18" ht="12" thickBot="1">
      <c r="A819" s="588" t="s">
        <v>1465</v>
      </c>
      <c r="B819" s="522" t="s">
        <v>436</v>
      </c>
      <c r="C819" s="522" t="s">
        <v>331</v>
      </c>
      <c r="D819" s="522" t="s">
        <v>999</v>
      </c>
      <c r="E819" s="1013">
        <v>246</v>
      </c>
      <c r="F819" s="531">
        <v>90279</v>
      </c>
      <c r="G819" s="531">
        <v>11158.38</v>
      </c>
      <c r="H819" s="999">
        <f t="shared" si="24"/>
        <v>46.740000000000009</v>
      </c>
      <c r="I819" s="1008">
        <f t="shared" si="22"/>
        <v>11498.040000000003</v>
      </c>
      <c r="J819" s="1005">
        <f>I819/$M774*$M775</f>
        <v>-61.500082801333626</v>
      </c>
      <c r="K819" s="1011">
        <f t="shared" si="23"/>
        <v>245</v>
      </c>
      <c r="L819" s="999">
        <f>$M775/H819</f>
        <v>-238.36414206247599</v>
      </c>
      <c r="M819" s="999"/>
      <c r="N819" s="587"/>
      <c r="O819" s="587"/>
      <c r="P819" s="587"/>
      <c r="Q819" s="587"/>
      <c r="R819" s="587"/>
    </row>
    <row r="820" spans="1:18" ht="12" thickBot="1">
      <c r="A820" s="588" t="s">
        <v>1465</v>
      </c>
      <c r="B820" s="522" t="s">
        <v>436</v>
      </c>
      <c r="C820" s="522" t="s">
        <v>335</v>
      </c>
      <c r="D820" s="522" t="s">
        <v>1000</v>
      </c>
      <c r="E820" s="1013">
        <v>-249</v>
      </c>
      <c r="F820" s="531">
        <v>1379</v>
      </c>
      <c r="G820" s="531">
        <v>717.12</v>
      </c>
      <c r="H820" s="999">
        <f t="shared" si="24"/>
        <v>27.15</v>
      </c>
      <c r="I820" s="1008">
        <f t="shared" si="22"/>
        <v>-6760.3499999999995</v>
      </c>
      <c r="J820" s="1005">
        <f>I820/$M774*$M775</f>
        <v>36.159387579621885</v>
      </c>
      <c r="K820" s="1011">
        <f t="shared" si="23"/>
        <v>-248</v>
      </c>
      <c r="L820" s="999">
        <f>$M775/H820</f>
        <v>-410.35506445672672</v>
      </c>
      <c r="M820" s="999"/>
      <c r="N820" s="587"/>
      <c r="O820" s="587"/>
      <c r="P820" s="587"/>
      <c r="Q820" s="587"/>
      <c r="R820" s="587"/>
    </row>
    <row r="821" spans="1:18" ht="12" thickBot="1">
      <c r="A821" s="588" t="s">
        <v>1465</v>
      </c>
      <c r="B821" s="522" t="s">
        <v>436</v>
      </c>
      <c r="C821" s="522" t="s">
        <v>372</v>
      </c>
      <c r="D821" s="522" t="s">
        <v>1001</v>
      </c>
      <c r="E821" s="1012">
        <v>6467</v>
      </c>
      <c r="F821" s="525">
        <v>138640</v>
      </c>
      <c r="G821" s="525">
        <v>50252.84</v>
      </c>
      <c r="H821" s="999">
        <f t="shared" si="24"/>
        <v>7.54</v>
      </c>
      <c r="I821" s="1008">
        <f t="shared" si="22"/>
        <v>48761.18</v>
      </c>
      <c r="J821" s="1005">
        <f>I821/$M774*$M775</f>
        <v>-260.81111280624634</v>
      </c>
      <c r="K821" s="1011">
        <f t="shared" si="23"/>
        <v>6432</v>
      </c>
      <c r="L821" s="999">
        <f>$M775/H821</f>
        <v>-1477.6047745358262</v>
      </c>
      <c r="M821" s="999"/>
      <c r="N821" s="587"/>
      <c r="O821" s="587"/>
      <c r="P821" s="587"/>
      <c r="Q821" s="587"/>
      <c r="R821" s="587"/>
    </row>
    <row r="822" spans="1:18" ht="12" thickBot="1">
      <c r="A822" s="588" t="s">
        <v>1465</v>
      </c>
      <c r="B822" s="522" t="s">
        <v>436</v>
      </c>
      <c r="C822" s="522" t="s">
        <v>381</v>
      </c>
      <c r="D822" s="522" t="s">
        <v>1002</v>
      </c>
      <c r="E822" s="1013">
        <v>9866</v>
      </c>
      <c r="F822" s="531">
        <v>283290</v>
      </c>
      <c r="G822" s="531">
        <v>87242.69</v>
      </c>
      <c r="H822" s="999">
        <f t="shared" si="24"/>
        <v>8.66</v>
      </c>
      <c r="I822" s="1008">
        <f t="shared" si="22"/>
        <v>85439.56</v>
      </c>
      <c r="J822" s="1005">
        <f>I822/$M774*$M775</f>
        <v>-456.99441074387556</v>
      </c>
      <c r="K822" s="1011">
        <f t="shared" si="23"/>
        <v>9813</v>
      </c>
      <c r="L822" s="999">
        <f>$M775/H822</f>
        <v>-1286.5057736720705</v>
      </c>
      <c r="M822" s="999"/>
      <c r="N822" s="587"/>
      <c r="O822" s="587"/>
      <c r="P822" s="587"/>
      <c r="Q822" s="587"/>
      <c r="R822" s="587"/>
    </row>
    <row r="823" spans="1:18" ht="12" thickBot="1">
      <c r="A823" s="588" t="s">
        <v>1465</v>
      </c>
      <c r="B823" s="522" t="s">
        <v>436</v>
      </c>
      <c r="C823" s="522" t="s">
        <v>404</v>
      </c>
      <c r="D823" s="522" t="s">
        <v>1003</v>
      </c>
      <c r="E823" s="1012">
        <v>20336</v>
      </c>
      <c r="F823" s="525">
        <v>802094</v>
      </c>
      <c r="G823" s="525">
        <v>182173.91</v>
      </c>
      <c r="H823" s="999">
        <f t="shared" si="24"/>
        <v>9.14</v>
      </c>
      <c r="I823" s="1008">
        <f t="shared" si="22"/>
        <v>185871.04</v>
      </c>
      <c r="J823" s="1005">
        <f>I823/$M774*$M775</f>
        <v>-994.17677711766464</v>
      </c>
      <c r="K823" s="1011">
        <f t="shared" si="23"/>
        <v>20227</v>
      </c>
      <c r="L823" s="999">
        <f>$M775/H823</f>
        <v>-1218.9431072210207</v>
      </c>
      <c r="M823" s="999"/>
      <c r="N823" s="587"/>
      <c r="O823" s="587"/>
      <c r="P823" s="587"/>
      <c r="Q823" s="587"/>
      <c r="R823" s="587"/>
    </row>
    <row r="824" spans="1:18" ht="12" thickBot="1">
      <c r="A824" s="588" t="s">
        <v>1465</v>
      </c>
      <c r="B824" s="522" t="s">
        <v>436</v>
      </c>
      <c r="C824" s="522" t="s">
        <v>361</v>
      </c>
      <c r="D824" s="522" t="s">
        <v>1004</v>
      </c>
      <c r="E824" s="1012">
        <v>7722</v>
      </c>
      <c r="F824" s="525">
        <v>623439</v>
      </c>
      <c r="G824" s="525">
        <v>107295.5</v>
      </c>
      <c r="H824" s="999">
        <f t="shared" si="24"/>
        <v>14.25</v>
      </c>
      <c r="I824" s="1008">
        <f t="shared" si="22"/>
        <v>110038.5</v>
      </c>
      <c r="J824" s="1005">
        <f>I824/$M774*$M775</f>
        <v>-588.56786559574925</v>
      </c>
      <c r="K824" s="1011">
        <f t="shared" si="23"/>
        <v>7681</v>
      </c>
      <c r="L824" s="999">
        <f>$M775/H824</f>
        <v>-781.83438596492147</v>
      </c>
      <c r="M824" s="999"/>
      <c r="N824" s="587"/>
      <c r="O824" s="587"/>
      <c r="P824" s="587"/>
      <c r="Q824" s="587"/>
      <c r="R824" s="587"/>
    </row>
    <row r="825" spans="1:18" ht="12" thickBot="1">
      <c r="A825" s="588" t="s">
        <v>1465</v>
      </c>
      <c r="B825" s="522" t="s">
        <v>436</v>
      </c>
      <c r="C825" s="522" t="s">
        <v>393</v>
      </c>
      <c r="D825" s="522" t="s">
        <v>1005</v>
      </c>
      <c r="E825" s="1012">
        <v>2855</v>
      </c>
      <c r="F825" s="525">
        <v>449310</v>
      </c>
      <c r="G825" s="525">
        <v>63529.75</v>
      </c>
      <c r="H825" s="999">
        <f t="shared" si="24"/>
        <v>22.84</v>
      </c>
      <c r="I825" s="1008">
        <f t="shared" si="22"/>
        <v>65208.2</v>
      </c>
      <c r="J825" s="1005">
        <f>I825/$M774*$M775</f>
        <v>-348.78202713905347</v>
      </c>
      <c r="K825" s="1011">
        <f t="shared" si="23"/>
        <v>2840</v>
      </c>
      <c r="L825" s="999">
        <f>$M775/H825</f>
        <v>-487.79071803853464</v>
      </c>
      <c r="M825" s="999"/>
      <c r="N825" s="587"/>
      <c r="O825" s="587"/>
      <c r="P825" s="587"/>
      <c r="Q825" s="587"/>
      <c r="R825" s="587"/>
    </row>
    <row r="826" spans="1:18" ht="12" thickBot="1">
      <c r="A826" s="588" t="s">
        <v>1465</v>
      </c>
      <c r="B826" s="522" t="s">
        <v>436</v>
      </c>
      <c r="C826" s="522" t="s">
        <v>379</v>
      </c>
      <c r="D826" s="522" t="s">
        <v>1006</v>
      </c>
      <c r="E826" s="1012">
        <v>804</v>
      </c>
      <c r="F826" s="525">
        <v>17429</v>
      </c>
      <c r="G826" s="525">
        <v>7977.92</v>
      </c>
      <c r="H826" s="999">
        <f t="shared" si="24"/>
        <v>9.620000000000001</v>
      </c>
      <c r="I826" s="1008">
        <f t="shared" si="22"/>
        <v>7734.4800000000005</v>
      </c>
      <c r="J826" s="1005">
        <f>I826/$M774*$M775</f>
        <v>-41.369760448325003</v>
      </c>
      <c r="K826" s="1011">
        <f t="shared" si="23"/>
        <v>800</v>
      </c>
      <c r="L826" s="999">
        <f>$M775/H826</f>
        <v>-1158.1226611226746</v>
      </c>
      <c r="M826" s="999"/>
      <c r="N826" s="587"/>
      <c r="O826" s="587"/>
      <c r="P826" s="587"/>
      <c r="Q826" s="587"/>
      <c r="R826" s="587"/>
    </row>
    <row r="827" spans="1:18" ht="12" thickBot="1">
      <c r="A827" s="588" t="s">
        <v>1465</v>
      </c>
      <c r="B827" s="522" t="s">
        <v>436</v>
      </c>
      <c r="C827" s="522" t="s">
        <v>389</v>
      </c>
      <c r="D827" s="522" t="s">
        <v>1007</v>
      </c>
      <c r="E827" s="1013">
        <v>1329</v>
      </c>
      <c r="F827" s="531">
        <v>38982</v>
      </c>
      <c r="G827" s="531">
        <v>14895.3</v>
      </c>
      <c r="H827" s="999">
        <f t="shared" si="24"/>
        <v>10.770000000000001</v>
      </c>
      <c r="I827" s="1008">
        <f t="shared" si="22"/>
        <v>14313.330000000002</v>
      </c>
      <c r="J827" s="1005">
        <f>I827/$M774*$M775</f>
        <v>-76.558350828733637</v>
      </c>
      <c r="K827" s="1011">
        <f t="shared" si="23"/>
        <v>1322</v>
      </c>
      <c r="L827" s="999">
        <f>$M775/H827</f>
        <v>-1034.4605385329739</v>
      </c>
      <c r="M827" s="999"/>
      <c r="N827" s="587"/>
      <c r="O827" s="587"/>
      <c r="P827" s="587"/>
      <c r="Q827" s="587"/>
      <c r="R827" s="587"/>
    </row>
    <row r="828" spans="1:18" ht="12" thickBot="1">
      <c r="A828" s="588" t="s">
        <v>1465</v>
      </c>
      <c r="B828" s="522" t="s">
        <v>436</v>
      </c>
      <c r="C828" s="522" t="s">
        <v>412</v>
      </c>
      <c r="D828" s="522" t="s">
        <v>1008</v>
      </c>
      <c r="E828" s="1012">
        <v>3982</v>
      </c>
      <c r="F828" s="525">
        <v>153298</v>
      </c>
      <c r="G828" s="525">
        <v>43321.83</v>
      </c>
      <c r="H828" s="999">
        <f t="shared" si="24"/>
        <v>11.16</v>
      </c>
      <c r="I828" s="1008">
        <f t="shared" si="22"/>
        <v>44439.12</v>
      </c>
      <c r="J828" s="1005">
        <f>I828/$M774*$M775</f>
        <v>-237.69351642700852</v>
      </c>
      <c r="K828" s="1011">
        <f t="shared" si="23"/>
        <v>3961</v>
      </c>
      <c r="L828" s="999">
        <f>$M775/H828</f>
        <v>-998.31003584230552</v>
      </c>
      <c r="M828" s="999"/>
      <c r="N828" s="587"/>
      <c r="O828" s="587"/>
      <c r="P828" s="587"/>
      <c r="Q828" s="587"/>
      <c r="R828" s="587"/>
    </row>
    <row r="829" spans="1:18" ht="12" thickBot="1">
      <c r="A829" s="588" t="s">
        <v>1465</v>
      </c>
      <c r="B829" s="522" t="s">
        <v>436</v>
      </c>
      <c r="C829" s="522" t="s">
        <v>367</v>
      </c>
      <c r="D829" s="522" t="s">
        <v>1009</v>
      </c>
      <c r="E829" s="1013">
        <v>291</v>
      </c>
      <c r="F829" s="531">
        <v>33990</v>
      </c>
      <c r="G829" s="531">
        <v>9475.6200000000008</v>
      </c>
      <c r="H829" s="999">
        <f t="shared" si="24"/>
        <v>33.100000000000009</v>
      </c>
      <c r="I829" s="1008">
        <f t="shared" si="22"/>
        <v>9632.1000000000022</v>
      </c>
      <c r="J829" s="1005">
        <f>I829/$M774*$M775</f>
        <v>-51.51964574403339</v>
      </c>
      <c r="K829" s="1011">
        <f t="shared" si="23"/>
        <v>289</v>
      </c>
      <c r="L829" s="999">
        <f>$M775/H829</f>
        <v>-336.59033232628786</v>
      </c>
      <c r="M829" s="999"/>
      <c r="N829" s="587"/>
      <c r="O829" s="587"/>
      <c r="P829" s="587"/>
      <c r="Q829" s="587"/>
      <c r="R829" s="587"/>
    </row>
    <row r="830" spans="1:18" ht="12" thickBot="1">
      <c r="A830" s="588" t="s">
        <v>1465</v>
      </c>
      <c r="B830" s="522" t="s">
        <v>436</v>
      </c>
      <c r="C830" s="522" t="s">
        <v>330</v>
      </c>
      <c r="D830" s="522" t="s">
        <v>1010</v>
      </c>
      <c r="E830" s="1012">
        <v>-36</v>
      </c>
      <c r="F830" s="525">
        <v>25349</v>
      </c>
      <c r="G830" s="525">
        <v>3759.7</v>
      </c>
      <c r="H830" s="999">
        <f t="shared" si="24"/>
        <v>55.250000000000007</v>
      </c>
      <c r="I830" s="1008">
        <f t="shared" si="22"/>
        <v>-1989.0000000000002</v>
      </c>
      <c r="J830" s="1005">
        <f>I830/$M774*$M775</f>
        <v>10.638653604601529</v>
      </c>
      <c r="K830" s="1011">
        <f t="shared" si="23"/>
        <v>-36</v>
      </c>
      <c r="L830" s="999">
        <f>$M775/H830</f>
        <v>-201.64959276018334</v>
      </c>
      <c r="M830" s="999"/>
      <c r="N830" s="587"/>
      <c r="O830" s="587"/>
      <c r="P830" s="587"/>
      <c r="Q830" s="587"/>
      <c r="R830" s="587"/>
    </row>
    <row r="831" spans="1:18" ht="12" thickBot="1">
      <c r="A831" s="588" t="s">
        <v>1465</v>
      </c>
      <c r="B831" s="522" t="s">
        <v>436</v>
      </c>
      <c r="C831" s="522" t="s">
        <v>371</v>
      </c>
      <c r="D831" s="522" t="s">
        <v>1011</v>
      </c>
      <c r="E831" s="1013">
        <v>3400</v>
      </c>
      <c r="F831" s="531">
        <v>68924</v>
      </c>
      <c r="G831" s="531">
        <v>37621.480000000003</v>
      </c>
      <c r="H831" s="999">
        <f t="shared" si="24"/>
        <v>10.49</v>
      </c>
      <c r="I831" s="1008">
        <f t="shared" si="22"/>
        <v>35666</v>
      </c>
      <c r="J831" s="1005">
        <f>I831/$M774*$M775</f>
        <v>-190.76833557652995</v>
      </c>
      <c r="K831" s="1011">
        <f t="shared" si="23"/>
        <v>3382</v>
      </c>
      <c r="L831" s="999">
        <f>$M775/H831</f>
        <v>-1062.0724499523481</v>
      </c>
      <c r="M831" s="999"/>
      <c r="N831" s="587"/>
      <c r="O831" s="587"/>
      <c r="P831" s="587"/>
      <c r="Q831" s="587"/>
      <c r="R831" s="587"/>
    </row>
    <row r="832" spans="1:18" ht="12" thickBot="1">
      <c r="A832" s="588" t="s">
        <v>1465</v>
      </c>
      <c r="B832" s="522" t="s">
        <v>436</v>
      </c>
      <c r="C832" s="522" t="s">
        <v>380</v>
      </c>
      <c r="D832" s="522" t="s">
        <v>1012</v>
      </c>
      <c r="E832" s="1012">
        <v>8622</v>
      </c>
      <c r="F832" s="525">
        <v>224926</v>
      </c>
      <c r="G832" s="525">
        <v>97583.05</v>
      </c>
      <c r="H832" s="999">
        <f t="shared" si="24"/>
        <v>11.600000000000001</v>
      </c>
      <c r="I832" s="1008">
        <f t="shared" si="22"/>
        <v>100015.20000000001</v>
      </c>
      <c r="J832" s="1005">
        <f>I832/$M774*$M775</f>
        <v>-534.95579084713063</v>
      </c>
      <c r="K832" s="1011">
        <f t="shared" si="23"/>
        <v>8576</v>
      </c>
      <c r="L832" s="999">
        <f>$M775/H832</f>
        <v>-960.44310344828693</v>
      </c>
      <c r="M832" s="999"/>
      <c r="N832" s="587"/>
      <c r="O832" s="587"/>
      <c r="P832" s="587"/>
      <c r="Q832" s="587"/>
      <c r="R832" s="587"/>
    </row>
    <row r="833" spans="1:18" ht="12" thickBot="1">
      <c r="A833" s="588" t="s">
        <v>1465</v>
      </c>
      <c r="B833" s="522" t="s">
        <v>436</v>
      </c>
      <c r="C833" s="522" t="s">
        <v>403</v>
      </c>
      <c r="D833" s="522" t="s">
        <v>1013</v>
      </c>
      <c r="E833" s="1013">
        <v>3232</v>
      </c>
      <c r="F833" s="531">
        <v>127116</v>
      </c>
      <c r="G833" s="531">
        <v>40610.129999999997</v>
      </c>
      <c r="H833" s="999">
        <f t="shared" si="24"/>
        <v>12.3</v>
      </c>
      <c r="I833" s="1008">
        <f t="shared" si="22"/>
        <v>39753.600000000006</v>
      </c>
      <c r="J833" s="1005">
        <f>I833/$M774*$M775</f>
        <v>-212.63186522669048</v>
      </c>
      <c r="K833" s="1011">
        <f t="shared" si="23"/>
        <v>3215</v>
      </c>
      <c r="L833" s="999">
        <f>$M775/H833</f>
        <v>-905.78373983740892</v>
      </c>
      <c r="M833" s="999"/>
      <c r="N833" s="587"/>
      <c r="O833" s="587"/>
      <c r="P833" s="587"/>
      <c r="Q833" s="587"/>
      <c r="R833" s="587"/>
    </row>
    <row r="834" spans="1:18" ht="12" thickBot="1">
      <c r="A834" s="588" t="s">
        <v>1465</v>
      </c>
      <c r="B834" s="522" t="s">
        <v>436</v>
      </c>
      <c r="C834" s="522" t="s">
        <v>360</v>
      </c>
      <c r="D834" s="522" t="s">
        <v>1014</v>
      </c>
      <c r="E834" s="1012">
        <v>5196</v>
      </c>
      <c r="F834" s="525">
        <v>402215</v>
      </c>
      <c r="G834" s="525">
        <v>88014.91</v>
      </c>
      <c r="H834" s="999">
        <f t="shared" si="24"/>
        <v>17.41</v>
      </c>
      <c r="I834" s="1008">
        <f t="shared" si="22"/>
        <v>90462.36</v>
      </c>
      <c r="J834" s="1005">
        <f>I834/$M774*$M775</f>
        <v>-483.86008662381153</v>
      </c>
      <c r="K834" s="1011">
        <f t="shared" si="23"/>
        <v>5168</v>
      </c>
      <c r="L834" s="999">
        <f>$M775/H834</f>
        <v>-639.92762780012231</v>
      </c>
      <c r="M834" s="999"/>
      <c r="N834" s="587"/>
      <c r="O834" s="587"/>
      <c r="P834" s="587"/>
      <c r="Q834" s="587"/>
      <c r="R834" s="587"/>
    </row>
    <row r="835" spans="1:18" ht="12" thickBot="1">
      <c r="A835" s="588" t="s">
        <v>1465</v>
      </c>
      <c r="B835" s="522" t="s">
        <v>436</v>
      </c>
      <c r="C835" s="522" t="s">
        <v>392</v>
      </c>
      <c r="D835" s="522" t="s">
        <v>1015</v>
      </c>
      <c r="E835" s="1013">
        <v>453</v>
      </c>
      <c r="F835" s="531">
        <v>83910</v>
      </c>
      <c r="G835" s="531">
        <v>13276.25</v>
      </c>
      <c r="H835" s="999">
        <f t="shared" si="24"/>
        <v>24.46</v>
      </c>
      <c r="I835" s="1008">
        <f t="shared" si="22"/>
        <v>11080.380000000001</v>
      </c>
      <c r="J835" s="1005">
        <f>I835/$M774*$M775</f>
        <v>-59.266126006714273</v>
      </c>
      <c r="K835" s="1011">
        <f t="shared" si="23"/>
        <v>451</v>
      </c>
      <c r="L835" s="999">
        <f>$M775/H835</f>
        <v>-455.48405560098649</v>
      </c>
      <c r="M835" s="999"/>
      <c r="N835" s="587"/>
      <c r="O835" s="587"/>
      <c r="P835" s="587"/>
      <c r="Q835" s="587"/>
      <c r="R835" s="587"/>
    </row>
    <row r="836" spans="1:18" ht="12" thickBot="1">
      <c r="A836" s="588" t="s">
        <v>1465</v>
      </c>
      <c r="B836" s="522" t="s">
        <v>436</v>
      </c>
      <c r="C836" s="522" t="s">
        <v>390</v>
      </c>
      <c r="D836" s="522" t="s">
        <v>1016</v>
      </c>
      <c r="E836" s="1012">
        <v>4554</v>
      </c>
      <c r="F836" s="525">
        <v>118016</v>
      </c>
      <c r="G836" s="525">
        <v>74931.600000000006</v>
      </c>
      <c r="H836" s="999">
        <f t="shared" ref="H836:H852" si="25">SUMIF(_Lights_Tariff_Category,20140101&amp;$C836,_Lights_Rates)</f>
        <v>16.79</v>
      </c>
      <c r="I836" s="1008">
        <f t="shared" ref="I836:I851" si="26">E836*H836</f>
        <v>76461.659999999989</v>
      </c>
      <c r="J836" s="1005">
        <f>I836/$M774*$M775</f>
        <v>-408.97391391292933</v>
      </c>
      <c r="K836" s="1011">
        <f t="shared" ref="K836:K852" si="27">ROUND((I836+J836)/H836,0)</f>
        <v>4530</v>
      </c>
      <c r="L836" s="999">
        <f>$M775/H836</f>
        <v>-663.55807027993637</v>
      </c>
      <c r="M836" s="999"/>
      <c r="N836" s="587"/>
      <c r="O836" s="587"/>
      <c r="P836" s="587"/>
      <c r="Q836" s="587"/>
      <c r="R836" s="587"/>
    </row>
    <row r="837" spans="1:18" ht="12" thickBot="1">
      <c r="A837" s="588" t="s">
        <v>1465</v>
      </c>
      <c r="B837" s="522" t="s">
        <v>436</v>
      </c>
      <c r="C837" s="522" t="s">
        <v>414</v>
      </c>
      <c r="D837" s="522" t="s">
        <v>1017</v>
      </c>
      <c r="E837" s="1013">
        <v>1021</v>
      </c>
      <c r="F837" s="531">
        <v>39620</v>
      </c>
      <c r="G837" s="531">
        <v>21681.98</v>
      </c>
      <c r="H837" s="999">
        <f t="shared" si="25"/>
        <v>20.97</v>
      </c>
      <c r="I837" s="1008">
        <f t="shared" si="26"/>
        <v>21410.37</v>
      </c>
      <c r="J837" s="1005">
        <f>I837/$M774*$M775</f>
        <v>-114.51860732848286</v>
      </c>
      <c r="K837" s="1011">
        <f t="shared" si="27"/>
        <v>1016</v>
      </c>
      <c r="L837" s="999">
        <f>$M775/H837</f>
        <v>-531.2894611349609</v>
      </c>
      <c r="M837" s="999"/>
      <c r="N837" s="587"/>
      <c r="O837" s="587"/>
      <c r="P837" s="587"/>
      <c r="Q837" s="587"/>
      <c r="R837" s="587"/>
    </row>
    <row r="838" spans="1:18" ht="12" thickBot="1">
      <c r="A838" s="588" t="s">
        <v>1465</v>
      </c>
      <c r="B838" s="522" t="s">
        <v>436</v>
      </c>
      <c r="C838" s="522" t="s">
        <v>364</v>
      </c>
      <c r="D838" s="522" t="s">
        <v>1018</v>
      </c>
      <c r="E838" s="1012">
        <f>1390+1</f>
        <v>1391</v>
      </c>
      <c r="F838" s="525">
        <v>111688</v>
      </c>
      <c r="G838" s="525">
        <v>37248.29</v>
      </c>
      <c r="H838" s="999">
        <f t="shared" si="25"/>
        <v>26.86</v>
      </c>
      <c r="I838" s="1008">
        <f t="shared" si="26"/>
        <v>37362.26</v>
      </c>
      <c r="J838" s="1005">
        <f>I838/$M774*$M775</f>
        <v>-199.84119759932605</v>
      </c>
      <c r="K838" s="1011">
        <f t="shared" si="27"/>
        <v>1384</v>
      </c>
      <c r="L838" s="999">
        <f>$M775/H838</f>
        <v>-414.78555472822529</v>
      </c>
      <c r="M838" s="999"/>
      <c r="N838" s="587"/>
      <c r="O838" s="587"/>
      <c r="P838" s="587"/>
      <c r="Q838" s="587"/>
      <c r="R838" s="587"/>
    </row>
    <row r="839" spans="1:18" ht="12" thickBot="1">
      <c r="A839" s="588" t="s">
        <v>1465</v>
      </c>
      <c r="B839" s="522" t="s">
        <v>436</v>
      </c>
      <c r="C839" s="522" t="s">
        <v>396</v>
      </c>
      <c r="D839" s="522" t="s">
        <v>1019</v>
      </c>
      <c r="E839" s="1013">
        <v>999</v>
      </c>
      <c r="F839" s="531">
        <v>156666</v>
      </c>
      <c r="G839" s="531">
        <v>32230.66</v>
      </c>
      <c r="H839" s="999">
        <f t="shared" si="25"/>
        <v>33.119999999999997</v>
      </c>
      <c r="I839" s="1008">
        <f t="shared" si="26"/>
        <v>33086.879999999997</v>
      </c>
      <c r="J839" s="1005">
        <f>I839/$M774*$M775</f>
        <v>-176.97328063198503</v>
      </c>
      <c r="K839" s="1011">
        <f t="shared" si="27"/>
        <v>994</v>
      </c>
      <c r="L839" s="999">
        <f>$M775/H839</f>
        <v>-336.38707729468996</v>
      </c>
      <c r="M839" s="999"/>
      <c r="N839" s="587"/>
      <c r="O839" s="587"/>
      <c r="P839" s="587"/>
      <c r="Q839" s="587"/>
      <c r="R839" s="587"/>
    </row>
    <row r="840" spans="1:18" ht="12" thickBot="1">
      <c r="A840" s="588" t="s">
        <v>1465</v>
      </c>
      <c r="B840" s="522" t="s">
        <v>436</v>
      </c>
      <c r="C840" s="522" t="s">
        <v>415</v>
      </c>
      <c r="D840" s="522" t="s">
        <v>1020</v>
      </c>
      <c r="E840" s="1013">
        <v>10672</v>
      </c>
      <c r="F840" s="531">
        <v>435128</v>
      </c>
      <c r="G840" s="531">
        <v>96009.25</v>
      </c>
      <c r="H840" s="999">
        <f t="shared" si="25"/>
        <v>9</v>
      </c>
      <c r="I840" s="1008">
        <f t="shared" si="26"/>
        <v>96048</v>
      </c>
      <c r="J840" s="1005">
        <f>I840/$M774*$M775</f>
        <v>-513.73625008283943</v>
      </c>
      <c r="K840" s="1011">
        <f t="shared" si="27"/>
        <v>10615</v>
      </c>
      <c r="L840" s="999">
        <f>$M775/H840</f>
        <v>-1237.9044444444589</v>
      </c>
      <c r="M840" s="999"/>
      <c r="N840" s="587"/>
      <c r="O840" s="587"/>
      <c r="P840" s="587"/>
      <c r="Q840" s="587"/>
      <c r="R840" s="587"/>
    </row>
    <row r="841" spans="1:18" ht="12" thickBot="1">
      <c r="A841" s="588" t="s">
        <v>1465</v>
      </c>
      <c r="B841" s="522" t="s">
        <v>436</v>
      </c>
      <c r="C841" s="522" t="s">
        <v>365</v>
      </c>
      <c r="D841" s="522" t="s">
        <v>1021</v>
      </c>
      <c r="E841" s="1013">
        <v>6331</v>
      </c>
      <c r="F841" s="531">
        <v>533358</v>
      </c>
      <c r="G841" s="531">
        <v>86325.07</v>
      </c>
      <c r="H841" s="999">
        <f t="shared" si="25"/>
        <v>13.639999999999999</v>
      </c>
      <c r="I841" s="1008">
        <f t="shared" si="26"/>
        <v>86354.84</v>
      </c>
      <c r="J841" s="1005">
        <f>I841/$M774*$M775</f>
        <v>-461.89000997525801</v>
      </c>
      <c r="K841" s="1011">
        <f t="shared" si="27"/>
        <v>6297</v>
      </c>
      <c r="L841" s="999">
        <f>$M775/H841</f>
        <v>-816.79912023461372</v>
      </c>
      <c r="M841" s="999"/>
      <c r="N841" s="587"/>
      <c r="O841" s="587"/>
      <c r="P841" s="587"/>
      <c r="Q841" s="587"/>
      <c r="R841" s="587"/>
    </row>
    <row r="842" spans="1:18" ht="12" thickBot="1">
      <c r="A842" s="588" t="s">
        <v>1465</v>
      </c>
      <c r="B842" s="522" t="s">
        <v>436</v>
      </c>
      <c r="C842" s="522" t="s">
        <v>397</v>
      </c>
      <c r="D842" s="522" t="s">
        <v>1022</v>
      </c>
      <c r="E842" s="1013">
        <v>8015</v>
      </c>
      <c r="F842" s="531">
        <v>1309726</v>
      </c>
      <c r="G842" s="531">
        <v>155925.70000000001</v>
      </c>
      <c r="H842" s="999">
        <f t="shared" si="25"/>
        <v>19.46</v>
      </c>
      <c r="I842" s="1008">
        <f t="shared" si="26"/>
        <v>155971.9</v>
      </c>
      <c r="J842" s="1005">
        <f>I842/$M774*$M775</f>
        <v>-834.25390455080401</v>
      </c>
      <c r="K842" s="1011">
        <f t="shared" si="27"/>
        <v>7972</v>
      </c>
      <c r="L842" s="999">
        <f>$M775/H842</f>
        <v>-572.51490236382995</v>
      </c>
      <c r="M842" s="999"/>
      <c r="N842" s="587"/>
      <c r="O842" s="587"/>
      <c r="P842" s="587"/>
      <c r="Q842" s="587"/>
      <c r="R842" s="587"/>
    </row>
    <row r="843" spans="1:18" ht="12" thickBot="1">
      <c r="A843" s="588" t="s">
        <v>1465</v>
      </c>
      <c r="B843" s="522" t="s">
        <v>436</v>
      </c>
      <c r="C843" s="522" t="s">
        <v>337</v>
      </c>
      <c r="D843" s="522" t="s">
        <v>1023</v>
      </c>
      <c r="E843" s="1013">
        <v>56</v>
      </c>
      <c r="F843" s="531">
        <v>2993</v>
      </c>
      <c r="G843" s="531">
        <v>863.06</v>
      </c>
      <c r="H843" s="999">
        <f t="shared" si="25"/>
        <v>15.47</v>
      </c>
      <c r="I843" s="1008">
        <f t="shared" si="26"/>
        <v>866.32</v>
      </c>
      <c r="J843" s="1005">
        <f>I843/$M774*$M775</f>
        <v>-4.6337246811153321</v>
      </c>
      <c r="K843" s="1011">
        <f t="shared" si="27"/>
        <v>56</v>
      </c>
      <c r="L843" s="999">
        <f>$M775/H843</f>
        <v>-720.17711700065479</v>
      </c>
      <c r="M843" s="999"/>
      <c r="N843" s="587"/>
      <c r="O843" s="587"/>
      <c r="P843" s="587"/>
      <c r="Q843" s="587"/>
      <c r="R843" s="587"/>
    </row>
    <row r="844" spans="1:18" ht="12" thickBot="1">
      <c r="A844" s="588" t="s">
        <v>1465</v>
      </c>
      <c r="B844" s="522" t="s">
        <v>436</v>
      </c>
      <c r="C844" s="522" t="s">
        <v>369</v>
      </c>
      <c r="D844" s="522" t="s">
        <v>1024</v>
      </c>
      <c r="E844" s="1012">
        <v>317</v>
      </c>
      <c r="F844" s="525">
        <v>38071</v>
      </c>
      <c r="G844" s="525">
        <v>6946.58</v>
      </c>
      <c r="H844" s="999">
        <f t="shared" si="25"/>
        <v>21.930000000000003</v>
      </c>
      <c r="I844" s="1008">
        <f t="shared" si="26"/>
        <v>6951.8100000000013</v>
      </c>
      <c r="J844" s="1005">
        <f>I844/$M774*$M775</f>
        <v>-37.183458278031651</v>
      </c>
      <c r="K844" s="1011">
        <f t="shared" si="27"/>
        <v>315</v>
      </c>
      <c r="L844" s="999">
        <f>$M775/H844</f>
        <v>-508.03191974464789</v>
      </c>
      <c r="M844" s="999"/>
      <c r="N844" s="587"/>
      <c r="O844" s="587"/>
      <c r="P844" s="587"/>
      <c r="Q844" s="587"/>
      <c r="R844" s="587"/>
    </row>
    <row r="845" spans="1:18" ht="12" thickBot="1">
      <c r="A845" s="588" t="s">
        <v>1465</v>
      </c>
      <c r="B845" s="522" t="s">
        <v>436</v>
      </c>
      <c r="C845" s="522" t="s">
        <v>715</v>
      </c>
      <c r="D845" s="522" t="s">
        <v>1025</v>
      </c>
      <c r="E845" s="1013">
        <v>2</v>
      </c>
      <c r="F845" s="531">
        <v>61</v>
      </c>
      <c r="G845" s="531">
        <v>29.96</v>
      </c>
      <c r="H845" s="999">
        <f t="shared" si="25"/>
        <v>15.370000000000001</v>
      </c>
      <c r="I845" s="1008">
        <f t="shared" si="26"/>
        <v>30.740000000000002</v>
      </c>
      <c r="J845" s="1005">
        <f>I845/$M774*$M775</f>
        <v>-0.16442041820284112</v>
      </c>
      <c r="K845" s="1011">
        <f t="shared" si="27"/>
        <v>2</v>
      </c>
      <c r="L845" s="999">
        <f>$M775/H845</f>
        <v>-724.86271958361283</v>
      </c>
      <c r="M845" s="999"/>
      <c r="N845" s="587"/>
      <c r="O845" s="587"/>
      <c r="P845" s="587"/>
      <c r="Q845" s="587"/>
      <c r="R845" s="587"/>
    </row>
    <row r="846" spans="1:18" ht="12" thickBot="1">
      <c r="A846" s="588" t="s">
        <v>1465</v>
      </c>
      <c r="B846" s="522" t="s">
        <v>436</v>
      </c>
      <c r="C846" s="522" t="s">
        <v>332</v>
      </c>
      <c r="D846" s="522" t="s">
        <v>1026</v>
      </c>
      <c r="E846" s="1012">
        <v>47</v>
      </c>
      <c r="F846" s="525">
        <v>17359</v>
      </c>
      <c r="G846" s="525">
        <v>2166.7800000000002</v>
      </c>
      <c r="H846" s="999">
        <f t="shared" si="25"/>
        <v>45.7</v>
      </c>
      <c r="I846" s="1008">
        <f t="shared" si="26"/>
        <v>2147.9</v>
      </c>
      <c r="J846" s="1005">
        <f>I846/$M774*$M775</f>
        <v>-11.488569169091816</v>
      </c>
      <c r="K846" s="1011">
        <f t="shared" si="27"/>
        <v>47</v>
      </c>
      <c r="L846" s="999">
        <f>$M775/H846</f>
        <v>-243.78862144420415</v>
      </c>
      <c r="M846" s="999"/>
      <c r="N846" s="587"/>
      <c r="O846" s="587"/>
      <c r="P846" s="587"/>
      <c r="Q846" s="587"/>
      <c r="R846" s="587"/>
    </row>
    <row r="847" spans="1:18" ht="12" thickBot="1">
      <c r="A847" s="588" t="s">
        <v>1465</v>
      </c>
      <c r="B847" s="522" t="s">
        <v>436</v>
      </c>
      <c r="C847" s="522" t="s">
        <v>334</v>
      </c>
      <c r="D847" s="522" t="s">
        <v>1027</v>
      </c>
      <c r="E847" s="1013">
        <v>191</v>
      </c>
      <c r="F847" s="531">
        <v>10187</v>
      </c>
      <c r="G847" s="531">
        <v>5417.1</v>
      </c>
      <c r="H847" s="999">
        <f t="shared" si="25"/>
        <v>28.37</v>
      </c>
      <c r="I847" s="1008">
        <f t="shared" si="26"/>
        <v>5418.67</v>
      </c>
      <c r="J847" s="1005">
        <f>I847/$M774*$M775</f>
        <v>-28.983083523200687</v>
      </c>
      <c r="K847" s="1011">
        <f t="shared" si="27"/>
        <v>190</v>
      </c>
      <c r="L847" s="999">
        <f>$M775/H847</f>
        <v>-392.70849488897181</v>
      </c>
      <c r="M847" s="999"/>
      <c r="N847" s="587"/>
      <c r="O847" s="587"/>
      <c r="P847" s="587"/>
      <c r="Q847" s="587"/>
      <c r="R847" s="587"/>
    </row>
    <row r="848" spans="1:18" ht="12" thickBot="1">
      <c r="A848" s="588" t="s">
        <v>1465</v>
      </c>
      <c r="B848" s="522" t="s">
        <v>436</v>
      </c>
      <c r="C848" s="522" t="s">
        <v>366</v>
      </c>
      <c r="D848" s="522" t="s">
        <v>1028</v>
      </c>
      <c r="E848" s="1012">
        <v>624</v>
      </c>
      <c r="F848" s="525">
        <v>74897</v>
      </c>
      <c r="G848" s="525">
        <v>21738.93</v>
      </c>
      <c r="H848" s="999">
        <f t="shared" si="25"/>
        <v>34.830000000000005</v>
      </c>
      <c r="I848" s="1008">
        <f t="shared" si="26"/>
        <v>21733.920000000002</v>
      </c>
      <c r="J848" s="1005">
        <f>I848/$M774*$M775</f>
        <v>-116.24919374063411</v>
      </c>
      <c r="K848" s="1011">
        <f t="shared" si="27"/>
        <v>621</v>
      </c>
      <c r="L848" s="999">
        <f>$M775/H848</f>
        <v>-319.87194946885239</v>
      </c>
      <c r="M848" s="999"/>
      <c r="N848" s="587"/>
      <c r="O848" s="587"/>
      <c r="P848" s="587"/>
      <c r="Q848" s="587"/>
      <c r="R848" s="587"/>
    </row>
    <row r="849" spans="1:18" ht="12" thickBot="1">
      <c r="A849" s="588" t="s">
        <v>1465</v>
      </c>
      <c r="B849" s="522" t="s">
        <v>436</v>
      </c>
      <c r="C849" s="522" t="s">
        <v>329</v>
      </c>
      <c r="D849" s="522" t="s">
        <v>1029</v>
      </c>
      <c r="E849" s="1013">
        <v>159</v>
      </c>
      <c r="F849" s="531">
        <v>59731</v>
      </c>
      <c r="G849" s="531">
        <v>9299.15</v>
      </c>
      <c r="H849" s="999">
        <f t="shared" si="25"/>
        <v>58.59</v>
      </c>
      <c r="I849" s="1008">
        <f t="shared" si="26"/>
        <v>9315.8100000000013</v>
      </c>
      <c r="J849" s="1005">
        <f>I849/$M774*$M775</f>
        <v>-49.82789121985067</v>
      </c>
      <c r="K849" s="1011">
        <f t="shared" si="27"/>
        <v>158</v>
      </c>
      <c r="L849" s="999">
        <f>$M775/H849</f>
        <v>-190.15429254139153</v>
      </c>
      <c r="M849" s="999"/>
      <c r="N849" s="587"/>
      <c r="O849" s="587"/>
      <c r="P849" s="587"/>
      <c r="Q849" s="587"/>
      <c r="R849" s="587"/>
    </row>
    <row r="850" spans="1:18" ht="12" thickBot="1">
      <c r="A850" s="588" t="s">
        <v>1465</v>
      </c>
      <c r="B850" s="522" t="s">
        <v>436</v>
      </c>
      <c r="C850" s="522" t="s">
        <v>683</v>
      </c>
      <c r="D850" s="522" t="s">
        <v>1047</v>
      </c>
      <c r="E850" s="1012">
        <v>7</v>
      </c>
      <c r="F850" s="525">
        <v>314</v>
      </c>
      <c r="G850" s="525">
        <v>112.3</v>
      </c>
      <c r="H850" s="999">
        <f t="shared" si="25"/>
        <v>15.35</v>
      </c>
      <c r="I850" s="1008">
        <f t="shared" si="26"/>
        <v>107.45</v>
      </c>
      <c r="J850" s="1005">
        <f>I850/$M774*$M775</f>
        <v>-0.57472263942404933</v>
      </c>
      <c r="K850" s="1011">
        <f t="shared" si="27"/>
        <v>7</v>
      </c>
      <c r="L850" s="999">
        <f>$M775/H850</f>
        <v>-725.80716612378706</v>
      </c>
      <c r="M850" s="999"/>
      <c r="N850" s="587"/>
      <c r="O850" s="587"/>
      <c r="P850" s="587"/>
      <c r="Q850" s="587"/>
      <c r="R850" s="587"/>
    </row>
    <row r="851" spans="1:18" ht="12" thickBot="1">
      <c r="A851" s="588" t="s">
        <v>1465</v>
      </c>
      <c r="B851" s="522" t="s">
        <v>436</v>
      </c>
      <c r="C851" s="522" t="s">
        <v>463</v>
      </c>
      <c r="D851" s="522" t="s">
        <v>1030</v>
      </c>
      <c r="E851" s="1013">
        <v>20</v>
      </c>
      <c r="F851" s="531">
        <v>1718</v>
      </c>
      <c r="G851" s="531">
        <v>361.22</v>
      </c>
      <c r="H851" s="999">
        <f t="shared" si="25"/>
        <v>17.72</v>
      </c>
      <c r="I851" s="1008">
        <f t="shared" si="26"/>
        <v>354.4</v>
      </c>
      <c r="J851" s="1005">
        <f>I851/$M774*$M775</f>
        <v>-1.8955951922930023</v>
      </c>
      <c r="K851" s="1011">
        <f t="shared" si="27"/>
        <v>20</v>
      </c>
      <c r="L851" s="999">
        <f>$M775/H851</f>
        <v>-628.7325056433483</v>
      </c>
      <c r="M851" s="999"/>
      <c r="N851" s="587"/>
      <c r="O851" s="587"/>
      <c r="P851" s="587"/>
      <c r="Q851" s="587"/>
      <c r="R851" s="587"/>
    </row>
    <row r="852" spans="1:18" ht="12" thickBot="1">
      <c r="A852" s="588" t="s">
        <v>1465</v>
      </c>
      <c r="B852" s="522" t="s">
        <v>436</v>
      </c>
      <c r="C852" s="522" t="s">
        <v>653</v>
      </c>
      <c r="D852" s="522" t="s">
        <v>1031</v>
      </c>
      <c r="E852" s="1012">
        <v>22</v>
      </c>
      <c r="F852" s="525">
        <v>3740</v>
      </c>
      <c r="G852" s="525">
        <v>477.94</v>
      </c>
      <c r="H852" s="999">
        <f t="shared" si="25"/>
        <v>21.490000000000002</v>
      </c>
      <c r="I852" s="1008">
        <f>E852*H852</f>
        <v>472.78000000000003</v>
      </c>
      <c r="J852" s="1005">
        <f>I851/$M774*$M775</f>
        <v>-1.8955951922930023</v>
      </c>
      <c r="K852" s="1011">
        <f t="shared" si="27"/>
        <v>22</v>
      </c>
      <c r="L852" s="1002">
        <f>$M775/H851</f>
        <v>-628.7325056433483</v>
      </c>
    </row>
    <row r="853" spans="1:18" ht="12" thickBot="1">
      <c r="A853" s="588" t="s">
        <v>1465</v>
      </c>
      <c r="B853" s="522" t="s">
        <v>436</v>
      </c>
      <c r="C853" s="543" t="s">
        <v>9</v>
      </c>
      <c r="D853" s="544"/>
      <c r="E853" s="539">
        <f>SUM(E772:E852)</f>
        <v>168068</v>
      </c>
      <c r="F853" s="540"/>
      <c r="G853" s="540"/>
      <c r="I853" s="847">
        <f>SUM(I772:I852)</f>
        <v>2082944.7300000002</v>
      </c>
      <c r="J853" s="847">
        <f>SUM(J772:J852)</f>
        <v>-11140.506815578954</v>
      </c>
      <c r="K853" s="995">
        <f>SUM(K772:K852)</f>
        <v>167170</v>
      </c>
    </row>
    <row r="854" spans="1:18" ht="12" thickBot="1">
      <c r="A854" s="588"/>
      <c r="B854" s="1002"/>
      <c r="C854" s="1002"/>
      <c r="D854" s="1002"/>
      <c r="E854" s="1002"/>
      <c r="F854" s="1002"/>
      <c r="G854" s="1002"/>
      <c r="I854" s="847"/>
      <c r="J854" s="847"/>
      <c r="K854" s="995"/>
    </row>
    <row r="855" spans="1:18" ht="12" thickBot="1">
      <c r="A855" s="588" t="s">
        <v>1466</v>
      </c>
      <c r="B855" s="522" t="s">
        <v>436</v>
      </c>
      <c r="C855" s="522" t="s">
        <v>449</v>
      </c>
      <c r="D855" s="522" t="s">
        <v>448</v>
      </c>
      <c r="E855" s="524">
        <v>2</v>
      </c>
      <c r="F855" s="525">
        <v>152</v>
      </c>
      <c r="G855" s="525">
        <v>19.04</v>
      </c>
      <c r="H855" s="999"/>
      <c r="I855" s="999"/>
      <c r="J855" s="999"/>
      <c r="K855" s="999"/>
      <c r="L855" s="999"/>
      <c r="M855" s="847">
        <f>'12MonLights'!$O$969</f>
        <v>2016066.25</v>
      </c>
      <c r="N855" s="587" t="s">
        <v>1520</v>
      </c>
      <c r="O855" s="587"/>
      <c r="P855" s="587"/>
      <c r="Q855" s="587"/>
      <c r="R855" s="1004" t="s">
        <v>1527</v>
      </c>
    </row>
    <row r="856" spans="1:18" ht="12" thickBot="1">
      <c r="A856" s="588" t="s">
        <v>1466</v>
      </c>
      <c r="B856" s="522" t="s">
        <v>436</v>
      </c>
      <c r="C856" s="522" t="s">
        <v>447</v>
      </c>
      <c r="D856" s="522" t="s">
        <v>446</v>
      </c>
      <c r="E856" s="530">
        <v>1</v>
      </c>
      <c r="F856" s="531">
        <v>43</v>
      </c>
      <c r="G856" s="531">
        <v>6.9</v>
      </c>
      <c r="H856" s="999"/>
      <c r="I856" s="999"/>
      <c r="J856" s="999"/>
      <c r="K856" s="999"/>
      <c r="L856" s="999"/>
      <c r="M856" s="1005">
        <f>'12MonResults'!$AV$413</f>
        <v>998.09</v>
      </c>
      <c r="N856" s="587" t="s">
        <v>1521</v>
      </c>
      <c r="O856" s="587"/>
      <c r="P856" s="587"/>
      <c r="Q856" s="587"/>
      <c r="R856" s="587"/>
    </row>
    <row r="857" spans="1:18" ht="14.25" thickBot="1">
      <c r="A857" s="588" t="s">
        <v>1466</v>
      </c>
      <c r="B857" s="522" t="s">
        <v>436</v>
      </c>
      <c r="C857" s="522" t="s">
        <v>339</v>
      </c>
      <c r="D857" s="522" t="s">
        <v>952</v>
      </c>
      <c r="E857" s="1012">
        <v>172</v>
      </c>
      <c r="F857" s="525">
        <v>10775</v>
      </c>
      <c r="G857" s="525">
        <v>9513.85</v>
      </c>
      <c r="H857" s="999">
        <f t="shared" ref="H857:H888" si="28">SUMIF(_Lights_Tariff_Category,20140101&amp;$C857,_Lights_Rates)</f>
        <v>55.33</v>
      </c>
      <c r="I857" s="1008">
        <f>E857*H857</f>
        <v>9516.76</v>
      </c>
      <c r="J857" s="1005">
        <f>I857/$M859*$M860</f>
        <v>-53.174383823166075</v>
      </c>
      <c r="K857" s="1011">
        <f>ROUND((I857+J857)/H857,0)</f>
        <v>171</v>
      </c>
      <c r="L857" s="999">
        <f>$M860/H857</f>
        <v>-203.59045725646814</v>
      </c>
      <c r="M857" s="1007">
        <f>'12MonResults'!$AV$415</f>
        <v>10266.85</v>
      </c>
      <c r="N857" s="1006" t="s">
        <v>1522</v>
      </c>
      <c r="O857" s="587"/>
      <c r="P857" s="587"/>
      <c r="Q857" s="587"/>
      <c r="R857" s="587"/>
    </row>
    <row r="858" spans="1:18" ht="12" thickBot="1">
      <c r="A858" s="588" t="s">
        <v>1466</v>
      </c>
      <c r="B858" s="522" t="s">
        <v>436</v>
      </c>
      <c r="C858" s="522" t="s">
        <v>344</v>
      </c>
      <c r="D858" s="522" t="s">
        <v>953</v>
      </c>
      <c r="E858" s="1013">
        <v>26</v>
      </c>
      <c r="F858" s="531">
        <v>1648</v>
      </c>
      <c r="G858" s="531">
        <v>2186.46</v>
      </c>
      <c r="H858" s="999">
        <f t="shared" si="28"/>
        <v>83.16</v>
      </c>
      <c r="I858" s="1008">
        <f t="shared" ref="I858:I918" si="29">E858*H858</f>
        <v>2162.16</v>
      </c>
      <c r="J858" s="1005">
        <f>I858/$M859*$M860</f>
        <v>-12.08095252240224</v>
      </c>
      <c r="K858" s="1011">
        <f t="shared" ref="K858:K918" si="30">ROUND((I858+J858)/H858,0)</f>
        <v>26</v>
      </c>
      <c r="L858" s="999">
        <f>$M860/H858</f>
        <v>-135.45767195767655</v>
      </c>
      <c r="M858" s="1005">
        <f>M855-M856-M857</f>
        <v>2004801.3099999998</v>
      </c>
      <c r="N858" s="587" t="s">
        <v>1523</v>
      </c>
      <c r="O858" s="587"/>
      <c r="P858" s="587"/>
      <c r="Q858" s="587"/>
      <c r="R858" s="587"/>
    </row>
    <row r="859" spans="1:18" ht="12" thickBot="1">
      <c r="A859" s="588" t="s">
        <v>1466</v>
      </c>
      <c r="B859" s="522" t="s">
        <v>436</v>
      </c>
      <c r="C859" s="522" t="s">
        <v>347</v>
      </c>
      <c r="D859" s="522" t="s">
        <v>954</v>
      </c>
      <c r="E859" s="1012">
        <v>44</v>
      </c>
      <c r="F859" s="525">
        <v>2305</v>
      </c>
      <c r="G859" s="525">
        <v>2649.6</v>
      </c>
      <c r="H859" s="999">
        <f t="shared" si="28"/>
        <v>59.78</v>
      </c>
      <c r="I859" s="1008">
        <f t="shared" si="29"/>
        <v>2630.32</v>
      </c>
      <c r="J859" s="1005">
        <f>I859/$M859*$M860</f>
        <v>-14.696771302181647</v>
      </c>
      <c r="K859" s="1011">
        <f t="shared" si="30"/>
        <v>44</v>
      </c>
      <c r="L859" s="999">
        <f>$M860/H859</f>
        <v>-188.43526262964841</v>
      </c>
      <c r="M859" s="1005">
        <f>I938</f>
        <v>2016065.9700000002</v>
      </c>
      <c r="N859" s="587" t="s">
        <v>1524</v>
      </c>
      <c r="O859" s="587"/>
      <c r="P859" s="587"/>
      <c r="Q859" s="587"/>
      <c r="R859" s="587"/>
    </row>
    <row r="860" spans="1:18" ht="12" thickBot="1">
      <c r="A860" s="588" t="s">
        <v>1466</v>
      </c>
      <c r="B860" s="522" t="s">
        <v>436</v>
      </c>
      <c r="C860" s="522" t="s">
        <v>348</v>
      </c>
      <c r="D860" s="522" t="s">
        <v>955</v>
      </c>
      <c r="E860" s="1013">
        <v>5</v>
      </c>
      <c r="F860" s="531">
        <v>316</v>
      </c>
      <c r="G860" s="531">
        <v>297.85000000000002</v>
      </c>
      <c r="H860" s="999">
        <f t="shared" si="28"/>
        <v>61.75</v>
      </c>
      <c r="I860" s="1008">
        <f t="shared" si="29"/>
        <v>308.75</v>
      </c>
      <c r="J860" s="1005">
        <f>I860/$M859*$M860</f>
        <v>-1.7251239923463999</v>
      </c>
      <c r="K860" s="1011">
        <f t="shared" si="30"/>
        <v>5</v>
      </c>
      <c r="L860" s="999">
        <f>$M860/H860</f>
        <v>-182.42364372470254</v>
      </c>
      <c r="M860" s="1005">
        <f>M858-M859</f>
        <v>-11264.660000000382</v>
      </c>
      <c r="N860" s="587"/>
      <c r="O860" s="587"/>
      <c r="P860" s="587"/>
      <c r="Q860" s="587"/>
      <c r="R860" s="587"/>
    </row>
    <row r="861" spans="1:18" ht="12" thickBot="1">
      <c r="A861" s="588" t="s">
        <v>1466</v>
      </c>
      <c r="B861" s="522" t="s">
        <v>436</v>
      </c>
      <c r="C861" s="522" t="s">
        <v>349</v>
      </c>
      <c r="D861" s="522" t="s">
        <v>956</v>
      </c>
      <c r="E861" s="1012">
        <v>1</v>
      </c>
      <c r="F861" s="525">
        <v>63</v>
      </c>
      <c r="G861" s="525">
        <v>60.93</v>
      </c>
      <c r="H861" s="999">
        <f t="shared" si="28"/>
        <v>63.11</v>
      </c>
      <c r="I861" s="1008">
        <f t="shared" si="29"/>
        <v>63.11</v>
      </c>
      <c r="J861" s="1005">
        <f>I861/$M859*$M860</f>
        <v>-0.35262372520479773</v>
      </c>
      <c r="K861" s="1011">
        <f t="shared" si="30"/>
        <v>1</v>
      </c>
      <c r="L861" s="999">
        <f>$M860/H861</f>
        <v>-178.49247345904581</v>
      </c>
      <c r="M861" s="999"/>
      <c r="N861" s="587"/>
      <c r="O861" s="587"/>
      <c r="P861" s="587"/>
      <c r="Q861" s="587"/>
      <c r="R861" s="587"/>
    </row>
    <row r="862" spans="1:18" ht="12" thickBot="1">
      <c r="A862" s="588" t="s">
        <v>1466</v>
      </c>
      <c r="B862" s="522" t="s">
        <v>436</v>
      </c>
      <c r="C862" s="522" t="s">
        <v>351</v>
      </c>
      <c r="D862" s="522" t="s">
        <v>957</v>
      </c>
      <c r="E862" s="1013">
        <v>5</v>
      </c>
      <c r="F862" s="531">
        <v>312</v>
      </c>
      <c r="G862" s="531">
        <v>393.8</v>
      </c>
      <c r="H862" s="999">
        <f t="shared" si="28"/>
        <v>80.94</v>
      </c>
      <c r="I862" s="1008">
        <f t="shared" si="29"/>
        <v>404.7</v>
      </c>
      <c r="J862" s="1005">
        <f>I862/$M859*$M860</f>
        <v>-2.2612394484294351</v>
      </c>
      <c r="K862" s="1011">
        <f t="shared" si="30"/>
        <v>5</v>
      </c>
      <c r="L862" s="999">
        <f>$M860/H862</f>
        <v>-139.17296763034818</v>
      </c>
      <c r="M862" s="999"/>
      <c r="N862" s="587"/>
      <c r="O862" s="587"/>
      <c r="P862" s="587"/>
      <c r="Q862" s="587"/>
      <c r="R862" s="587"/>
    </row>
    <row r="863" spans="1:18" ht="12" thickBot="1">
      <c r="A863" s="588" t="s">
        <v>1466</v>
      </c>
      <c r="B863" s="522" t="s">
        <v>436</v>
      </c>
      <c r="C863" s="522" t="s">
        <v>352</v>
      </c>
      <c r="D863" s="522" t="s">
        <v>958</v>
      </c>
      <c r="E863" s="1012">
        <v>10</v>
      </c>
      <c r="F863" s="525">
        <v>623</v>
      </c>
      <c r="G863" s="525">
        <v>767.9</v>
      </c>
      <c r="H863" s="999">
        <f t="shared" si="28"/>
        <v>78.97</v>
      </c>
      <c r="I863" s="1008">
        <f t="shared" si="29"/>
        <v>789.7</v>
      </c>
      <c r="J863" s="1005">
        <f>I863/$M859*$M860</f>
        <v>-4.4124062081164448</v>
      </c>
      <c r="K863" s="1011">
        <f t="shared" si="30"/>
        <v>10</v>
      </c>
      <c r="L863" s="999">
        <f>$M860/H863</f>
        <v>-142.64480182348211</v>
      </c>
      <c r="M863" s="999"/>
      <c r="N863" s="587"/>
      <c r="O863" s="587"/>
      <c r="P863" s="587"/>
      <c r="Q863" s="587"/>
      <c r="R863" s="587"/>
    </row>
    <row r="864" spans="1:18" ht="12" thickBot="1">
      <c r="A864" s="588" t="s">
        <v>1466</v>
      </c>
      <c r="B864" s="522" t="s">
        <v>436</v>
      </c>
      <c r="C864" s="522" t="s">
        <v>354</v>
      </c>
      <c r="D864" s="522" t="s">
        <v>959</v>
      </c>
      <c r="E864" s="1013">
        <v>24</v>
      </c>
      <c r="F864" s="531">
        <v>1519</v>
      </c>
      <c r="G864" s="531">
        <v>1476.25</v>
      </c>
      <c r="H864" s="999">
        <f t="shared" si="28"/>
        <v>61.230000000000004</v>
      </c>
      <c r="I864" s="1008">
        <f t="shared" si="29"/>
        <v>1469.52</v>
      </c>
      <c r="J864" s="1005">
        <f>I864/$M859*$M860</f>
        <v>-8.210863835572086</v>
      </c>
      <c r="K864" s="1011">
        <f t="shared" si="30"/>
        <v>24</v>
      </c>
      <c r="L864" s="999">
        <f>$M860/H864</f>
        <v>-183.9728891066533</v>
      </c>
      <c r="M864" s="999"/>
      <c r="N864" s="587"/>
      <c r="O864" s="587"/>
      <c r="P864" s="587"/>
      <c r="Q864" s="587"/>
      <c r="R864" s="587"/>
    </row>
    <row r="865" spans="1:18" ht="12" thickBot="1">
      <c r="A865" s="588" t="s">
        <v>1466</v>
      </c>
      <c r="B865" s="522" t="s">
        <v>436</v>
      </c>
      <c r="C865" s="522" t="s">
        <v>355</v>
      </c>
      <c r="D865" s="522" t="s">
        <v>960</v>
      </c>
      <c r="E865" s="1012">
        <v>1</v>
      </c>
      <c r="F865" s="525">
        <v>63</v>
      </c>
      <c r="G865" s="525">
        <v>54.51</v>
      </c>
      <c r="H865" s="999">
        <f t="shared" si="28"/>
        <v>56.69</v>
      </c>
      <c r="I865" s="1008">
        <f t="shared" si="29"/>
        <v>56.69</v>
      </c>
      <c r="J865" s="1005">
        <f>I865/$M859*$M860</f>
        <v>-0.31675232105625073</v>
      </c>
      <c r="K865" s="1011">
        <f t="shared" si="30"/>
        <v>1</v>
      </c>
      <c r="L865" s="999">
        <f>$M860/H865</f>
        <v>-198.70629740695682</v>
      </c>
      <c r="M865" s="999"/>
      <c r="N865" s="587"/>
      <c r="O865" s="587"/>
      <c r="P865" s="587"/>
      <c r="Q865" s="587"/>
      <c r="R865" s="587"/>
    </row>
    <row r="866" spans="1:18" ht="12" thickBot="1">
      <c r="A866" s="588" t="s">
        <v>1466</v>
      </c>
      <c r="B866" s="522" t="s">
        <v>436</v>
      </c>
      <c r="C866" s="522" t="s">
        <v>341</v>
      </c>
      <c r="D866" s="522" t="s">
        <v>961</v>
      </c>
      <c r="E866" s="1013">
        <v>16</v>
      </c>
      <c r="F866" s="531">
        <v>995</v>
      </c>
      <c r="G866" s="531">
        <v>1157.44</v>
      </c>
      <c r="H866" s="999">
        <f t="shared" si="28"/>
        <v>74.52</v>
      </c>
      <c r="I866" s="1008">
        <f t="shared" si="29"/>
        <v>1192.32</v>
      </c>
      <c r="J866" s="1005">
        <f>I866/$M859*$M860</f>
        <v>-6.6620237685974395</v>
      </c>
      <c r="K866" s="1011">
        <f t="shared" si="30"/>
        <v>16</v>
      </c>
      <c r="L866" s="999">
        <f>$M860/H866</f>
        <v>-151.16290928610283</v>
      </c>
      <c r="M866" s="999"/>
      <c r="N866" s="587"/>
      <c r="O866" s="587"/>
      <c r="P866" s="587"/>
      <c r="Q866" s="587"/>
      <c r="R866" s="587"/>
    </row>
    <row r="867" spans="1:18" ht="12" thickBot="1">
      <c r="A867" s="588" t="s">
        <v>1466</v>
      </c>
      <c r="B867" s="522" t="s">
        <v>436</v>
      </c>
      <c r="C867" s="522" t="s">
        <v>350</v>
      </c>
      <c r="D867" s="522" t="s">
        <v>962</v>
      </c>
      <c r="E867" s="1012">
        <v>1</v>
      </c>
      <c r="F867" s="525">
        <v>63</v>
      </c>
      <c r="G867" s="525">
        <v>80.12</v>
      </c>
      <c r="H867" s="999">
        <f t="shared" si="28"/>
        <v>82.3</v>
      </c>
      <c r="I867" s="1008">
        <f t="shared" si="29"/>
        <v>82.3</v>
      </c>
      <c r="J867" s="1005">
        <f>I867/$M859*$M860</f>
        <v>-0.45984681642140474</v>
      </c>
      <c r="K867" s="1011">
        <f t="shared" si="30"/>
        <v>1</v>
      </c>
      <c r="L867" s="999">
        <f>$M860/H867</f>
        <v>-136.87314702309092</v>
      </c>
      <c r="M867" s="999"/>
      <c r="N867" s="587"/>
      <c r="O867" s="587"/>
      <c r="P867" s="587"/>
      <c r="Q867" s="587"/>
      <c r="R867" s="587"/>
    </row>
    <row r="868" spans="1:18" ht="12" thickBot="1">
      <c r="A868" s="588" t="s">
        <v>1466</v>
      </c>
      <c r="B868" s="522" t="s">
        <v>436</v>
      </c>
      <c r="C868" s="522" t="s">
        <v>342</v>
      </c>
      <c r="D868" s="522" t="s">
        <v>963</v>
      </c>
      <c r="E868" s="1013">
        <v>19</v>
      </c>
      <c r="F868" s="531">
        <v>1172</v>
      </c>
      <c r="G868" s="531">
        <v>1446.8</v>
      </c>
      <c r="H868" s="999">
        <f t="shared" si="28"/>
        <v>74.52</v>
      </c>
      <c r="I868" s="1008">
        <f t="shared" si="29"/>
        <v>1415.8799999999999</v>
      </c>
      <c r="J868" s="1005">
        <f>I868/$M859*$M860</f>
        <v>-7.9111532252094596</v>
      </c>
      <c r="K868" s="1011">
        <f t="shared" si="30"/>
        <v>19</v>
      </c>
      <c r="L868" s="999">
        <f>$M860/H868</f>
        <v>-151.16290928610283</v>
      </c>
      <c r="M868" s="999"/>
      <c r="N868" s="587"/>
      <c r="O868" s="587"/>
      <c r="P868" s="587"/>
      <c r="Q868" s="587"/>
      <c r="R868" s="587"/>
    </row>
    <row r="869" spans="1:18" ht="12" thickBot="1">
      <c r="A869" s="588" t="s">
        <v>1466</v>
      </c>
      <c r="B869" s="522" t="s">
        <v>436</v>
      </c>
      <c r="C869" s="522" t="s">
        <v>346</v>
      </c>
      <c r="D869" s="522" t="s">
        <v>964</v>
      </c>
      <c r="E869" s="1012">
        <v>4</v>
      </c>
      <c r="F869" s="525">
        <v>244</v>
      </c>
      <c r="G869" s="525">
        <v>294.8</v>
      </c>
      <c r="H869" s="999">
        <f t="shared" si="28"/>
        <v>75.88</v>
      </c>
      <c r="I869" s="1008">
        <f t="shared" si="29"/>
        <v>303.52</v>
      </c>
      <c r="J869" s="1005">
        <f>I869/$M859*$M860</f>
        <v>-1.6959016490914309</v>
      </c>
      <c r="K869" s="1011">
        <f t="shared" si="30"/>
        <v>4</v>
      </c>
      <c r="L869" s="999">
        <f>$M860/H869</f>
        <v>-148.45361096468611</v>
      </c>
      <c r="M869" s="999"/>
      <c r="N869" s="587"/>
      <c r="O869" s="587"/>
      <c r="P869" s="587"/>
      <c r="Q869" s="587"/>
      <c r="R869" s="587"/>
    </row>
    <row r="870" spans="1:18" ht="12" thickBot="1">
      <c r="A870" s="588" t="s">
        <v>1466</v>
      </c>
      <c r="B870" s="522" t="s">
        <v>436</v>
      </c>
      <c r="C870" s="522" t="s">
        <v>353</v>
      </c>
      <c r="D870" s="522" t="s">
        <v>965</v>
      </c>
      <c r="E870" s="1013">
        <v>3</v>
      </c>
      <c r="F870" s="531">
        <v>176</v>
      </c>
      <c r="G870" s="531">
        <v>230.37</v>
      </c>
      <c r="H870" s="999">
        <f t="shared" si="28"/>
        <v>78.97</v>
      </c>
      <c r="I870" s="1008">
        <f t="shared" si="29"/>
        <v>236.91</v>
      </c>
      <c r="J870" s="1005">
        <f>I870/$M859*$M860</f>
        <v>-1.3237218624349332</v>
      </c>
      <c r="K870" s="1011">
        <f t="shared" si="30"/>
        <v>3</v>
      </c>
      <c r="L870" s="999">
        <f>$M860/H870</f>
        <v>-142.64480182348211</v>
      </c>
      <c r="M870" s="999"/>
      <c r="N870" s="587"/>
      <c r="O870" s="587"/>
      <c r="P870" s="587"/>
      <c r="Q870" s="587"/>
      <c r="R870" s="587"/>
    </row>
    <row r="871" spans="1:18" ht="12" thickBot="1">
      <c r="A871" s="588" t="s">
        <v>1466</v>
      </c>
      <c r="B871" s="522" t="s">
        <v>436</v>
      </c>
      <c r="C871" s="522" t="s">
        <v>345</v>
      </c>
      <c r="D871" s="522" t="s">
        <v>966</v>
      </c>
      <c r="E871" s="1012">
        <v>2</v>
      </c>
      <c r="F871" s="525">
        <v>117</v>
      </c>
      <c r="G871" s="525">
        <v>150.16</v>
      </c>
      <c r="H871" s="999">
        <f t="shared" si="28"/>
        <v>77.259999999999991</v>
      </c>
      <c r="I871" s="1008">
        <f t="shared" si="29"/>
        <v>154.51999999999998</v>
      </c>
      <c r="J871" s="1005">
        <f>I871/$M859*$M860</f>
        <v>-0.86337217586191317</v>
      </c>
      <c r="K871" s="1011">
        <f t="shared" si="30"/>
        <v>2</v>
      </c>
      <c r="L871" s="999">
        <f>$M860/H871</f>
        <v>-145.80196738286801</v>
      </c>
      <c r="M871" s="999"/>
      <c r="N871" s="587"/>
      <c r="O871" s="587"/>
      <c r="P871" s="587"/>
      <c r="Q871" s="587"/>
      <c r="R871" s="587"/>
    </row>
    <row r="872" spans="1:18" ht="12" thickBot="1">
      <c r="A872" s="588" t="s">
        <v>1466</v>
      </c>
      <c r="B872" s="522" t="s">
        <v>436</v>
      </c>
      <c r="C872" s="522" t="s">
        <v>343</v>
      </c>
      <c r="D872" s="522" t="s">
        <v>967</v>
      </c>
      <c r="E872" s="1013">
        <v>49</v>
      </c>
      <c r="F872" s="531">
        <v>3035</v>
      </c>
      <c r="G872" s="531">
        <v>3162.51</v>
      </c>
      <c r="H872" s="999">
        <f t="shared" si="28"/>
        <v>64.19</v>
      </c>
      <c r="I872" s="1008">
        <f t="shared" si="29"/>
        <v>3145.31</v>
      </c>
      <c r="J872" s="1005">
        <f>I872/$M859*$M860</f>
        <v>-17.574250184184795</v>
      </c>
      <c r="K872" s="1011">
        <f t="shared" si="30"/>
        <v>49</v>
      </c>
      <c r="L872" s="999">
        <f>$M860/H872</f>
        <v>-175.48932855585576</v>
      </c>
      <c r="M872" s="999"/>
      <c r="N872" s="587"/>
      <c r="O872" s="587"/>
      <c r="P872" s="587"/>
      <c r="Q872" s="587"/>
      <c r="R872" s="587"/>
    </row>
    <row r="873" spans="1:18" ht="12" thickBot="1">
      <c r="A873" s="588" t="s">
        <v>1466</v>
      </c>
      <c r="B873" s="522" t="s">
        <v>436</v>
      </c>
      <c r="C873" s="522" t="s">
        <v>472</v>
      </c>
      <c r="D873" s="522" t="s">
        <v>968</v>
      </c>
      <c r="E873" s="1012">
        <v>2</v>
      </c>
      <c r="F873" s="525">
        <v>133</v>
      </c>
      <c r="G873" s="525">
        <v>147.44</v>
      </c>
      <c r="H873" s="999">
        <f t="shared" si="28"/>
        <v>75.899999999999991</v>
      </c>
      <c r="I873" s="1008">
        <f t="shared" si="29"/>
        <v>151.79999999999998</v>
      </c>
      <c r="J873" s="1005">
        <f>I873/$M859*$M860</f>
        <v>-0.84817432239087776</v>
      </c>
      <c r="K873" s="1011">
        <f t="shared" si="30"/>
        <v>2</v>
      </c>
      <c r="L873" s="999">
        <f>$M860/H873</f>
        <v>-148.41449275362822</v>
      </c>
      <c r="M873" s="999"/>
      <c r="N873" s="587"/>
      <c r="O873" s="587"/>
      <c r="P873" s="587"/>
      <c r="Q873" s="587"/>
      <c r="R873" s="587"/>
    </row>
    <row r="874" spans="1:18" ht="12" thickBot="1">
      <c r="A874" s="588" t="s">
        <v>1466</v>
      </c>
      <c r="B874" s="522" t="s">
        <v>436</v>
      </c>
      <c r="C874" s="522" t="s">
        <v>382</v>
      </c>
      <c r="D874" s="522" t="s">
        <v>969</v>
      </c>
      <c r="E874" s="1013">
        <v>45</v>
      </c>
      <c r="F874" s="531">
        <v>1466</v>
      </c>
      <c r="G874" s="531">
        <v>665.62</v>
      </c>
      <c r="H874" s="999">
        <f t="shared" si="28"/>
        <v>14.860000000000001</v>
      </c>
      <c r="I874" s="1008">
        <f t="shared" si="29"/>
        <v>668.7</v>
      </c>
      <c r="J874" s="1005">
        <f>I874/$M859*$M860</f>
        <v>-3.7363252265005276</v>
      </c>
      <c r="K874" s="1011">
        <f t="shared" si="30"/>
        <v>45</v>
      </c>
      <c r="L874" s="999">
        <f>$M860/H874</f>
        <v>-758.05248990581299</v>
      </c>
      <c r="M874" s="999"/>
      <c r="N874" s="587"/>
      <c r="O874" s="587"/>
      <c r="P874" s="587"/>
      <c r="Q874" s="587"/>
      <c r="R874" s="587"/>
    </row>
    <row r="875" spans="1:18" ht="12" thickBot="1">
      <c r="A875" s="588" t="s">
        <v>1466</v>
      </c>
      <c r="B875" s="522" t="s">
        <v>436</v>
      </c>
      <c r="C875" s="522" t="s">
        <v>402</v>
      </c>
      <c r="D875" s="522" t="s">
        <v>970</v>
      </c>
      <c r="E875" s="1012">
        <v>7082</v>
      </c>
      <c r="F875" s="525">
        <v>547213</v>
      </c>
      <c r="G875" s="525">
        <v>74878.289999999994</v>
      </c>
      <c r="H875" s="999">
        <f t="shared" si="28"/>
        <v>10.570000000000002</v>
      </c>
      <c r="I875" s="1008">
        <f t="shared" si="29"/>
        <v>74856.74000000002</v>
      </c>
      <c r="J875" s="1005">
        <f>I875/$M859*$M860</f>
        <v>-418.25800214683881</v>
      </c>
      <c r="K875" s="1011">
        <f t="shared" si="30"/>
        <v>7042</v>
      </c>
      <c r="L875" s="999">
        <f>$M860/H875</f>
        <v>-1065.7199621570842</v>
      </c>
      <c r="M875" s="999"/>
      <c r="N875" s="587"/>
      <c r="O875" s="587"/>
      <c r="P875" s="587"/>
      <c r="Q875" s="587"/>
      <c r="R875" s="587"/>
    </row>
    <row r="876" spans="1:18" ht="12" thickBot="1">
      <c r="A876" s="588" t="s">
        <v>1466</v>
      </c>
      <c r="B876" s="522" t="s">
        <v>436</v>
      </c>
      <c r="C876" s="522" t="s">
        <v>398</v>
      </c>
      <c r="D876" s="522" t="s">
        <v>971</v>
      </c>
      <c r="E876" s="1013">
        <f>135-2</f>
        <v>133</v>
      </c>
      <c r="F876" s="531">
        <v>24090</v>
      </c>
      <c r="G876" s="531">
        <v>1575.2</v>
      </c>
      <c r="H876" s="999">
        <f t="shared" si="28"/>
        <v>11.71</v>
      </c>
      <c r="I876" s="1008">
        <f t="shared" si="29"/>
        <v>1557.43</v>
      </c>
      <c r="J876" s="1005">
        <f>I876/$M859*$M860</f>
        <v>-8.7020562247775022</v>
      </c>
      <c r="K876" s="1011">
        <f t="shared" si="30"/>
        <v>132</v>
      </c>
      <c r="L876" s="999">
        <f>$M860/H876</f>
        <v>-961.96925704529303</v>
      </c>
      <c r="M876" s="999"/>
      <c r="N876" s="587"/>
      <c r="O876" s="587"/>
      <c r="P876" s="587"/>
      <c r="Q876" s="587"/>
      <c r="R876" s="587"/>
    </row>
    <row r="877" spans="1:18" ht="12" thickBot="1">
      <c r="A877" s="588" t="s">
        <v>1466</v>
      </c>
      <c r="B877" s="522" t="s">
        <v>436</v>
      </c>
      <c r="C877" s="522" t="s">
        <v>376</v>
      </c>
      <c r="D877" s="522" t="s">
        <v>972</v>
      </c>
      <c r="E877" s="1013">
        <v>236</v>
      </c>
      <c r="F877" s="531">
        <v>5166</v>
      </c>
      <c r="G877" s="531">
        <v>4790.3999999999996</v>
      </c>
      <c r="H877" s="999">
        <f t="shared" si="28"/>
        <v>20.259999999999998</v>
      </c>
      <c r="I877" s="1008">
        <f t="shared" si="29"/>
        <v>4781.3599999999997</v>
      </c>
      <c r="J877" s="1005">
        <f>I877/$M859*$M860</f>
        <v>-26.715591423628766</v>
      </c>
      <c r="K877" s="1011">
        <f t="shared" si="30"/>
        <v>235</v>
      </c>
      <c r="L877" s="999">
        <f>$M860/H877</f>
        <v>-556.00493583417483</v>
      </c>
      <c r="M877" s="999"/>
      <c r="N877" s="587"/>
      <c r="O877" s="587"/>
      <c r="P877" s="587"/>
      <c r="Q877" s="587"/>
      <c r="R877" s="587"/>
    </row>
    <row r="878" spans="1:18" ht="12" thickBot="1">
      <c r="A878" s="588" t="s">
        <v>1466</v>
      </c>
      <c r="B878" s="522" t="s">
        <v>436</v>
      </c>
      <c r="C878" s="522" t="s">
        <v>384</v>
      </c>
      <c r="D878" s="522" t="s">
        <v>973</v>
      </c>
      <c r="E878" s="1012">
        <v>142</v>
      </c>
      <c r="F878" s="525">
        <v>4436</v>
      </c>
      <c r="G878" s="525">
        <v>3043.55</v>
      </c>
      <c r="H878" s="999">
        <f t="shared" si="28"/>
        <v>21.38</v>
      </c>
      <c r="I878" s="1008">
        <f t="shared" si="29"/>
        <v>3035.96</v>
      </c>
      <c r="J878" s="1005">
        <f>I878/$M859*$M860</f>
        <v>-16.963262949972396</v>
      </c>
      <c r="K878" s="1011">
        <f t="shared" si="30"/>
        <v>141</v>
      </c>
      <c r="L878" s="999">
        <f>$M860/H878</f>
        <v>-526.87839101966244</v>
      </c>
      <c r="M878" s="999"/>
      <c r="N878" s="587"/>
      <c r="O878" s="587"/>
      <c r="P878" s="587"/>
      <c r="Q878" s="587"/>
      <c r="R878" s="587"/>
    </row>
    <row r="879" spans="1:18" ht="12" thickBot="1">
      <c r="A879" s="588" t="s">
        <v>1466</v>
      </c>
      <c r="B879" s="522" t="s">
        <v>436</v>
      </c>
      <c r="C879" s="522" t="s">
        <v>386</v>
      </c>
      <c r="D879" s="522" t="s">
        <v>974</v>
      </c>
      <c r="E879" s="1013">
        <v>28</v>
      </c>
      <c r="F879" s="531">
        <v>872</v>
      </c>
      <c r="G879" s="531">
        <v>852.61</v>
      </c>
      <c r="H879" s="999">
        <f t="shared" si="28"/>
        <v>30.84</v>
      </c>
      <c r="I879" s="1008">
        <f t="shared" si="29"/>
        <v>863.52</v>
      </c>
      <c r="J879" s="1005">
        <f>I879/$M859*$M860</f>
        <v>-4.8248714813634441</v>
      </c>
      <c r="K879" s="1011">
        <f t="shared" si="30"/>
        <v>28</v>
      </c>
      <c r="L879" s="999">
        <f>$M860/H879</f>
        <v>-365.26134889754803</v>
      </c>
      <c r="M879" s="999"/>
      <c r="N879" s="587"/>
      <c r="O879" s="587"/>
      <c r="P879" s="587"/>
      <c r="Q879" s="587"/>
      <c r="R879" s="587"/>
    </row>
    <row r="880" spans="1:18" ht="12" thickBot="1">
      <c r="A880" s="588" t="s">
        <v>1466</v>
      </c>
      <c r="B880" s="522" t="s">
        <v>436</v>
      </c>
      <c r="C880" s="522" t="s">
        <v>409</v>
      </c>
      <c r="D880" s="522" t="s">
        <v>975</v>
      </c>
      <c r="E880" s="1012">
        <v>95</v>
      </c>
      <c r="F880" s="525">
        <v>3894</v>
      </c>
      <c r="G880" s="525">
        <v>2967.36</v>
      </c>
      <c r="H880" s="999">
        <f t="shared" si="28"/>
        <v>31.22</v>
      </c>
      <c r="I880" s="1008">
        <f t="shared" si="29"/>
        <v>2965.9</v>
      </c>
      <c r="J880" s="1005">
        <f>I880/$M859*$M860</f>
        <v>-16.57180647417065</v>
      </c>
      <c r="K880" s="1011">
        <f t="shared" si="30"/>
        <v>94</v>
      </c>
      <c r="L880" s="999">
        <f>$M860/H880</f>
        <v>-360.8155028827797</v>
      </c>
      <c r="M880" s="999"/>
      <c r="N880" s="587"/>
      <c r="O880" s="587"/>
      <c r="P880" s="587"/>
      <c r="Q880" s="587"/>
      <c r="R880" s="587"/>
    </row>
    <row r="881" spans="1:18" ht="12" thickBot="1">
      <c r="A881" s="588" t="s">
        <v>1466</v>
      </c>
      <c r="B881" s="522" t="s">
        <v>436</v>
      </c>
      <c r="C881" s="522" t="s">
        <v>387</v>
      </c>
      <c r="D881" s="522" t="s">
        <v>976</v>
      </c>
      <c r="E881" s="1013">
        <v>21</v>
      </c>
      <c r="F881" s="531">
        <v>611</v>
      </c>
      <c r="G881" s="531">
        <v>639.45000000000005</v>
      </c>
      <c r="H881" s="999">
        <f t="shared" si="28"/>
        <v>30.84</v>
      </c>
      <c r="I881" s="1008">
        <f t="shared" si="29"/>
        <v>647.64</v>
      </c>
      <c r="J881" s="1005">
        <f>I881/$M859*$M860</f>
        <v>-3.6186536110225829</v>
      </c>
      <c r="K881" s="1011">
        <f t="shared" si="30"/>
        <v>21</v>
      </c>
      <c r="L881" s="999">
        <f>$M860/H881</f>
        <v>-365.26134889754803</v>
      </c>
      <c r="M881" s="999"/>
      <c r="N881" s="587"/>
      <c r="O881" s="587"/>
      <c r="P881" s="587"/>
      <c r="Q881" s="587"/>
      <c r="R881" s="587"/>
    </row>
    <row r="882" spans="1:18" ht="12" thickBot="1">
      <c r="A882" s="588" t="s">
        <v>1466</v>
      </c>
      <c r="B882" s="522" t="s">
        <v>436</v>
      </c>
      <c r="C882" s="522" t="s">
        <v>410</v>
      </c>
      <c r="D882" s="522" t="s">
        <v>977</v>
      </c>
      <c r="E882" s="1012">
        <v>10</v>
      </c>
      <c r="F882" s="525">
        <v>410</v>
      </c>
      <c r="G882" s="525">
        <v>309.10000000000002</v>
      </c>
      <c r="H882" s="999">
        <f t="shared" si="28"/>
        <v>31.22</v>
      </c>
      <c r="I882" s="1008">
        <f t="shared" si="29"/>
        <v>312.2</v>
      </c>
      <c r="J882" s="1005">
        <f>I882/$M859*$M860</f>
        <v>-1.7444006814916473</v>
      </c>
      <c r="K882" s="1011">
        <f t="shared" si="30"/>
        <v>10</v>
      </c>
      <c r="L882" s="999">
        <f>$M860/H882</f>
        <v>-360.8155028827797</v>
      </c>
      <c r="M882" s="999"/>
      <c r="N882" s="587"/>
      <c r="O882" s="587"/>
      <c r="P882" s="587"/>
      <c r="Q882" s="587"/>
      <c r="R882" s="587"/>
    </row>
    <row r="883" spans="1:18" ht="12" thickBot="1">
      <c r="A883" s="588" t="s">
        <v>1466</v>
      </c>
      <c r="B883" s="522" t="s">
        <v>436</v>
      </c>
      <c r="C883" s="522" t="s">
        <v>405</v>
      </c>
      <c r="D883" s="522" t="s">
        <v>978</v>
      </c>
      <c r="E883" s="1013">
        <v>449</v>
      </c>
      <c r="F883" s="531">
        <v>19270</v>
      </c>
      <c r="G883" s="531">
        <v>6892.9</v>
      </c>
      <c r="H883" s="999">
        <f t="shared" si="28"/>
        <v>15.360000000000001</v>
      </c>
      <c r="I883" s="1008">
        <f t="shared" si="29"/>
        <v>6896.64</v>
      </c>
      <c r="J883" s="1005">
        <f>I883/$M859*$M860</f>
        <v>-38.53460447150082</v>
      </c>
      <c r="K883" s="1011">
        <f t="shared" si="30"/>
        <v>446</v>
      </c>
      <c r="L883" s="999">
        <f>$M860/H883</f>
        <v>-733.37630208335815</v>
      </c>
      <c r="M883" s="999"/>
      <c r="N883" s="587"/>
      <c r="O883" s="587"/>
      <c r="P883" s="587"/>
      <c r="Q883" s="587"/>
      <c r="R883" s="587"/>
    </row>
    <row r="884" spans="1:18" ht="12" thickBot="1">
      <c r="A884" s="588" t="s">
        <v>1466</v>
      </c>
      <c r="B884" s="522" t="s">
        <v>436</v>
      </c>
      <c r="C884" s="522" t="s">
        <v>326</v>
      </c>
      <c r="D884" s="522" t="s">
        <v>979</v>
      </c>
      <c r="E884" s="1012">
        <v>5</v>
      </c>
      <c r="F884" s="525">
        <v>171</v>
      </c>
      <c r="G884" s="525">
        <v>16.399999999999999</v>
      </c>
      <c r="H884" s="999">
        <f t="shared" si="28"/>
        <v>3.39</v>
      </c>
      <c r="I884" s="1008">
        <f t="shared" si="29"/>
        <v>16.95</v>
      </c>
      <c r="J884" s="1005">
        <f>I884/$M859*$M860</f>
        <v>-9.4707211887518947E-2</v>
      </c>
      <c r="K884" s="1011">
        <f t="shared" si="30"/>
        <v>5</v>
      </c>
      <c r="L884" s="999">
        <f>$M860/H884</f>
        <v>-3322.9085545723838</v>
      </c>
      <c r="M884" s="999"/>
      <c r="N884" s="587"/>
      <c r="O884" s="587"/>
      <c r="P884" s="587"/>
      <c r="Q884" s="587"/>
      <c r="R884" s="587"/>
    </row>
    <row r="885" spans="1:18" ht="12" thickBot="1">
      <c r="A885" s="588" t="s">
        <v>1466</v>
      </c>
      <c r="B885" s="522" t="s">
        <v>436</v>
      </c>
      <c r="C885" s="522" t="s">
        <v>356</v>
      </c>
      <c r="D885" s="522" t="s">
        <v>980</v>
      </c>
      <c r="E885" s="1013">
        <v>676</v>
      </c>
      <c r="F885" s="531">
        <v>49146</v>
      </c>
      <c r="G885" s="531">
        <v>3066.8</v>
      </c>
      <c r="H885" s="999">
        <f t="shared" si="28"/>
        <v>4.5400000000000009</v>
      </c>
      <c r="I885" s="1008">
        <f t="shared" si="29"/>
        <v>3069.0400000000004</v>
      </c>
      <c r="J885" s="1005">
        <f>I885/$M859*$M860</f>
        <v>-17.148095667921609</v>
      </c>
      <c r="K885" s="1011">
        <f t="shared" si="30"/>
        <v>672</v>
      </c>
      <c r="L885" s="999">
        <f>$M860/H885</f>
        <v>-2481.2026431718896</v>
      </c>
      <c r="M885" s="999"/>
      <c r="N885" s="587"/>
      <c r="O885" s="587"/>
      <c r="P885" s="587"/>
      <c r="Q885" s="587"/>
      <c r="R885" s="587"/>
    </row>
    <row r="886" spans="1:18" ht="12" thickBot="1">
      <c r="A886" s="588" t="s">
        <v>1466</v>
      </c>
      <c r="B886" s="522" t="s">
        <v>436</v>
      </c>
      <c r="C886" s="522" t="s">
        <v>374</v>
      </c>
      <c r="D886" s="522" t="s">
        <v>981</v>
      </c>
      <c r="E886" s="1012">
        <v>113</v>
      </c>
      <c r="F886" s="525">
        <v>13242</v>
      </c>
      <c r="G886" s="525">
        <v>767.52</v>
      </c>
      <c r="H886" s="999">
        <f t="shared" si="28"/>
        <v>6.78</v>
      </c>
      <c r="I886" s="1008">
        <f t="shared" si="29"/>
        <v>766.14</v>
      </c>
      <c r="J886" s="1005">
        <f>I886/$M859*$M860</f>
        <v>-4.2807659773158573</v>
      </c>
      <c r="K886" s="1011">
        <f t="shared" si="30"/>
        <v>112</v>
      </c>
      <c r="L886" s="999">
        <f>$M860/H886</f>
        <v>-1661.4542772861919</v>
      </c>
      <c r="M886" s="999"/>
      <c r="N886" s="587"/>
      <c r="O886" s="587"/>
      <c r="P886" s="587"/>
      <c r="Q886" s="587"/>
      <c r="R886" s="587"/>
    </row>
    <row r="887" spans="1:18" ht="12" thickBot="1">
      <c r="A887" s="588" t="s">
        <v>1466</v>
      </c>
      <c r="B887" s="522" t="s">
        <v>436</v>
      </c>
      <c r="C887" s="522" t="s">
        <v>399</v>
      </c>
      <c r="D887" s="522" t="s">
        <v>982</v>
      </c>
      <c r="E887" s="1013">
        <v>2</v>
      </c>
      <c r="F887" s="531">
        <v>310</v>
      </c>
      <c r="G887" s="531">
        <v>17.52</v>
      </c>
      <c r="H887" s="999">
        <f t="shared" si="28"/>
        <v>9.06</v>
      </c>
      <c r="I887" s="1008">
        <f t="shared" si="29"/>
        <v>18.12</v>
      </c>
      <c r="J887" s="1005">
        <f>I887/$M859*$M860</f>
        <v>-0.10124452385851586</v>
      </c>
      <c r="K887" s="1011">
        <f t="shared" si="30"/>
        <v>2</v>
      </c>
      <c r="L887" s="999">
        <f>$M860/H887</f>
        <v>-1243.3399558499318</v>
      </c>
      <c r="M887" s="999"/>
      <c r="N887" s="587"/>
      <c r="O887" s="587"/>
      <c r="P887" s="587"/>
      <c r="Q887" s="587"/>
      <c r="R887" s="587"/>
    </row>
    <row r="888" spans="1:18" ht="12" thickBot="1">
      <c r="A888" s="588" t="s">
        <v>1466</v>
      </c>
      <c r="B888" s="522" t="s">
        <v>436</v>
      </c>
      <c r="C888" s="522" t="s">
        <v>391</v>
      </c>
      <c r="D888" s="522" t="s">
        <v>983</v>
      </c>
      <c r="E888" s="1012">
        <v>162</v>
      </c>
      <c r="F888" s="525">
        <v>5095</v>
      </c>
      <c r="G888" s="525">
        <v>1202.73</v>
      </c>
      <c r="H888" s="999">
        <f t="shared" si="28"/>
        <v>7.4399999999999995</v>
      </c>
      <c r="I888" s="1008">
        <f t="shared" si="29"/>
        <v>1205.28</v>
      </c>
      <c r="J888" s="1005">
        <f>I888/$M859*$M860</f>
        <v>-6.7344370704300207</v>
      </c>
      <c r="K888" s="1011">
        <f t="shared" si="30"/>
        <v>161</v>
      </c>
      <c r="L888" s="999">
        <f>$M860/H888</f>
        <v>-1514.0672043011266</v>
      </c>
      <c r="M888" s="999"/>
      <c r="N888" s="587"/>
      <c r="O888" s="587"/>
      <c r="P888" s="587"/>
      <c r="Q888" s="587"/>
      <c r="R888" s="587"/>
    </row>
    <row r="889" spans="1:18" ht="12" thickBot="1">
      <c r="A889" s="588" t="s">
        <v>1466</v>
      </c>
      <c r="B889" s="522" t="s">
        <v>436</v>
      </c>
      <c r="C889" s="522" t="s">
        <v>416</v>
      </c>
      <c r="D889" s="522" t="s">
        <v>984</v>
      </c>
      <c r="E889" s="1013">
        <v>34807</v>
      </c>
      <c r="F889" s="531">
        <v>1533046</v>
      </c>
      <c r="G889" s="531">
        <v>273027.12</v>
      </c>
      <c r="H889" s="999">
        <f t="shared" ref="H889:H920" si="31">SUMIF(_Lights_Tariff_Category,20140101&amp;$C889,_Lights_Rates)</f>
        <v>7.84</v>
      </c>
      <c r="I889" s="1008">
        <f t="shared" si="29"/>
        <v>272886.88</v>
      </c>
      <c r="J889" s="1005">
        <f>I889/$M859*$M860</f>
        <v>-1524.7407413264873</v>
      </c>
      <c r="K889" s="1011">
        <f t="shared" si="30"/>
        <v>34613</v>
      </c>
      <c r="L889" s="999">
        <f>$M860/H889</f>
        <v>-1436.8188775510691</v>
      </c>
      <c r="M889" s="999"/>
      <c r="N889" s="587"/>
      <c r="O889" s="587"/>
      <c r="P889" s="587"/>
      <c r="Q889" s="587"/>
      <c r="R889" s="587"/>
    </row>
    <row r="890" spans="1:18" ht="12" thickBot="1">
      <c r="A890" s="588" t="s">
        <v>1466</v>
      </c>
      <c r="B890" s="522" t="s">
        <v>436</v>
      </c>
      <c r="C890" s="522" t="s">
        <v>407</v>
      </c>
      <c r="D890" s="522" t="s">
        <v>985</v>
      </c>
      <c r="E890" s="1013">
        <v>1089</v>
      </c>
      <c r="F890" s="531">
        <v>46442</v>
      </c>
      <c r="G890" s="531">
        <v>23955.88</v>
      </c>
      <c r="H890" s="999">
        <f t="shared" si="31"/>
        <v>22</v>
      </c>
      <c r="I890" s="1008">
        <f t="shared" si="29"/>
        <v>23958</v>
      </c>
      <c r="J890" s="1005">
        <f>I890/$M859*$M860</f>
        <v>-133.86403435995157</v>
      </c>
      <c r="K890" s="1011">
        <f t="shared" si="30"/>
        <v>1083</v>
      </c>
      <c r="L890" s="999">
        <f>$M860/H890</f>
        <v>-512.03000000001737</v>
      </c>
      <c r="M890" s="999"/>
      <c r="N890" s="587"/>
      <c r="O890" s="587"/>
      <c r="P890" s="587"/>
      <c r="Q890" s="587"/>
      <c r="R890" s="587"/>
    </row>
    <row r="891" spans="1:18" ht="12" thickBot="1">
      <c r="A891" s="588" t="s">
        <v>1466</v>
      </c>
      <c r="B891" s="522" t="s">
        <v>436</v>
      </c>
      <c r="C891" s="522" t="s">
        <v>373</v>
      </c>
      <c r="D891" s="522" t="s">
        <v>986</v>
      </c>
      <c r="E891" s="1012">
        <v>8</v>
      </c>
      <c r="F891" s="525">
        <v>893</v>
      </c>
      <c r="G891" s="525">
        <v>60.16</v>
      </c>
      <c r="H891" s="999">
        <f t="shared" si="31"/>
        <v>7.74</v>
      </c>
      <c r="I891" s="1008">
        <f t="shared" si="29"/>
        <v>61.92</v>
      </c>
      <c r="J891" s="1005">
        <f>I891/$M859*$M860</f>
        <v>-0.34597466431121976</v>
      </c>
      <c r="K891" s="1011">
        <f t="shared" si="30"/>
        <v>8</v>
      </c>
      <c r="L891" s="999">
        <f>$M860/H891</f>
        <v>-1455.3824289406177</v>
      </c>
      <c r="M891" s="999"/>
      <c r="N891" s="587"/>
      <c r="O891" s="587"/>
      <c r="P891" s="587"/>
      <c r="Q891" s="587"/>
      <c r="R891" s="587"/>
    </row>
    <row r="892" spans="1:18" ht="12" thickBot="1">
      <c r="A892" s="588" t="s">
        <v>1466</v>
      </c>
      <c r="B892" s="522" t="s">
        <v>436</v>
      </c>
      <c r="C892" s="522" t="s">
        <v>375</v>
      </c>
      <c r="D892" s="522" t="s">
        <v>987</v>
      </c>
      <c r="E892" s="1013">
        <v>2</v>
      </c>
      <c r="F892" s="531">
        <v>44</v>
      </c>
      <c r="G892" s="531">
        <v>26.62</v>
      </c>
      <c r="H892" s="999">
        <f t="shared" si="31"/>
        <v>13.610000000000001</v>
      </c>
      <c r="I892" s="1008">
        <f t="shared" si="29"/>
        <v>27.220000000000002</v>
      </c>
      <c r="J892" s="1005">
        <f>I892/$M859*$M860</f>
        <v>-0.15209028363293609</v>
      </c>
      <c r="K892" s="1011">
        <f t="shared" si="30"/>
        <v>2</v>
      </c>
      <c r="L892" s="999">
        <f>$M860/H892</f>
        <v>-827.67523879503165</v>
      </c>
      <c r="M892" s="999"/>
      <c r="N892" s="587"/>
      <c r="O892" s="587"/>
      <c r="P892" s="587"/>
      <c r="Q892" s="587"/>
      <c r="R892" s="587"/>
    </row>
    <row r="893" spans="1:18" ht="12" thickBot="1">
      <c r="A893" s="588" t="s">
        <v>1466</v>
      </c>
      <c r="B893" s="522" t="s">
        <v>436</v>
      </c>
      <c r="C893" s="522" t="s">
        <v>401</v>
      </c>
      <c r="D893" s="522" t="s">
        <v>988</v>
      </c>
      <c r="E893" s="1012">
        <v>1035</v>
      </c>
      <c r="F893" s="525">
        <v>78984</v>
      </c>
      <c r="G893" s="525">
        <v>9892.18</v>
      </c>
      <c r="H893" s="999">
        <f t="shared" si="31"/>
        <v>9.5600000000000023</v>
      </c>
      <c r="I893" s="1008">
        <f t="shared" si="29"/>
        <v>9894.6000000000022</v>
      </c>
      <c r="J893" s="1005">
        <f>I893/$M859*$M860</f>
        <v>-55.28554446856905</v>
      </c>
      <c r="K893" s="1011">
        <f t="shared" si="30"/>
        <v>1029</v>
      </c>
      <c r="L893" s="999">
        <f>$M860/H893</f>
        <v>-1178.3117154812112</v>
      </c>
      <c r="M893" s="999"/>
      <c r="N893" s="587"/>
      <c r="O893" s="587"/>
      <c r="P893" s="587"/>
      <c r="Q893" s="587"/>
      <c r="R893" s="587"/>
    </row>
    <row r="894" spans="1:18" ht="12" thickBot="1">
      <c r="A894" s="588" t="s">
        <v>1466</v>
      </c>
      <c r="B894" s="522" t="s">
        <v>436</v>
      </c>
      <c r="C894" s="522" t="s">
        <v>328</v>
      </c>
      <c r="D894" s="522" t="s">
        <v>989</v>
      </c>
      <c r="E894" s="1013">
        <v>728</v>
      </c>
      <c r="F894" s="531">
        <v>81790</v>
      </c>
      <c r="G894" s="531">
        <v>8244.6</v>
      </c>
      <c r="H894" s="999">
        <f t="shared" si="31"/>
        <v>11.32</v>
      </c>
      <c r="I894" s="1008">
        <f t="shared" si="29"/>
        <v>8240.9600000000009</v>
      </c>
      <c r="J894" s="1005">
        <f>I894/$M859*$M860</f>
        <v>-46.045920051714944</v>
      </c>
      <c r="K894" s="1011">
        <f t="shared" si="30"/>
        <v>724</v>
      </c>
      <c r="L894" s="999">
        <f>$M860/H894</f>
        <v>-995.11130742052842</v>
      </c>
      <c r="M894" s="999"/>
      <c r="N894" s="587"/>
      <c r="O894" s="587"/>
      <c r="P894" s="587"/>
      <c r="Q894" s="587"/>
      <c r="R894" s="587"/>
    </row>
    <row r="895" spans="1:18" ht="12" thickBot="1">
      <c r="A895" s="588" t="s">
        <v>1466</v>
      </c>
      <c r="B895" s="522" t="s">
        <v>436</v>
      </c>
      <c r="C895" s="522" t="s">
        <v>437</v>
      </c>
      <c r="D895" s="522" t="s">
        <v>990</v>
      </c>
      <c r="E895" s="1012">
        <v>1364</v>
      </c>
      <c r="F895" s="525">
        <v>230814</v>
      </c>
      <c r="G895" s="525">
        <v>17476.080000000002</v>
      </c>
      <c r="H895" s="999">
        <f t="shared" si="31"/>
        <v>12.809999999999999</v>
      </c>
      <c r="I895" s="1008">
        <f t="shared" si="29"/>
        <v>17472.839999999997</v>
      </c>
      <c r="J895" s="1005">
        <f>I895/$M859*$M860</f>
        <v>-97.628552221635204</v>
      </c>
      <c r="K895" s="1011">
        <f t="shared" si="30"/>
        <v>1356</v>
      </c>
      <c r="L895" s="999">
        <f>$M860/H895</f>
        <v>-879.36455893835932</v>
      </c>
      <c r="M895" s="999"/>
      <c r="N895" s="587"/>
      <c r="O895" s="587"/>
      <c r="P895" s="587"/>
      <c r="Q895" s="587"/>
      <c r="R895" s="587"/>
    </row>
    <row r="896" spans="1:18" ht="12" thickBot="1">
      <c r="A896" s="588" t="s">
        <v>1466</v>
      </c>
      <c r="B896" s="522" t="s">
        <v>436</v>
      </c>
      <c r="C896" s="522" t="s">
        <v>338</v>
      </c>
      <c r="D896" s="522" t="s">
        <v>991</v>
      </c>
      <c r="E896" s="1012">
        <v>612</v>
      </c>
      <c r="F896" s="525">
        <v>34745</v>
      </c>
      <c r="G896" s="525">
        <v>8725.41</v>
      </c>
      <c r="H896" s="999">
        <f t="shared" si="31"/>
        <v>14.25</v>
      </c>
      <c r="I896" s="1008">
        <f t="shared" si="29"/>
        <v>8721</v>
      </c>
      <c r="J896" s="1005">
        <f>I896/$M859*$M860</f>
        <v>-48.728117691507549</v>
      </c>
      <c r="K896" s="1011">
        <f t="shared" si="30"/>
        <v>609</v>
      </c>
      <c r="L896" s="999">
        <f>$M860/H896</f>
        <v>-790.50245614037772</v>
      </c>
      <c r="M896" s="999"/>
      <c r="N896" s="587"/>
      <c r="O896" s="587"/>
      <c r="P896" s="587"/>
      <c r="Q896" s="587"/>
      <c r="R896" s="587"/>
    </row>
    <row r="897" spans="1:18" ht="12" thickBot="1">
      <c r="A897" s="588" t="s">
        <v>1466</v>
      </c>
      <c r="B897" s="522" t="s">
        <v>436</v>
      </c>
      <c r="C897" s="522" t="s">
        <v>370</v>
      </c>
      <c r="D897" s="522" t="s">
        <v>992</v>
      </c>
      <c r="E897" s="1012">
        <v>4820</v>
      </c>
      <c r="F897" s="525">
        <v>631873</v>
      </c>
      <c r="G897" s="525">
        <v>97410.92</v>
      </c>
      <c r="H897" s="999">
        <f t="shared" si="31"/>
        <v>20.200000000000003</v>
      </c>
      <c r="I897" s="1008">
        <f t="shared" si="29"/>
        <v>97364.000000000015</v>
      </c>
      <c r="J897" s="1005">
        <f>I897/$M859*$M860</f>
        <v>-544.01610490952203</v>
      </c>
      <c r="K897" s="1011">
        <f t="shared" si="30"/>
        <v>4793</v>
      </c>
      <c r="L897" s="999">
        <f>$M860/H897</f>
        <v>-557.65643564358322</v>
      </c>
      <c r="M897" s="999"/>
      <c r="N897" s="587"/>
      <c r="O897" s="587"/>
      <c r="P897" s="587"/>
      <c r="Q897" s="587"/>
      <c r="R897" s="587"/>
    </row>
    <row r="898" spans="1:18" ht="12" thickBot="1">
      <c r="A898" s="588" t="s">
        <v>1466</v>
      </c>
      <c r="B898" s="522" t="s">
        <v>436</v>
      </c>
      <c r="C898" s="522" t="s">
        <v>333</v>
      </c>
      <c r="D898" s="522" t="s">
        <v>993</v>
      </c>
      <c r="E898" s="1012">
        <v>1013</v>
      </c>
      <c r="F898" s="525">
        <v>407513</v>
      </c>
      <c r="G898" s="525">
        <v>42919.35</v>
      </c>
      <c r="H898" s="999">
        <f t="shared" si="31"/>
        <v>42.350000000000009</v>
      </c>
      <c r="I898" s="1008">
        <f t="shared" si="29"/>
        <v>42900.55000000001</v>
      </c>
      <c r="J898" s="1005">
        <f>I898/$M859*$M860</f>
        <v>-239.70451203192346</v>
      </c>
      <c r="K898" s="1011">
        <f t="shared" si="30"/>
        <v>1007</v>
      </c>
      <c r="L898" s="999">
        <f>$M860/H898</f>
        <v>-265.98961038961937</v>
      </c>
      <c r="M898" s="999"/>
      <c r="N898" s="587"/>
      <c r="O898" s="587"/>
      <c r="P898" s="587"/>
      <c r="Q898" s="587"/>
      <c r="R898" s="587"/>
    </row>
    <row r="899" spans="1:18" ht="12" thickBot="1">
      <c r="A899" s="588" t="s">
        <v>1466</v>
      </c>
      <c r="B899" s="522" t="s">
        <v>436</v>
      </c>
      <c r="C899" s="522" t="s">
        <v>336</v>
      </c>
      <c r="D899" s="522" t="s">
        <v>994</v>
      </c>
      <c r="E899" s="1012">
        <v>146</v>
      </c>
      <c r="F899" s="525">
        <v>8091</v>
      </c>
      <c r="G899" s="525">
        <v>2727.06</v>
      </c>
      <c r="H899" s="999">
        <f t="shared" si="31"/>
        <v>18.649999999999999</v>
      </c>
      <c r="I899" s="1008">
        <f t="shared" si="29"/>
        <v>2722.8999999999996</v>
      </c>
      <c r="J899" s="1005">
        <f>I899/$M859*$M860</f>
        <v>-15.214057064809756</v>
      </c>
      <c r="K899" s="1011">
        <f t="shared" si="30"/>
        <v>145</v>
      </c>
      <c r="L899" s="999">
        <f>$M860/H899</f>
        <v>-604.00321715819746</v>
      </c>
      <c r="M899" s="999"/>
      <c r="N899" s="587"/>
      <c r="O899" s="587"/>
      <c r="P899" s="587"/>
      <c r="Q899" s="587"/>
      <c r="R899" s="587"/>
    </row>
    <row r="900" spans="1:18" ht="12" thickBot="1">
      <c r="A900" s="588" t="s">
        <v>1466</v>
      </c>
      <c r="B900" s="522" t="s">
        <v>436</v>
      </c>
      <c r="C900" s="522" t="s">
        <v>368</v>
      </c>
      <c r="D900" s="522" t="s">
        <v>995</v>
      </c>
      <c r="E900" s="1012">
        <v>979</v>
      </c>
      <c r="F900" s="525">
        <v>127364</v>
      </c>
      <c r="G900" s="525">
        <v>24081.01</v>
      </c>
      <c r="H900" s="999">
        <f t="shared" si="31"/>
        <v>24.59</v>
      </c>
      <c r="I900" s="1008">
        <f t="shared" si="29"/>
        <v>24073.61</v>
      </c>
      <c r="J900" s="1005">
        <f>I900/$M859*$M860</f>
        <v>-134.50999900693188</v>
      </c>
      <c r="K900" s="1011">
        <f t="shared" si="30"/>
        <v>974</v>
      </c>
      <c r="L900" s="999">
        <f>$M860/H900</f>
        <v>-458.09922732819774</v>
      </c>
      <c r="M900" s="999"/>
      <c r="N900" s="587"/>
      <c r="O900" s="587"/>
      <c r="P900" s="587"/>
      <c r="Q900" s="587"/>
      <c r="R900" s="587"/>
    </row>
    <row r="901" spans="1:18" ht="12" thickBot="1">
      <c r="A901" s="588" t="s">
        <v>1466</v>
      </c>
      <c r="B901" s="522" t="s">
        <v>436</v>
      </c>
      <c r="C901" s="522" t="s">
        <v>400</v>
      </c>
      <c r="D901" s="522" t="s">
        <v>996</v>
      </c>
      <c r="E901" s="1013">
        <v>136</v>
      </c>
      <c r="F901" s="531">
        <v>10685</v>
      </c>
      <c r="G901" s="531">
        <v>1612.8</v>
      </c>
      <c r="H901" s="999">
        <f t="shared" si="31"/>
        <v>11.870000000000001</v>
      </c>
      <c r="I901" s="1008">
        <f t="shared" si="29"/>
        <v>1614.3200000000002</v>
      </c>
      <c r="J901" s="1005">
        <f>I901/$M859*$M860</f>
        <v>-9.0199260350595658</v>
      </c>
      <c r="K901" s="1011">
        <f t="shared" si="30"/>
        <v>135</v>
      </c>
      <c r="L901" s="999">
        <f>$M860/H901</f>
        <v>-949.00252737998153</v>
      </c>
      <c r="M901" s="999"/>
      <c r="N901" s="587"/>
      <c r="O901" s="587"/>
      <c r="P901" s="587"/>
      <c r="Q901" s="587"/>
      <c r="R901" s="587"/>
    </row>
    <row r="902" spans="1:18" ht="12" thickBot="1">
      <c r="A902" s="588" t="s">
        <v>1466</v>
      </c>
      <c r="B902" s="522" t="s">
        <v>436</v>
      </c>
      <c r="C902" s="522" t="s">
        <v>327</v>
      </c>
      <c r="D902" s="522" t="s">
        <v>997</v>
      </c>
      <c r="E902" s="1012">
        <v>441</v>
      </c>
      <c r="F902" s="525">
        <v>49110</v>
      </c>
      <c r="G902" s="525">
        <v>5896.8</v>
      </c>
      <c r="H902" s="999">
        <f t="shared" si="31"/>
        <v>13.360000000000001</v>
      </c>
      <c r="I902" s="1008">
        <f t="shared" si="29"/>
        <v>5891.76</v>
      </c>
      <c r="J902" s="1005">
        <f>I902/$M859*$M860</f>
        <v>-32.919891605333852</v>
      </c>
      <c r="K902" s="1011">
        <f t="shared" si="30"/>
        <v>439</v>
      </c>
      <c r="L902" s="999">
        <f>$M860/H902</f>
        <v>-843.16317365272312</v>
      </c>
      <c r="M902" s="999"/>
      <c r="N902" s="587"/>
      <c r="O902" s="587"/>
      <c r="P902" s="587"/>
      <c r="Q902" s="587"/>
      <c r="R902" s="587"/>
    </row>
    <row r="903" spans="1:18" ht="12" thickBot="1">
      <c r="A903" s="588" t="s">
        <v>1466</v>
      </c>
      <c r="B903" s="522" t="s">
        <v>436</v>
      </c>
      <c r="C903" s="522" t="s">
        <v>357</v>
      </c>
      <c r="D903" s="522" t="s">
        <v>998</v>
      </c>
      <c r="E903" s="1013">
        <v>1355</v>
      </c>
      <c r="F903" s="531">
        <v>231268</v>
      </c>
      <c r="G903" s="531">
        <v>20436.669999999998</v>
      </c>
      <c r="H903" s="999">
        <f t="shared" si="31"/>
        <v>15.079999999999998</v>
      </c>
      <c r="I903" s="1008">
        <f t="shared" si="29"/>
        <v>20433.399999999998</v>
      </c>
      <c r="J903" s="1005">
        <f>I903/$M859*$M860</f>
        <v>-114.17052173347668</v>
      </c>
      <c r="K903" s="1011">
        <f t="shared" si="30"/>
        <v>1347</v>
      </c>
      <c r="L903" s="999">
        <f>$M860/H903</f>
        <v>-746.9933687002906</v>
      </c>
      <c r="M903" s="999"/>
      <c r="N903" s="587"/>
      <c r="O903" s="587"/>
      <c r="P903" s="587"/>
      <c r="Q903" s="587"/>
      <c r="R903" s="587"/>
    </row>
    <row r="904" spans="1:18" ht="12" thickBot="1">
      <c r="A904" s="588" t="s">
        <v>1466</v>
      </c>
      <c r="B904" s="522" t="s">
        <v>436</v>
      </c>
      <c r="C904" s="522" t="s">
        <v>331</v>
      </c>
      <c r="D904" s="522" t="s">
        <v>999</v>
      </c>
      <c r="E904" s="1012">
        <v>226</v>
      </c>
      <c r="F904" s="525">
        <v>91940</v>
      </c>
      <c r="G904" s="525">
        <v>10550.82</v>
      </c>
      <c r="H904" s="999">
        <f t="shared" si="31"/>
        <v>46.740000000000009</v>
      </c>
      <c r="I904" s="1008">
        <f t="shared" si="29"/>
        <v>10563.240000000002</v>
      </c>
      <c r="J904" s="1005">
        <f>I904/$M859*$M860</f>
        <v>-59.021534448301828</v>
      </c>
      <c r="K904" s="1011">
        <f t="shared" si="30"/>
        <v>225</v>
      </c>
      <c r="L904" s="999">
        <f>$M860/H904</f>
        <v>-241.00684638426145</v>
      </c>
      <c r="M904" s="999"/>
      <c r="N904" s="587"/>
      <c r="O904" s="587"/>
      <c r="P904" s="587"/>
      <c r="Q904" s="587"/>
      <c r="R904" s="587"/>
    </row>
    <row r="905" spans="1:18" ht="12" thickBot="1">
      <c r="A905" s="588" t="s">
        <v>1466</v>
      </c>
      <c r="B905" s="522" t="s">
        <v>436</v>
      </c>
      <c r="C905" s="522" t="s">
        <v>335</v>
      </c>
      <c r="D905" s="522" t="s">
        <v>1000</v>
      </c>
      <c r="E905" s="1012">
        <v>26</v>
      </c>
      <c r="F905" s="525">
        <v>1401</v>
      </c>
      <c r="G905" s="525">
        <v>717.12</v>
      </c>
      <c r="H905" s="999">
        <f t="shared" si="31"/>
        <v>27.15</v>
      </c>
      <c r="I905" s="1008">
        <f t="shared" si="29"/>
        <v>705.9</v>
      </c>
      <c r="J905" s="1005">
        <f>I905/$M859*$M860</f>
        <v>-3.9441782225014537</v>
      </c>
      <c r="K905" s="1011">
        <f t="shared" si="30"/>
        <v>26</v>
      </c>
      <c r="L905" s="999">
        <f>$M860/H905</f>
        <v>-414.90460405157944</v>
      </c>
      <c r="M905" s="999"/>
      <c r="N905" s="587"/>
      <c r="O905" s="587"/>
      <c r="P905" s="587"/>
      <c r="Q905" s="587"/>
      <c r="R905" s="587"/>
    </row>
    <row r="906" spans="1:18" ht="12" thickBot="1">
      <c r="A906" s="588" t="s">
        <v>1466</v>
      </c>
      <c r="B906" s="522" t="s">
        <v>436</v>
      </c>
      <c r="C906" s="522" t="s">
        <v>372</v>
      </c>
      <c r="D906" s="522" t="s">
        <v>1001</v>
      </c>
      <c r="E906" s="1013">
        <v>6649</v>
      </c>
      <c r="F906" s="531">
        <v>150897</v>
      </c>
      <c r="G906" s="531">
        <v>50151.48</v>
      </c>
      <c r="H906" s="999">
        <f t="shared" si="31"/>
        <v>7.54</v>
      </c>
      <c r="I906" s="1008">
        <f t="shared" si="29"/>
        <v>50133.46</v>
      </c>
      <c r="J906" s="1005">
        <f>I906/$M859*$M860</f>
        <v>-280.11800701324228</v>
      </c>
      <c r="K906" s="1011">
        <f t="shared" si="30"/>
        <v>6612</v>
      </c>
      <c r="L906" s="999">
        <f>$M860/H906</f>
        <v>-1493.9867374005812</v>
      </c>
      <c r="M906" s="999"/>
      <c r="N906" s="587"/>
      <c r="O906" s="587"/>
      <c r="P906" s="587"/>
      <c r="Q906" s="587"/>
      <c r="R906" s="587"/>
    </row>
    <row r="907" spans="1:18" ht="12" thickBot="1">
      <c r="A907" s="588" t="s">
        <v>1466</v>
      </c>
      <c r="B907" s="522" t="s">
        <v>436</v>
      </c>
      <c r="C907" s="522" t="s">
        <v>381</v>
      </c>
      <c r="D907" s="522" t="s">
        <v>1002</v>
      </c>
      <c r="E907" s="1012">
        <v>6814</v>
      </c>
      <c r="F907" s="525">
        <v>214227</v>
      </c>
      <c r="G907" s="525">
        <v>59022.99</v>
      </c>
      <c r="H907" s="999">
        <f t="shared" si="31"/>
        <v>8.66</v>
      </c>
      <c r="I907" s="1008">
        <f t="shared" si="29"/>
        <v>59009.24</v>
      </c>
      <c r="J907" s="1005">
        <f>I907/$M859*$M860</f>
        <v>-329.71094961660526</v>
      </c>
      <c r="K907" s="1011">
        <f t="shared" si="30"/>
        <v>6776</v>
      </c>
      <c r="L907" s="999">
        <f>$M860/H907</f>
        <v>-1300.7690531178271</v>
      </c>
      <c r="M907" s="999"/>
      <c r="N907" s="587"/>
      <c r="O907" s="587"/>
      <c r="P907" s="587"/>
      <c r="Q907" s="587"/>
      <c r="R907" s="587"/>
    </row>
    <row r="908" spans="1:18" ht="12" thickBot="1">
      <c r="A908" s="588" t="s">
        <v>1466</v>
      </c>
      <c r="B908" s="522" t="s">
        <v>436</v>
      </c>
      <c r="C908" s="522" t="s">
        <v>404</v>
      </c>
      <c r="D908" s="522" t="s">
        <v>1003</v>
      </c>
      <c r="E908" s="1013">
        <v>19654</v>
      </c>
      <c r="F908" s="531">
        <v>860443</v>
      </c>
      <c r="G908" s="531">
        <v>179723.27</v>
      </c>
      <c r="H908" s="999">
        <f t="shared" si="31"/>
        <v>9.14</v>
      </c>
      <c r="I908" s="1008">
        <f t="shared" si="29"/>
        <v>179637.56</v>
      </c>
      <c r="J908" s="1005">
        <f>I908/$M859*$M860</f>
        <v>-1003.7151892552745</v>
      </c>
      <c r="K908" s="1011">
        <f t="shared" si="30"/>
        <v>19544</v>
      </c>
      <c r="L908" s="999">
        <f>$M860/H908</f>
        <v>-1232.4573304157966</v>
      </c>
      <c r="M908" s="999"/>
      <c r="N908" s="587"/>
      <c r="O908" s="587"/>
      <c r="P908" s="587"/>
      <c r="Q908" s="587"/>
      <c r="R908" s="587"/>
    </row>
    <row r="909" spans="1:18" ht="12" thickBot="1">
      <c r="A909" s="588" t="s">
        <v>1466</v>
      </c>
      <c r="B909" s="522" t="s">
        <v>436</v>
      </c>
      <c r="C909" s="522" t="s">
        <v>361</v>
      </c>
      <c r="D909" s="522" t="s">
        <v>1004</v>
      </c>
      <c r="E909" s="1013">
        <v>7025</v>
      </c>
      <c r="F909" s="531">
        <v>631826</v>
      </c>
      <c r="G909" s="531">
        <v>100128.56</v>
      </c>
      <c r="H909" s="999">
        <f t="shared" si="31"/>
        <v>14.25</v>
      </c>
      <c r="I909" s="1008">
        <f t="shared" si="29"/>
        <v>100106.25</v>
      </c>
      <c r="J909" s="1005">
        <f>I909/$M859*$M860</f>
        <v>-559.33827905692897</v>
      </c>
      <c r="K909" s="1011">
        <f t="shared" si="30"/>
        <v>6986</v>
      </c>
      <c r="L909" s="999">
        <f>$M860/H909</f>
        <v>-790.50245614037772</v>
      </c>
      <c r="M909" s="999"/>
      <c r="N909" s="587"/>
      <c r="O909" s="587"/>
      <c r="P909" s="587"/>
      <c r="Q909" s="587"/>
      <c r="R909" s="587"/>
    </row>
    <row r="910" spans="1:18" ht="12" thickBot="1">
      <c r="A910" s="588" t="s">
        <v>1466</v>
      </c>
      <c r="B910" s="522" t="s">
        <v>436</v>
      </c>
      <c r="C910" s="522" t="s">
        <v>393</v>
      </c>
      <c r="D910" s="522" t="s">
        <v>1005</v>
      </c>
      <c r="E910" s="1013">
        <v>2645</v>
      </c>
      <c r="F910" s="531">
        <v>465123</v>
      </c>
      <c r="G910" s="531">
        <v>60443.88</v>
      </c>
      <c r="H910" s="999">
        <f t="shared" si="31"/>
        <v>22.84</v>
      </c>
      <c r="I910" s="1008">
        <f t="shared" si="29"/>
        <v>60411.8</v>
      </c>
      <c r="J910" s="1005">
        <f>I910/$M859*$M860</f>
        <v>-337.5476780593757</v>
      </c>
      <c r="K910" s="1011">
        <f t="shared" si="30"/>
        <v>2630</v>
      </c>
      <c r="L910" s="999">
        <f>$M860/H910</f>
        <v>-493.19877408057715</v>
      </c>
      <c r="M910" s="999"/>
      <c r="N910" s="587"/>
      <c r="O910" s="587"/>
      <c r="P910" s="587"/>
      <c r="Q910" s="587"/>
      <c r="R910" s="587"/>
    </row>
    <row r="911" spans="1:18" ht="12" thickBot="1">
      <c r="A911" s="588" t="s">
        <v>1466</v>
      </c>
      <c r="B911" s="522" t="s">
        <v>436</v>
      </c>
      <c r="C911" s="522" t="s">
        <v>379</v>
      </c>
      <c r="D911" s="522" t="s">
        <v>1006</v>
      </c>
      <c r="E911" s="1013">
        <v>829</v>
      </c>
      <c r="F911" s="531">
        <v>18144</v>
      </c>
      <c r="G911" s="531">
        <v>7977.92</v>
      </c>
      <c r="H911" s="999">
        <f t="shared" si="31"/>
        <v>9.620000000000001</v>
      </c>
      <c r="I911" s="1008">
        <f t="shared" si="29"/>
        <v>7974.9800000000005</v>
      </c>
      <c r="J911" s="1005">
        <f>I911/$M859*$M860</f>
        <v>-44.55977113030832</v>
      </c>
      <c r="K911" s="1011">
        <f t="shared" si="30"/>
        <v>824</v>
      </c>
      <c r="L911" s="999">
        <f>$M860/H911</f>
        <v>-1170.9625779626176</v>
      </c>
      <c r="M911" s="999"/>
      <c r="N911" s="587"/>
      <c r="O911" s="587"/>
      <c r="P911" s="587"/>
      <c r="Q911" s="587"/>
      <c r="R911" s="587"/>
    </row>
    <row r="912" spans="1:18" ht="12" thickBot="1">
      <c r="A912" s="588" t="s">
        <v>1466</v>
      </c>
      <c r="B912" s="522" t="s">
        <v>436</v>
      </c>
      <c r="C912" s="522" t="s">
        <v>389</v>
      </c>
      <c r="D912" s="522" t="s">
        <v>1007</v>
      </c>
      <c r="E912" s="1012">
        <v>1213</v>
      </c>
      <c r="F912" s="525">
        <v>38261</v>
      </c>
      <c r="G912" s="525">
        <v>13068.42</v>
      </c>
      <c r="H912" s="999">
        <f t="shared" si="31"/>
        <v>10.770000000000001</v>
      </c>
      <c r="I912" s="1008">
        <f t="shared" si="29"/>
        <v>13064.010000000002</v>
      </c>
      <c r="J912" s="1005">
        <f>I912/$M859*$M860</f>
        <v>-72.994452104464116</v>
      </c>
      <c r="K912" s="1011">
        <f t="shared" si="30"/>
        <v>1206</v>
      </c>
      <c r="L912" s="999">
        <f>$M860/H912</f>
        <v>-1045.9294336119201</v>
      </c>
      <c r="M912" s="999"/>
      <c r="N912" s="587"/>
      <c r="O912" s="587"/>
      <c r="P912" s="587"/>
      <c r="Q912" s="587"/>
      <c r="R912" s="587"/>
    </row>
    <row r="913" spans="1:18" ht="12" thickBot="1">
      <c r="A913" s="588" t="s">
        <v>1466</v>
      </c>
      <c r="B913" s="522" t="s">
        <v>436</v>
      </c>
      <c r="C913" s="522" t="s">
        <v>412</v>
      </c>
      <c r="D913" s="522" t="s">
        <v>1008</v>
      </c>
      <c r="E913" s="1013">
        <v>3824</v>
      </c>
      <c r="F913" s="531">
        <v>164154</v>
      </c>
      <c r="G913" s="531">
        <v>42684.99</v>
      </c>
      <c r="H913" s="999">
        <f t="shared" si="31"/>
        <v>11.16</v>
      </c>
      <c r="I913" s="1008">
        <f t="shared" si="29"/>
        <v>42675.840000000004</v>
      </c>
      <c r="J913" s="1005">
        <f>I913/$M859*$M860</f>
        <v>-238.44895701226298</v>
      </c>
      <c r="K913" s="1011">
        <f t="shared" si="30"/>
        <v>3803</v>
      </c>
      <c r="L913" s="999">
        <f>$M860/H913</f>
        <v>-1009.3781362007511</v>
      </c>
      <c r="M913" s="999"/>
      <c r="N913" s="587"/>
      <c r="O913" s="587"/>
      <c r="P913" s="587"/>
      <c r="Q913" s="587"/>
      <c r="R913" s="587"/>
    </row>
    <row r="914" spans="1:18" ht="12" thickBot="1">
      <c r="A914" s="588" t="s">
        <v>1466</v>
      </c>
      <c r="B914" s="522" t="s">
        <v>436</v>
      </c>
      <c r="C914" s="522" t="s">
        <v>367</v>
      </c>
      <c r="D914" s="522" t="s">
        <v>1009</v>
      </c>
      <c r="E914" s="1012">
        <v>284</v>
      </c>
      <c r="F914" s="525">
        <v>36625</v>
      </c>
      <c r="G914" s="525">
        <v>9410.9599999999991</v>
      </c>
      <c r="H914" s="999">
        <f t="shared" si="31"/>
        <v>33.100000000000009</v>
      </c>
      <c r="I914" s="1008">
        <f t="shared" si="29"/>
        <v>9400.4000000000033</v>
      </c>
      <c r="J914" s="1005">
        <f>I914/$M859*$M860</f>
        <v>-52.524228591589001</v>
      </c>
      <c r="K914" s="1011">
        <f t="shared" si="30"/>
        <v>282</v>
      </c>
      <c r="L914" s="999">
        <f>$M860/H914</f>
        <v>-340.32205438067609</v>
      </c>
      <c r="M914" s="999"/>
      <c r="N914" s="587"/>
      <c r="O914" s="587"/>
      <c r="P914" s="587"/>
      <c r="Q914" s="587"/>
      <c r="R914" s="587"/>
    </row>
    <row r="915" spans="1:18" ht="12" thickBot="1">
      <c r="A915" s="588" t="s">
        <v>1466</v>
      </c>
      <c r="B915" s="522" t="s">
        <v>436</v>
      </c>
      <c r="C915" s="522" t="s">
        <v>330</v>
      </c>
      <c r="D915" s="522" t="s">
        <v>1010</v>
      </c>
      <c r="E915" s="1013">
        <v>63</v>
      </c>
      <c r="F915" s="531">
        <v>25401</v>
      </c>
      <c r="G915" s="531">
        <v>3504.12</v>
      </c>
      <c r="H915" s="999">
        <f t="shared" si="31"/>
        <v>55.250000000000007</v>
      </c>
      <c r="I915" s="1008">
        <f t="shared" si="29"/>
        <v>3480.7500000000005</v>
      </c>
      <c r="J915" s="1005">
        <f>I915/$M859*$M860</f>
        <v>-19.448503113715734</v>
      </c>
      <c r="K915" s="1011">
        <f t="shared" si="30"/>
        <v>63</v>
      </c>
      <c r="L915" s="999">
        <f>$M860/H915</f>
        <v>-203.88524886878517</v>
      </c>
      <c r="M915" s="999"/>
      <c r="N915" s="587"/>
      <c r="O915" s="587"/>
      <c r="P915" s="587"/>
      <c r="Q915" s="587"/>
      <c r="R915" s="587"/>
    </row>
    <row r="916" spans="1:18" ht="12" thickBot="1">
      <c r="A916" s="588" t="s">
        <v>1466</v>
      </c>
      <c r="B916" s="522" t="s">
        <v>436</v>
      </c>
      <c r="C916" s="522" t="s">
        <v>371</v>
      </c>
      <c r="D916" s="522" t="s">
        <v>1011</v>
      </c>
      <c r="E916" s="1012">
        <v>3585</v>
      </c>
      <c r="F916" s="525">
        <v>81580</v>
      </c>
      <c r="G916" s="525">
        <v>37621.480000000003</v>
      </c>
      <c r="H916" s="999">
        <f t="shared" si="31"/>
        <v>10.49</v>
      </c>
      <c r="I916" s="1008">
        <f t="shared" si="29"/>
        <v>37606.65</v>
      </c>
      <c r="J916" s="1005">
        <f>I916/$M859*$M860</f>
        <v>-210.12513096930766</v>
      </c>
      <c r="K916" s="1011">
        <f t="shared" si="30"/>
        <v>3565</v>
      </c>
      <c r="L916" s="999">
        <f>$M860/H916</f>
        <v>-1073.8474737845931</v>
      </c>
      <c r="M916" s="999"/>
      <c r="N916" s="587"/>
      <c r="O916" s="587"/>
      <c r="P916" s="587"/>
      <c r="Q916" s="587"/>
      <c r="R916" s="587"/>
    </row>
    <row r="917" spans="1:18" ht="12" thickBot="1">
      <c r="A917" s="588" t="s">
        <v>1466</v>
      </c>
      <c r="B917" s="522" t="s">
        <v>436</v>
      </c>
      <c r="C917" s="522" t="s">
        <v>380</v>
      </c>
      <c r="D917" s="522" t="s">
        <v>1012</v>
      </c>
      <c r="E917" s="1013">
        <v>8389</v>
      </c>
      <c r="F917" s="531">
        <v>265490</v>
      </c>
      <c r="G917" s="531">
        <v>97358.85</v>
      </c>
      <c r="H917" s="999">
        <f t="shared" si="31"/>
        <v>11.600000000000001</v>
      </c>
      <c r="I917" s="1008">
        <f t="shared" si="29"/>
        <v>97312.400000000009</v>
      </c>
      <c r="J917" s="1005">
        <f>I917/$M859*$M860</f>
        <v>-543.72779268926263</v>
      </c>
      <c r="K917" s="1011">
        <f t="shared" si="30"/>
        <v>8342</v>
      </c>
      <c r="L917" s="999">
        <f>$M860/H917</f>
        <v>-971.09137931037765</v>
      </c>
      <c r="M917" s="999"/>
      <c r="N917" s="587"/>
      <c r="O917" s="587"/>
      <c r="P917" s="587"/>
      <c r="Q917" s="587"/>
      <c r="R917" s="587"/>
    </row>
    <row r="918" spans="1:18" ht="12" thickBot="1">
      <c r="A918" s="588" t="s">
        <v>1466</v>
      </c>
      <c r="B918" s="522" t="s">
        <v>436</v>
      </c>
      <c r="C918" s="522" t="s">
        <v>403</v>
      </c>
      <c r="D918" s="522" t="s">
        <v>1013</v>
      </c>
      <c r="E918" s="1012">
        <v>3296</v>
      </c>
      <c r="F918" s="525">
        <v>145222</v>
      </c>
      <c r="G918" s="525">
        <v>40558.39</v>
      </c>
      <c r="H918" s="999">
        <f t="shared" si="31"/>
        <v>12.3</v>
      </c>
      <c r="I918" s="1008">
        <f t="shared" si="29"/>
        <v>40540.800000000003</v>
      </c>
      <c r="J918" s="1005">
        <f>I918/$M859*$M860</f>
        <v>-226.51953602888076</v>
      </c>
      <c r="K918" s="1011">
        <f t="shared" si="30"/>
        <v>3278</v>
      </c>
      <c r="L918" s="999">
        <f>$M860/H918</f>
        <v>-915.82601626019357</v>
      </c>
      <c r="M918" s="999"/>
      <c r="N918" s="587"/>
      <c r="O918" s="587"/>
      <c r="P918" s="587"/>
      <c r="Q918" s="587"/>
      <c r="R918" s="587"/>
    </row>
    <row r="919" spans="1:18" ht="12" thickBot="1">
      <c r="A919" s="588" t="s">
        <v>1466</v>
      </c>
      <c r="B919" s="522" t="s">
        <v>436</v>
      </c>
      <c r="C919" s="522" t="s">
        <v>360</v>
      </c>
      <c r="D919" s="522" t="s">
        <v>1014</v>
      </c>
      <c r="E919" s="1013">
        <v>4927</v>
      </c>
      <c r="F919" s="531">
        <v>448693</v>
      </c>
      <c r="G919" s="531">
        <v>85822.28</v>
      </c>
      <c r="H919" s="999">
        <f t="shared" si="31"/>
        <v>17.41</v>
      </c>
      <c r="I919" s="1008">
        <f t="shared" ref="I919:I934" si="32">E919*H919</f>
        <v>85779.07</v>
      </c>
      <c r="J919" s="1005">
        <f>I919/$M859*$M860</f>
        <v>-479.28593262562367</v>
      </c>
      <c r="K919" s="1011">
        <f t="shared" ref="K919:K937" si="33">ROUND((I919+J919)/H919,0)</f>
        <v>4899</v>
      </c>
      <c r="L919" s="999">
        <f>$M860/H919</f>
        <v>-647.022400919034</v>
      </c>
      <c r="M919" s="999"/>
      <c r="N919" s="587"/>
      <c r="O919" s="587"/>
      <c r="P919" s="587"/>
      <c r="Q919" s="587"/>
      <c r="R919" s="587"/>
    </row>
    <row r="920" spans="1:18" ht="12" thickBot="1">
      <c r="A920" s="588" t="s">
        <v>1466</v>
      </c>
      <c r="B920" s="522" t="s">
        <v>436</v>
      </c>
      <c r="C920" s="522" t="s">
        <v>392</v>
      </c>
      <c r="D920" s="522" t="s">
        <v>1015</v>
      </c>
      <c r="E920" s="1012">
        <v>466</v>
      </c>
      <c r="F920" s="525">
        <v>82184</v>
      </c>
      <c r="G920" s="525">
        <v>11392.58</v>
      </c>
      <c r="H920" s="999">
        <f t="shared" si="31"/>
        <v>24.46</v>
      </c>
      <c r="I920" s="1008">
        <f t="shared" si="32"/>
        <v>11398.36</v>
      </c>
      <c r="J920" s="1005">
        <f>I920/$M859*$M860</f>
        <v>-63.687722459600039</v>
      </c>
      <c r="K920" s="1011">
        <f t="shared" si="33"/>
        <v>463</v>
      </c>
      <c r="L920" s="999">
        <f>$M860/H920</f>
        <v>-460.53393295177358</v>
      </c>
      <c r="M920" s="999"/>
      <c r="N920" s="587"/>
      <c r="O920" s="587"/>
      <c r="P920" s="587"/>
      <c r="Q920" s="587"/>
      <c r="R920" s="587"/>
    </row>
    <row r="921" spans="1:18" ht="12" thickBot="1">
      <c r="A921" s="588" t="s">
        <v>1466</v>
      </c>
      <c r="B921" s="522" t="s">
        <v>436</v>
      </c>
      <c r="C921" s="522" t="s">
        <v>390</v>
      </c>
      <c r="D921" s="522" t="s">
        <v>1016</v>
      </c>
      <c r="E921" s="1013">
        <v>4462</v>
      </c>
      <c r="F921" s="531">
        <v>139570</v>
      </c>
      <c r="G921" s="531">
        <v>74931.600000000006</v>
      </c>
      <c r="H921" s="999">
        <f t="shared" ref="H921:H937" si="34">SUMIF(_Lights_Tariff_Category,20140101&amp;$C921,_Lights_Rates)</f>
        <v>16.79</v>
      </c>
      <c r="I921" s="1008">
        <f t="shared" si="32"/>
        <v>74916.98</v>
      </c>
      <c r="J921" s="1005">
        <f>I921/$M859*$M860</f>
        <v>-418.59458990165308</v>
      </c>
      <c r="K921" s="1011">
        <f t="shared" si="33"/>
        <v>4437</v>
      </c>
      <c r="L921" s="999">
        <f>$M860/H921</f>
        <v>-670.91483025612763</v>
      </c>
      <c r="M921" s="999"/>
      <c r="N921" s="587"/>
      <c r="O921" s="587"/>
      <c r="P921" s="587"/>
      <c r="Q921" s="587"/>
      <c r="R921" s="587"/>
    </row>
    <row r="922" spans="1:18" ht="12" thickBot="1">
      <c r="A922" s="588" t="s">
        <v>1466</v>
      </c>
      <c r="B922" s="522" t="s">
        <v>436</v>
      </c>
      <c r="C922" s="522" t="s">
        <v>414</v>
      </c>
      <c r="D922" s="522" t="s">
        <v>1017</v>
      </c>
      <c r="E922" s="1012">
        <v>1034</v>
      </c>
      <c r="F922" s="525">
        <v>44258</v>
      </c>
      <c r="G922" s="525">
        <v>21693</v>
      </c>
      <c r="H922" s="999">
        <f t="shared" si="34"/>
        <v>20.97</v>
      </c>
      <c r="I922" s="1008">
        <f t="shared" si="32"/>
        <v>21682.98</v>
      </c>
      <c r="J922" s="1005">
        <f>I922/$M859*$M860</f>
        <v>-121.15248266742394</v>
      </c>
      <c r="K922" s="1011">
        <f t="shared" si="33"/>
        <v>1028</v>
      </c>
      <c r="L922" s="999">
        <f>$M860/H922</f>
        <v>-537.17978063902638</v>
      </c>
      <c r="M922" s="999"/>
      <c r="N922" s="587"/>
      <c r="O922" s="587"/>
      <c r="P922" s="587"/>
      <c r="Q922" s="587"/>
      <c r="R922" s="587"/>
    </row>
    <row r="923" spans="1:18" ht="12" thickBot="1">
      <c r="A923" s="588" t="s">
        <v>1466</v>
      </c>
      <c r="B923" s="522" t="s">
        <v>436</v>
      </c>
      <c r="C923" s="522" t="s">
        <v>364</v>
      </c>
      <c r="D923" s="522" t="s">
        <v>1018</v>
      </c>
      <c r="E923" s="1013">
        <v>1369</v>
      </c>
      <c r="F923" s="531">
        <v>122144</v>
      </c>
      <c r="G923" s="531">
        <v>36770.639999999999</v>
      </c>
      <c r="H923" s="999">
        <f t="shared" si="34"/>
        <v>26.86</v>
      </c>
      <c r="I923" s="1008">
        <f t="shared" si="32"/>
        <v>36771.339999999997</v>
      </c>
      <c r="J923" s="1005">
        <f>I923/$M859*$M860</f>
        <v>-205.45788134324494</v>
      </c>
      <c r="K923" s="1011">
        <f t="shared" si="33"/>
        <v>1361</v>
      </c>
      <c r="L923" s="999">
        <f>$M860/H923</f>
        <v>-419.38421444528598</v>
      </c>
      <c r="M923" s="999"/>
      <c r="N923" s="587"/>
      <c r="O923" s="587"/>
      <c r="P923" s="587"/>
      <c r="Q923" s="587"/>
      <c r="R923" s="587"/>
    </row>
    <row r="924" spans="1:18" ht="12" thickBot="1">
      <c r="A924" s="588" t="s">
        <v>1466</v>
      </c>
      <c r="B924" s="522" t="s">
        <v>436</v>
      </c>
      <c r="C924" s="522" t="s">
        <v>396</v>
      </c>
      <c r="D924" s="522" t="s">
        <v>1019</v>
      </c>
      <c r="E924" s="1012">
        <v>917</v>
      </c>
      <c r="F924" s="525">
        <v>159146</v>
      </c>
      <c r="G924" s="525">
        <v>30368.17</v>
      </c>
      <c r="H924" s="999">
        <f t="shared" si="34"/>
        <v>33.119999999999997</v>
      </c>
      <c r="I924" s="1008">
        <f t="shared" si="32"/>
        <v>30371.039999999997</v>
      </c>
      <c r="J924" s="1005">
        <f>I924/$M859*$M860</f>
        <v>-169.69654988344033</v>
      </c>
      <c r="K924" s="1011">
        <f t="shared" si="33"/>
        <v>912</v>
      </c>
      <c r="L924" s="999">
        <f>$M860/H924</f>
        <v>-340.11654589373137</v>
      </c>
      <c r="M924" s="999"/>
      <c r="N924" s="587"/>
      <c r="O924" s="587"/>
      <c r="P924" s="587"/>
      <c r="Q924" s="587"/>
      <c r="R924" s="587"/>
    </row>
    <row r="925" spans="1:18" ht="12" thickBot="1">
      <c r="A925" s="588" t="s">
        <v>1466</v>
      </c>
      <c r="B925" s="522" t="s">
        <v>436</v>
      </c>
      <c r="C925" s="522" t="s">
        <v>415</v>
      </c>
      <c r="D925" s="522" t="s">
        <v>1020</v>
      </c>
      <c r="E925" s="1012">
        <v>10654</v>
      </c>
      <c r="F925" s="525">
        <v>465970</v>
      </c>
      <c r="G925" s="525">
        <v>95934.87</v>
      </c>
      <c r="H925" s="999">
        <f t="shared" si="34"/>
        <v>9</v>
      </c>
      <c r="I925" s="1008">
        <f t="shared" si="32"/>
        <v>95886</v>
      </c>
      <c r="J925" s="1005">
        <f>I925/$M859*$M860</f>
        <v>-535.75785953077548</v>
      </c>
      <c r="K925" s="1011">
        <f t="shared" si="33"/>
        <v>10594</v>
      </c>
      <c r="L925" s="999">
        <f>$M860/H925</f>
        <v>-1251.6288888889312</v>
      </c>
      <c r="M925" s="999"/>
      <c r="N925" s="587"/>
      <c r="O925" s="587"/>
      <c r="P925" s="587"/>
      <c r="Q925" s="587"/>
      <c r="R925" s="587"/>
    </row>
    <row r="926" spans="1:18" ht="12" thickBot="1">
      <c r="A926" s="588" t="s">
        <v>1466</v>
      </c>
      <c r="B926" s="522" t="s">
        <v>436</v>
      </c>
      <c r="C926" s="522" t="s">
        <v>365</v>
      </c>
      <c r="D926" s="522" t="s">
        <v>1021</v>
      </c>
      <c r="E926" s="1012">
        <v>6274</v>
      </c>
      <c r="F926" s="525">
        <v>569261</v>
      </c>
      <c r="G926" s="525">
        <v>85609.23</v>
      </c>
      <c r="H926" s="999">
        <f t="shared" si="34"/>
        <v>13.639999999999999</v>
      </c>
      <c r="I926" s="1008">
        <f t="shared" si="32"/>
        <v>85577.359999999986</v>
      </c>
      <c r="J926" s="1005">
        <f>I926/$M859*$M860</f>
        <v>-478.15888886693148</v>
      </c>
      <c r="K926" s="1011">
        <f t="shared" si="33"/>
        <v>6239</v>
      </c>
      <c r="L926" s="999">
        <f>$M860/H926</f>
        <v>-825.85483870970552</v>
      </c>
      <c r="M926" s="999"/>
      <c r="N926" s="587"/>
      <c r="O926" s="587"/>
      <c r="P926" s="587"/>
      <c r="Q926" s="587"/>
      <c r="R926" s="587"/>
    </row>
    <row r="927" spans="1:18" ht="12" thickBot="1">
      <c r="A927" s="588" t="s">
        <v>1466</v>
      </c>
      <c r="B927" s="522" t="s">
        <v>436</v>
      </c>
      <c r="C927" s="522" t="s">
        <v>397</v>
      </c>
      <c r="D927" s="522" t="s">
        <v>1022</v>
      </c>
      <c r="E927" s="1012">
        <v>7885</v>
      </c>
      <c r="F927" s="525">
        <v>1389056</v>
      </c>
      <c r="G927" s="525">
        <v>153526.73000000001</v>
      </c>
      <c r="H927" s="999">
        <f t="shared" si="34"/>
        <v>19.46</v>
      </c>
      <c r="I927" s="1008">
        <f t="shared" si="32"/>
        <v>153442.1</v>
      </c>
      <c r="J927" s="1005">
        <f>I927/$M859*$M860</f>
        <v>-857.34946767940266</v>
      </c>
      <c r="K927" s="1011">
        <f t="shared" si="33"/>
        <v>7841</v>
      </c>
      <c r="L927" s="999">
        <f>$M860/H927</f>
        <v>-578.86228160330836</v>
      </c>
      <c r="M927" s="999"/>
      <c r="N927" s="587"/>
      <c r="O927" s="587"/>
      <c r="P927" s="587"/>
      <c r="Q927" s="587"/>
      <c r="R927" s="587"/>
    </row>
    <row r="928" spans="1:18" ht="12" thickBot="1">
      <c r="A928" s="588" t="s">
        <v>1466</v>
      </c>
      <c r="B928" s="522" t="s">
        <v>436</v>
      </c>
      <c r="C928" s="522" t="s">
        <v>337</v>
      </c>
      <c r="D928" s="522" t="s">
        <v>1023</v>
      </c>
      <c r="E928" s="1012">
        <v>56</v>
      </c>
      <c r="F928" s="525">
        <v>3064</v>
      </c>
      <c r="G928" s="525">
        <v>863.04</v>
      </c>
      <c r="H928" s="999">
        <f t="shared" si="34"/>
        <v>15.47</v>
      </c>
      <c r="I928" s="1008">
        <f t="shared" si="32"/>
        <v>866.32</v>
      </c>
      <c r="J928" s="1005">
        <f>I928/$M859*$M860</f>
        <v>-4.840516330524804</v>
      </c>
      <c r="K928" s="1011">
        <f t="shared" si="33"/>
        <v>56</v>
      </c>
      <c r="L928" s="999">
        <f>$M860/H928</f>
        <v>-728.16160310280418</v>
      </c>
      <c r="M928" s="999"/>
      <c r="N928" s="587"/>
      <c r="O928" s="587"/>
      <c r="P928" s="587"/>
      <c r="Q928" s="587"/>
      <c r="R928" s="587"/>
    </row>
    <row r="929" spans="1:18" ht="12" thickBot="1">
      <c r="A929" s="588" t="s">
        <v>1466</v>
      </c>
      <c r="B929" s="522" t="s">
        <v>436</v>
      </c>
      <c r="C929" s="522" t="s">
        <v>369</v>
      </c>
      <c r="D929" s="522" t="s">
        <v>1024</v>
      </c>
      <c r="E929" s="1013">
        <v>287</v>
      </c>
      <c r="F929" s="531">
        <v>37379</v>
      </c>
      <c r="G929" s="531">
        <v>6295.96</v>
      </c>
      <c r="H929" s="999">
        <f t="shared" si="34"/>
        <v>21.930000000000003</v>
      </c>
      <c r="I929" s="1008">
        <f t="shared" si="32"/>
        <v>6293.9100000000008</v>
      </c>
      <c r="J929" s="1005">
        <f>I929/$M859*$M860</f>
        <v>-35.16688306613419</v>
      </c>
      <c r="K929" s="1011">
        <f t="shared" si="33"/>
        <v>285</v>
      </c>
      <c r="L929" s="999">
        <f>$M860/H929</f>
        <v>-513.6643866849239</v>
      </c>
      <c r="M929" s="999"/>
      <c r="N929" s="587"/>
      <c r="O929" s="587"/>
      <c r="P929" s="587"/>
      <c r="Q929" s="587"/>
      <c r="R929" s="587"/>
    </row>
    <row r="930" spans="1:18" ht="12" thickBot="1">
      <c r="A930" s="588" t="s">
        <v>1466</v>
      </c>
      <c r="B930" s="522" t="s">
        <v>436</v>
      </c>
      <c r="C930" s="522" t="s">
        <v>715</v>
      </c>
      <c r="D930" s="522" t="s">
        <v>1025</v>
      </c>
      <c r="E930" s="1012">
        <v>2</v>
      </c>
      <c r="F930" s="525">
        <v>60</v>
      </c>
      <c r="G930" s="525">
        <v>29.96</v>
      </c>
      <c r="H930" s="999">
        <f t="shared" si="34"/>
        <v>15.370000000000001</v>
      </c>
      <c r="I930" s="1008">
        <f t="shared" si="32"/>
        <v>30.740000000000002</v>
      </c>
      <c r="J930" s="1005">
        <f>I930/$M859*$M860</f>
        <v>-0.17175809400721731</v>
      </c>
      <c r="K930" s="1011">
        <f t="shared" si="33"/>
        <v>2</v>
      </c>
      <c r="L930" s="999">
        <f>$M860/H930</f>
        <v>-732.8991541965114</v>
      </c>
      <c r="M930" s="999"/>
      <c r="N930" s="587"/>
      <c r="O930" s="587"/>
      <c r="P930" s="587"/>
      <c r="Q930" s="587"/>
      <c r="R930" s="587"/>
    </row>
    <row r="931" spans="1:18" ht="12" thickBot="1">
      <c r="A931" s="588" t="s">
        <v>1466</v>
      </c>
      <c r="B931" s="522" t="s">
        <v>436</v>
      </c>
      <c r="C931" s="522" t="s">
        <v>332</v>
      </c>
      <c r="D931" s="522" t="s">
        <v>1026</v>
      </c>
      <c r="E931" s="1013">
        <v>45</v>
      </c>
      <c r="F931" s="531">
        <v>17999</v>
      </c>
      <c r="G931" s="531">
        <v>2069.63</v>
      </c>
      <c r="H931" s="999">
        <f t="shared" si="34"/>
        <v>45.7</v>
      </c>
      <c r="I931" s="1008">
        <f t="shared" si="32"/>
        <v>2056.5</v>
      </c>
      <c r="J931" s="1005">
        <f>I931/$M859*$M860</f>
        <v>-11.490582964406062</v>
      </c>
      <c r="K931" s="1011">
        <f t="shared" si="33"/>
        <v>45</v>
      </c>
      <c r="L931" s="999">
        <f>$M860/H931</f>
        <v>-246.49146608315934</v>
      </c>
      <c r="M931" s="999"/>
      <c r="N931" s="587"/>
      <c r="O931" s="587"/>
      <c r="P931" s="587"/>
      <c r="Q931" s="587"/>
      <c r="R931" s="587"/>
    </row>
    <row r="932" spans="1:18" ht="12" thickBot="1">
      <c r="A932" s="588" t="s">
        <v>1466</v>
      </c>
      <c r="B932" s="522" t="s">
        <v>436</v>
      </c>
      <c r="C932" s="522" t="s">
        <v>334</v>
      </c>
      <c r="D932" s="522" t="s">
        <v>1027</v>
      </c>
      <c r="E932" s="1012">
        <v>191</v>
      </c>
      <c r="F932" s="525">
        <v>10236</v>
      </c>
      <c r="G932" s="525">
        <v>5417.1</v>
      </c>
      <c r="H932" s="999">
        <f t="shared" si="34"/>
        <v>28.37</v>
      </c>
      <c r="I932" s="1008">
        <f t="shared" si="32"/>
        <v>5418.67</v>
      </c>
      <c r="J932" s="1005">
        <f>I932/$M859*$M860</f>
        <v>-30.276526716138196</v>
      </c>
      <c r="K932" s="1011">
        <f t="shared" si="33"/>
        <v>190</v>
      </c>
      <c r="L932" s="999">
        <f>$M860/H932</f>
        <v>-397.06238984844487</v>
      </c>
      <c r="M932" s="999"/>
      <c r="N932" s="587"/>
      <c r="O932" s="587"/>
      <c r="P932" s="587"/>
      <c r="Q932" s="587"/>
      <c r="R932" s="587"/>
    </row>
    <row r="933" spans="1:18" ht="12" thickBot="1">
      <c r="A933" s="588" t="s">
        <v>1466</v>
      </c>
      <c r="B933" s="522" t="s">
        <v>436</v>
      </c>
      <c r="C933" s="522" t="s">
        <v>366</v>
      </c>
      <c r="D933" s="522" t="s">
        <v>1028</v>
      </c>
      <c r="E933" s="1013">
        <v>593</v>
      </c>
      <c r="F933" s="531">
        <v>76150</v>
      </c>
      <c r="G933" s="531">
        <v>20646.419999999998</v>
      </c>
      <c r="H933" s="999">
        <f t="shared" si="34"/>
        <v>34.830000000000005</v>
      </c>
      <c r="I933" s="1008">
        <f t="shared" si="32"/>
        <v>20654.190000000002</v>
      </c>
      <c r="J933" s="1005">
        <f>I933/$M859*$M860</f>
        <v>-115.40417396431124</v>
      </c>
      <c r="K933" s="1011">
        <f t="shared" si="33"/>
        <v>590</v>
      </c>
      <c r="L933" s="999">
        <f>$M860/H933</f>
        <v>-323.41831754235949</v>
      </c>
      <c r="M933" s="999"/>
      <c r="N933" s="587"/>
      <c r="O933" s="587"/>
      <c r="P933" s="587"/>
      <c r="Q933" s="587"/>
      <c r="R933" s="587"/>
    </row>
    <row r="934" spans="1:18" ht="12" thickBot="1">
      <c r="A934" s="588" t="s">
        <v>1466</v>
      </c>
      <c r="B934" s="522" t="s">
        <v>436</v>
      </c>
      <c r="C934" s="522" t="s">
        <v>329</v>
      </c>
      <c r="D934" s="522" t="s">
        <v>1029</v>
      </c>
      <c r="E934" s="1012">
        <v>159</v>
      </c>
      <c r="F934" s="525">
        <v>63688</v>
      </c>
      <c r="G934" s="525">
        <v>9344.7900000000009</v>
      </c>
      <c r="H934" s="999">
        <f t="shared" si="34"/>
        <v>58.59</v>
      </c>
      <c r="I934" s="1008">
        <f t="shared" si="32"/>
        <v>9315.8100000000013</v>
      </c>
      <c r="J934" s="1005">
        <f>I933/$M859*$M860</f>
        <v>-115.40417396431124</v>
      </c>
      <c r="K934" s="1011">
        <f t="shared" si="33"/>
        <v>157</v>
      </c>
      <c r="L934" s="1002">
        <f>$M860/H933</f>
        <v>-323.41831754235949</v>
      </c>
    </row>
    <row r="935" spans="1:18" ht="12" thickBot="1">
      <c r="A935" s="588" t="s">
        <v>1466</v>
      </c>
      <c r="B935" s="522" t="s">
        <v>436</v>
      </c>
      <c r="C935" s="522" t="s">
        <v>683</v>
      </c>
      <c r="D935" s="522" t="s">
        <v>1047</v>
      </c>
      <c r="E935" s="1013">
        <v>8</v>
      </c>
      <c r="F935" s="531">
        <v>335</v>
      </c>
      <c r="G935" s="531">
        <v>120.32</v>
      </c>
      <c r="H935" s="999">
        <f t="shared" si="34"/>
        <v>15.35</v>
      </c>
      <c r="I935" s="1008">
        <f>E935*H935</f>
        <v>122.8</v>
      </c>
      <c r="J935" s="1014">
        <f>I933/$M859*$M860</f>
        <v>-115.40417396431124</v>
      </c>
      <c r="K935" s="1011">
        <f t="shared" si="33"/>
        <v>0</v>
      </c>
      <c r="L935" s="1002">
        <f>$M860/H933</f>
        <v>-323.41831754235949</v>
      </c>
    </row>
    <row r="936" spans="1:18" ht="12" thickBot="1">
      <c r="A936" s="588" t="s">
        <v>1466</v>
      </c>
      <c r="B936" s="522" t="s">
        <v>436</v>
      </c>
      <c r="C936" s="522" t="s">
        <v>463</v>
      </c>
      <c r="D936" s="522" t="s">
        <v>1030</v>
      </c>
      <c r="E936" s="1012">
        <v>20</v>
      </c>
      <c r="F936" s="525">
        <v>1766</v>
      </c>
      <c r="G936" s="525">
        <v>361.2</v>
      </c>
      <c r="H936" s="999">
        <f t="shared" si="34"/>
        <v>17.72</v>
      </c>
      <c r="I936" s="1008">
        <f>E936*H936</f>
        <v>354.4</v>
      </c>
      <c r="J936" s="1014">
        <f>I933/$M859*$M860</f>
        <v>-115.40417396431124</v>
      </c>
      <c r="K936" s="1011">
        <f t="shared" si="33"/>
        <v>13</v>
      </c>
      <c r="L936" s="1002">
        <f>$M860/H933</f>
        <v>-323.41831754235949</v>
      </c>
    </row>
    <row r="937" spans="1:18" ht="12" thickBot="1">
      <c r="A937" s="588" t="s">
        <v>1466</v>
      </c>
      <c r="B937" s="522" t="s">
        <v>436</v>
      </c>
      <c r="C937" s="522" t="s">
        <v>653</v>
      </c>
      <c r="D937" s="522" t="s">
        <v>1031</v>
      </c>
      <c r="E937" s="1013">
        <v>23</v>
      </c>
      <c r="F937" s="531">
        <v>3924</v>
      </c>
      <c r="G937" s="531">
        <v>493.7</v>
      </c>
      <c r="H937" s="999">
        <f t="shared" si="34"/>
        <v>21.490000000000002</v>
      </c>
      <c r="I937" s="1008">
        <f>E937*H937</f>
        <v>494.27000000000004</v>
      </c>
      <c r="J937" s="1014">
        <f>I933/$M859*$M860</f>
        <v>-115.40417396431124</v>
      </c>
      <c r="K937" s="1011">
        <f t="shared" si="33"/>
        <v>18</v>
      </c>
      <c r="L937" s="1002">
        <f>$M860/H933</f>
        <v>-323.41831754235949</v>
      </c>
      <c r="O937" s="997"/>
    </row>
    <row r="938" spans="1:18" ht="12" thickBot="1">
      <c r="A938" s="588" t="s">
        <v>1466</v>
      </c>
      <c r="B938" s="522" t="s">
        <v>436</v>
      </c>
      <c r="C938" s="543" t="s">
        <v>9</v>
      </c>
      <c r="D938" s="544"/>
      <c r="E938" s="995">
        <f>SUM(E857:E937)</f>
        <v>162012</v>
      </c>
      <c r="F938" s="540"/>
      <c r="G938" s="540"/>
      <c r="I938" s="847">
        <f>SUM(I857:I937)</f>
        <v>2016065.9700000002</v>
      </c>
      <c r="J938" s="847">
        <f>SUM(J857:J934)</f>
        <v>-11322.584551150167</v>
      </c>
      <c r="K938" s="995">
        <f>SUM(K857:K937)</f>
        <v>161085</v>
      </c>
      <c r="O938" s="997"/>
    </row>
    <row r="939" spans="1:18" ht="12" thickBot="1">
      <c r="A939" s="588" t="s">
        <v>1467</v>
      </c>
      <c r="B939" s="522" t="s">
        <v>436</v>
      </c>
      <c r="C939" s="522" t="s">
        <v>449</v>
      </c>
      <c r="D939" s="522" t="s">
        <v>448</v>
      </c>
      <c r="E939" s="530"/>
      <c r="F939" s="531"/>
      <c r="G939" s="531"/>
      <c r="M939" s="998" t="s">
        <v>1519</v>
      </c>
      <c r="O939" s="997"/>
    </row>
    <row r="940" spans="1:18" ht="12" thickBot="1">
      <c r="A940" s="588" t="s">
        <v>1467</v>
      </c>
      <c r="B940" s="522" t="s">
        <v>436</v>
      </c>
      <c r="C940" s="522" t="s">
        <v>447</v>
      </c>
      <c r="D940" s="522" t="s">
        <v>446</v>
      </c>
      <c r="E940" s="524"/>
      <c r="F940" s="525"/>
      <c r="G940" s="525"/>
      <c r="O940" s="997"/>
    </row>
    <row r="941" spans="1:18" ht="12" thickBot="1">
      <c r="A941" s="588" t="s">
        <v>1467</v>
      </c>
      <c r="B941" s="522" t="s">
        <v>436</v>
      </c>
      <c r="C941" s="522" t="s">
        <v>339</v>
      </c>
      <c r="D941" s="522" t="s">
        <v>952</v>
      </c>
      <c r="E941" s="530">
        <v>172</v>
      </c>
      <c r="F941" s="531">
        <v>12504</v>
      </c>
      <c r="G941" s="531">
        <v>9513.85</v>
      </c>
      <c r="O941" s="997"/>
    </row>
    <row r="942" spans="1:18" ht="12" thickBot="1">
      <c r="A942" s="588" t="s">
        <v>1467</v>
      </c>
      <c r="B942" s="522" t="s">
        <v>436</v>
      </c>
      <c r="C942" s="522" t="s">
        <v>344</v>
      </c>
      <c r="D942" s="522" t="s">
        <v>953</v>
      </c>
      <c r="E942" s="524">
        <v>26</v>
      </c>
      <c r="F942" s="525">
        <v>1853</v>
      </c>
      <c r="G942" s="525">
        <v>2186.46</v>
      </c>
      <c r="O942" s="997"/>
    </row>
    <row r="943" spans="1:18" ht="12" thickBot="1">
      <c r="A943" s="588" t="s">
        <v>1467</v>
      </c>
      <c r="B943" s="522" t="s">
        <v>436</v>
      </c>
      <c r="C943" s="522" t="s">
        <v>347</v>
      </c>
      <c r="D943" s="522" t="s">
        <v>954</v>
      </c>
      <c r="E943" s="530">
        <v>44</v>
      </c>
      <c r="F943" s="531">
        <v>2628</v>
      </c>
      <c r="G943" s="531">
        <v>2649.6</v>
      </c>
      <c r="O943" s="997"/>
    </row>
    <row r="944" spans="1:18" ht="12" thickBot="1">
      <c r="A944" s="588" t="s">
        <v>1467</v>
      </c>
      <c r="B944" s="522" t="s">
        <v>436</v>
      </c>
      <c r="C944" s="522" t="s">
        <v>348</v>
      </c>
      <c r="D944" s="522" t="s">
        <v>955</v>
      </c>
      <c r="E944" s="524">
        <v>5</v>
      </c>
      <c r="F944" s="525">
        <v>331</v>
      </c>
      <c r="G944" s="525">
        <v>297.85000000000002</v>
      </c>
      <c r="O944" s="997"/>
    </row>
    <row r="945" spans="1:15" ht="12" thickBot="1">
      <c r="A945" s="588" t="s">
        <v>1467</v>
      </c>
      <c r="B945" s="522" t="s">
        <v>436</v>
      </c>
      <c r="C945" s="522" t="s">
        <v>349</v>
      </c>
      <c r="D945" s="522" t="s">
        <v>956</v>
      </c>
      <c r="E945" s="530">
        <v>1</v>
      </c>
      <c r="F945" s="531">
        <v>66</v>
      </c>
      <c r="G945" s="531">
        <v>60.93</v>
      </c>
      <c r="O945" s="997"/>
    </row>
    <row r="946" spans="1:15" ht="12" thickBot="1">
      <c r="A946" s="588" t="s">
        <v>1467</v>
      </c>
      <c r="B946" s="522" t="s">
        <v>436</v>
      </c>
      <c r="C946" s="522" t="s">
        <v>351</v>
      </c>
      <c r="D946" s="522" t="s">
        <v>957</v>
      </c>
      <c r="E946" s="524">
        <v>5</v>
      </c>
      <c r="F946" s="525">
        <v>336</v>
      </c>
      <c r="G946" s="525">
        <v>393.8</v>
      </c>
      <c r="O946" s="997"/>
    </row>
    <row r="947" spans="1:15" ht="12" thickBot="1">
      <c r="A947" s="588" t="s">
        <v>1467</v>
      </c>
      <c r="B947" s="522" t="s">
        <v>436</v>
      </c>
      <c r="C947" s="522" t="s">
        <v>352</v>
      </c>
      <c r="D947" s="522" t="s">
        <v>958</v>
      </c>
      <c r="E947" s="530">
        <v>10</v>
      </c>
      <c r="F947" s="531">
        <v>672</v>
      </c>
      <c r="G947" s="531">
        <v>767.9</v>
      </c>
      <c r="O947" s="997"/>
    </row>
    <row r="948" spans="1:15" ht="12" thickBot="1">
      <c r="A948" s="588" t="s">
        <v>1467</v>
      </c>
      <c r="B948" s="522" t="s">
        <v>436</v>
      </c>
      <c r="C948" s="522" t="s">
        <v>354</v>
      </c>
      <c r="D948" s="522" t="s">
        <v>959</v>
      </c>
      <c r="E948" s="524">
        <v>24</v>
      </c>
      <c r="F948" s="525">
        <v>1672</v>
      </c>
      <c r="G948" s="525">
        <v>1476.25</v>
      </c>
      <c r="O948" s="997"/>
    </row>
    <row r="949" spans="1:15" ht="12" thickBot="1">
      <c r="A949" s="588" t="s">
        <v>1467</v>
      </c>
      <c r="B949" s="522" t="s">
        <v>436</v>
      </c>
      <c r="C949" s="522" t="s">
        <v>355</v>
      </c>
      <c r="D949" s="522" t="s">
        <v>960</v>
      </c>
      <c r="E949" s="530">
        <v>1</v>
      </c>
      <c r="F949" s="531">
        <v>66</v>
      </c>
      <c r="G949" s="531">
        <v>54.51</v>
      </c>
      <c r="O949" s="997"/>
    </row>
    <row r="950" spans="1:15" ht="12" thickBot="1">
      <c r="A950" s="588" t="s">
        <v>1467</v>
      </c>
      <c r="B950" s="522" t="s">
        <v>436</v>
      </c>
      <c r="C950" s="522" t="s">
        <v>341</v>
      </c>
      <c r="D950" s="522" t="s">
        <v>961</v>
      </c>
      <c r="E950" s="524">
        <v>16</v>
      </c>
      <c r="F950" s="525">
        <v>1089</v>
      </c>
      <c r="G950" s="525">
        <v>1157.44</v>
      </c>
      <c r="O950" s="997"/>
    </row>
    <row r="951" spans="1:15" ht="12" thickBot="1">
      <c r="A951" s="588" t="s">
        <v>1467</v>
      </c>
      <c r="B951" s="522" t="s">
        <v>436</v>
      </c>
      <c r="C951" s="522" t="s">
        <v>350</v>
      </c>
      <c r="D951" s="522" t="s">
        <v>962</v>
      </c>
      <c r="E951" s="530">
        <v>1</v>
      </c>
      <c r="F951" s="531">
        <v>66</v>
      </c>
      <c r="G951" s="531">
        <v>80.12</v>
      </c>
      <c r="O951" s="997"/>
    </row>
    <row r="952" spans="1:15" ht="12" thickBot="1">
      <c r="A952" s="588" t="s">
        <v>1467</v>
      </c>
      <c r="B952" s="522" t="s">
        <v>436</v>
      </c>
      <c r="C952" s="522" t="s">
        <v>342</v>
      </c>
      <c r="D952" s="522" t="s">
        <v>963</v>
      </c>
      <c r="E952" s="524">
        <v>19</v>
      </c>
      <c r="F952" s="525">
        <v>1419</v>
      </c>
      <c r="G952" s="525">
        <v>1446.8</v>
      </c>
      <c r="O952" s="997"/>
    </row>
    <row r="953" spans="1:15" ht="12" thickBot="1">
      <c r="A953" s="588" t="s">
        <v>1467</v>
      </c>
      <c r="B953" s="522" t="s">
        <v>436</v>
      </c>
      <c r="C953" s="522" t="s">
        <v>346</v>
      </c>
      <c r="D953" s="522" t="s">
        <v>964</v>
      </c>
      <c r="E953" s="530">
        <v>4</v>
      </c>
      <c r="F953" s="531">
        <v>274</v>
      </c>
      <c r="G953" s="531">
        <v>294.8</v>
      </c>
      <c r="O953" s="997"/>
    </row>
    <row r="954" spans="1:15" ht="12" thickBot="1">
      <c r="A954" s="588" t="s">
        <v>1467</v>
      </c>
      <c r="B954" s="522" t="s">
        <v>436</v>
      </c>
      <c r="C954" s="522" t="s">
        <v>353</v>
      </c>
      <c r="D954" s="522" t="s">
        <v>965</v>
      </c>
      <c r="E954" s="524">
        <v>3</v>
      </c>
      <c r="F954" s="525">
        <v>213</v>
      </c>
      <c r="G954" s="525">
        <v>230.37</v>
      </c>
      <c r="O954" s="997"/>
    </row>
    <row r="955" spans="1:15" ht="12" thickBot="1">
      <c r="A955" s="588" t="s">
        <v>1467</v>
      </c>
      <c r="B955" s="522" t="s">
        <v>436</v>
      </c>
      <c r="C955" s="522" t="s">
        <v>345</v>
      </c>
      <c r="D955" s="522" t="s">
        <v>966</v>
      </c>
      <c r="E955" s="530">
        <v>2</v>
      </c>
      <c r="F955" s="531">
        <v>142</v>
      </c>
      <c r="G955" s="531">
        <v>150.16</v>
      </c>
      <c r="O955" s="997"/>
    </row>
    <row r="956" spans="1:15" ht="12" thickBot="1">
      <c r="A956" s="588" t="s">
        <v>1467</v>
      </c>
      <c r="B956" s="522" t="s">
        <v>436</v>
      </c>
      <c r="C956" s="522" t="s">
        <v>343</v>
      </c>
      <c r="D956" s="522" t="s">
        <v>967</v>
      </c>
      <c r="E956" s="524">
        <v>52</v>
      </c>
      <c r="F956" s="525">
        <v>3570</v>
      </c>
      <c r="G956" s="525">
        <v>3162.51</v>
      </c>
      <c r="O956" s="997"/>
    </row>
    <row r="957" spans="1:15" ht="12" thickBot="1">
      <c r="A957" s="588" t="s">
        <v>1467</v>
      </c>
      <c r="B957" s="522" t="s">
        <v>436</v>
      </c>
      <c r="C957" s="522" t="s">
        <v>472</v>
      </c>
      <c r="D957" s="522" t="s">
        <v>968</v>
      </c>
      <c r="E957" s="530">
        <v>2</v>
      </c>
      <c r="F957" s="531">
        <v>132</v>
      </c>
      <c r="G957" s="531">
        <v>147.44</v>
      </c>
      <c r="O957" s="997"/>
    </row>
    <row r="958" spans="1:15" ht="12" thickBot="1">
      <c r="A958" s="588" t="s">
        <v>1467</v>
      </c>
      <c r="B958" s="522" t="s">
        <v>436</v>
      </c>
      <c r="C958" s="522" t="s">
        <v>382</v>
      </c>
      <c r="D958" s="522" t="s">
        <v>969</v>
      </c>
      <c r="E958" s="524">
        <v>51</v>
      </c>
      <c r="F958" s="525">
        <v>1723</v>
      </c>
      <c r="G958" s="525">
        <v>752.44</v>
      </c>
      <c r="O958" s="997"/>
    </row>
    <row r="959" spans="1:15" ht="12" thickBot="1">
      <c r="A959" s="588" t="s">
        <v>1467</v>
      </c>
      <c r="B959" s="522" t="s">
        <v>436</v>
      </c>
      <c r="C959" s="522" t="s">
        <v>402</v>
      </c>
      <c r="D959" s="522" t="s">
        <v>970</v>
      </c>
      <c r="E959" s="530">
        <v>7056</v>
      </c>
      <c r="F959" s="531">
        <v>618698</v>
      </c>
      <c r="G959" s="531">
        <v>74582.83</v>
      </c>
      <c r="O959" s="997"/>
    </row>
    <row r="960" spans="1:15" ht="12" thickBot="1">
      <c r="A960" s="588" t="s">
        <v>1467</v>
      </c>
      <c r="B960" s="522" t="s">
        <v>436</v>
      </c>
      <c r="C960" s="522" t="s">
        <v>394</v>
      </c>
      <c r="D960" s="522" t="s">
        <v>303</v>
      </c>
      <c r="E960" s="524">
        <v>0</v>
      </c>
      <c r="F960" s="525">
        <v>-8669</v>
      </c>
      <c r="G960" s="525">
        <v>-1117.48</v>
      </c>
      <c r="O960" s="997"/>
    </row>
    <row r="961" spans="1:15" ht="12" thickBot="1">
      <c r="A961" s="588" t="s">
        <v>1467</v>
      </c>
      <c r="B961" s="522" t="s">
        <v>436</v>
      </c>
      <c r="C961" s="522" t="s">
        <v>398</v>
      </c>
      <c r="D961" s="522" t="s">
        <v>971</v>
      </c>
      <c r="E961" s="530">
        <v>130</v>
      </c>
      <c r="F961" s="531">
        <v>26511</v>
      </c>
      <c r="G961" s="531">
        <v>1520.93</v>
      </c>
      <c r="O961" s="997"/>
    </row>
    <row r="962" spans="1:15" ht="12" thickBot="1">
      <c r="A962" s="588" t="s">
        <v>1467</v>
      </c>
      <c r="B962" s="522" t="s">
        <v>436</v>
      </c>
      <c r="C962" s="522" t="s">
        <v>376</v>
      </c>
      <c r="D962" s="522" t="s">
        <v>972</v>
      </c>
      <c r="E962" s="530">
        <v>236</v>
      </c>
      <c r="F962" s="531">
        <v>5568</v>
      </c>
      <c r="G962" s="531">
        <v>4790.3999999999996</v>
      </c>
      <c r="O962" s="997"/>
    </row>
    <row r="963" spans="1:15" ht="12" thickBot="1">
      <c r="A963" s="588" t="s">
        <v>1467</v>
      </c>
      <c r="B963" s="522" t="s">
        <v>436</v>
      </c>
      <c r="C963" s="522" t="s">
        <v>384</v>
      </c>
      <c r="D963" s="522" t="s">
        <v>973</v>
      </c>
      <c r="E963" s="524">
        <v>142</v>
      </c>
      <c r="F963" s="525">
        <v>4868</v>
      </c>
      <c r="G963" s="525">
        <v>3043.55</v>
      </c>
      <c r="O963" s="997"/>
    </row>
    <row r="964" spans="1:15" ht="12" thickBot="1">
      <c r="A964" s="588" t="s">
        <v>1467</v>
      </c>
      <c r="B964" s="522" t="s">
        <v>436</v>
      </c>
      <c r="C964" s="522" t="s">
        <v>386</v>
      </c>
      <c r="D964" s="522" t="s">
        <v>974</v>
      </c>
      <c r="E964" s="530">
        <v>28</v>
      </c>
      <c r="F964" s="531">
        <v>860</v>
      </c>
      <c r="G964" s="531">
        <v>852.6</v>
      </c>
      <c r="O964" s="997"/>
    </row>
    <row r="965" spans="1:15" ht="12" thickBot="1">
      <c r="A965" s="588" t="s">
        <v>1467</v>
      </c>
      <c r="B965" s="522" t="s">
        <v>436</v>
      </c>
      <c r="C965" s="522" t="s">
        <v>409</v>
      </c>
      <c r="D965" s="522" t="s">
        <v>975</v>
      </c>
      <c r="E965" s="524">
        <v>97</v>
      </c>
      <c r="F965" s="525">
        <v>4554</v>
      </c>
      <c r="G965" s="525">
        <v>3018.88</v>
      </c>
      <c r="O965" s="997"/>
    </row>
    <row r="966" spans="1:15" ht="12" thickBot="1">
      <c r="A966" s="588" t="s">
        <v>1467</v>
      </c>
      <c r="B966" s="522" t="s">
        <v>436</v>
      </c>
      <c r="C966" s="522" t="s">
        <v>387</v>
      </c>
      <c r="D966" s="522" t="s">
        <v>976</v>
      </c>
      <c r="E966" s="530">
        <v>21</v>
      </c>
      <c r="F966" s="531">
        <v>685</v>
      </c>
      <c r="G966" s="531">
        <v>639.45000000000005</v>
      </c>
      <c r="O966" s="997"/>
    </row>
    <row r="967" spans="1:15" ht="12" thickBot="1">
      <c r="A967" s="588" t="s">
        <v>1467</v>
      </c>
      <c r="B967" s="522" t="s">
        <v>436</v>
      </c>
      <c r="C967" s="522" t="s">
        <v>410</v>
      </c>
      <c r="D967" s="522" t="s">
        <v>977</v>
      </c>
      <c r="E967" s="524">
        <v>10</v>
      </c>
      <c r="F967" s="525">
        <v>460</v>
      </c>
      <c r="G967" s="525">
        <v>309.10000000000002</v>
      </c>
      <c r="O967" s="997"/>
    </row>
    <row r="968" spans="1:15" ht="12" thickBot="1">
      <c r="A968" s="588" t="s">
        <v>1467</v>
      </c>
      <c r="B968" s="522" t="s">
        <v>436</v>
      </c>
      <c r="C968" s="522" t="s">
        <v>405</v>
      </c>
      <c r="D968" s="522" t="s">
        <v>978</v>
      </c>
      <c r="E968" s="530">
        <v>459</v>
      </c>
      <c r="F968" s="531">
        <v>22015</v>
      </c>
      <c r="G968" s="531">
        <v>7052.93</v>
      </c>
      <c r="O968" s="997"/>
    </row>
    <row r="969" spans="1:15" ht="12" thickBot="1">
      <c r="A969" s="588" t="s">
        <v>1467</v>
      </c>
      <c r="B969" s="522" t="s">
        <v>436</v>
      </c>
      <c r="C969" s="522" t="s">
        <v>326</v>
      </c>
      <c r="D969" s="522" t="s">
        <v>979</v>
      </c>
      <c r="E969" s="524">
        <v>5</v>
      </c>
      <c r="F969" s="525">
        <v>201</v>
      </c>
      <c r="G969" s="525">
        <v>16.399999999999999</v>
      </c>
      <c r="O969" s="997"/>
    </row>
    <row r="970" spans="1:15" ht="12" thickBot="1">
      <c r="A970" s="588" t="s">
        <v>1467</v>
      </c>
      <c r="B970" s="522" t="s">
        <v>436</v>
      </c>
      <c r="C970" s="522" t="s">
        <v>356</v>
      </c>
      <c r="D970" s="522" t="s">
        <v>980</v>
      </c>
      <c r="E970" s="530">
        <v>675</v>
      </c>
      <c r="F970" s="531">
        <v>55678</v>
      </c>
      <c r="G970" s="531">
        <v>3064.79</v>
      </c>
      <c r="O970" s="997"/>
    </row>
    <row r="971" spans="1:15" ht="12" thickBot="1">
      <c r="A971" s="588" t="s">
        <v>1467</v>
      </c>
      <c r="B971" s="522" t="s">
        <v>436</v>
      </c>
      <c r="C971" s="522" t="s">
        <v>374</v>
      </c>
      <c r="D971" s="522" t="s">
        <v>981</v>
      </c>
      <c r="E971" s="524">
        <v>113</v>
      </c>
      <c r="F971" s="525">
        <v>14147</v>
      </c>
      <c r="G971" s="525">
        <v>767.52</v>
      </c>
      <c r="O971" s="997"/>
    </row>
    <row r="972" spans="1:15" ht="12" thickBot="1">
      <c r="A972" s="588" t="s">
        <v>1467</v>
      </c>
      <c r="B972" s="522" t="s">
        <v>436</v>
      </c>
      <c r="C972" s="522" t="s">
        <v>399</v>
      </c>
      <c r="D972" s="522" t="s">
        <v>982</v>
      </c>
      <c r="E972" s="530">
        <v>2</v>
      </c>
      <c r="F972" s="531">
        <v>382</v>
      </c>
      <c r="G972" s="531">
        <v>17.52</v>
      </c>
      <c r="O972" s="997"/>
    </row>
    <row r="973" spans="1:15" ht="12" thickBot="1">
      <c r="A973" s="588" t="s">
        <v>1467</v>
      </c>
      <c r="B973" s="522" t="s">
        <v>436</v>
      </c>
      <c r="C973" s="522" t="s">
        <v>391</v>
      </c>
      <c r="D973" s="522" t="s">
        <v>983</v>
      </c>
      <c r="E973" s="524">
        <v>161</v>
      </c>
      <c r="F973" s="525">
        <v>5832</v>
      </c>
      <c r="G973" s="525">
        <v>1198.5</v>
      </c>
      <c r="O973" s="997"/>
    </row>
    <row r="974" spans="1:15" ht="12" thickBot="1">
      <c r="A974" s="588" t="s">
        <v>1467</v>
      </c>
      <c r="B974" s="522" t="s">
        <v>436</v>
      </c>
      <c r="C974" s="522" t="s">
        <v>416</v>
      </c>
      <c r="D974" s="522" t="s">
        <v>984</v>
      </c>
      <c r="E974" s="530">
        <v>34938</v>
      </c>
      <c r="F974" s="531">
        <v>1743665</v>
      </c>
      <c r="G974" s="531">
        <v>273912.94</v>
      </c>
      <c r="O974" s="997"/>
    </row>
    <row r="975" spans="1:15" ht="12" thickBot="1">
      <c r="A975" s="588" t="s">
        <v>1467</v>
      </c>
      <c r="B975" s="522" t="s">
        <v>436</v>
      </c>
      <c r="C975" s="522" t="s">
        <v>407</v>
      </c>
      <c r="D975" s="522" t="s">
        <v>985</v>
      </c>
      <c r="E975" s="524">
        <v>1110</v>
      </c>
      <c r="F975" s="525">
        <v>53073</v>
      </c>
      <c r="G975" s="525">
        <v>24410.65</v>
      </c>
      <c r="O975" s="997"/>
    </row>
    <row r="976" spans="1:15" ht="12" thickBot="1">
      <c r="A976" s="588" t="s">
        <v>1467</v>
      </c>
      <c r="B976" s="522" t="s">
        <v>436</v>
      </c>
      <c r="C976" s="522" t="s">
        <v>373</v>
      </c>
      <c r="D976" s="522" t="s">
        <v>986</v>
      </c>
      <c r="E976" s="530">
        <v>8</v>
      </c>
      <c r="F976" s="531">
        <v>940</v>
      </c>
      <c r="G976" s="531">
        <v>60.16</v>
      </c>
      <c r="O976" s="997"/>
    </row>
    <row r="977" spans="1:15" ht="12" thickBot="1">
      <c r="A977" s="588" t="s">
        <v>1467</v>
      </c>
      <c r="B977" s="522" t="s">
        <v>436</v>
      </c>
      <c r="C977" s="522" t="s">
        <v>375</v>
      </c>
      <c r="D977" s="522" t="s">
        <v>987</v>
      </c>
      <c r="E977" s="524">
        <v>2</v>
      </c>
      <c r="F977" s="525">
        <v>48</v>
      </c>
      <c r="G977" s="525">
        <v>26.62</v>
      </c>
      <c r="O977" s="997"/>
    </row>
    <row r="978" spans="1:15" ht="12" thickBot="1">
      <c r="A978" s="588" t="s">
        <v>1467</v>
      </c>
      <c r="B978" s="522" t="s">
        <v>436</v>
      </c>
      <c r="C978" s="522" t="s">
        <v>401</v>
      </c>
      <c r="D978" s="522" t="s">
        <v>988</v>
      </c>
      <c r="E978" s="530">
        <v>1049</v>
      </c>
      <c r="F978" s="531">
        <v>89421</v>
      </c>
      <c r="G978" s="531">
        <v>10029.69</v>
      </c>
      <c r="O978" s="997"/>
    </row>
    <row r="979" spans="1:15" ht="12" thickBot="1">
      <c r="A979" s="588" t="s">
        <v>1467</v>
      </c>
      <c r="B979" s="522" t="s">
        <v>436</v>
      </c>
      <c r="C979" s="522" t="s">
        <v>328</v>
      </c>
      <c r="D979" s="522" t="s">
        <v>989</v>
      </c>
      <c r="E979" s="524">
        <v>730</v>
      </c>
      <c r="F979" s="525">
        <v>81471</v>
      </c>
      <c r="G979" s="525">
        <v>8268.32</v>
      </c>
      <c r="O979" s="997"/>
    </row>
    <row r="980" spans="1:15" ht="12" thickBot="1">
      <c r="A980" s="588" t="s">
        <v>1467</v>
      </c>
      <c r="B980" s="522" t="s">
        <v>436</v>
      </c>
      <c r="C980" s="522" t="s">
        <v>437</v>
      </c>
      <c r="D980" s="522" t="s">
        <v>990</v>
      </c>
      <c r="E980" s="530">
        <v>1467</v>
      </c>
      <c r="F980" s="531">
        <v>270920</v>
      </c>
      <c r="G980" s="531">
        <v>18788.099999999999</v>
      </c>
      <c r="O980" s="997"/>
    </row>
    <row r="981" spans="1:15" ht="12" thickBot="1">
      <c r="A981" s="588" t="s">
        <v>1467</v>
      </c>
      <c r="B981" s="522" t="s">
        <v>436</v>
      </c>
      <c r="C981" s="522" t="s">
        <v>338</v>
      </c>
      <c r="D981" s="522" t="s">
        <v>991</v>
      </c>
      <c r="E981" s="530">
        <v>633</v>
      </c>
      <c r="F981" s="531">
        <v>40391</v>
      </c>
      <c r="G981" s="531">
        <v>9020.32</v>
      </c>
      <c r="O981" s="997"/>
    </row>
    <row r="982" spans="1:15" ht="12" thickBot="1">
      <c r="A982" s="588" t="s">
        <v>1467</v>
      </c>
      <c r="B982" s="522" t="s">
        <v>436</v>
      </c>
      <c r="C982" s="522" t="s">
        <v>370</v>
      </c>
      <c r="D982" s="522" t="s">
        <v>992</v>
      </c>
      <c r="E982" s="530">
        <v>4830</v>
      </c>
      <c r="F982" s="531">
        <v>719894</v>
      </c>
      <c r="G982" s="531">
        <v>97564.43</v>
      </c>
      <c r="O982" s="997"/>
    </row>
    <row r="983" spans="1:15" ht="12" thickBot="1">
      <c r="A983" s="588" t="s">
        <v>1467</v>
      </c>
      <c r="B983" s="522" t="s">
        <v>436</v>
      </c>
      <c r="C983" s="522" t="s">
        <v>333</v>
      </c>
      <c r="D983" s="522" t="s">
        <v>993</v>
      </c>
      <c r="E983" s="530">
        <v>1016</v>
      </c>
      <c r="F983" s="531">
        <v>464969</v>
      </c>
      <c r="G983" s="531">
        <v>43012.94</v>
      </c>
      <c r="O983" s="997"/>
    </row>
    <row r="984" spans="1:15" ht="12" thickBot="1">
      <c r="A984" s="588" t="s">
        <v>1467</v>
      </c>
      <c r="B984" s="522" t="s">
        <v>436</v>
      </c>
      <c r="C984" s="522" t="s">
        <v>336</v>
      </c>
      <c r="D984" s="522" t="s">
        <v>994</v>
      </c>
      <c r="E984" s="530">
        <v>150</v>
      </c>
      <c r="F984" s="531">
        <v>9577</v>
      </c>
      <c r="G984" s="531">
        <v>2792.08</v>
      </c>
      <c r="O984" s="997"/>
    </row>
    <row r="985" spans="1:15" ht="12" thickBot="1">
      <c r="A985" s="588" t="s">
        <v>1467</v>
      </c>
      <c r="B985" s="522" t="s">
        <v>436</v>
      </c>
      <c r="C985" s="522" t="s">
        <v>368</v>
      </c>
      <c r="D985" s="522" t="s">
        <v>995</v>
      </c>
      <c r="E985" s="530">
        <v>999</v>
      </c>
      <c r="F985" s="531">
        <v>146951</v>
      </c>
      <c r="G985" s="531">
        <v>24575.33</v>
      </c>
      <c r="O985" s="997"/>
    </row>
    <row r="986" spans="1:15" ht="12" thickBot="1">
      <c r="A986" s="588" t="s">
        <v>1467</v>
      </c>
      <c r="B986" s="522" t="s">
        <v>436</v>
      </c>
      <c r="C986" s="522" t="s">
        <v>400</v>
      </c>
      <c r="D986" s="522" t="s">
        <v>996</v>
      </c>
      <c r="E986" s="524">
        <v>136</v>
      </c>
      <c r="F986" s="525">
        <v>11473</v>
      </c>
      <c r="G986" s="525">
        <v>1612.8</v>
      </c>
      <c r="O986" s="997"/>
    </row>
    <row r="987" spans="1:15" ht="12" thickBot="1">
      <c r="A987" s="588" t="s">
        <v>1467</v>
      </c>
      <c r="B987" s="522" t="s">
        <v>436</v>
      </c>
      <c r="C987" s="522" t="s">
        <v>327</v>
      </c>
      <c r="D987" s="522" t="s">
        <v>997</v>
      </c>
      <c r="E987" s="530">
        <v>441</v>
      </c>
      <c r="F987" s="531">
        <v>48836</v>
      </c>
      <c r="G987" s="531">
        <v>5891.43</v>
      </c>
      <c r="O987" s="997"/>
    </row>
    <row r="988" spans="1:15" ht="12" thickBot="1">
      <c r="A988" s="588" t="s">
        <v>1467</v>
      </c>
      <c r="B988" s="522" t="s">
        <v>436</v>
      </c>
      <c r="C988" s="522" t="s">
        <v>357</v>
      </c>
      <c r="D988" s="522" t="s">
        <v>998</v>
      </c>
      <c r="E988" s="524">
        <v>1465</v>
      </c>
      <c r="F988" s="525">
        <v>261805</v>
      </c>
      <c r="G988" s="525">
        <v>22095.95</v>
      </c>
      <c r="O988" s="997"/>
    </row>
    <row r="989" spans="1:15" ht="12" thickBot="1">
      <c r="A989" s="588" t="s">
        <v>1467</v>
      </c>
      <c r="B989" s="522" t="s">
        <v>436</v>
      </c>
      <c r="C989" s="522" t="s">
        <v>331</v>
      </c>
      <c r="D989" s="522" t="s">
        <v>999</v>
      </c>
      <c r="E989" s="530">
        <v>223</v>
      </c>
      <c r="F989" s="531">
        <v>101588</v>
      </c>
      <c r="G989" s="531">
        <v>10411.07</v>
      </c>
      <c r="O989" s="997"/>
    </row>
    <row r="990" spans="1:15" ht="12" thickBot="1">
      <c r="A990" s="588" t="s">
        <v>1467</v>
      </c>
      <c r="B990" s="522" t="s">
        <v>436</v>
      </c>
      <c r="C990" s="522" t="s">
        <v>335</v>
      </c>
      <c r="D990" s="522" t="s">
        <v>1000</v>
      </c>
      <c r="E990" s="530">
        <v>26</v>
      </c>
      <c r="F990" s="531">
        <v>1569</v>
      </c>
      <c r="G990" s="531">
        <v>717.12</v>
      </c>
      <c r="O990" s="997"/>
    </row>
    <row r="991" spans="1:15" ht="12" thickBot="1">
      <c r="A991" s="588" t="s">
        <v>1467</v>
      </c>
      <c r="B991" s="522" t="s">
        <v>436</v>
      </c>
      <c r="C991" s="522" t="s">
        <v>372</v>
      </c>
      <c r="D991" s="522" t="s">
        <v>1001</v>
      </c>
      <c r="E991" s="524">
        <v>6319</v>
      </c>
      <c r="F991" s="525">
        <v>156456</v>
      </c>
      <c r="G991" s="525">
        <v>47644.94</v>
      </c>
      <c r="O991" s="997"/>
    </row>
    <row r="992" spans="1:15" ht="12" thickBot="1">
      <c r="A992" s="588" t="s">
        <v>1467</v>
      </c>
      <c r="B992" s="522" t="s">
        <v>436</v>
      </c>
      <c r="C992" s="522" t="s">
        <v>381</v>
      </c>
      <c r="D992" s="522" t="s">
        <v>1002</v>
      </c>
      <c r="E992" s="530">
        <v>8398</v>
      </c>
      <c r="F992" s="531">
        <v>290002</v>
      </c>
      <c r="G992" s="531">
        <v>72729.850000000006</v>
      </c>
      <c r="O992" s="997"/>
    </row>
    <row r="993" spans="1:15" ht="12" thickBot="1">
      <c r="A993" s="588" t="s">
        <v>1467</v>
      </c>
      <c r="B993" s="522" t="s">
        <v>436</v>
      </c>
      <c r="C993" s="522" t="s">
        <v>404</v>
      </c>
      <c r="D993" s="522" t="s">
        <v>1003</v>
      </c>
      <c r="E993" s="524">
        <v>19426</v>
      </c>
      <c r="F993" s="525">
        <v>945792</v>
      </c>
      <c r="G993" s="525">
        <v>177549.45</v>
      </c>
      <c r="O993" s="997"/>
    </row>
    <row r="994" spans="1:15" ht="12" thickBot="1">
      <c r="A994" s="588" t="s">
        <v>1467</v>
      </c>
      <c r="B994" s="522" t="s">
        <v>436</v>
      </c>
      <c r="C994" s="522" t="s">
        <v>361</v>
      </c>
      <c r="D994" s="522" t="s">
        <v>1004</v>
      </c>
      <c r="E994" s="524">
        <v>7215</v>
      </c>
      <c r="F994" s="525">
        <v>730323</v>
      </c>
      <c r="G994" s="525">
        <v>102813.28</v>
      </c>
      <c r="O994" s="997"/>
    </row>
    <row r="995" spans="1:15" ht="12" thickBot="1">
      <c r="A995" s="588" t="s">
        <v>1467</v>
      </c>
      <c r="B995" s="522" t="s">
        <v>436</v>
      </c>
      <c r="C995" s="522" t="s">
        <v>393</v>
      </c>
      <c r="D995" s="522" t="s">
        <v>1005</v>
      </c>
      <c r="E995" s="524">
        <v>2686</v>
      </c>
      <c r="F995" s="525">
        <v>529940</v>
      </c>
      <c r="G995" s="525">
        <v>61347.51</v>
      </c>
      <c r="O995" s="997"/>
    </row>
    <row r="996" spans="1:15" ht="12" thickBot="1">
      <c r="A996" s="588" t="s">
        <v>1467</v>
      </c>
      <c r="B996" s="522" t="s">
        <v>436</v>
      </c>
      <c r="C996" s="522" t="s">
        <v>379</v>
      </c>
      <c r="D996" s="522" t="s">
        <v>1006</v>
      </c>
      <c r="E996" s="524">
        <v>829</v>
      </c>
      <c r="F996" s="525">
        <v>20237</v>
      </c>
      <c r="G996" s="525">
        <v>7977.92</v>
      </c>
      <c r="O996" s="997"/>
    </row>
    <row r="997" spans="1:15" ht="12" thickBot="1">
      <c r="A997" s="588" t="s">
        <v>1467</v>
      </c>
      <c r="B997" s="522" t="s">
        <v>436</v>
      </c>
      <c r="C997" s="522" t="s">
        <v>389</v>
      </c>
      <c r="D997" s="522" t="s">
        <v>1007</v>
      </c>
      <c r="E997" s="530">
        <v>1300</v>
      </c>
      <c r="F997" s="531">
        <v>45283</v>
      </c>
      <c r="G997" s="531">
        <v>14002.62</v>
      </c>
      <c r="O997" s="997"/>
    </row>
    <row r="998" spans="1:15" ht="12" thickBot="1">
      <c r="A998" s="588" t="s">
        <v>1467</v>
      </c>
      <c r="B998" s="522" t="s">
        <v>436</v>
      </c>
      <c r="C998" s="522" t="s">
        <v>412</v>
      </c>
      <c r="D998" s="522" t="s">
        <v>1008</v>
      </c>
      <c r="E998" s="524">
        <v>3847</v>
      </c>
      <c r="F998" s="525">
        <v>190614</v>
      </c>
      <c r="G998" s="525">
        <v>42932.43</v>
      </c>
      <c r="O998" s="997"/>
    </row>
    <row r="999" spans="1:15" ht="12" thickBot="1">
      <c r="A999" s="588" t="s">
        <v>1467</v>
      </c>
      <c r="B999" s="522" t="s">
        <v>436</v>
      </c>
      <c r="C999" s="522" t="s">
        <v>367</v>
      </c>
      <c r="D999" s="522" t="s">
        <v>1009</v>
      </c>
      <c r="E999" s="530">
        <v>288</v>
      </c>
      <c r="F999" s="531">
        <v>42072</v>
      </c>
      <c r="G999" s="531">
        <v>9540.2999999999993</v>
      </c>
      <c r="O999" s="997"/>
    </row>
    <row r="1000" spans="1:15" ht="12" thickBot="1">
      <c r="A1000" s="588" t="s">
        <v>1467</v>
      </c>
      <c r="B1000" s="522" t="s">
        <v>436</v>
      </c>
      <c r="C1000" s="522" t="s">
        <v>330</v>
      </c>
      <c r="D1000" s="522" t="s">
        <v>1010</v>
      </c>
      <c r="E1000" s="524">
        <v>62</v>
      </c>
      <c r="F1000" s="525">
        <v>29035</v>
      </c>
      <c r="G1000" s="525">
        <v>3437.44</v>
      </c>
      <c r="O1000" s="997"/>
    </row>
    <row r="1001" spans="1:15" ht="12" thickBot="1">
      <c r="A1001" s="588" t="s">
        <v>1467</v>
      </c>
      <c r="B1001" s="522" t="s">
        <v>436</v>
      </c>
      <c r="C1001" s="522" t="s">
        <v>371</v>
      </c>
      <c r="D1001" s="522" t="s">
        <v>1011</v>
      </c>
      <c r="E1001" s="530">
        <v>3583</v>
      </c>
      <c r="F1001" s="531">
        <v>80620</v>
      </c>
      <c r="G1001" s="531">
        <v>37581.42</v>
      </c>
      <c r="O1001" s="997"/>
    </row>
    <row r="1002" spans="1:15" ht="12" thickBot="1">
      <c r="A1002" s="588" t="s">
        <v>1467</v>
      </c>
      <c r="B1002" s="522" t="s">
        <v>436</v>
      </c>
      <c r="C1002" s="522" t="s">
        <v>380</v>
      </c>
      <c r="D1002" s="522" t="s">
        <v>1012</v>
      </c>
      <c r="E1002" s="524">
        <v>8422</v>
      </c>
      <c r="F1002" s="525">
        <v>263932</v>
      </c>
      <c r="G1002" s="525">
        <v>97699.4</v>
      </c>
      <c r="O1002" s="997"/>
    </row>
    <row r="1003" spans="1:15" ht="12" thickBot="1">
      <c r="A1003" s="588" t="s">
        <v>1467</v>
      </c>
      <c r="B1003" s="522" t="s">
        <v>436</v>
      </c>
      <c r="C1003" s="522" t="s">
        <v>403</v>
      </c>
      <c r="D1003" s="522" t="s">
        <v>1013</v>
      </c>
      <c r="E1003" s="530">
        <v>3244</v>
      </c>
      <c r="F1003" s="531">
        <v>149189</v>
      </c>
      <c r="G1003" s="531">
        <v>39902.720000000001</v>
      </c>
      <c r="O1003" s="997"/>
    </row>
    <row r="1004" spans="1:15" ht="12" thickBot="1">
      <c r="A1004" s="588" t="s">
        <v>1467</v>
      </c>
      <c r="B1004" s="522" t="s">
        <v>436</v>
      </c>
      <c r="C1004" s="522" t="s">
        <v>360</v>
      </c>
      <c r="D1004" s="522" t="s">
        <v>1014</v>
      </c>
      <c r="E1004" s="524">
        <v>4987</v>
      </c>
      <c r="F1004" s="525">
        <v>476654</v>
      </c>
      <c r="G1004" s="525">
        <v>86824.5</v>
      </c>
      <c r="O1004" s="997"/>
    </row>
    <row r="1005" spans="1:15" ht="12" thickBot="1">
      <c r="A1005" s="588" t="s">
        <v>1467</v>
      </c>
      <c r="B1005" s="522" t="s">
        <v>436</v>
      </c>
      <c r="C1005" s="522" t="s">
        <v>392</v>
      </c>
      <c r="D1005" s="522" t="s">
        <v>1015</v>
      </c>
      <c r="E1005" s="530">
        <v>500</v>
      </c>
      <c r="F1005" s="531">
        <v>92707</v>
      </c>
      <c r="G1005" s="531">
        <v>12226.33</v>
      </c>
      <c r="O1005" s="997"/>
    </row>
    <row r="1006" spans="1:15" ht="12" thickBot="1">
      <c r="A1006" s="588" t="s">
        <v>1467</v>
      </c>
      <c r="B1006" s="522" t="s">
        <v>436</v>
      </c>
      <c r="C1006" s="522" t="s">
        <v>390</v>
      </c>
      <c r="D1006" s="522" t="s">
        <v>1016</v>
      </c>
      <c r="E1006" s="524">
        <v>4463</v>
      </c>
      <c r="F1006" s="525">
        <v>138236</v>
      </c>
      <c r="G1006" s="525">
        <v>74931.600000000006</v>
      </c>
      <c r="O1006" s="997"/>
    </row>
    <row r="1007" spans="1:15" ht="12" thickBot="1">
      <c r="A1007" s="588" t="s">
        <v>1467</v>
      </c>
      <c r="B1007" s="522" t="s">
        <v>436</v>
      </c>
      <c r="C1007" s="522" t="s">
        <v>414</v>
      </c>
      <c r="D1007" s="522" t="s">
        <v>1017</v>
      </c>
      <c r="E1007" s="530">
        <v>1034</v>
      </c>
      <c r="F1007" s="531">
        <v>47214</v>
      </c>
      <c r="G1007" s="531">
        <v>21693</v>
      </c>
      <c r="O1007" s="997"/>
    </row>
    <row r="1008" spans="1:15" ht="12" thickBot="1">
      <c r="A1008" s="588" t="s">
        <v>1467</v>
      </c>
      <c r="B1008" s="522" t="s">
        <v>436</v>
      </c>
      <c r="C1008" s="522" t="s">
        <v>364</v>
      </c>
      <c r="D1008" s="522" t="s">
        <v>1018</v>
      </c>
      <c r="E1008" s="524">
        <v>1363</v>
      </c>
      <c r="F1008" s="525">
        <v>130836</v>
      </c>
      <c r="G1008" s="525">
        <v>36623.129999999997</v>
      </c>
      <c r="O1008" s="997"/>
    </row>
    <row r="1009" spans="1:15" ht="12" thickBot="1">
      <c r="A1009" s="588" t="s">
        <v>1467</v>
      </c>
      <c r="B1009" s="522" t="s">
        <v>436</v>
      </c>
      <c r="C1009" s="522" t="s">
        <v>396</v>
      </c>
      <c r="D1009" s="522" t="s">
        <v>1019</v>
      </c>
      <c r="E1009" s="530">
        <v>921</v>
      </c>
      <c r="F1009" s="531">
        <v>179487</v>
      </c>
      <c r="G1009" s="531">
        <v>30512.54</v>
      </c>
      <c r="O1009" s="997"/>
    </row>
    <row r="1010" spans="1:15" ht="12" thickBot="1">
      <c r="A1010" s="588" t="s">
        <v>1467</v>
      </c>
      <c r="B1010" s="522" t="s">
        <v>436</v>
      </c>
      <c r="C1010" s="522" t="s">
        <v>415</v>
      </c>
      <c r="D1010" s="522" t="s">
        <v>1020</v>
      </c>
      <c r="E1010" s="530">
        <v>10683</v>
      </c>
      <c r="F1010" s="531">
        <v>531301</v>
      </c>
      <c r="G1010" s="531">
        <v>96146.07</v>
      </c>
      <c r="O1010" s="997"/>
    </row>
    <row r="1011" spans="1:15" ht="12" thickBot="1">
      <c r="A1011" s="588" t="s">
        <v>1467</v>
      </c>
      <c r="B1011" s="522" t="s">
        <v>436</v>
      </c>
      <c r="C1011" s="522" t="s">
        <v>365</v>
      </c>
      <c r="D1011" s="522" t="s">
        <v>1021</v>
      </c>
      <c r="E1011" s="530">
        <v>6293</v>
      </c>
      <c r="F1011" s="531">
        <v>648734</v>
      </c>
      <c r="G1011" s="531">
        <v>85841.89</v>
      </c>
      <c r="O1011" s="997"/>
    </row>
    <row r="1012" spans="1:15" ht="12" thickBot="1">
      <c r="A1012" s="588" t="s">
        <v>1467</v>
      </c>
      <c r="B1012" s="522" t="s">
        <v>436</v>
      </c>
      <c r="C1012" s="522" t="s">
        <v>397</v>
      </c>
      <c r="D1012" s="522" t="s">
        <v>1022</v>
      </c>
      <c r="E1012" s="530">
        <v>7993</v>
      </c>
      <c r="F1012" s="531">
        <v>1597092</v>
      </c>
      <c r="G1012" s="531">
        <v>155534.59</v>
      </c>
      <c r="O1012" s="997"/>
    </row>
    <row r="1013" spans="1:15" ht="12" thickBot="1">
      <c r="A1013" s="588" t="s">
        <v>1467</v>
      </c>
      <c r="B1013" s="522" t="s">
        <v>436</v>
      </c>
      <c r="C1013" s="522" t="s">
        <v>337</v>
      </c>
      <c r="D1013" s="522" t="s">
        <v>1023</v>
      </c>
      <c r="E1013" s="530">
        <v>56</v>
      </c>
      <c r="F1013" s="531">
        <v>3637</v>
      </c>
      <c r="G1013" s="531">
        <v>863.04</v>
      </c>
      <c r="O1013" s="997"/>
    </row>
    <row r="1014" spans="1:15" ht="12" thickBot="1">
      <c r="A1014" s="588" t="s">
        <v>1467</v>
      </c>
      <c r="B1014" s="522" t="s">
        <v>436</v>
      </c>
      <c r="C1014" s="522" t="s">
        <v>369</v>
      </c>
      <c r="D1014" s="522" t="s">
        <v>1024</v>
      </c>
      <c r="E1014" s="524">
        <v>286</v>
      </c>
      <c r="F1014" s="525">
        <v>43032</v>
      </c>
      <c r="G1014" s="525">
        <v>6266.32</v>
      </c>
      <c r="O1014" s="997"/>
    </row>
    <row r="1015" spans="1:15" ht="12" thickBot="1">
      <c r="A1015" s="588" t="s">
        <v>1467</v>
      </c>
      <c r="B1015" s="522" t="s">
        <v>436</v>
      </c>
      <c r="C1015" s="522" t="s">
        <v>715</v>
      </c>
      <c r="D1015" s="522" t="s">
        <v>1025</v>
      </c>
      <c r="E1015" s="530">
        <v>2</v>
      </c>
      <c r="F1015" s="531">
        <v>66</v>
      </c>
      <c r="G1015" s="531">
        <v>29.96</v>
      </c>
      <c r="O1015" s="997"/>
    </row>
    <row r="1016" spans="1:15" ht="12" thickBot="1">
      <c r="A1016" s="588" t="s">
        <v>1467</v>
      </c>
      <c r="B1016" s="522" t="s">
        <v>436</v>
      </c>
      <c r="C1016" s="522" t="s">
        <v>332</v>
      </c>
      <c r="D1016" s="522" t="s">
        <v>1026</v>
      </c>
      <c r="E1016" s="524">
        <v>45</v>
      </c>
      <c r="F1016" s="525">
        <v>20848</v>
      </c>
      <c r="G1016" s="525">
        <v>2075.52</v>
      </c>
      <c r="O1016" s="997"/>
    </row>
    <row r="1017" spans="1:15" ht="12" thickBot="1">
      <c r="A1017" s="588" t="s">
        <v>1467</v>
      </c>
      <c r="B1017" s="522" t="s">
        <v>436</v>
      </c>
      <c r="C1017" s="522" t="s">
        <v>334</v>
      </c>
      <c r="D1017" s="522" t="s">
        <v>1027</v>
      </c>
      <c r="E1017" s="530">
        <v>174</v>
      </c>
      <c r="F1017" s="531">
        <v>10644</v>
      </c>
      <c r="G1017" s="531">
        <v>4942.0600000000004</v>
      </c>
      <c r="O1017" s="997"/>
    </row>
    <row r="1018" spans="1:15" ht="12" thickBot="1">
      <c r="A1018" s="588" t="s">
        <v>1467</v>
      </c>
      <c r="B1018" s="522" t="s">
        <v>436</v>
      </c>
      <c r="C1018" s="522" t="s">
        <v>366</v>
      </c>
      <c r="D1018" s="522" t="s">
        <v>1028</v>
      </c>
      <c r="E1018" s="524">
        <v>594</v>
      </c>
      <c r="F1018" s="525">
        <v>88175</v>
      </c>
      <c r="G1018" s="525">
        <v>20680.490000000002</v>
      </c>
      <c r="O1018" s="997"/>
    </row>
    <row r="1019" spans="1:15" ht="12" thickBot="1">
      <c r="A1019" s="588" t="s">
        <v>1467</v>
      </c>
      <c r="B1019" s="522" t="s">
        <v>436</v>
      </c>
      <c r="C1019" s="522" t="s">
        <v>329</v>
      </c>
      <c r="D1019" s="522" t="s">
        <v>1029</v>
      </c>
      <c r="E1019" s="530">
        <v>168</v>
      </c>
      <c r="F1019" s="531">
        <v>76296</v>
      </c>
      <c r="G1019" s="531">
        <v>9869.65</v>
      </c>
    </row>
    <row r="1020" spans="1:15" ht="12" thickBot="1">
      <c r="A1020" s="588" t="s">
        <v>1467</v>
      </c>
      <c r="B1020" s="522" t="s">
        <v>436</v>
      </c>
      <c r="C1020" s="522" t="s">
        <v>683</v>
      </c>
      <c r="D1020" s="522" t="s">
        <v>1047</v>
      </c>
      <c r="E1020" s="524">
        <v>8</v>
      </c>
      <c r="F1020" s="525">
        <v>376</v>
      </c>
      <c r="G1020" s="525">
        <v>120.32</v>
      </c>
    </row>
    <row r="1021" spans="1:15" ht="12" thickBot="1">
      <c r="A1021" s="588" t="s">
        <v>1467</v>
      </c>
      <c r="B1021" s="522" t="s">
        <v>436</v>
      </c>
      <c r="C1021" s="522" t="s">
        <v>463</v>
      </c>
      <c r="D1021" s="522" t="s">
        <v>1030</v>
      </c>
      <c r="E1021" s="530">
        <v>20</v>
      </c>
      <c r="F1021" s="531">
        <v>2099</v>
      </c>
      <c r="G1021" s="531">
        <v>361.2</v>
      </c>
    </row>
    <row r="1022" spans="1:15" ht="12" thickBot="1">
      <c r="A1022" s="588" t="s">
        <v>1467</v>
      </c>
      <c r="B1022" s="522" t="s">
        <v>436</v>
      </c>
      <c r="C1022" s="522" t="s">
        <v>653</v>
      </c>
      <c r="D1022" s="522" t="s">
        <v>1031</v>
      </c>
      <c r="E1022" s="524">
        <v>23</v>
      </c>
      <c r="F1022" s="525">
        <v>4487</v>
      </c>
      <c r="G1022" s="525">
        <v>498.72</v>
      </c>
    </row>
    <row r="1023" spans="1:15" ht="12" thickBot="1">
      <c r="A1023" s="522"/>
      <c r="B1023" s="522"/>
      <c r="C1023" s="522"/>
      <c r="D1023" s="522"/>
      <c r="E1023" s="524"/>
      <c r="F1023" s="525"/>
      <c r="G1023" s="525"/>
    </row>
    <row r="1284" ht="12.75" customHeight="1"/>
  </sheetData>
  <autoFilter ref="L856:L1022"/>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filterMode="1">
    <pageSetUpPr fitToPage="1"/>
  </sheetPr>
  <dimension ref="A1:CC1733"/>
  <sheetViews>
    <sheetView workbookViewId="0"/>
  </sheetViews>
  <sheetFormatPr defaultRowHeight="11.25"/>
  <cols>
    <col min="1" max="1" width="11" style="529" customWidth="1"/>
    <col min="2" max="2" width="10" style="529" customWidth="1"/>
    <col min="3" max="3" width="38.5" style="529" bestFit="1" customWidth="1"/>
    <col min="4" max="4" width="9.6640625" style="529" customWidth="1"/>
    <col min="5" max="5" width="16.6640625" style="529" bestFit="1" customWidth="1"/>
    <col min="6" max="6" width="15.33203125" style="529" customWidth="1"/>
    <col min="7" max="7" width="15.83203125" style="529" bestFit="1" customWidth="1"/>
    <col min="8" max="8" width="15.5" style="529" customWidth="1"/>
    <col min="9" max="9" width="13" style="529" customWidth="1"/>
    <col min="10" max="11" width="15.5" style="529" customWidth="1"/>
    <col min="12" max="12" width="14.1640625" style="529" customWidth="1"/>
    <col min="13" max="13" width="15.5" style="529" customWidth="1"/>
    <col min="14" max="15" width="14.83203125" style="529" customWidth="1"/>
    <col min="16" max="16" width="11.1640625" style="529" customWidth="1"/>
    <col min="17" max="17" width="3" style="529" customWidth="1"/>
    <col min="18" max="18" width="16.6640625" style="529" bestFit="1" customWidth="1"/>
    <col min="19" max="19" width="15" style="529" bestFit="1" customWidth="1"/>
    <col min="20" max="20" width="14.5" style="327" bestFit="1" customWidth="1"/>
    <col min="21" max="21" width="17.83203125" style="529" customWidth="1"/>
    <col min="22" max="22" width="9.33203125" style="529"/>
    <col min="23" max="23" width="16.5" style="529" bestFit="1" customWidth="1"/>
    <col min="24" max="24" width="15.6640625" style="529" bestFit="1" customWidth="1"/>
    <col min="25" max="25" width="9.33203125" style="529"/>
    <col min="26" max="26" width="15.83203125" style="529" bestFit="1" customWidth="1"/>
    <col min="27" max="27" width="18.1640625" style="529" customWidth="1"/>
    <col min="28" max="28" width="38.5" style="529" bestFit="1" customWidth="1"/>
    <col min="29" max="29" width="18" style="529" bestFit="1" customWidth="1"/>
    <col min="30" max="30" width="16" style="529" bestFit="1" customWidth="1"/>
    <col min="31" max="31" width="20.5" style="529" bestFit="1" customWidth="1"/>
    <col min="32" max="32" width="19.5" style="529" bestFit="1" customWidth="1"/>
    <col min="33" max="33" width="16.83203125" style="529" bestFit="1" customWidth="1"/>
    <col min="34" max="34" width="17" style="529" bestFit="1" customWidth="1"/>
    <col min="35" max="35" width="12.6640625" style="529" bestFit="1" customWidth="1"/>
    <col min="36" max="36" width="14.6640625" style="529" bestFit="1" customWidth="1"/>
    <col min="37" max="37" width="11.6640625" style="529" bestFit="1" customWidth="1"/>
    <col min="38" max="38" width="10.83203125" style="529" bestFit="1" customWidth="1"/>
    <col min="39" max="39" width="11.6640625" style="529" bestFit="1" customWidth="1"/>
    <col min="40" max="40" width="13.33203125" style="529" bestFit="1" customWidth="1"/>
    <col min="41" max="41" width="22" style="529" bestFit="1" customWidth="1"/>
    <col min="42" max="42" width="5.33203125" style="529" bestFit="1" customWidth="1"/>
    <col min="43" max="43" width="17.1640625" style="529" bestFit="1" customWidth="1"/>
    <col min="44" max="49" width="9.33203125" style="529"/>
    <col min="50" max="50" width="13.1640625" style="529" bestFit="1" customWidth="1"/>
    <col min="51" max="51" width="14.33203125" style="529" bestFit="1" customWidth="1"/>
    <col min="52" max="52" width="13.1640625" style="529" bestFit="1" customWidth="1"/>
    <col min="53" max="54" width="14.33203125" style="529" bestFit="1" customWidth="1"/>
    <col min="55" max="55" width="13.1640625" style="529" bestFit="1" customWidth="1"/>
    <col min="56" max="57" width="14.33203125" style="529" bestFit="1" customWidth="1"/>
    <col min="58" max="58" width="9.33203125" style="529"/>
    <col min="59" max="59" width="13.1640625" style="529" bestFit="1" customWidth="1"/>
    <col min="60" max="60" width="12.33203125" style="529" bestFit="1" customWidth="1"/>
    <col min="61" max="61" width="13.1640625" style="529" bestFit="1" customWidth="1"/>
    <col min="62" max="64" width="9.6640625" style="529" bestFit="1" customWidth="1"/>
    <col min="65" max="71" width="9.33203125" style="529"/>
    <col min="72" max="72" width="15.33203125" style="529" bestFit="1" customWidth="1"/>
    <col min="73" max="16384" width="9.33203125" style="529"/>
  </cols>
  <sheetData>
    <row r="1" spans="1:81" s="58" customFormat="1" ht="12" thickBot="1">
      <c r="A1" s="56"/>
      <c r="B1" s="57"/>
      <c r="C1" s="57"/>
      <c r="D1" s="511"/>
      <c r="E1" s="512" t="s">
        <v>7</v>
      </c>
      <c r="F1" s="512" t="s">
        <v>746</v>
      </c>
      <c r="G1" s="512" t="s">
        <v>937</v>
      </c>
      <c r="H1" s="512" t="s">
        <v>940</v>
      </c>
      <c r="I1" s="512" t="s">
        <v>938</v>
      </c>
      <c r="J1" s="512" t="s">
        <v>939</v>
      </c>
      <c r="K1" s="512" t="s">
        <v>936</v>
      </c>
      <c r="L1" s="512" t="s">
        <v>61</v>
      </c>
      <c r="M1" s="512" t="s">
        <v>62</v>
      </c>
      <c r="N1" s="512" t="s">
        <v>63</v>
      </c>
      <c r="O1" s="512" t="s">
        <v>935</v>
      </c>
      <c r="P1" s="512" t="s">
        <v>454</v>
      </c>
      <c r="Q1" s="512" t="s">
        <v>453</v>
      </c>
      <c r="R1" s="512" t="s">
        <v>941</v>
      </c>
      <c r="S1" s="511" t="s">
        <v>1037</v>
      </c>
      <c r="T1" s="513" t="s">
        <v>452</v>
      </c>
      <c r="U1" s="511" t="s">
        <v>817</v>
      </c>
      <c r="Z1" s="56"/>
      <c r="AA1" s="57"/>
      <c r="AB1" s="57"/>
      <c r="AC1" s="511"/>
      <c r="AD1" s="511" t="s">
        <v>60</v>
      </c>
      <c r="AE1" s="511" t="s">
        <v>451</v>
      </c>
      <c r="AF1" s="511" t="s">
        <v>1033</v>
      </c>
      <c r="AG1" s="511" t="s">
        <v>940</v>
      </c>
      <c r="AH1" s="511" t="s">
        <v>1034</v>
      </c>
      <c r="AI1" s="511" t="s">
        <v>939</v>
      </c>
      <c r="AJ1" s="511" t="s">
        <v>146</v>
      </c>
      <c r="AK1" s="511" t="s">
        <v>61</v>
      </c>
      <c r="AL1" s="511" t="s">
        <v>62</v>
      </c>
      <c r="AM1" s="511" t="s">
        <v>63</v>
      </c>
      <c r="AN1" s="511" t="s">
        <v>935</v>
      </c>
      <c r="AO1" s="511" t="s">
        <v>454</v>
      </c>
      <c r="AP1" s="511" t="s">
        <v>453</v>
      </c>
      <c r="AQ1" s="514" t="s">
        <v>941</v>
      </c>
      <c r="AR1" s="511" t="s">
        <v>1037</v>
      </c>
      <c r="AS1" s="511" t="s">
        <v>452</v>
      </c>
      <c r="AT1" s="511" t="s">
        <v>817</v>
      </c>
    </row>
    <row r="2" spans="1:81" s="58" customFormat="1" ht="12" thickBot="1">
      <c r="A2" s="515" t="s">
        <v>1032</v>
      </c>
      <c r="B2" s="516" t="s">
        <v>6</v>
      </c>
      <c r="C2" s="516" t="s">
        <v>455</v>
      </c>
      <c r="D2" s="517" t="s">
        <v>456</v>
      </c>
      <c r="E2" s="518" t="s">
        <v>7</v>
      </c>
      <c r="F2" s="518" t="s">
        <v>8</v>
      </c>
      <c r="G2" s="518" t="s">
        <v>8</v>
      </c>
      <c r="H2" s="518" t="s">
        <v>8</v>
      </c>
      <c r="I2" s="518" t="s">
        <v>8</v>
      </c>
      <c r="J2" s="518" t="s">
        <v>8</v>
      </c>
      <c r="K2" s="518" t="s">
        <v>8</v>
      </c>
      <c r="L2" s="518" t="s">
        <v>8</v>
      </c>
      <c r="M2" s="518" t="s">
        <v>8</v>
      </c>
      <c r="N2" s="518" t="s">
        <v>8</v>
      </c>
      <c r="O2" s="518" t="s">
        <v>8</v>
      </c>
      <c r="P2" s="518" t="s">
        <v>8</v>
      </c>
      <c r="Q2" s="518" t="s">
        <v>8</v>
      </c>
      <c r="R2" s="518" t="s">
        <v>8</v>
      </c>
      <c r="S2" s="519" t="s">
        <v>8</v>
      </c>
      <c r="T2" s="520" t="s">
        <v>8</v>
      </c>
      <c r="U2" s="519" t="s">
        <v>8</v>
      </c>
      <c r="Z2" s="515" t="s">
        <v>1528</v>
      </c>
      <c r="AA2" s="516" t="s">
        <v>6</v>
      </c>
      <c r="AB2" s="516" t="s">
        <v>455</v>
      </c>
      <c r="AC2" s="517" t="s">
        <v>456</v>
      </c>
      <c r="AD2" s="519" t="s">
        <v>7</v>
      </c>
      <c r="AE2" s="519" t="s">
        <v>8</v>
      </c>
      <c r="AF2" s="519" t="s">
        <v>8</v>
      </c>
      <c r="AG2" s="519"/>
      <c r="AH2" s="519"/>
      <c r="AI2" s="519"/>
      <c r="AJ2" s="519"/>
      <c r="AK2" s="519" t="s">
        <v>8</v>
      </c>
      <c r="AL2" s="519" t="s">
        <v>8</v>
      </c>
      <c r="AM2" s="519" t="s">
        <v>8</v>
      </c>
      <c r="AN2" s="519"/>
      <c r="AO2" s="519" t="s">
        <v>8</v>
      </c>
      <c r="AP2" s="519" t="s">
        <v>8</v>
      </c>
      <c r="AQ2" s="521" t="s">
        <v>8</v>
      </c>
      <c r="AR2" s="519" t="s">
        <v>8</v>
      </c>
      <c r="AS2" s="519" t="s">
        <v>8</v>
      </c>
      <c r="AT2" s="519" t="s">
        <v>8</v>
      </c>
    </row>
    <row r="3" spans="1:81" ht="12" hidden="1" thickBot="1">
      <c r="A3" s="588" t="s">
        <v>1468</v>
      </c>
      <c r="B3" s="522" t="s">
        <v>440</v>
      </c>
      <c r="C3" s="522" t="s">
        <v>460</v>
      </c>
      <c r="D3" s="523" t="s">
        <v>760</v>
      </c>
      <c r="E3" s="960"/>
      <c r="F3" s="961"/>
      <c r="G3" s="961"/>
      <c r="H3" s="962"/>
      <c r="I3" s="962"/>
      <c r="J3" s="962"/>
      <c r="K3" s="962"/>
      <c r="L3" s="962"/>
      <c r="M3" s="962"/>
      <c r="N3" s="962"/>
      <c r="O3" s="962"/>
      <c r="P3" s="962"/>
      <c r="Q3" s="962"/>
      <c r="R3" s="961"/>
      <c r="S3" s="527">
        <f t="shared" ref="S3:S24" si="0">G3+H3+I3</f>
        <v>0</v>
      </c>
      <c r="T3" s="528">
        <f t="shared" ref="T3:T24" si="1">J3+K3</f>
        <v>0</v>
      </c>
      <c r="U3" s="527">
        <f t="shared" ref="U3:U24" si="2">N3+O3</f>
        <v>0</v>
      </c>
      <c r="W3" s="326">
        <f t="shared" ref="W3:W68" si="3">SUM(F3:Q3)</f>
        <v>0</v>
      </c>
      <c r="X3" s="261">
        <f t="shared" ref="X3:X68" si="4">W3-R3</f>
        <v>0</v>
      </c>
      <c r="Y3" s="58"/>
      <c r="Z3" s="1016">
        <f>SUM(F3:K3)</f>
        <v>0</v>
      </c>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row>
    <row r="4" spans="1:81" ht="12" hidden="1" thickBot="1">
      <c r="A4" s="588" t="s">
        <v>1468</v>
      </c>
      <c r="B4" s="522" t="s">
        <v>441</v>
      </c>
      <c r="C4" s="522" t="s">
        <v>461</v>
      </c>
      <c r="D4" s="523" t="s">
        <v>760</v>
      </c>
      <c r="E4" s="960"/>
      <c r="F4" s="961"/>
      <c r="G4" s="961"/>
      <c r="H4" s="962"/>
      <c r="I4" s="962"/>
      <c r="J4" s="962"/>
      <c r="K4" s="962"/>
      <c r="L4" s="962"/>
      <c r="M4" s="962"/>
      <c r="N4" s="962"/>
      <c r="O4" s="962"/>
      <c r="P4" s="962"/>
      <c r="Q4" s="962"/>
      <c r="R4" s="961"/>
      <c r="S4" s="527">
        <f t="shared" si="0"/>
        <v>0</v>
      </c>
      <c r="T4" s="528">
        <f t="shared" si="1"/>
        <v>0</v>
      </c>
      <c r="U4" s="527">
        <f t="shared" si="2"/>
        <v>0</v>
      </c>
      <c r="W4" s="326">
        <f t="shared" si="3"/>
        <v>0</v>
      </c>
      <c r="X4" s="261">
        <f t="shared" si="4"/>
        <v>0</v>
      </c>
      <c r="Y4" s="58"/>
      <c r="Z4" s="1016">
        <f t="shared" ref="Z4:Z67" si="5">SUM(F4:K4)</f>
        <v>0</v>
      </c>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row>
    <row r="5" spans="1:81" ht="12" hidden="1" thickBot="1">
      <c r="A5" s="588" t="s">
        <v>1468</v>
      </c>
      <c r="B5" s="522" t="s">
        <v>449</v>
      </c>
      <c r="C5" s="522" t="s">
        <v>448</v>
      </c>
      <c r="D5" s="533" t="s">
        <v>1051</v>
      </c>
      <c r="E5" s="960"/>
      <c r="F5" s="962"/>
      <c r="G5" s="961"/>
      <c r="H5" s="962"/>
      <c r="I5" s="962"/>
      <c r="J5" s="962"/>
      <c r="K5" s="962"/>
      <c r="L5" s="962"/>
      <c r="M5" s="962"/>
      <c r="N5" s="962"/>
      <c r="O5" s="962"/>
      <c r="P5" s="962"/>
      <c r="Q5" s="962"/>
      <c r="R5" s="961"/>
      <c r="S5" s="527">
        <f t="shared" si="0"/>
        <v>0</v>
      </c>
      <c r="T5" s="528">
        <f t="shared" si="1"/>
        <v>0</v>
      </c>
      <c r="U5" s="527">
        <f t="shared" si="2"/>
        <v>0</v>
      </c>
      <c r="W5" s="326">
        <f t="shared" si="3"/>
        <v>0</v>
      </c>
      <c r="X5" s="261">
        <f t="shared" si="4"/>
        <v>0</v>
      </c>
      <c r="Y5" s="58"/>
      <c r="Z5" s="1016">
        <f t="shared" si="5"/>
        <v>0</v>
      </c>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row>
    <row r="6" spans="1:81" ht="12" hidden="1" thickBot="1">
      <c r="A6" s="588" t="s">
        <v>1468</v>
      </c>
      <c r="B6" s="522" t="s">
        <v>447</v>
      </c>
      <c r="C6" s="522" t="s">
        <v>446</v>
      </c>
      <c r="D6" s="534" t="s">
        <v>1051</v>
      </c>
      <c r="E6" s="960"/>
      <c r="F6" s="962"/>
      <c r="G6" s="961"/>
      <c r="H6" s="962"/>
      <c r="I6" s="962"/>
      <c r="J6" s="962"/>
      <c r="K6" s="962"/>
      <c r="L6" s="962"/>
      <c r="M6" s="962"/>
      <c r="N6" s="962"/>
      <c r="O6" s="962"/>
      <c r="P6" s="962"/>
      <c r="Q6" s="962"/>
      <c r="R6" s="961"/>
      <c r="S6" s="527">
        <f t="shared" si="0"/>
        <v>0</v>
      </c>
      <c r="T6" s="528">
        <f t="shared" si="1"/>
        <v>0</v>
      </c>
      <c r="U6" s="527">
        <f t="shared" si="2"/>
        <v>0</v>
      </c>
      <c r="W6" s="326">
        <f t="shared" si="3"/>
        <v>0</v>
      </c>
      <c r="X6" s="261">
        <f t="shared" si="4"/>
        <v>0</v>
      </c>
      <c r="Y6" s="58"/>
      <c r="Z6" s="1016">
        <f t="shared" si="5"/>
        <v>0</v>
      </c>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row>
    <row r="7" spans="1:81" ht="12" hidden="1" thickBot="1">
      <c r="A7" s="588" t="s">
        <v>1468</v>
      </c>
      <c r="B7" s="522" t="s">
        <v>942</v>
      </c>
      <c r="C7" s="522" t="s">
        <v>943</v>
      </c>
      <c r="D7" s="534" t="s">
        <v>1042</v>
      </c>
      <c r="E7" s="962"/>
      <c r="F7" s="962"/>
      <c r="G7" s="962"/>
      <c r="H7" s="962"/>
      <c r="I7" s="962"/>
      <c r="J7" s="962"/>
      <c r="K7" s="962"/>
      <c r="L7" s="962"/>
      <c r="M7" s="962"/>
      <c r="N7" s="962"/>
      <c r="O7" s="962"/>
      <c r="P7" s="962"/>
      <c r="Q7" s="962"/>
      <c r="R7" s="962"/>
      <c r="S7" s="527">
        <f t="shared" si="0"/>
        <v>0</v>
      </c>
      <c r="T7" s="528">
        <f t="shared" si="1"/>
        <v>0</v>
      </c>
      <c r="U7" s="527">
        <f t="shared" si="2"/>
        <v>0</v>
      </c>
      <c r="W7" s="326">
        <f t="shared" si="3"/>
        <v>0</v>
      </c>
      <c r="X7" s="261">
        <f t="shared" si="4"/>
        <v>0</v>
      </c>
      <c r="Y7" s="58"/>
      <c r="Z7" s="1016">
        <f t="shared" si="5"/>
        <v>0</v>
      </c>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row>
    <row r="8" spans="1:81" ht="12" hidden="1" thickBot="1">
      <c r="A8" s="588" t="s">
        <v>1468</v>
      </c>
      <c r="B8" s="522" t="s">
        <v>168</v>
      </c>
      <c r="C8" s="522" t="s">
        <v>58</v>
      </c>
      <c r="D8" s="534" t="s">
        <v>19</v>
      </c>
      <c r="E8" s="960">
        <v>137626552</v>
      </c>
      <c r="F8" s="961">
        <v>24000</v>
      </c>
      <c r="G8" s="961">
        <v>1021189</v>
      </c>
      <c r="H8" s="961">
        <v>3980160</v>
      </c>
      <c r="I8" s="962"/>
      <c r="J8" s="961">
        <v>211597</v>
      </c>
      <c r="K8" s="961">
        <v>2162564</v>
      </c>
      <c r="L8" s="961">
        <v>0</v>
      </c>
      <c r="M8" s="961">
        <v>355465</v>
      </c>
      <c r="N8" s="961"/>
      <c r="O8" s="961">
        <v>421992</v>
      </c>
      <c r="P8" s="962"/>
      <c r="Q8" s="962"/>
      <c r="R8" s="961">
        <v>8176967</v>
      </c>
      <c r="S8" s="527">
        <f t="shared" si="0"/>
        <v>5001349</v>
      </c>
      <c r="T8" s="528">
        <f t="shared" si="1"/>
        <v>2374161</v>
      </c>
      <c r="U8" s="527">
        <f t="shared" si="2"/>
        <v>421992</v>
      </c>
      <c r="W8" s="326">
        <f t="shared" si="3"/>
        <v>8176967</v>
      </c>
      <c r="X8" s="261">
        <f t="shared" si="4"/>
        <v>0</v>
      </c>
      <c r="Y8" s="58"/>
      <c r="Z8" s="1016">
        <f t="shared" si="5"/>
        <v>7399510</v>
      </c>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row>
    <row r="9" spans="1:81" ht="12" hidden="1" thickBot="1">
      <c r="A9" s="588" t="s">
        <v>1468</v>
      </c>
      <c r="B9" s="522" t="s">
        <v>169</v>
      </c>
      <c r="C9" s="522" t="s">
        <v>196</v>
      </c>
      <c r="D9" s="523" t="s">
        <v>26</v>
      </c>
      <c r="E9" s="960">
        <v>18555214</v>
      </c>
      <c r="F9" s="961">
        <v>36210</v>
      </c>
      <c r="G9" s="961">
        <v>124320</v>
      </c>
      <c r="H9" s="961">
        <v>536617</v>
      </c>
      <c r="I9" s="962"/>
      <c r="J9" s="961">
        <v>57759</v>
      </c>
      <c r="K9" s="961">
        <v>647115</v>
      </c>
      <c r="L9" s="961">
        <v>19333</v>
      </c>
      <c r="M9" s="961">
        <v>47925</v>
      </c>
      <c r="N9" s="961"/>
      <c r="O9" s="961">
        <v>56894</v>
      </c>
      <c r="P9" s="962"/>
      <c r="Q9" s="962"/>
      <c r="R9" s="961">
        <v>1526173</v>
      </c>
      <c r="S9" s="527">
        <f t="shared" si="0"/>
        <v>660937</v>
      </c>
      <c r="T9" s="528">
        <f t="shared" si="1"/>
        <v>704874</v>
      </c>
      <c r="U9" s="527">
        <f t="shared" si="2"/>
        <v>56894</v>
      </c>
      <c r="W9" s="326">
        <f t="shared" si="3"/>
        <v>1526173</v>
      </c>
      <c r="X9" s="261">
        <f t="shared" si="4"/>
        <v>0</v>
      </c>
      <c r="Y9" s="58"/>
      <c r="Z9" s="1016">
        <f t="shared" si="5"/>
        <v>1402021</v>
      </c>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row>
    <row r="10" spans="1:81" ht="12" hidden="1" thickBot="1">
      <c r="A10" s="588" t="s">
        <v>1468</v>
      </c>
      <c r="B10" s="522" t="s">
        <v>170</v>
      </c>
      <c r="C10" s="522" t="s">
        <v>197</v>
      </c>
      <c r="D10" s="523" t="s">
        <v>25</v>
      </c>
      <c r="E10" s="960">
        <v>185457207</v>
      </c>
      <c r="F10" s="961">
        <v>430650</v>
      </c>
      <c r="G10" s="961">
        <v>1246272</v>
      </c>
      <c r="H10" s="961">
        <v>5363422</v>
      </c>
      <c r="I10" s="962"/>
      <c r="J10" s="961">
        <v>649707</v>
      </c>
      <c r="K10" s="961">
        <v>7291151</v>
      </c>
      <c r="L10" s="961">
        <v>193234</v>
      </c>
      <c r="M10" s="961">
        <v>479004</v>
      </c>
      <c r="N10" s="961"/>
      <c r="O10" s="961">
        <v>568651</v>
      </c>
      <c r="P10" s="962"/>
      <c r="Q10" s="961"/>
      <c r="R10" s="961">
        <v>16222091</v>
      </c>
      <c r="S10" s="527">
        <f t="shared" si="0"/>
        <v>6609694</v>
      </c>
      <c r="T10" s="528">
        <f t="shared" si="1"/>
        <v>7940858</v>
      </c>
      <c r="U10" s="527">
        <f t="shared" si="2"/>
        <v>568651</v>
      </c>
      <c r="W10" s="326">
        <f t="shared" si="3"/>
        <v>16222091</v>
      </c>
      <c r="X10" s="261">
        <f t="shared" si="4"/>
        <v>0</v>
      </c>
      <c r="Y10" s="58"/>
      <c r="Z10" s="1016">
        <f t="shared" si="5"/>
        <v>14981202</v>
      </c>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row>
    <row r="11" spans="1:81" ht="12" hidden="1" thickBot="1">
      <c r="A11" s="588" t="s">
        <v>1468</v>
      </c>
      <c r="B11" s="522" t="s">
        <v>171</v>
      </c>
      <c r="C11" s="522" t="s">
        <v>198</v>
      </c>
      <c r="D11" s="535" t="s">
        <v>221</v>
      </c>
      <c r="E11" s="960">
        <v>240245651</v>
      </c>
      <c r="F11" s="961">
        <v>15600</v>
      </c>
      <c r="G11" s="961">
        <v>2097345</v>
      </c>
      <c r="H11" s="961">
        <v>6947904</v>
      </c>
      <c r="I11" s="962"/>
      <c r="J11" s="961">
        <v>363446</v>
      </c>
      <c r="K11" s="961">
        <v>3654193</v>
      </c>
      <c r="L11" s="961">
        <v>250320</v>
      </c>
      <c r="M11" s="961">
        <v>620513</v>
      </c>
      <c r="N11" s="961"/>
      <c r="O11" s="961">
        <v>736644</v>
      </c>
      <c r="P11" s="962"/>
      <c r="Q11" s="962"/>
      <c r="R11" s="961">
        <v>14685964</v>
      </c>
      <c r="S11" s="527">
        <f t="shared" si="0"/>
        <v>9045249</v>
      </c>
      <c r="T11" s="528">
        <f t="shared" si="1"/>
        <v>4017639</v>
      </c>
      <c r="U11" s="527">
        <f t="shared" si="2"/>
        <v>736644</v>
      </c>
      <c r="W11" s="326">
        <f t="shared" si="3"/>
        <v>14685965</v>
      </c>
      <c r="X11" s="261">
        <f t="shared" si="4"/>
        <v>1</v>
      </c>
      <c r="Y11" s="58"/>
      <c r="Z11" s="1016">
        <f t="shared" si="5"/>
        <v>13078488</v>
      </c>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row>
    <row r="12" spans="1:81" ht="12" hidden="1" thickBot="1">
      <c r="A12" s="588" t="s">
        <v>1468</v>
      </c>
      <c r="B12" s="522" t="s">
        <v>172</v>
      </c>
      <c r="C12" s="522" t="s">
        <v>199</v>
      </c>
      <c r="D12" s="535" t="s">
        <v>26</v>
      </c>
      <c r="E12" s="960"/>
      <c r="F12" s="961"/>
      <c r="G12" s="961"/>
      <c r="H12" s="961"/>
      <c r="I12" s="962"/>
      <c r="J12" s="961"/>
      <c r="K12" s="961"/>
      <c r="L12" s="961"/>
      <c r="M12" s="961"/>
      <c r="N12" s="961"/>
      <c r="O12" s="961"/>
      <c r="P12" s="962"/>
      <c r="Q12" s="962"/>
      <c r="R12" s="961"/>
      <c r="S12" s="527">
        <f t="shared" si="0"/>
        <v>0</v>
      </c>
      <c r="T12" s="528">
        <f t="shared" si="1"/>
        <v>0</v>
      </c>
      <c r="U12" s="527">
        <f t="shared" si="2"/>
        <v>0</v>
      </c>
      <c r="W12" s="326">
        <f t="shared" si="3"/>
        <v>0</v>
      </c>
      <c r="X12" s="261">
        <f t="shared" si="4"/>
        <v>0</v>
      </c>
      <c r="Y12" s="58"/>
      <c r="Z12" s="1016">
        <f t="shared" si="5"/>
        <v>0</v>
      </c>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row>
    <row r="13" spans="1:81" ht="12" hidden="1" thickBot="1">
      <c r="A13" s="588" t="s">
        <v>1468</v>
      </c>
      <c r="B13" s="522" t="s">
        <v>173</v>
      </c>
      <c r="C13" s="522" t="s">
        <v>200</v>
      </c>
      <c r="D13" s="535" t="s">
        <v>25</v>
      </c>
      <c r="E13" s="960"/>
      <c r="F13" s="961"/>
      <c r="G13" s="961"/>
      <c r="H13" s="961"/>
      <c r="I13" s="962"/>
      <c r="J13" s="961"/>
      <c r="K13" s="961"/>
      <c r="L13" s="961"/>
      <c r="M13" s="961"/>
      <c r="N13" s="961"/>
      <c r="O13" s="961"/>
      <c r="P13" s="962"/>
      <c r="Q13" s="962"/>
      <c r="R13" s="961"/>
      <c r="S13" s="527">
        <f t="shared" si="0"/>
        <v>0</v>
      </c>
      <c r="T13" s="528">
        <f t="shared" si="1"/>
        <v>0</v>
      </c>
      <c r="U13" s="527">
        <f t="shared" si="2"/>
        <v>0</v>
      </c>
      <c r="W13" s="326">
        <f t="shared" si="3"/>
        <v>0</v>
      </c>
      <c r="X13" s="261">
        <f t="shared" si="4"/>
        <v>0</v>
      </c>
      <c r="Y13" s="58"/>
      <c r="Z13" s="1016">
        <f t="shared" si="5"/>
        <v>0</v>
      </c>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row>
    <row r="14" spans="1:81" ht="12" hidden="1" thickBot="1">
      <c r="A14" s="588" t="s">
        <v>1468</v>
      </c>
      <c r="B14" s="522" t="s">
        <v>174</v>
      </c>
      <c r="C14" s="522" t="s">
        <v>201</v>
      </c>
      <c r="D14" s="523" t="s">
        <v>221</v>
      </c>
      <c r="E14" s="960">
        <v>100894110</v>
      </c>
      <c r="F14" s="961">
        <v>55500</v>
      </c>
      <c r="G14" s="961">
        <v>880806</v>
      </c>
      <c r="H14" s="961">
        <v>2917858</v>
      </c>
      <c r="I14" s="962"/>
      <c r="J14" s="961">
        <v>190900</v>
      </c>
      <c r="K14" s="961">
        <v>1925197</v>
      </c>
      <c r="L14" s="961">
        <v>105125</v>
      </c>
      <c r="M14" s="961">
        <v>260592</v>
      </c>
      <c r="N14" s="961"/>
      <c r="O14" s="961">
        <v>309362</v>
      </c>
      <c r="P14" s="962"/>
      <c r="Q14" s="962"/>
      <c r="R14" s="961">
        <v>6645339</v>
      </c>
      <c r="S14" s="527">
        <f t="shared" si="0"/>
        <v>3798664</v>
      </c>
      <c r="T14" s="528">
        <f t="shared" si="1"/>
        <v>2116097</v>
      </c>
      <c r="U14" s="527">
        <f t="shared" si="2"/>
        <v>309362</v>
      </c>
      <c r="W14" s="326">
        <f t="shared" si="3"/>
        <v>6645340</v>
      </c>
      <c r="X14" s="261">
        <f t="shared" si="4"/>
        <v>1</v>
      </c>
      <c r="Y14" s="58"/>
      <c r="Z14" s="1016">
        <f t="shared" si="5"/>
        <v>5970261</v>
      </c>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row>
    <row r="15" spans="1:81" ht="12" hidden="1" thickBot="1">
      <c r="A15" s="588" t="s">
        <v>1468</v>
      </c>
      <c r="B15" s="522" t="s">
        <v>175</v>
      </c>
      <c r="C15" s="522" t="s">
        <v>202</v>
      </c>
      <c r="D15" s="523" t="s">
        <v>220</v>
      </c>
      <c r="E15" s="960">
        <v>124209840</v>
      </c>
      <c r="F15" s="961">
        <v>91000</v>
      </c>
      <c r="G15" s="961">
        <v>1094289</v>
      </c>
      <c r="H15" s="961">
        <v>3592149</v>
      </c>
      <c r="I15" s="962"/>
      <c r="J15" s="961">
        <v>280115</v>
      </c>
      <c r="K15" s="961">
        <v>2858674</v>
      </c>
      <c r="L15" s="961">
        <v>129418</v>
      </c>
      <c r="M15" s="961">
        <v>320812</v>
      </c>
      <c r="N15" s="961"/>
      <c r="O15" s="961">
        <v>380853</v>
      </c>
      <c r="P15" s="962"/>
      <c r="Q15" s="962"/>
      <c r="R15" s="961">
        <v>8747310</v>
      </c>
      <c r="S15" s="527">
        <f t="shared" si="0"/>
        <v>4686438</v>
      </c>
      <c r="T15" s="528">
        <f t="shared" si="1"/>
        <v>3138789</v>
      </c>
      <c r="U15" s="527">
        <f t="shared" si="2"/>
        <v>380853</v>
      </c>
      <c r="W15" s="326">
        <f t="shared" si="3"/>
        <v>8747310</v>
      </c>
      <c r="X15" s="261">
        <f t="shared" si="4"/>
        <v>0</v>
      </c>
      <c r="Y15" s="58"/>
      <c r="Z15" s="1016">
        <f t="shared" si="5"/>
        <v>7916227</v>
      </c>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row>
    <row r="16" spans="1:81" ht="12" hidden="1" thickBot="1">
      <c r="A16" s="588" t="s">
        <v>1468</v>
      </c>
      <c r="B16" s="522" t="s">
        <v>176</v>
      </c>
      <c r="C16" s="522" t="s">
        <v>203</v>
      </c>
      <c r="D16" s="523" t="s">
        <v>25</v>
      </c>
      <c r="E16" s="960"/>
      <c r="F16" s="961"/>
      <c r="G16" s="961"/>
      <c r="H16" s="961"/>
      <c r="I16" s="962"/>
      <c r="J16" s="961"/>
      <c r="K16" s="961"/>
      <c r="L16" s="961"/>
      <c r="M16" s="961"/>
      <c r="N16" s="961"/>
      <c r="O16" s="961"/>
      <c r="P16" s="962"/>
      <c r="Q16" s="962"/>
      <c r="R16" s="961"/>
      <c r="S16" s="527">
        <f t="shared" si="0"/>
        <v>0</v>
      </c>
      <c r="T16" s="528">
        <f t="shared" si="1"/>
        <v>0</v>
      </c>
      <c r="U16" s="527">
        <f t="shared" si="2"/>
        <v>0</v>
      </c>
      <c r="W16" s="326">
        <f t="shared" si="3"/>
        <v>0</v>
      </c>
      <c r="X16" s="261">
        <f t="shared" si="4"/>
        <v>0</v>
      </c>
      <c r="Y16" s="58"/>
      <c r="Z16" s="1016">
        <f t="shared" si="5"/>
        <v>0</v>
      </c>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row>
    <row r="17" spans="1:81" ht="12" hidden="1" thickBot="1">
      <c r="A17" s="588" t="s">
        <v>1468</v>
      </c>
      <c r="B17" s="522" t="s">
        <v>944</v>
      </c>
      <c r="C17" s="522" t="s">
        <v>943</v>
      </c>
      <c r="D17" s="523" t="s">
        <v>1042</v>
      </c>
      <c r="E17" s="962"/>
      <c r="F17" s="962"/>
      <c r="G17" s="962"/>
      <c r="H17" s="962"/>
      <c r="I17" s="962"/>
      <c r="J17" s="962"/>
      <c r="K17" s="962"/>
      <c r="L17" s="962"/>
      <c r="M17" s="962"/>
      <c r="N17" s="962"/>
      <c r="O17" s="962"/>
      <c r="P17" s="962"/>
      <c r="Q17" s="962"/>
      <c r="R17" s="962"/>
      <c r="S17" s="527">
        <f t="shared" si="0"/>
        <v>0</v>
      </c>
      <c r="T17" s="528">
        <f t="shared" si="1"/>
        <v>0</v>
      </c>
      <c r="U17" s="527">
        <f t="shared" si="2"/>
        <v>0</v>
      </c>
      <c r="W17" s="326">
        <f t="shared" si="3"/>
        <v>0</v>
      </c>
      <c r="X17" s="261">
        <f t="shared" si="4"/>
        <v>0</v>
      </c>
      <c r="Y17" s="58"/>
      <c r="Z17" s="1016">
        <f t="shared" si="5"/>
        <v>0</v>
      </c>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row>
    <row r="18" spans="1:81" ht="12" hidden="1" thickBot="1">
      <c r="A18" s="588" t="s">
        <v>1468</v>
      </c>
      <c r="B18" s="522" t="s">
        <v>177</v>
      </c>
      <c r="C18" s="522" t="s">
        <v>494</v>
      </c>
      <c r="D18" s="522" t="s">
        <v>224</v>
      </c>
      <c r="E18" s="960">
        <v>74972451</v>
      </c>
      <c r="F18" s="961">
        <v>1268882</v>
      </c>
      <c r="G18" s="961">
        <v>4394885</v>
      </c>
      <c r="H18" s="961">
        <v>2168203</v>
      </c>
      <c r="I18" s="961">
        <v>353120</v>
      </c>
      <c r="J18" s="962"/>
      <c r="K18" s="961"/>
      <c r="L18" s="961">
        <v>78116</v>
      </c>
      <c r="M18" s="961">
        <v>193641</v>
      </c>
      <c r="N18" s="961"/>
      <c r="O18" s="961">
        <v>229881</v>
      </c>
      <c r="P18" s="962"/>
      <c r="Q18" s="961"/>
      <c r="R18" s="961">
        <v>8686729</v>
      </c>
      <c r="S18" s="527">
        <f t="shared" si="0"/>
        <v>6916208</v>
      </c>
      <c r="T18" s="528">
        <f t="shared" si="1"/>
        <v>0</v>
      </c>
      <c r="U18" s="527">
        <f t="shared" si="2"/>
        <v>229881</v>
      </c>
      <c r="W18" s="326">
        <f t="shared" si="3"/>
        <v>8686728</v>
      </c>
      <c r="X18" s="261">
        <f t="shared" si="4"/>
        <v>-1</v>
      </c>
      <c r="Y18" s="58"/>
      <c r="Z18" s="1016">
        <f t="shared" si="5"/>
        <v>8185090</v>
      </c>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row>
    <row r="19" spans="1:81" ht="12" hidden="1" thickBot="1">
      <c r="A19" s="588" t="s">
        <v>1468</v>
      </c>
      <c r="B19" s="522" t="s">
        <v>178</v>
      </c>
      <c r="C19" s="522" t="s">
        <v>1352</v>
      </c>
      <c r="D19" s="542" t="s">
        <v>224</v>
      </c>
      <c r="E19" s="960"/>
      <c r="F19" s="961"/>
      <c r="G19" s="961"/>
      <c r="H19" s="961"/>
      <c r="I19" s="961"/>
      <c r="J19" s="962"/>
      <c r="K19" s="962"/>
      <c r="L19" s="961"/>
      <c r="M19" s="961"/>
      <c r="N19" s="961"/>
      <c r="O19" s="961"/>
      <c r="P19" s="962"/>
      <c r="Q19" s="962"/>
      <c r="R19" s="961"/>
      <c r="S19" s="527">
        <f t="shared" si="0"/>
        <v>0</v>
      </c>
      <c r="T19" s="528">
        <f t="shared" si="1"/>
        <v>0</v>
      </c>
      <c r="U19" s="527">
        <f t="shared" si="2"/>
        <v>0</v>
      </c>
      <c r="W19" s="326">
        <f t="shared" si="3"/>
        <v>0</v>
      </c>
      <c r="X19" s="261">
        <f t="shared" si="4"/>
        <v>0</v>
      </c>
      <c r="Y19" s="58"/>
      <c r="Z19" s="1016">
        <f t="shared" si="5"/>
        <v>0</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row>
    <row r="20" spans="1:81" ht="12" hidden="1" thickBot="1">
      <c r="A20" s="588" t="s">
        <v>1468</v>
      </c>
      <c r="B20" s="522" t="s">
        <v>179</v>
      </c>
      <c r="C20" s="522" t="s">
        <v>64</v>
      </c>
      <c r="D20" s="523" t="s">
        <v>18</v>
      </c>
      <c r="E20" s="960">
        <v>110082107</v>
      </c>
      <c r="F20" s="961">
        <v>649106</v>
      </c>
      <c r="G20" s="961">
        <v>6453013</v>
      </c>
      <c r="H20" s="961">
        <v>3183575</v>
      </c>
      <c r="I20" s="961">
        <v>518487</v>
      </c>
      <c r="J20" s="962"/>
      <c r="K20" s="962"/>
      <c r="L20" s="961">
        <v>114698</v>
      </c>
      <c r="M20" s="961">
        <v>284323</v>
      </c>
      <c r="N20" s="961"/>
      <c r="O20" s="961">
        <v>337535</v>
      </c>
      <c r="P20" s="962"/>
      <c r="Q20" s="962"/>
      <c r="R20" s="961">
        <v>11540736</v>
      </c>
      <c r="S20" s="527">
        <f t="shared" si="0"/>
        <v>10155075</v>
      </c>
      <c r="T20" s="528">
        <f t="shared" si="1"/>
        <v>0</v>
      </c>
      <c r="U20" s="527">
        <f t="shared" si="2"/>
        <v>337535</v>
      </c>
      <c r="W20" s="326">
        <f t="shared" si="3"/>
        <v>11540737</v>
      </c>
      <c r="X20" s="261">
        <f t="shared" si="4"/>
        <v>1</v>
      </c>
      <c r="Y20" s="58"/>
      <c r="Z20" s="1016">
        <f t="shared" si="5"/>
        <v>10804181</v>
      </c>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row>
    <row r="21" spans="1:81" ht="12" hidden="1" thickBot="1">
      <c r="A21" s="588" t="s">
        <v>1468</v>
      </c>
      <c r="B21" s="522" t="s">
        <v>180</v>
      </c>
      <c r="C21" s="522" t="s">
        <v>204</v>
      </c>
      <c r="D21" s="536" t="s">
        <v>219</v>
      </c>
      <c r="E21" s="960">
        <v>781136</v>
      </c>
      <c r="F21" s="961">
        <v>7420</v>
      </c>
      <c r="G21" s="961">
        <v>33066</v>
      </c>
      <c r="H21" s="961">
        <v>22590</v>
      </c>
      <c r="I21" s="961">
        <v>2461</v>
      </c>
      <c r="J21" s="962"/>
      <c r="K21" s="962"/>
      <c r="L21" s="961">
        <v>814</v>
      </c>
      <c r="M21" s="961">
        <v>2018</v>
      </c>
      <c r="N21" s="961">
        <v>2395</v>
      </c>
      <c r="O21" s="962"/>
      <c r="P21" s="962"/>
      <c r="Q21" s="962"/>
      <c r="R21" s="961">
        <v>70763</v>
      </c>
      <c r="S21" s="527">
        <f t="shared" si="0"/>
        <v>58117</v>
      </c>
      <c r="T21" s="528">
        <f t="shared" si="1"/>
        <v>0</v>
      </c>
      <c r="U21" s="527">
        <f t="shared" si="2"/>
        <v>2395</v>
      </c>
      <c r="W21" s="326">
        <f t="shared" si="3"/>
        <v>70764</v>
      </c>
      <c r="X21" s="261">
        <f t="shared" si="4"/>
        <v>1</v>
      </c>
      <c r="Y21" s="58"/>
      <c r="Z21" s="1016">
        <f t="shared" si="5"/>
        <v>65537</v>
      </c>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row>
    <row r="22" spans="1:81" ht="12" hidden="1" thickBot="1">
      <c r="A22" s="588" t="s">
        <v>1468</v>
      </c>
      <c r="B22" s="522" t="s">
        <v>181</v>
      </c>
      <c r="C22" s="522" t="s">
        <v>205</v>
      </c>
      <c r="D22" s="536" t="s">
        <v>219</v>
      </c>
      <c r="E22" s="960"/>
      <c r="F22" s="961"/>
      <c r="G22" s="961"/>
      <c r="H22" s="961"/>
      <c r="I22" s="961"/>
      <c r="J22" s="962"/>
      <c r="K22" s="962"/>
      <c r="L22" s="961"/>
      <c r="M22" s="961"/>
      <c r="N22" s="961"/>
      <c r="O22" s="962"/>
      <c r="P22" s="962"/>
      <c r="Q22" s="962"/>
      <c r="R22" s="961"/>
      <c r="S22" s="527">
        <f t="shared" si="0"/>
        <v>0</v>
      </c>
      <c r="T22" s="528">
        <f t="shared" si="1"/>
        <v>0</v>
      </c>
      <c r="U22" s="527">
        <f t="shared" si="2"/>
        <v>0</v>
      </c>
      <c r="W22" s="326">
        <f t="shared" si="3"/>
        <v>0</v>
      </c>
      <c r="X22" s="261">
        <f t="shared" si="4"/>
        <v>0</v>
      </c>
      <c r="Y22" s="58"/>
      <c r="Z22" s="1016">
        <f t="shared" si="5"/>
        <v>0</v>
      </c>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row>
    <row r="23" spans="1:81" ht="12" hidden="1" thickBot="1">
      <c r="A23" s="588" t="s">
        <v>1468</v>
      </c>
      <c r="B23" s="522" t="s">
        <v>182</v>
      </c>
      <c r="C23" s="522" t="s">
        <v>206</v>
      </c>
      <c r="D23" s="535" t="s">
        <v>228</v>
      </c>
      <c r="E23" s="960"/>
      <c r="F23" s="961"/>
      <c r="G23" s="961"/>
      <c r="H23" s="961"/>
      <c r="I23" s="961"/>
      <c r="J23" s="962"/>
      <c r="K23" s="962"/>
      <c r="L23" s="961"/>
      <c r="M23" s="961"/>
      <c r="N23" s="961"/>
      <c r="O23" s="962"/>
      <c r="P23" s="962"/>
      <c r="Q23" s="962"/>
      <c r="R23" s="961"/>
      <c r="S23" s="527">
        <f t="shared" si="0"/>
        <v>0</v>
      </c>
      <c r="T23" s="528">
        <f t="shared" si="1"/>
        <v>0</v>
      </c>
      <c r="U23" s="527">
        <f t="shared" si="2"/>
        <v>0</v>
      </c>
      <c r="W23" s="326">
        <f t="shared" si="3"/>
        <v>0</v>
      </c>
      <c r="X23" s="261">
        <f t="shared" si="4"/>
        <v>0</v>
      </c>
      <c r="Y23" s="58"/>
      <c r="Z23" s="1016">
        <f t="shared" si="5"/>
        <v>0</v>
      </c>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row>
    <row r="24" spans="1:81" ht="12" hidden="1" thickBot="1">
      <c r="A24" s="588" t="s">
        <v>1468</v>
      </c>
      <c r="B24" s="522" t="s">
        <v>183</v>
      </c>
      <c r="C24" s="522" t="s">
        <v>207</v>
      </c>
      <c r="D24" s="535" t="s">
        <v>228</v>
      </c>
      <c r="E24" s="960">
        <v>14477984</v>
      </c>
      <c r="F24" s="961">
        <v>9030</v>
      </c>
      <c r="G24" s="961">
        <v>612853</v>
      </c>
      <c r="H24" s="961">
        <v>418703</v>
      </c>
      <c r="I24" s="961">
        <v>45606</v>
      </c>
      <c r="J24" s="962"/>
      <c r="K24" s="962"/>
      <c r="L24" s="961">
        <v>15085</v>
      </c>
      <c r="M24" s="961">
        <v>37394</v>
      </c>
      <c r="N24" s="961">
        <v>44393</v>
      </c>
      <c r="O24" s="962"/>
      <c r="P24" s="962"/>
      <c r="Q24" s="962"/>
      <c r="R24" s="961">
        <v>1183064</v>
      </c>
      <c r="S24" s="527">
        <f t="shared" si="0"/>
        <v>1077162</v>
      </c>
      <c r="T24" s="528">
        <f t="shared" si="1"/>
        <v>0</v>
      </c>
      <c r="U24" s="527">
        <f t="shared" si="2"/>
        <v>44393</v>
      </c>
      <c r="W24" s="326">
        <f t="shared" si="3"/>
        <v>1183064</v>
      </c>
      <c r="X24" s="261">
        <f t="shared" si="4"/>
        <v>0</v>
      </c>
      <c r="Y24" s="58"/>
      <c r="Z24" s="1016">
        <f t="shared" si="5"/>
        <v>1086192</v>
      </c>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row>
    <row r="25" spans="1:81" ht="12" hidden="1" thickBot="1">
      <c r="A25" s="588" t="s">
        <v>1468</v>
      </c>
      <c r="B25" s="522" t="s">
        <v>720</v>
      </c>
      <c r="C25" s="522" t="s">
        <v>723</v>
      </c>
      <c r="D25" s="535" t="s">
        <v>228</v>
      </c>
      <c r="E25" s="960"/>
      <c r="F25" s="961"/>
      <c r="G25" s="961"/>
      <c r="H25" s="961"/>
      <c r="I25" s="961"/>
      <c r="J25" s="962"/>
      <c r="K25" s="962"/>
      <c r="L25" s="961"/>
      <c r="M25" s="961"/>
      <c r="N25" s="961"/>
      <c r="O25" s="962"/>
      <c r="P25" s="962"/>
      <c r="Q25" s="962"/>
      <c r="R25" s="961"/>
      <c r="S25" s="527">
        <f t="shared" ref="S25:S41" si="6">G25+H25+I25</f>
        <v>0</v>
      </c>
      <c r="T25" s="528">
        <f t="shared" ref="T25:T41" si="7">J25+K25</f>
        <v>0</v>
      </c>
      <c r="U25" s="527">
        <f t="shared" ref="U25:U41" si="8">N25+O25</f>
        <v>0</v>
      </c>
      <c r="W25" s="326">
        <f t="shared" si="3"/>
        <v>0</v>
      </c>
      <c r="X25" s="261">
        <f t="shared" si="4"/>
        <v>0</v>
      </c>
      <c r="Y25" s="58"/>
      <c r="Z25" s="1016">
        <f t="shared" si="5"/>
        <v>0</v>
      </c>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row>
    <row r="26" spans="1:81" ht="12" hidden="1" thickBot="1">
      <c r="A26" s="588" t="s">
        <v>1468</v>
      </c>
      <c r="B26" s="522" t="s">
        <v>721</v>
      </c>
      <c r="C26" s="522" t="s">
        <v>724</v>
      </c>
      <c r="D26" s="535" t="s">
        <v>219</v>
      </c>
      <c r="E26" s="960"/>
      <c r="F26" s="961"/>
      <c r="G26" s="961"/>
      <c r="H26" s="961"/>
      <c r="I26" s="961"/>
      <c r="J26" s="962"/>
      <c r="K26" s="962"/>
      <c r="L26" s="961"/>
      <c r="M26" s="961"/>
      <c r="N26" s="961"/>
      <c r="O26" s="962"/>
      <c r="P26" s="962"/>
      <c r="Q26" s="962"/>
      <c r="R26" s="961"/>
      <c r="S26" s="527">
        <f t="shared" si="6"/>
        <v>0</v>
      </c>
      <c r="T26" s="528">
        <f t="shared" si="7"/>
        <v>0</v>
      </c>
      <c r="U26" s="527">
        <f t="shared" si="8"/>
        <v>0</v>
      </c>
      <c r="W26" s="326">
        <f t="shared" si="3"/>
        <v>0</v>
      </c>
      <c r="X26" s="261">
        <f t="shared" si="4"/>
        <v>0</v>
      </c>
      <c r="Y26" s="58"/>
      <c r="Z26" s="1016">
        <f t="shared" si="5"/>
        <v>0</v>
      </c>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row>
    <row r="27" spans="1:81" ht="12" hidden="1" thickBot="1">
      <c r="A27" s="588" t="s">
        <v>1468</v>
      </c>
      <c r="B27" s="522" t="s">
        <v>722</v>
      </c>
      <c r="C27" s="522" t="s">
        <v>725</v>
      </c>
      <c r="D27" s="523" t="s">
        <v>228</v>
      </c>
      <c r="E27" s="960"/>
      <c r="F27" s="961"/>
      <c r="G27" s="961"/>
      <c r="H27" s="961"/>
      <c r="I27" s="961"/>
      <c r="J27" s="962"/>
      <c r="K27" s="962"/>
      <c r="L27" s="961"/>
      <c r="M27" s="961"/>
      <c r="N27" s="961"/>
      <c r="O27" s="962"/>
      <c r="P27" s="962"/>
      <c r="Q27" s="962"/>
      <c r="R27" s="961"/>
      <c r="S27" s="527">
        <f t="shared" si="6"/>
        <v>0</v>
      </c>
      <c r="T27" s="528">
        <f t="shared" si="7"/>
        <v>0</v>
      </c>
      <c r="U27" s="527">
        <f t="shared" si="8"/>
        <v>0</v>
      </c>
      <c r="W27" s="326">
        <f t="shared" si="3"/>
        <v>0</v>
      </c>
      <c r="X27" s="261">
        <f t="shared" si="4"/>
        <v>0</v>
      </c>
      <c r="Y27" s="58"/>
      <c r="Z27" s="1016">
        <f t="shared" si="5"/>
        <v>0</v>
      </c>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row>
    <row r="28" spans="1:81" ht="12" thickBot="1">
      <c r="A28" s="588" t="s">
        <v>1468</v>
      </c>
      <c r="B28" s="522" t="s">
        <v>233</v>
      </c>
      <c r="C28" s="522" t="s">
        <v>651</v>
      </c>
      <c r="D28" s="523" t="s">
        <v>20</v>
      </c>
      <c r="E28" s="960">
        <v>20895</v>
      </c>
      <c r="F28" s="962" t="s">
        <v>1535</v>
      </c>
      <c r="G28" s="961">
        <f>ROUND(E28*0.0638,0)</f>
        <v>1333</v>
      </c>
      <c r="H28" s="961"/>
      <c r="I28" s="961"/>
      <c r="J28" s="962"/>
      <c r="K28" s="962"/>
      <c r="L28" s="962"/>
      <c r="M28" s="961">
        <f>ROUND(E28*0.00258,0)</f>
        <v>54</v>
      </c>
      <c r="N28" s="961">
        <f>ROUND(E28*0.00307,0)</f>
        <v>64</v>
      </c>
      <c r="O28" s="962"/>
      <c r="P28" s="962"/>
      <c r="Q28" s="962"/>
      <c r="R28" s="961">
        <f>SUM(F28:Q28)</f>
        <v>1451</v>
      </c>
      <c r="S28" s="527">
        <f>E28*0.0638</f>
        <v>1333.1009999999999</v>
      </c>
      <c r="T28" s="528">
        <f t="shared" si="7"/>
        <v>0</v>
      </c>
      <c r="U28" s="527">
        <f t="shared" si="8"/>
        <v>64</v>
      </c>
      <c r="W28" s="326">
        <f t="shared" si="3"/>
        <v>1451</v>
      </c>
      <c r="X28" s="261">
        <f t="shared" si="4"/>
        <v>0</v>
      </c>
      <c r="Y28" s="58"/>
      <c r="Z28" s="1016">
        <f t="shared" si="5"/>
        <v>1333</v>
      </c>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row>
    <row r="29" spans="1:81" ht="12" hidden="1" thickBot="1">
      <c r="A29" s="588" t="s">
        <v>1468</v>
      </c>
      <c r="B29" s="522" t="s">
        <v>232</v>
      </c>
      <c r="C29" s="522" t="s">
        <v>651</v>
      </c>
      <c r="D29" s="523" t="s">
        <v>20</v>
      </c>
      <c r="E29" s="960"/>
      <c r="F29" s="962"/>
      <c r="G29" s="961"/>
      <c r="H29" s="961"/>
      <c r="I29" s="961"/>
      <c r="J29" s="962"/>
      <c r="K29" s="962"/>
      <c r="L29" s="962"/>
      <c r="M29" s="961"/>
      <c r="N29" s="961"/>
      <c r="O29" s="962"/>
      <c r="P29" s="962"/>
      <c r="Q29" s="962"/>
      <c r="R29" s="961"/>
      <c r="S29" s="527">
        <f>E29*0.0638</f>
        <v>0</v>
      </c>
      <c r="T29" s="528">
        <f t="shared" si="7"/>
        <v>0</v>
      </c>
      <c r="U29" s="527">
        <f t="shared" si="8"/>
        <v>0</v>
      </c>
      <c r="W29" s="326">
        <f t="shared" si="3"/>
        <v>0</v>
      </c>
      <c r="X29" s="261">
        <f t="shared" si="4"/>
        <v>0</v>
      </c>
      <c r="Y29" s="58"/>
      <c r="Z29" s="1016">
        <f t="shared" si="5"/>
        <v>0</v>
      </c>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row>
    <row r="30" spans="1:81" ht="12" thickBot="1">
      <c r="A30" s="588" t="s">
        <v>1468</v>
      </c>
      <c r="B30" s="522" t="s">
        <v>184</v>
      </c>
      <c r="C30" s="522" t="s">
        <v>59</v>
      </c>
      <c r="D30" s="523" t="s">
        <v>21</v>
      </c>
      <c r="E30" s="960">
        <v>122144</v>
      </c>
      <c r="F30" s="961">
        <f>'1022'!D26*3.25</f>
        <v>2427.75</v>
      </c>
      <c r="G30" s="961">
        <f>ROUND(E30*0.07978,0)</f>
        <v>9745</v>
      </c>
      <c r="H30" s="961"/>
      <c r="I30" s="961"/>
      <c r="J30" s="962"/>
      <c r="K30" s="962"/>
      <c r="L30" s="962"/>
      <c r="M30" s="961">
        <f>ROUND(E30*0.00258,0)</f>
        <v>315</v>
      </c>
      <c r="N30" s="961">
        <f>ROUND(E30*0.00307,0)</f>
        <v>375</v>
      </c>
      <c r="O30" s="962"/>
      <c r="P30" s="962"/>
      <c r="Q30" s="962"/>
      <c r="R30" s="961">
        <f>SUM(F30:Q30)</f>
        <v>12862.75</v>
      </c>
      <c r="S30" s="527">
        <f t="shared" si="6"/>
        <v>9745</v>
      </c>
      <c r="T30" s="528">
        <f t="shared" si="7"/>
        <v>0</v>
      </c>
      <c r="U30" s="527">
        <f t="shared" si="8"/>
        <v>375</v>
      </c>
      <c r="W30" s="326">
        <f t="shared" si="3"/>
        <v>12862.75</v>
      </c>
      <c r="X30" s="261">
        <f t="shared" si="4"/>
        <v>0</v>
      </c>
      <c r="Y30" s="58"/>
      <c r="Z30" s="1016">
        <f t="shared" si="5"/>
        <v>12172.75</v>
      </c>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row>
    <row r="31" spans="1:81" ht="12" hidden="1" thickBot="1">
      <c r="A31" s="588" t="s">
        <v>1468</v>
      </c>
      <c r="B31" s="522" t="s">
        <v>652</v>
      </c>
      <c r="C31" s="522" t="s">
        <v>676</v>
      </c>
      <c r="D31" s="523" t="s">
        <v>21</v>
      </c>
      <c r="E31" s="960"/>
      <c r="F31" s="961"/>
      <c r="G31" s="961"/>
      <c r="H31" s="961"/>
      <c r="I31" s="961"/>
      <c r="J31" s="962"/>
      <c r="K31" s="962"/>
      <c r="L31" s="962"/>
      <c r="M31" s="961"/>
      <c r="N31" s="961"/>
      <c r="O31" s="962"/>
      <c r="P31" s="962"/>
      <c r="Q31" s="962"/>
      <c r="R31" s="961"/>
      <c r="S31" s="527">
        <f t="shared" si="6"/>
        <v>0</v>
      </c>
      <c r="T31" s="528">
        <f t="shared" si="7"/>
        <v>0</v>
      </c>
      <c r="U31" s="527">
        <f t="shared" si="8"/>
        <v>0</v>
      </c>
      <c r="W31" s="326">
        <f t="shared" si="3"/>
        <v>0</v>
      </c>
      <c r="X31" s="261">
        <f t="shared" si="4"/>
        <v>0</v>
      </c>
      <c r="Y31" s="58"/>
      <c r="Z31" s="1016">
        <f t="shared" si="5"/>
        <v>0</v>
      </c>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row>
    <row r="32" spans="1:81" ht="12" hidden="1" thickBot="1">
      <c r="A32" s="588" t="s">
        <v>1468</v>
      </c>
      <c r="B32" s="522" t="s">
        <v>728</v>
      </c>
      <c r="C32" s="522" t="s">
        <v>726</v>
      </c>
      <c r="D32" s="523" t="s">
        <v>727</v>
      </c>
      <c r="E32" s="962"/>
      <c r="F32" s="962"/>
      <c r="G32" s="962"/>
      <c r="H32" s="962"/>
      <c r="I32" s="962"/>
      <c r="J32" s="962"/>
      <c r="K32" s="962"/>
      <c r="L32" s="962"/>
      <c r="M32" s="962"/>
      <c r="N32" s="962"/>
      <c r="O32" s="962"/>
      <c r="P32" s="962"/>
      <c r="Q32" s="962"/>
      <c r="R32" s="961"/>
      <c r="S32" s="527">
        <f t="shared" si="6"/>
        <v>0</v>
      </c>
      <c r="T32" s="528">
        <f t="shared" si="7"/>
        <v>0</v>
      </c>
      <c r="U32" s="527">
        <f t="shared" si="8"/>
        <v>0</v>
      </c>
      <c r="W32" s="326">
        <f t="shared" si="3"/>
        <v>0</v>
      </c>
      <c r="X32" s="261">
        <f t="shared" si="4"/>
        <v>0</v>
      </c>
      <c r="Y32" s="58"/>
      <c r="Z32" s="1016">
        <f t="shared" si="5"/>
        <v>0</v>
      </c>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row>
    <row r="33" spans="1:81" ht="12" hidden="1" thickBot="1">
      <c r="A33" s="588" t="s">
        <v>1468</v>
      </c>
      <c r="B33" s="522" t="s">
        <v>1043</v>
      </c>
      <c r="C33" s="522" t="s">
        <v>1044</v>
      </c>
      <c r="D33" s="523" t="s">
        <v>1052</v>
      </c>
      <c r="E33" s="962"/>
      <c r="F33" s="962"/>
      <c r="G33" s="962"/>
      <c r="H33" s="962"/>
      <c r="I33" s="962"/>
      <c r="J33" s="962"/>
      <c r="K33" s="962"/>
      <c r="L33" s="962"/>
      <c r="M33" s="962"/>
      <c r="N33" s="962"/>
      <c r="O33" s="962"/>
      <c r="P33" s="962"/>
      <c r="Q33" s="962"/>
      <c r="R33" s="961"/>
      <c r="S33" s="527">
        <f t="shared" si="6"/>
        <v>0</v>
      </c>
      <c r="T33" s="528">
        <f t="shared" si="7"/>
        <v>0</v>
      </c>
      <c r="U33" s="527">
        <f t="shared" si="8"/>
        <v>0</v>
      </c>
      <c r="W33" s="326">
        <f t="shared" si="3"/>
        <v>0</v>
      </c>
      <c r="X33" s="261">
        <f t="shared" si="4"/>
        <v>0</v>
      </c>
      <c r="Y33" s="58"/>
      <c r="Z33" s="1016">
        <f t="shared" si="5"/>
        <v>0</v>
      </c>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row>
    <row r="34" spans="1:81" ht="12" hidden="1" thickBot="1">
      <c r="A34" s="588" t="s">
        <v>1468</v>
      </c>
      <c r="B34" s="522" t="s">
        <v>185</v>
      </c>
      <c r="C34" s="522" t="s">
        <v>1353</v>
      </c>
      <c r="D34" s="523" t="s">
        <v>224</v>
      </c>
      <c r="E34" s="960"/>
      <c r="F34" s="961"/>
      <c r="G34" s="961"/>
      <c r="H34" s="961"/>
      <c r="I34" s="961"/>
      <c r="J34" s="962"/>
      <c r="K34" s="962"/>
      <c r="L34" s="961"/>
      <c r="M34" s="961"/>
      <c r="N34" s="961"/>
      <c r="O34" s="961"/>
      <c r="P34" s="962"/>
      <c r="Q34" s="962"/>
      <c r="R34" s="961"/>
      <c r="S34" s="527">
        <f t="shared" si="6"/>
        <v>0</v>
      </c>
      <c r="T34" s="528">
        <f t="shared" si="7"/>
        <v>0</v>
      </c>
      <c r="U34" s="527">
        <f t="shared" si="8"/>
        <v>0</v>
      </c>
      <c r="W34" s="326">
        <f t="shared" si="3"/>
        <v>0</v>
      </c>
      <c r="X34" s="261">
        <f t="shared" si="4"/>
        <v>0</v>
      </c>
      <c r="Y34" s="58"/>
      <c r="Z34" s="1016">
        <f t="shared" si="5"/>
        <v>0</v>
      </c>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row>
    <row r="35" spans="1:81" ht="12" hidden="1" thickBot="1">
      <c r="A35" s="588" t="s">
        <v>1468</v>
      </c>
      <c r="B35" s="522" t="s">
        <v>186</v>
      </c>
      <c r="C35" s="522" t="s">
        <v>1354</v>
      </c>
      <c r="D35" s="523" t="s">
        <v>18</v>
      </c>
      <c r="E35" s="960"/>
      <c r="F35" s="961"/>
      <c r="G35" s="961"/>
      <c r="H35" s="961"/>
      <c r="I35" s="961"/>
      <c r="J35" s="962"/>
      <c r="K35" s="962"/>
      <c r="L35" s="961"/>
      <c r="M35" s="961"/>
      <c r="N35" s="961"/>
      <c r="O35" s="961"/>
      <c r="P35" s="962"/>
      <c r="Q35" s="962"/>
      <c r="R35" s="961"/>
      <c r="S35" s="527">
        <f t="shared" si="6"/>
        <v>0</v>
      </c>
      <c r="T35" s="528">
        <f t="shared" si="7"/>
        <v>0</v>
      </c>
      <c r="U35" s="527">
        <f t="shared" si="8"/>
        <v>0</v>
      </c>
      <c r="W35" s="326">
        <f t="shared" si="3"/>
        <v>0</v>
      </c>
      <c r="X35" s="261">
        <f t="shared" si="4"/>
        <v>0</v>
      </c>
      <c r="Y35" s="58"/>
      <c r="Z35" s="1016">
        <f t="shared" si="5"/>
        <v>0</v>
      </c>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row>
    <row r="36" spans="1:81" ht="12" hidden="1" thickBot="1">
      <c r="A36" s="588" t="s">
        <v>1468</v>
      </c>
      <c r="B36" s="522" t="s">
        <v>750</v>
      </c>
      <c r="C36" s="522" t="s">
        <v>748</v>
      </c>
      <c r="D36" s="523" t="s">
        <v>749</v>
      </c>
      <c r="E36" s="962"/>
      <c r="F36" s="962"/>
      <c r="G36" s="962"/>
      <c r="H36" s="962"/>
      <c r="I36" s="962"/>
      <c r="J36" s="962"/>
      <c r="K36" s="962"/>
      <c r="L36" s="962"/>
      <c r="M36" s="962"/>
      <c r="N36" s="962"/>
      <c r="O36" s="962"/>
      <c r="P36" s="962"/>
      <c r="Q36" s="962"/>
      <c r="R36" s="962"/>
      <c r="S36" s="527">
        <f t="shared" si="6"/>
        <v>0</v>
      </c>
      <c r="T36" s="528">
        <f t="shared" si="7"/>
        <v>0</v>
      </c>
      <c r="U36" s="527">
        <f t="shared" si="8"/>
        <v>0</v>
      </c>
      <c r="W36" s="326">
        <f t="shared" si="3"/>
        <v>0</v>
      </c>
      <c r="X36" s="261">
        <f t="shared" si="4"/>
        <v>0</v>
      </c>
      <c r="Y36" s="58"/>
      <c r="Z36" s="1016">
        <f t="shared" si="5"/>
        <v>0</v>
      </c>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row>
    <row r="37" spans="1:81" ht="12" hidden="1" thickBot="1">
      <c r="A37" s="588" t="s">
        <v>1468</v>
      </c>
      <c r="B37" s="588" t="s">
        <v>187</v>
      </c>
      <c r="C37" s="588" t="s">
        <v>457</v>
      </c>
      <c r="D37" s="523" t="s">
        <v>78</v>
      </c>
      <c r="E37" s="962"/>
      <c r="F37" s="962"/>
      <c r="G37" s="962"/>
      <c r="H37" s="962"/>
      <c r="I37" s="962"/>
      <c r="J37" s="962"/>
      <c r="K37" s="962"/>
      <c r="L37" s="962"/>
      <c r="M37" s="962"/>
      <c r="N37" s="962"/>
      <c r="O37" s="962"/>
      <c r="P37" s="961">
        <v>-989829</v>
      </c>
      <c r="Q37" s="962"/>
      <c r="R37" s="961">
        <v>-989829</v>
      </c>
      <c r="S37" s="527">
        <f t="shared" si="6"/>
        <v>0</v>
      </c>
      <c r="T37" s="528">
        <f t="shared" si="7"/>
        <v>0</v>
      </c>
      <c r="U37" s="527">
        <f t="shared" si="8"/>
        <v>0</v>
      </c>
      <c r="W37" s="326">
        <f>SUM(F37:Q37)</f>
        <v>-989829</v>
      </c>
      <c r="X37" s="261">
        <f>W37-R37</f>
        <v>0</v>
      </c>
      <c r="Y37" s="58"/>
      <c r="Z37" s="1016">
        <f t="shared" si="5"/>
        <v>0</v>
      </c>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row>
    <row r="38" spans="1:81" ht="12" hidden="1" thickBot="1">
      <c r="A38" s="588" t="s">
        <v>1468</v>
      </c>
      <c r="B38" s="522" t="s">
        <v>188</v>
      </c>
      <c r="C38" s="522" t="s">
        <v>458</v>
      </c>
      <c r="D38" s="523" t="s">
        <v>78</v>
      </c>
      <c r="E38" s="962"/>
      <c r="F38" s="962"/>
      <c r="G38" s="962"/>
      <c r="H38" s="962"/>
      <c r="I38" s="962"/>
      <c r="J38" s="962"/>
      <c r="K38" s="962"/>
      <c r="L38" s="962"/>
      <c r="M38" s="962"/>
      <c r="N38" s="962"/>
      <c r="O38" s="962"/>
      <c r="P38" s="961"/>
      <c r="Q38" s="962"/>
      <c r="R38" s="961"/>
      <c r="S38" s="527">
        <f t="shared" si="6"/>
        <v>0</v>
      </c>
      <c r="T38" s="528">
        <f t="shared" si="7"/>
        <v>0</v>
      </c>
      <c r="U38" s="527">
        <f t="shared" si="8"/>
        <v>0</v>
      </c>
      <c r="W38" s="326">
        <f t="shared" si="3"/>
        <v>0</v>
      </c>
      <c r="X38" s="261">
        <f t="shared" si="4"/>
        <v>0</v>
      </c>
      <c r="Y38" s="58"/>
      <c r="Z38" s="1016">
        <f t="shared" si="5"/>
        <v>0</v>
      </c>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row>
    <row r="39" spans="1:81" ht="12" hidden="1" thickBot="1">
      <c r="A39" s="588" t="s">
        <v>1468</v>
      </c>
      <c r="B39" s="522" t="s">
        <v>1045</v>
      </c>
      <c r="C39" s="522" t="s">
        <v>1046</v>
      </c>
      <c r="D39" s="523" t="s">
        <v>78</v>
      </c>
      <c r="E39" s="962"/>
      <c r="F39" s="962"/>
      <c r="G39" s="962"/>
      <c r="H39" s="962"/>
      <c r="I39" s="962"/>
      <c r="J39" s="962"/>
      <c r="K39" s="962"/>
      <c r="L39" s="962"/>
      <c r="M39" s="962"/>
      <c r="N39" s="962"/>
      <c r="O39" s="962"/>
      <c r="P39" s="961"/>
      <c r="Q39" s="962"/>
      <c r="R39" s="961"/>
      <c r="S39" s="527">
        <f t="shared" si="6"/>
        <v>0</v>
      </c>
      <c r="T39" s="528">
        <f t="shared" si="7"/>
        <v>0</v>
      </c>
      <c r="U39" s="527">
        <f t="shared" si="8"/>
        <v>0</v>
      </c>
      <c r="W39" s="326">
        <f t="shared" si="3"/>
        <v>0</v>
      </c>
      <c r="X39" s="261">
        <f t="shared" si="4"/>
        <v>0</v>
      </c>
      <c r="Y39" s="58"/>
      <c r="Z39" s="1016">
        <f t="shared" si="5"/>
        <v>0</v>
      </c>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row>
    <row r="40" spans="1:81" ht="12" hidden="1" thickBot="1">
      <c r="A40" s="588" t="s">
        <v>1468</v>
      </c>
      <c r="B40" s="522" t="s">
        <v>945</v>
      </c>
      <c r="C40" s="522" t="s">
        <v>946</v>
      </c>
      <c r="D40" s="523" t="s">
        <v>756</v>
      </c>
      <c r="E40" s="962"/>
      <c r="F40" s="962"/>
      <c r="G40" s="962"/>
      <c r="H40" s="962"/>
      <c r="I40" s="962"/>
      <c r="J40" s="962"/>
      <c r="K40" s="962"/>
      <c r="L40" s="962"/>
      <c r="M40" s="962"/>
      <c r="N40" s="962"/>
      <c r="O40" s="962"/>
      <c r="P40" s="962"/>
      <c r="Q40" s="962"/>
      <c r="R40" s="962"/>
      <c r="S40" s="527">
        <f t="shared" si="6"/>
        <v>0</v>
      </c>
      <c r="T40" s="528">
        <f t="shared" si="7"/>
        <v>0</v>
      </c>
      <c r="U40" s="527">
        <f t="shared" si="8"/>
        <v>0</v>
      </c>
      <c r="W40" s="326">
        <f t="shared" si="3"/>
        <v>0</v>
      </c>
      <c r="X40" s="261">
        <f t="shared" si="4"/>
        <v>0</v>
      </c>
      <c r="Y40" s="58"/>
      <c r="Z40" s="1016">
        <f t="shared" si="5"/>
        <v>0</v>
      </c>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row>
    <row r="41" spans="1:81" ht="12" hidden="1" thickBot="1">
      <c r="A41" s="588" t="s">
        <v>1468</v>
      </c>
      <c r="B41" s="522" t="s">
        <v>947</v>
      </c>
      <c r="C41" s="522" t="s">
        <v>948</v>
      </c>
      <c r="D41" s="523" t="s">
        <v>756</v>
      </c>
      <c r="E41" s="962"/>
      <c r="F41" s="962"/>
      <c r="G41" s="962"/>
      <c r="H41" s="962"/>
      <c r="I41" s="962"/>
      <c r="J41" s="962"/>
      <c r="K41" s="962"/>
      <c r="L41" s="962"/>
      <c r="M41" s="962"/>
      <c r="N41" s="962"/>
      <c r="O41" s="962"/>
      <c r="P41" s="962"/>
      <c r="Q41" s="962"/>
      <c r="R41" s="962"/>
      <c r="S41" s="527">
        <f t="shared" si="6"/>
        <v>0</v>
      </c>
      <c r="T41" s="528">
        <f t="shared" si="7"/>
        <v>0</v>
      </c>
      <c r="U41" s="527">
        <f t="shared" si="8"/>
        <v>0</v>
      </c>
      <c r="W41" s="326">
        <f t="shared" si="3"/>
        <v>0</v>
      </c>
      <c r="X41" s="261">
        <f t="shared" si="4"/>
        <v>0</v>
      </c>
      <c r="Y41" s="58"/>
      <c r="Z41" s="1016">
        <f t="shared" si="5"/>
        <v>0</v>
      </c>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row>
    <row r="42" spans="1:81" ht="12" hidden="1" thickBot="1">
      <c r="A42" s="588" t="s">
        <v>1468</v>
      </c>
      <c r="B42" s="522" t="s">
        <v>189</v>
      </c>
      <c r="C42" s="522" t="s">
        <v>208</v>
      </c>
      <c r="D42" s="533" t="s">
        <v>675</v>
      </c>
      <c r="E42" s="960">
        <v>48922696</v>
      </c>
      <c r="F42" s="961">
        <v>750</v>
      </c>
      <c r="G42" s="961">
        <v>180525</v>
      </c>
      <c r="H42" s="961">
        <v>1414844</v>
      </c>
      <c r="I42" s="962"/>
      <c r="J42" s="961">
        <v>51887</v>
      </c>
      <c r="K42" s="961">
        <v>668312</v>
      </c>
      <c r="L42" s="961"/>
      <c r="M42" s="961">
        <v>126359</v>
      </c>
      <c r="N42" s="962"/>
      <c r="O42" s="961">
        <v>150007</v>
      </c>
      <c r="P42" s="962"/>
      <c r="Q42" s="962"/>
      <c r="R42" s="961">
        <v>2592684</v>
      </c>
      <c r="S42" s="527">
        <f t="shared" ref="S42:S47" si="9">G42+H42+I42</f>
        <v>1595369</v>
      </c>
      <c r="T42" s="528">
        <f t="shared" ref="T42:T47" si="10">J42+K42</f>
        <v>720199</v>
      </c>
      <c r="U42" s="527">
        <f t="shared" ref="U42:U47" si="11">N42+O42</f>
        <v>150007</v>
      </c>
      <c r="W42" s="326">
        <f>SUM(F42:Q42)</f>
        <v>2592684</v>
      </c>
      <c r="X42" s="261">
        <f>W42-R42</f>
        <v>0</v>
      </c>
      <c r="Y42" s="58"/>
      <c r="Z42" s="1016">
        <f t="shared" si="5"/>
        <v>2316318</v>
      </c>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row>
    <row r="43" spans="1:81" ht="12" hidden="1" thickBot="1">
      <c r="A43" s="588" t="s">
        <v>1468</v>
      </c>
      <c r="B43" s="522" t="s">
        <v>209</v>
      </c>
      <c r="C43" s="522" t="s">
        <v>210</v>
      </c>
      <c r="D43" s="523" t="s">
        <v>459</v>
      </c>
      <c r="E43" s="960"/>
      <c r="F43" s="962"/>
      <c r="G43" s="961"/>
      <c r="H43" s="962"/>
      <c r="I43" s="962"/>
      <c r="J43" s="962"/>
      <c r="K43" s="961"/>
      <c r="L43" s="962"/>
      <c r="M43" s="961"/>
      <c r="N43" s="962"/>
      <c r="O43" s="962"/>
      <c r="P43" s="962"/>
      <c r="Q43" s="962"/>
      <c r="R43" s="961"/>
      <c r="S43" s="527">
        <f t="shared" si="9"/>
        <v>0</v>
      </c>
      <c r="T43" s="528">
        <f t="shared" si="10"/>
        <v>0</v>
      </c>
      <c r="U43" s="527">
        <f t="shared" si="11"/>
        <v>0</v>
      </c>
      <c r="W43" s="326">
        <f t="shared" si="3"/>
        <v>0</v>
      </c>
      <c r="X43" s="261">
        <f t="shared" si="4"/>
        <v>0</v>
      </c>
      <c r="Y43" s="58"/>
      <c r="Z43" s="1016">
        <f t="shared" si="5"/>
        <v>0</v>
      </c>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row>
    <row r="44" spans="1:81" ht="12" hidden="1" thickBot="1">
      <c r="A44" s="588" t="s">
        <v>1468</v>
      </c>
      <c r="B44" s="522" t="s">
        <v>211</v>
      </c>
      <c r="C44" s="522" t="s">
        <v>212</v>
      </c>
      <c r="D44" s="523" t="s">
        <v>459</v>
      </c>
      <c r="E44" s="960"/>
      <c r="F44" s="962"/>
      <c r="G44" s="961"/>
      <c r="H44" s="962"/>
      <c r="I44" s="962"/>
      <c r="J44" s="962"/>
      <c r="K44" s="961"/>
      <c r="L44" s="962"/>
      <c r="M44" s="961"/>
      <c r="N44" s="962"/>
      <c r="O44" s="962"/>
      <c r="P44" s="962"/>
      <c r="Q44" s="962"/>
      <c r="R44" s="961"/>
      <c r="S44" s="527">
        <f t="shared" si="9"/>
        <v>0</v>
      </c>
      <c r="T44" s="528">
        <f t="shared" si="10"/>
        <v>0</v>
      </c>
      <c r="U44" s="527">
        <f t="shared" si="11"/>
        <v>0</v>
      </c>
      <c r="W44" s="326">
        <f t="shared" si="3"/>
        <v>0</v>
      </c>
      <c r="X44" s="261">
        <f t="shared" si="4"/>
        <v>0</v>
      </c>
      <c r="Y44" s="58"/>
      <c r="Z44" s="1016">
        <f t="shared" si="5"/>
        <v>0</v>
      </c>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row>
    <row r="45" spans="1:81" ht="12" hidden="1" thickBot="1">
      <c r="A45" s="588" t="s">
        <v>1468</v>
      </c>
      <c r="B45" s="522" t="s">
        <v>213</v>
      </c>
      <c r="C45" s="522" t="s">
        <v>214</v>
      </c>
      <c r="D45" s="523" t="s">
        <v>459</v>
      </c>
      <c r="E45" s="960"/>
      <c r="F45" s="962"/>
      <c r="G45" s="961"/>
      <c r="H45" s="962"/>
      <c r="I45" s="962"/>
      <c r="J45" s="962"/>
      <c r="K45" s="961"/>
      <c r="L45" s="962"/>
      <c r="M45" s="961"/>
      <c r="N45" s="962"/>
      <c r="O45" s="962"/>
      <c r="P45" s="962"/>
      <c r="Q45" s="962"/>
      <c r="R45" s="961"/>
      <c r="S45" s="527">
        <f t="shared" si="9"/>
        <v>0</v>
      </c>
      <c r="T45" s="528">
        <f t="shared" si="10"/>
        <v>0</v>
      </c>
      <c r="U45" s="527">
        <f t="shared" si="11"/>
        <v>0</v>
      </c>
      <c r="W45" s="326">
        <f t="shared" si="3"/>
        <v>0</v>
      </c>
      <c r="X45" s="261">
        <f t="shared" si="4"/>
        <v>0</v>
      </c>
      <c r="Y45" s="58"/>
      <c r="Z45" s="1016">
        <f t="shared" si="5"/>
        <v>0</v>
      </c>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row>
    <row r="46" spans="1:81" ht="12" hidden="1" thickBot="1">
      <c r="A46" s="588" t="s">
        <v>1468</v>
      </c>
      <c r="B46" s="522" t="s">
        <v>949</v>
      </c>
      <c r="C46" s="522" t="s">
        <v>943</v>
      </c>
      <c r="D46" s="523" t="s">
        <v>1042</v>
      </c>
      <c r="E46" s="962"/>
      <c r="F46" s="962"/>
      <c r="G46" s="962"/>
      <c r="H46" s="962"/>
      <c r="I46" s="962"/>
      <c r="J46" s="962"/>
      <c r="K46" s="962"/>
      <c r="L46" s="962"/>
      <c r="M46" s="962"/>
      <c r="N46" s="962"/>
      <c r="O46" s="962"/>
      <c r="P46" s="962"/>
      <c r="Q46" s="962"/>
      <c r="R46" s="962"/>
      <c r="S46" s="527">
        <f t="shared" si="9"/>
        <v>0</v>
      </c>
      <c r="T46" s="528">
        <f t="shared" si="10"/>
        <v>0</v>
      </c>
      <c r="U46" s="527">
        <f t="shared" si="11"/>
        <v>0</v>
      </c>
      <c r="W46" s="326">
        <f t="shared" si="3"/>
        <v>0</v>
      </c>
      <c r="X46" s="261">
        <f t="shared" si="4"/>
        <v>0</v>
      </c>
      <c r="Y46" s="58"/>
      <c r="Z46" s="1016">
        <f t="shared" si="5"/>
        <v>0</v>
      </c>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row>
    <row r="47" spans="1:81" ht="12" hidden="1" thickBot="1">
      <c r="A47" s="588" t="s">
        <v>1468</v>
      </c>
      <c r="B47" s="522" t="s">
        <v>190</v>
      </c>
      <c r="C47" s="522" t="s">
        <v>111</v>
      </c>
      <c r="D47" s="523" t="s">
        <v>15</v>
      </c>
      <c r="E47" s="960">
        <v>736688064</v>
      </c>
      <c r="F47" s="961">
        <v>4602781</v>
      </c>
      <c r="G47" s="961">
        <v>33423537</v>
      </c>
      <c r="H47" s="961">
        <v>21305019</v>
      </c>
      <c r="I47" s="961">
        <v>2320567</v>
      </c>
      <c r="J47" s="962"/>
      <c r="K47" s="962"/>
      <c r="L47" s="961">
        <v>767580</v>
      </c>
      <c r="M47" s="961">
        <v>1902737</v>
      </c>
      <c r="N47" s="961">
        <v>2258840</v>
      </c>
      <c r="O47" s="962"/>
      <c r="P47" s="962"/>
      <c r="Q47" s="961"/>
      <c r="R47" s="961">
        <v>66581061</v>
      </c>
      <c r="S47" s="527">
        <f t="shared" si="9"/>
        <v>57049123</v>
      </c>
      <c r="T47" s="528">
        <f t="shared" si="10"/>
        <v>0</v>
      </c>
      <c r="U47" s="527">
        <f t="shared" si="11"/>
        <v>2258840</v>
      </c>
      <c r="W47" s="326">
        <f t="shared" si="3"/>
        <v>66581061</v>
      </c>
      <c r="X47" s="261">
        <f t="shared" si="4"/>
        <v>0</v>
      </c>
      <c r="Y47" s="58"/>
      <c r="Z47" s="1016">
        <f t="shared" si="5"/>
        <v>61651904</v>
      </c>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row>
    <row r="48" spans="1:81" ht="12" hidden="1" thickBot="1">
      <c r="A48" s="588" t="s">
        <v>1468</v>
      </c>
      <c r="B48" s="522" t="s">
        <v>191</v>
      </c>
      <c r="C48" s="522" t="s">
        <v>215</v>
      </c>
      <c r="D48" s="523" t="s">
        <v>15</v>
      </c>
      <c r="E48" s="960"/>
      <c r="F48" s="961"/>
      <c r="G48" s="961"/>
      <c r="H48" s="961"/>
      <c r="I48" s="961"/>
      <c r="J48" s="962"/>
      <c r="K48" s="962"/>
      <c r="L48" s="961"/>
      <c r="M48" s="961"/>
      <c r="N48" s="961"/>
      <c r="O48" s="962"/>
      <c r="P48" s="962"/>
      <c r="Q48" s="961"/>
      <c r="R48" s="961"/>
      <c r="S48" s="527">
        <f t="shared" ref="S48:S111" si="12">G48+H48+I48</f>
        <v>0</v>
      </c>
      <c r="T48" s="528">
        <f t="shared" ref="T48:T111" si="13">J48+K48</f>
        <v>0</v>
      </c>
      <c r="U48" s="527">
        <f t="shared" ref="U48:U111" si="14">N48+O48</f>
        <v>0</v>
      </c>
      <c r="W48" s="326">
        <f t="shared" si="3"/>
        <v>0</v>
      </c>
      <c r="X48" s="261">
        <f t="shared" si="4"/>
        <v>0</v>
      </c>
      <c r="Y48" s="58"/>
      <c r="Z48" s="1016">
        <f t="shared" si="5"/>
        <v>0</v>
      </c>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row>
    <row r="49" spans="1:81" ht="12" hidden="1" thickBot="1">
      <c r="A49" s="588" t="s">
        <v>1468</v>
      </c>
      <c r="B49" s="522" t="s">
        <v>192</v>
      </c>
      <c r="C49" s="522" t="s">
        <v>216</v>
      </c>
      <c r="D49" s="523" t="s">
        <v>15</v>
      </c>
      <c r="E49" s="960"/>
      <c r="F49" s="961"/>
      <c r="G49" s="961"/>
      <c r="H49" s="961"/>
      <c r="I49" s="961"/>
      <c r="J49" s="962"/>
      <c r="K49" s="962"/>
      <c r="L49" s="961"/>
      <c r="M49" s="961"/>
      <c r="N49" s="961"/>
      <c r="O49" s="962"/>
      <c r="P49" s="962"/>
      <c r="Q49" s="962"/>
      <c r="R49" s="961"/>
      <c r="S49" s="527">
        <f t="shared" si="12"/>
        <v>0</v>
      </c>
      <c r="T49" s="528">
        <f t="shared" si="13"/>
        <v>0</v>
      </c>
      <c r="U49" s="527">
        <f t="shared" si="14"/>
        <v>0</v>
      </c>
      <c r="W49" s="326">
        <f t="shared" si="3"/>
        <v>0</v>
      </c>
      <c r="X49" s="261">
        <f t="shared" si="4"/>
        <v>0</v>
      </c>
      <c r="Y49" s="58"/>
      <c r="Z49" s="1016">
        <f t="shared" si="5"/>
        <v>0</v>
      </c>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row>
    <row r="50" spans="1:81" ht="12" hidden="1" thickBot="1">
      <c r="A50" s="588" t="s">
        <v>1468</v>
      </c>
      <c r="B50" s="522" t="s">
        <v>477</v>
      </c>
      <c r="C50" s="522" t="s">
        <v>1263</v>
      </c>
      <c r="D50" s="523" t="s">
        <v>807</v>
      </c>
      <c r="E50" s="960"/>
      <c r="F50" s="961"/>
      <c r="G50" s="961"/>
      <c r="H50" s="961"/>
      <c r="I50" s="961"/>
      <c r="J50" s="962"/>
      <c r="K50" s="962"/>
      <c r="L50" s="961"/>
      <c r="M50" s="961"/>
      <c r="N50" s="961"/>
      <c r="O50" s="962"/>
      <c r="P50" s="962"/>
      <c r="Q50" s="962"/>
      <c r="R50" s="961"/>
      <c r="S50" s="527">
        <f t="shared" si="12"/>
        <v>0</v>
      </c>
      <c r="T50" s="528">
        <f t="shared" si="13"/>
        <v>0</v>
      </c>
      <c r="U50" s="527">
        <f t="shared" si="14"/>
        <v>0</v>
      </c>
      <c r="W50" s="326">
        <f t="shared" si="3"/>
        <v>0</v>
      </c>
      <c r="X50" s="261">
        <f t="shared" si="4"/>
        <v>0</v>
      </c>
      <c r="Y50" s="58"/>
      <c r="Z50" s="1016">
        <f t="shared" si="5"/>
        <v>0</v>
      </c>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row>
    <row r="51" spans="1:81" ht="12" hidden="1" thickBot="1">
      <c r="A51" s="588" t="s">
        <v>1468</v>
      </c>
      <c r="B51" s="522" t="s">
        <v>193</v>
      </c>
      <c r="C51" s="522" t="s">
        <v>217</v>
      </c>
      <c r="D51" s="523" t="s">
        <v>15</v>
      </c>
      <c r="E51" s="960"/>
      <c r="F51" s="961"/>
      <c r="G51" s="961"/>
      <c r="H51" s="961"/>
      <c r="I51" s="961"/>
      <c r="J51" s="962"/>
      <c r="K51" s="962"/>
      <c r="L51" s="961"/>
      <c r="M51" s="961"/>
      <c r="N51" s="961"/>
      <c r="O51" s="962"/>
      <c r="P51" s="962"/>
      <c r="Q51" s="962"/>
      <c r="R51" s="961"/>
      <c r="S51" s="527">
        <f t="shared" si="12"/>
        <v>0</v>
      </c>
      <c r="T51" s="528">
        <f t="shared" si="13"/>
        <v>0</v>
      </c>
      <c r="U51" s="527">
        <f t="shared" si="14"/>
        <v>0</v>
      </c>
      <c r="W51" s="326">
        <f t="shared" si="3"/>
        <v>0</v>
      </c>
      <c r="X51" s="261">
        <f t="shared" si="4"/>
        <v>0</v>
      </c>
      <c r="Y51" s="58"/>
      <c r="Z51" s="1016">
        <f t="shared" si="5"/>
        <v>0</v>
      </c>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row>
    <row r="52" spans="1:81" ht="12" hidden="1" thickBot="1">
      <c r="A52" s="588" t="s">
        <v>1468</v>
      </c>
      <c r="B52" s="522" t="s">
        <v>194</v>
      </c>
      <c r="C52" s="522" t="s">
        <v>218</v>
      </c>
      <c r="D52" s="523" t="s">
        <v>15</v>
      </c>
      <c r="E52" s="960"/>
      <c r="F52" s="961"/>
      <c r="G52" s="961"/>
      <c r="H52" s="961"/>
      <c r="I52" s="961"/>
      <c r="J52" s="962"/>
      <c r="K52" s="962"/>
      <c r="L52" s="961"/>
      <c r="M52" s="961"/>
      <c r="N52" s="961"/>
      <c r="O52" s="962"/>
      <c r="P52" s="962"/>
      <c r="Q52" s="962"/>
      <c r="R52" s="961"/>
      <c r="S52" s="527">
        <f t="shared" si="12"/>
        <v>0</v>
      </c>
      <c r="T52" s="528">
        <f t="shared" si="13"/>
        <v>0</v>
      </c>
      <c r="U52" s="527">
        <f t="shared" si="14"/>
        <v>0</v>
      </c>
      <c r="W52" s="326">
        <f t="shared" si="3"/>
        <v>0</v>
      </c>
      <c r="X52" s="261">
        <f t="shared" si="4"/>
        <v>0</v>
      </c>
      <c r="Y52" s="58"/>
      <c r="Z52" s="1016">
        <f t="shared" si="5"/>
        <v>0</v>
      </c>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row>
    <row r="53" spans="1:81" ht="12" hidden="1" thickBot="1">
      <c r="A53" s="588" t="s">
        <v>1468</v>
      </c>
      <c r="B53" s="522" t="s">
        <v>950</v>
      </c>
      <c r="C53" s="522" t="s">
        <v>951</v>
      </c>
      <c r="D53" s="523" t="s">
        <v>1042</v>
      </c>
      <c r="E53" s="962"/>
      <c r="F53" s="962"/>
      <c r="G53" s="962"/>
      <c r="H53" s="962"/>
      <c r="I53" s="962"/>
      <c r="J53" s="962"/>
      <c r="K53" s="962"/>
      <c r="L53" s="962"/>
      <c r="M53" s="962"/>
      <c r="N53" s="962"/>
      <c r="O53" s="962"/>
      <c r="P53" s="962"/>
      <c r="Q53" s="962"/>
      <c r="R53" s="962"/>
      <c r="S53" s="527">
        <f t="shared" si="12"/>
        <v>0</v>
      </c>
      <c r="T53" s="528">
        <f t="shared" si="13"/>
        <v>0</v>
      </c>
      <c r="U53" s="527">
        <f t="shared" si="14"/>
        <v>0</v>
      </c>
      <c r="W53" s="326">
        <f t="shared" si="3"/>
        <v>0</v>
      </c>
      <c r="X53" s="261">
        <f t="shared" si="4"/>
        <v>0</v>
      </c>
      <c r="Y53" s="58"/>
      <c r="Z53" s="1016">
        <f t="shared" si="5"/>
        <v>0</v>
      </c>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row>
    <row r="54" spans="1:81" ht="12" hidden="1" thickBot="1">
      <c r="A54" s="588" t="s">
        <v>1468</v>
      </c>
      <c r="B54" s="522" t="s">
        <v>339</v>
      </c>
      <c r="C54" s="522" t="s">
        <v>952</v>
      </c>
      <c r="D54" s="533" t="s">
        <v>1035</v>
      </c>
      <c r="E54" s="960"/>
      <c r="F54" s="962"/>
      <c r="G54" s="961"/>
      <c r="H54" s="962"/>
      <c r="I54" s="962"/>
      <c r="J54" s="962"/>
      <c r="K54" s="962"/>
      <c r="L54" s="962"/>
      <c r="M54" s="961"/>
      <c r="N54" s="961"/>
      <c r="O54" s="962"/>
      <c r="P54" s="962"/>
      <c r="Q54" s="961"/>
      <c r="R54" s="961"/>
      <c r="S54" s="527">
        <f t="shared" si="12"/>
        <v>0</v>
      </c>
      <c r="T54" s="528">
        <f t="shared" si="13"/>
        <v>0</v>
      </c>
      <c r="U54" s="527">
        <f t="shared" si="14"/>
        <v>0</v>
      </c>
      <c r="W54" s="326">
        <f t="shared" si="3"/>
        <v>0</v>
      </c>
      <c r="X54" s="261">
        <f t="shared" si="4"/>
        <v>0</v>
      </c>
      <c r="Y54" s="58"/>
      <c r="Z54" s="1016">
        <f t="shared" si="5"/>
        <v>0</v>
      </c>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row>
    <row r="55" spans="1:81" ht="12" hidden="1" thickBot="1">
      <c r="A55" s="588" t="s">
        <v>1468</v>
      </c>
      <c r="B55" s="522" t="s">
        <v>344</v>
      </c>
      <c r="C55" s="522" t="s">
        <v>953</v>
      </c>
      <c r="D55" s="533" t="s">
        <v>1035</v>
      </c>
      <c r="E55" s="960"/>
      <c r="F55" s="962"/>
      <c r="G55" s="961"/>
      <c r="H55" s="962"/>
      <c r="I55" s="962"/>
      <c r="J55" s="962"/>
      <c r="K55" s="962"/>
      <c r="L55" s="962"/>
      <c r="M55" s="961"/>
      <c r="N55" s="961"/>
      <c r="O55" s="962"/>
      <c r="P55" s="962"/>
      <c r="Q55" s="961"/>
      <c r="R55" s="961"/>
      <c r="S55" s="527">
        <f t="shared" si="12"/>
        <v>0</v>
      </c>
      <c r="T55" s="528">
        <f t="shared" si="13"/>
        <v>0</v>
      </c>
      <c r="U55" s="527">
        <f t="shared" si="14"/>
        <v>0</v>
      </c>
      <c r="W55" s="326">
        <f t="shared" si="3"/>
        <v>0</v>
      </c>
      <c r="X55" s="261">
        <f t="shared" si="4"/>
        <v>0</v>
      </c>
      <c r="Y55" s="58"/>
      <c r="Z55" s="1016">
        <f t="shared" si="5"/>
        <v>0</v>
      </c>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row>
    <row r="56" spans="1:81" ht="12" hidden="1" thickBot="1">
      <c r="A56" s="588" t="s">
        <v>1468</v>
      </c>
      <c r="B56" s="522" t="s">
        <v>347</v>
      </c>
      <c r="C56" s="522" t="s">
        <v>954</v>
      </c>
      <c r="D56" s="533" t="s">
        <v>1035</v>
      </c>
      <c r="E56" s="960"/>
      <c r="F56" s="962"/>
      <c r="G56" s="961"/>
      <c r="H56" s="962"/>
      <c r="I56" s="962"/>
      <c r="J56" s="962"/>
      <c r="K56" s="962"/>
      <c r="L56" s="962"/>
      <c r="M56" s="961"/>
      <c r="N56" s="961"/>
      <c r="O56" s="962"/>
      <c r="P56" s="962"/>
      <c r="Q56" s="961"/>
      <c r="R56" s="961"/>
      <c r="S56" s="527">
        <f t="shared" si="12"/>
        <v>0</v>
      </c>
      <c r="T56" s="528">
        <f t="shared" si="13"/>
        <v>0</v>
      </c>
      <c r="U56" s="527">
        <f t="shared" si="14"/>
        <v>0</v>
      </c>
      <c r="W56" s="326">
        <f t="shared" si="3"/>
        <v>0</v>
      </c>
      <c r="X56" s="261">
        <f t="shared" si="4"/>
        <v>0</v>
      </c>
      <c r="Y56" s="58"/>
      <c r="Z56" s="1016">
        <f t="shared" si="5"/>
        <v>0</v>
      </c>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row>
    <row r="57" spans="1:81" ht="12" hidden="1" thickBot="1">
      <c r="A57" s="588" t="s">
        <v>1468</v>
      </c>
      <c r="B57" s="522" t="s">
        <v>348</v>
      </c>
      <c r="C57" s="522" t="s">
        <v>955</v>
      </c>
      <c r="D57" s="533" t="s">
        <v>1035</v>
      </c>
      <c r="E57" s="960"/>
      <c r="F57" s="962"/>
      <c r="G57" s="961"/>
      <c r="H57" s="962"/>
      <c r="I57" s="962"/>
      <c r="J57" s="962"/>
      <c r="K57" s="962"/>
      <c r="L57" s="962"/>
      <c r="M57" s="961"/>
      <c r="N57" s="961"/>
      <c r="O57" s="962"/>
      <c r="P57" s="962"/>
      <c r="Q57" s="961"/>
      <c r="R57" s="961"/>
      <c r="S57" s="527">
        <f t="shared" si="12"/>
        <v>0</v>
      </c>
      <c r="T57" s="528">
        <f t="shared" si="13"/>
        <v>0</v>
      </c>
      <c r="U57" s="527">
        <f t="shared" si="14"/>
        <v>0</v>
      </c>
      <c r="W57" s="326">
        <f t="shared" si="3"/>
        <v>0</v>
      </c>
      <c r="X57" s="261">
        <f t="shared" si="4"/>
        <v>0</v>
      </c>
      <c r="Y57" s="58"/>
      <c r="Z57" s="1016">
        <f t="shared" si="5"/>
        <v>0</v>
      </c>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row>
    <row r="58" spans="1:81" ht="12" hidden="1" thickBot="1">
      <c r="A58" s="588" t="s">
        <v>1468</v>
      </c>
      <c r="B58" s="522" t="s">
        <v>349</v>
      </c>
      <c r="C58" s="522" t="s">
        <v>956</v>
      </c>
      <c r="D58" s="533" t="s">
        <v>1035</v>
      </c>
      <c r="E58" s="960"/>
      <c r="F58" s="962"/>
      <c r="G58" s="961"/>
      <c r="H58" s="962"/>
      <c r="I58" s="962"/>
      <c r="J58" s="962"/>
      <c r="K58" s="962"/>
      <c r="L58" s="962"/>
      <c r="M58" s="961"/>
      <c r="N58" s="961"/>
      <c r="O58" s="962"/>
      <c r="P58" s="962"/>
      <c r="Q58" s="961"/>
      <c r="R58" s="961"/>
      <c r="S58" s="527">
        <f t="shared" si="12"/>
        <v>0</v>
      </c>
      <c r="T58" s="528">
        <f t="shared" si="13"/>
        <v>0</v>
      </c>
      <c r="U58" s="527">
        <f t="shared" si="14"/>
        <v>0</v>
      </c>
      <c r="W58" s="326">
        <f t="shared" si="3"/>
        <v>0</v>
      </c>
      <c r="X58" s="261">
        <f t="shared" si="4"/>
        <v>0</v>
      </c>
      <c r="Y58" s="58"/>
      <c r="Z58" s="1016">
        <f t="shared" si="5"/>
        <v>0</v>
      </c>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row>
    <row r="59" spans="1:81" ht="12" hidden="1" thickBot="1">
      <c r="A59" s="588" t="s">
        <v>1468</v>
      </c>
      <c r="B59" s="522" t="s">
        <v>351</v>
      </c>
      <c r="C59" s="522" t="s">
        <v>957</v>
      </c>
      <c r="D59" s="533" t="s">
        <v>1035</v>
      </c>
      <c r="E59" s="960"/>
      <c r="F59" s="962"/>
      <c r="G59" s="961"/>
      <c r="H59" s="962"/>
      <c r="I59" s="962"/>
      <c r="J59" s="962"/>
      <c r="K59" s="962"/>
      <c r="L59" s="962"/>
      <c r="M59" s="961"/>
      <c r="N59" s="961"/>
      <c r="O59" s="962"/>
      <c r="P59" s="962"/>
      <c r="Q59" s="961"/>
      <c r="R59" s="961"/>
      <c r="S59" s="527">
        <f t="shared" si="12"/>
        <v>0</v>
      </c>
      <c r="T59" s="528">
        <f t="shared" si="13"/>
        <v>0</v>
      </c>
      <c r="U59" s="527">
        <f t="shared" si="14"/>
        <v>0</v>
      </c>
      <c r="W59" s="326">
        <f t="shared" si="3"/>
        <v>0</v>
      </c>
      <c r="X59" s="261">
        <f t="shared" si="4"/>
        <v>0</v>
      </c>
      <c r="Y59" s="58"/>
      <c r="Z59" s="1016">
        <f t="shared" si="5"/>
        <v>0</v>
      </c>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row>
    <row r="60" spans="1:81" ht="12" hidden="1" thickBot="1">
      <c r="A60" s="588" t="s">
        <v>1468</v>
      </c>
      <c r="B60" s="522" t="s">
        <v>352</v>
      </c>
      <c r="C60" s="522" t="s">
        <v>958</v>
      </c>
      <c r="D60" s="533" t="s">
        <v>1035</v>
      </c>
      <c r="E60" s="960"/>
      <c r="F60" s="962"/>
      <c r="G60" s="961"/>
      <c r="H60" s="962"/>
      <c r="I60" s="962"/>
      <c r="J60" s="962"/>
      <c r="K60" s="962"/>
      <c r="L60" s="962"/>
      <c r="M60" s="961"/>
      <c r="N60" s="961"/>
      <c r="O60" s="962"/>
      <c r="P60" s="962"/>
      <c r="Q60" s="961"/>
      <c r="R60" s="961"/>
      <c r="S60" s="527">
        <f t="shared" si="12"/>
        <v>0</v>
      </c>
      <c r="T60" s="528">
        <f t="shared" si="13"/>
        <v>0</v>
      </c>
      <c r="U60" s="527">
        <f t="shared" si="14"/>
        <v>0</v>
      </c>
      <c r="W60" s="326">
        <f t="shared" si="3"/>
        <v>0</v>
      </c>
      <c r="X60" s="261">
        <f t="shared" si="4"/>
        <v>0</v>
      </c>
      <c r="Y60" s="58"/>
      <c r="Z60" s="1016">
        <f t="shared" si="5"/>
        <v>0</v>
      </c>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row>
    <row r="61" spans="1:81" ht="12" hidden="1" thickBot="1">
      <c r="A61" s="588" t="s">
        <v>1468</v>
      </c>
      <c r="B61" s="522" t="s">
        <v>354</v>
      </c>
      <c r="C61" s="522" t="s">
        <v>959</v>
      </c>
      <c r="D61" s="533" t="s">
        <v>1035</v>
      </c>
      <c r="E61" s="960"/>
      <c r="F61" s="962"/>
      <c r="G61" s="961"/>
      <c r="H61" s="962"/>
      <c r="I61" s="962"/>
      <c r="J61" s="962"/>
      <c r="K61" s="962"/>
      <c r="L61" s="962"/>
      <c r="M61" s="961"/>
      <c r="N61" s="961"/>
      <c r="O61" s="962"/>
      <c r="P61" s="962"/>
      <c r="Q61" s="961"/>
      <c r="R61" s="961"/>
      <c r="S61" s="527">
        <f t="shared" si="12"/>
        <v>0</v>
      </c>
      <c r="T61" s="528">
        <f t="shared" si="13"/>
        <v>0</v>
      </c>
      <c r="U61" s="527">
        <f t="shared" si="14"/>
        <v>0</v>
      </c>
      <c r="W61" s="326">
        <f t="shared" si="3"/>
        <v>0</v>
      </c>
      <c r="X61" s="261">
        <f t="shared" si="4"/>
        <v>0</v>
      </c>
      <c r="Y61" s="58"/>
      <c r="Z61" s="1016">
        <f t="shared" si="5"/>
        <v>0</v>
      </c>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row>
    <row r="62" spans="1:81" ht="12" hidden="1" thickBot="1">
      <c r="A62" s="588" t="s">
        <v>1468</v>
      </c>
      <c r="B62" s="522" t="s">
        <v>355</v>
      </c>
      <c r="C62" s="522" t="s">
        <v>960</v>
      </c>
      <c r="D62" s="533" t="s">
        <v>1035</v>
      </c>
      <c r="E62" s="960"/>
      <c r="F62" s="962"/>
      <c r="G62" s="961"/>
      <c r="H62" s="962"/>
      <c r="I62" s="962"/>
      <c r="J62" s="962"/>
      <c r="K62" s="962"/>
      <c r="L62" s="962"/>
      <c r="M62" s="961"/>
      <c r="N62" s="961"/>
      <c r="O62" s="962"/>
      <c r="P62" s="962"/>
      <c r="Q62" s="961"/>
      <c r="R62" s="961"/>
      <c r="S62" s="527">
        <f t="shared" si="12"/>
        <v>0</v>
      </c>
      <c r="T62" s="528">
        <f t="shared" si="13"/>
        <v>0</v>
      </c>
      <c r="U62" s="527">
        <f t="shared" si="14"/>
        <v>0</v>
      </c>
      <c r="W62" s="326">
        <f t="shared" si="3"/>
        <v>0</v>
      </c>
      <c r="X62" s="261">
        <f t="shared" si="4"/>
        <v>0</v>
      </c>
      <c r="Y62" s="58"/>
      <c r="Z62" s="1016">
        <f t="shared" si="5"/>
        <v>0</v>
      </c>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row>
    <row r="63" spans="1:81" ht="12" hidden="1" thickBot="1">
      <c r="A63" s="588" t="s">
        <v>1468</v>
      </c>
      <c r="B63" s="522" t="s">
        <v>341</v>
      </c>
      <c r="C63" s="522" t="s">
        <v>961</v>
      </c>
      <c r="D63" s="533" t="s">
        <v>1035</v>
      </c>
      <c r="E63" s="960"/>
      <c r="F63" s="962"/>
      <c r="G63" s="961"/>
      <c r="H63" s="962"/>
      <c r="I63" s="962"/>
      <c r="J63" s="962"/>
      <c r="K63" s="962"/>
      <c r="L63" s="962"/>
      <c r="M63" s="961"/>
      <c r="N63" s="961"/>
      <c r="O63" s="962"/>
      <c r="P63" s="962"/>
      <c r="Q63" s="961"/>
      <c r="R63" s="961"/>
      <c r="S63" s="527">
        <f t="shared" si="12"/>
        <v>0</v>
      </c>
      <c r="T63" s="528">
        <f t="shared" si="13"/>
        <v>0</v>
      </c>
      <c r="U63" s="527">
        <f t="shared" si="14"/>
        <v>0</v>
      </c>
      <c r="W63" s="326">
        <f t="shared" si="3"/>
        <v>0</v>
      </c>
      <c r="X63" s="261">
        <f t="shared" si="4"/>
        <v>0</v>
      </c>
      <c r="Y63" s="58"/>
      <c r="Z63" s="1016">
        <f t="shared" si="5"/>
        <v>0</v>
      </c>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row>
    <row r="64" spans="1:81" ht="12" hidden="1" thickBot="1">
      <c r="A64" s="588" t="s">
        <v>1468</v>
      </c>
      <c r="B64" s="522" t="s">
        <v>350</v>
      </c>
      <c r="C64" s="522" t="s">
        <v>962</v>
      </c>
      <c r="D64" s="533" t="s">
        <v>1035</v>
      </c>
      <c r="E64" s="960"/>
      <c r="F64" s="962"/>
      <c r="G64" s="961"/>
      <c r="H64" s="962"/>
      <c r="I64" s="962"/>
      <c r="J64" s="962"/>
      <c r="K64" s="962"/>
      <c r="L64" s="962"/>
      <c r="M64" s="961"/>
      <c r="N64" s="961"/>
      <c r="O64" s="962"/>
      <c r="P64" s="962"/>
      <c r="Q64" s="961"/>
      <c r="R64" s="961"/>
      <c r="S64" s="527">
        <f t="shared" si="12"/>
        <v>0</v>
      </c>
      <c r="T64" s="528">
        <f t="shared" si="13"/>
        <v>0</v>
      </c>
      <c r="U64" s="527">
        <f t="shared" si="14"/>
        <v>0</v>
      </c>
      <c r="W64" s="326">
        <f t="shared" si="3"/>
        <v>0</v>
      </c>
      <c r="X64" s="261">
        <f t="shared" si="4"/>
        <v>0</v>
      </c>
      <c r="Y64" s="58"/>
      <c r="Z64" s="1016">
        <f t="shared" si="5"/>
        <v>0</v>
      </c>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row>
    <row r="65" spans="1:81" ht="12" hidden="1" thickBot="1">
      <c r="A65" s="588" t="s">
        <v>1468</v>
      </c>
      <c r="B65" s="522" t="s">
        <v>342</v>
      </c>
      <c r="C65" s="522" t="s">
        <v>963</v>
      </c>
      <c r="D65" s="533" t="s">
        <v>1035</v>
      </c>
      <c r="E65" s="960"/>
      <c r="F65" s="962"/>
      <c r="G65" s="961"/>
      <c r="H65" s="962"/>
      <c r="I65" s="962"/>
      <c r="J65" s="962"/>
      <c r="K65" s="962"/>
      <c r="L65" s="962"/>
      <c r="M65" s="961"/>
      <c r="N65" s="961"/>
      <c r="O65" s="962"/>
      <c r="P65" s="962"/>
      <c r="Q65" s="961"/>
      <c r="R65" s="961"/>
      <c r="S65" s="527">
        <f t="shared" si="12"/>
        <v>0</v>
      </c>
      <c r="T65" s="528">
        <f t="shared" si="13"/>
        <v>0</v>
      </c>
      <c r="U65" s="527">
        <f t="shared" si="14"/>
        <v>0</v>
      </c>
      <c r="W65" s="326">
        <f t="shared" si="3"/>
        <v>0</v>
      </c>
      <c r="X65" s="261">
        <f t="shared" si="4"/>
        <v>0</v>
      </c>
      <c r="Y65" s="58"/>
      <c r="Z65" s="1016">
        <f t="shared" si="5"/>
        <v>0</v>
      </c>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row>
    <row r="66" spans="1:81" ht="12" hidden="1" thickBot="1">
      <c r="A66" s="588" t="s">
        <v>1468</v>
      </c>
      <c r="B66" s="522" t="s">
        <v>346</v>
      </c>
      <c r="C66" s="522" t="s">
        <v>964</v>
      </c>
      <c r="D66" s="533" t="s">
        <v>1035</v>
      </c>
      <c r="E66" s="960"/>
      <c r="F66" s="962"/>
      <c r="G66" s="961"/>
      <c r="H66" s="962"/>
      <c r="I66" s="962"/>
      <c r="J66" s="962"/>
      <c r="K66" s="962"/>
      <c r="L66" s="962"/>
      <c r="M66" s="961"/>
      <c r="N66" s="961"/>
      <c r="O66" s="962"/>
      <c r="P66" s="962"/>
      <c r="Q66" s="961"/>
      <c r="R66" s="961"/>
      <c r="S66" s="527">
        <f t="shared" si="12"/>
        <v>0</v>
      </c>
      <c r="T66" s="528">
        <f t="shared" si="13"/>
        <v>0</v>
      </c>
      <c r="U66" s="527">
        <f t="shared" si="14"/>
        <v>0</v>
      </c>
      <c r="W66" s="326">
        <f t="shared" si="3"/>
        <v>0</v>
      </c>
      <c r="X66" s="261">
        <f t="shared" si="4"/>
        <v>0</v>
      </c>
      <c r="Y66" s="58"/>
      <c r="Z66" s="1016">
        <f t="shared" si="5"/>
        <v>0</v>
      </c>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row>
    <row r="67" spans="1:81" ht="12" hidden="1" thickBot="1">
      <c r="A67" s="588" t="s">
        <v>1468</v>
      </c>
      <c r="B67" s="522" t="s">
        <v>353</v>
      </c>
      <c r="C67" s="522" t="s">
        <v>965</v>
      </c>
      <c r="D67" s="533" t="s">
        <v>1035</v>
      </c>
      <c r="E67" s="960"/>
      <c r="F67" s="962"/>
      <c r="G67" s="961"/>
      <c r="H67" s="962"/>
      <c r="I67" s="962"/>
      <c r="J67" s="962"/>
      <c r="K67" s="962"/>
      <c r="L67" s="962"/>
      <c r="M67" s="961"/>
      <c r="N67" s="961"/>
      <c r="O67" s="962"/>
      <c r="P67" s="962"/>
      <c r="Q67" s="961"/>
      <c r="R67" s="961"/>
      <c r="S67" s="527">
        <f t="shared" si="12"/>
        <v>0</v>
      </c>
      <c r="T67" s="528">
        <f t="shared" si="13"/>
        <v>0</v>
      </c>
      <c r="U67" s="527">
        <f t="shared" si="14"/>
        <v>0</v>
      </c>
      <c r="W67" s="326">
        <f t="shared" si="3"/>
        <v>0</v>
      </c>
      <c r="X67" s="261">
        <f t="shared" si="4"/>
        <v>0</v>
      </c>
      <c r="Y67" s="58"/>
      <c r="Z67" s="1016">
        <f t="shared" si="5"/>
        <v>0</v>
      </c>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row>
    <row r="68" spans="1:81" ht="12" hidden="1" thickBot="1">
      <c r="A68" s="588" t="s">
        <v>1468</v>
      </c>
      <c r="B68" s="522" t="s">
        <v>345</v>
      </c>
      <c r="C68" s="522" t="s">
        <v>966</v>
      </c>
      <c r="D68" s="533" t="s">
        <v>1035</v>
      </c>
      <c r="E68" s="960"/>
      <c r="F68" s="962"/>
      <c r="G68" s="961"/>
      <c r="H68" s="962"/>
      <c r="I68" s="962"/>
      <c r="J68" s="962"/>
      <c r="K68" s="962"/>
      <c r="L68" s="962"/>
      <c r="M68" s="961"/>
      <c r="N68" s="961"/>
      <c r="O68" s="962"/>
      <c r="P68" s="962"/>
      <c r="Q68" s="961"/>
      <c r="R68" s="961"/>
      <c r="S68" s="527">
        <f t="shared" si="12"/>
        <v>0</v>
      </c>
      <c r="T68" s="528">
        <f t="shared" si="13"/>
        <v>0</v>
      </c>
      <c r="U68" s="527">
        <f t="shared" si="14"/>
        <v>0</v>
      </c>
      <c r="W68" s="326">
        <f t="shared" si="3"/>
        <v>0</v>
      </c>
      <c r="X68" s="261">
        <f t="shared" si="4"/>
        <v>0</v>
      </c>
      <c r="Y68" s="58"/>
      <c r="Z68" s="1016">
        <f t="shared" ref="Z68:Z131" si="15">SUM(F68:K68)</f>
        <v>0</v>
      </c>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row>
    <row r="69" spans="1:81" ht="12" hidden="1" thickBot="1">
      <c r="A69" s="588" t="s">
        <v>1468</v>
      </c>
      <c r="B69" s="522" t="s">
        <v>343</v>
      </c>
      <c r="C69" s="522" t="s">
        <v>967</v>
      </c>
      <c r="D69" s="533" t="s">
        <v>1035</v>
      </c>
      <c r="E69" s="960"/>
      <c r="F69" s="962"/>
      <c r="G69" s="961"/>
      <c r="H69" s="962"/>
      <c r="I69" s="962"/>
      <c r="J69" s="962"/>
      <c r="K69" s="962"/>
      <c r="L69" s="962"/>
      <c r="M69" s="961"/>
      <c r="N69" s="961"/>
      <c r="O69" s="962"/>
      <c r="P69" s="962"/>
      <c r="Q69" s="961"/>
      <c r="R69" s="961"/>
      <c r="S69" s="527">
        <f t="shared" si="12"/>
        <v>0</v>
      </c>
      <c r="T69" s="528">
        <f t="shared" si="13"/>
        <v>0</v>
      </c>
      <c r="U69" s="527">
        <f t="shared" si="14"/>
        <v>0</v>
      </c>
      <c r="W69" s="326">
        <f t="shared" ref="W69:W132" si="16">SUM(F69:Q69)</f>
        <v>0</v>
      </c>
      <c r="X69" s="261">
        <f t="shared" ref="X69:X132" si="17">W69-R69</f>
        <v>0</v>
      </c>
      <c r="Y69" s="58"/>
      <c r="Z69" s="1016">
        <f t="shared" si="15"/>
        <v>0</v>
      </c>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row>
    <row r="70" spans="1:81" ht="12" hidden="1" thickBot="1">
      <c r="A70" s="588" t="s">
        <v>1468</v>
      </c>
      <c r="B70" s="522" t="s">
        <v>472</v>
      </c>
      <c r="C70" s="522" t="s">
        <v>968</v>
      </c>
      <c r="D70" s="533" t="s">
        <v>1035</v>
      </c>
      <c r="E70" s="960"/>
      <c r="F70" s="962"/>
      <c r="G70" s="961"/>
      <c r="H70" s="962"/>
      <c r="I70" s="962"/>
      <c r="J70" s="962"/>
      <c r="K70" s="962"/>
      <c r="L70" s="962"/>
      <c r="M70" s="961"/>
      <c r="N70" s="961"/>
      <c r="O70" s="962"/>
      <c r="P70" s="962"/>
      <c r="Q70" s="962"/>
      <c r="R70" s="961"/>
      <c r="S70" s="527">
        <f t="shared" si="12"/>
        <v>0</v>
      </c>
      <c r="T70" s="528">
        <f t="shared" si="13"/>
        <v>0</v>
      </c>
      <c r="U70" s="527">
        <f t="shared" si="14"/>
        <v>0</v>
      </c>
      <c r="W70" s="326">
        <f t="shared" si="16"/>
        <v>0</v>
      </c>
      <c r="X70" s="261">
        <f t="shared" si="17"/>
        <v>0</v>
      </c>
      <c r="Y70" s="58"/>
      <c r="Z70" s="1016">
        <f t="shared" si="15"/>
        <v>0</v>
      </c>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row>
    <row r="71" spans="1:81" ht="12" hidden="1" thickBot="1">
      <c r="A71" s="588" t="s">
        <v>1468</v>
      </c>
      <c r="B71" s="522" t="s">
        <v>382</v>
      </c>
      <c r="C71" s="522" t="s">
        <v>969</v>
      </c>
      <c r="D71" s="533" t="s">
        <v>1035</v>
      </c>
      <c r="E71" s="960"/>
      <c r="F71" s="962"/>
      <c r="G71" s="961"/>
      <c r="H71" s="962"/>
      <c r="I71" s="962"/>
      <c r="J71" s="962"/>
      <c r="K71" s="962"/>
      <c r="L71" s="962"/>
      <c r="M71" s="961"/>
      <c r="N71" s="961"/>
      <c r="O71" s="962"/>
      <c r="P71" s="962"/>
      <c r="Q71" s="961"/>
      <c r="R71" s="961"/>
      <c r="S71" s="527">
        <f t="shared" si="12"/>
        <v>0</v>
      </c>
      <c r="T71" s="528">
        <f t="shared" si="13"/>
        <v>0</v>
      </c>
      <c r="U71" s="527">
        <f t="shared" si="14"/>
        <v>0</v>
      </c>
      <c r="W71" s="326">
        <f t="shared" si="16"/>
        <v>0</v>
      </c>
      <c r="X71" s="261">
        <f t="shared" si="17"/>
        <v>0</v>
      </c>
      <c r="Y71" s="58"/>
      <c r="Z71" s="1016">
        <f t="shared" si="15"/>
        <v>0</v>
      </c>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row>
    <row r="72" spans="1:81" ht="12" hidden="1" thickBot="1">
      <c r="A72" s="588" t="s">
        <v>1468</v>
      </c>
      <c r="B72" s="522" t="s">
        <v>402</v>
      </c>
      <c r="C72" s="522" t="s">
        <v>970</v>
      </c>
      <c r="D72" s="533" t="s">
        <v>1036</v>
      </c>
      <c r="E72" s="960"/>
      <c r="F72" s="962"/>
      <c r="G72" s="961"/>
      <c r="H72" s="962"/>
      <c r="I72" s="962"/>
      <c r="J72" s="962"/>
      <c r="K72" s="962"/>
      <c r="L72" s="962"/>
      <c r="M72" s="961"/>
      <c r="N72" s="961"/>
      <c r="O72" s="962"/>
      <c r="P72" s="962"/>
      <c r="Q72" s="961"/>
      <c r="R72" s="961"/>
      <c r="S72" s="527">
        <f t="shared" si="12"/>
        <v>0</v>
      </c>
      <c r="T72" s="528">
        <f t="shared" si="13"/>
        <v>0</v>
      </c>
      <c r="U72" s="527">
        <f t="shared" si="14"/>
        <v>0</v>
      </c>
      <c r="W72" s="326">
        <f t="shared" si="16"/>
        <v>0</v>
      </c>
      <c r="X72" s="261">
        <f t="shared" si="17"/>
        <v>0</v>
      </c>
      <c r="Y72" s="58"/>
      <c r="Z72" s="1016">
        <f t="shared" si="15"/>
        <v>0</v>
      </c>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row>
    <row r="73" spans="1:81" ht="12" hidden="1" thickBot="1">
      <c r="A73" s="588" t="s">
        <v>1468</v>
      </c>
      <c r="B73" s="522" t="s">
        <v>398</v>
      </c>
      <c r="C73" s="522" t="s">
        <v>971</v>
      </c>
      <c r="D73" s="533" t="s">
        <v>1036</v>
      </c>
      <c r="E73" s="960"/>
      <c r="F73" s="962"/>
      <c r="G73" s="961"/>
      <c r="H73" s="962"/>
      <c r="I73" s="962"/>
      <c r="J73" s="962"/>
      <c r="K73" s="962"/>
      <c r="L73" s="962"/>
      <c r="M73" s="961"/>
      <c r="N73" s="961"/>
      <c r="O73" s="962"/>
      <c r="P73" s="962"/>
      <c r="Q73" s="961"/>
      <c r="R73" s="961"/>
      <c r="S73" s="527">
        <f t="shared" si="12"/>
        <v>0</v>
      </c>
      <c r="T73" s="528">
        <f t="shared" si="13"/>
        <v>0</v>
      </c>
      <c r="U73" s="527">
        <f t="shared" si="14"/>
        <v>0</v>
      </c>
      <c r="W73" s="326">
        <f t="shared" si="16"/>
        <v>0</v>
      </c>
      <c r="X73" s="261">
        <f t="shared" si="17"/>
        <v>0</v>
      </c>
      <c r="Y73" s="58"/>
      <c r="Z73" s="1016">
        <f t="shared" si="15"/>
        <v>0</v>
      </c>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row>
    <row r="74" spans="1:81" ht="12" hidden="1" thickBot="1">
      <c r="A74" s="588" t="s">
        <v>1468</v>
      </c>
      <c r="B74" s="522" t="s">
        <v>376</v>
      </c>
      <c r="C74" s="522" t="s">
        <v>972</v>
      </c>
      <c r="D74" s="533" t="s">
        <v>1036</v>
      </c>
      <c r="E74" s="960"/>
      <c r="F74" s="962"/>
      <c r="G74" s="961"/>
      <c r="H74" s="962"/>
      <c r="I74" s="962"/>
      <c r="J74" s="962"/>
      <c r="K74" s="962"/>
      <c r="L74" s="962"/>
      <c r="M74" s="961"/>
      <c r="N74" s="961"/>
      <c r="O74" s="962"/>
      <c r="P74" s="962"/>
      <c r="Q74" s="961"/>
      <c r="R74" s="961"/>
      <c r="S74" s="527">
        <f t="shared" si="12"/>
        <v>0</v>
      </c>
      <c r="T74" s="528">
        <f t="shared" si="13"/>
        <v>0</v>
      </c>
      <c r="U74" s="527">
        <f t="shared" si="14"/>
        <v>0</v>
      </c>
      <c r="W74" s="326">
        <f t="shared" si="16"/>
        <v>0</v>
      </c>
      <c r="X74" s="261">
        <f t="shared" si="17"/>
        <v>0</v>
      </c>
      <c r="Y74" s="58"/>
      <c r="Z74" s="1016">
        <f t="shared" si="15"/>
        <v>0</v>
      </c>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row>
    <row r="75" spans="1:81" ht="12" hidden="1" thickBot="1">
      <c r="A75" s="588" t="s">
        <v>1468</v>
      </c>
      <c r="B75" s="522" t="s">
        <v>384</v>
      </c>
      <c r="C75" s="522" t="s">
        <v>973</v>
      </c>
      <c r="D75" s="533" t="s">
        <v>1035</v>
      </c>
      <c r="E75" s="960"/>
      <c r="F75" s="962"/>
      <c r="G75" s="961"/>
      <c r="H75" s="962"/>
      <c r="I75" s="962"/>
      <c r="J75" s="962"/>
      <c r="K75" s="962"/>
      <c r="L75" s="962"/>
      <c r="M75" s="961"/>
      <c r="N75" s="961"/>
      <c r="O75" s="962"/>
      <c r="P75" s="962"/>
      <c r="Q75" s="961"/>
      <c r="R75" s="961"/>
      <c r="S75" s="527">
        <f t="shared" si="12"/>
        <v>0</v>
      </c>
      <c r="T75" s="528">
        <f t="shared" si="13"/>
        <v>0</v>
      </c>
      <c r="U75" s="527">
        <f t="shared" si="14"/>
        <v>0</v>
      </c>
      <c r="W75" s="326">
        <f t="shared" si="16"/>
        <v>0</v>
      </c>
      <c r="X75" s="261">
        <f t="shared" si="17"/>
        <v>0</v>
      </c>
      <c r="Y75" s="58"/>
      <c r="Z75" s="1016">
        <f t="shared" si="15"/>
        <v>0</v>
      </c>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row>
    <row r="76" spans="1:81" ht="12" hidden="1" thickBot="1">
      <c r="A76" s="588" t="s">
        <v>1468</v>
      </c>
      <c r="B76" s="522" t="s">
        <v>386</v>
      </c>
      <c r="C76" s="522" t="s">
        <v>974</v>
      </c>
      <c r="D76" s="533" t="s">
        <v>1036</v>
      </c>
      <c r="E76" s="960"/>
      <c r="F76" s="962"/>
      <c r="G76" s="961"/>
      <c r="H76" s="962"/>
      <c r="I76" s="962"/>
      <c r="J76" s="962"/>
      <c r="K76" s="962"/>
      <c r="L76" s="962"/>
      <c r="M76" s="961"/>
      <c r="N76" s="961"/>
      <c r="O76" s="962"/>
      <c r="P76" s="962"/>
      <c r="Q76" s="961"/>
      <c r="R76" s="961"/>
      <c r="S76" s="527">
        <f t="shared" si="12"/>
        <v>0</v>
      </c>
      <c r="T76" s="528">
        <f t="shared" si="13"/>
        <v>0</v>
      </c>
      <c r="U76" s="527">
        <f t="shared" si="14"/>
        <v>0</v>
      </c>
      <c r="W76" s="326">
        <f t="shared" si="16"/>
        <v>0</v>
      </c>
      <c r="X76" s="261">
        <f t="shared" si="17"/>
        <v>0</v>
      </c>
      <c r="Y76" s="58"/>
      <c r="Z76" s="1016">
        <f t="shared" si="15"/>
        <v>0</v>
      </c>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row>
    <row r="77" spans="1:81" ht="12" hidden="1" thickBot="1">
      <c r="A77" s="588" t="s">
        <v>1468</v>
      </c>
      <c r="B77" s="522" t="s">
        <v>409</v>
      </c>
      <c r="C77" s="522" t="s">
        <v>975</v>
      </c>
      <c r="D77" s="533" t="s">
        <v>1036</v>
      </c>
      <c r="E77" s="960"/>
      <c r="F77" s="962"/>
      <c r="G77" s="961"/>
      <c r="H77" s="962"/>
      <c r="I77" s="962"/>
      <c r="J77" s="962"/>
      <c r="K77" s="962"/>
      <c r="L77" s="962"/>
      <c r="M77" s="961"/>
      <c r="N77" s="961"/>
      <c r="O77" s="962"/>
      <c r="P77" s="962"/>
      <c r="Q77" s="961"/>
      <c r="R77" s="961"/>
      <c r="S77" s="527">
        <f t="shared" si="12"/>
        <v>0</v>
      </c>
      <c r="T77" s="528">
        <f t="shared" si="13"/>
        <v>0</v>
      </c>
      <c r="U77" s="527">
        <f t="shared" si="14"/>
        <v>0</v>
      </c>
      <c r="W77" s="326">
        <f t="shared" si="16"/>
        <v>0</v>
      </c>
      <c r="X77" s="261">
        <f t="shared" si="17"/>
        <v>0</v>
      </c>
      <c r="Y77" s="58"/>
      <c r="Z77" s="1016">
        <f t="shared" si="15"/>
        <v>0</v>
      </c>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row>
    <row r="78" spans="1:81" ht="12" hidden="1" thickBot="1">
      <c r="A78" s="588" t="s">
        <v>1468</v>
      </c>
      <c r="B78" s="522" t="s">
        <v>387</v>
      </c>
      <c r="C78" s="522" t="s">
        <v>976</v>
      </c>
      <c r="D78" s="533" t="s">
        <v>1035</v>
      </c>
      <c r="E78" s="960"/>
      <c r="F78" s="962"/>
      <c r="G78" s="961"/>
      <c r="H78" s="962"/>
      <c r="I78" s="962"/>
      <c r="J78" s="962"/>
      <c r="K78" s="962"/>
      <c r="L78" s="962"/>
      <c r="M78" s="961"/>
      <c r="N78" s="961"/>
      <c r="O78" s="962"/>
      <c r="P78" s="962"/>
      <c r="Q78" s="961"/>
      <c r="R78" s="961"/>
      <c r="S78" s="527">
        <f t="shared" si="12"/>
        <v>0</v>
      </c>
      <c r="T78" s="528">
        <f t="shared" si="13"/>
        <v>0</v>
      </c>
      <c r="U78" s="527">
        <f t="shared" si="14"/>
        <v>0</v>
      </c>
      <c r="W78" s="326">
        <f t="shared" si="16"/>
        <v>0</v>
      </c>
      <c r="X78" s="261">
        <f t="shared" si="17"/>
        <v>0</v>
      </c>
      <c r="Y78" s="58"/>
      <c r="Z78" s="1016">
        <f t="shared" si="15"/>
        <v>0</v>
      </c>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row>
    <row r="79" spans="1:81" ht="12" hidden="1" thickBot="1">
      <c r="A79" s="588" t="s">
        <v>1468</v>
      </c>
      <c r="B79" s="522" t="s">
        <v>410</v>
      </c>
      <c r="C79" s="522" t="s">
        <v>977</v>
      </c>
      <c r="D79" s="533" t="s">
        <v>1035</v>
      </c>
      <c r="E79" s="960"/>
      <c r="F79" s="962"/>
      <c r="G79" s="961"/>
      <c r="H79" s="962"/>
      <c r="I79" s="962"/>
      <c r="J79" s="962"/>
      <c r="K79" s="962"/>
      <c r="L79" s="962"/>
      <c r="M79" s="961"/>
      <c r="N79" s="961"/>
      <c r="O79" s="962"/>
      <c r="P79" s="962"/>
      <c r="Q79" s="961"/>
      <c r="R79" s="961"/>
      <c r="S79" s="527">
        <f t="shared" si="12"/>
        <v>0</v>
      </c>
      <c r="T79" s="528">
        <f t="shared" si="13"/>
        <v>0</v>
      </c>
      <c r="U79" s="527">
        <f t="shared" si="14"/>
        <v>0</v>
      </c>
      <c r="W79" s="326">
        <f t="shared" si="16"/>
        <v>0</v>
      </c>
      <c r="X79" s="261">
        <f t="shared" si="17"/>
        <v>0</v>
      </c>
      <c r="Y79" s="58"/>
      <c r="Z79" s="1016">
        <f t="shared" si="15"/>
        <v>0</v>
      </c>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row>
    <row r="80" spans="1:81" ht="12" hidden="1" thickBot="1">
      <c r="A80" s="588" t="s">
        <v>1468</v>
      </c>
      <c r="B80" s="522" t="s">
        <v>405</v>
      </c>
      <c r="C80" s="522" t="s">
        <v>978</v>
      </c>
      <c r="D80" s="533" t="s">
        <v>1035</v>
      </c>
      <c r="E80" s="960"/>
      <c r="F80" s="962"/>
      <c r="G80" s="961"/>
      <c r="H80" s="962"/>
      <c r="I80" s="962"/>
      <c r="J80" s="962"/>
      <c r="K80" s="962"/>
      <c r="L80" s="962"/>
      <c r="M80" s="961"/>
      <c r="N80" s="961"/>
      <c r="O80" s="962"/>
      <c r="P80" s="962"/>
      <c r="Q80" s="961"/>
      <c r="R80" s="961"/>
      <c r="S80" s="527">
        <f t="shared" si="12"/>
        <v>0</v>
      </c>
      <c r="T80" s="528">
        <f t="shared" si="13"/>
        <v>0</v>
      </c>
      <c r="U80" s="527">
        <f t="shared" si="14"/>
        <v>0</v>
      </c>
      <c r="W80" s="326">
        <f t="shared" si="16"/>
        <v>0</v>
      </c>
      <c r="X80" s="261">
        <f t="shared" si="17"/>
        <v>0</v>
      </c>
      <c r="Y80" s="58"/>
      <c r="Z80" s="1016">
        <f t="shared" si="15"/>
        <v>0</v>
      </c>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row>
    <row r="81" spans="1:81" ht="12" hidden="1" thickBot="1">
      <c r="A81" s="588" t="s">
        <v>1468</v>
      </c>
      <c r="B81" s="522" t="s">
        <v>326</v>
      </c>
      <c r="C81" s="522" t="s">
        <v>979</v>
      </c>
      <c r="D81" s="533" t="s">
        <v>1036</v>
      </c>
      <c r="E81" s="960"/>
      <c r="F81" s="962"/>
      <c r="G81" s="961"/>
      <c r="H81" s="962"/>
      <c r="I81" s="962"/>
      <c r="J81" s="962"/>
      <c r="K81" s="962"/>
      <c r="L81" s="962"/>
      <c r="M81" s="961"/>
      <c r="N81" s="961"/>
      <c r="O81" s="962"/>
      <c r="P81" s="962"/>
      <c r="Q81" s="961"/>
      <c r="R81" s="961"/>
      <c r="S81" s="527">
        <f t="shared" si="12"/>
        <v>0</v>
      </c>
      <c r="T81" s="528">
        <f t="shared" si="13"/>
        <v>0</v>
      </c>
      <c r="U81" s="527">
        <f t="shared" si="14"/>
        <v>0</v>
      </c>
      <c r="W81" s="326">
        <f t="shared" si="16"/>
        <v>0</v>
      </c>
      <c r="X81" s="261">
        <f t="shared" si="17"/>
        <v>0</v>
      </c>
      <c r="Y81" s="58"/>
      <c r="Z81" s="1016">
        <f t="shared" si="15"/>
        <v>0</v>
      </c>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row>
    <row r="82" spans="1:81" ht="12" hidden="1" thickBot="1">
      <c r="A82" s="588" t="s">
        <v>1468</v>
      </c>
      <c r="B82" s="522" t="s">
        <v>356</v>
      </c>
      <c r="C82" s="522" t="s">
        <v>980</v>
      </c>
      <c r="D82" s="533" t="s">
        <v>1036</v>
      </c>
      <c r="E82" s="960"/>
      <c r="F82" s="962"/>
      <c r="G82" s="961"/>
      <c r="H82" s="962"/>
      <c r="I82" s="962"/>
      <c r="J82" s="962"/>
      <c r="K82" s="962"/>
      <c r="L82" s="962"/>
      <c r="M82" s="961"/>
      <c r="N82" s="961"/>
      <c r="O82" s="962"/>
      <c r="P82" s="962"/>
      <c r="Q82" s="961"/>
      <c r="R82" s="961"/>
      <c r="S82" s="527">
        <f t="shared" si="12"/>
        <v>0</v>
      </c>
      <c r="T82" s="528">
        <f t="shared" si="13"/>
        <v>0</v>
      </c>
      <c r="U82" s="527">
        <f t="shared" si="14"/>
        <v>0</v>
      </c>
      <c r="W82" s="326">
        <f t="shared" si="16"/>
        <v>0</v>
      </c>
      <c r="X82" s="261">
        <f t="shared" si="17"/>
        <v>0</v>
      </c>
      <c r="Y82" s="58"/>
      <c r="Z82" s="1016">
        <f t="shared" si="15"/>
        <v>0</v>
      </c>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row>
    <row r="83" spans="1:81" ht="12" hidden="1" thickBot="1">
      <c r="A83" s="588" t="s">
        <v>1468</v>
      </c>
      <c r="B83" s="522" t="s">
        <v>374</v>
      </c>
      <c r="C83" s="522" t="s">
        <v>981</v>
      </c>
      <c r="D83" s="533" t="s">
        <v>1036</v>
      </c>
      <c r="E83" s="960"/>
      <c r="F83" s="962"/>
      <c r="G83" s="961"/>
      <c r="H83" s="962"/>
      <c r="I83" s="962"/>
      <c r="J83" s="962"/>
      <c r="K83" s="962"/>
      <c r="L83" s="962"/>
      <c r="M83" s="961"/>
      <c r="N83" s="961"/>
      <c r="O83" s="962"/>
      <c r="P83" s="962"/>
      <c r="Q83" s="961"/>
      <c r="R83" s="961"/>
      <c r="S83" s="527">
        <f t="shared" si="12"/>
        <v>0</v>
      </c>
      <c r="T83" s="528">
        <f t="shared" si="13"/>
        <v>0</v>
      </c>
      <c r="U83" s="527">
        <f t="shared" si="14"/>
        <v>0</v>
      </c>
      <c r="W83" s="326">
        <f t="shared" si="16"/>
        <v>0</v>
      </c>
      <c r="X83" s="261">
        <f t="shared" si="17"/>
        <v>0</v>
      </c>
      <c r="Y83" s="58"/>
      <c r="Z83" s="1016">
        <f t="shared" si="15"/>
        <v>0</v>
      </c>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row>
    <row r="84" spans="1:81" ht="12" hidden="1" thickBot="1">
      <c r="A84" s="588" t="s">
        <v>1468</v>
      </c>
      <c r="B84" s="522" t="s">
        <v>399</v>
      </c>
      <c r="C84" s="522" t="s">
        <v>982</v>
      </c>
      <c r="D84" s="533" t="s">
        <v>1036</v>
      </c>
      <c r="E84" s="960"/>
      <c r="F84" s="962"/>
      <c r="G84" s="961"/>
      <c r="H84" s="962"/>
      <c r="I84" s="962"/>
      <c r="J84" s="962"/>
      <c r="K84" s="962"/>
      <c r="L84" s="962"/>
      <c r="M84" s="961"/>
      <c r="N84" s="961"/>
      <c r="O84" s="962"/>
      <c r="P84" s="962"/>
      <c r="Q84" s="961"/>
      <c r="R84" s="961"/>
      <c r="S84" s="527">
        <f t="shared" si="12"/>
        <v>0</v>
      </c>
      <c r="T84" s="528">
        <f t="shared" si="13"/>
        <v>0</v>
      </c>
      <c r="U84" s="527">
        <f t="shared" si="14"/>
        <v>0</v>
      </c>
      <c r="W84" s="326">
        <f t="shared" si="16"/>
        <v>0</v>
      </c>
      <c r="X84" s="261">
        <f t="shared" si="17"/>
        <v>0</v>
      </c>
      <c r="Y84" s="58"/>
      <c r="Z84" s="1016">
        <f t="shared" si="15"/>
        <v>0</v>
      </c>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row>
    <row r="85" spans="1:81" ht="12" hidden="1" thickBot="1">
      <c r="A85" s="588" t="s">
        <v>1468</v>
      </c>
      <c r="B85" s="522" t="s">
        <v>391</v>
      </c>
      <c r="C85" s="522" t="s">
        <v>983</v>
      </c>
      <c r="D85" s="533" t="s">
        <v>1036</v>
      </c>
      <c r="E85" s="960"/>
      <c r="F85" s="962"/>
      <c r="G85" s="961"/>
      <c r="H85" s="962"/>
      <c r="I85" s="962"/>
      <c r="J85" s="962"/>
      <c r="K85" s="962"/>
      <c r="L85" s="962"/>
      <c r="M85" s="961"/>
      <c r="N85" s="961"/>
      <c r="O85" s="962"/>
      <c r="P85" s="962"/>
      <c r="Q85" s="961"/>
      <c r="R85" s="961"/>
      <c r="S85" s="527">
        <f t="shared" si="12"/>
        <v>0</v>
      </c>
      <c r="T85" s="528">
        <f t="shared" si="13"/>
        <v>0</v>
      </c>
      <c r="U85" s="527">
        <f t="shared" si="14"/>
        <v>0</v>
      </c>
      <c r="W85" s="326">
        <f t="shared" si="16"/>
        <v>0</v>
      </c>
      <c r="X85" s="261">
        <f t="shared" si="17"/>
        <v>0</v>
      </c>
      <c r="Y85" s="58"/>
      <c r="Z85" s="1016">
        <f t="shared" si="15"/>
        <v>0</v>
      </c>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row>
    <row r="86" spans="1:81" ht="12" hidden="1" thickBot="1">
      <c r="A86" s="588" t="s">
        <v>1468</v>
      </c>
      <c r="B86" s="522" t="s">
        <v>416</v>
      </c>
      <c r="C86" s="522" t="s">
        <v>984</v>
      </c>
      <c r="D86" s="533" t="s">
        <v>1035</v>
      </c>
      <c r="E86" s="960"/>
      <c r="F86" s="962"/>
      <c r="G86" s="961"/>
      <c r="H86" s="962"/>
      <c r="I86" s="962"/>
      <c r="J86" s="962"/>
      <c r="K86" s="962"/>
      <c r="L86" s="962"/>
      <c r="M86" s="961"/>
      <c r="N86" s="961"/>
      <c r="O86" s="962"/>
      <c r="P86" s="962"/>
      <c r="Q86" s="961"/>
      <c r="R86" s="961"/>
      <c r="S86" s="527">
        <f t="shared" si="12"/>
        <v>0</v>
      </c>
      <c r="T86" s="528">
        <f t="shared" si="13"/>
        <v>0</v>
      </c>
      <c r="U86" s="527">
        <f t="shared" si="14"/>
        <v>0</v>
      </c>
      <c r="W86" s="326">
        <f t="shared" si="16"/>
        <v>0</v>
      </c>
      <c r="X86" s="261">
        <f t="shared" si="17"/>
        <v>0</v>
      </c>
      <c r="Y86" s="58"/>
      <c r="Z86" s="1016">
        <f t="shared" si="15"/>
        <v>0</v>
      </c>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row>
    <row r="87" spans="1:81" ht="12" hidden="1" thickBot="1">
      <c r="A87" s="588" t="s">
        <v>1468</v>
      </c>
      <c r="B87" s="522" t="s">
        <v>407</v>
      </c>
      <c r="C87" s="522" t="s">
        <v>985</v>
      </c>
      <c r="D87" s="533" t="s">
        <v>1035</v>
      </c>
      <c r="E87" s="960"/>
      <c r="F87" s="962"/>
      <c r="G87" s="961"/>
      <c r="H87" s="962"/>
      <c r="I87" s="962"/>
      <c r="J87" s="962"/>
      <c r="K87" s="962"/>
      <c r="L87" s="962"/>
      <c r="M87" s="961"/>
      <c r="N87" s="961"/>
      <c r="O87" s="962"/>
      <c r="P87" s="962"/>
      <c r="Q87" s="961"/>
      <c r="R87" s="961"/>
      <c r="S87" s="527">
        <f t="shared" si="12"/>
        <v>0</v>
      </c>
      <c r="T87" s="528">
        <f t="shared" si="13"/>
        <v>0</v>
      </c>
      <c r="U87" s="527">
        <f t="shared" si="14"/>
        <v>0</v>
      </c>
      <c r="W87" s="326">
        <f t="shared" si="16"/>
        <v>0</v>
      </c>
      <c r="X87" s="261">
        <f t="shared" si="17"/>
        <v>0</v>
      </c>
      <c r="Y87" s="58"/>
      <c r="Z87" s="1016">
        <f t="shared" si="15"/>
        <v>0</v>
      </c>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row>
    <row r="88" spans="1:81" ht="12" hidden="1" thickBot="1">
      <c r="A88" s="588" t="s">
        <v>1468</v>
      </c>
      <c r="B88" s="522" t="s">
        <v>373</v>
      </c>
      <c r="C88" s="522" t="s">
        <v>986</v>
      </c>
      <c r="D88" s="533" t="s">
        <v>1036</v>
      </c>
      <c r="E88" s="960"/>
      <c r="F88" s="962"/>
      <c r="G88" s="961"/>
      <c r="H88" s="962"/>
      <c r="I88" s="962"/>
      <c r="J88" s="962"/>
      <c r="K88" s="962"/>
      <c r="L88" s="962"/>
      <c r="M88" s="961"/>
      <c r="N88" s="961"/>
      <c r="O88" s="962"/>
      <c r="P88" s="962"/>
      <c r="Q88" s="961"/>
      <c r="R88" s="961"/>
      <c r="S88" s="527">
        <f t="shared" si="12"/>
        <v>0</v>
      </c>
      <c r="T88" s="528">
        <f t="shared" si="13"/>
        <v>0</v>
      </c>
      <c r="U88" s="527">
        <f t="shared" si="14"/>
        <v>0</v>
      </c>
      <c r="W88" s="326">
        <f t="shared" si="16"/>
        <v>0</v>
      </c>
      <c r="X88" s="261">
        <f t="shared" si="17"/>
        <v>0</v>
      </c>
      <c r="Y88" s="58"/>
      <c r="Z88" s="1016">
        <f t="shared" si="15"/>
        <v>0</v>
      </c>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row>
    <row r="89" spans="1:81" ht="12" hidden="1" thickBot="1">
      <c r="A89" s="588" t="s">
        <v>1468</v>
      </c>
      <c r="B89" s="522" t="s">
        <v>375</v>
      </c>
      <c r="C89" s="522" t="s">
        <v>987</v>
      </c>
      <c r="D89" s="533" t="s">
        <v>1036</v>
      </c>
      <c r="E89" s="960"/>
      <c r="F89" s="962"/>
      <c r="G89" s="961"/>
      <c r="H89" s="962"/>
      <c r="I89" s="962"/>
      <c r="J89" s="962"/>
      <c r="K89" s="962"/>
      <c r="L89" s="962"/>
      <c r="M89" s="961"/>
      <c r="N89" s="961"/>
      <c r="O89" s="962"/>
      <c r="P89" s="962"/>
      <c r="Q89" s="961"/>
      <c r="R89" s="961"/>
      <c r="S89" s="527">
        <f t="shared" si="12"/>
        <v>0</v>
      </c>
      <c r="T89" s="528">
        <f t="shared" si="13"/>
        <v>0</v>
      </c>
      <c r="U89" s="527">
        <f t="shared" si="14"/>
        <v>0</v>
      </c>
      <c r="W89" s="326">
        <f t="shared" si="16"/>
        <v>0</v>
      </c>
      <c r="X89" s="261">
        <f t="shared" si="17"/>
        <v>0</v>
      </c>
      <c r="Y89" s="58"/>
      <c r="Z89" s="1016">
        <f t="shared" si="15"/>
        <v>0</v>
      </c>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row>
    <row r="90" spans="1:81" ht="12" hidden="1" thickBot="1">
      <c r="A90" s="588" t="s">
        <v>1468</v>
      </c>
      <c r="B90" s="522" t="s">
        <v>401</v>
      </c>
      <c r="C90" s="522" t="s">
        <v>988</v>
      </c>
      <c r="D90" s="533" t="s">
        <v>1036</v>
      </c>
      <c r="E90" s="960"/>
      <c r="F90" s="962"/>
      <c r="G90" s="961"/>
      <c r="H90" s="962"/>
      <c r="I90" s="962"/>
      <c r="J90" s="962"/>
      <c r="K90" s="962"/>
      <c r="L90" s="962"/>
      <c r="M90" s="961"/>
      <c r="N90" s="961"/>
      <c r="O90" s="962"/>
      <c r="P90" s="962"/>
      <c r="Q90" s="961"/>
      <c r="R90" s="961"/>
      <c r="S90" s="527">
        <f t="shared" si="12"/>
        <v>0</v>
      </c>
      <c r="T90" s="528">
        <f t="shared" si="13"/>
        <v>0</v>
      </c>
      <c r="U90" s="527">
        <f t="shared" si="14"/>
        <v>0</v>
      </c>
      <c r="W90" s="326">
        <f t="shared" si="16"/>
        <v>0</v>
      </c>
      <c r="X90" s="261">
        <f t="shared" si="17"/>
        <v>0</v>
      </c>
      <c r="Y90" s="58"/>
      <c r="Z90" s="1016">
        <f t="shared" si="15"/>
        <v>0</v>
      </c>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row>
    <row r="91" spans="1:81" ht="12" hidden="1" thickBot="1">
      <c r="A91" s="588" t="s">
        <v>1468</v>
      </c>
      <c r="B91" s="522" t="s">
        <v>328</v>
      </c>
      <c r="C91" s="522" t="s">
        <v>989</v>
      </c>
      <c r="D91" s="533" t="s">
        <v>1036</v>
      </c>
      <c r="E91" s="960"/>
      <c r="F91" s="962"/>
      <c r="G91" s="961"/>
      <c r="H91" s="962"/>
      <c r="I91" s="962"/>
      <c r="J91" s="962"/>
      <c r="K91" s="962"/>
      <c r="L91" s="962"/>
      <c r="M91" s="961"/>
      <c r="N91" s="961"/>
      <c r="O91" s="962"/>
      <c r="P91" s="962"/>
      <c r="Q91" s="961"/>
      <c r="R91" s="961"/>
      <c r="S91" s="527">
        <f t="shared" si="12"/>
        <v>0</v>
      </c>
      <c r="T91" s="528">
        <f t="shared" si="13"/>
        <v>0</v>
      </c>
      <c r="U91" s="527">
        <f t="shared" si="14"/>
        <v>0</v>
      </c>
      <c r="W91" s="326">
        <f t="shared" si="16"/>
        <v>0</v>
      </c>
      <c r="X91" s="261">
        <f t="shared" si="17"/>
        <v>0</v>
      </c>
      <c r="Y91" s="58"/>
      <c r="Z91" s="1016">
        <f t="shared" si="15"/>
        <v>0</v>
      </c>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row>
    <row r="92" spans="1:81" ht="12" hidden="1" thickBot="1">
      <c r="A92" s="588" t="s">
        <v>1468</v>
      </c>
      <c r="B92" s="522" t="s">
        <v>437</v>
      </c>
      <c r="C92" s="522" t="s">
        <v>990</v>
      </c>
      <c r="D92" s="533" t="s">
        <v>1036</v>
      </c>
      <c r="E92" s="960"/>
      <c r="F92" s="962"/>
      <c r="G92" s="961"/>
      <c r="H92" s="962"/>
      <c r="I92" s="962"/>
      <c r="J92" s="962"/>
      <c r="K92" s="962"/>
      <c r="L92" s="962"/>
      <c r="M92" s="961"/>
      <c r="N92" s="961"/>
      <c r="O92" s="962"/>
      <c r="P92" s="962"/>
      <c r="Q92" s="961"/>
      <c r="R92" s="961"/>
      <c r="S92" s="527">
        <f t="shared" si="12"/>
        <v>0</v>
      </c>
      <c r="T92" s="528">
        <f t="shared" si="13"/>
        <v>0</v>
      </c>
      <c r="U92" s="527">
        <f t="shared" si="14"/>
        <v>0</v>
      </c>
      <c r="W92" s="326">
        <f t="shared" si="16"/>
        <v>0</v>
      </c>
      <c r="X92" s="261">
        <f t="shared" si="17"/>
        <v>0</v>
      </c>
      <c r="Y92" s="58"/>
      <c r="Z92" s="1016">
        <f t="shared" si="15"/>
        <v>0</v>
      </c>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row>
    <row r="93" spans="1:81" ht="12" hidden="1" thickBot="1">
      <c r="A93" s="588" t="s">
        <v>1468</v>
      </c>
      <c r="B93" s="522" t="s">
        <v>338</v>
      </c>
      <c r="C93" s="522" t="s">
        <v>991</v>
      </c>
      <c r="D93" s="533" t="s">
        <v>1035</v>
      </c>
      <c r="E93" s="960"/>
      <c r="F93" s="962"/>
      <c r="G93" s="961"/>
      <c r="H93" s="962"/>
      <c r="I93" s="962"/>
      <c r="J93" s="962"/>
      <c r="K93" s="962"/>
      <c r="L93" s="962"/>
      <c r="M93" s="961"/>
      <c r="N93" s="961"/>
      <c r="O93" s="962"/>
      <c r="P93" s="962"/>
      <c r="Q93" s="961"/>
      <c r="R93" s="961"/>
      <c r="S93" s="527">
        <f t="shared" si="12"/>
        <v>0</v>
      </c>
      <c r="T93" s="528">
        <f t="shared" si="13"/>
        <v>0</v>
      </c>
      <c r="U93" s="527">
        <f t="shared" si="14"/>
        <v>0</v>
      </c>
      <c r="W93" s="326">
        <f t="shared" si="16"/>
        <v>0</v>
      </c>
      <c r="X93" s="261">
        <f t="shared" si="17"/>
        <v>0</v>
      </c>
      <c r="Y93" s="58"/>
      <c r="Z93" s="1016">
        <f t="shared" si="15"/>
        <v>0</v>
      </c>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row>
    <row r="94" spans="1:81" ht="12" hidden="1" thickBot="1">
      <c r="A94" s="588" t="s">
        <v>1468</v>
      </c>
      <c r="B94" s="522" t="s">
        <v>370</v>
      </c>
      <c r="C94" s="522" t="s">
        <v>992</v>
      </c>
      <c r="D94" s="533" t="s">
        <v>1035</v>
      </c>
      <c r="E94" s="960"/>
      <c r="F94" s="962"/>
      <c r="G94" s="961"/>
      <c r="H94" s="962"/>
      <c r="I94" s="962"/>
      <c r="J94" s="962"/>
      <c r="K94" s="962"/>
      <c r="L94" s="962"/>
      <c r="M94" s="961"/>
      <c r="N94" s="961"/>
      <c r="O94" s="962"/>
      <c r="P94" s="962"/>
      <c r="Q94" s="961"/>
      <c r="R94" s="961"/>
      <c r="S94" s="527">
        <f t="shared" si="12"/>
        <v>0</v>
      </c>
      <c r="T94" s="528">
        <f t="shared" si="13"/>
        <v>0</v>
      </c>
      <c r="U94" s="527">
        <f t="shared" si="14"/>
        <v>0</v>
      </c>
      <c r="W94" s="326">
        <f t="shared" si="16"/>
        <v>0</v>
      </c>
      <c r="X94" s="261">
        <f t="shared" si="17"/>
        <v>0</v>
      </c>
      <c r="Y94" s="58"/>
      <c r="Z94" s="1016">
        <f t="shared" si="15"/>
        <v>0</v>
      </c>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row>
    <row r="95" spans="1:81" ht="12" hidden="1" thickBot="1">
      <c r="A95" s="588" t="s">
        <v>1468</v>
      </c>
      <c r="B95" s="522" t="s">
        <v>333</v>
      </c>
      <c r="C95" s="522" t="s">
        <v>993</v>
      </c>
      <c r="D95" s="533" t="s">
        <v>1035</v>
      </c>
      <c r="E95" s="960"/>
      <c r="F95" s="962"/>
      <c r="G95" s="961"/>
      <c r="H95" s="962"/>
      <c r="I95" s="962"/>
      <c r="J95" s="962"/>
      <c r="K95" s="962"/>
      <c r="L95" s="962"/>
      <c r="M95" s="961"/>
      <c r="N95" s="961"/>
      <c r="O95" s="962"/>
      <c r="P95" s="962"/>
      <c r="Q95" s="961"/>
      <c r="R95" s="961"/>
      <c r="S95" s="527">
        <f t="shared" si="12"/>
        <v>0</v>
      </c>
      <c r="T95" s="528">
        <f t="shared" si="13"/>
        <v>0</v>
      </c>
      <c r="U95" s="527">
        <f t="shared" si="14"/>
        <v>0</v>
      </c>
      <c r="W95" s="326">
        <f t="shared" si="16"/>
        <v>0</v>
      </c>
      <c r="X95" s="261">
        <f t="shared" si="17"/>
        <v>0</v>
      </c>
      <c r="Y95" s="58"/>
      <c r="Z95" s="1016">
        <f t="shared" si="15"/>
        <v>0</v>
      </c>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row>
    <row r="96" spans="1:81" ht="12" hidden="1" thickBot="1">
      <c r="A96" s="588" t="s">
        <v>1468</v>
      </c>
      <c r="B96" s="522" t="s">
        <v>336</v>
      </c>
      <c r="C96" s="522" t="s">
        <v>994</v>
      </c>
      <c r="D96" s="533" t="s">
        <v>1036</v>
      </c>
      <c r="E96" s="960"/>
      <c r="F96" s="962"/>
      <c r="G96" s="961"/>
      <c r="H96" s="962"/>
      <c r="I96" s="962"/>
      <c r="J96" s="962"/>
      <c r="K96" s="962"/>
      <c r="L96" s="962"/>
      <c r="M96" s="961"/>
      <c r="N96" s="961"/>
      <c r="O96" s="962"/>
      <c r="P96" s="962"/>
      <c r="Q96" s="961"/>
      <c r="R96" s="961"/>
      <c r="S96" s="527">
        <f t="shared" si="12"/>
        <v>0</v>
      </c>
      <c r="T96" s="528">
        <f t="shared" si="13"/>
        <v>0</v>
      </c>
      <c r="U96" s="527">
        <f t="shared" si="14"/>
        <v>0</v>
      </c>
      <c r="W96" s="326">
        <f t="shared" si="16"/>
        <v>0</v>
      </c>
      <c r="X96" s="261">
        <f t="shared" si="17"/>
        <v>0</v>
      </c>
      <c r="Y96" s="58"/>
      <c r="Z96" s="1016">
        <f t="shared" si="15"/>
        <v>0</v>
      </c>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row>
    <row r="97" spans="1:81" ht="12" hidden="1" thickBot="1">
      <c r="A97" s="588" t="s">
        <v>1468</v>
      </c>
      <c r="B97" s="522" t="s">
        <v>368</v>
      </c>
      <c r="C97" s="522" t="s">
        <v>995</v>
      </c>
      <c r="D97" s="533" t="s">
        <v>1036</v>
      </c>
      <c r="E97" s="960"/>
      <c r="F97" s="962"/>
      <c r="G97" s="961"/>
      <c r="H97" s="962"/>
      <c r="I97" s="962"/>
      <c r="J97" s="962"/>
      <c r="K97" s="962"/>
      <c r="L97" s="962"/>
      <c r="M97" s="961"/>
      <c r="N97" s="961"/>
      <c r="O97" s="962"/>
      <c r="P97" s="962"/>
      <c r="Q97" s="961"/>
      <c r="R97" s="961"/>
      <c r="S97" s="527">
        <f t="shared" si="12"/>
        <v>0</v>
      </c>
      <c r="T97" s="528">
        <f t="shared" si="13"/>
        <v>0</v>
      </c>
      <c r="U97" s="527">
        <f t="shared" si="14"/>
        <v>0</v>
      </c>
      <c r="W97" s="326">
        <f t="shared" si="16"/>
        <v>0</v>
      </c>
      <c r="X97" s="261">
        <f t="shared" si="17"/>
        <v>0</v>
      </c>
      <c r="Y97" s="58"/>
      <c r="Z97" s="1016">
        <f t="shared" si="15"/>
        <v>0</v>
      </c>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row>
    <row r="98" spans="1:81" ht="12" hidden="1" thickBot="1">
      <c r="A98" s="588" t="s">
        <v>1468</v>
      </c>
      <c r="B98" s="522" t="s">
        <v>400</v>
      </c>
      <c r="C98" s="522" t="s">
        <v>996</v>
      </c>
      <c r="D98" s="533" t="s">
        <v>1036</v>
      </c>
      <c r="E98" s="960"/>
      <c r="F98" s="962"/>
      <c r="G98" s="961"/>
      <c r="H98" s="962"/>
      <c r="I98" s="962"/>
      <c r="J98" s="962"/>
      <c r="K98" s="962"/>
      <c r="L98" s="962"/>
      <c r="M98" s="961"/>
      <c r="N98" s="961"/>
      <c r="O98" s="962"/>
      <c r="P98" s="962"/>
      <c r="Q98" s="961"/>
      <c r="R98" s="961"/>
      <c r="S98" s="527">
        <f t="shared" si="12"/>
        <v>0</v>
      </c>
      <c r="T98" s="528">
        <f t="shared" si="13"/>
        <v>0</v>
      </c>
      <c r="U98" s="527">
        <f t="shared" si="14"/>
        <v>0</v>
      </c>
      <c r="W98" s="326">
        <f t="shared" si="16"/>
        <v>0</v>
      </c>
      <c r="X98" s="261">
        <f t="shared" si="17"/>
        <v>0</v>
      </c>
      <c r="Y98" s="58"/>
      <c r="Z98" s="1016">
        <f t="shared" si="15"/>
        <v>0</v>
      </c>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row>
    <row r="99" spans="1:81" ht="12" hidden="1" thickBot="1">
      <c r="A99" s="588" t="s">
        <v>1468</v>
      </c>
      <c r="B99" s="522" t="s">
        <v>327</v>
      </c>
      <c r="C99" s="522" t="s">
        <v>997</v>
      </c>
      <c r="D99" s="533" t="s">
        <v>1036</v>
      </c>
      <c r="E99" s="960"/>
      <c r="F99" s="962"/>
      <c r="G99" s="961"/>
      <c r="H99" s="962"/>
      <c r="I99" s="962"/>
      <c r="J99" s="962"/>
      <c r="K99" s="962"/>
      <c r="L99" s="962"/>
      <c r="M99" s="961"/>
      <c r="N99" s="961"/>
      <c r="O99" s="962"/>
      <c r="P99" s="962"/>
      <c r="Q99" s="961"/>
      <c r="R99" s="961"/>
      <c r="S99" s="527">
        <f t="shared" si="12"/>
        <v>0</v>
      </c>
      <c r="T99" s="528">
        <f t="shared" si="13"/>
        <v>0</v>
      </c>
      <c r="U99" s="527">
        <f t="shared" si="14"/>
        <v>0</v>
      </c>
      <c r="W99" s="326">
        <f t="shared" si="16"/>
        <v>0</v>
      </c>
      <c r="X99" s="261">
        <f t="shared" si="17"/>
        <v>0</v>
      </c>
      <c r="Y99" s="58"/>
      <c r="Z99" s="1016">
        <f t="shared" si="15"/>
        <v>0</v>
      </c>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row>
    <row r="100" spans="1:81" ht="12" hidden="1" thickBot="1">
      <c r="A100" s="588" t="s">
        <v>1468</v>
      </c>
      <c r="B100" s="522" t="s">
        <v>357</v>
      </c>
      <c r="C100" s="522" t="s">
        <v>998</v>
      </c>
      <c r="D100" s="533" t="s">
        <v>1036</v>
      </c>
      <c r="E100" s="960"/>
      <c r="F100" s="962"/>
      <c r="G100" s="961"/>
      <c r="H100" s="962"/>
      <c r="I100" s="962"/>
      <c r="J100" s="962"/>
      <c r="K100" s="962"/>
      <c r="L100" s="962"/>
      <c r="M100" s="961"/>
      <c r="N100" s="961"/>
      <c r="O100" s="962"/>
      <c r="P100" s="962"/>
      <c r="Q100" s="961"/>
      <c r="R100" s="961"/>
      <c r="S100" s="527">
        <f t="shared" si="12"/>
        <v>0</v>
      </c>
      <c r="T100" s="528">
        <f t="shared" si="13"/>
        <v>0</v>
      </c>
      <c r="U100" s="527">
        <f t="shared" si="14"/>
        <v>0</v>
      </c>
      <c r="W100" s="326">
        <f t="shared" si="16"/>
        <v>0</v>
      </c>
      <c r="X100" s="261">
        <f t="shared" si="17"/>
        <v>0</v>
      </c>
      <c r="Y100" s="58"/>
      <c r="Z100" s="1016">
        <f t="shared" si="15"/>
        <v>0</v>
      </c>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row>
    <row r="101" spans="1:81" ht="12" hidden="1" thickBot="1">
      <c r="A101" s="588" t="s">
        <v>1468</v>
      </c>
      <c r="B101" s="522" t="s">
        <v>331</v>
      </c>
      <c r="C101" s="522" t="s">
        <v>999</v>
      </c>
      <c r="D101" s="533" t="s">
        <v>1036</v>
      </c>
      <c r="E101" s="960"/>
      <c r="F101" s="962"/>
      <c r="G101" s="961"/>
      <c r="H101" s="962"/>
      <c r="I101" s="962"/>
      <c r="J101" s="962"/>
      <c r="K101" s="962"/>
      <c r="L101" s="962"/>
      <c r="M101" s="961"/>
      <c r="N101" s="961"/>
      <c r="O101" s="962"/>
      <c r="P101" s="962"/>
      <c r="Q101" s="961"/>
      <c r="R101" s="961"/>
      <c r="S101" s="527">
        <f t="shared" si="12"/>
        <v>0</v>
      </c>
      <c r="T101" s="528">
        <f t="shared" si="13"/>
        <v>0</v>
      </c>
      <c r="U101" s="527">
        <f t="shared" si="14"/>
        <v>0</v>
      </c>
      <c r="W101" s="326">
        <f t="shared" si="16"/>
        <v>0</v>
      </c>
      <c r="X101" s="261">
        <f t="shared" si="17"/>
        <v>0</v>
      </c>
      <c r="Y101" s="58"/>
      <c r="Z101" s="1016">
        <f t="shared" si="15"/>
        <v>0</v>
      </c>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row>
    <row r="102" spans="1:81" ht="12" hidden="1" thickBot="1">
      <c r="A102" s="588" t="s">
        <v>1468</v>
      </c>
      <c r="B102" s="522" t="s">
        <v>335</v>
      </c>
      <c r="C102" s="522" t="s">
        <v>1000</v>
      </c>
      <c r="D102" s="533" t="s">
        <v>1036</v>
      </c>
      <c r="E102" s="960"/>
      <c r="F102" s="962"/>
      <c r="G102" s="961"/>
      <c r="H102" s="962"/>
      <c r="I102" s="962"/>
      <c r="J102" s="962"/>
      <c r="K102" s="962"/>
      <c r="L102" s="962"/>
      <c r="M102" s="961"/>
      <c r="N102" s="961"/>
      <c r="O102" s="962"/>
      <c r="P102" s="962"/>
      <c r="Q102" s="961"/>
      <c r="R102" s="961"/>
      <c r="S102" s="527">
        <f t="shared" si="12"/>
        <v>0</v>
      </c>
      <c r="T102" s="528">
        <f t="shared" si="13"/>
        <v>0</v>
      </c>
      <c r="U102" s="527">
        <f t="shared" si="14"/>
        <v>0</v>
      </c>
      <c r="W102" s="326">
        <f t="shared" si="16"/>
        <v>0</v>
      </c>
      <c r="X102" s="261">
        <f t="shared" si="17"/>
        <v>0</v>
      </c>
      <c r="Y102" s="58"/>
      <c r="Z102" s="1016">
        <f t="shared" si="15"/>
        <v>0</v>
      </c>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row>
    <row r="103" spans="1:81" ht="12" hidden="1" thickBot="1">
      <c r="A103" s="588" t="s">
        <v>1468</v>
      </c>
      <c r="B103" s="522" t="s">
        <v>372</v>
      </c>
      <c r="C103" s="522" t="s">
        <v>1001</v>
      </c>
      <c r="D103" s="533" t="s">
        <v>1036</v>
      </c>
      <c r="E103" s="960"/>
      <c r="F103" s="962"/>
      <c r="G103" s="961"/>
      <c r="H103" s="962"/>
      <c r="I103" s="962"/>
      <c r="J103" s="962"/>
      <c r="K103" s="962"/>
      <c r="L103" s="962"/>
      <c r="M103" s="961"/>
      <c r="N103" s="961"/>
      <c r="O103" s="962"/>
      <c r="P103" s="962"/>
      <c r="Q103" s="961"/>
      <c r="R103" s="961"/>
      <c r="S103" s="527">
        <f t="shared" si="12"/>
        <v>0</v>
      </c>
      <c r="T103" s="528">
        <f t="shared" si="13"/>
        <v>0</v>
      </c>
      <c r="U103" s="527">
        <f t="shared" si="14"/>
        <v>0</v>
      </c>
      <c r="W103" s="326">
        <f t="shared" si="16"/>
        <v>0</v>
      </c>
      <c r="X103" s="261">
        <f t="shared" si="17"/>
        <v>0</v>
      </c>
      <c r="Y103" s="58"/>
      <c r="Z103" s="1016">
        <f t="shared" si="15"/>
        <v>0</v>
      </c>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row>
    <row r="104" spans="1:81" ht="12" hidden="1" thickBot="1">
      <c r="A104" s="588" t="s">
        <v>1468</v>
      </c>
      <c r="B104" s="522" t="s">
        <v>381</v>
      </c>
      <c r="C104" s="522" t="s">
        <v>1002</v>
      </c>
      <c r="D104" s="533" t="s">
        <v>1035</v>
      </c>
      <c r="E104" s="960"/>
      <c r="F104" s="962"/>
      <c r="G104" s="961"/>
      <c r="H104" s="962"/>
      <c r="I104" s="962"/>
      <c r="J104" s="962"/>
      <c r="K104" s="962"/>
      <c r="L104" s="962"/>
      <c r="M104" s="961"/>
      <c r="N104" s="961"/>
      <c r="O104" s="962"/>
      <c r="P104" s="962"/>
      <c r="Q104" s="961"/>
      <c r="R104" s="961"/>
      <c r="S104" s="527">
        <f t="shared" si="12"/>
        <v>0</v>
      </c>
      <c r="T104" s="528">
        <f t="shared" si="13"/>
        <v>0</v>
      </c>
      <c r="U104" s="527">
        <f t="shared" si="14"/>
        <v>0</v>
      </c>
      <c r="W104" s="326">
        <f t="shared" si="16"/>
        <v>0</v>
      </c>
      <c r="X104" s="261">
        <f t="shared" si="17"/>
        <v>0</v>
      </c>
      <c r="Y104" s="58"/>
      <c r="Z104" s="1016">
        <f t="shared" si="15"/>
        <v>0</v>
      </c>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row>
    <row r="105" spans="1:81" ht="12" hidden="1" thickBot="1">
      <c r="A105" s="588" t="s">
        <v>1468</v>
      </c>
      <c r="B105" s="522" t="s">
        <v>404</v>
      </c>
      <c r="C105" s="522" t="s">
        <v>1003</v>
      </c>
      <c r="D105" s="533" t="s">
        <v>1035</v>
      </c>
      <c r="E105" s="960"/>
      <c r="F105" s="962"/>
      <c r="G105" s="961"/>
      <c r="H105" s="962"/>
      <c r="I105" s="962"/>
      <c r="J105" s="962"/>
      <c r="K105" s="962"/>
      <c r="L105" s="962"/>
      <c r="M105" s="961"/>
      <c r="N105" s="961"/>
      <c r="O105" s="962"/>
      <c r="P105" s="962"/>
      <c r="Q105" s="961"/>
      <c r="R105" s="961"/>
      <c r="S105" s="527">
        <f t="shared" si="12"/>
        <v>0</v>
      </c>
      <c r="T105" s="528">
        <f t="shared" si="13"/>
        <v>0</v>
      </c>
      <c r="U105" s="527">
        <f t="shared" si="14"/>
        <v>0</v>
      </c>
      <c r="W105" s="326">
        <f t="shared" si="16"/>
        <v>0</v>
      </c>
      <c r="X105" s="261">
        <f t="shared" si="17"/>
        <v>0</v>
      </c>
      <c r="Y105" s="58"/>
      <c r="Z105" s="1016">
        <f t="shared" si="15"/>
        <v>0</v>
      </c>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row>
    <row r="106" spans="1:81" ht="12" hidden="1" thickBot="1">
      <c r="A106" s="588" t="s">
        <v>1468</v>
      </c>
      <c r="B106" s="522" t="s">
        <v>361</v>
      </c>
      <c r="C106" s="522" t="s">
        <v>1004</v>
      </c>
      <c r="D106" s="533" t="s">
        <v>1035</v>
      </c>
      <c r="E106" s="960"/>
      <c r="F106" s="962"/>
      <c r="G106" s="961"/>
      <c r="H106" s="962"/>
      <c r="I106" s="962"/>
      <c r="J106" s="962"/>
      <c r="K106" s="962"/>
      <c r="L106" s="962"/>
      <c r="M106" s="961"/>
      <c r="N106" s="961"/>
      <c r="O106" s="962"/>
      <c r="P106" s="962"/>
      <c r="Q106" s="961"/>
      <c r="R106" s="961"/>
      <c r="S106" s="527">
        <f t="shared" si="12"/>
        <v>0</v>
      </c>
      <c r="T106" s="528">
        <f t="shared" si="13"/>
        <v>0</v>
      </c>
      <c r="U106" s="527">
        <f t="shared" si="14"/>
        <v>0</v>
      </c>
      <c r="W106" s="326">
        <f t="shared" si="16"/>
        <v>0</v>
      </c>
      <c r="X106" s="261">
        <f t="shared" si="17"/>
        <v>0</v>
      </c>
      <c r="Y106" s="58"/>
      <c r="Z106" s="1016">
        <f t="shared" si="15"/>
        <v>0</v>
      </c>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row>
    <row r="107" spans="1:81" ht="12" hidden="1" thickBot="1">
      <c r="A107" s="588" t="s">
        <v>1468</v>
      </c>
      <c r="B107" s="522" t="s">
        <v>393</v>
      </c>
      <c r="C107" s="522" t="s">
        <v>1005</v>
      </c>
      <c r="D107" s="533" t="s">
        <v>1035</v>
      </c>
      <c r="E107" s="960"/>
      <c r="F107" s="962"/>
      <c r="G107" s="961"/>
      <c r="H107" s="962"/>
      <c r="I107" s="962"/>
      <c r="J107" s="962"/>
      <c r="K107" s="962"/>
      <c r="L107" s="962"/>
      <c r="M107" s="961"/>
      <c r="N107" s="961"/>
      <c r="O107" s="962"/>
      <c r="P107" s="962"/>
      <c r="Q107" s="961"/>
      <c r="R107" s="961"/>
      <c r="S107" s="527">
        <f t="shared" si="12"/>
        <v>0</v>
      </c>
      <c r="T107" s="528">
        <f t="shared" si="13"/>
        <v>0</v>
      </c>
      <c r="U107" s="527">
        <f t="shared" si="14"/>
        <v>0</v>
      </c>
      <c r="W107" s="326">
        <f t="shared" si="16"/>
        <v>0</v>
      </c>
      <c r="X107" s="261">
        <f t="shared" si="17"/>
        <v>0</v>
      </c>
      <c r="Y107" s="58"/>
      <c r="Z107" s="1016">
        <f t="shared" si="15"/>
        <v>0</v>
      </c>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row>
    <row r="108" spans="1:81" ht="12" hidden="1" thickBot="1">
      <c r="A108" s="588" t="s">
        <v>1468</v>
      </c>
      <c r="B108" s="522" t="s">
        <v>1356</v>
      </c>
      <c r="C108" s="522" t="s">
        <v>1357</v>
      </c>
      <c r="D108" s="533" t="s">
        <v>756</v>
      </c>
      <c r="E108" s="960"/>
      <c r="F108" s="962"/>
      <c r="G108" s="962"/>
      <c r="H108" s="962"/>
      <c r="I108" s="962"/>
      <c r="J108" s="962"/>
      <c r="K108" s="962"/>
      <c r="L108" s="962"/>
      <c r="M108" s="962"/>
      <c r="N108" s="962"/>
      <c r="O108" s="962"/>
      <c r="P108" s="962"/>
      <c r="Q108" s="962"/>
      <c r="R108" s="962"/>
      <c r="S108" s="527">
        <f t="shared" si="12"/>
        <v>0</v>
      </c>
      <c r="T108" s="528">
        <f t="shared" si="13"/>
        <v>0</v>
      </c>
      <c r="U108" s="527">
        <f t="shared" si="14"/>
        <v>0</v>
      </c>
      <c r="W108" s="326">
        <f t="shared" si="16"/>
        <v>0</v>
      </c>
      <c r="X108" s="261">
        <f t="shared" si="17"/>
        <v>0</v>
      </c>
      <c r="Y108" s="58"/>
      <c r="Z108" s="1016">
        <f t="shared" si="15"/>
        <v>0</v>
      </c>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row>
    <row r="109" spans="1:81" ht="12" hidden="1" thickBot="1">
      <c r="A109" s="588" t="s">
        <v>1468</v>
      </c>
      <c r="B109" s="522" t="s">
        <v>379</v>
      </c>
      <c r="C109" s="522" t="s">
        <v>1006</v>
      </c>
      <c r="D109" s="533" t="s">
        <v>1036</v>
      </c>
      <c r="E109" s="960"/>
      <c r="F109" s="962"/>
      <c r="G109" s="961"/>
      <c r="H109" s="962"/>
      <c r="I109" s="962"/>
      <c r="J109" s="962"/>
      <c r="K109" s="962"/>
      <c r="L109" s="962"/>
      <c r="M109" s="961"/>
      <c r="N109" s="961"/>
      <c r="O109" s="962"/>
      <c r="P109" s="962"/>
      <c r="Q109" s="961"/>
      <c r="R109" s="961"/>
      <c r="S109" s="527">
        <f t="shared" si="12"/>
        <v>0</v>
      </c>
      <c r="T109" s="528">
        <f t="shared" si="13"/>
        <v>0</v>
      </c>
      <c r="U109" s="527">
        <f t="shared" si="14"/>
        <v>0</v>
      </c>
      <c r="W109" s="326">
        <f t="shared" si="16"/>
        <v>0</v>
      </c>
      <c r="X109" s="261">
        <f t="shared" si="17"/>
        <v>0</v>
      </c>
      <c r="Y109" s="58"/>
      <c r="Z109" s="1016">
        <f t="shared" si="15"/>
        <v>0</v>
      </c>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row>
    <row r="110" spans="1:81" ht="12" hidden="1" thickBot="1">
      <c r="A110" s="588" t="s">
        <v>1468</v>
      </c>
      <c r="B110" s="522" t="s">
        <v>389</v>
      </c>
      <c r="C110" s="522" t="s">
        <v>1007</v>
      </c>
      <c r="D110" s="533" t="s">
        <v>1035</v>
      </c>
      <c r="E110" s="960"/>
      <c r="F110" s="962"/>
      <c r="G110" s="961"/>
      <c r="H110" s="962"/>
      <c r="I110" s="962"/>
      <c r="J110" s="962"/>
      <c r="K110" s="962"/>
      <c r="L110" s="962"/>
      <c r="M110" s="961"/>
      <c r="N110" s="961"/>
      <c r="O110" s="962"/>
      <c r="P110" s="962"/>
      <c r="Q110" s="961"/>
      <c r="R110" s="961"/>
      <c r="S110" s="527">
        <f t="shared" si="12"/>
        <v>0</v>
      </c>
      <c r="T110" s="528">
        <f t="shared" si="13"/>
        <v>0</v>
      </c>
      <c r="U110" s="527">
        <f t="shared" si="14"/>
        <v>0</v>
      </c>
      <c r="W110" s="326">
        <f t="shared" si="16"/>
        <v>0</v>
      </c>
      <c r="X110" s="261">
        <f t="shared" si="17"/>
        <v>0</v>
      </c>
      <c r="Y110" s="58"/>
      <c r="Z110" s="1016">
        <f t="shared" si="15"/>
        <v>0</v>
      </c>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row>
    <row r="111" spans="1:81" ht="12" hidden="1" thickBot="1">
      <c r="A111" s="588" t="s">
        <v>1468</v>
      </c>
      <c r="B111" s="522" t="s">
        <v>412</v>
      </c>
      <c r="C111" s="522" t="s">
        <v>1008</v>
      </c>
      <c r="D111" s="533" t="s">
        <v>1035</v>
      </c>
      <c r="E111" s="960"/>
      <c r="F111" s="962"/>
      <c r="G111" s="961"/>
      <c r="H111" s="962"/>
      <c r="I111" s="962"/>
      <c r="J111" s="962"/>
      <c r="K111" s="962"/>
      <c r="L111" s="962"/>
      <c r="M111" s="961"/>
      <c r="N111" s="961"/>
      <c r="O111" s="962"/>
      <c r="P111" s="962"/>
      <c r="Q111" s="961"/>
      <c r="R111" s="961"/>
      <c r="S111" s="527">
        <f t="shared" si="12"/>
        <v>0</v>
      </c>
      <c r="T111" s="528">
        <f t="shared" si="13"/>
        <v>0</v>
      </c>
      <c r="U111" s="527">
        <f t="shared" si="14"/>
        <v>0</v>
      </c>
      <c r="W111" s="326">
        <f t="shared" si="16"/>
        <v>0</v>
      </c>
      <c r="X111" s="261">
        <f t="shared" si="17"/>
        <v>0</v>
      </c>
      <c r="Y111" s="58"/>
      <c r="Z111" s="1016">
        <f t="shared" si="15"/>
        <v>0</v>
      </c>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row>
    <row r="112" spans="1:81" ht="12" hidden="1" thickBot="1">
      <c r="A112" s="588" t="s">
        <v>1468</v>
      </c>
      <c r="B112" s="522" t="s">
        <v>367</v>
      </c>
      <c r="C112" s="522" t="s">
        <v>1009</v>
      </c>
      <c r="D112" s="533" t="s">
        <v>1036</v>
      </c>
      <c r="E112" s="960"/>
      <c r="F112" s="962"/>
      <c r="G112" s="961"/>
      <c r="H112" s="962"/>
      <c r="I112" s="962"/>
      <c r="J112" s="962"/>
      <c r="K112" s="962"/>
      <c r="L112" s="962"/>
      <c r="M112" s="961"/>
      <c r="N112" s="961"/>
      <c r="O112" s="962"/>
      <c r="P112" s="962"/>
      <c r="Q112" s="961"/>
      <c r="R112" s="961"/>
      <c r="S112" s="527">
        <f t="shared" ref="S112:S143" si="18">G112+H112+I112</f>
        <v>0</v>
      </c>
      <c r="T112" s="528">
        <f t="shared" ref="T112:T143" si="19">J112+K112</f>
        <v>0</v>
      </c>
      <c r="U112" s="527">
        <f t="shared" ref="U112:U143" si="20">N112+O112</f>
        <v>0</v>
      </c>
      <c r="W112" s="326">
        <f t="shared" si="16"/>
        <v>0</v>
      </c>
      <c r="X112" s="261">
        <f t="shared" si="17"/>
        <v>0</v>
      </c>
      <c r="Y112" s="58"/>
      <c r="Z112" s="1016">
        <f t="shared" si="15"/>
        <v>0</v>
      </c>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row>
    <row r="113" spans="1:81" ht="12" hidden="1" thickBot="1">
      <c r="A113" s="588" t="s">
        <v>1468</v>
      </c>
      <c r="B113" s="522" t="s">
        <v>330</v>
      </c>
      <c r="C113" s="522" t="s">
        <v>1010</v>
      </c>
      <c r="D113" s="533" t="s">
        <v>1036</v>
      </c>
      <c r="E113" s="960"/>
      <c r="F113" s="962"/>
      <c r="G113" s="961"/>
      <c r="H113" s="962"/>
      <c r="I113" s="962"/>
      <c r="J113" s="962"/>
      <c r="K113" s="962"/>
      <c r="L113" s="962"/>
      <c r="M113" s="961"/>
      <c r="N113" s="961"/>
      <c r="O113" s="962"/>
      <c r="P113" s="962"/>
      <c r="Q113" s="961"/>
      <c r="R113" s="961"/>
      <c r="S113" s="527">
        <f t="shared" si="18"/>
        <v>0</v>
      </c>
      <c r="T113" s="528">
        <f t="shared" si="19"/>
        <v>0</v>
      </c>
      <c r="U113" s="527">
        <f t="shared" si="20"/>
        <v>0</v>
      </c>
      <c r="W113" s="326">
        <f t="shared" si="16"/>
        <v>0</v>
      </c>
      <c r="X113" s="261">
        <f t="shared" si="17"/>
        <v>0</v>
      </c>
      <c r="Y113" s="58"/>
      <c r="Z113" s="1016">
        <f t="shared" si="15"/>
        <v>0</v>
      </c>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row>
    <row r="114" spans="1:81" ht="12" hidden="1" thickBot="1">
      <c r="A114" s="588" t="s">
        <v>1468</v>
      </c>
      <c r="B114" s="522" t="s">
        <v>371</v>
      </c>
      <c r="C114" s="522" t="s">
        <v>1011</v>
      </c>
      <c r="D114" s="533" t="s">
        <v>1036</v>
      </c>
      <c r="E114" s="960"/>
      <c r="F114" s="962"/>
      <c r="G114" s="961"/>
      <c r="H114" s="962"/>
      <c r="I114" s="962"/>
      <c r="J114" s="962"/>
      <c r="K114" s="962"/>
      <c r="L114" s="962"/>
      <c r="M114" s="961"/>
      <c r="N114" s="961"/>
      <c r="O114" s="962"/>
      <c r="P114" s="962"/>
      <c r="Q114" s="961"/>
      <c r="R114" s="961"/>
      <c r="S114" s="527">
        <f t="shared" si="18"/>
        <v>0</v>
      </c>
      <c r="T114" s="528">
        <f t="shared" si="19"/>
        <v>0</v>
      </c>
      <c r="U114" s="527">
        <f t="shared" si="20"/>
        <v>0</v>
      </c>
      <c r="W114" s="326">
        <f t="shared" si="16"/>
        <v>0</v>
      </c>
      <c r="X114" s="261">
        <f t="shared" si="17"/>
        <v>0</v>
      </c>
      <c r="Y114" s="58"/>
      <c r="Z114" s="1016">
        <f t="shared" si="15"/>
        <v>0</v>
      </c>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row>
    <row r="115" spans="1:81" ht="12" hidden="1" thickBot="1">
      <c r="A115" s="588" t="s">
        <v>1468</v>
      </c>
      <c r="B115" s="522" t="s">
        <v>380</v>
      </c>
      <c r="C115" s="522" t="s">
        <v>1012</v>
      </c>
      <c r="D115" s="533" t="s">
        <v>1035</v>
      </c>
      <c r="E115" s="960"/>
      <c r="F115" s="962"/>
      <c r="G115" s="961"/>
      <c r="H115" s="962"/>
      <c r="I115" s="962"/>
      <c r="J115" s="962"/>
      <c r="K115" s="962"/>
      <c r="L115" s="962"/>
      <c r="M115" s="961"/>
      <c r="N115" s="961"/>
      <c r="O115" s="962"/>
      <c r="P115" s="962"/>
      <c r="Q115" s="961"/>
      <c r="R115" s="961"/>
      <c r="S115" s="527">
        <f t="shared" si="18"/>
        <v>0</v>
      </c>
      <c r="T115" s="528">
        <f t="shared" si="19"/>
        <v>0</v>
      </c>
      <c r="U115" s="527">
        <f t="shared" si="20"/>
        <v>0</v>
      </c>
      <c r="W115" s="326">
        <f t="shared" si="16"/>
        <v>0</v>
      </c>
      <c r="X115" s="261">
        <f t="shared" si="17"/>
        <v>0</v>
      </c>
      <c r="Y115" s="58"/>
      <c r="Z115" s="1016">
        <f t="shared" si="15"/>
        <v>0</v>
      </c>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row>
    <row r="116" spans="1:81" ht="12" hidden="1" thickBot="1">
      <c r="A116" s="588" t="s">
        <v>1468</v>
      </c>
      <c r="B116" s="522" t="s">
        <v>403</v>
      </c>
      <c r="C116" s="522" t="s">
        <v>1013</v>
      </c>
      <c r="D116" s="533" t="s">
        <v>1035</v>
      </c>
      <c r="E116" s="960"/>
      <c r="F116" s="962"/>
      <c r="G116" s="961"/>
      <c r="H116" s="962"/>
      <c r="I116" s="962"/>
      <c r="J116" s="962"/>
      <c r="K116" s="962"/>
      <c r="L116" s="962"/>
      <c r="M116" s="961"/>
      <c r="N116" s="961"/>
      <c r="O116" s="962"/>
      <c r="P116" s="962"/>
      <c r="Q116" s="961"/>
      <c r="R116" s="961"/>
      <c r="S116" s="527">
        <f t="shared" si="18"/>
        <v>0</v>
      </c>
      <c r="T116" s="528">
        <f t="shared" si="19"/>
        <v>0</v>
      </c>
      <c r="U116" s="527">
        <f t="shared" si="20"/>
        <v>0</v>
      </c>
      <c r="W116" s="326">
        <f t="shared" si="16"/>
        <v>0</v>
      </c>
      <c r="X116" s="261">
        <f t="shared" si="17"/>
        <v>0</v>
      </c>
      <c r="Y116" s="58"/>
      <c r="Z116" s="1016">
        <f t="shared" si="15"/>
        <v>0</v>
      </c>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row>
    <row r="117" spans="1:81" ht="12" hidden="1" thickBot="1">
      <c r="A117" s="588" t="s">
        <v>1468</v>
      </c>
      <c r="B117" s="522" t="s">
        <v>360</v>
      </c>
      <c r="C117" s="522" t="s">
        <v>1014</v>
      </c>
      <c r="D117" s="533" t="s">
        <v>1035</v>
      </c>
      <c r="E117" s="960"/>
      <c r="F117" s="962"/>
      <c r="G117" s="961"/>
      <c r="H117" s="962"/>
      <c r="I117" s="962"/>
      <c r="J117" s="962"/>
      <c r="K117" s="962"/>
      <c r="L117" s="962"/>
      <c r="M117" s="961"/>
      <c r="N117" s="961"/>
      <c r="O117" s="962"/>
      <c r="P117" s="962"/>
      <c r="Q117" s="961"/>
      <c r="R117" s="961"/>
      <c r="S117" s="527">
        <f t="shared" si="18"/>
        <v>0</v>
      </c>
      <c r="T117" s="528">
        <f t="shared" si="19"/>
        <v>0</v>
      </c>
      <c r="U117" s="527">
        <f t="shared" si="20"/>
        <v>0</v>
      </c>
      <c r="W117" s="326">
        <f t="shared" si="16"/>
        <v>0</v>
      </c>
      <c r="X117" s="261">
        <f t="shared" si="17"/>
        <v>0</v>
      </c>
      <c r="Y117" s="58"/>
      <c r="Z117" s="1016">
        <f t="shared" si="15"/>
        <v>0</v>
      </c>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row>
    <row r="118" spans="1:81" ht="12" hidden="1" thickBot="1">
      <c r="A118" s="588" t="s">
        <v>1468</v>
      </c>
      <c r="B118" s="522" t="s">
        <v>392</v>
      </c>
      <c r="C118" s="522" t="s">
        <v>1015</v>
      </c>
      <c r="D118" s="533" t="s">
        <v>1035</v>
      </c>
      <c r="E118" s="960"/>
      <c r="F118" s="962"/>
      <c r="G118" s="961"/>
      <c r="H118" s="962"/>
      <c r="I118" s="962"/>
      <c r="J118" s="962"/>
      <c r="K118" s="962"/>
      <c r="L118" s="962"/>
      <c r="M118" s="961"/>
      <c r="N118" s="961"/>
      <c r="O118" s="962"/>
      <c r="P118" s="962"/>
      <c r="Q118" s="961"/>
      <c r="R118" s="961"/>
      <c r="S118" s="527">
        <f t="shared" si="18"/>
        <v>0</v>
      </c>
      <c r="T118" s="528">
        <f t="shared" si="19"/>
        <v>0</v>
      </c>
      <c r="U118" s="527">
        <f t="shared" si="20"/>
        <v>0</v>
      </c>
      <c r="W118" s="326">
        <f t="shared" si="16"/>
        <v>0</v>
      </c>
      <c r="X118" s="261">
        <f t="shared" si="17"/>
        <v>0</v>
      </c>
      <c r="Y118" s="58"/>
      <c r="Z118" s="1016">
        <f t="shared" si="15"/>
        <v>0</v>
      </c>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row>
    <row r="119" spans="1:81" ht="12" hidden="1" thickBot="1">
      <c r="A119" s="588" t="s">
        <v>1468</v>
      </c>
      <c r="B119" s="522" t="s">
        <v>390</v>
      </c>
      <c r="C119" s="522" t="s">
        <v>1016</v>
      </c>
      <c r="D119" s="533" t="s">
        <v>1035</v>
      </c>
      <c r="E119" s="960"/>
      <c r="F119" s="962"/>
      <c r="G119" s="961"/>
      <c r="H119" s="962"/>
      <c r="I119" s="962"/>
      <c r="J119" s="962"/>
      <c r="K119" s="962"/>
      <c r="L119" s="962"/>
      <c r="M119" s="961"/>
      <c r="N119" s="961"/>
      <c r="O119" s="962"/>
      <c r="P119" s="962"/>
      <c r="Q119" s="961"/>
      <c r="R119" s="961"/>
      <c r="S119" s="527">
        <f t="shared" si="18"/>
        <v>0</v>
      </c>
      <c r="T119" s="528">
        <f t="shared" si="19"/>
        <v>0</v>
      </c>
      <c r="U119" s="527">
        <f t="shared" si="20"/>
        <v>0</v>
      </c>
      <c r="W119" s="326">
        <f t="shared" si="16"/>
        <v>0</v>
      </c>
      <c r="X119" s="261">
        <f t="shared" si="17"/>
        <v>0</v>
      </c>
      <c r="Y119" s="58"/>
      <c r="Z119" s="1016">
        <f t="shared" si="15"/>
        <v>0</v>
      </c>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row>
    <row r="120" spans="1:81" ht="12" hidden="1" thickBot="1">
      <c r="A120" s="588" t="s">
        <v>1468</v>
      </c>
      <c r="B120" s="522" t="s">
        <v>414</v>
      </c>
      <c r="C120" s="522" t="s">
        <v>1017</v>
      </c>
      <c r="D120" s="533" t="s">
        <v>1035</v>
      </c>
      <c r="E120" s="960"/>
      <c r="F120" s="962"/>
      <c r="G120" s="961"/>
      <c r="H120" s="962"/>
      <c r="I120" s="962"/>
      <c r="J120" s="962"/>
      <c r="K120" s="962"/>
      <c r="L120" s="962"/>
      <c r="M120" s="961"/>
      <c r="N120" s="961"/>
      <c r="O120" s="962"/>
      <c r="P120" s="962"/>
      <c r="Q120" s="961"/>
      <c r="R120" s="961"/>
      <c r="S120" s="527">
        <f t="shared" si="18"/>
        <v>0</v>
      </c>
      <c r="T120" s="528">
        <f t="shared" si="19"/>
        <v>0</v>
      </c>
      <c r="U120" s="527">
        <f t="shared" si="20"/>
        <v>0</v>
      </c>
      <c r="W120" s="326">
        <f t="shared" si="16"/>
        <v>0</v>
      </c>
      <c r="X120" s="261">
        <f t="shared" si="17"/>
        <v>0</v>
      </c>
      <c r="Y120" s="58"/>
      <c r="Z120" s="1016">
        <f t="shared" si="15"/>
        <v>0</v>
      </c>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row>
    <row r="121" spans="1:81" ht="12" hidden="1" thickBot="1">
      <c r="A121" s="588" t="s">
        <v>1468</v>
      </c>
      <c r="B121" s="522" t="s">
        <v>364</v>
      </c>
      <c r="C121" s="522" t="s">
        <v>1018</v>
      </c>
      <c r="D121" s="533" t="s">
        <v>1035</v>
      </c>
      <c r="E121" s="960"/>
      <c r="F121" s="962"/>
      <c r="G121" s="961"/>
      <c r="H121" s="962"/>
      <c r="I121" s="962"/>
      <c r="J121" s="962"/>
      <c r="K121" s="962"/>
      <c r="L121" s="962"/>
      <c r="M121" s="961"/>
      <c r="N121" s="961"/>
      <c r="O121" s="962"/>
      <c r="P121" s="962"/>
      <c r="Q121" s="961"/>
      <c r="R121" s="961"/>
      <c r="S121" s="527">
        <f t="shared" si="18"/>
        <v>0</v>
      </c>
      <c r="T121" s="528">
        <f t="shared" si="19"/>
        <v>0</v>
      </c>
      <c r="U121" s="527">
        <f t="shared" si="20"/>
        <v>0</v>
      </c>
      <c r="W121" s="326">
        <f t="shared" si="16"/>
        <v>0</v>
      </c>
      <c r="X121" s="261">
        <f t="shared" si="17"/>
        <v>0</v>
      </c>
      <c r="Y121" s="58"/>
      <c r="Z121" s="1016">
        <f t="shared" si="15"/>
        <v>0</v>
      </c>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row>
    <row r="122" spans="1:81" ht="12" hidden="1" thickBot="1">
      <c r="A122" s="588" t="s">
        <v>1468</v>
      </c>
      <c r="B122" s="522" t="s">
        <v>396</v>
      </c>
      <c r="C122" s="522" t="s">
        <v>1019</v>
      </c>
      <c r="D122" s="533" t="s">
        <v>1035</v>
      </c>
      <c r="E122" s="960"/>
      <c r="F122" s="962"/>
      <c r="G122" s="961"/>
      <c r="H122" s="962"/>
      <c r="I122" s="962"/>
      <c r="J122" s="962"/>
      <c r="K122" s="962"/>
      <c r="L122" s="962"/>
      <c r="M122" s="961"/>
      <c r="N122" s="961"/>
      <c r="O122" s="962"/>
      <c r="P122" s="962"/>
      <c r="Q122" s="961"/>
      <c r="R122" s="961"/>
      <c r="S122" s="527">
        <f t="shared" si="18"/>
        <v>0</v>
      </c>
      <c r="T122" s="528">
        <f t="shared" si="19"/>
        <v>0</v>
      </c>
      <c r="U122" s="527">
        <f t="shared" si="20"/>
        <v>0</v>
      </c>
      <c r="W122" s="326">
        <f t="shared" si="16"/>
        <v>0</v>
      </c>
      <c r="X122" s="261">
        <f t="shared" si="17"/>
        <v>0</v>
      </c>
      <c r="Y122" s="58"/>
      <c r="Z122" s="1016">
        <f t="shared" si="15"/>
        <v>0</v>
      </c>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row>
    <row r="123" spans="1:81" ht="12" hidden="1" thickBot="1">
      <c r="A123" s="588" t="s">
        <v>1468</v>
      </c>
      <c r="B123" s="522" t="s">
        <v>415</v>
      </c>
      <c r="C123" s="522" t="s">
        <v>1020</v>
      </c>
      <c r="D123" s="533" t="s">
        <v>1035</v>
      </c>
      <c r="E123" s="960"/>
      <c r="F123" s="962"/>
      <c r="G123" s="961"/>
      <c r="H123" s="962"/>
      <c r="I123" s="962"/>
      <c r="J123" s="962"/>
      <c r="K123" s="962"/>
      <c r="L123" s="962"/>
      <c r="M123" s="961"/>
      <c r="N123" s="961"/>
      <c r="O123" s="962"/>
      <c r="P123" s="962"/>
      <c r="Q123" s="961"/>
      <c r="R123" s="961"/>
      <c r="S123" s="527">
        <f t="shared" si="18"/>
        <v>0</v>
      </c>
      <c r="T123" s="528">
        <f t="shared" si="19"/>
        <v>0</v>
      </c>
      <c r="U123" s="527">
        <f t="shared" si="20"/>
        <v>0</v>
      </c>
      <c r="W123" s="326">
        <f t="shared" si="16"/>
        <v>0</v>
      </c>
      <c r="X123" s="261">
        <f t="shared" si="17"/>
        <v>0</v>
      </c>
      <c r="Y123" s="58"/>
      <c r="Z123" s="1016">
        <f t="shared" si="15"/>
        <v>0</v>
      </c>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row>
    <row r="124" spans="1:81" ht="12" hidden="1" thickBot="1">
      <c r="A124" s="588" t="s">
        <v>1468</v>
      </c>
      <c r="B124" s="522" t="s">
        <v>365</v>
      </c>
      <c r="C124" s="522" t="s">
        <v>1021</v>
      </c>
      <c r="D124" s="533" t="s">
        <v>1035</v>
      </c>
      <c r="E124" s="960"/>
      <c r="F124" s="962"/>
      <c r="G124" s="961"/>
      <c r="H124" s="962"/>
      <c r="I124" s="962"/>
      <c r="J124" s="962"/>
      <c r="K124" s="962"/>
      <c r="L124" s="962"/>
      <c r="M124" s="961"/>
      <c r="N124" s="961"/>
      <c r="O124" s="962"/>
      <c r="P124" s="962"/>
      <c r="Q124" s="961"/>
      <c r="R124" s="961"/>
      <c r="S124" s="527">
        <f t="shared" si="18"/>
        <v>0</v>
      </c>
      <c r="T124" s="528">
        <f t="shared" si="19"/>
        <v>0</v>
      </c>
      <c r="U124" s="527">
        <f t="shared" si="20"/>
        <v>0</v>
      </c>
      <c r="W124" s="326">
        <f t="shared" si="16"/>
        <v>0</v>
      </c>
      <c r="X124" s="261">
        <f t="shared" si="17"/>
        <v>0</v>
      </c>
      <c r="Y124" s="58"/>
      <c r="Z124" s="1016">
        <f t="shared" si="15"/>
        <v>0</v>
      </c>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row>
    <row r="125" spans="1:81" ht="12" hidden="1" thickBot="1">
      <c r="A125" s="588" t="s">
        <v>1468</v>
      </c>
      <c r="B125" s="522" t="s">
        <v>397</v>
      </c>
      <c r="C125" s="522" t="s">
        <v>1022</v>
      </c>
      <c r="D125" s="533" t="s">
        <v>1035</v>
      </c>
      <c r="E125" s="960"/>
      <c r="F125" s="962"/>
      <c r="G125" s="961"/>
      <c r="H125" s="962"/>
      <c r="I125" s="962"/>
      <c r="J125" s="962"/>
      <c r="K125" s="962"/>
      <c r="L125" s="962"/>
      <c r="M125" s="961"/>
      <c r="N125" s="961"/>
      <c r="O125" s="962"/>
      <c r="P125" s="962"/>
      <c r="Q125" s="961"/>
      <c r="R125" s="961"/>
      <c r="S125" s="527">
        <f t="shared" si="18"/>
        <v>0</v>
      </c>
      <c r="T125" s="528">
        <f t="shared" si="19"/>
        <v>0</v>
      </c>
      <c r="U125" s="527">
        <f t="shared" si="20"/>
        <v>0</v>
      </c>
      <c r="W125" s="326">
        <f t="shared" si="16"/>
        <v>0</v>
      </c>
      <c r="X125" s="261">
        <f t="shared" si="17"/>
        <v>0</v>
      </c>
      <c r="Y125" s="58"/>
      <c r="Z125" s="1016">
        <f t="shared" si="15"/>
        <v>0</v>
      </c>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row>
    <row r="126" spans="1:81" ht="12" hidden="1" thickBot="1">
      <c r="A126" s="588" t="s">
        <v>1468</v>
      </c>
      <c r="B126" s="522" t="s">
        <v>337</v>
      </c>
      <c r="C126" s="522" t="s">
        <v>1023</v>
      </c>
      <c r="D126" s="533" t="s">
        <v>1035</v>
      </c>
      <c r="E126" s="960"/>
      <c r="F126" s="962"/>
      <c r="G126" s="961"/>
      <c r="H126" s="962"/>
      <c r="I126" s="962"/>
      <c r="J126" s="962"/>
      <c r="K126" s="962"/>
      <c r="L126" s="962"/>
      <c r="M126" s="961"/>
      <c r="N126" s="961"/>
      <c r="O126" s="962"/>
      <c r="P126" s="962"/>
      <c r="Q126" s="961"/>
      <c r="R126" s="961"/>
      <c r="S126" s="527">
        <f t="shared" si="18"/>
        <v>0</v>
      </c>
      <c r="T126" s="528">
        <f t="shared" si="19"/>
        <v>0</v>
      </c>
      <c r="U126" s="527">
        <f t="shared" si="20"/>
        <v>0</v>
      </c>
      <c r="W126" s="326">
        <f t="shared" si="16"/>
        <v>0</v>
      </c>
      <c r="X126" s="261">
        <f t="shared" si="17"/>
        <v>0</v>
      </c>
      <c r="Y126" s="58"/>
      <c r="Z126" s="1016">
        <f t="shared" si="15"/>
        <v>0</v>
      </c>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row>
    <row r="127" spans="1:81" ht="12" hidden="1" thickBot="1">
      <c r="A127" s="588" t="s">
        <v>1468</v>
      </c>
      <c r="B127" s="522" t="s">
        <v>369</v>
      </c>
      <c r="C127" s="522" t="s">
        <v>1024</v>
      </c>
      <c r="D127" s="533" t="s">
        <v>1035</v>
      </c>
      <c r="E127" s="960"/>
      <c r="F127" s="962"/>
      <c r="G127" s="961"/>
      <c r="H127" s="962"/>
      <c r="I127" s="962"/>
      <c r="J127" s="962"/>
      <c r="K127" s="962"/>
      <c r="L127" s="962"/>
      <c r="M127" s="961"/>
      <c r="N127" s="961"/>
      <c r="O127" s="962"/>
      <c r="P127" s="962"/>
      <c r="Q127" s="961"/>
      <c r="R127" s="961"/>
      <c r="S127" s="527">
        <f t="shared" si="18"/>
        <v>0</v>
      </c>
      <c r="T127" s="528">
        <f t="shared" si="19"/>
        <v>0</v>
      </c>
      <c r="U127" s="527">
        <f t="shared" si="20"/>
        <v>0</v>
      </c>
      <c r="W127" s="326">
        <f t="shared" si="16"/>
        <v>0</v>
      </c>
      <c r="X127" s="261">
        <f t="shared" si="17"/>
        <v>0</v>
      </c>
      <c r="Y127" s="58"/>
      <c r="Z127" s="1016">
        <f t="shared" si="15"/>
        <v>0</v>
      </c>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row>
    <row r="128" spans="1:81" ht="12" hidden="1" thickBot="1">
      <c r="A128" s="588" t="s">
        <v>1468</v>
      </c>
      <c r="B128" s="522" t="s">
        <v>715</v>
      </c>
      <c r="C128" s="522" t="s">
        <v>1025</v>
      </c>
      <c r="D128" s="533" t="s">
        <v>1035</v>
      </c>
      <c r="E128" s="960"/>
      <c r="F128" s="962"/>
      <c r="G128" s="961"/>
      <c r="H128" s="962"/>
      <c r="I128" s="962"/>
      <c r="J128" s="962"/>
      <c r="K128" s="962"/>
      <c r="L128" s="962"/>
      <c r="M128" s="961"/>
      <c r="N128" s="961"/>
      <c r="O128" s="962"/>
      <c r="P128" s="962"/>
      <c r="Q128" s="962"/>
      <c r="R128" s="961"/>
      <c r="S128" s="527">
        <f t="shared" si="18"/>
        <v>0</v>
      </c>
      <c r="T128" s="528">
        <f t="shared" si="19"/>
        <v>0</v>
      </c>
      <c r="U128" s="527">
        <f t="shared" si="20"/>
        <v>0</v>
      </c>
      <c r="W128" s="326">
        <f t="shared" si="16"/>
        <v>0</v>
      </c>
      <c r="X128" s="261">
        <f t="shared" si="17"/>
        <v>0</v>
      </c>
      <c r="Y128" s="58"/>
      <c r="Z128" s="1016">
        <f t="shared" si="15"/>
        <v>0</v>
      </c>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row>
    <row r="129" spans="1:81" ht="12" hidden="1" thickBot="1">
      <c r="A129" s="588" t="s">
        <v>1468</v>
      </c>
      <c r="B129" s="522" t="s">
        <v>332</v>
      </c>
      <c r="C129" s="522" t="s">
        <v>1026</v>
      </c>
      <c r="D129" s="533" t="s">
        <v>1035</v>
      </c>
      <c r="E129" s="960"/>
      <c r="F129" s="962"/>
      <c r="G129" s="961"/>
      <c r="H129" s="962"/>
      <c r="I129" s="962"/>
      <c r="J129" s="962"/>
      <c r="K129" s="962"/>
      <c r="L129" s="962"/>
      <c r="M129" s="961"/>
      <c r="N129" s="961"/>
      <c r="O129" s="962"/>
      <c r="P129" s="962"/>
      <c r="Q129" s="961"/>
      <c r="R129" s="961"/>
      <c r="S129" s="527">
        <f t="shared" si="18"/>
        <v>0</v>
      </c>
      <c r="T129" s="528">
        <f t="shared" si="19"/>
        <v>0</v>
      </c>
      <c r="U129" s="527">
        <f t="shared" si="20"/>
        <v>0</v>
      </c>
      <c r="W129" s="326">
        <f t="shared" si="16"/>
        <v>0</v>
      </c>
      <c r="X129" s="261">
        <f t="shared" si="17"/>
        <v>0</v>
      </c>
      <c r="Y129" s="58"/>
      <c r="Z129" s="1016">
        <f t="shared" si="15"/>
        <v>0</v>
      </c>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row>
    <row r="130" spans="1:81" ht="12" hidden="1" thickBot="1">
      <c r="A130" s="588" t="s">
        <v>1468</v>
      </c>
      <c r="B130" s="522" t="s">
        <v>334</v>
      </c>
      <c r="C130" s="522" t="s">
        <v>1027</v>
      </c>
      <c r="D130" s="533" t="s">
        <v>1035</v>
      </c>
      <c r="E130" s="960"/>
      <c r="F130" s="962"/>
      <c r="G130" s="961"/>
      <c r="H130" s="962"/>
      <c r="I130" s="962"/>
      <c r="J130" s="962"/>
      <c r="K130" s="962"/>
      <c r="L130" s="962"/>
      <c r="M130" s="961"/>
      <c r="N130" s="961"/>
      <c r="O130" s="962"/>
      <c r="P130" s="962"/>
      <c r="Q130" s="961"/>
      <c r="R130" s="961"/>
      <c r="S130" s="527">
        <f t="shared" si="18"/>
        <v>0</v>
      </c>
      <c r="T130" s="528">
        <f t="shared" si="19"/>
        <v>0</v>
      </c>
      <c r="U130" s="527">
        <f t="shared" si="20"/>
        <v>0</v>
      </c>
      <c r="W130" s="326">
        <f t="shared" si="16"/>
        <v>0</v>
      </c>
      <c r="X130" s="261">
        <f t="shared" si="17"/>
        <v>0</v>
      </c>
      <c r="Y130" s="58"/>
      <c r="Z130" s="1016">
        <f t="shared" si="15"/>
        <v>0</v>
      </c>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row>
    <row r="131" spans="1:81" ht="12" hidden="1" thickBot="1">
      <c r="A131" s="588" t="s">
        <v>1468</v>
      </c>
      <c r="B131" s="522" t="s">
        <v>366</v>
      </c>
      <c r="C131" s="522" t="s">
        <v>1028</v>
      </c>
      <c r="D131" s="533" t="s">
        <v>1035</v>
      </c>
      <c r="E131" s="960"/>
      <c r="F131" s="962"/>
      <c r="G131" s="961"/>
      <c r="H131" s="962"/>
      <c r="I131" s="962"/>
      <c r="J131" s="962"/>
      <c r="K131" s="962"/>
      <c r="L131" s="962"/>
      <c r="M131" s="961"/>
      <c r="N131" s="961"/>
      <c r="O131" s="962"/>
      <c r="P131" s="962"/>
      <c r="Q131" s="961"/>
      <c r="R131" s="961"/>
      <c r="S131" s="527">
        <f t="shared" si="18"/>
        <v>0</v>
      </c>
      <c r="T131" s="528">
        <f t="shared" si="19"/>
        <v>0</v>
      </c>
      <c r="U131" s="527">
        <f t="shared" si="20"/>
        <v>0</v>
      </c>
      <c r="W131" s="326">
        <f t="shared" si="16"/>
        <v>0</v>
      </c>
      <c r="X131" s="261">
        <f t="shared" si="17"/>
        <v>0</v>
      </c>
      <c r="Y131" s="58"/>
      <c r="Z131" s="1016">
        <f t="shared" si="15"/>
        <v>0</v>
      </c>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row>
    <row r="132" spans="1:81" ht="12" hidden="1" thickBot="1">
      <c r="A132" s="588" t="s">
        <v>1468</v>
      </c>
      <c r="B132" s="522" t="s">
        <v>329</v>
      </c>
      <c r="C132" s="522" t="s">
        <v>1029</v>
      </c>
      <c r="D132" s="533" t="s">
        <v>1035</v>
      </c>
      <c r="E132" s="960"/>
      <c r="F132" s="962"/>
      <c r="G132" s="961"/>
      <c r="H132" s="962"/>
      <c r="I132" s="962"/>
      <c r="J132" s="962"/>
      <c r="K132" s="962"/>
      <c r="L132" s="962"/>
      <c r="M132" s="961"/>
      <c r="N132" s="961"/>
      <c r="O132" s="962"/>
      <c r="P132" s="962"/>
      <c r="Q132" s="961"/>
      <c r="R132" s="961"/>
      <c r="S132" s="527">
        <f t="shared" si="18"/>
        <v>0</v>
      </c>
      <c r="T132" s="528">
        <f t="shared" si="19"/>
        <v>0</v>
      </c>
      <c r="U132" s="527">
        <f t="shared" si="20"/>
        <v>0</v>
      </c>
      <c r="W132" s="326">
        <f t="shared" si="16"/>
        <v>0</v>
      </c>
      <c r="X132" s="261">
        <f t="shared" si="17"/>
        <v>0</v>
      </c>
      <c r="Y132" s="58"/>
      <c r="Z132" s="1016">
        <f t="shared" ref="Z132:Z195" si="21">SUM(F132:K132)</f>
        <v>0</v>
      </c>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row>
    <row r="133" spans="1:81" ht="12" hidden="1" thickBot="1">
      <c r="A133" s="588" t="s">
        <v>1468</v>
      </c>
      <c r="B133" s="522" t="s">
        <v>683</v>
      </c>
      <c r="C133" s="522" t="s">
        <v>1047</v>
      </c>
      <c r="D133" s="533" t="s">
        <v>1035</v>
      </c>
      <c r="E133" s="960"/>
      <c r="F133" s="962"/>
      <c r="G133" s="961"/>
      <c r="H133" s="962"/>
      <c r="I133" s="962"/>
      <c r="J133" s="962"/>
      <c r="K133" s="962"/>
      <c r="L133" s="962"/>
      <c r="M133" s="961"/>
      <c r="N133" s="961"/>
      <c r="O133" s="962"/>
      <c r="P133" s="962"/>
      <c r="Q133" s="962"/>
      <c r="R133" s="961"/>
      <c r="S133" s="527">
        <f t="shared" si="18"/>
        <v>0</v>
      </c>
      <c r="T133" s="528">
        <f t="shared" si="19"/>
        <v>0</v>
      </c>
      <c r="U133" s="527">
        <f t="shared" si="20"/>
        <v>0</v>
      </c>
      <c r="W133" s="326">
        <f t="shared" ref="W133:W144" si="22">SUM(F133:Q133)</f>
        <v>0</v>
      </c>
      <c r="X133" s="261">
        <f t="shared" ref="X133:X144" si="23">W133-R133</f>
        <v>0</v>
      </c>
      <c r="Y133" s="58"/>
      <c r="Z133" s="1016">
        <f t="shared" si="21"/>
        <v>0</v>
      </c>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row>
    <row r="134" spans="1:81" ht="12" hidden="1" thickBot="1">
      <c r="A134" s="588" t="s">
        <v>1468</v>
      </c>
      <c r="B134" s="522" t="s">
        <v>463</v>
      </c>
      <c r="C134" s="522" t="s">
        <v>1030</v>
      </c>
      <c r="D134" s="533" t="s">
        <v>1035</v>
      </c>
      <c r="E134" s="960"/>
      <c r="F134" s="962"/>
      <c r="G134" s="961"/>
      <c r="H134" s="962"/>
      <c r="I134" s="962"/>
      <c r="J134" s="962"/>
      <c r="K134" s="962"/>
      <c r="L134" s="962"/>
      <c r="M134" s="961"/>
      <c r="N134" s="961"/>
      <c r="O134" s="962"/>
      <c r="P134" s="962"/>
      <c r="Q134" s="962"/>
      <c r="R134" s="961"/>
      <c r="S134" s="527">
        <f t="shared" si="18"/>
        <v>0</v>
      </c>
      <c r="T134" s="528">
        <f t="shared" si="19"/>
        <v>0</v>
      </c>
      <c r="U134" s="527">
        <f t="shared" si="20"/>
        <v>0</v>
      </c>
      <c r="W134" s="326">
        <f t="shared" si="22"/>
        <v>0</v>
      </c>
      <c r="X134" s="261">
        <f t="shared" si="23"/>
        <v>0</v>
      </c>
      <c r="Y134" s="58"/>
      <c r="Z134" s="1016">
        <f t="shared" si="21"/>
        <v>0</v>
      </c>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row>
    <row r="135" spans="1:81" ht="12" hidden="1" thickBot="1">
      <c r="A135" s="588" t="s">
        <v>1468</v>
      </c>
      <c r="B135" s="522" t="s">
        <v>653</v>
      </c>
      <c r="C135" s="522" t="s">
        <v>1031</v>
      </c>
      <c r="D135" s="533" t="s">
        <v>1035</v>
      </c>
      <c r="E135" s="960"/>
      <c r="F135" s="962"/>
      <c r="G135" s="961"/>
      <c r="H135" s="962"/>
      <c r="I135" s="962"/>
      <c r="J135" s="962"/>
      <c r="K135" s="962"/>
      <c r="L135" s="962"/>
      <c r="M135" s="961"/>
      <c r="N135" s="961"/>
      <c r="O135" s="962"/>
      <c r="P135" s="962"/>
      <c r="Q135" s="962"/>
      <c r="R135" s="961"/>
      <c r="S135" s="527">
        <f t="shared" si="18"/>
        <v>0</v>
      </c>
      <c r="T135" s="528">
        <f t="shared" si="19"/>
        <v>0</v>
      </c>
      <c r="U135" s="527">
        <f t="shared" si="20"/>
        <v>0</v>
      </c>
      <c r="W135" s="326">
        <f t="shared" si="22"/>
        <v>0</v>
      </c>
      <c r="X135" s="261">
        <f t="shared" si="23"/>
        <v>0</v>
      </c>
      <c r="Y135" s="58"/>
      <c r="Z135" s="1016">
        <f t="shared" si="21"/>
        <v>0</v>
      </c>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row>
    <row r="136" spans="1:81" ht="12" thickBot="1">
      <c r="A136" s="588" t="s">
        <v>1468</v>
      </c>
      <c r="B136" s="522" t="s">
        <v>79</v>
      </c>
      <c r="C136" s="522" t="s">
        <v>444</v>
      </c>
      <c r="D136" s="533" t="s">
        <v>79</v>
      </c>
      <c r="E136" s="989">
        <f>12919653-E28-E30</f>
        <v>12776614</v>
      </c>
      <c r="F136" s="989"/>
      <c r="G136" s="989">
        <f>1760126-G28-G30-F30</f>
        <v>1746620.25</v>
      </c>
      <c r="H136" s="989">
        <v>373636</v>
      </c>
      <c r="I136" s="989"/>
      <c r="J136" s="989"/>
      <c r="K136" s="989"/>
      <c r="L136" s="989"/>
      <c r="M136" s="989">
        <f>33369-M28-M30</f>
        <v>33000</v>
      </c>
      <c r="N136" s="989">
        <f>39614-N28-N30</f>
        <v>39175</v>
      </c>
      <c r="O136" s="989"/>
      <c r="P136" s="989"/>
      <c r="Q136" s="989"/>
      <c r="R136" s="961">
        <f>SUM(F136:Q136)</f>
        <v>2192431.25</v>
      </c>
      <c r="S136" s="527">
        <f t="shared" si="18"/>
        <v>2120256.25</v>
      </c>
      <c r="T136" s="528">
        <f t="shared" si="19"/>
        <v>0</v>
      </c>
      <c r="U136" s="527">
        <f t="shared" si="20"/>
        <v>39175</v>
      </c>
      <c r="W136" s="326">
        <f t="shared" si="22"/>
        <v>2192431.25</v>
      </c>
      <c r="X136" s="261">
        <f t="shared" si="23"/>
        <v>0</v>
      </c>
      <c r="Y136" s="58"/>
      <c r="Z136" s="1016">
        <f t="shared" si="21"/>
        <v>2120256.25</v>
      </c>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row>
    <row r="137" spans="1:81" ht="12" hidden="1" thickBot="1">
      <c r="A137" s="588" t="s">
        <v>1468</v>
      </c>
      <c r="B137" s="522" t="s">
        <v>474</v>
      </c>
      <c r="C137" s="522" t="s">
        <v>473</v>
      </c>
      <c r="D137" s="533" t="s">
        <v>747</v>
      </c>
      <c r="E137" s="962"/>
      <c r="F137" s="962"/>
      <c r="G137" s="962"/>
      <c r="H137" s="962"/>
      <c r="I137" s="962"/>
      <c r="J137" s="962"/>
      <c r="K137" s="962"/>
      <c r="L137" s="962"/>
      <c r="M137" s="962"/>
      <c r="N137" s="962"/>
      <c r="O137" s="962"/>
      <c r="P137" s="962"/>
      <c r="Q137" s="962"/>
      <c r="R137" s="961"/>
      <c r="S137" s="527">
        <f t="shared" si="18"/>
        <v>0</v>
      </c>
      <c r="T137" s="528">
        <f t="shared" si="19"/>
        <v>0</v>
      </c>
      <c r="U137" s="527">
        <f t="shared" si="20"/>
        <v>0</v>
      </c>
      <c r="W137" s="326">
        <f t="shared" si="22"/>
        <v>0</v>
      </c>
      <c r="X137" s="261">
        <f t="shared" si="23"/>
        <v>0</v>
      </c>
      <c r="Y137" s="58"/>
      <c r="Z137" s="1016">
        <f t="shared" si="21"/>
        <v>0</v>
      </c>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row>
    <row r="138" spans="1:81" ht="12" hidden="1" thickBot="1">
      <c r="A138" s="588" t="s">
        <v>1468</v>
      </c>
      <c r="B138" s="522" t="s">
        <v>476</v>
      </c>
      <c r="C138" s="522" t="s">
        <v>475</v>
      </c>
      <c r="D138" s="533" t="s">
        <v>747</v>
      </c>
      <c r="E138" s="962"/>
      <c r="F138" s="962"/>
      <c r="G138" s="962"/>
      <c r="H138" s="962"/>
      <c r="I138" s="962"/>
      <c r="J138" s="962"/>
      <c r="K138" s="962"/>
      <c r="L138" s="962"/>
      <c r="M138" s="962"/>
      <c r="N138" s="962"/>
      <c r="O138" s="962"/>
      <c r="P138" s="962"/>
      <c r="Q138" s="962"/>
      <c r="R138" s="961"/>
      <c r="S138" s="527">
        <f t="shared" si="18"/>
        <v>0</v>
      </c>
      <c r="T138" s="528">
        <f t="shared" si="19"/>
        <v>0</v>
      </c>
      <c r="U138" s="527">
        <f t="shared" si="20"/>
        <v>0</v>
      </c>
      <c r="W138" s="326">
        <f t="shared" si="22"/>
        <v>0</v>
      </c>
      <c r="X138" s="261">
        <f t="shared" si="23"/>
        <v>0</v>
      </c>
      <c r="Y138" s="58"/>
      <c r="Z138" s="1016">
        <f t="shared" si="21"/>
        <v>0</v>
      </c>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row>
    <row r="139" spans="1:81" ht="12" hidden="1" thickBot="1">
      <c r="A139" s="588" t="s">
        <v>1468</v>
      </c>
      <c r="B139" s="522" t="s">
        <v>443</v>
      </c>
      <c r="C139" s="522" t="s">
        <v>442</v>
      </c>
      <c r="D139" s="533" t="s">
        <v>1053</v>
      </c>
      <c r="E139" s="962"/>
      <c r="F139" s="961"/>
      <c r="G139" s="962"/>
      <c r="H139" s="962"/>
      <c r="I139" s="962"/>
      <c r="J139" s="962"/>
      <c r="K139" s="962"/>
      <c r="L139" s="962"/>
      <c r="M139" s="962"/>
      <c r="N139" s="962"/>
      <c r="O139" s="962"/>
      <c r="P139" s="962"/>
      <c r="Q139" s="962"/>
      <c r="R139" s="961"/>
      <c r="S139" s="527">
        <f t="shared" si="18"/>
        <v>0</v>
      </c>
      <c r="T139" s="528">
        <f t="shared" si="19"/>
        <v>0</v>
      </c>
      <c r="U139" s="527">
        <f t="shared" si="20"/>
        <v>0</v>
      </c>
      <c r="W139" s="326">
        <f t="shared" si="22"/>
        <v>0</v>
      </c>
      <c r="X139" s="261">
        <f t="shared" si="23"/>
        <v>0</v>
      </c>
      <c r="Y139" s="58"/>
      <c r="Z139" s="1016">
        <f t="shared" si="21"/>
        <v>0</v>
      </c>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row>
    <row r="140" spans="1:81" ht="12" hidden="1" thickBot="1">
      <c r="A140" s="588" t="s">
        <v>1468</v>
      </c>
      <c r="B140" s="522" t="s">
        <v>710</v>
      </c>
      <c r="C140" s="522" t="s">
        <v>711</v>
      </c>
      <c r="D140" s="533" t="s">
        <v>747</v>
      </c>
      <c r="E140" s="962"/>
      <c r="F140" s="962"/>
      <c r="G140" s="962"/>
      <c r="H140" s="962"/>
      <c r="I140" s="962"/>
      <c r="J140" s="962"/>
      <c r="K140" s="962"/>
      <c r="L140" s="962"/>
      <c r="M140" s="962"/>
      <c r="N140" s="962"/>
      <c r="O140" s="962"/>
      <c r="P140" s="962"/>
      <c r="Q140" s="962"/>
      <c r="R140" s="961"/>
      <c r="S140" s="527">
        <f t="shared" si="18"/>
        <v>0</v>
      </c>
      <c r="T140" s="528">
        <f t="shared" si="19"/>
        <v>0</v>
      </c>
      <c r="U140" s="527">
        <f t="shared" si="20"/>
        <v>0</v>
      </c>
      <c r="W140" s="326">
        <f t="shared" si="22"/>
        <v>0</v>
      </c>
      <c r="X140" s="261">
        <f t="shared" si="23"/>
        <v>0</v>
      </c>
      <c r="Y140" s="58"/>
      <c r="Z140" s="1016">
        <f t="shared" si="21"/>
        <v>0</v>
      </c>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row>
    <row r="141" spans="1:81" ht="12" hidden="1" thickBot="1">
      <c r="A141" s="588" t="s">
        <v>1468</v>
      </c>
      <c r="B141" s="522" t="s">
        <v>1048</v>
      </c>
      <c r="C141" s="522" t="s">
        <v>1049</v>
      </c>
      <c r="D141" s="533" t="s">
        <v>747</v>
      </c>
      <c r="E141" s="962"/>
      <c r="F141" s="962"/>
      <c r="G141" s="962"/>
      <c r="H141" s="962"/>
      <c r="I141" s="962"/>
      <c r="J141" s="962"/>
      <c r="K141" s="962"/>
      <c r="L141" s="962"/>
      <c r="M141" s="962"/>
      <c r="N141" s="962"/>
      <c r="O141" s="962"/>
      <c r="P141" s="962"/>
      <c r="Q141" s="962"/>
      <c r="R141" s="961"/>
      <c r="S141" s="527">
        <f t="shared" si="18"/>
        <v>0</v>
      </c>
      <c r="T141" s="528">
        <f t="shared" si="19"/>
        <v>0</v>
      </c>
      <c r="U141" s="527">
        <f t="shared" si="20"/>
        <v>0</v>
      </c>
      <c r="W141" s="326">
        <f t="shared" si="22"/>
        <v>0</v>
      </c>
      <c r="X141" s="261">
        <f t="shared" si="23"/>
        <v>0</v>
      </c>
      <c r="Y141" s="58"/>
      <c r="Z141" s="1016">
        <f t="shared" si="21"/>
        <v>0</v>
      </c>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row>
    <row r="142" spans="1:81" ht="12" hidden="1" thickBot="1">
      <c r="A142" s="588" t="s">
        <v>1468</v>
      </c>
      <c r="B142" s="522" t="s">
        <v>1355</v>
      </c>
      <c r="C142" s="522" t="s">
        <v>111</v>
      </c>
      <c r="D142" s="533" t="s">
        <v>1054</v>
      </c>
      <c r="E142" s="960"/>
      <c r="F142" s="961"/>
      <c r="G142" s="961"/>
      <c r="H142" s="961"/>
      <c r="I142" s="962"/>
      <c r="J142" s="962"/>
      <c r="K142" s="962"/>
      <c r="L142" s="962"/>
      <c r="M142" s="962"/>
      <c r="N142" s="962"/>
      <c r="O142" s="962"/>
      <c r="P142" s="962"/>
      <c r="Q142" s="962"/>
      <c r="R142" s="961"/>
      <c r="S142" s="527">
        <f t="shared" si="18"/>
        <v>0</v>
      </c>
      <c r="T142" s="528">
        <f t="shared" si="19"/>
        <v>0</v>
      </c>
      <c r="U142" s="527">
        <f t="shared" si="20"/>
        <v>0</v>
      </c>
      <c r="W142" s="326">
        <f t="shared" si="22"/>
        <v>0</v>
      </c>
      <c r="X142" s="261">
        <f t="shared" si="23"/>
        <v>0</v>
      </c>
      <c r="Y142" s="58"/>
      <c r="Z142" s="1016">
        <f t="shared" si="21"/>
        <v>0</v>
      </c>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row>
    <row r="143" spans="1:81" ht="12" hidden="1" thickBot="1">
      <c r="A143" s="588" t="s">
        <v>1468</v>
      </c>
      <c r="B143" s="522" t="s">
        <v>450</v>
      </c>
      <c r="C143" s="522" t="s">
        <v>1050</v>
      </c>
      <c r="D143" s="533" t="s">
        <v>1054</v>
      </c>
      <c r="E143" s="960"/>
      <c r="F143" s="961"/>
      <c r="G143" s="961"/>
      <c r="H143" s="961"/>
      <c r="I143" s="962"/>
      <c r="J143" s="962"/>
      <c r="K143" s="962"/>
      <c r="L143" s="962"/>
      <c r="M143" s="962"/>
      <c r="N143" s="962"/>
      <c r="O143" s="962"/>
      <c r="P143" s="962"/>
      <c r="Q143" s="962"/>
      <c r="R143" s="961"/>
      <c r="S143" s="527">
        <f t="shared" si="18"/>
        <v>0</v>
      </c>
      <c r="T143" s="528">
        <f t="shared" si="19"/>
        <v>0</v>
      </c>
      <c r="U143" s="527">
        <f t="shared" si="20"/>
        <v>0</v>
      </c>
      <c r="W143" s="326">
        <f t="shared" si="22"/>
        <v>0</v>
      </c>
      <c r="X143" s="261">
        <f t="shared" si="23"/>
        <v>0</v>
      </c>
      <c r="Y143" s="58"/>
      <c r="Z143" s="1016">
        <f t="shared" si="21"/>
        <v>0</v>
      </c>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row>
    <row r="144" spans="1:81" ht="12" hidden="1" thickBot="1">
      <c r="A144" s="588" t="s">
        <v>1468</v>
      </c>
      <c r="B144" s="537" t="s">
        <v>9</v>
      </c>
      <c r="C144" s="538"/>
      <c r="D144" s="538"/>
      <c r="E144" s="538"/>
      <c r="F144" s="538"/>
      <c r="G144" s="538"/>
      <c r="H144" s="538"/>
      <c r="I144" s="538"/>
      <c r="J144" s="538"/>
      <c r="K144" s="538"/>
      <c r="L144" s="538"/>
      <c r="M144" s="538"/>
      <c r="N144" s="538"/>
      <c r="O144" s="538"/>
      <c r="P144" s="538"/>
      <c r="Q144" s="538"/>
      <c r="R144" s="538"/>
      <c r="S144" s="538"/>
      <c r="T144" s="538"/>
      <c r="U144" s="538"/>
      <c r="W144" s="326">
        <f t="shared" si="22"/>
        <v>0</v>
      </c>
      <c r="X144" s="261">
        <f t="shared" si="23"/>
        <v>0</v>
      </c>
      <c r="Y144" s="58"/>
      <c r="Z144" s="1016">
        <f t="shared" si="21"/>
        <v>0</v>
      </c>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row>
    <row r="145" spans="1:72" ht="12" hidden="1" thickBot="1">
      <c r="A145" s="549"/>
      <c r="B145" s="550"/>
      <c r="C145" s="541"/>
      <c r="D145" s="542"/>
      <c r="E145" s="522" t="s">
        <v>7</v>
      </c>
      <c r="F145" s="522" t="s">
        <v>746</v>
      </c>
      <c r="G145" s="522" t="s">
        <v>937</v>
      </c>
      <c r="H145" s="522" t="s">
        <v>940</v>
      </c>
      <c r="I145" s="522" t="s">
        <v>938</v>
      </c>
      <c r="J145" s="522" t="s">
        <v>939</v>
      </c>
      <c r="K145" s="522" t="s">
        <v>936</v>
      </c>
      <c r="L145" s="522" t="s">
        <v>61</v>
      </c>
      <c r="M145" s="522" t="s">
        <v>62</v>
      </c>
      <c r="N145" s="522" t="s">
        <v>63</v>
      </c>
      <c r="O145" s="522" t="s">
        <v>935</v>
      </c>
      <c r="P145" s="522" t="s">
        <v>454</v>
      </c>
      <c r="Q145" s="522" t="s">
        <v>453</v>
      </c>
      <c r="R145" s="522" t="s">
        <v>941</v>
      </c>
      <c r="S145" s="527" t="e">
        <f t="shared" ref="S145:S208" si="24">G145+H145+I145</f>
        <v>#VALUE!</v>
      </c>
      <c r="T145" s="528" t="e">
        <f t="shared" ref="T145:T208" si="25">J145+K145</f>
        <v>#VALUE!</v>
      </c>
      <c r="U145" s="527" t="e">
        <f t="shared" ref="U145:U208" si="26">N145+O145</f>
        <v>#VALUE!</v>
      </c>
      <c r="W145" s="326">
        <f t="shared" ref="W145:W208" si="27">SUM(F145:Q145)</f>
        <v>0</v>
      </c>
      <c r="X145" s="261" t="e">
        <f t="shared" ref="X145:X208" si="28">W145-R145</f>
        <v>#VALUE!</v>
      </c>
      <c r="Y145" s="58"/>
      <c r="Z145" s="1016">
        <f t="shared" si="21"/>
        <v>0</v>
      </c>
      <c r="AA145" s="58"/>
      <c r="AB145" s="58"/>
      <c r="AC145" s="58"/>
      <c r="AD145" s="58"/>
      <c r="AE145" s="58"/>
      <c r="AF145" s="58"/>
      <c r="AG145" s="58"/>
      <c r="AH145" s="58"/>
      <c r="AI145" s="58"/>
      <c r="AJ145" s="58"/>
      <c r="AK145" s="58"/>
      <c r="AL145" s="58"/>
      <c r="AM145" s="58"/>
      <c r="AN145" s="58"/>
      <c r="AO145" s="58"/>
      <c r="AP145" s="58"/>
      <c r="AQ145" s="58"/>
      <c r="AR145" s="58"/>
      <c r="AS145" s="58"/>
      <c r="AT145" s="58"/>
      <c r="AU145" s="551"/>
      <c r="AV145" s="551"/>
      <c r="AW145" s="551"/>
      <c r="AX145" s="551"/>
      <c r="AY145" s="551"/>
      <c r="AZ145" s="551"/>
      <c r="BA145" s="552"/>
      <c r="BB145" s="553">
        <v>428.17</v>
      </c>
      <c r="BC145" s="554"/>
      <c r="BD145" s="555"/>
      <c r="BE145" s="552">
        <v>428.17</v>
      </c>
      <c r="BF145" s="551"/>
      <c r="BG145" s="551"/>
      <c r="BH145" s="556"/>
      <c r="BI145" s="551"/>
      <c r="BJ145" s="551"/>
      <c r="BK145" s="551"/>
      <c r="BL145" s="551"/>
      <c r="BM145" s="551"/>
      <c r="BN145" s="551"/>
      <c r="BO145" s="555"/>
      <c r="BP145" s="551"/>
      <c r="BQ145" s="551"/>
      <c r="BR145" s="551"/>
      <c r="BS145" s="551"/>
      <c r="BT145" s="554"/>
    </row>
    <row r="146" spans="1:72" ht="12" hidden="1" thickBot="1">
      <c r="A146" s="522" t="s">
        <v>0</v>
      </c>
      <c r="B146" s="522" t="s">
        <v>6</v>
      </c>
      <c r="C146" s="557"/>
      <c r="D146" s="542"/>
      <c r="E146" s="541" t="s">
        <v>7</v>
      </c>
      <c r="F146" s="541" t="s">
        <v>8</v>
      </c>
      <c r="G146" s="541" t="s">
        <v>8</v>
      </c>
      <c r="H146" s="541" t="s">
        <v>8</v>
      </c>
      <c r="I146" s="541" t="s">
        <v>8</v>
      </c>
      <c r="J146" s="541" t="s">
        <v>8</v>
      </c>
      <c r="K146" s="541" t="s">
        <v>8</v>
      </c>
      <c r="L146" s="541" t="s">
        <v>8</v>
      </c>
      <c r="M146" s="541" t="s">
        <v>8</v>
      </c>
      <c r="N146" s="541" t="s">
        <v>8</v>
      </c>
      <c r="O146" s="541" t="s">
        <v>8</v>
      </c>
      <c r="P146" s="541" t="s">
        <v>8</v>
      </c>
      <c r="Q146" s="541" t="s">
        <v>8</v>
      </c>
      <c r="R146" s="541" t="s">
        <v>8</v>
      </c>
      <c r="S146" s="527" t="e">
        <f t="shared" si="24"/>
        <v>#VALUE!</v>
      </c>
      <c r="T146" s="528" t="e">
        <f t="shared" si="25"/>
        <v>#VALUE!</v>
      </c>
      <c r="U146" s="527" t="e">
        <f t="shared" si="26"/>
        <v>#VALUE!</v>
      </c>
      <c r="W146" s="326">
        <f t="shared" si="27"/>
        <v>0</v>
      </c>
      <c r="X146" s="261" t="e">
        <f t="shared" si="28"/>
        <v>#VALUE!</v>
      </c>
      <c r="Y146" s="58"/>
      <c r="Z146" s="1016">
        <f t="shared" si="21"/>
        <v>0</v>
      </c>
      <c r="AA146" s="58"/>
      <c r="AB146" s="58"/>
      <c r="AC146" s="58"/>
      <c r="AD146" s="58"/>
      <c r="AE146" s="58"/>
      <c r="AF146" s="58"/>
      <c r="AG146" s="58"/>
      <c r="AH146" s="58"/>
      <c r="AI146" s="58"/>
      <c r="AJ146" s="58"/>
      <c r="AK146" s="58"/>
      <c r="AL146" s="58"/>
      <c r="AM146" s="58"/>
      <c r="AN146" s="58"/>
      <c r="AO146" s="58"/>
      <c r="AP146" s="58"/>
      <c r="AQ146" s="58"/>
      <c r="AR146" s="58"/>
      <c r="AS146" s="58"/>
      <c r="AT146" s="58"/>
      <c r="AU146" s="551"/>
      <c r="AV146" s="551"/>
      <c r="AW146" s="551"/>
      <c r="AX146" s="551"/>
      <c r="AY146" s="551"/>
      <c r="AZ146" s="551"/>
      <c r="BA146" s="552"/>
      <c r="BB146" s="553">
        <v>54.35</v>
      </c>
      <c r="BC146" s="554"/>
      <c r="BD146" s="555"/>
      <c r="BE146" s="552">
        <v>54.35</v>
      </c>
      <c r="BF146" s="551"/>
      <c r="BG146" s="551"/>
      <c r="BH146" s="556"/>
      <c r="BI146" s="551"/>
      <c r="BJ146" s="551"/>
      <c r="BK146" s="551"/>
      <c r="BL146" s="551"/>
      <c r="BM146" s="551"/>
      <c r="BN146" s="551"/>
      <c r="BO146" s="555"/>
      <c r="BP146" s="551"/>
      <c r="BQ146" s="551"/>
      <c r="BR146" s="551"/>
      <c r="BS146" s="551"/>
      <c r="BT146" s="554"/>
    </row>
    <row r="147" spans="1:72" ht="12" hidden="1" thickBot="1">
      <c r="A147" s="588" t="s">
        <v>1469</v>
      </c>
      <c r="B147" s="522" t="s">
        <v>440</v>
      </c>
      <c r="C147" s="522" t="s">
        <v>460</v>
      </c>
      <c r="D147" s="542" t="s">
        <v>760</v>
      </c>
      <c r="E147" s="960"/>
      <c r="F147" s="961"/>
      <c r="G147" s="961"/>
      <c r="H147" s="962"/>
      <c r="I147" s="962"/>
      <c r="J147" s="962"/>
      <c r="K147" s="962"/>
      <c r="L147" s="962"/>
      <c r="M147" s="962"/>
      <c r="N147" s="962"/>
      <c r="O147" s="962"/>
      <c r="P147" s="962"/>
      <c r="Q147" s="962"/>
      <c r="R147" s="961"/>
      <c r="S147" s="527">
        <f t="shared" si="24"/>
        <v>0</v>
      </c>
      <c r="T147" s="528">
        <f t="shared" si="25"/>
        <v>0</v>
      </c>
      <c r="U147" s="527">
        <f t="shared" si="26"/>
        <v>0</v>
      </c>
      <c r="W147" s="326">
        <f t="shared" si="27"/>
        <v>0</v>
      </c>
      <c r="X147" s="261">
        <f t="shared" si="28"/>
        <v>0</v>
      </c>
      <c r="Y147" s="58"/>
      <c r="Z147" s="1016">
        <f t="shared" si="21"/>
        <v>0</v>
      </c>
      <c r="AA147" s="58"/>
      <c r="AB147" s="58"/>
      <c r="AC147" s="58"/>
      <c r="AD147" s="58"/>
      <c r="AE147" s="58"/>
      <c r="AF147" s="58"/>
      <c r="AG147" s="58"/>
      <c r="AH147" s="58"/>
      <c r="AI147" s="58"/>
      <c r="AJ147" s="58"/>
      <c r="AK147" s="58"/>
      <c r="AL147" s="58"/>
      <c r="AM147" s="58"/>
      <c r="AN147" s="58"/>
      <c r="AO147" s="58"/>
      <c r="AP147" s="58"/>
      <c r="AQ147" s="58"/>
      <c r="AR147" s="58"/>
      <c r="AS147" s="58"/>
      <c r="AT147" s="58"/>
      <c r="AU147" s="551"/>
      <c r="AV147" s="551"/>
      <c r="AW147" s="551"/>
      <c r="AX147" s="551"/>
      <c r="AY147" s="551"/>
      <c r="AZ147" s="551"/>
      <c r="BA147" s="552"/>
      <c r="BB147" s="553">
        <v>0.47</v>
      </c>
      <c r="BC147" s="554"/>
      <c r="BD147" s="555"/>
      <c r="BE147" s="552">
        <v>0.47</v>
      </c>
      <c r="BF147" s="551"/>
      <c r="BG147" s="551"/>
      <c r="BH147" s="556"/>
      <c r="BI147" s="551"/>
      <c r="BJ147" s="551"/>
      <c r="BK147" s="551"/>
      <c r="BL147" s="551"/>
      <c r="BM147" s="551"/>
      <c r="BN147" s="551"/>
      <c r="BO147" s="555"/>
      <c r="BP147" s="551"/>
      <c r="BQ147" s="551"/>
      <c r="BR147" s="551"/>
      <c r="BS147" s="551"/>
      <c r="BT147" s="554"/>
    </row>
    <row r="148" spans="1:72" ht="12" hidden="1" thickBot="1">
      <c r="A148" s="588" t="s">
        <v>1469</v>
      </c>
      <c r="B148" s="522" t="s">
        <v>441</v>
      </c>
      <c r="C148" s="522" t="s">
        <v>461</v>
      </c>
      <c r="D148" s="542" t="s">
        <v>760</v>
      </c>
      <c r="E148" s="960"/>
      <c r="F148" s="961"/>
      <c r="G148" s="961"/>
      <c r="H148" s="962"/>
      <c r="I148" s="962"/>
      <c r="J148" s="962"/>
      <c r="K148" s="962"/>
      <c r="L148" s="962"/>
      <c r="M148" s="962"/>
      <c r="N148" s="962"/>
      <c r="O148" s="962"/>
      <c r="P148" s="962"/>
      <c r="Q148" s="962"/>
      <c r="R148" s="961"/>
      <c r="S148" s="527">
        <f t="shared" si="24"/>
        <v>0</v>
      </c>
      <c r="T148" s="528">
        <f t="shared" si="25"/>
        <v>0</v>
      </c>
      <c r="U148" s="527">
        <f t="shared" si="26"/>
        <v>0</v>
      </c>
      <c r="W148" s="326">
        <f t="shared" si="27"/>
        <v>0</v>
      </c>
      <c r="X148" s="261">
        <f t="shared" si="28"/>
        <v>0</v>
      </c>
      <c r="Y148" s="58"/>
      <c r="Z148" s="1016">
        <f t="shared" si="21"/>
        <v>0</v>
      </c>
      <c r="AA148" s="58"/>
      <c r="AB148" s="58"/>
      <c r="AC148" s="58"/>
      <c r="AD148" s="58"/>
      <c r="AE148" s="58"/>
      <c r="AF148" s="58"/>
      <c r="AG148" s="58"/>
      <c r="AH148" s="58"/>
      <c r="AI148" s="58"/>
      <c r="AJ148" s="58"/>
      <c r="AK148" s="58"/>
      <c r="AL148" s="58"/>
      <c r="AM148" s="58"/>
      <c r="AN148" s="58"/>
      <c r="AO148" s="58"/>
      <c r="AP148" s="58"/>
      <c r="AQ148" s="58"/>
      <c r="AR148" s="58"/>
      <c r="AS148" s="58"/>
      <c r="AT148" s="58"/>
      <c r="AU148" s="551"/>
      <c r="AV148" s="551"/>
      <c r="AW148" s="551"/>
      <c r="AX148" s="551"/>
      <c r="AY148" s="551"/>
      <c r="AZ148" s="551"/>
      <c r="BA148" s="552"/>
      <c r="BB148" s="553">
        <v>-9.5</v>
      </c>
      <c r="BC148" s="554"/>
      <c r="BD148" s="555"/>
      <c r="BE148" s="552">
        <v>-9.5</v>
      </c>
      <c r="BF148" s="551"/>
      <c r="BG148" s="551"/>
      <c r="BH148" s="556"/>
      <c r="BI148" s="551"/>
      <c r="BJ148" s="551"/>
      <c r="BK148" s="551"/>
      <c r="BL148" s="551"/>
      <c r="BM148" s="551"/>
      <c r="BN148" s="551"/>
      <c r="BO148" s="555"/>
      <c r="BP148" s="551"/>
      <c r="BQ148" s="551"/>
      <c r="BR148" s="551"/>
      <c r="BS148" s="551"/>
      <c r="BT148" s="554"/>
    </row>
    <row r="149" spans="1:72" ht="12" hidden="1" thickBot="1">
      <c r="A149" s="588" t="s">
        <v>1469</v>
      </c>
      <c r="B149" s="522" t="s">
        <v>449</v>
      </c>
      <c r="C149" s="522" t="s">
        <v>448</v>
      </c>
      <c r="D149" s="533" t="s">
        <v>1051</v>
      </c>
      <c r="E149" s="960"/>
      <c r="F149" s="962"/>
      <c r="G149" s="961"/>
      <c r="H149" s="962"/>
      <c r="I149" s="962"/>
      <c r="J149" s="962"/>
      <c r="K149" s="962"/>
      <c r="L149" s="962"/>
      <c r="M149" s="962"/>
      <c r="N149" s="962"/>
      <c r="O149" s="962"/>
      <c r="P149" s="962"/>
      <c r="Q149" s="962"/>
      <c r="R149" s="961"/>
      <c r="S149" s="527">
        <f t="shared" si="24"/>
        <v>0</v>
      </c>
      <c r="T149" s="528">
        <f t="shared" si="25"/>
        <v>0</v>
      </c>
      <c r="U149" s="527">
        <f t="shared" si="26"/>
        <v>0</v>
      </c>
      <c r="W149" s="326">
        <f t="shared" si="27"/>
        <v>0</v>
      </c>
      <c r="X149" s="261">
        <f t="shared" si="28"/>
        <v>0</v>
      </c>
      <c r="Y149" s="58"/>
      <c r="Z149" s="1016">
        <f t="shared" si="21"/>
        <v>0</v>
      </c>
      <c r="AA149" s="58"/>
      <c r="AB149" s="58"/>
      <c r="AC149" s="58"/>
      <c r="AD149" s="58"/>
      <c r="AE149" s="58"/>
      <c r="AF149" s="58"/>
      <c r="AG149" s="58"/>
      <c r="AH149" s="58"/>
      <c r="AI149" s="58"/>
      <c r="AJ149" s="58"/>
      <c r="AK149" s="58"/>
      <c r="AL149" s="58"/>
      <c r="AM149" s="58"/>
      <c r="AN149" s="58"/>
      <c r="AO149" s="58"/>
      <c r="AP149" s="58"/>
      <c r="AQ149" s="58"/>
      <c r="AR149" s="58"/>
      <c r="AS149" s="58"/>
      <c r="AT149" s="58"/>
      <c r="AU149" s="551"/>
      <c r="AV149" s="551"/>
      <c r="AW149" s="551"/>
      <c r="AX149" s="551"/>
      <c r="AY149" s="551"/>
      <c r="AZ149" s="551"/>
      <c r="BA149" s="552"/>
      <c r="BB149" s="553">
        <v>775.05</v>
      </c>
      <c r="BC149" s="554"/>
      <c r="BD149" s="555"/>
      <c r="BE149" s="552">
        <v>775.05</v>
      </c>
      <c r="BF149" s="551"/>
      <c r="BG149" s="551"/>
      <c r="BH149" s="556"/>
      <c r="BI149" s="551"/>
      <c r="BJ149" s="551"/>
      <c r="BK149" s="551"/>
      <c r="BL149" s="551"/>
      <c r="BM149" s="551"/>
      <c r="BN149" s="551"/>
      <c r="BO149" s="555"/>
      <c r="BP149" s="551"/>
      <c r="BQ149" s="551"/>
      <c r="BR149" s="551"/>
      <c r="BS149" s="551"/>
      <c r="BT149" s="554"/>
    </row>
    <row r="150" spans="1:72" ht="12" hidden="1" thickBot="1">
      <c r="A150" s="588" t="s">
        <v>1469</v>
      </c>
      <c r="B150" s="522" t="s">
        <v>447</v>
      </c>
      <c r="C150" s="522" t="s">
        <v>446</v>
      </c>
      <c r="D150" s="534" t="s">
        <v>1051</v>
      </c>
      <c r="E150" s="960"/>
      <c r="F150" s="962"/>
      <c r="G150" s="961"/>
      <c r="H150" s="962"/>
      <c r="I150" s="962"/>
      <c r="J150" s="962"/>
      <c r="K150" s="962"/>
      <c r="L150" s="962"/>
      <c r="M150" s="962"/>
      <c r="N150" s="962"/>
      <c r="O150" s="962"/>
      <c r="P150" s="962"/>
      <c r="Q150" s="962"/>
      <c r="R150" s="961"/>
      <c r="S150" s="527">
        <f t="shared" si="24"/>
        <v>0</v>
      </c>
      <c r="T150" s="528">
        <f t="shared" si="25"/>
        <v>0</v>
      </c>
      <c r="U150" s="527">
        <f t="shared" si="26"/>
        <v>0</v>
      </c>
      <c r="W150" s="326">
        <f t="shared" si="27"/>
        <v>0</v>
      </c>
      <c r="X150" s="261">
        <f t="shared" si="28"/>
        <v>0</v>
      </c>
      <c r="Y150" s="58"/>
      <c r="Z150" s="1016">
        <f t="shared" si="21"/>
        <v>0</v>
      </c>
      <c r="AA150" s="58"/>
      <c r="AB150" s="58"/>
      <c r="AC150" s="58"/>
      <c r="AD150" s="58"/>
      <c r="AE150" s="58"/>
      <c r="AF150" s="58"/>
      <c r="AG150" s="58"/>
      <c r="AH150" s="58"/>
      <c r="AI150" s="58"/>
      <c r="AJ150" s="58"/>
      <c r="AK150" s="58"/>
      <c r="AL150" s="58"/>
      <c r="AM150" s="58"/>
      <c r="AN150" s="58"/>
      <c r="AO150" s="58"/>
      <c r="AP150" s="58"/>
      <c r="AQ150" s="58"/>
      <c r="AR150" s="58"/>
      <c r="AS150" s="58"/>
      <c r="AT150" s="58"/>
      <c r="AU150" s="551"/>
      <c r="AV150" s="551"/>
      <c r="AW150" s="551"/>
      <c r="AX150" s="551"/>
      <c r="AY150" s="551"/>
      <c r="AZ150" s="551"/>
      <c r="BA150" s="552"/>
      <c r="BB150" s="553">
        <v>34.340000000000003</v>
      </c>
      <c r="BC150" s="554"/>
      <c r="BD150" s="555"/>
      <c r="BE150" s="552">
        <v>34.340000000000003</v>
      </c>
      <c r="BF150" s="551"/>
      <c r="BG150" s="551"/>
      <c r="BH150" s="556"/>
      <c r="BI150" s="551"/>
      <c r="BJ150" s="551"/>
      <c r="BK150" s="551"/>
      <c r="BL150" s="551"/>
      <c r="BM150" s="551"/>
      <c r="BN150" s="551"/>
      <c r="BO150" s="555"/>
      <c r="BP150" s="551"/>
      <c r="BQ150" s="551"/>
      <c r="BR150" s="551"/>
      <c r="BS150" s="551"/>
      <c r="BT150" s="554"/>
    </row>
    <row r="151" spans="1:72" ht="12" hidden="1" thickBot="1">
      <c r="A151" s="588" t="s">
        <v>1469</v>
      </c>
      <c r="B151" s="522" t="s">
        <v>942</v>
      </c>
      <c r="C151" s="522" t="s">
        <v>943</v>
      </c>
      <c r="D151" s="534" t="s">
        <v>1042</v>
      </c>
      <c r="E151" s="962"/>
      <c r="F151" s="962"/>
      <c r="G151" s="962"/>
      <c r="H151" s="962"/>
      <c r="I151" s="962"/>
      <c r="J151" s="962"/>
      <c r="K151" s="962"/>
      <c r="L151" s="962"/>
      <c r="M151" s="962"/>
      <c r="N151" s="962"/>
      <c r="O151" s="962"/>
      <c r="P151" s="962"/>
      <c r="Q151" s="962"/>
      <c r="R151" s="962"/>
      <c r="S151" s="527">
        <f t="shared" si="24"/>
        <v>0</v>
      </c>
      <c r="T151" s="528">
        <f t="shared" si="25"/>
        <v>0</v>
      </c>
      <c r="U151" s="527">
        <f t="shared" si="26"/>
        <v>0</v>
      </c>
      <c r="W151" s="326">
        <f t="shared" si="27"/>
        <v>0</v>
      </c>
      <c r="X151" s="261">
        <f t="shared" si="28"/>
        <v>0</v>
      </c>
      <c r="Y151" s="58"/>
      <c r="Z151" s="1016">
        <f t="shared" si="21"/>
        <v>0</v>
      </c>
      <c r="AA151" s="58"/>
      <c r="AB151" s="58"/>
      <c r="AC151" s="58"/>
      <c r="AD151" s="58"/>
      <c r="AE151" s="58"/>
      <c r="AF151" s="58"/>
      <c r="AG151" s="58"/>
      <c r="AH151" s="58"/>
      <c r="AI151" s="58"/>
      <c r="AJ151" s="58"/>
      <c r="AK151" s="58"/>
      <c r="AL151" s="58"/>
      <c r="AM151" s="58"/>
      <c r="AN151" s="58"/>
      <c r="AO151" s="58"/>
      <c r="AP151" s="58"/>
      <c r="AQ151" s="58"/>
      <c r="AR151" s="58"/>
      <c r="AS151" s="58"/>
      <c r="AT151" s="58"/>
      <c r="AU151" s="551"/>
      <c r="AV151" s="551"/>
      <c r="AW151" s="551"/>
      <c r="AX151" s="551"/>
      <c r="AY151" s="551"/>
      <c r="AZ151" s="551"/>
      <c r="BA151" s="552"/>
      <c r="BB151" s="553">
        <v>17.59</v>
      </c>
      <c r="BC151" s="554"/>
      <c r="BD151" s="555"/>
      <c r="BE151" s="552">
        <v>17.59</v>
      </c>
      <c r="BF151" s="551"/>
      <c r="BG151" s="551"/>
      <c r="BH151" s="556"/>
      <c r="BI151" s="551"/>
      <c r="BJ151" s="551"/>
      <c r="BK151" s="551"/>
      <c r="BL151" s="551"/>
      <c r="BM151" s="551"/>
      <c r="BN151" s="551"/>
      <c r="BO151" s="555"/>
      <c r="BP151" s="551"/>
      <c r="BQ151" s="551"/>
      <c r="BR151" s="551"/>
      <c r="BS151" s="551"/>
      <c r="BT151" s="554"/>
    </row>
    <row r="152" spans="1:72" ht="12" hidden="1" thickBot="1">
      <c r="A152" s="588" t="s">
        <v>1469</v>
      </c>
      <c r="B152" s="522" t="s">
        <v>168</v>
      </c>
      <c r="C152" s="522" t="s">
        <v>58</v>
      </c>
      <c r="D152" s="534" t="s">
        <v>19</v>
      </c>
      <c r="E152" s="960">
        <v>135917399</v>
      </c>
      <c r="F152" s="961">
        <v>24000</v>
      </c>
      <c r="G152" s="961">
        <v>1008507</v>
      </c>
      <c r="H152" s="961">
        <v>3930731</v>
      </c>
      <c r="I152" s="962"/>
      <c r="J152" s="961">
        <v>214995</v>
      </c>
      <c r="K152" s="961">
        <v>2196651</v>
      </c>
      <c r="L152" s="961">
        <v>0</v>
      </c>
      <c r="M152" s="961">
        <v>252664</v>
      </c>
      <c r="N152" s="961"/>
      <c r="O152" s="961">
        <v>487082</v>
      </c>
      <c r="P152" s="962"/>
      <c r="Q152" s="962"/>
      <c r="R152" s="961">
        <v>8114631</v>
      </c>
      <c r="S152" s="527">
        <f t="shared" si="24"/>
        <v>4939238</v>
      </c>
      <c r="T152" s="528">
        <f t="shared" si="25"/>
        <v>2411646</v>
      </c>
      <c r="U152" s="527">
        <f t="shared" si="26"/>
        <v>487082</v>
      </c>
      <c r="W152" s="326">
        <f t="shared" si="27"/>
        <v>8114630</v>
      </c>
      <c r="X152" s="261">
        <f t="shared" si="28"/>
        <v>-1</v>
      </c>
      <c r="Y152" s="58"/>
      <c r="Z152" s="1016">
        <f t="shared" si="21"/>
        <v>7374884</v>
      </c>
      <c r="AA152" s="58"/>
      <c r="AB152" s="58"/>
      <c r="AC152" s="58"/>
      <c r="AD152" s="58"/>
      <c r="AE152" s="58"/>
      <c r="AF152" s="58"/>
      <c r="AG152" s="58"/>
      <c r="AH152" s="58"/>
      <c r="AI152" s="58"/>
      <c r="AJ152" s="58"/>
      <c r="AK152" s="58"/>
      <c r="AL152" s="58"/>
      <c r="AM152" s="58"/>
      <c r="AN152" s="58"/>
      <c r="AO152" s="58"/>
      <c r="AP152" s="58"/>
      <c r="AQ152" s="58"/>
      <c r="AR152" s="58"/>
      <c r="AS152" s="58"/>
      <c r="AT152" s="58"/>
      <c r="AU152" s="551"/>
      <c r="AV152" s="551"/>
      <c r="AW152" s="551"/>
      <c r="AX152" s="551"/>
      <c r="AY152" s="551"/>
      <c r="AZ152" s="551"/>
      <c r="BA152" s="552"/>
      <c r="BB152" s="553">
        <v>486.18</v>
      </c>
      <c r="BC152" s="554"/>
      <c r="BD152" s="555"/>
      <c r="BE152" s="552">
        <v>486.18</v>
      </c>
      <c r="BF152" s="551"/>
      <c r="BG152" s="551"/>
      <c r="BH152" s="556"/>
      <c r="BI152" s="551"/>
      <c r="BJ152" s="551"/>
      <c r="BK152" s="551"/>
      <c r="BL152" s="551"/>
      <c r="BM152" s="551"/>
      <c r="BN152" s="551"/>
      <c r="BO152" s="555"/>
      <c r="BP152" s="551"/>
      <c r="BQ152" s="551"/>
      <c r="BR152" s="551"/>
      <c r="BS152" s="551"/>
      <c r="BT152" s="554"/>
    </row>
    <row r="153" spans="1:72" ht="12" hidden="1" thickBot="1">
      <c r="A153" s="588" t="s">
        <v>1469</v>
      </c>
      <c r="B153" s="522" t="s">
        <v>169</v>
      </c>
      <c r="C153" s="522" t="s">
        <v>196</v>
      </c>
      <c r="D153" s="542" t="s">
        <v>26</v>
      </c>
      <c r="E153" s="960">
        <v>18264518</v>
      </c>
      <c r="F153" s="961">
        <v>35870</v>
      </c>
      <c r="G153" s="961">
        <v>122372</v>
      </c>
      <c r="H153" s="961">
        <v>528210</v>
      </c>
      <c r="I153" s="962"/>
      <c r="J153" s="961">
        <v>57860</v>
      </c>
      <c r="K153" s="961">
        <v>648249</v>
      </c>
      <c r="L153" s="961">
        <v>20803</v>
      </c>
      <c r="M153" s="961">
        <v>33953</v>
      </c>
      <c r="N153" s="961"/>
      <c r="O153" s="961">
        <v>65454</v>
      </c>
      <c r="P153" s="962"/>
      <c r="Q153" s="962"/>
      <c r="R153" s="961">
        <v>1512771</v>
      </c>
      <c r="S153" s="527">
        <f t="shared" si="24"/>
        <v>650582</v>
      </c>
      <c r="T153" s="528">
        <f t="shared" si="25"/>
        <v>706109</v>
      </c>
      <c r="U153" s="527">
        <f t="shared" si="26"/>
        <v>65454</v>
      </c>
      <c r="W153" s="326">
        <f t="shared" si="27"/>
        <v>1512771</v>
      </c>
      <c r="X153" s="261">
        <f t="shared" si="28"/>
        <v>0</v>
      </c>
      <c r="Y153" s="58"/>
      <c r="Z153" s="1016">
        <f t="shared" si="21"/>
        <v>1392561</v>
      </c>
      <c r="AA153" s="58"/>
      <c r="AB153" s="58"/>
      <c r="AC153" s="58"/>
      <c r="AD153" s="58"/>
      <c r="AE153" s="58"/>
      <c r="AF153" s="58"/>
      <c r="AG153" s="58"/>
      <c r="AH153" s="58"/>
      <c r="AI153" s="58"/>
      <c r="AJ153" s="58"/>
      <c r="AK153" s="58"/>
      <c r="AL153" s="58"/>
      <c r="AM153" s="58"/>
      <c r="AN153" s="58"/>
      <c r="AO153" s="58"/>
      <c r="AP153" s="58"/>
      <c r="AQ153" s="58"/>
      <c r="AR153" s="58"/>
      <c r="AS153" s="58"/>
      <c r="AT153" s="58"/>
      <c r="AU153" s="551"/>
      <c r="AV153" s="551"/>
      <c r="AW153" s="551"/>
      <c r="AX153" s="551"/>
      <c r="AY153" s="551"/>
      <c r="AZ153" s="551"/>
      <c r="BA153" s="552"/>
      <c r="BB153" s="553">
        <v>-8683.24</v>
      </c>
      <c r="BC153" s="554"/>
      <c r="BD153" s="555"/>
      <c r="BE153" s="552">
        <v>-8683.24</v>
      </c>
      <c r="BF153" s="551"/>
      <c r="BG153" s="551"/>
      <c r="BH153" s="556"/>
      <c r="BI153" s="551"/>
      <c r="BJ153" s="551"/>
      <c r="BK153" s="551"/>
      <c r="BL153" s="551"/>
      <c r="BM153" s="551"/>
      <c r="BN153" s="551"/>
      <c r="BO153" s="555"/>
      <c r="BP153" s="551"/>
      <c r="BQ153" s="551"/>
      <c r="BR153" s="551"/>
      <c r="BS153" s="551"/>
      <c r="BT153" s="554"/>
    </row>
    <row r="154" spans="1:72" ht="12" hidden="1" thickBot="1">
      <c r="A154" s="588" t="s">
        <v>1469</v>
      </c>
      <c r="B154" s="522" t="s">
        <v>170</v>
      </c>
      <c r="C154" s="522" t="s">
        <v>197</v>
      </c>
      <c r="D154" s="542" t="s">
        <v>25</v>
      </c>
      <c r="E154" s="960">
        <v>170418565</v>
      </c>
      <c r="F154" s="961">
        <v>429300</v>
      </c>
      <c r="G154" s="961">
        <v>1145213</v>
      </c>
      <c r="H154" s="961">
        <v>4928505</v>
      </c>
      <c r="I154" s="962"/>
      <c r="J154" s="961">
        <v>599590</v>
      </c>
      <c r="K154" s="961">
        <v>6728734</v>
      </c>
      <c r="L154" s="961">
        <v>194103</v>
      </c>
      <c r="M154" s="961">
        <v>316800</v>
      </c>
      <c r="N154" s="961"/>
      <c r="O154" s="961">
        <v>610723</v>
      </c>
      <c r="P154" s="962"/>
      <c r="Q154" s="962"/>
      <c r="R154" s="961">
        <v>14952968</v>
      </c>
      <c r="S154" s="527">
        <f t="shared" si="24"/>
        <v>6073718</v>
      </c>
      <c r="T154" s="528">
        <f t="shared" si="25"/>
        <v>7328324</v>
      </c>
      <c r="U154" s="527">
        <f t="shared" si="26"/>
        <v>610723</v>
      </c>
      <c r="W154" s="326">
        <f t="shared" si="27"/>
        <v>14952968</v>
      </c>
      <c r="X154" s="261">
        <f t="shared" si="28"/>
        <v>0</v>
      </c>
      <c r="Y154" s="58"/>
      <c r="Z154" s="1016">
        <f t="shared" si="21"/>
        <v>13831342</v>
      </c>
      <c r="AA154" s="58"/>
      <c r="AB154" s="58"/>
      <c r="AC154" s="58"/>
      <c r="AD154" s="58"/>
      <c r="AE154" s="58"/>
      <c r="AF154" s="58"/>
      <c r="AG154" s="58"/>
      <c r="AH154" s="58"/>
      <c r="AI154" s="58"/>
      <c r="AJ154" s="58"/>
      <c r="AK154" s="58"/>
      <c r="AL154" s="58"/>
      <c r="AM154" s="58"/>
      <c r="AN154" s="58"/>
      <c r="AO154" s="58"/>
      <c r="AP154" s="58"/>
      <c r="AQ154" s="58"/>
      <c r="AR154" s="58"/>
      <c r="AS154" s="58"/>
      <c r="AT154" s="58"/>
      <c r="AU154" s="551"/>
      <c r="AV154" s="551"/>
      <c r="AW154" s="551"/>
      <c r="AX154" s="551"/>
      <c r="AY154" s="551"/>
      <c r="AZ154" s="551"/>
      <c r="BA154" s="552"/>
      <c r="BB154" s="553">
        <v>12349.46</v>
      </c>
      <c r="BC154" s="554"/>
      <c r="BD154" s="555"/>
      <c r="BE154" s="552">
        <v>12349.46</v>
      </c>
      <c r="BF154" s="551"/>
      <c r="BG154" s="551"/>
      <c r="BH154" s="556"/>
      <c r="BI154" s="551"/>
      <c r="BJ154" s="551"/>
      <c r="BK154" s="551"/>
      <c r="BL154" s="551"/>
      <c r="BM154" s="551"/>
      <c r="BN154" s="551"/>
      <c r="BO154" s="555"/>
      <c r="BP154" s="551"/>
      <c r="BQ154" s="551"/>
      <c r="BR154" s="551"/>
      <c r="BS154" s="551"/>
      <c r="BT154" s="554"/>
    </row>
    <row r="155" spans="1:72" ht="12" hidden="1" thickBot="1">
      <c r="A155" s="588" t="s">
        <v>1469</v>
      </c>
      <c r="B155" s="522" t="s">
        <v>171</v>
      </c>
      <c r="C155" s="522" t="s">
        <v>198</v>
      </c>
      <c r="D155" s="535" t="s">
        <v>221</v>
      </c>
      <c r="E155" s="960">
        <v>240582096</v>
      </c>
      <c r="F155" s="961">
        <v>15600</v>
      </c>
      <c r="G155" s="961">
        <v>2100282</v>
      </c>
      <c r="H155" s="961">
        <v>6957634</v>
      </c>
      <c r="I155" s="962"/>
      <c r="J155" s="961">
        <v>380666</v>
      </c>
      <c r="K155" s="961">
        <v>3832266</v>
      </c>
      <c r="L155" s="961">
        <v>274018</v>
      </c>
      <c r="M155" s="961">
        <v>447231</v>
      </c>
      <c r="N155" s="961"/>
      <c r="O155" s="961">
        <v>862165</v>
      </c>
      <c r="P155" s="962"/>
      <c r="Q155" s="962"/>
      <c r="R155" s="961">
        <v>14869863</v>
      </c>
      <c r="S155" s="527">
        <f t="shared" si="24"/>
        <v>9057916</v>
      </c>
      <c r="T155" s="528">
        <f t="shared" si="25"/>
        <v>4212932</v>
      </c>
      <c r="U155" s="527">
        <f t="shared" si="26"/>
        <v>862165</v>
      </c>
      <c r="W155" s="326">
        <f t="shared" si="27"/>
        <v>14869862</v>
      </c>
      <c r="X155" s="261">
        <f t="shared" si="28"/>
        <v>-1</v>
      </c>
      <c r="Y155" s="58"/>
      <c r="Z155" s="1016">
        <f t="shared" si="21"/>
        <v>13286448</v>
      </c>
      <c r="AA155" s="58"/>
      <c r="AB155" s="58"/>
      <c r="AC155" s="58"/>
      <c r="AD155" s="58"/>
      <c r="AE155" s="58"/>
      <c r="AF155" s="58"/>
      <c r="AG155" s="58"/>
      <c r="AH155" s="58"/>
      <c r="AI155" s="58"/>
      <c r="AJ155" s="58"/>
      <c r="AK155" s="58"/>
      <c r="AL155" s="58"/>
      <c r="AM155" s="58"/>
      <c r="AN155" s="58"/>
      <c r="AO155" s="58"/>
      <c r="AP155" s="58"/>
      <c r="AQ155" s="58"/>
      <c r="AR155" s="58"/>
      <c r="AS155" s="58"/>
      <c r="AT155" s="58"/>
      <c r="AU155" s="551"/>
      <c r="AV155" s="551"/>
      <c r="AW155" s="551"/>
      <c r="AX155" s="551"/>
      <c r="AY155" s="551"/>
      <c r="AZ155" s="551"/>
      <c r="BA155" s="552"/>
      <c r="BB155" s="553">
        <v>-12771.01</v>
      </c>
      <c r="BC155" s="554"/>
      <c r="BD155" s="555"/>
      <c r="BE155" s="552">
        <v>-12771.01</v>
      </c>
      <c r="BF155" s="551"/>
      <c r="BG155" s="551"/>
      <c r="BH155" s="556"/>
      <c r="BI155" s="551"/>
      <c r="BJ155" s="551"/>
      <c r="BK155" s="551"/>
      <c r="BL155" s="551"/>
      <c r="BM155" s="551"/>
      <c r="BN155" s="551"/>
      <c r="BO155" s="555"/>
      <c r="BP155" s="551"/>
      <c r="BQ155" s="551"/>
      <c r="BR155" s="551"/>
      <c r="BS155" s="551"/>
      <c r="BT155" s="554"/>
    </row>
    <row r="156" spans="1:72" ht="12" hidden="1" thickBot="1">
      <c r="A156" s="588" t="s">
        <v>1469</v>
      </c>
      <c r="B156" s="522" t="s">
        <v>172</v>
      </c>
      <c r="C156" s="522" t="s">
        <v>199</v>
      </c>
      <c r="D156" s="535" t="s">
        <v>26</v>
      </c>
      <c r="E156" s="960"/>
      <c r="F156" s="961"/>
      <c r="G156" s="961"/>
      <c r="H156" s="961"/>
      <c r="I156" s="962"/>
      <c r="J156" s="961"/>
      <c r="K156" s="961"/>
      <c r="L156" s="961"/>
      <c r="M156" s="961"/>
      <c r="N156" s="961"/>
      <c r="O156" s="961"/>
      <c r="P156" s="962"/>
      <c r="Q156" s="962"/>
      <c r="R156" s="961"/>
      <c r="S156" s="527">
        <f t="shared" si="24"/>
        <v>0</v>
      </c>
      <c r="T156" s="528">
        <f t="shared" si="25"/>
        <v>0</v>
      </c>
      <c r="U156" s="527">
        <f t="shared" si="26"/>
        <v>0</v>
      </c>
      <c r="W156" s="326">
        <f t="shared" si="27"/>
        <v>0</v>
      </c>
      <c r="X156" s="261">
        <f t="shared" si="28"/>
        <v>0</v>
      </c>
      <c r="Y156" s="58"/>
      <c r="Z156" s="1016">
        <f t="shared" si="21"/>
        <v>0</v>
      </c>
      <c r="AA156" s="58"/>
      <c r="AB156" s="58"/>
      <c r="AC156" s="58"/>
      <c r="AD156" s="58"/>
      <c r="AE156" s="58"/>
      <c r="AF156" s="58"/>
      <c r="AG156" s="58"/>
      <c r="AH156" s="58"/>
      <c r="AI156" s="58"/>
      <c r="AJ156" s="58"/>
      <c r="AK156" s="58"/>
      <c r="AL156" s="58"/>
      <c r="AM156" s="58"/>
      <c r="AN156" s="58"/>
      <c r="AO156" s="58"/>
      <c r="AP156" s="58"/>
      <c r="AQ156" s="58"/>
      <c r="AR156" s="58"/>
      <c r="AS156" s="58"/>
      <c r="AT156" s="58"/>
      <c r="AU156" s="551"/>
      <c r="AV156" s="551"/>
      <c r="AW156" s="551"/>
      <c r="AX156" s="551"/>
      <c r="AY156" s="551"/>
      <c r="AZ156" s="551"/>
      <c r="BA156" s="552"/>
      <c r="BB156" s="554"/>
      <c r="BC156" s="554"/>
      <c r="BD156" s="554"/>
      <c r="BE156" s="552"/>
      <c r="BF156" s="551"/>
      <c r="BG156" s="551"/>
      <c r="BH156" s="551"/>
      <c r="BI156" s="551"/>
      <c r="BJ156" s="551"/>
      <c r="BK156" s="551"/>
      <c r="BL156" s="551"/>
      <c r="BM156" s="551"/>
      <c r="BN156" s="551"/>
      <c r="BO156" s="555"/>
      <c r="BP156" s="551"/>
      <c r="BQ156" s="551"/>
      <c r="BR156" s="551"/>
      <c r="BS156" s="551"/>
      <c r="BT156" s="554"/>
    </row>
    <row r="157" spans="1:72" ht="12" hidden="1" thickBot="1">
      <c r="A157" s="588" t="s">
        <v>1469</v>
      </c>
      <c r="B157" s="522" t="s">
        <v>173</v>
      </c>
      <c r="C157" s="522" t="s">
        <v>200</v>
      </c>
      <c r="D157" s="535" t="s">
        <v>25</v>
      </c>
      <c r="E157" s="960"/>
      <c r="F157" s="961"/>
      <c r="G157" s="961"/>
      <c r="H157" s="961"/>
      <c r="I157" s="962"/>
      <c r="J157" s="961"/>
      <c r="K157" s="961"/>
      <c r="L157" s="961"/>
      <c r="M157" s="961"/>
      <c r="N157" s="961"/>
      <c r="O157" s="961"/>
      <c r="P157" s="962"/>
      <c r="Q157" s="962"/>
      <c r="R157" s="961"/>
      <c r="S157" s="527">
        <f t="shared" si="24"/>
        <v>0</v>
      </c>
      <c r="T157" s="528">
        <f t="shared" si="25"/>
        <v>0</v>
      </c>
      <c r="U157" s="527">
        <f t="shared" si="26"/>
        <v>0</v>
      </c>
      <c r="W157" s="326">
        <f t="shared" si="27"/>
        <v>0</v>
      </c>
      <c r="X157" s="261">
        <f t="shared" si="28"/>
        <v>0</v>
      </c>
      <c r="Y157" s="58"/>
      <c r="Z157" s="1016">
        <f t="shared" si="21"/>
        <v>0</v>
      </c>
      <c r="AA157" s="58"/>
      <c r="AB157" s="58"/>
      <c r="AC157" s="58"/>
      <c r="AD157" s="58"/>
      <c r="AE157" s="58"/>
      <c r="AF157" s="58"/>
      <c r="AG157" s="58"/>
      <c r="AH157" s="58"/>
      <c r="AI157" s="58"/>
      <c r="AJ157" s="58"/>
      <c r="AK157" s="58"/>
      <c r="AL157" s="58"/>
      <c r="AM157" s="58"/>
      <c r="AN157" s="58"/>
      <c r="AO157" s="58"/>
      <c r="AP157" s="58"/>
      <c r="AQ157" s="58"/>
      <c r="AR157" s="58"/>
      <c r="AS157" s="58"/>
      <c r="AT157" s="58"/>
      <c r="AU157" s="551"/>
      <c r="AV157" s="551"/>
      <c r="AW157" s="551"/>
      <c r="AX157" s="553">
        <v>-1773.73</v>
      </c>
      <c r="AY157" s="553">
        <v>-12304.25</v>
      </c>
      <c r="AZ157" s="553">
        <v>-1858.2</v>
      </c>
      <c r="BA157" s="552">
        <v>-14162.45</v>
      </c>
      <c r="BB157" s="553">
        <v>5774.54</v>
      </c>
      <c r="BC157" s="553">
        <v>1489.1</v>
      </c>
      <c r="BD157" s="553">
        <v>7020.7900000000009</v>
      </c>
      <c r="BE157" s="552">
        <v>14284.43</v>
      </c>
      <c r="BF157" s="551"/>
      <c r="BG157" s="553">
        <v>442.36</v>
      </c>
      <c r="BH157" s="553">
        <v>12.419999999999987</v>
      </c>
      <c r="BI157" s="553">
        <v>21.800000000000068</v>
      </c>
      <c r="BJ157" s="553">
        <v>-1.54</v>
      </c>
      <c r="BK157" s="551"/>
      <c r="BL157" s="551"/>
      <c r="BM157" s="551"/>
      <c r="BN157" s="551"/>
      <c r="BO157" s="555"/>
      <c r="BP157" s="551"/>
      <c r="BQ157" s="551"/>
      <c r="BR157" s="551"/>
      <c r="BS157" s="551"/>
      <c r="BT157" s="554">
        <v>-1176.71</v>
      </c>
    </row>
    <row r="158" spans="1:72" ht="12" hidden="1" thickBot="1">
      <c r="A158" s="588" t="s">
        <v>1469</v>
      </c>
      <c r="B158" s="522" t="s">
        <v>174</v>
      </c>
      <c r="C158" s="522" t="s">
        <v>201</v>
      </c>
      <c r="D158" s="523" t="s">
        <v>221</v>
      </c>
      <c r="E158" s="960">
        <v>101352085</v>
      </c>
      <c r="F158" s="961">
        <v>56100</v>
      </c>
      <c r="G158" s="961">
        <v>884804</v>
      </c>
      <c r="H158" s="961">
        <v>2931102</v>
      </c>
      <c r="I158" s="962"/>
      <c r="J158" s="961">
        <v>194656</v>
      </c>
      <c r="K158" s="961">
        <v>1963009</v>
      </c>
      <c r="L158" s="961">
        <v>115438</v>
      </c>
      <c r="M158" s="961">
        <v>188409</v>
      </c>
      <c r="N158" s="961"/>
      <c r="O158" s="961">
        <v>363212</v>
      </c>
      <c r="P158" s="962"/>
      <c r="Q158" s="962"/>
      <c r="R158" s="961">
        <v>6696730</v>
      </c>
      <c r="S158" s="527">
        <f t="shared" si="24"/>
        <v>3815906</v>
      </c>
      <c r="T158" s="528">
        <f t="shared" si="25"/>
        <v>2157665</v>
      </c>
      <c r="U158" s="527">
        <f t="shared" si="26"/>
        <v>363212</v>
      </c>
      <c r="W158" s="326">
        <f t="shared" si="27"/>
        <v>6696730</v>
      </c>
      <c r="X158" s="261">
        <f t="shared" si="28"/>
        <v>0</v>
      </c>
      <c r="Y158" s="58"/>
      <c r="Z158" s="1016">
        <f t="shared" si="21"/>
        <v>6029671</v>
      </c>
      <c r="AA158" s="58"/>
      <c r="AB158" s="58"/>
      <c r="AC158" s="58"/>
      <c r="AD158" s="58"/>
      <c r="AE158" s="58"/>
      <c r="AF158" s="58"/>
      <c r="AG158" s="58"/>
      <c r="AH158" s="58"/>
      <c r="AI158" s="58"/>
      <c r="AJ158" s="58"/>
      <c r="AK158" s="58"/>
      <c r="AL158" s="58"/>
      <c r="AM158" s="58"/>
      <c r="AN158" s="58"/>
      <c r="AO158" s="58"/>
      <c r="AP158" s="58"/>
      <c r="AQ158" s="58"/>
      <c r="AR158" s="58"/>
      <c r="AS158" s="58"/>
      <c r="AT158" s="58"/>
      <c r="AU158" s="551"/>
      <c r="AV158" s="551"/>
      <c r="AW158" s="551"/>
      <c r="AX158" s="551"/>
      <c r="AY158" s="551"/>
      <c r="AZ158" s="551"/>
      <c r="BA158" s="552">
        <v>0</v>
      </c>
      <c r="BB158" s="553">
        <v>-4192196.39</v>
      </c>
      <c r="BC158" s="554"/>
      <c r="BD158" s="555">
        <v>4192196.39</v>
      </c>
      <c r="BE158" s="552">
        <v>0</v>
      </c>
      <c r="BF158" s="551"/>
      <c r="BG158" s="551"/>
      <c r="BH158" s="551"/>
      <c r="BI158" s="551"/>
      <c r="BJ158" s="551"/>
      <c r="BK158" s="551"/>
      <c r="BL158" s="551"/>
      <c r="BM158" s="551"/>
      <c r="BN158" s="551"/>
      <c r="BO158" s="555"/>
      <c r="BP158" s="551"/>
      <c r="BQ158" s="551"/>
      <c r="BR158" s="551"/>
      <c r="BS158" s="551"/>
      <c r="BT158" s="554">
        <v>0</v>
      </c>
    </row>
    <row r="159" spans="1:72" ht="12" hidden="1" thickBot="1">
      <c r="A159" s="588" t="s">
        <v>1469</v>
      </c>
      <c r="B159" s="522" t="s">
        <v>175</v>
      </c>
      <c r="C159" s="522" t="s">
        <v>202</v>
      </c>
      <c r="D159" s="523" t="s">
        <v>220</v>
      </c>
      <c r="E159" s="960">
        <v>118321752</v>
      </c>
      <c r="F159" s="961">
        <v>91200</v>
      </c>
      <c r="G159" s="961">
        <v>1042415</v>
      </c>
      <c r="H159" s="961">
        <v>3421865</v>
      </c>
      <c r="I159" s="962"/>
      <c r="J159" s="961">
        <v>265280</v>
      </c>
      <c r="K159" s="961">
        <v>2707271</v>
      </c>
      <c r="L159" s="961">
        <v>134766</v>
      </c>
      <c r="M159" s="961">
        <v>219955</v>
      </c>
      <c r="N159" s="961"/>
      <c r="O159" s="961">
        <v>424025</v>
      </c>
      <c r="P159" s="962"/>
      <c r="Q159" s="962"/>
      <c r="R159" s="961">
        <v>8306777</v>
      </c>
      <c r="S159" s="527">
        <f t="shared" si="24"/>
        <v>4464280</v>
      </c>
      <c r="T159" s="528">
        <f t="shared" si="25"/>
        <v>2972551</v>
      </c>
      <c r="U159" s="527">
        <f t="shared" si="26"/>
        <v>424025</v>
      </c>
      <c r="W159" s="326">
        <f t="shared" si="27"/>
        <v>8306777</v>
      </c>
      <c r="X159" s="261">
        <f t="shared" si="28"/>
        <v>0</v>
      </c>
      <c r="Y159" s="58"/>
      <c r="Z159" s="1016">
        <f t="shared" si="21"/>
        <v>7528031</v>
      </c>
      <c r="AA159" s="58"/>
      <c r="AB159" s="58"/>
      <c r="AC159" s="58"/>
      <c r="AD159" s="58"/>
      <c r="AE159" s="58"/>
      <c r="AF159" s="58"/>
      <c r="AG159" s="58"/>
      <c r="AH159" s="58"/>
      <c r="AI159" s="58"/>
      <c r="AJ159" s="58"/>
      <c r="AK159" s="58"/>
      <c r="AL159" s="58"/>
      <c r="AM159" s="58"/>
      <c r="AN159" s="58"/>
      <c r="AO159" s="58"/>
      <c r="AP159" s="58"/>
      <c r="AQ159" s="58"/>
      <c r="AR159" s="58"/>
      <c r="AS159" s="58"/>
      <c r="AT159" s="58"/>
      <c r="AU159" s="551"/>
      <c r="AV159" s="551"/>
      <c r="AW159" s="551"/>
      <c r="AX159" s="551"/>
      <c r="AY159" s="551"/>
      <c r="AZ159" s="551"/>
      <c r="BA159" s="552">
        <v>0</v>
      </c>
      <c r="BB159" s="553">
        <v>-173587.35</v>
      </c>
      <c r="BC159" s="554">
        <v>173587.35</v>
      </c>
      <c r="BD159" s="554"/>
      <c r="BE159" s="552">
        <v>0</v>
      </c>
      <c r="BF159" s="551"/>
      <c r="BG159" s="551"/>
      <c r="BH159" s="551"/>
      <c r="BI159" s="551"/>
      <c r="BJ159" s="551"/>
      <c r="BK159" s="551"/>
      <c r="BL159" s="551"/>
      <c r="BM159" s="551"/>
      <c r="BN159" s="551"/>
      <c r="BO159" s="555"/>
      <c r="BP159" s="551"/>
      <c r="BQ159" s="551"/>
      <c r="BR159" s="551"/>
      <c r="BS159" s="551"/>
      <c r="BT159" s="554">
        <v>0</v>
      </c>
    </row>
    <row r="160" spans="1:72" ht="12" hidden="1" thickBot="1">
      <c r="A160" s="588" t="s">
        <v>1469</v>
      </c>
      <c r="B160" s="522" t="s">
        <v>176</v>
      </c>
      <c r="C160" s="522" t="s">
        <v>203</v>
      </c>
      <c r="D160" s="523" t="s">
        <v>25</v>
      </c>
      <c r="E160" s="960"/>
      <c r="F160" s="961"/>
      <c r="G160" s="961"/>
      <c r="H160" s="961"/>
      <c r="I160" s="962"/>
      <c r="J160" s="961"/>
      <c r="K160" s="961"/>
      <c r="L160" s="961"/>
      <c r="M160" s="961"/>
      <c r="N160" s="961"/>
      <c r="O160" s="961"/>
      <c r="P160" s="962"/>
      <c r="Q160" s="962"/>
      <c r="R160" s="961"/>
      <c r="S160" s="527">
        <f t="shared" si="24"/>
        <v>0</v>
      </c>
      <c r="T160" s="528">
        <f t="shared" si="25"/>
        <v>0</v>
      </c>
      <c r="U160" s="527">
        <f t="shared" si="26"/>
        <v>0</v>
      </c>
      <c r="W160" s="326">
        <f t="shared" si="27"/>
        <v>0</v>
      </c>
      <c r="X160" s="261">
        <f t="shared" si="28"/>
        <v>0</v>
      </c>
      <c r="Y160" s="58"/>
      <c r="Z160" s="1016">
        <f t="shared" si="21"/>
        <v>0</v>
      </c>
      <c r="AA160" s="58"/>
      <c r="AB160" s="58"/>
      <c r="AC160" s="58"/>
      <c r="AD160" s="58"/>
      <c r="AE160" s="58"/>
      <c r="AF160" s="58"/>
      <c r="AG160" s="58"/>
      <c r="AH160" s="58"/>
      <c r="AI160" s="58"/>
      <c r="AJ160" s="58"/>
      <c r="AK160" s="58"/>
      <c r="AL160" s="58"/>
      <c r="AM160" s="58"/>
      <c r="AN160" s="58"/>
      <c r="AO160" s="58"/>
      <c r="AP160" s="58"/>
      <c r="AQ160" s="58"/>
      <c r="AR160" s="58"/>
      <c r="AS160" s="58"/>
      <c r="AT160" s="58"/>
      <c r="AU160" s="551"/>
      <c r="AV160" s="551"/>
      <c r="AW160" s="551"/>
      <c r="AX160" s="551"/>
      <c r="AY160" s="553">
        <v>384.04</v>
      </c>
      <c r="AZ160" s="551"/>
      <c r="BA160" s="552">
        <v>384.04</v>
      </c>
      <c r="BB160" s="558"/>
      <c r="BC160" s="554"/>
      <c r="BD160" s="554"/>
      <c r="BE160" s="552">
        <v>0</v>
      </c>
      <c r="BF160" s="551"/>
      <c r="BG160" s="551"/>
      <c r="BH160" s="551"/>
      <c r="BI160" s="551"/>
      <c r="BJ160" s="551"/>
      <c r="BK160" s="551"/>
      <c r="BL160" s="551"/>
      <c r="BM160" s="551"/>
      <c r="BN160" s="551"/>
      <c r="BO160" s="555"/>
      <c r="BP160" s="551"/>
      <c r="BQ160" s="551"/>
      <c r="BR160" s="551"/>
      <c r="BS160" s="551"/>
      <c r="BT160" s="554">
        <v>384.04</v>
      </c>
    </row>
    <row r="161" spans="1:72" ht="12" hidden="1" thickBot="1">
      <c r="A161" s="588" t="s">
        <v>1469</v>
      </c>
      <c r="B161" s="522" t="s">
        <v>944</v>
      </c>
      <c r="C161" s="522" t="s">
        <v>943</v>
      </c>
      <c r="D161" s="542" t="s">
        <v>1042</v>
      </c>
      <c r="E161" s="962"/>
      <c r="F161" s="962"/>
      <c r="G161" s="962"/>
      <c r="H161" s="962"/>
      <c r="I161" s="962"/>
      <c r="J161" s="962"/>
      <c r="K161" s="962"/>
      <c r="L161" s="962"/>
      <c r="M161" s="962"/>
      <c r="N161" s="962"/>
      <c r="O161" s="962"/>
      <c r="P161" s="962"/>
      <c r="Q161" s="962"/>
      <c r="R161" s="962"/>
      <c r="S161" s="527">
        <f t="shared" si="24"/>
        <v>0</v>
      </c>
      <c r="T161" s="528">
        <f t="shared" si="25"/>
        <v>0</v>
      </c>
      <c r="U161" s="527">
        <f t="shared" si="26"/>
        <v>0</v>
      </c>
      <c r="W161" s="326">
        <f t="shared" si="27"/>
        <v>0</v>
      </c>
      <c r="X161" s="261">
        <f t="shared" si="28"/>
        <v>0</v>
      </c>
      <c r="Y161" s="58"/>
      <c r="Z161" s="1016">
        <f t="shared" si="21"/>
        <v>0</v>
      </c>
      <c r="AA161" s="58"/>
      <c r="AB161" s="58"/>
      <c r="AC161" s="58"/>
      <c r="AD161" s="58"/>
      <c r="AE161" s="58"/>
      <c r="AF161" s="58"/>
      <c r="AG161" s="58"/>
      <c r="AH161" s="58"/>
      <c r="AI161" s="58"/>
      <c r="AJ161" s="58"/>
      <c r="AK161" s="58"/>
      <c r="AL161" s="58"/>
      <c r="AM161" s="58"/>
      <c r="AN161" s="58"/>
      <c r="AO161" s="58"/>
      <c r="AP161" s="58"/>
      <c r="AQ161" s="58"/>
      <c r="AR161" s="58"/>
      <c r="AS161" s="58"/>
      <c r="AT161" s="58"/>
      <c r="AU161" s="551"/>
      <c r="AV161" s="551"/>
      <c r="AW161" s="551"/>
      <c r="AX161" s="551"/>
      <c r="AY161" s="558"/>
      <c r="AZ161" s="551"/>
      <c r="BA161" s="552">
        <v>0</v>
      </c>
      <c r="BB161" s="555"/>
      <c r="BC161" s="554"/>
      <c r="BD161" s="554"/>
      <c r="BE161" s="552">
        <v>0</v>
      </c>
      <c r="BF161" s="551"/>
      <c r="BG161" s="551"/>
      <c r="BH161" s="551"/>
      <c r="BI161" s="551"/>
      <c r="BJ161" s="551"/>
      <c r="BK161" s="551"/>
      <c r="BL161" s="551"/>
      <c r="BM161" s="551"/>
      <c r="BN161" s="551"/>
      <c r="BO161" s="555"/>
      <c r="BP161" s="551"/>
      <c r="BQ161" s="551"/>
      <c r="BR161" s="551"/>
      <c r="BS161" s="551"/>
      <c r="BT161" s="554">
        <v>0</v>
      </c>
    </row>
    <row r="162" spans="1:72" ht="12" hidden="1" thickBot="1">
      <c r="A162" s="588" t="s">
        <v>1469</v>
      </c>
      <c r="B162" s="522" t="s">
        <v>177</v>
      </c>
      <c r="C162" s="522" t="s">
        <v>494</v>
      </c>
      <c r="D162" s="522" t="s">
        <v>224</v>
      </c>
      <c r="E162" s="960">
        <v>68740240</v>
      </c>
      <c r="F162" s="961">
        <v>1269037</v>
      </c>
      <c r="G162" s="961">
        <v>4029553</v>
      </c>
      <c r="H162" s="961">
        <v>1987968</v>
      </c>
      <c r="I162" s="961">
        <v>323767</v>
      </c>
      <c r="J162" s="962"/>
      <c r="K162" s="962"/>
      <c r="L162" s="961">
        <v>78294</v>
      </c>
      <c r="M162" s="961">
        <v>127785</v>
      </c>
      <c r="N162" s="961"/>
      <c r="O162" s="961">
        <v>246342</v>
      </c>
      <c r="P162" s="962"/>
      <c r="Q162" s="961"/>
      <c r="R162" s="961">
        <v>8062745</v>
      </c>
      <c r="S162" s="527">
        <f t="shared" si="24"/>
        <v>6341288</v>
      </c>
      <c r="T162" s="528">
        <f t="shared" si="25"/>
        <v>0</v>
      </c>
      <c r="U162" s="527">
        <f t="shared" si="26"/>
        <v>246342</v>
      </c>
      <c r="W162" s="326">
        <f t="shared" si="27"/>
        <v>8062746</v>
      </c>
      <c r="X162" s="261">
        <f t="shared" si="28"/>
        <v>1</v>
      </c>
      <c r="Y162" s="58"/>
      <c r="Z162" s="1016">
        <f t="shared" si="21"/>
        <v>7610325</v>
      </c>
      <c r="AA162" s="58"/>
      <c r="AB162" s="58"/>
      <c r="AC162" s="58"/>
      <c r="AD162" s="58"/>
      <c r="AE162" s="58"/>
      <c r="AF162" s="58"/>
      <c r="AG162" s="58"/>
      <c r="AH162" s="58"/>
      <c r="AI162" s="58"/>
      <c r="AJ162" s="58"/>
      <c r="AK162" s="58"/>
      <c r="AL162" s="58"/>
      <c r="AM162" s="58"/>
      <c r="AN162" s="58"/>
      <c r="AO162" s="58"/>
      <c r="AP162" s="58"/>
      <c r="AQ162" s="58"/>
      <c r="AR162" s="58"/>
      <c r="AS162" s="58"/>
      <c r="AT162" s="58"/>
      <c r="AU162" s="551"/>
      <c r="AV162" s="551"/>
      <c r="AW162" s="551"/>
      <c r="AX162" s="551"/>
      <c r="AY162" s="551"/>
      <c r="AZ162" s="551"/>
      <c r="BA162" s="551"/>
      <c r="BB162" s="554"/>
      <c r="BC162" s="554"/>
      <c r="BD162" s="554"/>
      <c r="BE162" s="552"/>
      <c r="BF162" s="551"/>
      <c r="BG162" s="551"/>
      <c r="BH162" s="551"/>
      <c r="BI162" s="551"/>
      <c r="BJ162" s="551"/>
      <c r="BK162" s="551"/>
      <c r="BL162" s="551"/>
      <c r="BM162" s="551"/>
      <c r="BN162" s="551"/>
      <c r="BO162" s="555"/>
      <c r="BP162" s="551"/>
      <c r="BQ162" s="551"/>
      <c r="BR162" s="551"/>
      <c r="BS162" s="551"/>
      <c r="BT162" s="554"/>
    </row>
    <row r="163" spans="1:72" ht="12" hidden="1" thickBot="1">
      <c r="A163" s="588" t="s">
        <v>1469</v>
      </c>
      <c r="B163" s="522" t="s">
        <v>178</v>
      </c>
      <c r="C163" s="522" t="s">
        <v>1352</v>
      </c>
      <c r="D163" s="542" t="s">
        <v>224</v>
      </c>
      <c r="E163" s="960"/>
      <c r="F163" s="961"/>
      <c r="G163" s="961"/>
      <c r="H163" s="961"/>
      <c r="I163" s="961"/>
      <c r="J163" s="962"/>
      <c r="K163" s="962"/>
      <c r="L163" s="961"/>
      <c r="M163" s="961"/>
      <c r="N163" s="961"/>
      <c r="O163" s="961"/>
      <c r="P163" s="962"/>
      <c r="Q163" s="962"/>
      <c r="R163" s="961"/>
      <c r="S163" s="527">
        <f t="shared" si="24"/>
        <v>0</v>
      </c>
      <c r="T163" s="528">
        <f t="shared" si="25"/>
        <v>0</v>
      </c>
      <c r="U163" s="527">
        <f t="shared" si="26"/>
        <v>0</v>
      </c>
      <c r="W163" s="326">
        <f t="shared" si="27"/>
        <v>0</v>
      </c>
      <c r="X163" s="261">
        <f t="shared" si="28"/>
        <v>0</v>
      </c>
      <c r="Y163" s="58"/>
      <c r="Z163" s="1016">
        <f t="shared" si="21"/>
        <v>0</v>
      </c>
      <c r="AA163" s="58"/>
      <c r="AB163" s="58"/>
      <c r="AC163" s="58"/>
      <c r="AD163" s="58"/>
      <c r="AE163" s="58"/>
      <c r="AF163" s="58"/>
      <c r="AG163" s="58"/>
      <c r="AH163" s="58"/>
      <c r="AI163" s="58"/>
      <c r="AJ163" s="58"/>
      <c r="AK163" s="58"/>
      <c r="AL163" s="58"/>
      <c r="AM163" s="58"/>
      <c r="AN163" s="58"/>
      <c r="AO163" s="58"/>
      <c r="AP163" s="58"/>
      <c r="AQ163" s="58"/>
      <c r="AR163" s="58"/>
      <c r="AS163" s="58"/>
      <c r="AT163" s="58"/>
      <c r="AU163" s="551"/>
      <c r="AV163" s="551"/>
      <c r="AW163" s="551"/>
      <c r="AX163" s="551"/>
      <c r="AY163" s="551"/>
      <c r="AZ163" s="551"/>
      <c r="BA163" s="551"/>
      <c r="BB163" s="554"/>
      <c r="BC163" s="554"/>
      <c r="BD163" s="554"/>
      <c r="BE163" s="551"/>
      <c r="BF163" s="551"/>
      <c r="BG163" s="551"/>
      <c r="BH163" s="551"/>
      <c r="BI163" s="551"/>
      <c r="BJ163" s="551"/>
      <c r="BK163" s="551"/>
      <c r="BL163" s="551"/>
      <c r="BM163" s="551"/>
      <c r="BN163" s="551"/>
      <c r="BO163" s="555"/>
      <c r="BP163" s="551"/>
      <c r="BQ163" s="551"/>
      <c r="BR163" s="551"/>
      <c r="BS163" s="551"/>
      <c r="BT163" s="554"/>
    </row>
    <row r="164" spans="1:72" ht="12" hidden="1" thickBot="1">
      <c r="A164" s="588" t="s">
        <v>1469</v>
      </c>
      <c r="B164" s="522" t="s">
        <v>179</v>
      </c>
      <c r="C164" s="522" t="s">
        <v>64</v>
      </c>
      <c r="D164" s="523" t="s">
        <v>18</v>
      </c>
      <c r="E164" s="960">
        <v>100614272</v>
      </c>
      <c r="F164" s="961">
        <v>649185</v>
      </c>
      <c r="G164" s="961">
        <v>5898009</v>
      </c>
      <c r="H164" s="961">
        <v>2909765</v>
      </c>
      <c r="I164" s="961">
        <v>473893</v>
      </c>
      <c r="J164" s="962"/>
      <c r="K164" s="962"/>
      <c r="L164" s="961">
        <v>114598</v>
      </c>
      <c r="M164" s="961">
        <v>187037</v>
      </c>
      <c r="N164" s="961"/>
      <c r="O164" s="961">
        <v>360568</v>
      </c>
      <c r="P164" s="962"/>
      <c r="Q164" s="961"/>
      <c r="R164" s="961">
        <v>10593054</v>
      </c>
      <c r="S164" s="527">
        <f t="shared" si="24"/>
        <v>9281667</v>
      </c>
      <c r="T164" s="528">
        <f t="shared" si="25"/>
        <v>0</v>
      </c>
      <c r="U164" s="527">
        <f t="shared" si="26"/>
        <v>360568</v>
      </c>
      <c r="W164" s="326">
        <f t="shared" si="27"/>
        <v>10593055</v>
      </c>
      <c r="X164" s="261">
        <f t="shared" si="28"/>
        <v>1</v>
      </c>
      <c r="Y164" s="58"/>
      <c r="Z164" s="1016">
        <f t="shared" si="21"/>
        <v>9930852</v>
      </c>
      <c r="AA164" s="58"/>
      <c r="AB164" s="58"/>
      <c r="AC164" s="58"/>
      <c r="AD164" s="58"/>
      <c r="AE164" s="58"/>
      <c r="AF164" s="58"/>
      <c r="AG164" s="58"/>
      <c r="AH164" s="58"/>
      <c r="AI164" s="58"/>
      <c r="AJ164" s="58"/>
      <c r="AK164" s="58"/>
      <c r="AL164" s="58"/>
      <c r="AM164" s="58"/>
      <c r="AN164" s="58"/>
      <c r="AO164" s="58"/>
      <c r="AP164" s="58"/>
      <c r="AQ164" s="58"/>
      <c r="AR164" s="58"/>
      <c r="AS164" s="58"/>
      <c r="AT164" s="58"/>
      <c r="AU164" s="551"/>
      <c r="AV164" s="551"/>
      <c r="AW164" s="551"/>
      <c r="AX164" s="559">
        <v>5921346.4999999991</v>
      </c>
      <c r="AY164" s="559">
        <v>14761469.859999998</v>
      </c>
      <c r="AZ164" s="559">
        <v>5318987.33</v>
      </c>
      <c r="BA164" s="559">
        <v>20080457.189999998</v>
      </c>
      <c r="BB164" s="559">
        <v>38053121.740000002</v>
      </c>
      <c r="BC164" s="559">
        <v>6288163.1500000013</v>
      </c>
      <c r="BD164" s="559">
        <v>46871288.159999996</v>
      </c>
      <c r="BE164" s="559">
        <v>91212573.050000012</v>
      </c>
      <c r="BF164" s="551"/>
      <c r="BG164" s="559">
        <v>1599664.8000000005</v>
      </c>
      <c r="BH164" s="559">
        <v>-798314.65</v>
      </c>
      <c r="BI164" s="559">
        <v>5588609.0099999988</v>
      </c>
      <c r="BJ164" s="559">
        <v>-1.61</v>
      </c>
      <c r="BK164" s="559">
        <v>0</v>
      </c>
      <c r="BL164" s="559">
        <v>0</v>
      </c>
      <c r="BM164" s="551"/>
      <c r="BN164" s="551"/>
      <c r="BO164" s="555"/>
      <c r="BP164" s="551"/>
      <c r="BQ164" s="551"/>
      <c r="BR164" s="551"/>
      <c r="BS164" s="551"/>
      <c r="BT164" s="559">
        <v>123604334.29000001</v>
      </c>
    </row>
    <row r="165" spans="1:72" ht="12" hidden="1" thickBot="1">
      <c r="A165" s="588" t="s">
        <v>1469</v>
      </c>
      <c r="B165" s="522" t="s">
        <v>180</v>
      </c>
      <c r="C165" s="522" t="s">
        <v>204</v>
      </c>
      <c r="D165" s="536" t="s">
        <v>219</v>
      </c>
      <c r="E165" s="960">
        <v>753729</v>
      </c>
      <c r="F165" s="961">
        <v>7420</v>
      </c>
      <c r="G165" s="961">
        <v>31905</v>
      </c>
      <c r="H165" s="961">
        <v>21798</v>
      </c>
      <c r="I165" s="961">
        <v>2374</v>
      </c>
      <c r="J165" s="962"/>
      <c r="K165" s="962"/>
      <c r="L165" s="961">
        <v>858</v>
      </c>
      <c r="M165" s="961">
        <v>1401</v>
      </c>
      <c r="N165" s="961">
        <v>2701</v>
      </c>
      <c r="O165" s="962"/>
      <c r="P165" s="962"/>
      <c r="Q165" s="962"/>
      <c r="R165" s="961">
        <v>68458</v>
      </c>
      <c r="S165" s="527">
        <f t="shared" si="24"/>
        <v>56077</v>
      </c>
      <c r="T165" s="528">
        <f t="shared" si="25"/>
        <v>0</v>
      </c>
      <c r="U165" s="527">
        <f t="shared" si="26"/>
        <v>2701</v>
      </c>
      <c r="W165" s="326">
        <f t="shared" si="27"/>
        <v>68457</v>
      </c>
      <c r="X165" s="261">
        <f t="shared" si="28"/>
        <v>-1</v>
      </c>
      <c r="Y165" s="58"/>
      <c r="Z165" s="1016">
        <f t="shared" si="21"/>
        <v>63497</v>
      </c>
      <c r="AA165" s="58"/>
      <c r="AB165" s="58"/>
      <c r="AC165" s="58"/>
      <c r="AD165" s="58"/>
      <c r="AE165" s="58"/>
      <c r="AF165" s="58"/>
      <c r="AG165" s="58"/>
      <c r="AH165" s="58"/>
      <c r="AI165" s="58"/>
      <c r="AJ165" s="58"/>
      <c r="AK165" s="58"/>
      <c r="AL165" s="58"/>
      <c r="AM165" s="58"/>
      <c r="AN165" s="58"/>
      <c r="AO165" s="58"/>
      <c r="AP165" s="58"/>
      <c r="AQ165" s="58"/>
      <c r="AR165" s="58"/>
      <c r="AS165" s="58"/>
      <c r="AT165" s="58"/>
      <c r="AU165" s="551"/>
      <c r="AV165" s="551"/>
      <c r="AW165" s="551"/>
      <c r="AX165" s="556">
        <v>5921347</v>
      </c>
      <c r="AY165" s="556">
        <v>14761470</v>
      </c>
      <c r="AZ165" s="556">
        <v>5318987</v>
      </c>
      <c r="BA165" s="552">
        <v>20080457</v>
      </c>
      <c r="BB165" s="556">
        <v>38053122</v>
      </c>
      <c r="BC165" s="556">
        <v>6288163</v>
      </c>
      <c r="BD165" s="556">
        <v>46871288</v>
      </c>
      <c r="BE165" s="552">
        <v>91212573</v>
      </c>
      <c r="BF165" s="551"/>
      <c r="BG165" s="556">
        <v>1599665</v>
      </c>
      <c r="BH165" s="556">
        <v>-798315</v>
      </c>
      <c r="BI165" s="556">
        <v>5588609</v>
      </c>
      <c r="BJ165" s="556">
        <v>-2</v>
      </c>
      <c r="BK165" s="556">
        <v>0</v>
      </c>
      <c r="BL165" s="556">
        <v>0</v>
      </c>
      <c r="BM165" s="551"/>
      <c r="BN165" s="551"/>
      <c r="BO165" s="555"/>
      <c r="BP165" s="551"/>
      <c r="BQ165" s="551"/>
      <c r="BR165" s="551"/>
      <c r="BS165" s="551"/>
      <c r="BT165" s="556">
        <v>123604335</v>
      </c>
    </row>
    <row r="166" spans="1:72" ht="12" hidden="1" thickBot="1">
      <c r="A166" s="588" t="s">
        <v>1469</v>
      </c>
      <c r="B166" s="522" t="s">
        <v>181</v>
      </c>
      <c r="C166" s="522" t="s">
        <v>205</v>
      </c>
      <c r="D166" s="536" t="s">
        <v>219</v>
      </c>
      <c r="E166" s="960"/>
      <c r="F166" s="961"/>
      <c r="G166" s="961"/>
      <c r="H166" s="961"/>
      <c r="I166" s="961"/>
      <c r="J166" s="962"/>
      <c r="K166" s="962"/>
      <c r="L166" s="961"/>
      <c r="M166" s="961"/>
      <c r="N166" s="961"/>
      <c r="O166" s="962"/>
      <c r="P166" s="962"/>
      <c r="Q166" s="962"/>
      <c r="R166" s="961"/>
      <c r="S166" s="527">
        <f t="shared" si="24"/>
        <v>0</v>
      </c>
      <c r="T166" s="528">
        <f t="shared" si="25"/>
        <v>0</v>
      </c>
      <c r="U166" s="527">
        <f t="shared" si="26"/>
        <v>0</v>
      </c>
      <c r="W166" s="326">
        <f t="shared" si="27"/>
        <v>0</v>
      </c>
      <c r="X166" s="261">
        <f t="shared" si="28"/>
        <v>0</v>
      </c>
      <c r="Y166" s="58"/>
      <c r="Z166" s="1016">
        <f t="shared" si="21"/>
        <v>0</v>
      </c>
      <c r="AA166" s="58"/>
      <c r="AB166" s="58"/>
      <c r="AC166" s="58"/>
      <c r="AD166" s="58"/>
      <c r="AE166" s="58"/>
      <c r="AF166" s="58"/>
      <c r="AG166" s="58"/>
      <c r="AH166" s="58"/>
      <c r="AI166" s="58"/>
      <c r="AJ166" s="58"/>
      <c r="AK166" s="58"/>
      <c r="AL166" s="58"/>
      <c r="AM166" s="58"/>
      <c r="AN166" s="58"/>
      <c r="AO166" s="58"/>
      <c r="AP166" s="58"/>
      <c r="AQ166" s="58"/>
      <c r="AR166" s="58"/>
      <c r="AS166" s="58"/>
      <c r="AT166" s="58"/>
      <c r="AU166" s="551"/>
      <c r="AV166" s="551"/>
      <c r="AW166" s="551"/>
      <c r="AX166" s="560">
        <v>-0.50000000093132257</v>
      </c>
      <c r="AY166" s="560">
        <v>-0.1400000024586916</v>
      </c>
      <c r="AZ166" s="560">
        <v>0.33000000007450581</v>
      </c>
      <c r="BA166" s="560">
        <v>0.18999999761581421</v>
      </c>
      <c r="BB166" s="561">
        <v>-0.25999999791383743</v>
      </c>
      <c r="BC166" s="560">
        <v>0.1500000013038516</v>
      </c>
      <c r="BD166" s="560">
        <v>0.15999999642372131</v>
      </c>
      <c r="BE166" s="560">
        <v>5.0000011920928955E-2</v>
      </c>
      <c r="BF166" s="551"/>
      <c r="BG166" s="560">
        <v>-0.19999999948777258</v>
      </c>
      <c r="BH166" s="560">
        <v>0.34999999997671694</v>
      </c>
      <c r="BI166" s="560">
        <v>9.9999988451600075E-3</v>
      </c>
      <c r="BJ166" s="560">
        <v>0.3899999999999999</v>
      </c>
      <c r="BK166" s="560">
        <v>0</v>
      </c>
      <c r="BL166" s="560">
        <v>0</v>
      </c>
      <c r="BM166" s="551"/>
      <c r="BN166" s="551"/>
      <c r="BO166" s="555"/>
      <c r="BP166" s="551"/>
      <c r="BQ166" s="551"/>
      <c r="BR166" s="551"/>
      <c r="BS166" s="551"/>
      <c r="BT166" s="560">
        <v>-0.70999999344348907</v>
      </c>
    </row>
    <row r="167" spans="1:72" ht="12" hidden="1" thickBot="1">
      <c r="A167" s="588" t="s">
        <v>1469</v>
      </c>
      <c r="B167" s="522" t="s">
        <v>182</v>
      </c>
      <c r="C167" s="522" t="s">
        <v>206</v>
      </c>
      <c r="D167" s="533" t="s">
        <v>228</v>
      </c>
      <c r="E167" s="960"/>
      <c r="F167" s="961"/>
      <c r="G167" s="961"/>
      <c r="H167" s="961"/>
      <c r="I167" s="961"/>
      <c r="J167" s="962"/>
      <c r="K167" s="962"/>
      <c r="L167" s="961"/>
      <c r="M167" s="961"/>
      <c r="N167" s="961"/>
      <c r="O167" s="962"/>
      <c r="P167" s="962"/>
      <c r="Q167" s="962"/>
      <c r="R167" s="961"/>
      <c r="S167" s="527">
        <f t="shared" si="24"/>
        <v>0</v>
      </c>
      <c r="T167" s="528">
        <f t="shared" si="25"/>
        <v>0</v>
      </c>
      <c r="U167" s="527">
        <f t="shared" si="26"/>
        <v>0</v>
      </c>
      <c r="W167" s="326">
        <f t="shared" si="27"/>
        <v>0</v>
      </c>
      <c r="X167" s="261">
        <f t="shared" si="28"/>
        <v>0</v>
      </c>
      <c r="Y167" s="58"/>
      <c r="Z167" s="1016">
        <f t="shared" si="21"/>
        <v>0</v>
      </c>
      <c r="AA167" s="58"/>
      <c r="AB167" s="58"/>
      <c r="AC167" s="58"/>
      <c r="AD167" s="58"/>
      <c r="AE167" s="58"/>
      <c r="AF167" s="58"/>
      <c r="AG167" s="58"/>
      <c r="AH167" s="58"/>
      <c r="AI167" s="58"/>
      <c r="AJ167" s="58"/>
      <c r="AK167" s="58"/>
      <c r="AL167" s="58"/>
      <c r="AM167" s="58"/>
      <c r="AN167" s="58"/>
      <c r="AO167" s="58"/>
      <c r="AP167" s="58"/>
      <c r="AQ167" s="58"/>
      <c r="AR167" s="58"/>
      <c r="AS167" s="58"/>
      <c r="AT167" s="58"/>
      <c r="AU167" s="562"/>
      <c r="AV167" s="562"/>
      <c r="AW167" s="562"/>
      <c r="AX167" s="563"/>
      <c r="AY167" s="563"/>
      <c r="AZ167" s="563"/>
      <c r="BA167" s="562"/>
      <c r="BB167" s="562"/>
      <c r="BC167" s="562"/>
      <c r="BD167" s="562"/>
      <c r="BE167" s="562"/>
      <c r="BF167" s="562"/>
      <c r="BG167" s="562"/>
      <c r="BH167" s="562"/>
      <c r="BI167" s="562"/>
      <c r="BJ167" s="562"/>
      <c r="BK167" s="562"/>
      <c r="BL167" s="562"/>
      <c r="BM167" s="562"/>
      <c r="BN167" s="562"/>
      <c r="BO167" s="563"/>
      <c r="BP167" s="562"/>
      <c r="BQ167" s="562"/>
      <c r="BR167" s="562"/>
      <c r="BS167" s="562"/>
      <c r="BT167" s="562"/>
    </row>
    <row r="168" spans="1:72" ht="12" hidden="1" thickBot="1">
      <c r="A168" s="588" t="s">
        <v>1469</v>
      </c>
      <c r="B168" s="522" t="s">
        <v>183</v>
      </c>
      <c r="C168" s="522" t="s">
        <v>207</v>
      </c>
      <c r="D168" s="535" t="s">
        <v>228</v>
      </c>
      <c r="E168" s="960">
        <v>13970009</v>
      </c>
      <c r="F168" s="961">
        <v>9030</v>
      </c>
      <c r="G168" s="961">
        <v>591350</v>
      </c>
      <c r="H168" s="961">
        <v>404013</v>
      </c>
      <c r="I168" s="961">
        <v>44006</v>
      </c>
      <c r="J168" s="962"/>
      <c r="K168" s="962"/>
      <c r="L168" s="961">
        <v>15912</v>
      </c>
      <c r="M168" s="961">
        <v>25970</v>
      </c>
      <c r="N168" s="961">
        <v>50064</v>
      </c>
      <c r="O168" s="962"/>
      <c r="P168" s="962"/>
      <c r="Q168" s="962"/>
      <c r="R168" s="961">
        <v>1140344</v>
      </c>
      <c r="S168" s="527">
        <f t="shared" si="24"/>
        <v>1039369</v>
      </c>
      <c r="T168" s="528">
        <f t="shared" si="25"/>
        <v>0</v>
      </c>
      <c r="U168" s="527">
        <f t="shared" si="26"/>
        <v>50064</v>
      </c>
      <c r="W168" s="326">
        <f t="shared" si="27"/>
        <v>1140345</v>
      </c>
      <c r="X168" s="261">
        <f t="shared" si="28"/>
        <v>1</v>
      </c>
      <c r="Y168" s="58"/>
      <c r="Z168" s="1016">
        <f t="shared" si="21"/>
        <v>1048399</v>
      </c>
      <c r="AA168" s="58"/>
      <c r="AB168" s="58"/>
      <c r="AC168" s="58"/>
      <c r="AD168" s="58"/>
      <c r="AE168" s="58"/>
      <c r="AF168" s="58"/>
      <c r="AG168" s="58"/>
      <c r="AH168" s="58"/>
      <c r="AI168" s="58"/>
      <c r="AJ168" s="58"/>
      <c r="AK168" s="58"/>
      <c r="AL168" s="58"/>
      <c r="AM168" s="58"/>
      <c r="AN168" s="58"/>
      <c r="AO168" s="58"/>
      <c r="AP168" s="58"/>
      <c r="AQ168" s="58"/>
      <c r="AR168" s="58"/>
      <c r="AS168" s="58"/>
      <c r="AT168" s="58"/>
      <c r="AU168" s="564"/>
      <c r="AV168" s="564"/>
      <c r="AW168" s="564"/>
      <c r="AX168" s="564"/>
      <c r="AY168" s="564"/>
      <c r="AZ168" s="564"/>
      <c r="BA168" s="564"/>
      <c r="BB168" s="564"/>
      <c r="BC168" s="564"/>
      <c r="BD168" s="564"/>
      <c r="BE168" s="564"/>
      <c r="BF168" s="564"/>
      <c r="BG168" s="564"/>
      <c r="BH168" s="564"/>
      <c r="BI168" s="564"/>
      <c r="BJ168" s="564"/>
      <c r="BK168" s="564"/>
      <c r="BL168" s="564"/>
      <c r="BM168" s="564"/>
      <c r="BN168" s="564"/>
      <c r="BO168" s="564"/>
      <c r="BP168" s="564"/>
      <c r="BQ168" s="564"/>
      <c r="BR168" s="564"/>
      <c r="BS168" s="564"/>
      <c r="BT168" s="564"/>
    </row>
    <row r="169" spans="1:72" ht="12" hidden="1" thickBot="1">
      <c r="A169" s="588" t="s">
        <v>1469</v>
      </c>
      <c r="B169" s="522" t="s">
        <v>720</v>
      </c>
      <c r="C169" s="522" t="s">
        <v>723</v>
      </c>
      <c r="D169" s="535" t="s">
        <v>228</v>
      </c>
      <c r="E169" s="960"/>
      <c r="F169" s="961"/>
      <c r="G169" s="961"/>
      <c r="H169" s="961"/>
      <c r="I169" s="961"/>
      <c r="J169" s="962"/>
      <c r="K169" s="962"/>
      <c r="L169" s="961"/>
      <c r="M169" s="961"/>
      <c r="N169" s="961"/>
      <c r="O169" s="962"/>
      <c r="P169" s="962"/>
      <c r="Q169" s="962"/>
      <c r="R169" s="961"/>
      <c r="S169" s="527">
        <f t="shared" si="24"/>
        <v>0</v>
      </c>
      <c r="T169" s="528">
        <f t="shared" si="25"/>
        <v>0</v>
      </c>
      <c r="U169" s="527">
        <f t="shared" si="26"/>
        <v>0</v>
      </c>
      <c r="W169" s="326">
        <f t="shared" si="27"/>
        <v>0</v>
      </c>
      <c r="X169" s="261">
        <f t="shared" si="28"/>
        <v>0</v>
      </c>
      <c r="Y169" s="58"/>
      <c r="Z169" s="1016">
        <f t="shared" si="21"/>
        <v>0</v>
      </c>
      <c r="AA169" s="58"/>
      <c r="AB169" s="58"/>
      <c r="AC169" s="58"/>
      <c r="AD169" s="58"/>
      <c r="AE169" s="58"/>
      <c r="AF169" s="58"/>
      <c r="AG169" s="58"/>
      <c r="AH169" s="58"/>
      <c r="AI169" s="58"/>
      <c r="AJ169" s="58"/>
      <c r="AK169" s="58"/>
      <c r="AL169" s="58"/>
      <c r="AM169" s="58"/>
      <c r="AN169" s="58"/>
      <c r="AO169" s="58"/>
      <c r="AP169" s="58"/>
      <c r="AQ169" s="58"/>
      <c r="AR169" s="58"/>
      <c r="AS169" s="58"/>
      <c r="AT169" s="58"/>
    </row>
    <row r="170" spans="1:72" ht="12" hidden="1" thickBot="1">
      <c r="A170" s="588" t="s">
        <v>1469</v>
      </c>
      <c r="B170" s="522" t="s">
        <v>721</v>
      </c>
      <c r="C170" s="522" t="s">
        <v>724</v>
      </c>
      <c r="D170" s="535" t="s">
        <v>219</v>
      </c>
      <c r="E170" s="960"/>
      <c r="F170" s="961"/>
      <c r="G170" s="961"/>
      <c r="H170" s="961"/>
      <c r="I170" s="961"/>
      <c r="J170" s="962"/>
      <c r="K170" s="962"/>
      <c r="L170" s="961"/>
      <c r="M170" s="961"/>
      <c r="N170" s="961"/>
      <c r="O170" s="962"/>
      <c r="P170" s="962"/>
      <c r="Q170" s="962"/>
      <c r="R170" s="961"/>
      <c r="S170" s="527">
        <f t="shared" si="24"/>
        <v>0</v>
      </c>
      <c r="T170" s="528">
        <f t="shared" si="25"/>
        <v>0</v>
      </c>
      <c r="U170" s="527">
        <f t="shared" si="26"/>
        <v>0</v>
      </c>
      <c r="W170" s="326">
        <f t="shared" si="27"/>
        <v>0</v>
      </c>
      <c r="X170" s="261">
        <f t="shared" si="28"/>
        <v>0</v>
      </c>
      <c r="Y170" s="58"/>
      <c r="Z170" s="1016">
        <f t="shared" si="21"/>
        <v>0</v>
      </c>
      <c r="AA170" s="58"/>
      <c r="AB170" s="58"/>
      <c r="AC170" s="58"/>
      <c r="AD170" s="58"/>
      <c r="AE170" s="58"/>
      <c r="AF170" s="58"/>
      <c r="AG170" s="58"/>
      <c r="AH170" s="58"/>
      <c r="AI170" s="58"/>
      <c r="AJ170" s="58"/>
      <c r="AK170" s="58"/>
      <c r="AL170" s="58"/>
      <c r="AM170" s="58"/>
      <c r="AN170" s="58"/>
      <c r="AO170" s="58"/>
      <c r="AP170" s="58"/>
      <c r="AQ170" s="58"/>
      <c r="AR170" s="58"/>
      <c r="AS170" s="58"/>
      <c r="AT170" s="58"/>
    </row>
    <row r="171" spans="1:72" ht="12" hidden="1" thickBot="1">
      <c r="A171" s="588" t="s">
        <v>1469</v>
      </c>
      <c r="B171" s="522" t="s">
        <v>722</v>
      </c>
      <c r="C171" s="522" t="s">
        <v>725</v>
      </c>
      <c r="D171" s="523" t="s">
        <v>228</v>
      </c>
      <c r="E171" s="960"/>
      <c r="F171" s="961"/>
      <c r="G171" s="961"/>
      <c r="H171" s="961"/>
      <c r="I171" s="961"/>
      <c r="J171" s="962"/>
      <c r="K171" s="962"/>
      <c r="L171" s="961"/>
      <c r="M171" s="961"/>
      <c r="N171" s="961"/>
      <c r="O171" s="962"/>
      <c r="P171" s="962"/>
      <c r="Q171" s="962"/>
      <c r="R171" s="961"/>
      <c r="S171" s="527">
        <f t="shared" si="24"/>
        <v>0</v>
      </c>
      <c r="T171" s="528">
        <f t="shared" si="25"/>
        <v>0</v>
      </c>
      <c r="U171" s="527">
        <f t="shared" si="26"/>
        <v>0</v>
      </c>
      <c r="W171" s="326">
        <f t="shared" si="27"/>
        <v>0</v>
      </c>
      <c r="X171" s="261">
        <f t="shared" si="28"/>
        <v>0</v>
      </c>
      <c r="Y171" s="58"/>
      <c r="Z171" s="1016">
        <f t="shared" si="21"/>
        <v>0</v>
      </c>
      <c r="AA171" s="58"/>
      <c r="AB171" s="58"/>
      <c r="AC171" s="58"/>
      <c r="AD171" s="58"/>
      <c r="AE171" s="58"/>
      <c r="AF171" s="58"/>
      <c r="AG171" s="58"/>
      <c r="AH171" s="58"/>
      <c r="AI171" s="58"/>
      <c r="AJ171" s="58"/>
      <c r="AK171" s="58"/>
      <c r="AL171" s="58"/>
      <c r="AM171" s="58"/>
      <c r="AN171" s="58"/>
      <c r="AO171" s="58"/>
      <c r="AP171" s="58"/>
      <c r="AQ171" s="58"/>
      <c r="AR171" s="58"/>
      <c r="AS171" s="58"/>
      <c r="AT171" s="58"/>
    </row>
    <row r="172" spans="1:72" ht="12" thickBot="1">
      <c r="A172" s="588" t="s">
        <v>1469</v>
      </c>
      <c r="B172" s="522" t="s">
        <v>233</v>
      </c>
      <c r="C172" s="522" t="s">
        <v>651</v>
      </c>
      <c r="D172" s="542" t="s">
        <v>20</v>
      </c>
      <c r="E172" s="960">
        <v>12268</v>
      </c>
      <c r="F172" s="962"/>
      <c r="G172" s="961">
        <f>ROUND(E172*0.0638,0)</f>
        <v>783</v>
      </c>
      <c r="H172" s="961"/>
      <c r="I172" s="961"/>
      <c r="J172" s="962"/>
      <c r="K172" s="962"/>
      <c r="L172" s="962"/>
      <c r="M172" s="961">
        <f>ROUND(E172*0.00186,0)</f>
        <v>23</v>
      </c>
      <c r="N172" s="961">
        <f>ROUND(E172*0.00358,0)</f>
        <v>44</v>
      </c>
      <c r="O172" s="962"/>
      <c r="P172" s="962"/>
      <c r="Q172" s="962"/>
      <c r="R172" s="961">
        <f>SUM(F172:Q172)</f>
        <v>850</v>
      </c>
      <c r="S172" s="527">
        <f>E172*0.0638</f>
        <v>782.69839999999999</v>
      </c>
      <c r="T172" s="528">
        <f t="shared" si="25"/>
        <v>0</v>
      </c>
      <c r="U172" s="527">
        <f t="shared" si="26"/>
        <v>44</v>
      </c>
      <c r="W172" s="326">
        <f t="shared" si="27"/>
        <v>850</v>
      </c>
      <c r="X172" s="261">
        <f t="shared" si="28"/>
        <v>0</v>
      </c>
      <c r="Y172" s="58"/>
      <c r="Z172" s="1016">
        <f t="shared" si="21"/>
        <v>783</v>
      </c>
      <c r="AA172" s="58"/>
      <c r="AB172" s="58"/>
      <c r="AC172" s="58"/>
      <c r="AD172" s="58"/>
      <c r="AE172" s="58"/>
      <c r="AF172" s="58"/>
      <c r="AG172" s="58"/>
      <c r="AH172" s="58"/>
      <c r="AI172" s="58"/>
      <c r="AJ172" s="58"/>
      <c r="AK172" s="58"/>
      <c r="AL172" s="58"/>
      <c r="AM172" s="58"/>
      <c r="AN172" s="58"/>
      <c r="AO172" s="58"/>
      <c r="AP172" s="58"/>
      <c r="AQ172" s="58"/>
      <c r="AR172" s="58"/>
      <c r="AS172" s="58"/>
      <c r="AT172" s="58"/>
    </row>
    <row r="173" spans="1:72" ht="12" hidden="1" thickBot="1">
      <c r="A173" s="588" t="s">
        <v>1469</v>
      </c>
      <c r="B173" s="522" t="s">
        <v>232</v>
      </c>
      <c r="C173" s="522" t="s">
        <v>651</v>
      </c>
      <c r="D173" s="542" t="s">
        <v>20</v>
      </c>
      <c r="E173" s="960"/>
      <c r="F173" s="962"/>
      <c r="G173" s="961"/>
      <c r="H173" s="961"/>
      <c r="I173" s="961"/>
      <c r="J173" s="962"/>
      <c r="K173" s="962"/>
      <c r="L173" s="962"/>
      <c r="M173" s="961"/>
      <c r="N173" s="961"/>
      <c r="O173" s="962"/>
      <c r="P173" s="962"/>
      <c r="Q173" s="962"/>
      <c r="R173" s="961"/>
      <c r="S173" s="527">
        <f t="shared" si="24"/>
        <v>0</v>
      </c>
      <c r="T173" s="528">
        <f t="shared" si="25"/>
        <v>0</v>
      </c>
      <c r="U173" s="527">
        <f t="shared" si="26"/>
        <v>0</v>
      </c>
      <c r="W173" s="326">
        <f t="shared" si="27"/>
        <v>0</v>
      </c>
      <c r="X173" s="261">
        <f t="shared" si="28"/>
        <v>0</v>
      </c>
      <c r="Y173" s="58"/>
      <c r="Z173" s="1016">
        <f t="shared" si="21"/>
        <v>0</v>
      </c>
      <c r="AA173" s="58"/>
      <c r="AB173" s="58"/>
      <c r="AC173" s="58"/>
      <c r="AD173" s="58"/>
      <c r="AE173" s="58"/>
      <c r="AF173" s="58"/>
      <c r="AG173" s="58"/>
      <c r="AH173" s="58"/>
      <c r="AI173" s="58"/>
      <c r="AJ173" s="58"/>
      <c r="AK173" s="58"/>
      <c r="AL173" s="58"/>
      <c r="AM173" s="58"/>
      <c r="AN173" s="58"/>
      <c r="AO173" s="58"/>
      <c r="AP173" s="58"/>
      <c r="AQ173" s="58"/>
      <c r="AR173" s="58"/>
      <c r="AS173" s="58"/>
      <c r="AT173" s="58"/>
    </row>
    <row r="174" spans="1:72" ht="12" thickBot="1">
      <c r="A174" s="588" t="s">
        <v>1469</v>
      </c>
      <c r="B174" s="522" t="s">
        <v>184</v>
      </c>
      <c r="C174" s="522" t="s">
        <v>59</v>
      </c>
      <c r="D174" s="542" t="s">
        <v>21</v>
      </c>
      <c r="E174" s="960">
        <v>109851</v>
      </c>
      <c r="F174" s="961">
        <f>'1022'!D71*3.25</f>
        <v>2427.75</v>
      </c>
      <c r="G174" s="961">
        <f>ROUND(E174*0.07978,0)</f>
        <v>8764</v>
      </c>
      <c r="H174" s="961"/>
      <c r="I174" s="961"/>
      <c r="J174" s="962"/>
      <c r="K174" s="962"/>
      <c r="L174" s="962"/>
      <c r="M174" s="961">
        <f>ROUND(E174*0.00186,0)</f>
        <v>204</v>
      </c>
      <c r="N174" s="961">
        <f>ROUND(E174*0.00358,0)</f>
        <v>393</v>
      </c>
      <c r="O174" s="962"/>
      <c r="P174" s="962"/>
      <c r="Q174" s="962"/>
      <c r="R174" s="961">
        <f>SUM(F174:Q174)</f>
        <v>11788.75</v>
      </c>
      <c r="S174" s="527">
        <f t="shared" si="24"/>
        <v>8764</v>
      </c>
      <c r="T174" s="528">
        <f t="shared" si="25"/>
        <v>0</v>
      </c>
      <c r="U174" s="527">
        <f t="shared" si="26"/>
        <v>393</v>
      </c>
      <c r="W174" s="326">
        <f t="shared" si="27"/>
        <v>11788.75</v>
      </c>
      <c r="X174" s="261">
        <f t="shared" si="28"/>
        <v>0</v>
      </c>
      <c r="Y174" s="58"/>
      <c r="Z174" s="1016">
        <f t="shared" si="21"/>
        <v>11191.75</v>
      </c>
      <c r="AA174" s="58"/>
      <c r="AB174" s="58"/>
      <c r="AC174" s="58"/>
      <c r="AD174" s="58"/>
      <c r="AE174" s="58"/>
      <c r="AF174" s="58"/>
      <c r="AG174" s="58"/>
      <c r="AH174" s="58"/>
      <c r="AI174" s="58"/>
      <c r="AJ174" s="58"/>
      <c r="AK174" s="58"/>
      <c r="AL174" s="58"/>
      <c r="AM174" s="58"/>
      <c r="AN174" s="58"/>
      <c r="AO174" s="58"/>
      <c r="AP174" s="58"/>
      <c r="AQ174" s="58"/>
      <c r="AR174" s="58"/>
      <c r="AS174" s="58"/>
      <c r="AT174" s="58"/>
    </row>
    <row r="175" spans="1:72" ht="12" hidden="1" thickBot="1">
      <c r="A175" s="588" t="s">
        <v>1469</v>
      </c>
      <c r="B175" s="522" t="s">
        <v>652</v>
      </c>
      <c r="C175" s="522" t="s">
        <v>676</v>
      </c>
      <c r="D175" s="542" t="s">
        <v>21</v>
      </c>
      <c r="E175" s="960"/>
      <c r="F175" s="961"/>
      <c r="G175" s="961"/>
      <c r="H175" s="961"/>
      <c r="I175" s="961"/>
      <c r="J175" s="962"/>
      <c r="K175" s="962"/>
      <c r="L175" s="962"/>
      <c r="M175" s="961"/>
      <c r="N175" s="961"/>
      <c r="O175" s="962"/>
      <c r="P175" s="962"/>
      <c r="Q175" s="962"/>
      <c r="R175" s="961"/>
      <c r="S175" s="527">
        <f t="shared" si="24"/>
        <v>0</v>
      </c>
      <c r="T175" s="528">
        <f t="shared" si="25"/>
        <v>0</v>
      </c>
      <c r="U175" s="527">
        <f t="shared" si="26"/>
        <v>0</v>
      </c>
      <c r="W175" s="326">
        <f t="shared" si="27"/>
        <v>0</v>
      </c>
      <c r="X175" s="261">
        <f t="shared" si="28"/>
        <v>0</v>
      </c>
      <c r="Y175" s="58"/>
      <c r="Z175" s="1016">
        <f t="shared" si="21"/>
        <v>0</v>
      </c>
      <c r="AA175" s="58"/>
      <c r="AB175" s="58"/>
      <c r="AC175" s="58"/>
      <c r="AD175" s="58"/>
      <c r="AE175" s="58"/>
      <c r="AF175" s="58"/>
      <c r="AG175" s="58"/>
      <c r="AH175" s="58"/>
      <c r="AI175" s="58"/>
      <c r="AJ175" s="58"/>
      <c r="AK175" s="58"/>
      <c r="AL175" s="58"/>
      <c r="AM175" s="58"/>
      <c r="AN175" s="58"/>
      <c r="AO175" s="58"/>
      <c r="AP175" s="58"/>
      <c r="AQ175" s="58"/>
      <c r="AR175" s="58"/>
      <c r="AS175" s="58"/>
      <c r="AT175" s="58"/>
    </row>
    <row r="176" spans="1:72" ht="12" hidden="1" thickBot="1">
      <c r="A176" s="588" t="s">
        <v>1469</v>
      </c>
      <c r="B176" s="522" t="s">
        <v>728</v>
      </c>
      <c r="C176" s="522" t="s">
        <v>726</v>
      </c>
      <c r="D176" s="523" t="s">
        <v>727</v>
      </c>
      <c r="E176" s="962"/>
      <c r="F176" s="962"/>
      <c r="G176" s="962"/>
      <c r="H176" s="962"/>
      <c r="I176" s="962"/>
      <c r="J176" s="962"/>
      <c r="K176" s="962"/>
      <c r="L176" s="962"/>
      <c r="M176" s="962"/>
      <c r="N176" s="962"/>
      <c r="O176" s="962"/>
      <c r="P176" s="962"/>
      <c r="Q176" s="962"/>
      <c r="R176" s="961"/>
      <c r="S176" s="527">
        <f t="shared" si="24"/>
        <v>0</v>
      </c>
      <c r="T176" s="528">
        <f t="shared" si="25"/>
        <v>0</v>
      </c>
      <c r="U176" s="527">
        <f t="shared" si="26"/>
        <v>0</v>
      </c>
      <c r="W176" s="326">
        <f t="shared" si="27"/>
        <v>0</v>
      </c>
      <c r="X176" s="261">
        <f t="shared" si="28"/>
        <v>0</v>
      </c>
      <c r="Y176" s="58"/>
      <c r="Z176" s="1016">
        <f t="shared" si="21"/>
        <v>0</v>
      </c>
      <c r="AA176" s="58"/>
      <c r="AB176" s="58"/>
      <c r="AC176" s="58"/>
      <c r="AD176" s="58"/>
      <c r="AE176" s="58"/>
      <c r="AF176" s="58"/>
      <c r="AG176" s="58"/>
      <c r="AH176" s="58"/>
      <c r="AI176" s="58"/>
      <c r="AJ176" s="58"/>
      <c r="AK176" s="58"/>
      <c r="AL176" s="58"/>
      <c r="AM176" s="58"/>
      <c r="AN176" s="58"/>
      <c r="AO176" s="58"/>
      <c r="AP176" s="58"/>
      <c r="AQ176" s="58"/>
      <c r="AR176" s="58"/>
      <c r="AS176" s="58"/>
      <c r="AT176" s="58"/>
    </row>
    <row r="177" spans="1:46" ht="12" hidden="1" thickBot="1">
      <c r="A177" s="588" t="s">
        <v>1469</v>
      </c>
      <c r="B177" s="522" t="s">
        <v>1043</v>
      </c>
      <c r="C177" s="522" t="s">
        <v>1044</v>
      </c>
      <c r="D177" s="523" t="s">
        <v>1052</v>
      </c>
      <c r="E177" s="962"/>
      <c r="F177" s="962"/>
      <c r="G177" s="962"/>
      <c r="H177" s="962"/>
      <c r="I177" s="962"/>
      <c r="J177" s="962"/>
      <c r="K177" s="962"/>
      <c r="L177" s="962"/>
      <c r="M177" s="962"/>
      <c r="N177" s="962"/>
      <c r="O177" s="962"/>
      <c r="P177" s="962"/>
      <c r="Q177" s="962"/>
      <c r="R177" s="961"/>
      <c r="S177" s="527">
        <f t="shared" si="24"/>
        <v>0</v>
      </c>
      <c r="T177" s="528">
        <f t="shared" si="25"/>
        <v>0</v>
      </c>
      <c r="U177" s="527">
        <f t="shared" si="26"/>
        <v>0</v>
      </c>
      <c r="W177" s="326">
        <f t="shared" si="27"/>
        <v>0</v>
      </c>
      <c r="X177" s="261">
        <f t="shared" si="28"/>
        <v>0</v>
      </c>
      <c r="Y177" s="58"/>
      <c r="Z177" s="1016">
        <f t="shared" si="21"/>
        <v>0</v>
      </c>
      <c r="AA177" s="58"/>
      <c r="AB177" s="58"/>
      <c r="AC177" s="58"/>
      <c r="AD177" s="58"/>
      <c r="AE177" s="58"/>
      <c r="AF177" s="58"/>
      <c r="AG177" s="58"/>
      <c r="AH177" s="58"/>
      <c r="AI177" s="58"/>
      <c r="AJ177" s="58"/>
      <c r="AK177" s="58"/>
      <c r="AL177" s="58"/>
      <c r="AM177" s="58"/>
      <c r="AN177" s="58"/>
      <c r="AO177" s="58"/>
      <c r="AP177" s="58"/>
      <c r="AQ177" s="58"/>
      <c r="AR177" s="58"/>
      <c r="AS177" s="58"/>
      <c r="AT177" s="58"/>
    </row>
    <row r="178" spans="1:46" ht="12" hidden="1" thickBot="1">
      <c r="A178" s="588" t="s">
        <v>1469</v>
      </c>
      <c r="B178" s="522" t="s">
        <v>185</v>
      </c>
      <c r="C178" s="522" t="s">
        <v>1353</v>
      </c>
      <c r="D178" s="523" t="s">
        <v>224</v>
      </c>
      <c r="E178" s="960"/>
      <c r="F178" s="961"/>
      <c r="G178" s="961"/>
      <c r="H178" s="961"/>
      <c r="I178" s="961"/>
      <c r="J178" s="962"/>
      <c r="K178" s="962"/>
      <c r="L178" s="961"/>
      <c r="M178" s="961"/>
      <c r="N178" s="961"/>
      <c r="O178" s="961"/>
      <c r="P178" s="962"/>
      <c r="Q178" s="962"/>
      <c r="R178" s="961"/>
      <c r="S178" s="527">
        <f t="shared" si="24"/>
        <v>0</v>
      </c>
      <c r="T178" s="528">
        <f t="shared" si="25"/>
        <v>0</v>
      </c>
      <c r="U178" s="527">
        <f t="shared" si="26"/>
        <v>0</v>
      </c>
      <c r="W178" s="326">
        <f t="shared" si="27"/>
        <v>0</v>
      </c>
      <c r="X178" s="261">
        <f t="shared" si="28"/>
        <v>0</v>
      </c>
      <c r="Y178" s="58"/>
      <c r="Z178" s="1016">
        <f t="shared" si="21"/>
        <v>0</v>
      </c>
      <c r="AA178" s="58"/>
      <c r="AB178" s="58"/>
      <c r="AC178" s="58"/>
      <c r="AD178" s="58"/>
      <c r="AE178" s="58"/>
      <c r="AF178" s="58"/>
      <c r="AG178" s="58"/>
      <c r="AH178" s="58"/>
      <c r="AI178" s="58"/>
      <c r="AJ178" s="58"/>
      <c r="AK178" s="58"/>
      <c r="AL178" s="58"/>
      <c r="AM178" s="58"/>
      <c r="AN178" s="58"/>
      <c r="AO178" s="58"/>
      <c r="AP178" s="58"/>
      <c r="AQ178" s="58"/>
      <c r="AR178" s="58"/>
      <c r="AS178" s="58"/>
      <c r="AT178" s="58"/>
    </row>
    <row r="179" spans="1:46" ht="12" hidden="1" thickBot="1">
      <c r="A179" s="588" t="s">
        <v>1469</v>
      </c>
      <c r="B179" s="522" t="s">
        <v>186</v>
      </c>
      <c r="C179" s="522" t="s">
        <v>1354</v>
      </c>
      <c r="D179" s="523" t="s">
        <v>18</v>
      </c>
      <c r="E179" s="960"/>
      <c r="F179" s="961"/>
      <c r="G179" s="961"/>
      <c r="H179" s="961"/>
      <c r="I179" s="961"/>
      <c r="J179" s="962"/>
      <c r="K179" s="962"/>
      <c r="L179" s="961"/>
      <c r="M179" s="961"/>
      <c r="N179" s="961"/>
      <c r="O179" s="961"/>
      <c r="P179" s="962"/>
      <c r="Q179" s="962"/>
      <c r="R179" s="961"/>
      <c r="S179" s="527">
        <f t="shared" si="24"/>
        <v>0</v>
      </c>
      <c r="T179" s="528">
        <f t="shared" si="25"/>
        <v>0</v>
      </c>
      <c r="U179" s="527">
        <f t="shared" si="26"/>
        <v>0</v>
      </c>
      <c r="W179" s="326">
        <f t="shared" si="27"/>
        <v>0</v>
      </c>
      <c r="X179" s="261">
        <f t="shared" si="28"/>
        <v>0</v>
      </c>
      <c r="Y179" s="58"/>
      <c r="Z179" s="1016">
        <f t="shared" si="21"/>
        <v>0</v>
      </c>
      <c r="AA179" s="58"/>
      <c r="AB179" s="58"/>
      <c r="AC179" s="58"/>
      <c r="AD179" s="58"/>
      <c r="AE179" s="58"/>
      <c r="AF179" s="58"/>
      <c r="AG179" s="58"/>
      <c r="AH179" s="58"/>
      <c r="AI179" s="58"/>
      <c r="AJ179" s="58"/>
      <c r="AK179" s="58"/>
      <c r="AL179" s="58"/>
      <c r="AM179" s="58"/>
      <c r="AN179" s="58"/>
      <c r="AO179" s="58"/>
      <c r="AP179" s="58"/>
      <c r="AQ179" s="58"/>
      <c r="AR179" s="58"/>
      <c r="AS179" s="58"/>
      <c r="AT179" s="58"/>
    </row>
    <row r="180" spans="1:46" ht="12" hidden="1" thickBot="1">
      <c r="A180" s="588" t="s">
        <v>1469</v>
      </c>
      <c r="B180" s="522" t="s">
        <v>750</v>
      </c>
      <c r="C180" s="522" t="s">
        <v>748</v>
      </c>
      <c r="D180" s="533" t="s">
        <v>749</v>
      </c>
      <c r="E180" s="962"/>
      <c r="F180" s="962"/>
      <c r="G180" s="962"/>
      <c r="H180" s="962"/>
      <c r="I180" s="962"/>
      <c r="J180" s="962"/>
      <c r="K180" s="962"/>
      <c r="L180" s="962"/>
      <c r="M180" s="962"/>
      <c r="N180" s="962"/>
      <c r="O180" s="962"/>
      <c r="P180" s="962"/>
      <c r="Q180" s="962"/>
      <c r="R180" s="962"/>
      <c r="S180" s="527">
        <f t="shared" si="24"/>
        <v>0</v>
      </c>
      <c r="T180" s="528">
        <f t="shared" si="25"/>
        <v>0</v>
      </c>
      <c r="U180" s="527">
        <f t="shared" si="26"/>
        <v>0</v>
      </c>
      <c r="W180" s="326">
        <f t="shared" si="27"/>
        <v>0</v>
      </c>
      <c r="X180" s="261">
        <f t="shared" si="28"/>
        <v>0</v>
      </c>
      <c r="Y180" s="58"/>
      <c r="Z180" s="1016">
        <f t="shared" si="21"/>
        <v>0</v>
      </c>
      <c r="AA180" s="58"/>
      <c r="AB180" s="58"/>
      <c r="AC180" s="58"/>
      <c r="AD180" s="58"/>
      <c r="AE180" s="58"/>
      <c r="AF180" s="58"/>
      <c r="AG180" s="58"/>
      <c r="AH180" s="58"/>
      <c r="AI180" s="58"/>
      <c r="AJ180" s="58"/>
      <c r="AK180" s="58"/>
      <c r="AL180" s="58"/>
      <c r="AM180" s="58"/>
      <c r="AN180" s="58"/>
      <c r="AO180" s="58"/>
      <c r="AP180" s="58"/>
      <c r="AQ180" s="58"/>
      <c r="AR180" s="58"/>
      <c r="AS180" s="58"/>
      <c r="AT180" s="58"/>
    </row>
    <row r="181" spans="1:46" ht="12" hidden="1" thickBot="1">
      <c r="A181" s="588" t="s">
        <v>1469</v>
      </c>
      <c r="B181" s="522" t="s">
        <v>187</v>
      </c>
      <c r="C181" s="522" t="s">
        <v>457</v>
      </c>
      <c r="D181" s="533" t="s">
        <v>78</v>
      </c>
      <c r="E181" s="962"/>
      <c r="F181" s="962"/>
      <c r="G181" s="962"/>
      <c r="H181" s="962"/>
      <c r="I181" s="962"/>
      <c r="J181" s="962"/>
      <c r="K181" s="962"/>
      <c r="L181" s="962"/>
      <c r="M181" s="962"/>
      <c r="N181" s="962"/>
      <c r="O181" s="962"/>
      <c r="P181" s="961">
        <v>-989829</v>
      </c>
      <c r="Q181" s="962"/>
      <c r="R181" s="961">
        <v>-989829</v>
      </c>
      <c r="S181" s="527">
        <f t="shared" si="24"/>
        <v>0</v>
      </c>
      <c r="T181" s="528">
        <f t="shared" si="25"/>
        <v>0</v>
      </c>
      <c r="U181" s="527">
        <f t="shared" si="26"/>
        <v>0</v>
      </c>
      <c r="W181" s="326">
        <f t="shared" si="27"/>
        <v>-989829</v>
      </c>
      <c r="X181" s="261">
        <f t="shared" si="28"/>
        <v>0</v>
      </c>
      <c r="Y181" s="58"/>
      <c r="Z181" s="1016">
        <f t="shared" si="21"/>
        <v>0</v>
      </c>
      <c r="AA181" s="58"/>
      <c r="AB181" s="58"/>
      <c r="AC181" s="58"/>
      <c r="AD181" s="58"/>
      <c r="AE181" s="58"/>
      <c r="AF181" s="58"/>
      <c r="AG181" s="58"/>
      <c r="AH181" s="58"/>
      <c r="AI181" s="58"/>
      <c r="AJ181" s="58"/>
      <c r="AK181" s="58"/>
      <c r="AL181" s="58"/>
      <c r="AM181" s="58"/>
      <c r="AN181" s="58"/>
      <c r="AO181" s="58"/>
      <c r="AP181" s="58"/>
      <c r="AQ181" s="58"/>
      <c r="AR181" s="58"/>
      <c r="AS181" s="58"/>
      <c r="AT181" s="58"/>
    </row>
    <row r="182" spans="1:46" ht="12" hidden="1" thickBot="1">
      <c r="A182" s="588" t="s">
        <v>1469</v>
      </c>
      <c r="B182" s="522" t="s">
        <v>188</v>
      </c>
      <c r="C182" s="522" t="s">
        <v>458</v>
      </c>
      <c r="D182" s="533" t="s">
        <v>78</v>
      </c>
      <c r="E182" s="962"/>
      <c r="F182" s="962"/>
      <c r="G182" s="962"/>
      <c r="H182" s="962"/>
      <c r="I182" s="962"/>
      <c r="J182" s="962"/>
      <c r="K182" s="962"/>
      <c r="L182" s="962"/>
      <c r="M182" s="962"/>
      <c r="N182" s="962"/>
      <c r="O182" s="962"/>
      <c r="P182" s="961"/>
      <c r="Q182" s="962"/>
      <c r="R182" s="961"/>
      <c r="S182" s="527">
        <f t="shared" si="24"/>
        <v>0</v>
      </c>
      <c r="T182" s="528">
        <f t="shared" si="25"/>
        <v>0</v>
      </c>
      <c r="U182" s="527">
        <f t="shared" si="26"/>
        <v>0</v>
      </c>
      <c r="W182" s="326">
        <f t="shared" si="27"/>
        <v>0</v>
      </c>
      <c r="X182" s="261">
        <f t="shared" si="28"/>
        <v>0</v>
      </c>
      <c r="Y182" s="58"/>
      <c r="Z182" s="1016">
        <f t="shared" si="21"/>
        <v>0</v>
      </c>
      <c r="AA182" s="58"/>
      <c r="AB182" s="58"/>
      <c r="AC182" s="58"/>
      <c r="AD182" s="58"/>
      <c r="AE182" s="58"/>
      <c r="AF182" s="58"/>
      <c r="AG182" s="58"/>
      <c r="AH182" s="58"/>
      <c r="AI182" s="58"/>
      <c r="AJ182" s="58"/>
      <c r="AK182" s="58"/>
      <c r="AL182" s="58"/>
      <c r="AM182" s="58"/>
      <c r="AN182" s="58"/>
      <c r="AO182" s="58"/>
      <c r="AP182" s="58"/>
      <c r="AQ182" s="58"/>
      <c r="AR182" s="58"/>
      <c r="AS182" s="58"/>
      <c r="AT182" s="58"/>
    </row>
    <row r="183" spans="1:46" ht="12" hidden="1" thickBot="1">
      <c r="A183" s="588" t="s">
        <v>1469</v>
      </c>
      <c r="B183" s="522" t="s">
        <v>1358</v>
      </c>
      <c r="C183" s="522" t="s">
        <v>1359</v>
      </c>
      <c r="D183" s="533" t="s">
        <v>78</v>
      </c>
      <c r="E183" s="962"/>
      <c r="F183" s="962"/>
      <c r="G183" s="962"/>
      <c r="H183" s="962"/>
      <c r="I183" s="962"/>
      <c r="J183" s="962"/>
      <c r="K183" s="962"/>
      <c r="L183" s="962"/>
      <c r="M183" s="962"/>
      <c r="N183" s="962"/>
      <c r="O183" s="962"/>
      <c r="P183" s="961"/>
      <c r="Q183" s="962"/>
      <c r="R183" s="961"/>
      <c r="S183" s="527">
        <f t="shared" si="24"/>
        <v>0</v>
      </c>
      <c r="T183" s="528">
        <f t="shared" si="25"/>
        <v>0</v>
      </c>
      <c r="U183" s="527">
        <f t="shared" si="26"/>
        <v>0</v>
      </c>
      <c r="W183" s="326">
        <f t="shared" si="27"/>
        <v>0</v>
      </c>
      <c r="X183" s="261">
        <f t="shared" si="28"/>
        <v>0</v>
      </c>
      <c r="Y183" s="58"/>
      <c r="Z183" s="1016">
        <f t="shared" si="21"/>
        <v>0</v>
      </c>
      <c r="AA183" s="58"/>
      <c r="AB183" s="58"/>
      <c r="AC183" s="58"/>
      <c r="AD183" s="58"/>
      <c r="AE183" s="58"/>
      <c r="AF183" s="58"/>
      <c r="AG183" s="58"/>
      <c r="AH183" s="58"/>
      <c r="AI183" s="58"/>
      <c r="AJ183" s="58"/>
      <c r="AK183" s="58"/>
      <c r="AL183" s="58"/>
      <c r="AM183" s="58"/>
      <c r="AN183" s="58"/>
      <c r="AO183" s="58"/>
      <c r="AP183" s="58"/>
      <c r="AQ183" s="58"/>
      <c r="AR183" s="58"/>
      <c r="AS183" s="58"/>
      <c r="AT183" s="58"/>
    </row>
    <row r="184" spans="1:46" ht="12" hidden="1" thickBot="1">
      <c r="A184" s="588" t="s">
        <v>1469</v>
      </c>
      <c r="B184" s="522" t="s">
        <v>1045</v>
      </c>
      <c r="C184" s="522" t="s">
        <v>1046</v>
      </c>
      <c r="D184" s="533" t="s">
        <v>78</v>
      </c>
      <c r="E184" s="962"/>
      <c r="F184" s="962"/>
      <c r="G184" s="962"/>
      <c r="H184" s="962"/>
      <c r="I184" s="962"/>
      <c r="J184" s="962"/>
      <c r="K184" s="962"/>
      <c r="L184" s="962"/>
      <c r="M184" s="962"/>
      <c r="N184" s="962"/>
      <c r="O184" s="962"/>
      <c r="P184" s="961"/>
      <c r="Q184" s="962"/>
      <c r="R184" s="961"/>
      <c r="S184" s="527">
        <f t="shared" si="24"/>
        <v>0</v>
      </c>
      <c r="T184" s="528">
        <f t="shared" si="25"/>
        <v>0</v>
      </c>
      <c r="U184" s="527">
        <f t="shared" si="26"/>
        <v>0</v>
      </c>
      <c r="W184" s="326">
        <f t="shared" si="27"/>
        <v>0</v>
      </c>
      <c r="X184" s="261">
        <f t="shared" si="28"/>
        <v>0</v>
      </c>
      <c r="Y184" s="58"/>
      <c r="Z184" s="1016">
        <f t="shared" si="21"/>
        <v>0</v>
      </c>
      <c r="AA184" s="58"/>
      <c r="AB184" s="58"/>
      <c r="AC184" s="58"/>
      <c r="AD184" s="58"/>
      <c r="AE184" s="58"/>
      <c r="AF184" s="58"/>
      <c r="AG184" s="58"/>
      <c r="AH184" s="58"/>
      <c r="AI184" s="58"/>
      <c r="AJ184" s="58"/>
      <c r="AK184" s="58"/>
      <c r="AL184" s="58"/>
      <c r="AM184" s="58"/>
      <c r="AN184" s="58"/>
      <c r="AO184" s="58"/>
      <c r="AP184" s="58"/>
      <c r="AQ184" s="58"/>
      <c r="AR184" s="58"/>
      <c r="AS184" s="58"/>
      <c r="AT184" s="58"/>
    </row>
    <row r="185" spans="1:46" ht="12" hidden="1" thickBot="1">
      <c r="A185" s="588" t="s">
        <v>1469</v>
      </c>
      <c r="B185" s="522" t="s">
        <v>945</v>
      </c>
      <c r="C185" s="522" t="s">
        <v>946</v>
      </c>
      <c r="D185" s="533" t="s">
        <v>756</v>
      </c>
      <c r="E185" s="962"/>
      <c r="F185" s="962"/>
      <c r="G185" s="962"/>
      <c r="H185" s="962"/>
      <c r="I185" s="962"/>
      <c r="J185" s="962"/>
      <c r="K185" s="962"/>
      <c r="L185" s="962"/>
      <c r="M185" s="962"/>
      <c r="N185" s="962"/>
      <c r="O185" s="962"/>
      <c r="P185" s="962"/>
      <c r="Q185" s="962"/>
      <c r="R185" s="962"/>
      <c r="S185" s="527">
        <f t="shared" si="24"/>
        <v>0</v>
      </c>
      <c r="T185" s="528">
        <f t="shared" si="25"/>
        <v>0</v>
      </c>
      <c r="U185" s="527">
        <f t="shared" si="26"/>
        <v>0</v>
      </c>
      <c r="W185" s="326">
        <f t="shared" si="27"/>
        <v>0</v>
      </c>
      <c r="X185" s="261">
        <f t="shared" si="28"/>
        <v>0</v>
      </c>
      <c r="Y185" s="58"/>
      <c r="Z185" s="1016">
        <f t="shared" si="21"/>
        <v>0</v>
      </c>
      <c r="AA185" s="58"/>
      <c r="AB185" s="58"/>
      <c r="AC185" s="58"/>
      <c r="AD185" s="58"/>
      <c r="AE185" s="58"/>
      <c r="AF185" s="58"/>
      <c r="AG185" s="58"/>
      <c r="AH185" s="58"/>
      <c r="AI185" s="58"/>
      <c r="AJ185" s="58"/>
      <c r="AK185" s="58"/>
      <c r="AL185" s="58"/>
      <c r="AM185" s="58"/>
      <c r="AN185" s="58"/>
      <c r="AO185" s="58"/>
      <c r="AP185" s="58"/>
      <c r="AQ185" s="58"/>
      <c r="AR185" s="58"/>
      <c r="AS185" s="58"/>
      <c r="AT185" s="58"/>
    </row>
    <row r="186" spans="1:46" ht="12" hidden="1" thickBot="1">
      <c r="A186" s="588" t="s">
        <v>1469</v>
      </c>
      <c r="B186" s="522" t="s">
        <v>947</v>
      </c>
      <c r="C186" s="522" t="s">
        <v>948</v>
      </c>
      <c r="D186" s="533" t="s">
        <v>756</v>
      </c>
      <c r="E186" s="962"/>
      <c r="F186" s="962"/>
      <c r="G186" s="962"/>
      <c r="H186" s="962"/>
      <c r="I186" s="962"/>
      <c r="J186" s="962"/>
      <c r="K186" s="962"/>
      <c r="L186" s="962"/>
      <c r="M186" s="962"/>
      <c r="N186" s="962"/>
      <c r="O186" s="962"/>
      <c r="P186" s="962"/>
      <c r="Q186" s="962"/>
      <c r="R186" s="962"/>
      <c r="S186" s="527">
        <f t="shared" si="24"/>
        <v>0</v>
      </c>
      <c r="T186" s="528">
        <f t="shared" si="25"/>
        <v>0</v>
      </c>
      <c r="U186" s="527">
        <f t="shared" si="26"/>
        <v>0</v>
      </c>
      <c r="W186" s="326">
        <f t="shared" si="27"/>
        <v>0</v>
      </c>
      <c r="X186" s="261">
        <f t="shared" si="28"/>
        <v>0</v>
      </c>
      <c r="Y186" s="58"/>
      <c r="Z186" s="1016">
        <f t="shared" si="21"/>
        <v>0</v>
      </c>
      <c r="AA186" s="58"/>
      <c r="AB186" s="58"/>
      <c r="AC186" s="58"/>
      <c r="AD186" s="58"/>
      <c r="AE186" s="58"/>
      <c r="AF186" s="58"/>
      <c r="AG186" s="58"/>
      <c r="AH186" s="58"/>
      <c r="AI186" s="58"/>
      <c r="AJ186" s="58"/>
      <c r="AK186" s="58"/>
      <c r="AL186" s="58"/>
      <c r="AM186" s="58"/>
      <c r="AN186" s="58"/>
      <c r="AO186" s="58"/>
      <c r="AP186" s="58"/>
      <c r="AQ186" s="58"/>
      <c r="AR186" s="58"/>
      <c r="AS186" s="58"/>
      <c r="AT186" s="58"/>
    </row>
    <row r="187" spans="1:46" ht="12" hidden="1" thickBot="1">
      <c r="A187" s="588" t="s">
        <v>1469</v>
      </c>
      <c r="B187" s="522" t="s">
        <v>189</v>
      </c>
      <c r="C187" s="522" t="s">
        <v>208</v>
      </c>
      <c r="D187" s="533" t="s">
        <v>675</v>
      </c>
      <c r="E187" s="960">
        <v>46508169</v>
      </c>
      <c r="F187" s="961">
        <v>750</v>
      </c>
      <c r="G187" s="961">
        <v>171615</v>
      </c>
      <c r="H187" s="961">
        <v>1345016</v>
      </c>
      <c r="I187" s="962"/>
      <c r="J187" s="961">
        <v>51887</v>
      </c>
      <c r="K187" s="961">
        <v>668312</v>
      </c>
      <c r="L187" s="961"/>
      <c r="M187" s="961">
        <v>86457</v>
      </c>
      <c r="N187" s="961"/>
      <c r="O187" s="961">
        <v>166670</v>
      </c>
      <c r="P187" s="962"/>
      <c r="Q187" s="962"/>
      <c r="R187" s="961">
        <v>2490707</v>
      </c>
      <c r="S187" s="527">
        <f t="shared" si="24"/>
        <v>1516631</v>
      </c>
      <c r="T187" s="528">
        <f t="shared" si="25"/>
        <v>720199</v>
      </c>
      <c r="U187" s="527">
        <f t="shared" si="26"/>
        <v>166670</v>
      </c>
      <c r="W187" s="326">
        <f t="shared" si="27"/>
        <v>2490707</v>
      </c>
      <c r="X187" s="261">
        <f t="shared" si="28"/>
        <v>0</v>
      </c>
      <c r="Y187" s="58"/>
      <c r="Z187" s="1016">
        <f t="shared" si="21"/>
        <v>2237580</v>
      </c>
      <c r="AA187" s="58"/>
      <c r="AB187" s="58"/>
      <c r="AC187" s="58"/>
      <c r="AD187" s="58"/>
      <c r="AE187" s="58"/>
      <c r="AF187" s="58"/>
      <c r="AG187" s="58"/>
      <c r="AH187" s="58"/>
      <c r="AI187" s="58"/>
      <c r="AJ187" s="58"/>
      <c r="AK187" s="58"/>
      <c r="AL187" s="58"/>
      <c r="AM187" s="58"/>
      <c r="AN187" s="58"/>
      <c r="AO187" s="58"/>
      <c r="AP187" s="58"/>
      <c r="AQ187" s="58"/>
      <c r="AR187" s="58"/>
      <c r="AS187" s="58"/>
      <c r="AT187" s="58"/>
    </row>
    <row r="188" spans="1:46" ht="12" hidden="1" thickBot="1">
      <c r="A188" s="588" t="s">
        <v>1469</v>
      </c>
      <c r="B188" s="522" t="s">
        <v>209</v>
      </c>
      <c r="C188" s="522" t="s">
        <v>210</v>
      </c>
      <c r="D188" s="533" t="s">
        <v>459</v>
      </c>
      <c r="E188" s="960"/>
      <c r="F188" s="962"/>
      <c r="G188" s="961"/>
      <c r="H188" s="962"/>
      <c r="I188" s="962"/>
      <c r="J188" s="962"/>
      <c r="K188" s="961"/>
      <c r="L188" s="962"/>
      <c r="M188" s="961"/>
      <c r="N188" s="962"/>
      <c r="O188" s="962"/>
      <c r="P188" s="962"/>
      <c r="Q188" s="962"/>
      <c r="R188" s="961"/>
      <c r="S188" s="527">
        <f t="shared" si="24"/>
        <v>0</v>
      </c>
      <c r="T188" s="528">
        <f t="shared" si="25"/>
        <v>0</v>
      </c>
      <c r="U188" s="527">
        <f t="shared" si="26"/>
        <v>0</v>
      </c>
      <c r="W188" s="326">
        <f t="shared" si="27"/>
        <v>0</v>
      </c>
      <c r="X188" s="261">
        <f t="shared" si="28"/>
        <v>0</v>
      </c>
      <c r="Y188" s="58"/>
      <c r="Z188" s="1016">
        <f t="shared" si="21"/>
        <v>0</v>
      </c>
      <c r="AA188" s="58"/>
      <c r="AB188" s="58"/>
      <c r="AC188" s="58"/>
      <c r="AD188" s="58"/>
      <c r="AE188" s="58"/>
      <c r="AF188" s="58"/>
      <c r="AG188" s="58"/>
      <c r="AH188" s="58"/>
      <c r="AI188" s="58"/>
      <c r="AJ188" s="58"/>
      <c r="AK188" s="58"/>
      <c r="AL188" s="58"/>
      <c r="AM188" s="58"/>
      <c r="AN188" s="58"/>
      <c r="AO188" s="58"/>
      <c r="AP188" s="58"/>
      <c r="AQ188" s="58"/>
      <c r="AR188" s="58"/>
      <c r="AS188" s="58"/>
      <c r="AT188" s="58"/>
    </row>
    <row r="189" spans="1:46" ht="12" hidden="1" thickBot="1">
      <c r="A189" s="588" t="s">
        <v>1469</v>
      </c>
      <c r="B189" s="522" t="s">
        <v>211</v>
      </c>
      <c r="C189" s="522" t="s">
        <v>212</v>
      </c>
      <c r="D189" s="533" t="s">
        <v>459</v>
      </c>
      <c r="E189" s="960"/>
      <c r="F189" s="962"/>
      <c r="G189" s="961"/>
      <c r="H189" s="962"/>
      <c r="I189" s="962"/>
      <c r="J189" s="962"/>
      <c r="K189" s="961"/>
      <c r="L189" s="962"/>
      <c r="M189" s="961"/>
      <c r="N189" s="962"/>
      <c r="O189" s="962"/>
      <c r="P189" s="962"/>
      <c r="Q189" s="962"/>
      <c r="R189" s="961"/>
      <c r="S189" s="527">
        <f t="shared" si="24"/>
        <v>0</v>
      </c>
      <c r="T189" s="528">
        <f t="shared" si="25"/>
        <v>0</v>
      </c>
      <c r="U189" s="527">
        <f t="shared" si="26"/>
        <v>0</v>
      </c>
      <c r="W189" s="326">
        <f t="shared" si="27"/>
        <v>0</v>
      </c>
      <c r="X189" s="261">
        <f t="shared" si="28"/>
        <v>0</v>
      </c>
      <c r="Y189" s="58"/>
      <c r="Z189" s="1016">
        <f t="shared" si="21"/>
        <v>0</v>
      </c>
      <c r="AA189" s="58"/>
      <c r="AB189" s="58"/>
      <c r="AC189" s="58"/>
      <c r="AD189" s="58"/>
      <c r="AE189" s="58"/>
      <c r="AF189" s="58"/>
      <c r="AG189" s="58"/>
      <c r="AH189" s="58"/>
      <c r="AI189" s="58"/>
      <c r="AJ189" s="58"/>
      <c r="AK189" s="58"/>
      <c r="AL189" s="58"/>
      <c r="AM189" s="58"/>
      <c r="AN189" s="58"/>
      <c r="AO189" s="58"/>
      <c r="AP189" s="58"/>
      <c r="AQ189" s="58"/>
      <c r="AR189" s="58"/>
      <c r="AS189" s="58"/>
      <c r="AT189" s="58"/>
    </row>
    <row r="190" spans="1:46" ht="12" hidden="1" thickBot="1">
      <c r="A190" s="588" t="s">
        <v>1469</v>
      </c>
      <c r="B190" s="522" t="s">
        <v>213</v>
      </c>
      <c r="C190" s="522" t="s">
        <v>214</v>
      </c>
      <c r="D190" s="533" t="s">
        <v>459</v>
      </c>
      <c r="E190" s="960"/>
      <c r="F190" s="962"/>
      <c r="G190" s="961"/>
      <c r="H190" s="962"/>
      <c r="I190" s="962"/>
      <c r="J190" s="962"/>
      <c r="K190" s="961"/>
      <c r="L190" s="962"/>
      <c r="M190" s="961"/>
      <c r="N190" s="962"/>
      <c r="O190" s="962"/>
      <c r="P190" s="962"/>
      <c r="Q190" s="962"/>
      <c r="R190" s="961"/>
      <c r="S190" s="527">
        <f t="shared" si="24"/>
        <v>0</v>
      </c>
      <c r="T190" s="528">
        <f t="shared" si="25"/>
        <v>0</v>
      </c>
      <c r="U190" s="527">
        <f t="shared" si="26"/>
        <v>0</v>
      </c>
      <c r="W190" s="326">
        <f t="shared" si="27"/>
        <v>0</v>
      </c>
      <c r="X190" s="261">
        <f t="shared" si="28"/>
        <v>0</v>
      </c>
      <c r="Y190" s="58"/>
      <c r="Z190" s="1016">
        <f t="shared" si="21"/>
        <v>0</v>
      </c>
      <c r="AA190" s="58"/>
      <c r="AB190" s="58"/>
      <c r="AC190" s="58"/>
      <c r="AD190" s="58"/>
      <c r="AE190" s="58"/>
      <c r="AF190" s="58"/>
      <c r="AG190" s="58"/>
      <c r="AH190" s="58"/>
      <c r="AI190" s="58"/>
      <c r="AJ190" s="58"/>
      <c r="AK190" s="58"/>
      <c r="AL190" s="58"/>
      <c r="AM190" s="58"/>
      <c r="AN190" s="58"/>
      <c r="AO190" s="58"/>
      <c r="AP190" s="58"/>
      <c r="AQ190" s="58"/>
      <c r="AR190" s="58"/>
      <c r="AS190" s="58"/>
      <c r="AT190" s="58"/>
    </row>
    <row r="191" spans="1:46" ht="12" hidden="1" thickBot="1">
      <c r="A191" s="588" t="s">
        <v>1469</v>
      </c>
      <c r="B191" s="522" t="s">
        <v>949</v>
      </c>
      <c r="C191" s="522" t="s">
        <v>943</v>
      </c>
      <c r="D191" s="533" t="s">
        <v>1042</v>
      </c>
      <c r="E191" s="962"/>
      <c r="F191" s="962"/>
      <c r="G191" s="962"/>
      <c r="H191" s="962"/>
      <c r="I191" s="962"/>
      <c r="J191" s="962"/>
      <c r="K191" s="962"/>
      <c r="L191" s="962"/>
      <c r="M191" s="962"/>
      <c r="N191" s="962"/>
      <c r="O191" s="962"/>
      <c r="P191" s="962"/>
      <c r="Q191" s="962"/>
      <c r="R191" s="962"/>
      <c r="S191" s="527">
        <f t="shared" si="24"/>
        <v>0</v>
      </c>
      <c r="T191" s="528">
        <f t="shared" si="25"/>
        <v>0</v>
      </c>
      <c r="U191" s="527">
        <f t="shared" si="26"/>
        <v>0</v>
      </c>
      <c r="W191" s="326">
        <f t="shared" si="27"/>
        <v>0</v>
      </c>
      <c r="X191" s="261">
        <f t="shared" si="28"/>
        <v>0</v>
      </c>
      <c r="Y191" s="58"/>
      <c r="Z191" s="1016">
        <f t="shared" si="21"/>
        <v>0</v>
      </c>
      <c r="AA191" s="58"/>
      <c r="AB191" s="58"/>
      <c r="AC191" s="58"/>
      <c r="AD191" s="58"/>
      <c r="AE191" s="58"/>
      <c r="AF191" s="58"/>
      <c r="AG191" s="58"/>
      <c r="AH191" s="58"/>
      <c r="AI191" s="58"/>
      <c r="AJ191" s="58"/>
      <c r="AK191" s="58"/>
      <c r="AL191" s="58"/>
      <c r="AM191" s="58"/>
      <c r="AN191" s="58"/>
      <c r="AO191" s="58"/>
      <c r="AP191" s="58"/>
      <c r="AQ191" s="58"/>
      <c r="AR191" s="58"/>
      <c r="AS191" s="58"/>
      <c r="AT191" s="58"/>
    </row>
    <row r="192" spans="1:46" ht="12" hidden="1" thickBot="1">
      <c r="A192" s="588" t="s">
        <v>1469</v>
      </c>
      <c r="B192" s="522" t="s">
        <v>190</v>
      </c>
      <c r="C192" s="522" t="s">
        <v>111</v>
      </c>
      <c r="D192" s="533" t="s">
        <v>15</v>
      </c>
      <c r="E192" s="960">
        <v>671792006</v>
      </c>
      <c r="F192" s="961">
        <v>4604842</v>
      </c>
      <c r="G192" s="961">
        <v>30479203</v>
      </c>
      <c r="H192" s="961">
        <v>19428225</v>
      </c>
      <c r="I192" s="961">
        <v>2116145</v>
      </c>
      <c r="J192" s="962"/>
      <c r="K192" s="962"/>
      <c r="L192" s="961">
        <v>765157</v>
      </c>
      <c r="M192" s="961">
        <v>1248831</v>
      </c>
      <c r="N192" s="961">
        <v>2407476</v>
      </c>
      <c r="O192" s="962"/>
      <c r="P192" s="962"/>
      <c r="Q192" s="962"/>
      <c r="R192" s="961">
        <v>61049879</v>
      </c>
      <c r="S192" s="527">
        <f t="shared" si="24"/>
        <v>52023573</v>
      </c>
      <c r="T192" s="528">
        <f t="shared" si="25"/>
        <v>0</v>
      </c>
      <c r="U192" s="527">
        <f t="shared" si="26"/>
        <v>2407476</v>
      </c>
      <c r="W192" s="326">
        <f t="shared" si="27"/>
        <v>61049879</v>
      </c>
      <c r="X192" s="261">
        <f t="shared" si="28"/>
        <v>0</v>
      </c>
      <c r="Y192" s="58"/>
      <c r="Z192" s="1016">
        <f t="shared" si="21"/>
        <v>56628415</v>
      </c>
      <c r="AA192" s="58"/>
      <c r="AB192" s="58"/>
      <c r="AC192" s="58"/>
      <c r="AD192" s="58"/>
      <c r="AE192" s="58"/>
      <c r="AF192" s="58"/>
      <c r="AG192" s="58"/>
      <c r="AH192" s="58"/>
      <c r="AI192" s="58"/>
      <c r="AJ192" s="58"/>
      <c r="AK192" s="58"/>
      <c r="AL192" s="58"/>
      <c r="AM192" s="58"/>
      <c r="AN192" s="58"/>
      <c r="AO192" s="58"/>
      <c r="AP192" s="58"/>
      <c r="AQ192" s="58"/>
      <c r="AR192" s="58"/>
      <c r="AS192" s="58"/>
      <c r="AT192" s="58"/>
    </row>
    <row r="193" spans="1:46" ht="12" hidden="1" thickBot="1">
      <c r="A193" s="588" t="s">
        <v>1469</v>
      </c>
      <c r="B193" s="522" t="s">
        <v>191</v>
      </c>
      <c r="C193" s="522" t="s">
        <v>215</v>
      </c>
      <c r="D193" s="533" t="s">
        <v>15</v>
      </c>
      <c r="E193" s="960"/>
      <c r="F193" s="961"/>
      <c r="G193" s="961"/>
      <c r="H193" s="961"/>
      <c r="I193" s="961"/>
      <c r="J193" s="962"/>
      <c r="K193" s="962"/>
      <c r="L193" s="961"/>
      <c r="M193" s="961"/>
      <c r="N193" s="961"/>
      <c r="O193" s="962"/>
      <c r="P193" s="962"/>
      <c r="Q193" s="962"/>
      <c r="R193" s="961"/>
      <c r="S193" s="527">
        <f t="shared" si="24"/>
        <v>0</v>
      </c>
      <c r="T193" s="528">
        <f t="shared" si="25"/>
        <v>0</v>
      </c>
      <c r="U193" s="527">
        <f t="shared" si="26"/>
        <v>0</v>
      </c>
      <c r="W193" s="326">
        <f t="shared" si="27"/>
        <v>0</v>
      </c>
      <c r="X193" s="261">
        <f t="shared" si="28"/>
        <v>0</v>
      </c>
      <c r="Y193" s="58"/>
      <c r="Z193" s="1016">
        <f t="shared" si="21"/>
        <v>0</v>
      </c>
      <c r="AA193" s="58"/>
      <c r="AB193" s="58"/>
      <c r="AC193" s="58"/>
      <c r="AD193" s="58"/>
      <c r="AE193" s="58"/>
      <c r="AF193" s="58"/>
      <c r="AG193" s="58"/>
      <c r="AH193" s="58"/>
      <c r="AI193" s="58"/>
      <c r="AJ193" s="58"/>
      <c r="AK193" s="58"/>
      <c r="AL193" s="58"/>
      <c r="AM193" s="58"/>
      <c r="AN193" s="58"/>
      <c r="AO193" s="58"/>
      <c r="AP193" s="58"/>
      <c r="AQ193" s="58"/>
      <c r="AR193" s="58"/>
      <c r="AS193" s="58"/>
      <c r="AT193" s="58"/>
    </row>
    <row r="194" spans="1:46" ht="12" hidden="1" thickBot="1">
      <c r="A194" s="588" t="s">
        <v>1469</v>
      </c>
      <c r="B194" s="522" t="s">
        <v>192</v>
      </c>
      <c r="C194" s="522" t="s">
        <v>216</v>
      </c>
      <c r="D194" s="533" t="s">
        <v>15</v>
      </c>
      <c r="E194" s="960"/>
      <c r="F194" s="961"/>
      <c r="G194" s="961"/>
      <c r="H194" s="961"/>
      <c r="I194" s="961"/>
      <c r="J194" s="962"/>
      <c r="K194" s="962"/>
      <c r="L194" s="961"/>
      <c r="M194" s="961"/>
      <c r="N194" s="961"/>
      <c r="O194" s="962"/>
      <c r="P194" s="962"/>
      <c r="Q194" s="962"/>
      <c r="R194" s="961"/>
      <c r="S194" s="527">
        <f t="shared" si="24"/>
        <v>0</v>
      </c>
      <c r="T194" s="528">
        <f t="shared" si="25"/>
        <v>0</v>
      </c>
      <c r="U194" s="527">
        <f t="shared" si="26"/>
        <v>0</v>
      </c>
      <c r="W194" s="326">
        <f t="shared" si="27"/>
        <v>0</v>
      </c>
      <c r="X194" s="261">
        <f t="shared" si="28"/>
        <v>0</v>
      </c>
      <c r="Y194" s="58"/>
      <c r="Z194" s="1016">
        <f t="shared" si="21"/>
        <v>0</v>
      </c>
      <c r="AA194" s="58"/>
      <c r="AB194" s="58"/>
      <c r="AC194" s="58"/>
      <c r="AD194" s="58"/>
      <c r="AE194" s="58"/>
      <c r="AF194" s="58"/>
      <c r="AG194" s="58"/>
      <c r="AH194" s="58"/>
      <c r="AI194" s="58"/>
      <c r="AJ194" s="58"/>
      <c r="AK194" s="58"/>
      <c r="AL194" s="58"/>
      <c r="AM194" s="58"/>
      <c r="AN194" s="58"/>
      <c r="AO194" s="58"/>
      <c r="AP194" s="58"/>
      <c r="AQ194" s="58"/>
      <c r="AR194" s="58"/>
      <c r="AS194" s="58"/>
      <c r="AT194" s="58"/>
    </row>
    <row r="195" spans="1:46" ht="12" hidden="1" thickBot="1">
      <c r="A195" s="588" t="s">
        <v>1469</v>
      </c>
      <c r="B195" s="522" t="s">
        <v>477</v>
      </c>
      <c r="C195" s="522" t="s">
        <v>1263</v>
      </c>
      <c r="D195" s="533" t="s">
        <v>807</v>
      </c>
      <c r="E195" s="960"/>
      <c r="F195" s="961"/>
      <c r="G195" s="961"/>
      <c r="H195" s="961"/>
      <c r="I195" s="961"/>
      <c r="J195" s="962"/>
      <c r="K195" s="962"/>
      <c r="L195" s="961"/>
      <c r="M195" s="961"/>
      <c r="N195" s="961"/>
      <c r="O195" s="962"/>
      <c r="P195" s="962"/>
      <c r="Q195" s="962"/>
      <c r="R195" s="961"/>
      <c r="S195" s="527">
        <f t="shared" si="24"/>
        <v>0</v>
      </c>
      <c r="T195" s="528">
        <f t="shared" si="25"/>
        <v>0</v>
      </c>
      <c r="U195" s="527">
        <f t="shared" si="26"/>
        <v>0</v>
      </c>
      <c r="W195" s="326">
        <f t="shared" si="27"/>
        <v>0</v>
      </c>
      <c r="X195" s="261">
        <f t="shared" si="28"/>
        <v>0</v>
      </c>
      <c r="Y195" s="58"/>
      <c r="Z195" s="1016">
        <f t="shared" si="21"/>
        <v>0</v>
      </c>
      <c r="AA195" s="58"/>
      <c r="AB195" s="58"/>
      <c r="AC195" s="58"/>
      <c r="AD195" s="58"/>
      <c r="AE195" s="58"/>
      <c r="AF195" s="58"/>
      <c r="AG195" s="58"/>
      <c r="AH195" s="58"/>
      <c r="AI195" s="58"/>
      <c r="AJ195" s="58"/>
      <c r="AK195" s="58"/>
      <c r="AL195" s="58"/>
      <c r="AM195" s="58"/>
      <c r="AN195" s="58"/>
      <c r="AO195" s="58"/>
      <c r="AP195" s="58"/>
      <c r="AQ195" s="58"/>
      <c r="AR195" s="58"/>
      <c r="AS195" s="58"/>
      <c r="AT195" s="58"/>
    </row>
    <row r="196" spans="1:46" ht="12" hidden="1" thickBot="1">
      <c r="A196" s="588" t="s">
        <v>1469</v>
      </c>
      <c r="B196" s="522" t="s">
        <v>193</v>
      </c>
      <c r="C196" s="522" t="s">
        <v>217</v>
      </c>
      <c r="D196" s="533" t="s">
        <v>15</v>
      </c>
      <c r="E196" s="960"/>
      <c r="F196" s="961"/>
      <c r="G196" s="961"/>
      <c r="H196" s="961"/>
      <c r="I196" s="961"/>
      <c r="J196" s="962"/>
      <c r="K196" s="962"/>
      <c r="L196" s="961"/>
      <c r="M196" s="961"/>
      <c r="N196" s="961"/>
      <c r="O196" s="962"/>
      <c r="P196" s="962"/>
      <c r="Q196" s="962"/>
      <c r="R196" s="961"/>
      <c r="S196" s="527">
        <f t="shared" si="24"/>
        <v>0</v>
      </c>
      <c r="T196" s="528">
        <f t="shared" si="25"/>
        <v>0</v>
      </c>
      <c r="U196" s="527">
        <f t="shared" si="26"/>
        <v>0</v>
      </c>
      <c r="W196" s="326">
        <f t="shared" si="27"/>
        <v>0</v>
      </c>
      <c r="X196" s="261">
        <f t="shared" si="28"/>
        <v>0</v>
      </c>
      <c r="Y196" s="58"/>
      <c r="Z196" s="1016">
        <f t="shared" ref="Z196:Z258" si="29">SUM(F196:K196)</f>
        <v>0</v>
      </c>
      <c r="AA196" s="58"/>
      <c r="AB196" s="58"/>
      <c r="AC196" s="58"/>
      <c r="AD196" s="58"/>
      <c r="AE196" s="58"/>
      <c r="AF196" s="58"/>
      <c r="AG196" s="58"/>
      <c r="AH196" s="58"/>
      <c r="AI196" s="58"/>
      <c r="AJ196" s="58"/>
      <c r="AK196" s="58"/>
      <c r="AL196" s="58"/>
      <c r="AM196" s="58"/>
      <c r="AN196" s="58"/>
      <c r="AO196" s="58"/>
      <c r="AP196" s="58"/>
      <c r="AQ196" s="58"/>
      <c r="AR196" s="58"/>
      <c r="AS196" s="58"/>
      <c r="AT196" s="58"/>
    </row>
    <row r="197" spans="1:46" ht="12" hidden="1" thickBot="1">
      <c r="A197" s="588" t="s">
        <v>1469</v>
      </c>
      <c r="B197" s="522" t="s">
        <v>194</v>
      </c>
      <c r="C197" s="522" t="s">
        <v>218</v>
      </c>
      <c r="D197" s="533" t="s">
        <v>15</v>
      </c>
      <c r="E197" s="960"/>
      <c r="F197" s="961"/>
      <c r="G197" s="961"/>
      <c r="H197" s="961"/>
      <c r="I197" s="961"/>
      <c r="J197" s="962"/>
      <c r="K197" s="962"/>
      <c r="L197" s="961"/>
      <c r="M197" s="961"/>
      <c r="N197" s="961"/>
      <c r="O197" s="962"/>
      <c r="P197" s="962"/>
      <c r="Q197" s="962"/>
      <c r="R197" s="961"/>
      <c r="S197" s="527">
        <f t="shared" si="24"/>
        <v>0</v>
      </c>
      <c r="T197" s="528">
        <f t="shared" si="25"/>
        <v>0</v>
      </c>
      <c r="U197" s="527">
        <f t="shared" si="26"/>
        <v>0</v>
      </c>
      <c r="W197" s="326">
        <f t="shared" si="27"/>
        <v>0</v>
      </c>
      <c r="X197" s="261">
        <f t="shared" si="28"/>
        <v>0</v>
      </c>
      <c r="Y197" s="58"/>
      <c r="Z197" s="1016">
        <f t="shared" si="29"/>
        <v>0</v>
      </c>
      <c r="AA197" s="58"/>
      <c r="AB197" s="58"/>
      <c r="AC197" s="58"/>
      <c r="AD197" s="58"/>
      <c r="AE197" s="58"/>
      <c r="AF197" s="58"/>
      <c r="AG197" s="58"/>
      <c r="AH197" s="58"/>
      <c r="AI197" s="58"/>
      <c r="AJ197" s="58"/>
      <c r="AK197" s="58"/>
      <c r="AL197" s="58"/>
      <c r="AM197" s="58"/>
      <c r="AN197" s="58"/>
      <c r="AO197" s="58"/>
      <c r="AP197" s="58"/>
      <c r="AQ197" s="58"/>
      <c r="AR197" s="58"/>
      <c r="AS197" s="58"/>
      <c r="AT197" s="58"/>
    </row>
    <row r="198" spans="1:46" ht="12" hidden="1" thickBot="1">
      <c r="A198" s="588" t="s">
        <v>1469</v>
      </c>
      <c r="B198" s="522" t="s">
        <v>950</v>
      </c>
      <c r="C198" s="522" t="s">
        <v>951</v>
      </c>
      <c r="D198" s="533" t="s">
        <v>1042</v>
      </c>
      <c r="E198" s="962"/>
      <c r="F198" s="962"/>
      <c r="G198" s="962"/>
      <c r="H198" s="962"/>
      <c r="I198" s="962"/>
      <c r="J198" s="962"/>
      <c r="K198" s="962"/>
      <c r="L198" s="962"/>
      <c r="M198" s="962"/>
      <c r="N198" s="962"/>
      <c r="O198" s="962"/>
      <c r="P198" s="962"/>
      <c r="Q198" s="962"/>
      <c r="R198" s="962"/>
      <c r="S198" s="527">
        <f t="shared" si="24"/>
        <v>0</v>
      </c>
      <c r="T198" s="528">
        <f t="shared" si="25"/>
        <v>0</v>
      </c>
      <c r="U198" s="527">
        <f t="shared" si="26"/>
        <v>0</v>
      </c>
      <c r="W198" s="326">
        <f t="shared" si="27"/>
        <v>0</v>
      </c>
      <c r="X198" s="261">
        <f t="shared" si="28"/>
        <v>0</v>
      </c>
      <c r="Y198" s="58"/>
      <c r="Z198" s="1016">
        <f t="shared" si="29"/>
        <v>0</v>
      </c>
      <c r="AA198" s="58"/>
      <c r="AB198" s="58"/>
      <c r="AC198" s="58"/>
      <c r="AD198" s="58"/>
      <c r="AE198" s="58"/>
      <c r="AF198" s="58"/>
      <c r="AG198" s="58"/>
      <c r="AH198" s="58"/>
      <c r="AI198" s="58"/>
      <c r="AJ198" s="58"/>
      <c r="AK198" s="58"/>
      <c r="AL198" s="58"/>
      <c r="AM198" s="58"/>
      <c r="AN198" s="58"/>
      <c r="AO198" s="58"/>
      <c r="AP198" s="58"/>
      <c r="AQ198" s="58"/>
      <c r="AR198" s="58"/>
      <c r="AS198" s="58"/>
      <c r="AT198" s="58"/>
    </row>
    <row r="199" spans="1:46" ht="12" hidden="1" thickBot="1">
      <c r="A199" s="588" t="s">
        <v>1469</v>
      </c>
      <c r="B199" s="522" t="s">
        <v>339</v>
      </c>
      <c r="C199" s="522" t="s">
        <v>952</v>
      </c>
      <c r="D199" s="533" t="s">
        <v>1035</v>
      </c>
      <c r="E199" s="960"/>
      <c r="F199" s="962"/>
      <c r="G199" s="961"/>
      <c r="H199" s="962"/>
      <c r="I199" s="962"/>
      <c r="J199" s="962"/>
      <c r="K199" s="962"/>
      <c r="L199" s="962"/>
      <c r="M199" s="961"/>
      <c r="N199" s="961"/>
      <c r="O199" s="962"/>
      <c r="P199" s="962"/>
      <c r="Q199" s="961"/>
      <c r="R199" s="961"/>
      <c r="S199" s="527">
        <f t="shared" si="24"/>
        <v>0</v>
      </c>
      <c r="T199" s="528">
        <f t="shared" si="25"/>
        <v>0</v>
      </c>
      <c r="U199" s="527">
        <f t="shared" si="26"/>
        <v>0</v>
      </c>
      <c r="W199" s="326">
        <f t="shared" si="27"/>
        <v>0</v>
      </c>
      <c r="X199" s="261">
        <f t="shared" si="28"/>
        <v>0</v>
      </c>
      <c r="Y199" s="58"/>
      <c r="Z199" s="1016">
        <f t="shared" si="29"/>
        <v>0</v>
      </c>
      <c r="AA199" s="58"/>
      <c r="AB199" s="58"/>
      <c r="AC199" s="58"/>
      <c r="AD199" s="58"/>
      <c r="AE199" s="58"/>
      <c r="AF199" s="58"/>
      <c r="AG199" s="58"/>
      <c r="AH199" s="58"/>
      <c r="AI199" s="58"/>
      <c r="AJ199" s="58"/>
      <c r="AK199" s="58"/>
      <c r="AL199" s="58"/>
      <c r="AM199" s="58"/>
      <c r="AN199" s="58"/>
      <c r="AO199" s="58"/>
      <c r="AP199" s="58"/>
      <c r="AQ199" s="58"/>
      <c r="AR199" s="58"/>
      <c r="AS199" s="58"/>
      <c r="AT199" s="58"/>
    </row>
    <row r="200" spans="1:46" ht="12" hidden="1" thickBot="1">
      <c r="A200" s="588" t="s">
        <v>1469</v>
      </c>
      <c r="B200" s="522" t="s">
        <v>344</v>
      </c>
      <c r="C200" s="522" t="s">
        <v>953</v>
      </c>
      <c r="D200" s="533" t="s">
        <v>1035</v>
      </c>
      <c r="E200" s="960"/>
      <c r="F200" s="962"/>
      <c r="G200" s="961"/>
      <c r="H200" s="962"/>
      <c r="I200" s="962"/>
      <c r="J200" s="962"/>
      <c r="K200" s="962"/>
      <c r="L200" s="962"/>
      <c r="M200" s="961"/>
      <c r="N200" s="961"/>
      <c r="O200" s="962"/>
      <c r="P200" s="962"/>
      <c r="Q200" s="961"/>
      <c r="R200" s="961"/>
      <c r="S200" s="527">
        <f t="shared" si="24"/>
        <v>0</v>
      </c>
      <c r="T200" s="528">
        <f t="shared" si="25"/>
        <v>0</v>
      </c>
      <c r="U200" s="527">
        <f t="shared" si="26"/>
        <v>0</v>
      </c>
      <c r="W200" s="326">
        <f t="shared" si="27"/>
        <v>0</v>
      </c>
      <c r="X200" s="261">
        <f t="shared" si="28"/>
        <v>0</v>
      </c>
      <c r="Y200" s="58"/>
      <c r="Z200" s="1016">
        <f t="shared" si="29"/>
        <v>0</v>
      </c>
      <c r="AA200" s="58"/>
      <c r="AB200" s="58"/>
      <c r="AC200" s="58"/>
      <c r="AD200" s="58"/>
      <c r="AE200" s="58"/>
      <c r="AF200" s="58"/>
      <c r="AG200" s="58"/>
      <c r="AH200" s="58"/>
      <c r="AI200" s="58"/>
      <c r="AJ200" s="58"/>
      <c r="AK200" s="58"/>
      <c r="AL200" s="58"/>
      <c r="AM200" s="58"/>
      <c r="AN200" s="58"/>
      <c r="AO200" s="58"/>
      <c r="AP200" s="58"/>
      <c r="AQ200" s="58"/>
      <c r="AR200" s="58"/>
      <c r="AS200" s="58"/>
      <c r="AT200" s="58"/>
    </row>
    <row r="201" spans="1:46" ht="12" hidden="1" thickBot="1">
      <c r="A201" s="588" t="s">
        <v>1469</v>
      </c>
      <c r="B201" s="522" t="s">
        <v>347</v>
      </c>
      <c r="C201" s="522" t="s">
        <v>954</v>
      </c>
      <c r="D201" s="533" t="s">
        <v>1035</v>
      </c>
      <c r="E201" s="960"/>
      <c r="F201" s="962"/>
      <c r="G201" s="961"/>
      <c r="H201" s="962"/>
      <c r="I201" s="962"/>
      <c r="J201" s="962"/>
      <c r="K201" s="962"/>
      <c r="L201" s="962"/>
      <c r="M201" s="961"/>
      <c r="N201" s="961"/>
      <c r="O201" s="962"/>
      <c r="P201" s="962"/>
      <c r="Q201" s="961"/>
      <c r="R201" s="961"/>
      <c r="S201" s="527">
        <f t="shared" si="24"/>
        <v>0</v>
      </c>
      <c r="T201" s="528">
        <f t="shared" si="25"/>
        <v>0</v>
      </c>
      <c r="U201" s="527">
        <f t="shared" si="26"/>
        <v>0</v>
      </c>
      <c r="W201" s="326">
        <f t="shared" si="27"/>
        <v>0</v>
      </c>
      <c r="X201" s="261">
        <f t="shared" si="28"/>
        <v>0</v>
      </c>
      <c r="Y201" s="58"/>
      <c r="Z201" s="1016">
        <f t="shared" si="29"/>
        <v>0</v>
      </c>
      <c r="AA201" s="58"/>
      <c r="AB201" s="58"/>
      <c r="AC201" s="58"/>
      <c r="AD201" s="58"/>
      <c r="AE201" s="58"/>
      <c r="AF201" s="58"/>
      <c r="AG201" s="58"/>
      <c r="AH201" s="58"/>
      <c r="AI201" s="58"/>
      <c r="AJ201" s="58"/>
      <c r="AK201" s="58"/>
      <c r="AL201" s="58"/>
      <c r="AM201" s="58"/>
      <c r="AN201" s="58"/>
      <c r="AO201" s="58"/>
      <c r="AP201" s="58"/>
      <c r="AQ201" s="58"/>
      <c r="AR201" s="58"/>
      <c r="AS201" s="58"/>
      <c r="AT201" s="58"/>
    </row>
    <row r="202" spans="1:46" ht="12" hidden="1" thickBot="1">
      <c r="A202" s="588" t="s">
        <v>1469</v>
      </c>
      <c r="B202" s="522" t="s">
        <v>348</v>
      </c>
      <c r="C202" s="522" t="s">
        <v>955</v>
      </c>
      <c r="D202" s="533" t="s">
        <v>1035</v>
      </c>
      <c r="E202" s="960"/>
      <c r="F202" s="962"/>
      <c r="G202" s="961"/>
      <c r="H202" s="962"/>
      <c r="I202" s="962"/>
      <c r="J202" s="962"/>
      <c r="K202" s="962"/>
      <c r="L202" s="962"/>
      <c r="M202" s="961"/>
      <c r="N202" s="961"/>
      <c r="O202" s="962"/>
      <c r="P202" s="962"/>
      <c r="Q202" s="961"/>
      <c r="R202" s="961"/>
      <c r="S202" s="527">
        <f t="shared" si="24"/>
        <v>0</v>
      </c>
      <c r="T202" s="528">
        <f t="shared" si="25"/>
        <v>0</v>
      </c>
      <c r="U202" s="527">
        <f t="shared" si="26"/>
        <v>0</v>
      </c>
      <c r="W202" s="326">
        <f t="shared" si="27"/>
        <v>0</v>
      </c>
      <c r="X202" s="261">
        <f t="shared" si="28"/>
        <v>0</v>
      </c>
      <c r="Y202" s="58"/>
      <c r="Z202" s="1016">
        <f t="shared" si="29"/>
        <v>0</v>
      </c>
      <c r="AA202" s="58"/>
      <c r="AB202" s="58"/>
      <c r="AC202" s="58"/>
      <c r="AD202" s="58"/>
      <c r="AE202" s="58"/>
      <c r="AF202" s="58"/>
      <c r="AG202" s="58"/>
      <c r="AH202" s="58"/>
      <c r="AI202" s="58"/>
      <c r="AJ202" s="58"/>
      <c r="AK202" s="58"/>
      <c r="AL202" s="58"/>
      <c r="AM202" s="58"/>
      <c r="AN202" s="58"/>
      <c r="AO202" s="58"/>
      <c r="AP202" s="58"/>
      <c r="AQ202" s="58"/>
      <c r="AR202" s="58"/>
      <c r="AS202" s="58"/>
      <c r="AT202" s="58"/>
    </row>
    <row r="203" spans="1:46" ht="12" hidden="1" thickBot="1">
      <c r="A203" s="588" t="s">
        <v>1469</v>
      </c>
      <c r="B203" s="522" t="s">
        <v>349</v>
      </c>
      <c r="C203" s="522" t="s">
        <v>956</v>
      </c>
      <c r="D203" s="533" t="s">
        <v>1035</v>
      </c>
      <c r="E203" s="960"/>
      <c r="F203" s="962"/>
      <c r="G203" s="961"/>
      <c r="H203" s="962"/>
      <c r="I203" s="962"/>
      <c r="J203" s="962"/>
      <c r="K203" s="962"/>
      <c r="L203" s="962"/>
      <c r="M203" s="961"/>
      <c r="N203" s="961"/>
      <c r="O203" s="962"/>
      <c r="P203" s="962"/>
      <c r="Q203" s="961"/>
      <c r="R203" s="961"/>
      <c r="S203" s="527">
        <f t="shared" si="24"/>
        <v>0</v>
      </c>
      <c r="T203" s="528">
        <f t="shared" si="25"/>
        <v>0</v>
      </c>
      <c r="U203" s="527">
        <f t="shared" si="26"/>
        <v>0</v>
      </c>
      <c r="W203" s="326">
        <f t="shared" si="27"/>
        <v>0</v>
      </c>
      <c r="X203" s="261">
        <f t="shared" si="28"/>
        <v>0</v>
      </c>
      <c r="Y203" s="58"/>
      <c r="Z203" s="1016">
        <f t="shared" si="29"/>
        <v>0</v>
      </c>
      <c r="AA203" s="58"/>
      <c r="AB203" s="58"/>
      <c r="AC203" s="58"/>
      <c r="AD203" s="58"/>
      <c r="AE203" s="58"/>
      <c r="AF203" s="58"/>
      <c r="AG203" s="58"/>
      <c r="AH203" s="58"/>
      <c r="AI203" s="58"/>
      <c r="AJ203" s="58"/>
      <c r="AK203" s="58"/>
      <c r="AL203" s="58"/>
      <c r="AM203" s="58"/>
      <c r="AN203" s="58"/>
      <c r="AO203" s="58"/>
      <c r="AP203" s="58"/>
      <c r="AQ203" s="58"/>
      <c r="AR203" s="58"/>
      <c r="AS203" s="58"/>
      <c r="AT203" s="58"/>
    </row>
    <row r="204" spans="1:46" ht="12" hidden="1" thickBot="1">
      <c r="A204" s="588" t="s">
        <v>1469</v>
      </c>
      <c r="B204" s="522" t="s">
        <v>351</v>
      </c>
      <c r="C204" s="522" t="s">
        <v>957</v>
      </c>
      <c r="D204" s="533" t="s">
        <v>1035</v>
      </c>
      <c r="E204" s="960"/>
      <c r="F204" s="962"/>
      <c r="G204" s="961"/>
      <c r="H204" s="962"/>
      <c r="I204" s="962"/>
      <c r="J204" s="962"/>
      <c r="K204" s="962"/>
      <c r="L204" s="962"/>
      <c r="M204" s="961"/>
      <c r="N204" s="961"/>
      <c r="O204" s="962"/>
      <c r="P204" s="962"/>
      <c r="Q204" s="961"/>
      <c r="R204" s="961"/>
      <c r="S204" s="527">
        <f t="shared" si="24"/>
        <v>0</v>
      </c>
      <c r="T204" s="528">
        <f t="shared" si="25"/>
        <v>0</v>
      </c>
      <c r="U204" s="527">
        <f t="shared" si="26"/>
        <v>0</v>
      </c>
      <c r="W204" s="326">
        <f t="shared" si="27"/>
        <v>0</v>
      </c>
      <c r="X204" s="261">
        <f t="shared" si="28"/>
        <v>0</v>
      </c>
      <c r="Y204" s="58"/>
      <c r="Z204" s="1016">
        <f t="shared" si="29"/>
        <v>0</v>
      </c>
      <c r="AA204" s="58"/>
      <c r="AB204" s="58"/>
      <c r="AC204" s="58"/>
      <c r="AD204" s="58"/>
      <c r="AE204" s="58"/>
      <c r="AF204" s="58"/>
      <c r="AG204" s="58"/>
      <c r="AH204" s="58"/>
      <c r="AI204" s="58"/>
      <c r="AJ204" s="58"/>
      <c r="AK204" s="58"/>
      <c r="AL204" s="58"/>
      <c r="AM204" s="58"/>
      <c r="AN204" s="58"/>
      <c r="AO204" s="58"/>
      <c r="AP204" s="58"/>
      <c r="AQ204" s="58"/>
      <c r="AR204" s="58"/>
      <c r="AS204" s="58"/>
      <c r="AT204" s="58"/>
    </row>
    <row r="205" spans="1:46" ht="12" hidden="1" thickBot="1">
      <c r="A205" s="588" t="s">
        <v>1469</v>
      </c>
      <c r="B205" s="522" t="s">
        <v>352</v>
      </c>
      <c r="C205" s="522" t="s">
        <v>958</v>
      </c>
      <c r="D205" s="533" t="s">
        <v>1035</v>
      </c>
      <c r="E205" s="960"/>
      <c r="F205" s="962"/>
      <c r="G205" s="961"/>
      <c r="H205" s="962"/>
      <c r="I205" s="962"/>
      <c r="J205" s="962"/>
      <c r="K205" s="962"/>
      <c r="L205" s="962"/>
      <c r="M205" s="961"/>
      <c r="N205" s="961"/>
      <c r="O205" s="962"/>
      <c r="P205" s="962"/>
      <c r="Q205" s="961"/>
      <c r="R205" s="961"/>
      <c r="S205" s="527">
        <f t="shared" si="24"/>
        <v>0</v>
      </c>
      <c r="T205" s="528">
        <f t="shared" si="25"/>
        <v>0</v>
      </c>
      <c r="U205" s="527">
        <f t="shared" si="26"/>
        <v>0</v>
      </c>
      <c r="W205" s="326">
        <f t="shared" si="27"/>
        <v>0</v>
      </c>
      <c r="X205" s="261">
        <f t="shared" si="28"/>
        <v>0</v>
      </c>
      <c r="Y205" s="58"/>
      <c r="Z205" s="1016">
        <f t="shared" si="29"/>
        <v>0</v>
      </c>
      <c r="AA205" s="58"/>
      <c r="AB205" s="58"/>
      <c r="AC205" s="58"/>
      <c r="AD205" s="58"/>
      <c r="AE205" s="58"/>
      <c r="AF205" s="58"/>
      <c r="AG205" s="58"/>
      <c r="AH205" s="58"/>
      <c r="AI205" s="58"/>
      <c r="AJ205" s="58"/>
      <c r="AK205" s="58"/>
      <c r="AL205" s="58"/>
      <c r="AM205" s="58"/>
      <c r="AN205" s="58"/>
      <c r="AO205" s="58"/>
      <c r="AP205" s="58"/>
      <c r="AQ205" s="58"/>
      <c r="AR205" s="58"/>
      <c r="AS205" s="58"/>
      <c r="AT205" s="58"/>
    </row>
    <row r="206" spans="1:46" ht="12" hidden="1" thickBot="1">
      <c r="A206" s="588" t="s">
        <v>1469</v>
      </c>
      <c r="B206" s="522" t="s">
        <v>354</v>
      </c>
      <c r="C206" s="522" t="s">
        <v>959</v>
      </c>
      <c r="D206" s="533" t="s">
        <v>1035</v>
      </c>
      <c r="E206" s="960"/>
      <c r="F206" s="962"/>
      <c r="G206" s="961"/>
      <c r="H206" s="962"/>
      <c r="I206" s="962"/>
      <c r="J206" s="962"/>
      <c r="K206" s="962"/>
      <c r="L206" s="962"/>
      <c r="M206" s="961"/>
      <c r="N206" s="961"/>
      <c r="O206" s="962"/>
      <c r="P206" s="962"/>
      <c r="Q206" s="961"/>
      <c r="R206" s="961"/>
      <c r="S206" s="527">
        <f t="shared" si="24"/>
        <v>0</v>
      </c>
      <c r="T206" s="528">
        <f t="shared" si="25"/>
        <v>0</v>
      </c>
      <c r="U206" s="527">
        <f t="shared" si="26"/>
        <v>0</v>
      </c>
      <c r="W206" s="326">
        <f t="shared" si="27"/>
        <v>0</v>
      </c>
      <c r="X206" s="261">
        <f t="shared" si="28"/>
        <v>0</v>
      </c>
      <c r="Y206" s="58"/>
      <c r="Z206" s="1016">
        <f t="shared" si="29"/>
        <v>0</v>
      </c>
      <c r="AA206" s="58"/>
      <c r="AB206" s="58"/>
      <c r="AC206" s="58"/>
      <c r="AD206" s="58"/>
      <c r="AE206" s="58"/>
      <c r="AF206" s="58"/>
      <c r="AG206" s="58"/>
      <c r="AH206" s="58"/>
      <c r="AI206" s="58"/>
      <c r="AJ206" s="58"/>
      <c r="AK206" s="58"/>
      <c r="AL206" s="58"/>
      <c r="AM206" s="58"/>
      <c r="AN206" s="58"/>
      <c r="AO206" s="58"/>
      <c r="AP206" s="58"/>
      <c r="AQ206" s="58"/>
      <c r="AR206" s="58"/>
      <c r="AS206" s="58"/>
      <c r="AT206" s="58"/>
    </row>
    <row r="207" spans="1:46" ht="12" hidden="1" thickBot="1">
      <c r="A207" s="588" t="s">
        <v>1469</v>
      </c>
      <c r="B207" s="522" t="s">
        <v>355</v>
      </c>
      <c r="C207" s="522" t="s">
        <v>960</v>
      </c>
      <c r="D207" s="533" t="s">
        <v>1035</v>
      </c>
      <c r="E207" s="960"/>
      <c r="F207" s="962"/>
      <c r="G207" s="961"/>
      <c r="H207" s="962"/>
      <c r="I207" s="962"/>
      <c r="J207" s="962"/>
      <c r="K207" s="962"/>
      <c r="L207" s="962"/>
      <c r="M207" s="961"/>
      <c r="N207" s="961"/>
      <c r="O207" s="962"/>
      <c r="P207" s="962"/>
      <c r="Q207" s="961"/>
      <c r="R207" s="961"/>
      <c r="S207" s="527">
        <f t="shared" si="24"/>
        <v>0</v>
      </c>
      <c r="T207" s="528">
        <f t="shared" si="25"/>
        <v>0</v>
      </c>
      <c r="U207" s="527">
        <f t="shared" si="26"/>
        <v>0</v>
      </c>
      <c r="W207" s="326">
        <f t="shared" si="27"/>
        <v>0</v>
      </c>
      <c r="X207" s="261">
        <f t="shared" si="28"/>
        <v>0</v>
      </c>
      <c r="Y207" s="58"/>
      <c r="Z207" s="1016">
        <f t="shared" si="29"/>
        <v>0</v>
      </c>
      <c r="AA207" s="58"/>
      <c r="AB207" s="58"/>
      <c r="AC207" s="58"/>
      <c r="AD207" s="58"/>
      <c r="AE207" s="58"/>
      <c r="AF207" s="58"/>
      <c r="AG207" s="58"/>
      <c r="AH207" s="58"/>
      <c r="AI207" s="58"/>
      <c r="AJ207" s="58"/>
      <c r="AK207" s="58"/>
      <c r="AL207" s="58"/>
      <c r="AM207" s="58"/>
      <c r="AN207" s="58"/>
      <c r="AO207" s="58"/>
      <c r="AP207" s="58"/>
      <c r="AQ207" s="58"/>
      <c r="AR207" s="58"/>
      <c r="AS207" s="58"/>
      <c r="AT207" s="58"/>
    </row>
    <row r="208" spans="1:46" ht="12" hidden="1" thickBot="1">
      <c r="A208" s="588" t="s">
        <v>1469</v>
      </c>
      <c r="B208" s="522" t="s">
        <v>341</v>
      </c>
      <c r="C208" s="522" t="s">
        <v>961</v>
      </c>
      <c r="D208" s="533" t="s">
        <v>1035</v>
      </c>
      <c r="E208" s="960"/>
      <c r="F208" s="962"/>
      <c r="G208" s="961"/>
      <c r="H208" s="962"/>
      <c r="I208" s="962"/>
      <c r="J208" s="962"/>
      <c r="K208" s="962"/>
      <c r="L208" s="962"/>
      <c r="M208" s="961"/>
      <c r="N208" s="961"/>
      <c r="O208" s="962"/>
      <c r="P208" s="962"/>
      <c r="Q208" s="961"/>
      <c r="R208" s="961"/>
      <c r="S208" s="527">
        <f t="shared" si="24"/>
        <v>0</v>
      </c>
      <c r="T208" s="528">
        <f t="shared" si="25"/>
        <v>0</v>
      </c>
      <c r="U208" s="527">
        <f t="shared" si="26"/>
        <v>0</v>
      </c>
      <c r="W208" s="326">
        <f t="shared" si="27"/>
        <v>0</v>
      </c>
      <c r="X208" s="261">
        <f t="shared" si="28"/>
        <v>0</v>
      </c>
      <c r="Y208" s="58"/>
      <c r="Z208" s="1016">
        <f t="shared" si="29"/>
        <v>0</v>
      </c>
      <c r="AA208" s="58"/>
      <c r="AB208" s="58"/>
      <c r="AC208" s="58"/>
      <c r="AD208" s="58"/>
      <c r="AE208" s="58"/>
      <c r="AF208" s="58"/>
      <c r="AG208" s="58"/>
      <c r="AH208" s="58"/>
      <c r="AI208" s="58"/>
      <c r="AJ208" s="58"/>
      <c r="AK208" s="58"/>
      <c r="AL208" s="58"/>
      <c r="AM208" s="58"/>
      <c r="AN208" s="58"/>
      <c r="AO208" s="58"/>
      <c r="AP208" s="58"/>
      <c r="AQ208" s="58"/>
      <c r="AR208" s="58"/>
      <c r="AS208" s="58"/>
      <c r="AT208" s="58"/>
    </row>
    <row r="209" spans="1:46" ht="12" hidden="1" thickBot="1">
      <c r="A209" s="588" t="s">
        <v>1469</v>
      </c>
      <c r="B209" s="522" t="s">
        <v>350</v>
      </c>
      <c r="C209" s="522" t="s">
        <v>962</v>
      </c>
      <c r="D209" s="533" t="s">
        <v>1035</v>
      </c>
      <c r="E209" s="960"/>
      <c r="F209" s="962"/>
      <c r="G209" s="961"/>
      <c r="H209" s="962"/>
      <c r="I209" s="962"/>
      <c r="J209" s="962"/>
      <c r="K209" s="962"/>
      <c r="L209" s="962"/>
      <c r="M209" s="961"/>
      <c r="N209" s="961"/>
      <c r="O209" s="962"/>
      <c r="P209" s="962"/>
      <c r="Q209" s="961"/>
      <c r="R209" s="961"/>
      <c r="S209" s="527">
        <f t="shared" ref="S209:S271" si="30">G209+H209+I209</f>
        <v>0</v>
      </c>
      <c r="T209" s="528">
        <f t="shared" ref="T209:T271" si="31">J209+K209</f>
        <v>0</v>
      </c>
      <c r="U209" s="527">
        <f t="shared" ref="U209:U271" si="32">N209+O209</f>
        <v>0</v>
      </c>
      <c r="W209" s="326">
        <f t="shared" ref="W209:W271" si="33">SUM(F209:Q209)</f>
        <v>0</v>
      </c>
      <c r="X209" s="261">
        <f t="shared" ref="X209:X271" si="34">W209-R209</f>
        <v>0</v>
      </c>
      <c r="Y209" s="58"/>
      <c r="Z209" s="1016">
        <f t="shared" si="29"/>
        <v>0</v>
      </c>
      <c r="AA209" s="58"/>
      <c r="AB209" s="58"/>
      <c r="AC209" s="58"/>
      <c r="AD209" s="58"/>
      <c r="AE209" s="58"/>
      <c r="AF209" s="58"/>
      <c r="AG209" s="58"/>
      <c r="AH209" s="58"/>
      <c r="AI209" s="58"/>
      <c r="AJ209" s="58"/>
      <c r="AK209" s="58"/>
      <c r="AL209" s="58"/>
      <c r="AM209" s="58"/>
      <c r="AN209" s="58"/>
      <c r="AO209" s="58"/>
      <c r="AP209" s="58"/>
      <c r="AQ209" s="58"/>
      <c r="AR209" s="58"/>
      <c r="AS209" s="58"/>
      <c r="AT209" s="58"/>
    </row>
    <row r="210" spans="1:46" ht="12" hidden="1" thickBot="1">
      <c r="A210" s="588" t="s">
        <v>1469</v>
      </c>
      <c r="B210" s="522" t="s">
        <v>342</v>
      </c>
      <c r="C210" s="522" t="s">
        <v>963</v>
      </c>
      <c r="D210" s="533" t="s">
        <v>1035</v>
      </c>
      <c r="E210" s="960"/>
      <c r="F210" s="962"/>
      <c r="G210" s="961"/>
      <c r="H210" s="962"/>
      <c r="I210" s="962"/>
      <c r="J210" s="962"/>
      <c r="K210" s="962"/>
      <c r="L210" s="962"/>
      <c r="M210" s="961"/>
      <c r="N210" s="961"/>
      <c r="O210" s="962"/>
      <c r="P210" s="962"/>
      <c r="Q210" s="961"/>
      <c r="R210" s="961"/>
      <c r="S210" s="527">
        <f t="shared" si="30"/>
        <v>0</v>
      </c>
      <c r="T210" s="528">
        <f t="shared" si="31"/>
        <v>0</v>
      </c>
      <c r="U210" s="527">
        <f t="shared" si="32"/>
        <v>0</v>
      </c>
      <c r="W210" s="326">
        <f t="shared" si="33"/>
        <v>0</v>
      </c>
      <c r="X210" s="261">
        <f t="shared" si="34"/>
        <v>0</v>
      </c>
      <c r="Y210" s="58"/>
      <c r="Z210" s="1016">
        <f t="shared" si="29"/>
        <v>0</v>
      </c>
      <c r="AA210" s="58"/>
      <c r="AB210" s="58"/>
      <c r="AC210" s="58"/>
      <c r="AD210" s="58"/>
      <c r="AE210" s="58"/>
      <c r="AF210" s="58"/>
      <c r="AG210" s="58"/>
      <c r="AH210" s="58"/>
      <c r="AI210" s="58"/>
      <c r="AJ210" s="58"/>
      <c r="AK210" s="58"/>
      <c r="AL210" s="58"/>
      <c r="AM210" s="58"/>
      <c r="AN210" s="58"/>
      <c r="AO210" s="58"/>
      <c r="AP210" s="58"/>
      <c r="AQ210" s="58"/>
      <c r="AR210" s="58"/>
      <c r="AS210" s="58"/>
      <c r="AT210" s="58"/>
    </row>
    <row r="211" spans="1:46" ht="12" hidden="1" thickBot="1">
      <c r="A211" s="588" t="s">
        <v>1469</v>
      </c>
      <c r="B211" s="522" t="s">
        <v>346</v>
      </c>
      <c r="C211" s="522" t="s">
        <v>964</v>
      </c>
      <c r="D211" s="533" t="s">
        <v>1035</v>
      </c>
      <c r="E211" s="960"/>
      <c r="F211" s="962"/>
      <c r="G211" s="961"/>
      <c r="H211" s="962"/>
      <c r="I211" s="962"/>
      <c r="J211" s="962"/>
      <c r="K211" s="962"/>
      <c r="L211" s="962"/>
      <c r="M211" s="961"/>
      <c r="N211" s="961"/>
      <c r="O211" s="962"/>
      <c r="P211" s="962"/>
      <c r="Q211" s="961"/>
      <c r="R211" s="961"/>
      <c r="S211" s="527">
        <f t="shared" si="30"/>
        <v>0</v>
      </c>
      <c r="T211" s="528">
        <f t="shared" si="31"/>
        <v>0</v>
      </c>
      <c r="U211" s="527">
        <f t="shared" si="32"/>
        <v>0</v>
      </c>
      <c r="W211" s="326">
        <f t="shared" si="33"/>
        <v>0</v>
      </c>
      <c r="X211" s="261">
        <f t="shared" si="34"/>
        <v>0</v>
      </c>
      <c r="Y211" s="58"/>
      <c r="Z211" s="1016">
        <f t="shared" si="29"/>
        <v>0</v>
      </c>
      <c r="AA211" s="58"/>
      <c r="AB211" s="58"/>
      <c r="AC211" s="58"/>
      <c r="AD211" s="58"/>
      <c r="AE211" s="58"/>
      <c r="AF211" s="58"/>
      <c r="AG211" s="58"/>
      <c r="AH211" s="58"/>
      <c r="AI211" s="58"/>
      <c r="AJ211" s="58"/>
      <c r="AK211" s="58"/>
      <c r="AL211" s="58"/>
      <c r="AM211" s="58"/>
      <c r="AN211" s="58"/>
      <c r="AO211" s="58"/>
      <c r="AP211" s="58"/>
      <c r="AQ211" s="58"/>
      <c r="AR211" s="58"/>
      <c r="AS211" s="58"/>
      <c r="AT211" s="58"/>
    </row>
    <row r="212" spans="1:46" ht="12" hidden="1" thickBot="1">
      <c r="A212" s="588" t="s">
        <v>1469</v>
      </c>
      <c r="B212" s="522" t="s">
        <v>353</v>
      </c>
      <c r="C212" s="522" t="s">
        <v>965</v>
      </c>
      <c r="D212" s="533" t="s">
        <v>1035</v>
      </c>
      <c r="E212" s="960"/>
      <c r="F212" s="962"/>
      <c r="G212" s="961"/>
      <c r="H212" s="962"/>
      <c r="I212" s="962"/>
      <c r="J212" s="962"/>
      <c r="K212" s="962"/>
      <c r="L212" s="962"/>
      <c r="M212" s="961"/>
      <c r="N212" s="961"/>
      <c r="O212" s="962"/>
      <c r="P212" s="962"/>
      <c r="Q212" s="961"/>
      <c r="R212" s="961"/>
      <c r="S212" s="527">
        <f t="shared" si="30"/>
        <v>0</v>
      </c>
      <c r="T212" s="528">
        <f t="shared" si="31"/>
        <v>0</v>
      </c>
      <c r="U212" s="527">
        <f t="shared" si="32"/>
        <v>0</v>
      </c>
      <c r="W212" s="326">
        <f t="shared" si="33"/>
        <v>0</v>
      </c>
      <c r="X212" s="261">
        <f t="shared" si="34"/>
        <v>0</v>
      </c>
      <c r="Y212" s="58"/>
      <c r="Z212" s="1016">
        <f t="shared" si="29"/>
        <v>0</v>
      </c>
      <c r="AA212" s="58"/>
      <c r="AB212" s="58"/>
      <c r="AC212" s="58"/>
      <c r="AD212" s="58"/>
      <c r="AE212" s="58"/>
      <c r="AF212" s="58"/>
      <c r="AG212" s="58"/>
      <c r="AH212" s="58"/>
      <c r="AI212" s="58"/>
      <c r="AJ212" s="58"/>
      <c r="AK212" s="58"/>
      <c r="AL212" s="58"/>
      <c r="AM212" s="58"/>
      <c r="AN212" s="58"/>
      <c r="AO212" s="58"/>
      <c r="AP212" s="58"/>
      <c r="AQ212" s="58"/>
      <c r="AR212" s="58"/>
      <c r="AS212" s="58"/>
      <c r="AT212" s="58"/>
    </row>
    <row r="213" spans="1:46" ht="12" hidden="1" thickBot="1">
      <c r="A213" s="588" t="s">
        <v>1469</v>
      </c>
      <c r="B213" s="522" t="s">
        <v>345</v>
      </c>
      <c r="C213" s="522" t="s">
        <v>966</v>
      </c>
      <c r="D213" s="533" t="s">
        <v>1035</v>
      </c>
      <c r="E213" s="960"/>
      <c r="F213" s="962"/>
      <c r="G213" s="961"/>
      <c r="H213" s="962"/>
      <c r="I213" s="962"/>
      <c r="J213" s="962"/>
      <c r="K213" s="962"/>
      <c r="L213" s="962"/>
      <c r="M213" s="961"/>
      <c r="N213" s="961"/>
      <c r="O213" s="962"/>
      <c r="P213" s="962"/>
      <c r="Q213" s="961"/>
      <c r="R213" s="961"/>
      <c r="S213" s="527">
        <f t="shared" si="30"/>
        <v>0</v>
      </c>
      <c r="T213" s="528">
        <f t="shared" si="31"/>
        <v>0</v>
      </c>
      <c r="U213" s="527">
        <f t="shared" si="32"/>
        <v>0</v>
      </c>
      <c r="W213" s="326">
        <f t="shared" si="33"/>
        <v>0</v>
      </c>
      <c r="X213" s="261">
        <f t="shared" si="34"/>
        <v>0</v>
      </c>
      <c r="Y213" s="58"/>
      <c r="Z213" s="1016">
        <f t="shared" si="29"/>
        <v>0</v>
      </c>
      <c r="AA213" s="58"/>
      <c r="AB213" s="58"/>
      <c r="AC213" s="58"/>
      <c r="AD213" s="58"/>
      <c r="AE213" s="58"/>
      <c r="AF213" s="58"/>
      <c r="AG213" s="58"/>
      <c r="AH213" s="58"/>
      <c r="AI213" s="58"/>
      <c r="AJ213" s="58"/>
      <c r="AK213" s="58"/>
      <c r="AL213" s="58"/>
      <c r="AM213" s="58"/>
      <c r="AN213" s="58"/>
      <c r="AO213" s="58"/>
      <c r="AP213" s="58"/>
      <c r="AQ213" s="58"/>
      <c r="AR213" s="58"/>
      <c r="AS213" s="58"/>
      <c r="AT213" s="58"/>
    </row>
    <row r="214" spans="1:46" ht="12" hidden="1" thickBot="1">
      <c r="A214" s="588" t="s">
        <v>1469</v>
      </c>
      <c r="B214" s="522" t="s">
        <v>343</v>
      </c>
      <c r="C214" s="522" t="s">
        <v>967</v>
      </c>
      <c r="D214" s="533" t="s">
        <v>1035</v>
      </c>
      <c r="E214" s="960"/>
      <c r="F214" s="962"/>
      <c r="G214" s="961"/>
      <c r="H214" s="962"/>
      <c r="I214" s="962"/>
      <c r="J214" s="962"/>
      <c r="K214" s="962"/>
      <c r="L214" s="962"/>
      <c r="M214" s="961"/>
      <c r="N214" s="961"/>
      <c r="O214" s="962"/>
      <c r="P214" s="962"/>
      <c r="Q214" s="961"/>
      <c r="R214" s="961"/>
      <c r="S214" s="527">
        <f t="shared" si="30"/>
        <v>0</v>
      </c>
      <c r="T214" s="528">
        <f t="shared" si="31"/>
        <v>0</v>
      </c>
      <c r="U214" s="527">
        <f t="shared" si="32"/>
        <v>0</v>
      </c>
      <c r="W214" s="326">
        <f t="shared" si="33"/>
        <v>0</v>
      </c>
      <c r="X214" s="261">
        <f t="shared" si="34"/>
        <v>0</v>
      </c>
      <c r="Y214" s="58"/>
      <c r="Z214" s="1016">
        <f t="shared" si="29"/>
        <v>0</v>
      </c>
      <c r="AA214" s="58"/>
      <c r="AB214" s="58"/>
      <c r="AC214" s="58"/>
      <c r="AD214" s="58"/>
      <c r="AE214" s="58"/>
      <c r="AF214" s="58"/>
      <c r="AG214" s="58"/>
      <c r="AH214" s="58"/>
      <c r="AI214" s="58"/>
      <c r="AJ214" s="58"/>
      <c r="AK214" s="58"/>
      <c r="AL214" s="58"/>
      <c r="AM214" s="58"/>
      <c r="AN214" s="58"/>
      <c r="AO214" s="58"/>
      <c r="AP214" s="58"/>
      <c r="AQ214" s="58"/>
      <c r="AR214" s="58"/>
      <c r="AS214" s="58"/>
      <c r="AT214" s="58"/>
    </row>
    <row r="215" spans="1:46" ht="12" hidden="1" thickBot="1">
      <c r="A215" s="588" t="s">
        <v>1469</v>
      </c>
      <c r="B215" s="522" t="s">
        <v>472</v>
      </c>
      <c r="C215" s="522" t="s">
        <v>968</v>
      </c>
      <c r="D215" s="533" t="s">
        <v>1035</v>
      </c>
      <c r="E215" s="960"/>
      <c r="F215" s="962"/>
      <c r="G215" s="961"/>
      <c r="H215" s="962"/>
      <c r="I215" s="962"/>
      <c r="J215" s="962"/>
      <c r="K215" s="962"/>
      <c r="L215" s="962"/>
      <c r="M215" s="961"/>
      <c r="N215" s="961"/>
      <c r="O215" s="962"/>
      <c r="P215" s="962"/>
      <c r="Q215" s="962"/>
      <c r="R215" s="961"/>
      <c r="S215" s="527">
        <f t="shared" si="30"/>
        <v>0</v>
      </c>
      <c r="T215" s="528">
        <f t="shared" si="31"/>
        <v>0</v>
      </c>
      <c r="U215" s="527">
        <f t="shared" si="32"/>
        <v>0</v>
      </c>
      <c r="W215" s="326">
        <f t="shared" si="33"/>
        <v>0</v>
      </c>
      <c r="X215" s="261">
        <f t="shared" si="34"/>
        <v>0</v>
      </c>
      <c r="Y215" s="58"/>
      <c r="Z215" s="1016">
        <f t="shared" si="29"/>
        <v>0</v>
      </c>
      <c r="AA215" s="58"/>
      <c r="AB215" s="58"/>
      <c r="AC215" s="58"/>
      <c r="AD215" s="58"/>
      <c r="AE215" s="58"/>
      <c r="AF215" s="58"/>
      <c r="AG215" s="58"/>
      <c r="AH215" s="58"/>
      <c r="AI215" s="58"/>
      <c r="AJ215" s="58"/>
      <c r="AK215" s="58"/>
      <c r="AL215" s="58"/>
      <c r="AM215" s="58"/>
      <c r="AN215" s="58"/>
      <c r="AO215" s="58"/>
      <c r="AP215" s="58"/>
      <c r="AQ215" s="58"/>
      <c r="AR215" s="58"/>
      <c r="AS215" s="58"/>
      <c r="AT215" s="58"/>
    </row>
    <row r="216" spans="1:46" ht="12" hidden="1" thickBot="1">
      <c r="A216" s="588" t="s">
        <v>1469</v>
      </c>
      <c r="B216" s="522" t="s">
        <v>382</v>
      </c>
      <c r="C216" s="522" t="s">
        <v>969</v>
      </c>
      <c r="D216" s="533" t="s">
        <v>1035</v>
      </c>
      <c r="E216" s="960"/>
      <c r="F216" s="962"/>
      <c r="G216" s="961"/>
      <c r="H216" s="962"/>
      <c r="I216" s="962"/>
      <c r="J216" s="962"/>
      <c r="K216" s="962"/>
      <c r="L216" s="962"/>
      <c r="M216" s="961"/>
      <c r="N216" s="961"/>
      <c r="O216" s="962"/>
      <c r="P216" s="962"/>
      <c r="Q216" s="961"/>
      <c r="R216" s="961"/>
      <c r="S216" s="527">
        <f t="shared" si="30"/>
        <v>0</v>
      </c>
      <c r="T216" s="528">
        <f t="shared" si="31"/>
        <v>0</v>
      </c>
      <c r="U216" s="527">
        <f t="shared" si="32"/>
        <v>0</v>
      </c>
      <c r="W216" s="326">
        <f t="shared" si="33"/>
        <v>0</v>
      </c>
      <c r="X216" s="261">
        <f t="shared" si="34"/>
        <v>0</v>
      </c>
      <c r="Y216" s="58"/>
      <c r="Z216" s="1016">
        <f t="shared" si="29"/>
        <v>0</v>
      </c>
      <c r="AA216" s="58"/>
      <c r="AB216" s="58"/>
      <c r="AC216" s="58"/>
      <c r="AD216" s="58"/>
      <c r="AE216" s="58"/>
      <c r="AF216" s="58"/>
      <c r="AG216" s="58"/>
      <c r="AH216" s="58"/>
      <c r="AI216" s="58"/>
      <c r="AJ216" s="58"/>
      <c r="AK216" s="58"/>
      <c r="AL216" s="58"/>
      <c r="AM216" s="58"/>
      <c r="AN216" s="58"/>
      <c r="AO216" s="58"/>
      <c r="AP216" s="58"/>
      <c r="AQ216" s="58"/>
      <c r="AR216" s="58"/>
      <c r="AS216" s="58"/>
      <c r="AT216" s="58"/>
    </row>
    <row r="217" spans="1:46" ht="12" hidden="1" thickBot="1">
      <c r="A217" s="588" t="s">
        <v>1469</v>
      </c>
      <c r="B217" s="522" t="s">
        <v>402</v>
      </c>
      <c r="C217" s="522" t="s">
        <v>970</v>
      </c>
      <c r="D217" s="533" t="s">
        <v>1036</v>
      </c>
      <c r="E217" s="960"/>
      <c r="F217" s="962"/>
      <c r="G217" s="961"/>
      <c r="H217" s="962"/>
      <c r="I217" s="962"/>
      <c r="J217" s="962"/>
      <c r="K217" s="962"/>
      <c r="L217" s="962"/>
      <c r="M217" s="961"/>
      <c r="N217" s="961"/>
      <c r="O217" s="962"/>
      <c r="P217" s="962"/>
      <c r="Q217" s="961"/>
      <c r="R217" s="961"/>
      <c r="S217" s="527">
        <f t="shared" si="30"/>
        <v>0</v>
      </c>
      <c r="T217" s="528">
        <f t="shared" si="31"/>
        <v>0</v>
      </c>
      <c r="U217" s="527">
        <f t="shared" si="32"/>
        <v>0</v>
      </c>
      <c r="W217" s="326">
        <f t="shared" si="33"/>
        <v>0</v>
      </c>
      <c r="X217" s="261">
        <f t="shared" si="34"/>
        <v>0</v>
      </c>
      <c r="Y217" s="58"/>
      <c r="Z217" s="1016">
        <f t="shared" si="29"/>
        <v>0</v>
      </c>
      <c r="AA217" s="58"/>
      <c r="AB217" s="58"/>
      <c r="AC217" s="58"/>
      <c r="AD217" s="58"/>
      <c r="AE217" s="58"/>
      <c r="AF217" s="58"/>
      <c r="AG217" s="58"/>
      <c r="AH217" s="58"/>
      <c r="AI217" s="58"/>
      <c r="AJ217" s="58"/>
      <c r="AK217" s="58"/>
      <c r="AL217" s="58"/>
      <c r="AM217" s="58"/>
      <c r="AN217" s="58"/>
      <c r="AO217" s="58"/>
      <c r="AP217" s="58"/>
      <c r="AQ217" s="58"/>
      <c r="AR217" s="58"/>
      <c r="AS217" s="58"/>
      <c r="AT217" s="58"/>
    </row>
    <row r="218" spans="1:46" ht="12" hidden="1" thickBot="1">
      <c r="A218" s="588" t="s">
        <v>1469</v>
      </c>
      <c r="B218" s="522" t="s">
        <v>398</v>
      </c>
      <c r="C218" s="522" t="s">
        <v>971</v>
      </c>
      <c r="D218" s="533" t="s">
        <v>1036</v>
      </c>
      <c r="E218" s="960"/>
      <c r="F218" s="962"/>
      <c r="G218" s="961"/>
      <c r="H218" s="962"/>
      <c r="I218" s="962"/>
      <c r="J218" s="962"/>
      <c r="K218" s="962"/>
      <c r="L218" s="962"/>
      <c r="M218" s="961"/>
      <c r="N218" s="961"/>
      <c r="O218" s="962"/>
      <c r="P218" s="962"/>
      <c r="Q218" s="961"/>
      <c r="R218" s="961"/>
      <c r="S218" s="527">
        <f t="shared" si="30"/>
        <v>0</v>
      </c>
      <c r="T218" s="528">
        <f t="shared" si="31"/>
        <v>0</v>
      </c>
      <c r="U218" s="527">
        <f t="shared" si="32"/>
        <v>0</v>
      </c>
      <c r="W218" s="326">
        <f t="shared" si="33"/>
        <v>0</v>
      </c>
      <c r="X218" s="261">
        <f t="shared" si="34"/>
        <v>0</v>
      </c>
      <c r="Y218" s="58"/>
      <c r="Z218" s="1016">
        <f t="shared" si="29"/>
        <v>0</v>
      </c>
      <c r="AA218" s="58"/>
      <c r="AB218" s="58"/>
      <c r="AC218" s="58"/>
      <c r="AD218" s="58"/>
      <c r="AE218" s="58"/>
      <c r="AF218" s="58"/>
      <c r="AG218" s="58"/>
      <c r="AH218" s="58"/>
      <c r="AI218" s="58"/>
      <c r="AJ218" s="58"/>
      <c r="AK218" s="58"/>
      <c r="AL218" s="58"/>
      <c r="AM218" s="58"/>
      <c r="AN218" s="58"/>
      <c r="AO218" s="58"/>
      <c r="AP218" s="58"/>
      <c r="AQ218" s="58"/>
      <c r="AR218" s="58"/>
      <c r="AS218" s="58"/>
      <c r="AT218" s="58"/>
    </row>
    <row r="219" spans="1:46" ht="12" hidden="1" thickBot="1">
      <c r="A219" s="588" t="s">
        <v>1469</v>
      </c>
      <c r="B219" s="522" t="s">
        <v>376</v>
      </c>
      <c r="C219" s="522" t="s">
        <v>972</v>
      </c>
      <c r="D219" s="533" t="s">
        <v>1036</v>
      </c>
      <c r="E219" s="960"/>
      <c r="F219" s="962"/>
      <c r="G219" s="961"/>
      <c r="H219" s="962"/>
      <c r="I219" s="962"/>
      <c r="J219" s="962"/>
      <c r="K219" s="962"/>
      <c r="L219" s="962"/>
      <c r="M219" s="961"/>
      <c r="N219" s="961"/>
      <c r="O219" s="962"/>
      <c r="P219" s="962"/>
      <c r="Q219" s="961"/>
      <c r="R219" s="961"/>
      <c r="S219" s="527">
        <f t="shared" si="30"/>
        <v>0</v>
      </c>
      <c r="T219" s="528">
        <f t="shared" si="31"/>
        <v>0</v>
      </c>
      <c r="U219" s="527">
        <f t="shared" si="32"/>
        <v>0</v>
      </c>
      <c r="W219" s="326">
        <f t="shared" si="33"/>
        <v>0</v>
      </c>
      <c r="X219" s="261">
        <f t="shared" si="34"/>
        <v>0</v>
      </c>
      <c r="Y219" s="58"/>
      <c r="Z219" s="1016">
        <f t="shared" si="29"/>
        <v>0</v>
      </c>
      <c r="AA219" s="58"/>
      <c r="AB219" s="58"/>
      <c r="AC219" s="58"/>
      <c r="AD219" s="58"/>
      <c r="AE219" s="58"/>
      <c r="AF219" s="58"/>
      <c r="AG219" s="58"/>
      <c r="AH219" s="58"/>
      <c r="AI219" s="58"/>
      <c r="AJ219" s="58"/>
      <c r="AK219" s="58"/>
      <c r="AL219" s="58"/>
      <c r="AM219" s="58"/>
      <c r="AN219" s="58"/>
      <c r="AO219" s="58"/>
      <c r="AP219" s="58"/>
      <c r="AQ219" s="58"/>
      <c r="AR219" s="58"/>
      <c r="AS219" s="58"/>
      <c r="AT219" s="58"/>
    </row>
    <row r="220" spans="1:46" ht="12" hidden="1" thickBot="1">
      <c r="A220" s="588" t="s">
        <v>1469</v>
      </c>
      <c r="B220" s="522" t="s">
        <v>384</v>
      </c>
      <c r="C220" s="522" t="s">
        <v>973</v>
      </c>
      <c r="D220" s="533" t="s">
        <v>1035</v>
      </c>
      <c r="E220" s="960"/>
      <c r="F220" s="962"/>
      <c r="G220" s="961"/>
      <c r="H220" s="962"/>
      <c r="I220" s="962"/>
      <c r="J220" s="962"/>
      <c r="K220" s="962"/>
      <c r="L220" s="962"/>
      <c r="M220" s="961"/>
      <c r="N220" s="961"/>
      <c r="O220" s="962"/>
      <c r="P220" s="962"/>
      <c r="Q220" s="961"/>
      <c r="R220" s="961"/>
      <c r="S220" s="527">
        <f t="shared" si="30"/>
        <v>0</v>
      </c>
      <c r="T220" s="528">
        <f t="shared" si="31"/>
        <v>0</v>
      </c>
      <c r="U220" s="527">
        <f t="shared" si="32"/>
        <v>0</v>
      </c>
      <c r="W220" s="326">
        <f t="shared" si="33"/>
        <v>0</v>
      </c>
      <c r="X220" s="261">
        <f t="shared" si="34"/>
        <v>0</v>
      </c>
      <c r="Y220" s="58"/>
      <c r="Z220" s="1016">
        <f t="shared" si="29"/>
        <v>0</v>
      </c>
      <c r="AA220" s="58"/>
      <c r="AB220" s="58"/>
      <c r="AC220" s="58"/>
      <c r="AD220" s="58"/>
      <c r="AE220" s="58"/>
      <c r="AF220" s="58"/>
      <c r="AG220" s="58"/>
      <c r="AH220" s="58"/>
      <c r="AI220" s="58"/>
      <c r="AJ220" s="58"/>
      <c r="AK220" s="58"/>
      <c r="AL220" s="58"/>
      <c r="AM220" s="58"/>
      <c r="AN220" s="58"/>
      <c r="AO220" s="58"/>
      <c r="AP220" s="58"/>
      <c r="AQ220" s="58"/>
      <c r="AR220" s="58"/>
      <c r="AS220" s="58"/>
      <c r="AT220" s="58"/>
    </row>
    <row r="221" spans="1:46" ht="12" hidden="1" thickBot="1">
      <c r="A221" s="588" t="s">
        <v>1469</v>
      </c>
      <c r="B221" s="522" t="s">
        <v>386</v>
      </c>
      <c r="C221" s="522" t="s">
        <v>974</v>
      </c>
      <c r="D221" s="533" t="s">
        <v>1036</v>
      </c>
      <c r="E221" s="960"/>
      <c r="F221" s="962"/>
      <c r="G221" s="961"/>
      <c r="H221" s="962"/>
      <c r="I221" s="962"/>
      <c r="J221" s="962"/>
      <c r="K221" s="962"/>
      <c r="L221" s="962"/>
      <c r="M221" s="961"/>
      <c r="N221" s="961"/>
      <c r="O221" s="962"/>
      <c r="P221" s="962"/>
      <c r="Q221" s="961"/>
      <c r="R221" s="961"/>
      <c r="S221" s="527">
        <f t="shared" si="30"/>
        <v>0</v>
      </c>
      <c r="T221" s="528">
        <f t="shared" si="31"/>
        <v>0</v>
      </c>
      <c r="U221" s="527">
        <f t="shared" si="32"/>
        <v>0</v>
      </c>
      <c r="W221" s="326">
        <f t="shared" si="33"/>
        <v>0</v>
      </c>
      <c r="X221" s="261">
        <f t="shared" si="34"/>
        <v>0</v>
      </c>
      <c r="Y221" s="58"/>
      <c r="Z221" s="1016">
        <f t="shared" si="29"/>
        <v>0</v>
      </c>
      <c r="AA221" s="58"/>
      <c r="AB221" s="58"/>
      <c r="AC221" s="58"/>
      <c r="AD221" s="58"/>
      <c r="AE221" s="58"/>
      <c r="AF221" s="58"/>
      <c r="AG221" s="58"/>
      <c r="AH221" s="58"/>
      <c r="AI221" s="58"/>
      <c r="AJ221" s="58"/>
      <c r="AK221" s="58"/>
      <c r="AL221" s="58"/>
      <c r="AM221" s="58"/>
      <c r="AN221" s="58"/>
      <c r="AO221" s="58"/>
      <c r="AP221" s="58"/>
      <c r="AQ221" s="58"/>
      <c r="AR221" s="58"/>
      <c r="AS221" s="58"/>
      <c r="AT221" s="58"/>
    </row>
    <row r="222" spans="1:46" ht="12" hidden="1" thickBot="1">
      <c r="A222" s="588" t="s">
        <v>1469</v>
      </c>
      <c r="B222" s="522" t="s">
        <v>409</v>
      </c>
      <c r="C222" s="522" t="s">
        <v>975</v>
      </c>
      <c r="D222" s="533" t="s">
        <v>1036</v>
      </c>
      <c r="E222" s="960"/>
      <c r="F222" s="962"/>
      <c r="G222" s="961"/>
      <c r="H222" s="962"/>
      <c r="I222" s="962"/>
      <c r="J222" s="962"/>
      <c r="K222" s="962"/>
      <c r="L222" s="962"/>
      <c r="M222" s="961"/>
      <c r="N222" s="961"/>
      <c r="O222" s="962"/>
      <c r="P222" s="962"/>
      <c r="Q222" s="961"/>
      <c r="R222" s="961"/>
      <c r="S222" s="527">
        <f t="shared" si="30"/>
        <v>0</v>
      </c>
      <c r="T222" s="528">
        <f t="shared" si="31"/>
        <v>0</v>
      </c>
      <c r="U222" s="527">
        <f t="shared" si="32"/>
        <v>0</v>
      </c>
      <c r="W222" s="326">
        <f t="shared" si="33"/>
        <v>0</v>
      </c>
      <c r="X222" s="261">
        <f t="shared" si="34"/>
        <v>0</v>
      </c>
      <c r="Y222" s="58"/>
      <c r="Z222" s="1016">
        <f t="shared" si="29"/>
        <v>0</v>
      </c>
      <c r="AA222" s="58"/>
      <c r="AB222" s="58"/>
      <c r="AC222" s="58"/>
      <c r="AD222" s="58"/>
      <c r="AE222" s="58"/>
      <c r="AF222" s="58"/>
      <c r="AG222" s="58"/>
      <c r="AH222" s="58"/>
      <c r="AI222" s="58"/>
      <c r="AJ222" s="58"/>
      <c r="AK222" s="58"/>
      <c r="AL222" s="58"/>
      <c r="AM222" s="58"/>
      <c r="AN222" s="58"/>
      <c r="AO222" s="58"/>
      <c r="AP222" s="58"/>
      <c r="AQ222" s="58"/>
      <c r="AR222" s="58"/>
      <c r="AS222" s="58"/>
      <c r="AT222" s="58"/>
    </row>
    <row r="223" spans="1:46" ht="12" hidden="1" thickBot="1">
      <c r="A223" s="588" t="s">
        <v>1469</v>
      </c>
      <c r="B223" s="522" t="s">
        <v>387</v>
      </c>
      <c r="C223" s="522" t="s">
        <v>976</v>
      </c>
      <c r="D223" s="533" t="s">
        <v>1035</v>
      </c>
      <c r="E223" s="960"/>
      <c r="F223" s="962"/>
      <c r="G223" s="961"/>
      <c r="H223" s="962"/>
      <c r="I223" s="962"/>
      <c r="J223" s="962"/>
      <c r="K223" s="962"/>
      <c r="L223" s="962"/>
      <c r="M223" s="961"/>
      <c r="N223" s="961"/>
      <c r="O223" s="962"/>
      <c r="P223" s="962"/>
      <c r="Q223" s="961"/>
      <c r="R223" s="961"/>
      <c r="S223" s="527">
        <f t="shared" si="30"/>
        <v>0</v>
      </c>
      <c r="T223" s="528">
        <f t="shared" si="31"/>
        <v>0</v>
      </c>
      <c r="U223" s="527">
        <f t="shared" si="32"/>
        <v>0</v>
      </c>
      <c r="W223" s="326">
        <f t="shared" si="33"/>
        <v>0</v>
      </c>
      <c r="X223" s="261">
        <f t="shared" si="34"/>
        <v>0</v>
      </c>
      <c r="Y223" s="58"/>
      <c r="Z223" s="1016">
        <f t="shared" si="29"/>
        <v>0</v>
      </c>
      <c r="AA223" s="58"/>
      <c r="AB223" s="58"/>
      <c r="AC223" s="58"/>
      <c r="AD223" s="58"/>
      <c r="AE223" s="58"/>
      <c r="AF223" s="58"/>
      <c r="AG223" s="58"/>
      <c r="AH223" s="58"/>
      <c r="AI223" s="58"/>
      <c r="AJ223" s="58"/>
      <c r="AK223" s="58"/>
      <c r="AL223" s="58"/>
      <c r="AM223" s="58"/>
      <c r="AN223" s="58"/>
      <c r="AO223" s="58"/>
      <c r="AP223" s="58"/>
      <c r="AQ223" s="58"/>
      <c r="AR223" s="58"/>
      <c r="AS223" s="58"/>
      <c r="AT223" s="58"/>
    </row>
    <row r="224" spans="1:46" ht="12" hidden="1" thickBot="1">
      <c r="A224" s="588" t="s">
        <v>1469</v>
      </c>
      <c r="B224" s="522" t="s">
        <v>410</v>
      </c>
      <c r="C224" s="522" t="s">
        <v>977</v>
      </c>
      <c r="D224" s="533" t="s">
        <v>1035</v>
      </c>
      <c r="E224" s="960"/>
      <c r="F224" s="962"/>
      <c r="G224" s="961"/>
      <c r="H224" s="962"/>
      <c r="I224" s="962"/>
      <c r="J224" s="962"/>
      <c r="K224" s="962"/>
      <c r="L224" s="962"/>
      <c r="M224" s="961"/>
      <c r="N224" s="961"/>
      <c r="O224" s="962"/>
      <c r="P224" s="962"/>
      <c r="Q224" s="961"/>
      <c r="R224" s="961"/>
      <c r="S224" s="527">
        <f t="shared" si="30"/>
        <v>0</v>
      </c>
      <c r="T224" s="528">
        <f t="shared" si="31"/>
        <v>0</v>
      </c>
      <c r="U224" s="527">
        <f t="shared" si="32"/>
        <v>0</v>
      </c>
      <c r="W224" s="326">
        <f t="shared" si="33"/>
        <v>0</v>
      </c>
      <c r="X224" s="261">
        <f t="shared" si="34"/>
        <v>0</v>
      </c>
      <c r="Y224" s="58"/>
      <c r="Z224" s="1016">
        <f t="shared" si="29"/>
        <v>0</v>
      </c>
      <c r="AA224" s="58"/>
      <c r="AB224" s="58"/>
      <c r="AC224" s="58"/>
      <c r="AD224" s="58"/>
      <c r="AE224" s="58"/>
      <c r="AF224" s="58"/>
      <c r="AG224" s="58"/>
      <c r="AH224" s="58"/>
      <c r="AI224" s="58"/>
      <c r="AJ224" s="58"/>
      <c r="AK224" s="58"/>
      <c r="AL224" s="58"/>
      <c r="AM224" s="58"/>
      <c r="AN224" s="58"/>
      <c r="AO224" s="58"/>
      <c r="AP224" s="58"/>
      <c r="AQ224" s="58"/>
      <c r="AR224" s="58"/>
      <c r="AS224" s="58"/>
      <c r="AT224" s="58"/>
    </row>
    <row r="225" spans="1:46" ht="12" hidden="1" thickBot="1">
      <c r="A225" s="588" t="s">
        <v>1469</v>
      </c>
      <c r="B225" s="522" t="s">
        <v>405</v>
      </c>
      <c r="C225" s="522" t="s">
        <v>978</v>
      </c>
      <c r="D225" s="533" t="s">
        <v>1035</v>
      </c>
      <c r="E225" s="960"/>
      <c r="F225" s="962"/>
      <c r="G225" s="961"/>
      <c r="H225" s="962"/>
      <c r="I225" s="962"/>
      <c r="J225" s="962"/>
      <c r="K225" s="962"/>
      <c r="L225" s="962"/>
      <c r="M225" s="961"/>
      <c r="N225" s="961"/>
      <c r="O225" s="962"/>
      <c r="P225" s="962"/>
      <c r="Q225" s="961"/>
      <c r="R225" s="961"/>
      <c r="S225" s="527">
        <f t="shared" si="30"/>
        <v>0</v>
      </c>
      <c r="T225" s="528">
        <f t="shared" si="31"/>
        <v>0</v>
      </c>
      <c r="U225" s="527">
        <f t="shared" si="32"/>
        <v>0</v>
      </c>
      <c r="W225" s="326">
        <f t="shared" si="33"/>
        <v>0</v>
      </c>
      <c r="X225" s="261">
        <f t="shared" si="34"/>
        <v>0</v>
      </c>
      <c r="Y225" s="58"/>
      <c r="Z225" s="1016">
        <f t="shared" si="29"/>
        <v>0</v>
      </c>
      <c r="AA225" s="58"/>
      <c r="AB225" s="58"/>
      <c r="AC225" s="58"/>
      <c r="AD225" s="58"/>
      <c r="AE225" s="58"/>
      <c r="AF225" s="58"/>
      <c r="AG225" s="58"/>
      <c r="AH225" s="58"/>
      <c r="AI225" s="58"/>
      <c r="AJ225" s="58"/>
      <c r="AK225" s="58"/>
      <c r="AL225" s="58"/>
      <c r="AM225" s="58"/>
      <c r="AN225" s="58"/>
      <c r="AO225" s="58"/>
      <c r="AP225" s="58"/>
      <c r="AQ225" s="58"/>
      <c r="AR225" s="58"/>
      <c r="AS225" s="58"/>
      <c r="AT225" s="58"/>
    </row>
    <row r="226" spans="1:46" ht="12" hidden="1" thickBot="1">
      <c r="A226" s="588" t="s">
        <v>1469</v>
      </c>
      <c r="B226" s="522" t="s">
        <v>326</v>
      </c>
      <c r="C226" s="522" t="s">
        <v>979</v>
      </c>
      <c r="D226" s="533" t="s">
        <v>1036</v>
      </c>
      <c r="E226" s="960"/>
      <c r="F226" s="962"/>
      <c r="G226" s="961"/>
      <c r="H226" s="962"/>
      <c r="I226" s="962"/>
      <c r="J226" s="962"/>
      <c r="K226" s="962"/>
      <c r="L226" s="962"/>
      <c r="M226" s="961"/>
      <c r="N226" s="961"/>
      <c r="O226" s="962"/>
      <c r="P226" s="962"/>
      <c r="Q226" s="961"/>
      <c r="R226" s="961"/>
      <c r="S226" s="527">
        <f t="shared" si="30"/>
        <v>0</v>
      </c>
      <c r="T226" s="528">
        <f t="shared" si="31"/>
        <v>0</v>
      </c>
      <c r="U226" s="527">
        <f t="shared" si="32"/>
        <v>0</v>
      </c>
      <c r="W226" s="326">
        <f t="shared" si="33"/>
        <v>0</v>
      </c>
      <c r="X226" s="261">
        <f t="shared" si="34"/>
        <v>0</v>
      </c>
      <c r="Y226" s="58"/>
      <c r="Z226" s="1016">
        <f t="shared" si="29"/>
        <v>0</v>
      </c>
      <c r="AA226" s="58"/>
      <c r="AB226" s="58"/>
      <c r="AC226" s="58"/>
      <c r="AD226" s="58"/>
      <c r="AE226" s="58"/>
      <c r="AF226" s="58"/>
      <c r="AG226" s="58"/>
      <c r="AH226" s="58"/>
      <c r="AI226" s="58"/>
      <c r="AJ226" s="58"/>
      <c r="AK226" s="58"/>
      <c r="AL226" s="58"/>
      <c r="AM226" s="58"/>
      <c r="AN226" s="58"/>
      <c r="AO226" s="58"/>
      <c r="AP226" s="58"/>
      <c r="AQ226" s="58"/>
      <c r="AR226" s="58"/>
      <c r="AS226" s="58"/>
      <c r="AT226" s="58"/>
    </row>
    <row r="227" spans="1:46" ht="12" hidden="1" thickBot="1">
      <c r="A227" s="588" t="s">
        <v>1469</v>
      </c>
      <c r="B227" s="522" t="s">
        <v>356</v>
      </c>
      <c r="C227" s="522" t="s">
        <v>980</v>
      </c>
      <c r="D227" s="533" t="s">
        <v>1036</v>
      </c>
      <c r="E227" s="960"/>
      <c r="F227" s="962"/>
      <c r="G227" s="961"/>
      <c r="H227" s="962"/>
      <c r="I227" s="962"/>
      <c r="J227" s="962"/>
      <c r="K227" s="962"/>
      <c r="L227" s="962"/>
      <c r="M227" s="961"/>
      <c r="N227" s="961"/>
      <c r="O227" s="962"/>
      <c r="P227" s="962"/>
      <c r="Q227" s="961"/>
      <c r="R227" s="961"/>
      <c r="S227" s="527">
        <f t="shared" si="30"/>
        <v>0</v>
      </c>
      <c r="T227" s="528">
        <f t="shared" si="31"/>
        <v>0</v>
      </c>
      <c r="U227" s="527">
        <f t="shared" si="32"/>
        <v>0</v>
      </c>
      <c r="W227" s="326">
        <f t="shared" si="33"/>
        <v>0</v>
      </c>
      <c r="X227" s="261">
        <f t="shared" si="34"/>
        <v>0</v>
      </c>
      <c r="Y227" s="58"/>
      <c r="Z227" s="1016">
        <f t="shared" si="29"/>
        <v>0</v>
      </c>
      <c r="AA227" s="58"/>
      <c r="AB227" s="58"/>
      <c r="AC227" s="58"/>
      <c r="AD227" s="58"/>
      <c r="AE227" s="58"/>
      <c r="AF227" s="58"/>
      <c r="AG227" s="58"/>
      <c r="AH227" s="58"/>
      <c r="AI227" s="58"/>
      <c r="AJ227" s="58"/>
      <c r="AK227" s="58"/>
      <c r="AL227" s="58"/>
      <c r="AM227" s="58"/>
      <c r="AN227" s="58"/>
      <c r="AO227" s="58"/>
      <c r="AP227" s="58"/>
      <c r="AQ227" s="58"/>
      <c r="AR227" s="58"/>
      <c r="AS227" s="58"/>
      <c r="AT227" s="58"/>
    </row>
    <row r="228" spans="1:46" ht="12" hidden="1" thickBot="1">
      <c r="A228" s="588" t="s">
        <v>1469</v>
      </c>
      <c r="B228" s="522" t="s">
        <v>374</v>
      </c>
      <c r="C228" s="522" t="s">
        <v>981</v>
      </c>
      <c r="D228" s="533" t="s">
        <v>1036</v>
      </c>
      <c r="E228" s="960"/>
      <c r="F228" s="962"/>
      <c r="G228" s="961"/>
      <c r="H228" s="962"/>
      <c r="I228" s="962"/>
      <c r="J228" s="962"/>
      <c r="K228" s="962"/>
      <c r="L228" s="962"/>
      <c r="M228" s="961"/>
      <c r="N228" s="961"/>
      <c r="O228" s="962"/>
      <c r="P228" s="962"/>
      <c r="Q228" s="961"/>
      <c r="R228" s="961"/>
      <c r="S228" s="527">
        <f t="shared" si="30"/>
        <v>0</v>
      </c>
      <c r="T228" s="528">
        <f t="shared" si="31"/>
        <v>0</v>
      </c>
      <c r="U228" s="527">
        <f t="shared" si="32"/>
        <v>0</v>
      </c>
      <c r="W228" s="326">
        <f t="shared" si="33"/>
        <v>0</v>
      </c>
      <c r="X228" s="261">
        <f t="shared" si="34"/>
        <v>0</v>
      </c>
      <c r="Y228" s="58"/>
      <c r="Z228" s="1016">
        <f t="shared" si="29"/>
        <v>0</v>
      </c>
      <c r="AA228" s="58"/>
      <c r="AB228" s="58"/>
      <c r="AC228" s="58"/>
      <c r="AD228" s="58"/>
      <c r="AE228" s="58"/>
      <c r="AF228" s="58"/>
      <c r="AG228" s="58"/>
      <c r="AH228" s="58"/>
      <c r="AI228" s="58"/>
      <c r="AJ228" s="58"/>
      <c r="AK228" s="58"/>
      <c r="AL228" s="58"/>
      <c r="AM228" s="58"/>
      <c r="AN228" s="58"/>
      <c r="AO228" s="58"/>
      <c r="AP228" s="58"/>
      <c r="AQ228" s="58"/>
      <c r="AR228" s="58"/>
      <c r="AS228" s="58"/>
      <c r="AT228" s="58"/>
    </row>
    <row r="229" spans="1:46" ht="12" hidden="1" thickBot="1">
      <c r="A229" s="588" t="s">
        <v>1469</v>
      </c>
      <c r="B229" s="522" t="s">
        <v>399</v>
      </c>
      <c r="C229" s="522" t="s">
        <v>982</v>
      </c>
      <c r="D229" s="533" t="s">
        <v>1036</v>
      </c>
      <c r="E229" s="960"/>
      <c r="F229" s="962"/>
      <c r="G229" s="961"/>
      <c r="H229" s="962"/>
      <c r="I229" s="962"/>
      <c r="J229" s="962"/>
      <c r="K229" s="962"/>
      <c r="L229" s="962"/>
      <c r="M229" s="961"/>
      <c r="N229" s="961"/>
      <c r="O229" s="962"/>
      <c r="P229" s="962"/>
      <c r="Q229" s="961"/>
      <c r="R229" s="961"/>
      <c r="S229" s="527">
        <f t="shared" si="30"/>
        <v>0</v>
      </c>
      <c r="T229" s="528">
        <f t="shared" si="31"/>
        <v>0</v>
      </c>
      <c r="U229" s="527">
        <f t="shared" si="32"/>
        <v>0</v>
      </c>
      <c r="W229" s="326">
        <f t="shared" si="33"/>
        <v>0</v>
      </c>
      <c r="X229" s="261">
        <f t="shared" si="34"/>
        <v>0</v>
      </c>
      <c r="Y229" s="58"/>
      <c r="Z229" s="1016">
        <f t="shared" si="29"/>
        <v>0</v>
      </c>
      <c r="AA229" s="58"/>
      <c r="AB229" s="58"/>
      <c r="AC229" s="58"/>
      <c r="AD229" s="58"/>
      <c r="AE229" s="58"/>
      <c r="AF229" s="58"/>
      <c r="AG229" s="58"/>
      <c r="AH229" s="58"/>
      <c r="AI229" s="58"/>
      <c r="AJ229" s="58"/>
      <c r="AK229" s="58"/>
      <c r="AL229" s="58"/>
      <c r="AM229" s="58"/>
      <c r="AN229" s="58"/>
      <c r="AO229" s="58"/>
      <c r="AP229" s="58"/>
      <c r="AQ229" s="58"/>
      <c r="AR229" s="58"/>
      <c r="AS229" s="58"/>
      <c r="AT229" s="58"/>
    </row>
    <row r="230" spans="1:46" ht="12" hidden="1" thickBot="1">
      <c r="A230" s="588" t="s">
        <v>1469</v>
      </c>
      <c r="B230" s="522" t="s">
        <v>391</v>
      </c>
      <c r="C230" s="522" t="s">
        <v>983</v>
      </c>
      <c r="D230" s="533" t="s">
        <v>1036</v>
      </c>
      <c r="E230" s="960"/>
      <c r="F230" s="962"/>
      <c r="G230" s="961"/>
      <c r="H230" s="962"/>
      <c r="I230" s="962"/>
      <c r="J230" s="962"/>
      <c r="K230" s="962"/>
      <c r="L230" s="962"/>
      <c r="M230" s="961"/>
      <c r="N230" s="961"/>
      <c r="O230" s="962"/>
      <c r="P230" s="962"/>
      <c r="Q230" s="961"/>
      <c r="R230" s="961"/>
      <c r="S230" s="527">
        <f t="shared" si="30"/>
        <v>0</v>
      </c>
      <c r="T230" s="528">
        <f t="shared" si="31"/>
        <v>0</v>
      </c>
      <c r="U230" s="527">
        <f t="shared" si="32"/>
        <v>0</v>
      </c>
      <c r="W230" s="326">
        <f t="shared" si="33"/>
        <v>0</v>
      </c>
      <c r="X230" s="261">
        <f t="shared" si="34"/>
        <v>0</v>
      </c>
      <c r="Y230" s="58"/>
      <c r="Z230" s="1016">
        <f t="shared" si="29"/>
        <v>0</v>
      </c>
      <c r="AA230" s="58"/>
      <c r="AB230" s="58"/>
      <c r="AC230" s="58"/>
      <c r="AD230" s="58"/>
      <c r="AE230" s="58"/>
      <c r="AF230" s="58"/>
      <c r="AG230" s="58"/>
      <c r="AH230" s="58"/>
      <c r="AI230" s="58"/>
      <c r="AJ230" s="58"/>
      <c r="AK230" s="58"/>
      <c r="AL230" s="58"/>
      <c r="AM230" s="58"/>
      <c r="AN230" s="58"/>
      <c r="AO230" s="58"/>
      <c r="AP230" s="58"/>
      <c r="AQ230" s="58"/>
      <c r="AR230" s="58"/>
      <c r="AS230" s="58"/>
      <c r="AT230" s="58"/>
    </row>
    <row r="231" spans="1:46" ht="12" hidden="1" thickBot="1">
      <c r="A231" s="588" t="s">
        <v>1469</v>
      </c>
      <c r="B231" s="522" t="s">
        <v>416</v>
      </c>
      <c r="C231" s="522" t="s">
        <v>984</v>
      </c>
      <c r="D231" s="533" t="s">
        <v>1035</v>
      </c>
      <c r="E231" s="960"/>
      <c r="F231" s="962"/>
      <c r="G231" s="961"/>
      <c r="H231" s="962"/>
      <c r="I231" s="962"/>
      <c r="J231" s="962"/>
      <c r="K231" s="962"/>
      <c r="L231" s="962"/>
      <c r="M231" s="961"/>
      <c r="N231" s="961"/>
      <c r="O231" s="962"/>
      <c r="P231" s="962"/>
      <c r="Q231" s="961"/>
      <c r="R231" s="961"/>
      <c r="S231" s="527">
        <f t="shared" si="30"/>
        <v>0</v>
      </c>
      <c r="T231" s="528">
        <f t="shared" si="31"/>
        <v>0</v>
      </c>
      <c r="U231" s="527">
        <f t="shared" si="32"/>
        <v>0</v>
      </c>
      <c r="W231" s="326">
        <f t="shared" si="33"/>
        <v>0</v>
      </c>
      <c r="X231" s="261">
        <f t="shared" si="34"/>
        <v>0</v>
      </c>
      <c r="Y231" s="58"/>
      <c r="Z231" s="1016">
        <f t="shared" si="29"/>
        <v>0</v>
      </c>
      <c r="AA231" s="58"/>
      <c r="AB231" s="58"/>
      <c r="AC231" s="58"/>
      <c r="AD231" s="58"/>
      <c r="AE231" s="58"/>
      <c r="AF231" s="58"/>
      <c r="AG231" s="58"/>
      <c r="AH231" s="58"/>
      <c r="AI231" s="58"/>
      <c r="AJ231" s="58"/>
      <c r="AK231" s="58"/>
      <c r="AL231" s="58"/>
      <c r="AM231" s="58"/>
      <c r="AN231" s="58"/>
      <c r="AO231" s="58"/>
      <c r="AP231" s="58"/>
      <c r="AQ231" s="58"/>
      <c r="AR231" s="58"/>
      <c r="AS231" s="58"/>
      <c r="AT231" s="58"/>
    </row>
    <row r="232" spans="1:46" ht="12" hidden="1" thickBot="1">
      <c r="A232" s="588" t="s">
        <v>1469</v>
      </c>
      <c r="B232" s="522" t="s">
        <v>407</v>
      </c>
      <c r="C232" s="522" t="s">
        <v>985</v>
      </c>
      <c r="D232" s="533" t="s">
        <v>1035</v>
      </c>
      <c r="E232" s="960"/>
      <c r="F232" s="962"/>
      <c r="G232" s="961"/>
      <c r="H232" s="962"/>
      <c r="I232" s="962"/>
      <c r="J232" s="962"/>
      <c r="K232" s="962"/>
      <c r="L232" s="962"/>
      <c r="M232" s="961"/>
      <c r="N232" s="961"/>
      <c r="O232" s="962"/>
      <c r="P232" s="962"/>
      <c r="Q232" s="961"/>
      <c r="R232" s="961"/>
      <c r="S232" s="527">
        <f t="shared" si="30"/>
        <v>0</v>
      </c>
      <c r="T232" s="528">
        <f t="shared" si="31"/>
        <v>0</v>
      </c>
      <c r="U232" s="527">
        <f t="shared" si="32"/>
        <v>0</v>
      </c>
      <c r="W232" s="326">
        <f t="shared" si="33"/>
        <v>0</v>
      </c>
      <c r="X232" s="261">
        <f t="shared" si="34"/>
        <v>0</v>
      </c>
      <c r="Y232" s="58"/>
      <c r="Z232" s="1016">
        <f t="shared" si="29"/>
        <v>0</v>
      </c>
      <c r="AA232" s="58"/>
      <c r="AB232" s="58"/>
      <c r="AC232" s="58"/>
      <c r="AD232" s="58"/>
      <c r="AE232" s="58"/>
      <c r="AF232" s="58"/>
      <c r="AG232" s="58"/>
      <c r="AH232" s="58"/>
      <c r="AI232" s="58"/>
      <c r="AJ232" s="58"/>
      <c r="AK232" s="58"/>
      <c r="AL232" s="58"/>
      <c r="AM232" s="58"/>
      <c r="AN232" s="58"/>
      <c r="AO232" s="58"/>
      <c r="AP232" s="58"/>
      <c r="AQ232" s="58"/>
      <c r="AR232" s="58"/>
      <c r="AS232" s="58"/>
      <c r="AT232" s="58"/>
    </row>
    <row r="233" spans="1:46" ht="12" hidden="1" thickBot="1">
      <c r="A233" s="588" t="s">
        <v>1469</v>
      </c>
      <c r="B233" s="522" t="s">
        <v>373</v>
      </c>
      <c r="C233" s="522" t="s">
        <v>986</v>
      </c>
      <c r="D233" s="533" t="s">
        <v>1036</v>
      </c>
      <c r="E233" s="960"/>
      <c r="F233" s="962"/>
      <c r="G233" s="961"/>
      <c r="H233" s="962"/>
      <c r="I233" s="962"/>
      <c r="J233" s="962"/>
      <c r="K233" s="962"/>
      <c r="L233" s="962"/>
      <c r="M233" s="961"/>
      <c r="N233" s="961"/>
      <c r="O233" s="962"/>
      <c r="P233" s="962"/>
      <c r="Q233" s="961"/>
      <c r="R233" s="961"/>
      <c r="S233" s="527">
        <f t="shared" si="30"/>
        <v>0</v>
      </c>
      <c r="T233" s="528">
        <f t="shared" si="31"/>
        <v>0</v>
      </c>
      <c r="U233" s="527">
        <f t="shared" si="32"/>
        <v>0</v>
      </c>
      <c r="W233" s="326">
        <f t="shared" si="33"/>
        <v>0</v>
      </c>
      <c r="X233" s="261">
        <f t="shared" si="34"/>
        <v>0</v>
      </c>
      <c r="Y233" s="58"/>
      <c r="Z233" s="1016">
        <f t="shared" si="29"/>
        <v>0</v>
      </c>
      <c r="AA233" s="58"/>
      <c r="AB233" s="58"/>
      <c r="AC233" s="58"/>
      <c r="AD233" s="58"/>
      <c r="AE233" s="58"/>
      <c r="AF233" s="58"/>
      <c r="AG233" s="58"/>
      <c r="AH233" s="58"/>
      <c r="AI233" s="58"/>
      <c r="AJ233" s="58"/>
      <c r="AK233" s="58"/>
      <c r="AL233" s="58"/>
      <c r="AM233" s="58"/>
      <c r="AN233" s="58"/>
      <c r="AO233" s="58"/>
      <c r="AP233" s="58"/>
      <c r="AQ233" s="58"/>
      <c r="AR233" s="58"/>
      <c r="AS233" s="58"/>
      <c r="AT233" s="58"/>
    </row>
    <row r="234" spans="1:46" ht="12" hidden="1" thickBot="1">
      <c r="A234" s="588" t="s">
        <v>1469</v>
      </c>
      <c r="B234" s="522" t="s">
        <v>375</v>
      </c>
      <c r="C234" s="522" t="s">
        <v>987</v>
      </c>
      <c r="D234" s="533" t="s">
        <v>1036</v>
      </c>
      <c r="E234" s="960"/>
      <c r="F234" s="962"/>
      <c r="G234" s="961"/>
      <c r="H234" s="962"/>
      <c r="I234" s="962"/>
      <c r="J234" s="962"/>
      <c r="K234" s="962"/>
      <c r="L234" s="962"/>
      <c r="M234" s="961"/>
      <c r="N234" s="961"/>
      <c r="O234" s="962"/>
      <c r="P234" s="962"/>
      <c r="Q234" s="961"/>
      <c r="R234" s="961"/>
      <c r="S234" s="527">
        <f t="shared" si="30"/>
        <v>0</v>
      </c>
      <c r="T234" s="528">
        <f t="shared" si="31"/>
        <v>0</v>
      </c>
      <c r="U234" s="527">
        <f t="shared" si="32"/>
        <v>0</v>
      </c>
      <c r="W234" s="326">
        <f t="shared" si="33"/>
        <v>0</v>
      </c>
      <c r="X234" s="261">
        <f t="shared" si="34"/>
        <v>0</v>
      </c>
      <c r="Y234" s="58"/>
      <c r="Z234" s="1016">
        <f t="shared" si="29"/>
        <v>0</v>
      </c>
      <c r="AA234" s="58"/>
      <c r="AB234" s="58"/>
      <c r="AC234" s="58"/>
      <c r="AD234" s="58"/>
      <c r="AE234" s="58"/>
      <c r="AF234" s="58"/>
      <c r="AG234" s="58"/>
      <c r="AH234" s="58"/>
      <c r="AI234" s="58"/>
      <c r="AJ234" s="58"/>
      <c r="AK234" s="58"/>
      <c r="AL234" s="58"/>
      <c r="AM234" s="58"/>
      <c r="AN234" s="58"/>
      <c r="AO234" s="58"/>
      <c r="AP234" s="58"/>
      <c r="AQ234" s="58"/>
      <c r="AR234" s="58"/>
      <c r="AS234" s="58"/>
      <c r="AT234" s="58"/>
    </row>
    <row r="235" spans="1:46" ht="12" hidden="1" thickBot="1">
      <c r="A235" s="588" t="s">
        <v>1469</v>
      </c>
      <c r="B235" s="522" t="s">
        <v>401</v>
      </c>
      <c r="C235" s="522" t="s">
        <v>988</v>
      </c>
      <c r="D235" s="533" t="s">
        <v>1036</v>
      </c>
      <c r="E235" s="960"/>
      <c r="F235" s="962"/>
      <c r="G235" s="961"/>
      <c r="H235" s="962"/>
      <c r="I235" s="962"/>
      <c r="J235" s="962"/>
      <c r="K235" s="962"/>
      <c r="L235" s="962"/>
      <c r="M235" s="961"/>
      <c r="N235" s="961"/>
      <c r="O235" s="962"/>
      <c r="P235" s="962"/>
      <c r="Q235" s="961"/>
      <c r="R235" s="961"/>
      <c r="S235" s="527">
        <f t="shared" si="30"/>
        <v>0</v>
      </c>
      <c r="T235" s="528">
        <f t="shared" si="31"/>
        <v>0</v>
      </c>
      <c r="U235" s="527">
        <f t="shared" si="32"/>
        <v>0</v>
      </c>
      <c r="W235" s="326">
        <f t="shared" si="33"/>
        <v>0</v>
      </c>
      <c r="X235" s="261">
        <f t="shared" si="34"/>
        <v>0</v>
      </c>
      <c r="Y235" s="58"/>
      <c r="Z235" s="1016">
        <f t="shared" si="29"/>
        <v>0</v>
      </c>
      <c r="AA235" s="58"/>
      <c r="AB235" s="58"/>
      <c r="AC235" s="58"/>
      <c r="AD235" s="58"/>
      <c r="AE235" s="58"/>
      <c r="AF235" s="58"/>
      <c r="AG235" s="58"/>
      <c r="AH235" s="58"/>
      <c r="AI235" s="58"/>
      <c r="AJ235" s="58"/>
      <c r="AK235" s="58"/>
      <c r="AL235" s="58"/>
      <c r="AM235" s="58"/>
      <c r="AN235" s="58"/>
      <c r="AO235" s="58"/>
      <c r="AP235" s="58"/>
      <c r="AQ235" s="58"/>
      <c r="AR235" s="58"/>
      <c r="AS235" s="58"/>
      <c r="AT235" s="58"/>
    </row>
    <row r="236" spans="1:46" ht="12" hidden="1" thickBot="1">
      <c r="A236" s="588" t="s">
        <v>1469</v>
      </c>
      <c r="B236" s="522" t="s">
        <v>328</v>
      </c>
      <c r="C236" s="522" t="s">
        <v>989</v>
      </c>
      <c r="D236" s="533" t="s">
        <v>1036</v>
      </c>
      <c r="E236" s="960"/>
      <c r="F236" s="962"/>
      <c r="G236" s="961"/>
      <c r="H236" s="962"/>
      <c r="I236" s="962"/>
      <c r="J236" s="962"/>
      <c r="K236" s="962"/>
      <c r="L236" s="962"/>
      <c r="M236" s="961"/>
      <c r="N236" s="961"/>
      <c r="O236" s="962"/>
      <c r="P236" s="962"/>
      <c r="Q236" s="961"/>
      <c r="R236" s="961"/>
      <c r="S236" s="527">
        <f t="shared" si="30"/>
        <v>0</v>
      </c>
      <c r="T236" s="528">
        <f t="shared" si="31"/>
        <v>0</v>
      </c>
      <c r="U236" s="527">
        <f t="shared" si="32"/>
        <v>0</v>
      </c>
      <c r="W236" s="326">
        <f t="shared" si="33"/>
        <v>0</v>
      </c>
      <c r="X236" s="261">
        <f t="shared" si="34"/>
        <v>0</v>
      </c>
      <c r="Y236" s="58"/>
      <c r="Z236" s="1016">
        <f t="shared" si="29"/>
        <v>0</v>
      </c>
      <c r="AA236" s="58"/>
      <c r="AB236" s="58"/>
      <c r="AC236" s="58"/>
      <c r="AD236" s="58"/>
      <c r="AE236" s="58"/>
      <c r="AF236" s="58"/>
      <c r="AG236" s="58"/>
      <c r="AH236" s="58"/>
      <c r="AI236" s="58"/>
      <c r="AJ236" s="58"/>
      <c r="AK236" s="58"/>
      <c r="AL236" s="58"/>
      <c r="AM236" s="58"/>
      <c r="AN236" s="58"/>
      <c r="AO236" s="58"/>
      <c r="AP236" s="58"/>
      <c r="AQ236" s="58"/>
      <c r="AR236" s="58"/>
      <c r="AS236" s="58"/>
      <c r="AT236" s="58"/>
    </row>
    <row r="237" spans="1:46" ht="12" hidden="1" thickBot="1">
      <c r="A237" s="588" t="s">
        <v>1469</v>
      </c>
      <c r="B237" s="522" t="s">
        <v>437</v>
      </c>
      <c r="C237" s="522" t="s">
        <v>990</v>
      </c>
      <c r="D237" s="533" t="s">
        <v>1036</v>
      </c>
      <c r="E237" s="960"/>
      <c r="F237" s="962"/>
      <c r="G237" s="961"/>
      <c r="H237" s="962"/>
      <c r="I237" s="962"/>
      <c r="J237" s="962"/>
      <c r="K237" s="962"/>
      <c r="L237" s="962"/>
      <c r="M237" s="961"/>
      <c r="N237" s="961"/>
      <c r="O237" s="962"/>
      <c r="P237" s="962"/>
      <c r="Q237" s="961"/>
      <c r="R237" s="961"/>
      <c r="S237" s="527">
        <f t="shared" si="30"/>
        <v>0</v>
      </c>
      <c r="T237" s="528">
        <f t="shared" si="31"/>
        <v>0</v>
      </c>
      <c r="U237" s="527">
        <f t="shared" si="32"/>
        <v>0</v>
      </c>
      <c r="W237" s="326">
        <f t="shared" si="33"/>
        <v>0</v>
      </c>
      <c r="X237" s="261">
        <f t="shared" si="34"/>
        <v>0</v>
      </c>
      <c r="Y237" s="58"/>
      <c r="Z237" s="1016">
        <f t="shared" si="29"/>
        <v>0</v>
      </c>
      <c r="AA237" s="58"/>
      <c r="AB237" s="58"/>
      <c r="AC237" s="58"/>
      <c r="AD237" s="58"/>
      <c r="AE237" s="58"/>
      <c r="AF237" s="58"/>
      <c r="AG237" s="58"/>
      <c r="AH237" s="58"/>
      <c r="AI237" s="58"/>
      <c r="AJ237" s="58"/>
      <c r="AK237" s="58"/>
      <c r="AL237" s="58"/>
      <c r="AM237" s="58"/>
      <c r="AN237" s="58"/>
      <c r="AO237" s="58"/>
      <c r="AP237" s="58"/>
      <c r="AQ237" s="58"/>
      <c r="AR237" s="58"/>
      <c r="AS237" s="58"/>
      <c r="AT237" s="58"/>
    </row>
    <row r="238" spans="1:46" ht="12" hidden="1" thickBot="1">
      <c r="A238" s="588" t="s">
        <v>1469</v>
      </c>
      <c r="B238" s="522" t="s">
        <v>338</v>
      </c>
      <c r="C238" s="522" t="s">
        <v>991</v>
      </c>
      <c r="D238" s="533" t="s">
        <v>1035</v>
      </c>
      <c r="E238" s="960"/>
      <c r="F238" s="962"/>
      <c r="G238" s="961"/>
      <c r="H238" s="962"/>
      <c r="I238" s="962"/>
      <c r="J238" s="962"/>
      <c r="K238" s="962"/>
      <c r="L238" s="962"/>
      <c r="M238" s="961"/>
      <c r="N238" s="961"/>
      <c r="O238" s="962"/>
      <c r="P238" s="962"/>
      <c r="Q238" s="961"/>
      <c r="R238" s="961"/>
      <c r="S238" s="527">
        <f t="shared" si="30"/>
        <v>0</v>
      </c>
      <c r="T238" s="528">
        <f t="shared" si="31"/>
        <v>0</v>
      </c>
      <c r="U238" s="527">
        <f t="shared" si="32"/>
        <v>0</v>
      </c>
      <c r="W238" s="326">
        <f t="shared" si="33"/>
        <v>0</v>
      </c>
      <c r="X238" s="261">
        <f t="shared" si="34"/>
        <v>0</v>
      </c>
      <c r="Y238" s="58"/>
      <c r="Z238" s="1016">
        <f t="shared" si="29"/>
        <v>0</v>
      </c>
      <c r="AA238" s="58"/>
      <c r="AB238" s="58"/>
      <c r="AC238" s="58"/>
      <c r="AD238" s="58"/>
      <c r="AE238" s="58"/>
      <c r="AF238" s="58"/>
      <c r="AG238" s="58"/>
      <c r="AH238" s="58"/>
      <c r="AI238" s="58"/>
      <c r="AJ238" s="58"/>
      <c r="AK238" s="58"/>
      <c r="AL238" s="58"/>
      <c r="AM238" s="58"/>
      <c r="AN238" s="58"/>
      <c r="AO238" s="58"/>
      <c r="AP238" s="58"/>
      <c r="AQ238" s="58"/>
      <c r="AR238" s="58"/>
      <c r="AS238" s="58"/>
      <c r="AT238" s="58"/>
    </row>
    <row r="239" spans="1:46" ht="12" hidden="1" thickBot="1">
      <c r="A239" s="588" t="s">
        <v>1469</v>
      </c>
      <c r="B239" s="522" t="s">
        <v>370</v>
      </c>
      <c r="C239" s="522" t="s">
        <v>992</v>
      </c>
      <c r="D239" s="533" t="s">
        <v>1035</v>
      </c>
      <c r="E239" s="960"/>
      <c r="F239" s="962"/>
      <c r="G239" s="961"/>
      <c r="H239" s="962"/>
      <c r="I239" s="962"/>
      <c r="J239" s="962"/>
      <c r="K239" s="962"/>
      <c r="L239" s="962"/>
      <c r="M239" s="961"/>
      <c r="N239" s="961"/>
      <c r="O239" s="962"/>
      <c r="P239" s="962"/>
      <c r="Q239" s="961"/>
      <c r="R239" s="961"/>
      <c r="S239" s="527">
        <f t="shared" si="30"/>
        <v>0</v>
      </c>
      <c r="T239" s="528">
        <f t="shared" si="31"/>
        <v>0</v>
      </c>
      <c r="U239" s="527">
        <f t="shared" si="32"/>
        <v>0</v>
      </c>
      <c r="W239" s="326">
        <f t="shared" si="33"/>
        <v>0</v>
      </c>
      <c r="X239" s="261">
        <f t="shared" si="34"/>
        <v>0</v>
      </c>
      <c r="Y239" s="58"/>
      <c r="Z239" s="1016">
        <f t="shared" si="29"/>
        <v>0</v>
      </c>
      <c r="AA239" s="58"/>
      <c r="AB239" s="58"/>
      <c r="AC239" s="58"/>
      <c r="AD239" s="58"/>
      <c r="AE239" s="58"/>
      <c r="AF239" s="58"/>
      <c r="AG239" s="58"/>
      <c r="AH239" s="58"/>
      <c r="AI239" s="58"/>
      <c r="AJ239" s="58"/>
      <c r="AK239" s="58"/>
      <c r="AL239" s="58"/>
      <c r="AM239" s="58"/>
      <c r="AN239" s="58"/>
      <c r="AO239" s="58"/>
      <c r="AP239" s="58"/>
      <c r="AQ239" s="58"/>
      <c r="AR239" s="58"/>
      <c r="AS239" s="58"/>
      <c r="AT239" s="58"/>
    </row>
    <row r="240" spans="1:46" ht="12" hidden="1" thickBot="1">
      <c r="A240" s="588" t="s">
        <v>1469</v>
      </c>
      <c r="B240" s="522" t="s">
        <v>333</v>
      </c>
      <c r="C240" s="522" t="s">
        <v>993</v>
      </c>
      <c r="D240" s="533" t="s">
        <v>1035</v>
      </c>
      <c r="E240" s="960"/>
      <c r="F240" s="962"/>
      <c r="G240" s="961"/>
      <c r="H240" s="962"/>
      <c r="I240" s="962"/>
      <c r="J240" s="962"/>
      <c r="K240" s="962"/>
      <c r="L240" s="962"/>
      <c r="M240" s="961"/>
      <c r="N240" s="961"/>
      <c r="O240" s="962"/>
      <c r="P240" s="962"/>
      <c r="Q240" s="961"/>
      <c r="R240" s="961"/>
      <c r="S240" s="527">
        <f t="shared" si="30"/>
        <v>0</v>
      </c>
      <c r="T240" s="528">
        <f t="shared" si="31"/>
        <v>0</v>
      </c>
      <c r="U240" s="527">
        <f t="shared" si="32"/>
        <v>0</v>
      </c>
      <c r="W240" s="326">
        <f t="shared" si="33"/>
        <v>0</v>
      </c>
      <c r="X240" s="261">
        <f t="shared" si="34"/>
        <v>0</v>
      </c>
      <c r="Y240" s="58"/>
      <c r="Z240" s="1016">
        <f t="shared" si="29"/>
        <v>0</v>
      </c>
      <c r="AA240" s="58"/>
      <c r="AB240" s="58"/>
      <c r="AC240" s="58"/>
      <c r="AD240" s="58"/>
      <c r="AE240" s="58"/>
      <c r="AF240" s="58"/>
      <c r="AG240" s="58"/>
      <c r="AH240" s="58"/>
      <c r="AI240" s="58"/>
      <c r="AJ240" s="58"/>
      <c r="AK240" s="58"/>
      <c r="AL240" s="58"/>
      <c r="AM240" s="58"/>
      <c r="AN240" s="58"/>
      <c r="AO240" s="58"/>
      <c r="AP240" s="58"/>
      <c r="AQ240" s="58"/>
      <c r="AR240" s="58"/>
      <c r="AS240" s="58"/>
      <c r="AT240" s="58"/>
    </row>
    <row r="241" spans="1:46" ht="12" hidden="1" thickBot="1">
      <c r="A241" s="588" t="s">
        <v>1469</v>
      </c>
      <c r="B241" s="522" t="s">
        <v>336</v>
      </c>
      <c r="C241" s="522" t="s">
        <v>994</v>
      </c>
      <c r="D241" s="533" t="s">
        <v>1036</v>
      </c>
      <c r="E241" s="960"/>
      <c r="F241" s="962"/>
      <c r="G241" s="961"/>
      <c r="H241" s="962"/>
      <c r="I241" s="962"/>
      <c r="J241" s="962"/>
      <c r="K241" s="962"/>
      <c r="L241" s="962"/>
      <c r="M241" s="961"/>
      <c r="N241" s="961"/>
      <c r="O241" s="962"/>
      <c r="P241" s="962"/>
      <c r="Q241" s="961"/>
      <c r="R241" s="961"/>
      <c r="S241" s="527">
        <f t="shared" si="30"/>
        <v>0</v>
      </c>
      <c r="T241" s="528">
        <f t="shared" si="31"/>
        <v>0</v>
      </c>
      <c r="U241" s="527">
        <f t="shared" si="32"/>
        <v>0</v>
      </c>
      <c r="W241" s="326">
        <f t="shared" si="33"/>
        <v>0</v>
      </c>
      <c r="X241" s="261">
        <f t="shared" si="34"/>
        <v>0</v>
      </c>
      <c r="Y241" s="58"/>
      <c r="Z241" s="1016">
        <f t="shared" si="29"/>
        <v>0</v>
      </c>
      <c r="AA241" s="58"/>
      <c r="AB241" s="58"/>
      <c r="AC241" s="58"/>
      <c r="AD241" s="58"/>
      <c r="AE241" s="58"/>
      <c r="AF241" s="58"/>
      <c r="AG241" s="58"/>
      <c r="AH241" s="58"/>
      <c r="AI241" s="58"/>
      <c r="AJ241" s="58"/>
      <c r="AK241" s="58"/>
      <c r="AL241" s="58"/>
      <c r="AM241" s="58"/>
      <c r="AN241" s="58"/>
      <c r="AO241" s="58"/>
      <c r="AP241" s="58"/>
      <c r="AQ241" s="58"/>
      <c r="AR241" s="58"/>
      <c r="AS241" s="58"/>
      <c r="AT241" s="58"/>
    </row>
    <row r="242" spans="1:46" ht="12" hidden="1" thickBot="1">
      <c r="A242" s="588" t="s">
        <v>1469</v>
      </c>
      <c r="B242" s="522" t="s">
        <v>368</v>
      </c>
      <c r="C242" s="522" t="s">
        <v>995</v>
      </c>
      <c r="D242" s="533" t="s">
        <v>1036</v>
      </c>
      <c r="E242" s="960"/>
      <c r="F242" s="962"/>
      <c r="G242" s="961"/>
      <c r="H242" s="962"/>
      <c r="I242" s="962"/>
      <c r="J242" s="962"/>
      <c r="K242" s="962"/>
      <c r="L242" s="962"/>
      <c r="M242" s="961"/>
      <c r="N242" s="961"/>
      <c r="O242" s="962"/>
      <c r="P242" s="962"/>
      <c r="Q242" s="961"/>
      <c r="R242" s="961"/>
      <c r="S242" s="527">
        <f t="shared" si="30"/>
        <v>0</v>
      </c>
      <c r="T242" s="528">
        <f t="shared" si="31"/>
        <v>0</v>
      </c>
      <c r="U242" s="527">
        <f t="shared" si="32"/>
        <v>0</v>
      </c>
      <c r="W242" s="326">
        <f t="shared" si="33"/>
        <v>0</v>
      </c>
      <c r="X242" s="261">
        <f t="shared" si="34"/>
        <v>0</v>
      </c>
      <c r="Y242" s="58"/>
      <c r="Z242" s="1016">
        <f t="shared" si="29"/>
        <v>0</v>
      </c>
      <c r="AA242" s="58"/>
      <c r="AB242" s="58"/>
      <c r="AC242" s="58"/>
      <c r="AD242" s="58"/>
      <c r="AE242" s="58"/>
      <c r="AF242" s="58"/>
      <c r="AG242" s="58"/>
      <c r="AH242" s="58"/>
      <c r="AI242" s="58"/>
      <c r="AJ242" s="58"/>
      <c r="AK242" s="58"/>
      <c r="AL242" s="58"/>
      <c r="AM242" s="58"/>
      <c r="AN242" s="58"/>
      <c r="AO242" s="58"/>
      <c r="AP242" s="58"/>
      <c r="AQ242" s="58"/>
      <c r="AR242" s="58"/>
      <c r="AS242" s="58"/>
      <c r="AT242" s="58"/>
    </row>
    <row r="243" spans="1:46" ht="12" hidden="1" thickBot="1">
      <c r="A243" s="588" t="s">
        <v>1469</v>
      </c>
      <c r="B243" s="522" t="s">
        <v>400</v>
      </c>
      <c r="C243" s="522" t="s">
        <v>996</v>
      </c>
      <c r="D243" s="533" t="s">
        <v>1036</v>
      </c>
      <c r="E243" s="960"/>
      <c r="F243" s="962"/>
      <c r="G243" s="961"/>
      <c r="H243" s="962"/>
      <c r="I243" s="962"/>
      <c r="J243" s="962"/>
      <c r="K243" s="962"/>
      <c r="L243" s="962"/>
      <c r="M243" s="961"/>
      <c r="N243" s="961"/>
      <c r="O243" s="962"/>
      <c r="P243" s="962"/>
      <c r="Q243" s="961"/>
      <c r="R243" s="961"/>
      <c r="S243" s="527">
        <f t="shared" si="30"/>
        <v>0</v>
      </c>
      <c r="T243" s="528">
        <f t="shared" si="31"/>
        <v>0</v>
      </c>
      <c r="U243" s="527">
        <f t="shared" si="32"/>
        <v>0</v>
      </c>
      <c r="W243" s="326">
        <f t="shared" si="33"/>
        <v>0</v>
      </c>
      <c r="X243" s="261">
        <f t="shared" si="34"/>
        <v>0</v>
      </c>
      <c r="Y243" s="58"/>
      <c r="Z243" s="1016">
        <f t="shared" si="29"/>
        <v>0</v>
      </c>
      <c r="AA243" s="58"/>
      <c r="AB243" s="58"/>
      <c r="AC243" s="58"/>
      <c r="AD243" s="58"/>
      <c r="AE243" s="58"/>
      <c r="AF243" s="58"/>
      <c r="AG243" s="58"/>
      <c r="AH243" s="58"/>
      <c r="AI243" s="58"/>
      <c r="AJ243" s="58"/>
      <c r="AK243" s="58"/>
      <c r="AL243" s="58"/>
      <c r="AM243" s="58"/>
      <c r="AN243" s="58"/>
      <c r="AO243" s="58"/>
      <c r="AP243" s="58"/>
      <c r="AQ243" s="58"/>
      <c r="AR243" s="58"/>
      <c r="AS243" s="58"/>
      <c r="AT243" s="58"/>
    </row>
    <row r="244" spans="1:46" ht="12" hidden="1" thickBot="1">
      <c r="A244" s="588" t="s">
        <v>1469</v>
      </c>
      <c r="B244" s="522" t="s">
        <v>327</v>
      </c>
      <c r="C244" s="522" t="s">
        <v>997</v>
      </c>
      <c r="D244" s="533" t="s">
        <v>1036</v>
      </c>
      <c r="E244" s="960"/>
      <c r="F244" s="962"/>
      <c r="G244" s="961"/>
      <c r="H244" s="962"/>
      <c r="I244" s="962"/>
      <c r="J244" s="962"/>
      <c r="K244" s="962"/>
      <c r="L244" s="962"/>
      <c r="M244" s="961"/>
      <c r="N244" s="961"/>
      <c r="O244" s="962"/>
      <c r="P244" s="962"/>
      <c r="Q244" s="961"/>
      <c r="R244" s="961"/>
      <c r="S244" s="527">
        <f t="shared" si="30"/>
        <v>0</v>
      </c>
      <c r="T244" s="528">
        <f t="shared" si="31"/>
        <v>0</v>
      </c>
      <c r="U244" s="527">
        <f t="shared" si="32"/>
        <v>0</v>
      </c>
      <c r="W244" s="326">
        <f t="shared" si="33"/>
        <v>0</v>
      </c>
      <c r="X244" s="261">
        <f t="shared" si="34"/>
        <v>0</v>
      </c>
      <c r="Y244" s="58"/>
      <c r="Z244" s="1016">
        <f t="shared" si="29"/>
        <v>0</v>
      </c>
      <c r="AA244" s="58"/>
      <c r="AB244" s="58"/>
      <c r="AC244" s="58"/>
      <c r="AD244" s="58"/>
      <c r="AE244" s="58"/>
      <c r="AF244" s="58"/>
      <c r="AG244" s="58"/>
      <c r="AH244" s="58"/>
      <c r="AI244" s="58"/>
      <c r="AJ244" s="58"/>
      <c r="AK244" s="58"/>
      <c r="AL244" s="58"/>
      <c r="AM244" s="58"/>
      <c r="AN244" s="58"/>
      <c r="AO244" s="58"/>
      <c r="AP244" s="58"/>
      <c r="AQ244" s="58"/>
      <c r="AR244" s="58"/>
      <c r="AS244" s="58"/>
      <c r="AT244" s="58"/>
    </row>
    <row r="245" spans="1:46" ht="12" hidden="1" thickBot="1">
      <c r="A245" s="588" t="s">
        <v>1469</v>
      </c>
      <c r="B245" s="522" t="s">
        <v>357</v>
      </c>
      <c r="C245" s="522" t="s">
        <v>998</v>
      </c>
      <c r="D245" s="533" t="s">
        <v>1036</v>
      </c>
      <c r="E245" s="960"/>
      <c r="F245" s="962"/>
      <c r="G245" s="961"/>
      <c r="H245" s="962"/>
      <c r="I245" s="962"/>
      <c r="J245" s="962"/>
      <c r="K245" s="962"/>
      <c r="L245" s="962"/>
      <c r="M245" s="961"/>
      <c r="N245" s="961"/>
      <c r="O245" s="962"/>
      <c r="P245" s="962"/>
      <c r="Q245" s="961"/>
      <c r="R245" s="961"/>
      <c r="S245" s="527">
        <f t="shared" si="30"/>
        <v>0</v>
      </c>
      <c r="T245" s="528">
        <f t="shared" si="31"/>
        <v>0</v>
      </c>
      <c r="U245" s="527">
        <f t="shared" si="32"/>
        <v>0</v>
      </c>
      <c r="W245" s="326">
        <f t="shared" si="33"/>
        <v>0</v>
      </c>
      <c r="X245" s="261">
        <f t="shared" si="34"/>
        <v>0</v>
      </c>
      <c r="Y245" s="58"/>
      <c r="Z245" s="1016">
        <f t="shared" si="29"/>
        <v>0</v>
      </c>
      <c r="AA245" s="58"/>
      <c r="AB245" s="58"/>
      <c r="AC245" s="58"/>
      <c r="AD245" s="58"/>
      <c r="AE245" s="58"/>
      <c r="AF245" s="58"/>
      <c r="AG245" s="58"/>
      <c r="AH245" s="58"/>
      <c r="AI245" s="58"/>
      <c r="AJ245" s="58"/>
      <c r="AK245" s="58"/>
      <c r="AL245" s="58"/>
      <c r="AM245" s="58"/>
      <c r="AN245" s="58"/>
      <c r="AO245" s="58"/>
      <c r="AP245" s="58"/>
      <c r="AQ245" s="58"/>
      <c r="AR245" s="58"/>
      <c r="AS245" s="58"/>
      <c r="AT245" s="58"/>
    </row>
    <row r="246" spans="1:46" ht="12" hidden="1" thickBot="1">
      <c r="A246" s="588" t="s">
        <v>1469</v>
      </c>
      <c r="B246" s="522" t="s">
        <v>331</v>
      </c>
      <c r="C246" s="522" t="s">
        <v>999</v>
      </c>
      <c r="D246" s="533" t="s">
        <v>1036</v>
      </c>
      <c r="E246" s="960"/>
      <c r="F246" s="962"/>
      <c r="G246" s="961"/>
      <c r="H246" s="962"/>
      <c r="I246" s="962"/>
      <c r="J246" s="962"/>
      <c r="K246" s="962"/>
      <c r="L246" s="962"/>
      <c r="M246" s="961"/>
      <c r="N246" s="961"/>
      <c r="O246" s="962"/>
      <c r="P246" s="962"/>
      <c r="Q246" s="961"/>
      <c r="R246" s="961"/>
      <c r="S246" s="527">
        <f t="shared" si="30"/>
        <v>0</v>
      </c>
      <c r="T246" s="528">
        <f t="shared" si="31"/>
        <v>0</v>
      </c>
      <c r="U246" s="527">
        <f t="shared" si="32"/>
        <v>0</v>
      </c>
      <c r="W246" s="326">
        <f t="shared" si="33"/>
        <v>0</v>
      </c>
      <c r="X246" s="261">
        <f t="shared" si="34"/>
        <v>0</v>
      </c>
      <c r="Y246" s="58"/>
      <c r="Z246" s="1016">
        <f t="shared" si="29"/>
        <v>0</v>
      </c>
      <c r="AA246" s="58"/>
      <c r="AB246" s="58"/>
      <c r="AC246" s="58"/>
      <c r="AD246" s="58"/>
      <c r="AE246" s="58"/>
      <c r="AF246" s="58"/>
      <c r="AG246" s="58"/>
      <c r="AH246" s="58"/>
      <c r="AI246" s="58"/>
      <c r="AJ246" s="58"/>
      <c r="AK246" s="58"/>
      <c r="AL246" s="58"/>
      <c r="AM246" s="58"/>
      <c r="AN246" s="58"/>
      <c r="AO246" s="58"/>
      <c r="AP246" s="58"/>
      <c r="AQ246" s="58"/>
      <c r="AR246" s="58"/>
      <c r="AS246" s="58"/>
      <c r="AT246" s="58"/>
    </row>
    <row r="247" spans="1:46" ht="12" hidden="1" thickBot="1">
      <c r="A247" s="588" t="s">
        <v>1469</v>
      </c>
      <c r="B247" s="522" t="s">
        <v>335</v>
      </c>
      <c r="C247" s="522" t="s">
        <v>1000</v>
      </c>
      <c r="D247" s="533" t="s">
        <v>1036</v>
      </c>
      <c r="E247" s="960"/>
      <c r="F247" s="962"/>
      <c r="G247" s="961"/>
      <c r="H247" s="962"/>
      <c r="I247" s="962"/>
      <c r="J247" s="962"/>
      <c r="K247" s="962"/>
      <c r="L247" s="962"/>
      <c r="M247" s="961"/>
      <c r="N247" s="961"/>
      <c r="O247" s="962"/>
      <c r="P247" s="962"/>
      <c r="Q247" s="961"/>
      <c r="R247" s="961"/>
      <c r="S247" s="527">
        <f t="shared" si="30"/>
        <v>0</v>
      </c>
      <c r="T247" s="528">
        <f t="shared" si="31"/>
        <v>0</v>
      </c>
      <c r="U247" s="527">
        <f t="shared" si="32"/>
        <v>0</v>
      </c>
      <c r="W247" s="326">
        <f t="shared" si="33"/>
        <v>0</v>
      </c>
      <c r="X247" s="261">
        <f t="shared" si="34"/>
        <v>0</v>
      </c>
      <c r="Y247" s="58"/>
      <c r="Z247" s="1016">
        <f t="shared" si="29"/>
        <v>0</v>
      </c>
      <c r="AA247" s="58"/>
      <c r="AB247" s="58"/>
      <c r="AC247" s="58"/>
      <c r="AD247" s="58"/>
      <c r="AE247" s="58"/>
      <c r="AF247" s="58"/>
      <c r="AG247" s="58"/>
      <c r="AH247" s="58"/>
      <c r="AI247" s="58"/>
      <c r="AJ247" s="58"/>
      <c r="AK247" s="58"/>
      <c r="AL247" s="58"/>
      <c r="AM247" s="58"/>
      <c r="AN247" s="58"/>
      <c r="AO247" s="58"/>
      <c r="AP247" s="58"/>
      <c r="AQ247" s="58"/>
      <c r="AR247" s="58"/>
      <c r="AS247" s="58"/>
      <c r="AT247" s="58"/>
    </row>
    <row r="248" spans="1:46" ht="12" hidden="1" thickBot="1">
      <c r="A248" s="588" t="s">
        <v>1469</v>
      </c>
      <c r="B248" s="522" t="s">
        <v>372</v>
      </c>
      <c r="C248" s="522" t="s">
        <v>1001</v>
      </c>
      <c r="D248" s="533" t="s">
        <v>1036</v>
      </c>
      <c r="E248" s="960"/>
      <c r="F248" s="962"/>
      <c r="G248" s="961"/>
      <c r="H248" s="962"/>
      <c r="I248" s="962"/>
      <c r="J248" s="962"/>
      <c r="K248" s="962"/>
      <c r="L248" s="962"/>
      <c r="M248" s="961"/>
      <c r="N248" s="961"/>
      <c r="O248" s="962"/>
      <c r="P248" s="962"/>
      <c r="Q248" s="961"/>
      <c r="R248" s="961"/>
      <c r="S248" s="527">
        <f t="shared" si="30"/>
        <v>0</v>
      </c>
      <c r="T248" s="528">
        <f t="shared" si="31"/>
        <v>0</v>
      </c>
      <c r="U248" s="527">
        <f t="shared" si="32"/>
        <v>0</v>
      </c>
      <c r="W248" s="326">
        <f t="shared" si="33"/>
        <v>0</v>
      </c>
      <c r="X248" s="261">
        <f t="shared" si="34"/>
        <v>0</v>
      </c>
      <c r="Y248" s="58"/>
      <c r="Z248" s="1016">
        <f t="shared" si="29"/>
        <v>0</v>
      </c>
      <c r="AA248" s="58"/>
      <c r="AB248" s="58"/>
      <c r="AC248" s="58"/>
      <c r="AD248" s="58"/>
      <c r="AE248" s="58"/>
      <c r="AF248" s="58"/>
      <c r="AG248" s="58"/>
      <c r="AH248" s="58"/>
      <c r="AI248" s="58"/>
      <c r="AJ248" s="58"/>
      <c r="AK248" s="58"/>
      <c r="AL248" s="58"/>
      <c r="AM248" s="58"/>
      <c r="AN248" s="58"/>
      <c r="AO248" s="58"/>
      <c r="AP248" s="58"/>
      <c r="AQ248" s="58"/>
      <c r="AR248" s="58"/>
      <c r="AS248" s="58"/>
      <c r="AT248" s="58"/>
    </row>
    <row r="249" spans="1:46" ht="12" hidden="1" thickBot="1">
      <c r="A249" s="588" t="s">
        <v>1469</v>
      </c>
      <c r="B249" s="522" t="s">
        <v>381</v>
      </c>
      <c r="C249" s="522" t="s">
        <v>1002</v>
      </c>
      <c r="D249" s="533" t="s">
        <v>1035</v>
      </c>
      <c r="E249" s="960"/>
      <c r="F249" s="962"/>
      <c r="G249" s="961"/>
      <c r="H249" s="962"/>
      <c r="I249" s="962"/>
      <c r="J249" s="962"/>
      <c r="K249" s="962"/>
      <c r="L249" s="962"/>
      <c r="M249" s="961"/>
      <c r="N249" s="961"/>
      <c r="O249" s="962"/>
      <c r="P249" s="962"/>
      <c r="Q249" s="961"/>
      <c r="R249" s="961"/>
      <c r="S249" s="527">
        <f t="shared" si="30"/>
        <v>0</v>
      </c>
      <c r="T249" s="528">
        <f t="shared" si="31"/>
        <v>0</v>
      </c>
      <c r="U249" s="527">
        <f t="shared" si="32"/>
        <v>0</v>
      </c>
      <c r="W249" s="326">
        <f t="shared" si="33"/>
        <v>0</v>
      </c>
      <c r="X249" s="261">
        <f t="shared" si="34"/>
        <v>0</v>
      </c>
      <c r="Y249" s="58"/>
      <c r="Z249" s="1016">
        <f t="shared" si="29"/>
        <v>0</v>
      </c>
      <c r="AA249" s="58"/>
      <c r="AB249" s="58"/>
      <c r="AC249" s="58"/>
      <c r="AD249" s="58"/>
      <c r="AE249" s="58"/>
      <c r="AF249" s="58"/>
      <c r="AG249" s="58"/>
      <c r="AH249" s="58"/>
      <c r="AI249" s="58"/>
      <c r="AJ249" s="58"/>
      <c r="AK249" s="58"/>
      <c r="AL249" s="58"/>
      <c r="AM249" s="58"/>
      <c r="AN249" s="58"/>
      <c r="AO249" s="58"/>
      <c r="AP249" s="58"/>
      <c r="AQ249" s="58"/>
      <c r="AR249" s="58"/>
      <c r="AS249" s="58"/>
      <c r="AT249" s="58"/>
    </row>
    <row r="250" spans="1:46" ht="12" hidden="1" thickBot="1">
      <c r="A250" s="588" t="s">
        <v>1469</v>
      </c>
      <c r="B250" s="522" t="s">
        <v>404</v>
      </c>
      <c r="C250" s="522" t="s">
        <v>1003</v>
      </c>
      <c r="D250" s="533" t="s">
        <v>1035</v>
      </c>
      <c r="E250" s="960"/>
      <c r="F250" s="962"/>
      <c r="G250" s="961"/>
      <c r="H250" s="962"/>
      <c r="I250" s="962"/>
      <c r="J250" s="962"/>
      <c r="K250" s="962"/>
      <c r="L250" s="962"/>
      <c r="M250" s="961"/>
      <c r="N250" s="961"/>
      <c r="O250" s="962"/>
      <c r="P250" s="962"/>
      <c r="Q250" s="961"/>
      <c r="R250" s="961"/>
      <c r="S250" s="527">
        <f t="shared" si="30"/>
        <v>0</v>
      </c>
      <c r="T250" s="528">
        <f t="shared" si="31"/>
        <v>0</v>
      </c>
      <c r="U250" s="527">
        <f t="shared" si="32"/>
        <v>0</v>
      </c>
      <c r="W250" s="326">
        <f t="shared" si="33"/>
        <v>0</v>
      </c>
      <c r="X250" s="261">
        <f t="shared" si="34"/>
        <v>0</v>
      </c>
      <c r="Y250" s="58"/>
      <c r="Z250" s="1016">
        <f t="shared" si="29"/>
        <v>0</v>
      </c>
      <c r="AA250" s="58"/>
      <c r="AB250" s="58"/>
      <c r="AC250" s="58"/>
      <c r="AD250" s="58"/>
      <c r="AE250" s="58"/>
      <c r="AF250" s="58"/>
      <c r="AG250" s="58"/>
      <c r="AH250" s="58"/>
      <c r="AI250" s="58"/>
      <c r="AJ250" s="58"/>
      <c r="AK250" s="58"/>
      <c r="AL250" s="58"/>
      <c r="AM250" s="58"/>
      <c r="AN250" s="58"/>
      <c r="AO250" s="58"/>
      <c r="AP250" s="58"/>
      <c r="AQ250" s="58"/>
      <c r="AR250" s="58"/>
      <c r="AS250" s="58"/>
      <c r="AT250" s="58"/>
    </row>
    <row r="251" spans="1:46" ht="12" hidden="1" thickBot="1">
      <c r="A251" s="588" t="s">
        <v>1469</v>
      </c>
      <c r="B251" s="522" t="s">
        <v>361</v>
      </c>
      <c r="C251" s="522" t="s">
        <v>1004</v>
      </c>
      <c r="D251" s="533" t="s">
        <v>1035</v>
      </c>
      <c r="E251" s="960"/>
      <c r="F251" s="962"/>
      <c r="G251" s="961"/>
      <c r="H251" s="962"/>
      <c r="I251" s="962"/>
      <c r="J251" s="962"/>
      <c r="K251" s="962"/>
      <c r="L251" s="962"/>
      <c r="M251" s="961"/>
      <c r="N251" s="961"/>
      <c r="O251" s="962"/>
      <c r="P251" s="962"/>
      <c r="Q251" s="961"/>
      <c r="R251" s="961"/>
      <c r="S251" s="527">
        <f t="shared" si="30"/>
        <v>0</v>
      </c>
      <c r="T251" s="528">
        <f t="shared" si="31"/>
        <v>0</v>
      </c>
      <c r="U251" s="527">
        <f t="shared" si="32"/>
        <v>0</v>
      </c>
      <c r="W251" s="326">
        <f t="shared" si="33"/>
        <v>0</v>
      </c>
      <c r="X251" s="261">
        <f t="shared" si="34"/>
        <v>0</v>
      </c>
      <c r="Y251" s="58"/>
      <c r="Z251" s="1016">
        <f t="shared" si="29"/>
        <v>0</v>
      </c>
      <c r="AA251" s="58"/>
      <c r="AB251" s="58"/>
      <c r="AC251" s="58"/>
      <c r="AD251" s="58"/>
      <c r="AE251" s="58"/>
      <c r="AF251" s="58"/>
      <c r="AG251" s="58"/>
      <c r="AH251" s="58"/>
      <c r="AI251" s="58"/>
      <c r="AJ251" s="58"/>
      <c r="AK251" s="58"/>
      <c r="AL251" s="58"/>
      <c r="AM251" s="58"/>
      <c r="AN251" s="58"/>
      <c r="AO251" s="58"/>
      <c r="AP251" s="58"/>
      <c r="AQ251" s="58"/>
      <c r="AR251" s="58"/>
      <c r="AS251" s="58"/>
      <c r="AT251" s="58"/>
    </row>
    <row r="252" spans="1:46" ht="12" hidden="1" thickBot="1">
      <c r="A252" s="588" t="s">
        <v>1469</v>
      </c>
      <c r="B252" s="522" t="s">
        <v>393</v>
      </c>
      <c r="C252" s="522" t="s">
        <v>1005</v>
      </c>
      <c r="D252" s="533" t="s">
        <v>1035</v>
      </c>
      <c r="E252" s="960"/>
      <c r="F252" s="962"/>
      <c r="G252" s="961"/>
      <c r="H252" s="962"/>
      <c r="I252" s="962"/>
      <c r="J252" s="962"/>
      <c r="K252" s="962"/>
      <c r="L252" s="962"/>
      <c r="M252" s="961"/>
      <c r="N252" s="961"/>
      <c r="O252" s="962"/>
      <c r="P252" s="962"/>
      <c r="Q252" s="961"/>
      <c r="R252" s="961"/>
      <c r="S252" s="527">
        <f t="shared" si="30"/>
        <v>0</v>
      </c>
      <c r="T252" s="528">
        <f t="shared" si="31"/>
        <v>0</v>
      </c>
      <c r="U252" s="527">
        <f t="shared" si="32"/>
        <v>0</v>
      </c>
      <c r="W252" s="326">
        <f t="shared" si="33"/>
        <v>0</v>
      </c>
      <c r="X252" s="261">
        <f t="shared" si="34"/>
        <v>0</v>
      </c>
      <c r="Y252" s="58"/>
      <c r="Z252" s="1016">
        <f t="shared" si="29"/>
        <v>0</v>
      </c>
      <c r="AA252" s="58"/>
      <c r="AB252" s="58"/>
      <c r="AC252" s="58"/>
      <c r="AD252" s="58"/>
      <c r="AE252" s="58"/>
      <c r="AF252" s="58"/>
      <c r="AG252" s="58"/>
      <c r="AH252" s="58"/>
      <c r="AI252" s="58"/>
      <c r="AJ252" s="58"/>
      <c r="AK252" s="58"/>
      <c r="AL252" s="58"/>
      <c r="AM252" s="58"/>
      <c r="AN252" s="58"/>
      <c r="AO252" s="58"/>
      <c r="AP252" s="58"/>
      <c r="AQ252" s="58"/>
      <c r="AR252" s="58"/>
      <c r="AS252" s="58"/>
      <c r="AT252" s="58"/>
    </row>
    <row r="253" spans="1:46" ht="12" hidden="1" thickBot="1">
      <c r="A253" s="588" t="s">
        <v>1469</v>
      </c>
      <c r="B253" s="522" t="s">
        <v>1356</v>
      </c>
      <c r="C253" s="522" t="s">
        <v>1357</v>
      </c>
      <c r="D253" s="533" t="s">
        <v>756</v>
      </c>
      <c r="E253" s="960"/>
      <c r="F253" s="962"/>
      <c r="G253" s="962"/>
      <c r="H253" s="962"/>
      <c r="I253" s="962"/>
      <c r="J253" s="962"/>
      <c r="K253" s="962"/>
      <c r="L253" s="962"/>
      <c r="M253" s="962"/>
      <c r="N253" s="962"/>
      <c r="O253" s="962"/>
      <c r="P253" s="962"/>
      <c r="Q253" s="962"/>
      <c r="R253" s="962"/>
      <c r="S253" s="527">
        <f t="shared" si="30"/>
        <v>0</v>
      </c>
      <c r="T253" s="528">
        <f t="shared" si="31"/>
        <v>0</v>
      </c>
      <c r="U253" s="527">
        <f t="shared" si="32"/>
        <v>0</v>
      </c>
      <c r="W253" s="326">
        <f t="shared" si="33"/>
        <v>0</v>
      </c>
      <c r="X253" s="261">
        <f t="shared" si="34"/>
        <v>0</v>
      </c>
      <c r="Y253" s="58"/>
      <c r="Z253" s="1016">
        <f t="shared" si="29"/>
        <v>0</v>
      </c>
      <c r="AA253" s="58"/>
      <c r="AB253" s="58"/>
      <c r="AC253" s="58"/>
      <c r="AD253" s="58"/>
      <c r="AE253" s="58"/>
      <c r="AF253" s="58"/>
      <c r="AG253" s="58"/>
      <c r="AH253" s="58"/>
      <c r="AI253" s="58"/>
      <c r="AJ253" s="58"/>
      <c r="AK253" s="58"/>
      <c r="AL253" s="58"/>
      <c r="AM253" s="58"/>
      <c r="AN253" s="58"/>
      <c r="AO253" s="58"/>
      <c r="AP253" s="58"/>
      <c r="AQ253" s="58"/>
      <c r="AR253" s="58"/>
      <c r="AS253" s="58"/>
      <c r="AT253" s="58"/>
    </row>
    <row r="254" spans="1:46" ht="12" hidden="1" thickBot="1">
      <c r="A254" s="588" t="s">
        <v>1469</v>
      </c>
      <c r="B254" s="522" t="s">
        <v>379</v>
      </c>
      <c r="C254" s="522" t="s">
        <v>1006</v>
      </c>
      <c r="D254" s="533" t="s">
        <v>1036</v>
      </c>
      <c r="E254" s="960"/>
      <c r="F254" s="962"/>
      <c r="G254" s="961"/>
      <c r="H254" s="962"/>
      <c r="I254" s="962"/>
      <c r="J254" s="962"/>
      <c r="K254" s="962"/>
      <c r="L254" s="962"/>
      <c r="M254" s="961"/>
      <c r="N254" s="961"/>
      <c r="O254" s="962"/>
      <c r="P254" s="962"/>
      <c r="Q254" s="961"/>
      <c r="R254" s="961"/>
      <c r="S254" s="527">
        <f t="shared" si="30"/>
        <v>0</v>
      </c>
      <c r="T254" s="528">
        <f t="shared" si="31"/>
        <v>0</v>
      </c>
      <c r="U254" s="527">
        <f t="shared" si="32"/>
        <v>0</v>
      </c>
      <c r="W254" s="326">
        <f t="shared" si="33"/>
        <v>0</v>
      </c>
      <c r="X254" s="261">
        <f t="shared" si="34"/>
        <v>0</v>
      </c>
      <c r="Y254" s="58"/>
      <c r="Z254" s="1016">
        <f t="shared" si="29"/>
        <v>0</v>
      </c>
      <c r="AA254" s="58"/>
      <c r="AB254" s="58"/>
      <c r="AC254" s="58"/>
      <c r="AD254" s="58"/>
      <c r="AE254" s="58"/>
      <c r="AF254" s="58"/>
      <c r="AG254" s="58"/>
      <c r="AH254" s="58"/>
      <c r="AI254" s="58"/>
      <c r="AJ254" s="58"/>
      <c r="AK254" s="58"/>
      <c r="AL254" s="58"/>
      <c r="AM254" s="58"/>
      <c r="AN254" s="58"/>
      <c r="AO254" s="58"/>
      <c r="AP254" s="58"/>
      <c r="AQ254" s="58"/>
      <c r="AR254" s="58"/>
      <c r="AS254" s="58"/>
      <c r="AT254" s="58"/>
    </row>
    <row r="255" spans="1:46" ht="12" hidden="1" thickBot="1">
      <c r="A255" s="588" t="s">
        <v>1469</v>
      </c>
      <c r="B255" s="522" t="s">
        <v>389</v>
      </c>
      <c r="C255" s="522" t="s">
        <v>1007</v>
      </c>
      <c r="D255" s="533" t="s">
        <v>1035</v>
      </c>
      <c r="E255" s="960"/>
      <c r="F255" s="962"/>
      <c r="G255" s="961"/>
      <c r="H255" s="962"/>
      <c r="I255" s="962"/>
      <c r="J255" s="962"/>
      <c r="K255" s="962"/>
      <c r="L255" s="962"/>
      <c r="M255" s="961"/>
      <c r="N255" s="961"/>
      <c r="O255" s="962"/>
      <c r="P255" s="962"/>
      <c r="Q255" s="961"/>
      <c r="R255" s="961"/>
      <c r="S255" s="527">
        <f t="shared" si="30"/>
        <v>0</v>
      </c>
      <c r="T255" s="528">
        <f t="shared" si="31"/>
        <v>0</v>
      </c>
      <c r="U255" s="527">
        <f t="shared" si="32"/>
        <v>0</v>
      </c>
      <c r="W255" s="326">
        <f t="shared" si="33"/>
        <v>0</v>
      </c>
      <c r="X255" s="261">
        <f t="shared" si="34"/>
        <v>0</v>
      </c>
      <c r="Y255" s="58"/>
      <c r="Z255" s="1016">
        <f t="shared" si="29"/>
        <v>0</v>
      </c>
      <c r="AA255" s="58"/>
      <c r="AB255" s="58"/>
      <c r="AC255" s="58"/>
      <c r="AD255" s="58"/>
      <c r="AE255" s="58"/>
      <c r="AF255" s="58"/>
      <c r="AG255" s="58"/>
      <c r="AH255" s="58"/>
      <c r="AI255" s="58"/>
      <c r="AJ255" s="58"/>
      <c r="AK255" s="58"/>
      <c r="AL255" s="58"/>
      <c r="AM255" s="58"/>
      <c r="AN255" s="58"/>
      <c r="AO255" s="58"/>
      <c r="AP255" s="58"/>
      <c r="AQ255" s="58"/>
      <c r="AR255" s="58"/>
      <c r="AS255" s="58"/>
      <c r="AT255" s="58"/>
    </row>
    <row r="256" spans="1:46" ht="12" hidden="1" thickBot="1">
      <c r="A256" s="588" t="s">
        <v>1469</v>
      </c>
      <c r="B256" s="522" t="s">
        <v>412</v>
      </c>
      <c r="C256" s="522" t="s">
        <v>1008</v>
      </c>
      <c r="D256" s="533" t="s">
        <v>1035</v>
      </c>
      <c r="E256" s="960"/>
      <c r="F256" s="962"/>
      <c r="G256" s="961"/>
      <c r="H256" s="962"/>
      <c r="I256" s="962"/>
      <c r="J256" s="962"/>
      <c r="K256" s="962"/>
      <c r="L256" s="962"/>
      <c r="M256" s="961"/>
      <c r="N256" s="961"/>
      <c r="O256" s="962"/>
      <c r="P256" s="962"/>
      <c r="Q256" s="961"/>
      <c r="R256" s="961"/>
      <c r="S256" s="527">
        <f t="shared" si="30"/>
        <v>0</v>
      </c>
      <c r="T256" s="528">
        <f t="shared" si="31"/>
        <v>0</v>
      </c>
      <c r="U256" s="527">
        <f t="shared" si="32"/>
        <v>0</v>
      </c>
      <c r="W256" s="326">
        <f t="shared" si="33"/>
        <v>0</v>
      </c>
      <c r="X256" s="261">
        <f t="shared" si="34"/>
        <v>0</v>
      </c>
      <c r="Y256" s="58"/>
      <c r="Z256" s="1016">
        <f t="shared" si="29"/>
        <v>0</v>
      </c>
      <c r="AA256" s="58"/>
      <c r="AB256" s="58"/>
      <c r="AC256" s="58"/>
      <c r="AD256" s="58"/>
      <c r="AE256" s="58"/>
      <c r="AF256" s="58"/>
      <c r="AG256" s="58"/>
      <c r="AH256" s="58"/>
      <c r="AI256" s="58"/>
      <c r="AJ256" s="58"/>
      <c r="AK256" s="58"/>
      <c r="AL256" s="58"/>
      <c r="AM256" s="58"/>
      <c r="AN256" s="58"/>
      <c r="AO256" s="58"/>
      <c r="AP256" s="58"/>
      <c r="AQ256" s="58"/>
      <c r="AR256" s="58"/>
      <c r="AS256" s="58"/>
      <c r="AT256" s="58"/>
    </row>
    <row r="257" spans="1:46" ht="12" hidden="1" thickBot="1">
      <c r="A257" s="588" t="s">
        <v>1469</v>
      </c>
      <c r="B257" s="522" t="s">
        <v>367</v>
      </c>
      <c r="C257" s="522" t="s">
        <v>1009</v>
      </c>
      <c r="D257" s="533" t="s">
        <v>1036</v>
      </c>
      <c r="E257" s="960"/>
      <c r="F257" s="962"/>
      <c r="G257" s="961"/>
      <c r="H257" s="962"/>
      <c r="I257" s="962"/>
      <c r="J257" s="962"/>
      <c r="K257" s="962"/>
      <c r="L257" s="962"/>
      <c r="M257" s="961"/>
      <c r="N257" s="961"/>
      <c r="O257" s="962"/>
      <c r="P257" s="962"/>
      <c r="Q257" s="961"/>
      <c r="R257" s="961"/>
      <c r="S257" s="527">
        <f t="shared" si="30"/>
        <v>0</v>
      </c>
      <c r="T257" s="528">
        <f t="shared" si="31"/>
        <v>0</v>
      </c>
      <c r="U257" s="527">
        <f t="shared" si="32"/>
        <v>0</v>
      </c>
      <c r="W257" s="326">
        <f t="shared" si="33"/>
        <v>0</v>
      </c>
      <c r="X257" s="261">
        <f t="shared" si="34"/>
        <v>0</v>
      </c>
      <c r="Y257" s="58"/>
      <c r="Z257" s="1016">
        <f t="shared" si="29"/>
        <v>0</v>
      </c>
      <c r="AA257" s="58"/>
      <c r="AB257" s="58"/>
      <c r="AC257" s="58"/>
      <c r="AD257" s="58"/>
      <c r="AE257" s="58"/>
      <c r="AF257" s="58"/>
      <c r="AG257" s="58"/>
      <c r="AH257" s="58"/>
      <c r="AI257" s="58"/>
      <c r="AJ257" s="58"/>
      <c r="AK257" s="58"/>
      <c r="AL257" s="58"/>
      <c r="AM257" s="58"/>
      <c r="AN257" s="58"/>
      <c r="AO257" s="58"/>
      <c r="AP257" s="58"/>
      <c r="AQ257" s="58"/>
      <c r="AR257" s="58"/>
      <c r="AS257" s="58"/>
      <c r="AT257" s="58"/>
    </row>
    <row r="258" spans="1:46" ht="12" hidden="1" thickBot="1">
      <c r="A258" s="588" t="s">
        <v>1469</v>
      </c>
      <c r="B258" s="522" t="s">
        <v>330</v>
      </c>
      <c r="C258" s="522" t="s">
        <v>1010</v>
      </c>
      <c r="D258" s="533" t="s">
        <v>1036</v>
      </c>
      <c r="E258" s="960"/>
      <c r="F258" s="962"/>
      <c r="G258" s="961"/>
      <c r="H258" s="962"/>
      <c r="I258" s="962"/>
      <c r="J258" s="962"/>
      <c r="K258" s="962"/>
      <c r="L258" s="962"/>
      <c r="M258" s="961"/>
      <c r="N258" s="961"/>
      <c r="O258" s="962"/>
      <c r="P258" s="962"/>
      <c r="Q258" s="961"/>
      <c r="R258" s="961"/>
      <c r="S258" s="527">
        <f t="shared" si="30"/>
        <v>0</v>
      </c>
      <c r="T258" s="528">
        <f t="shared" si="31"/>
        <v>0</v>
      </c>
      <c r="U258" s="527">
        <f t="shared" si="32"/>
        <v>0</v>
      </c>
      <c r="W258" s="326">
        <f t="shared" si="33"/>
        <v>0</v>
      </c>
      <c r="X258" s="261">
        <f t="shared" si="34"/>
        <v>0</v>
      </c>
      <c r="Y258" s="58"/>
      <c r="Z258" s="1016">
        <f t="shared" si="29"/>
        <v>0</v>
      </c>
      <c r="AA258" s="58"/>
      <c r="AB258" s="58"/>
      <c r="AC258" s="58"/>
      <c r="AD258" s="58"/>
      <c r="AE258" s="58"/>
      <c r="AF258" s="58"/>
      <c r="AG258" s="58"/>
      <c r="AH258" s="58"/>
      <c r="AI258" s="58"/>
      <c r="AJ258" s="58"/>
      <c r="AK258" s="58"/>
      <c r="AL258" s="58"/>
      <c r="AM258" s="58"/>
      <c r="AN258" s="58"/>
      <c r="AO258" s="58"/>
      <c r="AP258" s="58"/>
      <c r="AQ258" s="58"/>
      <c r="AR258" s="58"/>
      <c r="AS258" s="58"/>
      <c r="AT258" s="58"/>
    </row>
    <row r="259" spans="1:46" ht="12" hidden="1" thickBot="1">
      <c r="A259" s="588" t="s">
        <v>1469</v>
      </c>
      <c r="B259" s="522" t="s">
        <v>371</v>
      </c>
      <c r="C259" s="522" t="s">
        <v>1011</v>
      </c>
      <c r="D259" s="533" t="s">
        <v>1036</v>
      </c>
      <c r="E259" s="960"/>
      <c r="F259" s="962"/>
      <c r="G259" s="961"/>
      <c r="H259" s="962"/>
      <c r="I259" s="962"/>
      <c r="J259" s="962"/>
      <c r="K259" s="962"/>
      <c r="L259" s="962"/>
      <c r="M259" s="961"/>
      <c r="N259" s="961"/>
      <c r="O259" s="962"/>
      <c r="P259" s="962"/>
      <c r="Q259" s="961"/>
      <c r="R259" s="961"/>
      <c r="S259" s="527">
        <f t="shared" si="30"/>
        <v>0</v>
      </c>
      <c r="T259" s="528">
        <f t="shared" si="31"/>
        <v>0</v>
      </c>
      <c r="U259" s="527">
        <f t="shared" si="32"/>
        <v>0</v>
      </c>
      <c r="W259" s="326">
        <f t="shared" si="33"/>
        <v>0</v>
      </c>
      <c r="X259" s="261">
        <f t="shared" si="34"/>
        <v>0</v>
      </c>
      <c r="Y259" s="58"/>
      <c r="Z259" s="1016">
        <f t="shared" ref="Z259:Z322" si="35">SUM(F259:K259)</f>
        <v>0</v>
      </c>
      <c r="AA259" s="58"/>
      <c r="AB259" s="58"/>
      <c r="AC259" s="58"/>
      <c r="AD259" s="58"/>
      <c r="AE259" s="58"/>
      <c r="AF259" s="58"/>
      <c r="AG259" s="58"/>
      <c r="AH259" s="58"/>
      <c r="AI259" s="58"/>
      <c r="AJ259" s="58"/>
      <c r="AK259" s="58"/>
      <c r="AL259" s="58"/>
      <c r="AM259" s="58"/>
      <c r="AN259" s="58"/>
      <c r="AO259" s="58"/>
      <c r="AP259" s="58"/>
      <c r="AQ259" s="58"/>
      <c r="AR259" s="58"/>
      <c r="AS259" s="58"/>
      <c r="AT259" s="58"/>
    </row>
    <row r="260" spans="1:46" ht="12" hidden="1" thickBot="1">
      <c r="A260" s="588" t="s">
        <v>1469</v>
      </c>
      <c r="B260" s="522" t="s">
        <v>380</v>
      </c>
      <c r="C260" s="522" t="s">
        <v>1012</v>
      </c>
      <c r="D260" s="533" t="s">
        <v>1035</v>
      </c>
      <c r="E260" s="960"/>
      <c r="F260" s="962"/>
      <c r="G260" s="961"/>
      <c r="H260" s="962"/>
      <c r="I260" s="962"/>
      <c r="J260" s="962"/>
      <c r="K260" s="962"/>
      <c r="L260" s="962"/>
      <c r="M260" s="961"/>
      <c r="N260" s="961"/>
      <c r="O260" s="962"/>
      <c r="P260" s="962"/>
      <c r="Q260" s="961"/>
      <c r="R260" s="961"/>
      <c r="S260" s="527">
        <f t="shared" si="30"/>
        <v>0</v>
      </c>
      <c r="T260" s="528">
        <f t="shared" si="31"/>
        <v>0</v>
      </c>
      <c r="U260" s="527">
        <f t="shared" si="32"/>
        <v>0</v>
      </c>
      <c r="W260" s="326">
        <f t="shared" si="33"/>
        <v>0</v>
      </c>
      <c r="X260" s="261">
        <f t="shared" si="34"/>
        <v>0</v>
      </c>
      <c r="Y260" s="58"/>
      <c r="Z260" s="1016">
        <f t="shared" si="35"/>
        <v>0</v>
      </c>
      <c r="AA260" s="58"/>
      <c r="AB260" s="58"/>
      <c r="AC260" s="58"/>
      <c r="AD260" s="58"/>
      <c r="AE260" s="58"/>
      <c r="AF260" s="58"/>
      <c r="AG260" s="58"/>
      <c r="AH260" s="58"/>
      <c r="AI260" s="58"/>
      <c r="AJ260" s="58"/>
      <c r="AK260" s="58"/>
      <c r="AL260" s="58"/>
      <c r="AM260" s="58"/>
      <c r="AN260" s="58"/>
      <c r="AO260" s="58"/>
      <c r="AP260" s="58"/>
      <c r="AQ260" s="58"/>
      <c r="AR260" s="58"/>
      <c r="AS260" s="58"/>
      <c r="AT260" s="58"/>
    </row>
    <row r="261" spans="1:46" ht="12" hidden="1" thickBot="1">
      <c r="A261" s="588" t="s">
        <v>1469</v>
      </c>
      <c r="B261" s="522" t="s">
        <v>403</v>
      </c>
      <c r="C261" s="522" t="s">
        <v>1013</v>
      </c>
      <c r="D261" s="533" t="s">
        <v>1035</v>
      </c>
      <c r="E261" s="960"/>
      <c r="F261" s="962"/>
      <c r="G261" s="961"/>
      <c r="H261" s="962"/>
      <c r="I261" s="962"/>
      <c r="J261" s="962"/>
      <c r="K261" s="962"/>
      <c r="L261" s="962"/>
      <c r="M261" s="961"/>
      <c r="N261" s="961"/>
      <c r="O261" s="962"/>
      <c r="P261" s="962"/>
      <c r="Q261" s="961"/>
      <c r="R261" s="961"/>
      <c r="S261" s="527">
        <f t="shared" si="30"/>
        <v>0</v>
      </c>
      <c r="T261" s="528">
        <f t="shared" si="31"/>
        <v>0</v>
      </c>
      <c r="U261" s="527">
        <f t="shared" si="32"/>
        <v>0</v>
      </c>
      <c r="W261" s="326">
        <f t="shared" si="33"/>
        <v>0</v>
      </c>
      <c r="X261" s="261">
        <f t="shared" si="34"/>
        <v>0</v>
      </c>
      <c r="Y261" s="58"/>
      <c r="Z261" s="1016">
        <f t="shared" si="35"/>
        <v>0</v>
      </c>
      <c r="AA261" s="58"/>
      <c r="AB261" s="58"/>
      <c r="AC261" s="58"/>
      <c r="AD261" s="58"/>
      <c r="AE261" s="58"/>
      <c r="AF261" s="58"/>
      <c r="AG261" s="58"/>
      <c r="AH261" s="58"/>
      <c r="AI261" s="58"/>
      <c r="AJ261" s="58"/>
      <c r="AK261" s="58"/>
      <c r="AL261" s="58"/>
      <c r="AM261" s="58"/>
      <c r="AN261" s="58"/>
      <c r="AO261" s="58"/>
      <c r="AP261" s="58"/>
      <c r="AQ261" s="58"/>
      <c r="AR261" s="58"/>
      <c r="AS261" s="58"/>
      <c r="AT261" s="58"/>
    </row>
    <row r="262" spans="1:46" ht="12" hidden="1" thickBot="1">
      <c r="A262" s="588" t="s">
        <v>1469</v>
      </c>
      <c r="B262" s="522" t="s">
        <v>360</v>
      </c>
      <c r="C262" s="522" t="s">
        <v>1014</v>
      </c>
      <c r="D262" s="533" t="s">
        <v>1035</v>
      </c>
      <c r="E262" s="960"/>
      <c r="F262" s="962"/>
      <c r="G262" s="961"/>
      <c r="H262" s="962"/>
      <c r="I262" s="962"/>
      <c r="J262" s="962"/>
      <c r="K262" s="962"/>
      <c r="L262" s="962"/>
      <c r="M262" s="961"/>
      <c r="N262" s="961"/>
      <c r="O262" s="962"/>
      <c r="P262" s="962"/>
      <c r="Q262" s="961"/>
      <c r="R262" s="961"/>
      <c r="S262" s="527">
        <f t="shared" si="30"/>
        <v>0</v>
      </c>
      <c r="T262" s="528">
        <f t="shared" si="31"/>
        <v>0</v>
      </c>
      <c r="U262" s="527">
        <f t="shared" si="32"/>
        <v>0</v>
      </c>
      <c r="W262" s="326">
        <f t="shared" si="33"/>
        <v>0</v>
      </c>
      <c r="X262" s="261">
        <f t="shared" si="34"/>
        <v>0</v>
      </c>
      <c r="Y262" s="58"/>
      <c r="Z262" s="1016">
        <f t="shared" si="35"/>
        <v>0</v>
      </c>
      <c r="AA262" s="58"/>
      <c r="AB262" s="58"/>
      <c r="AC262" s="58"/>
      <c r="AD262" s="58"/>
      <c r="AE262" s="58"/>
      <c r="AF262" s="58"/>
      <c r="AG262" s="58"/>
      <c r="AH262" s="58"/>
      <c r="AI262" s="58"/>
      <c r="AJ262" s="58"/>
      <c r="AK262" s="58"/>
      <c r="AL262" s="58"/>
      <c r="AM262" s="58"/>
      <c r="AN262" s="58"/>
      <c r="AO262" s="58"/>
      <c r="AP262" s="58"/>
      <c r="AQ262" s="58"/>
      <c r="AR262" s="58"/>
      <c r="AS262" s="58"/>
      <c r="AT262" s="58"/>
    </row>
    <row r="263" spans="1:46" ht="12" hidden="1" thickBot="1">
      <c r="A263" s="588" t="s">
        <v>1469</v>
      </c>
      <c r="B263" s="522" t="s">
        <v>392</v>
      </c>
      <c r="C263" s="522" t="s">
        <v>1015</v>
      </c>
      <c r="D263" s="533" t="s">
        <v>1035</v>
      </c>
      <c r="E263" s="960"/>
      <c r="F263" s="962"/>
      <c r="G263" s="961"/>
      <c r="H263" s="962"/>
      <c r="I263" s="962"/>
      <c r="J263" s="962"/>
      <c r="K263" s="962"/>
      <c r="L263" s="962"/>
      <c r="M263" s="961"/>
      <c r="N263" s="961"/>
      <c r="O263" s="962"/>
      <c r="P263" s="962"/>
      <c r="Q263" s="961"/>
      <c r="R263" s="961"/>
      <c r="S263" s="527">
        <f t="shared" si="30"/>
        <v>0</v>
      </c>
      <c r="T263" s="528">
        <f t="shared" si="31"/>
        <v>0</v>
      </c>
      <c r="U263" s="527">
        <f t="shared" si="32"/>
        <v>0</v>
      </c>
      <c r="W263" s="326">
        <f t="shared" si="33"/>
        <v>0</v>
      </c>
      <c r="X263" s="261">
        <f t="shared" si="34"/>
        <v>0</v>
      </c>
      <c r="Y263" s="58"/>
      <c r="Z263" s="1016">
        <f t="shared" si="35"/>
        <v>0</v>
      </c>
      <c r="AA263" s="58"/>
      <c r="AB263" s="58"/>
      <c r="AC263" s="58"/>
      <c r="AD263" s="58"/>
      <c r="AE263" s="58"/>
      <c r="AF263" s="58"/>
      <c r="AG263" s="58"/>
      <c r="AH263" s="58"/>
      <c r="AI263" s="58"/>
      <c r="AJ263" s="58"/>
      <c r="AK263" s="58"/>
      <c r="AL263" s="58"/>
      <c r="AM263" s="58"/>
      <c r="AN263" s="58"/>
      <c r="AO263" s="58"/>
      <c r="AP263" s="58"/>
      <c r="AQ263" s="58"/>
      <c r="AR263" s="58"/>
      <c r="AS263" s="58"/>
      <c r="AT263" s="58"/>
    </row>
    <row r="264" spans="1:46" ht="12" hidden="1" thickBot="1">
      <c r="A264" s="588" t="s">
        <v>1469</v>
      </c>
      <c r="B264" s="522" t="s">
        <v>390</v>
      </c>
      <c r="C264" s="522" t="s">
        <v>1016</v>
      </c>
      <c r="D264" s="533" t="s">
        <v>1035</v>
      </c>
      <c r="E264" s="960"/>
      <c r="F264" s="962"/>
      <c r="G264" s="961"/>
      <c r="H264" s="962"/>
      <c r="I264" s="962"/>
      <c r="J264" s="962"/>
      <c r="K264" s="962"/>
      <c r="L264" s="962"/>
      <c r="M264" s="961"/>
      <c r="N264" s="961"/>
      <c r="O264" s="962"/>
      <c r="P264" s="962"/>
      <c r="Q264" s="961"/>
      <c r="R264" s="961"/>
      <c r="S264" s="527">
        <f t="shared" si="30"/>
        <v>0</v>
      </c>
      <c r="T264" s="528">
        <f t="shared" si="31"/>
        <v>0</v>
      </c>
      <c r="U264" s="527">
        <f t="shared" si="32"/>
        <v>0</v>
      </c>
      <c r="W264" s="326">
        <f t="shared" si="33"/>
        <v>0</v>
      </c>
      <c r="X264" s="261">
        <f t="shared" si="34"/>
        <v>0</v>
      </c>
      <c r="Y264" s="58"/>
      <c r="Z264" s="1016">
        <f t="shared" si="35"/>
        <v>0</v>
      </c>
      <c r="AA264" s="58"/>
      <c r="AB264" s="58"/>
      <c r="AC264" s="58"/>
      <c r="AD264" s="58"/>
      <c r="AE264" s="58"/>
      <c r="AF264" s="58"/>
      <c r="AG264" s="58"/>
      <c r="AH264" s="58"/>
      <c r="AI264" s="58"/>
      <c r="AJ264" s="58"/>
      <c r="AK264" s="58"/>
      <c r="AL264" s="58"/>
      <c r="AM264" s="58"/>
      <c r="AN264" s="58"/>
      <c r="AO264" s="58"/>
      <c r="AP264" s="58"/>
      <c r="AQ264" s="58"/>
      <c r="AR264" s="58"/>
      <c r="AS264" s="58"/>
      <c r="AT264" s="58"/>
    </row>
    <row r="265" spans="1:46" ht="12" hidden="1" thickBot="1">
      <c r="A265" s="588" t="s">
        <v>1469</v>
      </c>
      <c r="B265" s="522" t="s">
        <v>414</v>
      </c>
      <c r="C265" s="522" t="s">
        <v>1017</v>
      </c>
      <c r="D265" s="533" t="s">
        <v>1035</v>
      </c>
      <c r="E265" s="960"/>
      <c r="F265" s="962"/>
      <c r="G265" s="961"/>
      <c r="H265" s="962"/>
      <c r="I265" s="962"/>
      <c r="J265" s="962"/>
      <c r="K265" s="962"/>
      <c r="L265" s="962"/>
      <c r="M265" s="961"/>
      <c r="N265" s="961"/>
      <c r="O265" s="962"/>
      <c r="P265" s="962"/>
      <c r="Q265" s="961"/>
      <c r="R265" s="961"/>
      <c r="S265" s="527">
        <f t="shared" si="30"/>
        <v>0</v>
      </c>
      <c r="T265" s="528">
        <f t="shared" si="31"/>
        <v>0</v>
      </c>
      <c r="U265" s="527">
        <f t="shared" si="32"/>
        <v>0</v>
      </c>
      <c r="W265" s="326">
        <f t="shared" si="33"/>
        <v>0</v>
      </c>
      <c r="X265" s="261">
        <f t="shared" si="34"/>
        <v>0</v>
      </c>
      <c r="Y265" s="58"/>
      <c r="Z265" s="1016">
        <f t="shared" si="35"/>
        <v>0</v>
      </c>
      <c r="AA265" s="58"/>
      <c r="AB265" s="58"/>
      <c r="AC265" s="58"/>
      <c r="AD265" s="58"/>
      <c r="AE265" s="58"/>
      <c r="AF265" s="58"/>
      <c r="AG265" s="58"/>
      <c r="AH265" s="58"/>
      <c r="AI265" s="58"/>
      <c r="AJ265" s="58"/>
      <c r="AK265" s="58"/>
      <c r="AL265" s="58"/>
      <c r="AM265" s="58"/>
      <c r="AN265" s="58"/>
      <c r="AO265" s="58"/>
      <c r="AP265" s="58"/>
      <c r="AQ265" s="58"/>
      <c r="AR265" s="58"/>
      <c r="AS265" s="58"/>
      <c r="AT265" s="58"/>
    </row>
    <row r="266" spans="1:46" ht="12" hidden="1" thickBot="1">
      <c r="A266" s="588" t="s">
        <v>1469</v>
      </c>
      <c r="B266" s="522" t="s">
        <v>364</v>
      </c>
      <c r="C266" s="522" t="s">
        <v>1018</v>
      </c>
      <c r="D266" s="533" t="s">
        <v>1035</v>
      </c>
      <c r="E266" s="960"/>
      <c r="F266" s="962"/>
      <c r="G266" s="961"/>
      <c r="H266" s="962"/>
      <c r="I266" s="962"/>
      <c r="J266" s="962"/>
      <c r="K266" s="962"/>
      <c r="L266" s="962"/>
      <c r="M266" s="961"/>
      <c r="N266" s="961"/>
      <c r="O266" s="962"/>
      <c r="P266" s="962"/>
      <c r="Q266" s="961"/>
      <c r="R266" s="961"/>
      <c r="S266" s="527">
        <f t="shared" si="30"/>
        <v>0</v>
      </c>
      <c r="T266" s="528">
        <f t="shared" si="31"/>
        <v>0</v>
      </c>
      <c r="U266" s="527">
        <f t="shared" si="32"/>
        <v>0</v>
      </c>
      <c r="W266" s="326">
        <f t="shared" si="33"/>
        <v>0</v>
      </c>
      <c r="X266" s="261">
        <f t="shared" si="34"/>
        <v>0</v>
      </c>
      <c r="Y266" s="58"/>
      <c r="Z266" s="1016">
        <f t="shared" si="35"/>
        <v>0</v>
      </c>
      <c r="AA266" s="58"/>
      <c r="AB266" s="58"/>
      <c r="AC266" s="58"/>
      <c r="AD266" s="58"/>
      <c r="AE266" s="58"/>
      <c r="AF266" s="58"/>
      <c r="AG266" s="58"/>
      <c r="AH266" s="58"/>
      <c r="AI266" s="58"/>
      <c r="AJ266" s="58"/>
      <c r="AK266" s="58"/>
      <c r="AL266" s="58"/>
      <c r="AM266" s="58"/>
      <c r="AN266" s="58"/>
      <c r="AO266" s="58"/>
      <c r="AP266" s="58"/>
      <c r="AQ266" s="58"/>
      <c r="AR266" s="58"/>
      <c r="AS266" s="58"/>
      <c r="AT266" s="58"/>
    </row>
    <row r="267" spans="1:46" ht="12" hidden="1" thickBot="1">
      <c r="A267" s="588" t="s">
        <v>1469</v>
      </c>
      <c r="B267" s="522" t="s">
        <v>396</v>
      </c>
      <c r="C267" s="522" t="s">
        <v>1019</v>
      </c>
      <c r="D267" s="533" t="s">
        <v>1035</v>
      </c>
      <c r="E267" s="960"/>
      <c r="F267" s="962"/>
      <c r="G267" s="961"/>
      <c r="H267" s="962"/>
      <c r="I267" s="962"/>
      <c r="J267" s="962"/>
      <c r="K267" s="962"/>
      <c r="L267" s="962"/>
      <c r="M267" s="961"/>
      <c r="N267" s="961"/>
      <c r="O267" s="962"/>
      <c r="P267" s="962"/>
      <c r="Q267" s="961"/>
      <c r="R267" s="961"/>
      <c r="S267" s="527">
        <f t="shared" si="30"/>
        <v>0</v>
      </c>
      <c r="T267" s="528">
        <f t="shared" si="31"/>
        <v>0</v>
      </c>
      <c r="U267" s="527">
        <f t="shared" si="32"/>
        <v>0</v>
      </c>
      <c r="W267" s="326">
        <f t="shared" si="33"/>
        <v>0</v>
      </c>
      <c r="X267" s="261">
        <f t="shared" si="34"/>
        <v>0</v>
      </c>
      <c r="Y267" s="58"/>
      <c r="Z267" s="1016">
        <f t="shared" si="35"/>
        <v>0</v>
      </c>
      <c r="AA267" s="58"/>
      <c r="AB267" s="58"/>
      <c r="AC267" s="58"/>
      <c r="AD267" s="58"/>
      <c r="AE267" s="58"/>
      <c r="AF267" s="58"/>
      <c r="AG267" s="58"/>
      <c r="AH267" s="58"/>
      <c r="AI267" s="58"/>
      <c r="AJ267" s="58"/>
      <c r="AK267" s="58"/>
      <c r="AL267" s="58"/>
      <c r="AM267" s="58"/>
      <c r="AN267" s="58"/>
      <c r="AO267" s="58"/>
      <c r="AP267" s="58"/>
      <c r="AQ267" s="58"/>
      <c r="AR267" s="58"/>
      <c r="AS267" s="58"/>
      <c r="AT267" s="58"/>
    </row>
    <row r="268" spans="1:46" ht="12" hidden="1" thickBot="1">
      <c r="A268" s="588" t="s">
        <v>1469</v>
      </c>
      <c r="B268" s="522" t="s">
        <v>415</v>
      </c>
      <c r="C268" s="522" t="s">
        <v>1020</v>
      </c>
      <c r="D268" s="533" t="s">
        <v>1035</v>
      </c>
      <c r="E268" s="960"/>
      <c r="F268" s="962"/>
      <c r="G268" s="961"/>
      <c r="H268" s="962"/>
      <c r="I268" s="962"/>
      <c r="J268" s="962"/>
      <c r="K268" s="962"/>
      <c r="L268" s="962"/>
      <c r="M268" s="961"/>
      <c r="N268" s="961"/>
      <c r="O268" s="962"/>
      <c r="P268" s="962"/>
      <c r="Q268" s="961"/>
      <c r="R268" s="961"/>
      <c r="S268" s="527">
        <f t="shared" si="30"/>
        <v>0</v>
      </c>
      <c r="T268" s="528">
        <f t="shared" si="31"/>
        <v>0</v>
      </c>
      <c r="U268" s="527">
        <f t="shared" si="32"/>
        <v>0</v>
      </c>
      <c r="W268" s="326">
        <f t="shared" si="33"/>
        <v>0</v>
      </c>
      <c r="X268" s="261">
        <f t="shared" si="34"/>
        <v>0</v>
      </c>
      <c r="Y268" s="58"/>
      <c r="Z268" s="1016">
        <f t="shared" si="35"/>
        <v>0</v>
      </c>
      <c r="AA268" s="58"/>
      <c r="AB268" s="58"/>
      <c r="AC268" s="58"/>
      <c r="AD268" s="58"/>
      <c r="AE268" s="58"/>
      <c r="AF268" s="58"/>
      <c r="AG268" s="58"/>
      <c r="AH268" s="58"/>
      <c r="AI268" s="58"/>
      <c r="AJ268" s="58"/>
      <c r="AK268" s="58"/>
      <c r="AL268" s="58"/>
      <c r="AM268" s="58"/>
      <c r="AN268" s="58"/>
      <c r="AO268" s="58"/>
      <c r="AP268" s="58"/>
      <c r="AQ268" s="58"/>
      <c r="AR268" s="58"/>
      <c r="AS268" s="58"/>
      <c r="AT268" s="58"/>
    </row>
    <row r="269" spans="1:46" ht="12" hidden="1" thickBot="1">
      <c r="A269" s="588" t="s">
        <v>1469</v>
      </c>
      <c r="B269" s="522" t="s">
        <v>365</v>
      </c>
      <c r="C269" s="522" t="s">
        <v>1021</v>
      </c>
      <c r="D269" s="533" t="s">
        <v>1035</v>
      </c>
      <c r="E269" s="960"/>
      <c r="F269" s="962"/>
      <c r="G269" s="961"/>
      <c r="H269" s="962"/>
      <c r="I269" s="962"/>
      <c r="J269" s="962"/>
      <c r="K269" s="962"/>
      <c r="L269" s="962"/>
      <c r="M269" s="961"/>
      <c r="N269" s="961"/>
      <c r="O269" s="962"/>
      <c r="P269" s="962"/>
      <c r="Q269" s="961"/>
      <c r="R269" s="961"/>
      <c r="S269" s="527">
        <f t="shared" si="30"/>
        <v>0</v>
      </c>
      <c r="T269" s="528">
        <f t="shared" si="31"/>
        <v>0</v>
      </c>
      <c r="U269" s="527">
        <f t="shared" si="32"/>
        <v>0</v>
      </c>
      <c r="W269" s="326">
        <f t="shared" si="33"/>
        <v>0</v>
      </c>
      <c r="X269" s="261">
        <f t="shared" si="34"/>
        <v>0</v>
      </c>
      <c r="Y269" s="58"/>
      <c r="Z269" s="1016">
        <f t="shared" si="35"/>
        <v>0</v>
      </c>
      <c r="AA269" s="58"/>
      <c r="AB269" s="58"/>
      <c r="AC269" s="58"/>
      <c r="AD269" s="58"/>
      <c r="AE269" s="58"/>
      <c r="AF269" s="58"/>
      <c r="AG269" s="58"/>
      <c r="AH269" s="58"/>
      <c r="AI269" s="58"/>
      <c r="AJ269" s="58"/>
      <c r="AK269" s="58"/>
      <c r="AL269" s="58"/>
      <c r="AM269" s="58"/>
      <c r="AN269" s="58"/>
      <c r="AO269" s="58"/>
      <c r="AP269" s="58"/>
      <c r="AQ269" s="58"/>
      <c r="AR269" s="58"/>
      <c r="AS269" s="58"/>
      <c r="AT269" s="58"/>
    </row>
    <row r="270" spans="1:46" ht="12" hidden="1" thickBot="1">
      <c r="A270" s="588" t="s">
        <v>1469</v>
      </c>
      <c r="B270" s="522" t="s">
        <v>397</v>
      </c>
      <c r="C270" s="522" t="s">
        <v>1022</v>
      </c>
      <c r="D270" s="533" t="s">
        <v>1035</v>
      </c>
      <c r="E270" s="960"/>
      <c r="F270" s="962"/>
      <c r="G270" s="961"/>
      <c r="H270" s="962"/>
      <c r="I270" s="962"/>
      <c r="J270" s="962"/>
      <c r="K270" s="962"/>
      <c r="L270" s="962"/>
      <c r="M270" s="961"/>
      <c r="N270" s="961"/>
      <c r="O270" s="962"/>
      <c r="P270" s="962"/>
      <c r="Q270" s="961"/>
      <c r="R270" s="961"/>
      <c r="S270" s="527">
        <f t="shared" si="30"/>
        <v>0</v>
      </c>
      <c r="T270" s="528">
        <f t="shared" si="31"/>
        <v>0</v>
      </c>
      <c r="U270" s="527">
        <f t="shared" si="32"/>
        <v>0</v>
      </c>
      <c r="W270" s="326">
        <f t="shared" si="33"/>
        <v>0</v>
      </c>
      <c r="X270" s="261">
        <f t="shared" si="34"/>
        <v>0</v>
      </c>
      <c r="Y270" s="58"/>
      <c r="Z270" s="1016">
        <f t="shared" si="35"/>
        <v>0</v>
      </c>
      <c r="AA270" s="58"/>
      <c r="AB270" s="58"/>
      <c r="AC270" s="58"/>
      <c r="AD270" s="58"/>
      <c r="AE270" s="58"/>
      <c r="AF270" s="58"/>
      <c r="AG270" s="58"/>
      <c r="AH270" s="58"/>
      <c r="AI270" s="58"/>
      <c r="AJ270" s="58"/>
      <c r="AK270" s="58"/>
      <c r="AL270" s="58"/>
      <c r="AM270" s="58"/>
      <c r="AN270" s="58"/>
      <c r="AO270" s="58"/>
      <c r="AP270" s="58"/>
      <c r="AQ270" s="58"/>
      <c r="AR270" s="58"/>
      <c r="AS270" s="58"/>
      <c r="AT270" s="58"/>
    </row>
    <row r="271" spans="1:46" ht="12" hidden="1" thickBot="1">
      <c r="A271" s="588" t="s">
        <v>1469</v>
      </c>
      <c r="B271" s="522" t="s">
        <v>337</v>
      </c>
      <c r="C271" s="522" t="s">
        <v>1023</v>
      </c>
      <c r="D271" s="533" t="s">
        <v>1035</v>
      </c>
      <c r="E271" s="960"/>
      <c r="F271" s="962"/>
      <c r="G271" s="961"/>
      <c r="H271" s="962"/>
      <c r="I271" s="962"/>
      <c r="J271" s="962"/>
      <c r="K271" s="962"/>
      <c r="L271" s="962"/>
      <c r="M271" s="961"/>
      <c r="N271" s="961"/>
      <c r="O271" s="962"/>
      <c r="P271" s="962"/>
      <c r="Q271" s="961"/>
      <c r="R271" s="961"/>
      <c r="S271" s="527">
        <f t="shared" si="30"/>
        <v>0</v>
      </c>
      <c r="T271" s="528">
        <f t="shared" si="31"/>
        <v>0</v>
      </c>
      <c r="U271" s="527">
        <f t="shared" si="32"/>
        <v>0</v>
      </c>
      <c r="W271" s="326">
        <f t="shared" si="33"/>
        <v>0</v>
      </c>
      <c r="X271" s="261">
        <f t="shared" si="34"/>
        <v>0</v>
      </c>
      <c r="Y271" s="58"/>
      <c r="Z271" s="1016">
        <f t="shared" si="35"/>
        <v>0</v>
      </c>
      <c r="AA271" s="58"/>
      <c r="AB271" s="58"/>
      <c r="AC271" s="58"/>
      <c r="AD271" s="58"/>
      <c r="AE271" s="58"/>
      <c r="AF271" s="58"/>
      <c r="AG271" s="58"/>
      <c r="AH271" s="58"/>
      <c r="AI271" s="58"/>
      <c r="AJ271" s="58"/>
      <c r="AK271" s="58"/>
      <c r="AL271" s="58"/>
      <c r="AM271" s="58"/>
      <c r="AN271" s="58"/>
      <c r="AO271" s="58"/>
      <c r="AP271" s="58"/>
      <c r="AQ271" s="58"/>
      <c r="AR271" s="58"/>
      <c r="AS271" s="58"/>
      <c r="AT271" s="58"/>
    </row>
    <row r="272" spans="1:46" ht="12" hidden="1" thickBot="1">
      <c r="A272" s="588" t="s">
        <v>1469</v>
      </c>
      <c r="B272" s="522" t="s">
        <v>369</v>
      </c>
      <c r="C272" s="522" t="s">
        <v>1024</v>
      </c>
      <c r="D272" s="533" t="s">
        <v>1035</v>
      </c>
      <c r="E272" s="960"/>
      <c r="F272" s="962"/>
      <c r="G272" s="961"/>
      <c r="H272" s="962"/>
      <c r="I272" s="962"/>
      <c r="J272" s="962"/>
      <c r="K272" s="962"/>
      <c r="L272" s="962"/>
      <c r="M272" s="961"/>
      <c r="N272" s="961"/>
      <c r="O272" s="962"/>
      <c r="P272" s="962"/>
      <c r="Q272" s="961"/>
      <c r="R272" s="961"/>
      <c r="S272" s="527">
        <f t="shared" ref="S272:S288" si="36">G272+H272+I272</f>
        <v>0</v>
      </c>
      <c r="T272" s="528">
        <f t="shared" ref="T272:T288" si="37">J272+K272</f>
        <v>0</v>
      </c>
      <c r="U272" s="527">
        <f t="shared" ref="U272:U288" si="38">N272+O272</f>
        <v>0</v>
      </c>
      <c r="W272" s="326">
        <f t="shared" ref="W272:W288" si="39">SUM(F272:Q272)</f>
        <v>0</v>
      </c>
      <c r="X272" s="261">
        <f t="shared" ref="X272:X288" si="40">W272-R272</f>
        <v>0</v>
      </c>
      <c r="Y272" s="58"/>
      <c r="Z272" s="1016">
        <f t="shared" si="35"/>
        <v>0</v>
      </c>
      <c r="AA272" s="58"/>
      <c r="AB272" s="58"/>
      <c r="AC272" s="58"/>
      <c r="AD272" s="58"/>
      <c r="AE272" s="58"/>
      <c r="AF272" s="58"/>
      <c r="AG272" s="58"/>
      <c r="AH272" s="58"/>
      <c r="AI272" s="58"/>
      <c r="AJ272" s="58"/>
      <c r="AK272" s="58"/>
      <c r="AL272" s="58"/>
      <c r="AM272" s="58"/>
      <c r="AN272" s="58"/>
      <c r="AO272" s="58"/>
      <c r="AP272" s="58"/>
      <c r="AQ272" s="58"/>
      <c r="AR272" s="58"/>
      <c r="AS272" s="58"/>
      <c r="AT272" s="58"/>
    </row>
    <row r="273" spans="1:46" ht="12" hidden="1" thickBot="1">
      <c r="A273" s="588" t="s">
        <v>1469</v>
      </c>
      <c r="B273" s="522" t="s">
        <v>715</v>
      </c>
      <c r="C273" s="522" t="s">
        <v>1025</v>
      </c>
      <c r="D273" s="533" t="s">
        <v>1035</v>
      </c>
      <c r="E273" s="960"/>
      <c r="F273" s="962"/>
      <c r="G273" s="961"/>
      <c r="H273" s="962"/>
      <c r="I273" s="962"/>
      <c r="J273" s="962"/>
      <c r="K273" s="962"/>
      <c r="L273" s="962"/>
      <c r="M273" s="961"/>
      <c r="N273" s="961"/>
      <c r="O273" s="962"/>
      <c r="P273" s="962"/>
      <c r="Q273" s="962"/>
      <c r="R273" s="961"/>
      <c r="S273" s="527">
        <f t="shared" si="36"/>
        <v>0</v>
      </c>
      <c r="T273" s="528">
        <f t="shared" si="37"/>
        <v>0</v>
      </c>
      <c r="U273" s="527">
        <f t="shared" si="38"/>
        <v>0</v>
      </c>
      <c r="W273" s="326">
        <f t="shared" si="39"/>
        <v>0</v>
      </c>
      <c r="X273" s="261">
        <f t="shared" si="40"/>
        <v>0</v>
      </c>
      <c r="Y273" s="58"/>
      <c r="Z273" s="1016">
        <f t="shared" si="35"/>
        <v>0</v>
      </c>
      <c r="AA273" s="58"/>
      <c r="AB273" s="58"/>
      <c r="AC273" s="58"/>
      <c r="AD273" s="58"/>
      <c r="AE273" s="58"/>
      <c r="AF273" s="58"/>
      <c r="AG273" s="58"/>
      <c r="AH273" s="58"/>
      <c r="AI273" s="58"/>
      <c r="AJ273" s="58"/>
      <c r="AK273" s="58"/>
      <c r="AL273" s="58"/>
      <c r="AM273" s="58"/>
      <c r="AN273" s="58"/>
      <c r="AO273" s="58"/>
      <c r="AP273" s="58"/>
      <c r="AQ273" s="58"/>
      <c r="AR273" s="58"/>
      <c r="AS273" s="58"/>
      <c r="AT273" s="58"/>
    </row>
    <row r="274" spans="1:46" ht="12" hidden="1" thickBot="1">
      <c r="A274" s="588" t="s">
        <v>1469</v>
      </c>
      <c r="B274" s="522" t="s">
        <v>332</v>
      </c>
      <c r="C274" s="522" t="s">
        <v>1026</v>
      </c>
      <c r="D274" s="533" t="s">
        <v>1035</v>
      </c>
      <c r="E274" s="960"/>
      <c r="F274" s="962"/>
      <c r="G274" s="961"/>
      <c r="H274" s="962"/>
      <c r="I274" s="962"/>
      <c r="J274" s="962"/>
      <c r="K274" s="962"/>
      <c r="L274" s="962"/>
      <c r="M274" s="961"/>
      <c r="N274" s="961"/>
      <c r="O274" s="962"/>
      <c r="P274" s="962"/>
      <c r="Q274" s="961"/>
      <c r="R274" s="961"/>
      <c r="S274" s="527">
        <f t="shared" si="36"/>
        <v>0</v>
      </c>
      <c r="T274" s="528">
        <f t="shared" si="37"/>
        <v>0</v>
      </c>
      <c r="U274" s="527">
        <f t="shared" si="38"/>
        <v>0</v>
      </c>
      <c r="W274" s="326">
        <f t="shared" si="39"/>
        <v>0</v>
      </c>
      <c r="X274" s="261">
        <f t="shared" si="40"/>
        <v>0</v>
      </c>
      <c r="Y274" s="58"/>
      <c r="Z274" s="1016">
        <f t="shared" si="35"/>
        <v>0</v>
      </c>
      <c r="AA274" s="58"/>
      <c r="AB274" s="58"/>
      <c r="AC274" s="58"/>
      <c r="AD274" s="58"/>
      <c r="AE274" s="58"/>
      <c r="AF274" s="58"/>
      <c r="AG274" s="58"/>
      <c r="AH274" s="58"/>
      <c r="AI274" s="58"/>
      <c r="AJ274" s="58"/>
      <c r="AK274" s="58"/>
      <c r="AL274" s="58"/>
      <c r="AM274" s="58"/>
      <c r="AN274" s="58"/>
      <c r="AO274" s="58"/>
      <c r="AP274" s="58"/>
      <c r="AQ274" s="58"/>
      <c r="AR274" s="58"/>
      <c r="AS274" s="58"/>
      <c r="AT274" s="58"/>
    </row>
    <row r="275" spans="1:46" ht="12" hidden="1" thickBot="1">
      <c r="A275" s="588" t="s">
        <v>1469</v>
      </c>
      <c r="B275" s="522" t="s">
        <v>334</v>
      </c>
      <c r="C275" s="522" t="s">
        <v>1027</v>
      </c>
      <c r="D275" s="533" t="s">
        <v>1035</v>
      </c>
      <c r="E275" s="960"/>
      <c r="F275" s="962"/>
      <c r="G275" s="961"/>
      <c r="H275" s="962"/>
      <c r="I275" s="962"/>
      <c r="J275" s="962"/>
      <c r="K275" s="962"/>
      <c r="L275" s="962"/>
      <c r="M275" s="961"/>
      <c r="N275" s="961"/>
      <c r="O275" s="962"/>
      <c r="P275" s="962"/>
      <c r="Q275" s="961"/>
      <c r="R275" s="961"/>
      <c r="S275" s="527">
        <f t="shared" si="36"/>
        <v>0</v>
      </c>
      <c r="T275" s="528">
        <f t="shared" si="37"/>
        <v>0</v>
      </c>
      <c r="U275" s="527">
        <f t="shared" si="38"/>
        <v>0</v>
      </c>
      <c r="W275" s="326">
        <f t="shared" si="39"/>
        <v>0</v>
      </c>
      <c r="X275" s="261">
        <f t="shared" si="40"/>
        <v>0</v>
      </c>
      <c r="Y275" s="58"/>
      <c r="Z275" s="1016">
        <f t="shared" si="35"/>
        <v>0</v>
      </c>
      <c r="AA275" s="58"/>
      <c r="AB275" s="58"/>
      <c r="AC275" s="58"/>
      <c r="AD275" s="58"/>
      <c r="AE275" s="58"/>
      <c r="AF275" s="58"/>
      <c r="AG275" s="58"/>
      <c r="AH275" s="58"/>
      <c r="AI275" s="58"/>
      <c r="AJ275" s="58"/>
      <c r="AK275" s="58"/>
      <c r="AL275" s="58"/>
      <c r="AM275" s="58"/>
      <c r="AN275" s="58"/>
      <c r="AO275" s="58"/>
      <c r="AP275" s="58"/>
      <c r="AQ275" s="58"/>
      <c r="AR275" s="58"/>
      <c r="AS275" s="58"/>
      <c r="AT275" s="58"/>
    </row>
    <row r="276" spans="1:46" ht="12" hidden="1" thickBot="1">
      <c r="A276" s="588" t="s">
        <v>1469</v>
      </c>
      <c r="B276" s="522" t="s">
        <v>366</v>
      </c>
      <c r="C276" s="522" t="s">
        <v>1028</v>
      </c>
      <c r="D276" s="533" t="s">
        <v>1035</v>
      </c>
      <c r="E276" s="960"/>
      <c r="F276" s="962"/>
      <c r="G276" s="961"/>
      <c r="H276" s="962"/>
      <c r="I276" s="962"/>
      <c r="J276" s="962"/>
      <c r="K276" s="962"/>
      <c r="L276" s="962"/>
      <c r="M276" s="961"/>
      <c r="N276" s="961"/>
      <c r="O276" s="962"/>
      <c r="P276" s="962"/>
      <c r="Q276" s="961"/>
      <c r="R276" s="961"/>
      <c r="S276" s="527">
        <f t="shared" si="36"/>
        <v>0</v>
      </c>
      <c r="T276" s="528">
        <f t="shared" si="37"/>
        <v>0</v>
      </c>
      <c r="U276" s="527">
        <f t="shared" si="38"/>
        <v>0</v>
      </c>
      <c r="W276" s="326">
        <f t="shared" si="39"/>
        <v>0</v>
      </c>
      <c r="X276" s="261">
        <f t="shared" si="40"/>
        <v>0</v>
      </c>
      <c r="Y276" s="58"/>
      <c r="Z276" s="1016">
        <f t="shared" si="35"/>
        <v>0</v>
      </c>
      <c r="AA276" s="58"/>
      <c r="AB276" s="58"/>
      <c r="AC276" s="58"/>
      <c r="AD276" s="58"/>
      <c r="AE276" s="58"/>
      <c r="AF276" s="58"/>
      <c r="AG276" s="58"/>
      <c r="AH276" s="58"/>
      <c r="AI276" s="58"/>
      <c r="AJ276" s="58"/>
      <c r="AK276" s="58"/>
      <c r="AL276" s="58"/>
      <c r="AM276" s="58"/>
      <c r="AN276" s="58"/>
      <c r="AO276" s="58"/>
      <c r="AP276" s="58"/>
      <c r="AQ276" s="58"/>
      <c r="AR276" s="58"/>
      <c r="AS276" s="58"/>
      <c r="AT276" s="58"/>
    </row>
    <row r="277" spans="1:46" ht="12" hidden="1" thickBot="1">
      <c r="A277" s="588" t="s">
        <v>1469</v>
      </c>
      <c r="B277" s="522" t="s">
        <v>329</v>
      </c>
      <c r="C277" s="522" t="s">
        <v>1029</v>
      </c>
      <c r="D277" s="533" t="s">
        <v>1035</v>
      </c>
      <c r="E277" s="960"/>
      <c r="F277" s="962"/>
      <c r="G277" s="961"/>
      <c r="H277" s="962"/>
      <c r="I277" s="962"/>
      <c r="J277" s="962"/>
      <c r="K277" s="962"/>
      <c r="L277" s="962"/>
      <c r="M277" s="961"/>
      <c r="N277" s="961"/>
      <c r="O277" s="962"/>
      <c r="P277" s="962"/>
      <c r="Q277" s="961"/>
      <c r="R277" s="961"/>
      <c r="S277" s="527">
        <f t="shared" si="36"/>
        <v>0</v>
      </c>
      <c r="T277" s="528">
        <f t="shared" si="37"/>
        <v>0</v>
      </c>
      <c r="U277" s="527">
        <f t="shared" si="38"/>
        <v>0</v>
      </c>
      <c r="W277" s="326">
        <f t="shared" si="39"/>
        <v>0</v>
      </c>
      <c r="X277" s="261">
        <f t="shared" si="40"/>
        <v>0</v>
      </c>
      <c r="Y277" s="58"/>
      <c r="Z277" s="1016">
        <f t="shared" si="35"/>
        <v>0</v>
      </c>
      <c r="AA277" s="58"/>
      <c r="AB277" s="58"/>
      <c r="AC277" s="58"/>
      <c r="AD277" s="58"/>
      <c r="AE277" s="58"/>
      <c r="AF277" s="58"/>
      <c r="AG277" s="58"/>
      <c r="AH277" s="58"/>
      <c r="AI277" s="58"/>
      <c r="AJ277" s="58"/>
      <c r="AK277" s="58"/>
      <c r="AL277" s="58"/>
      <c r="AM277" s="58"/>
      <c r="AN277" s="58"/>
      <c r="AO277" s="58"/>
      <c r="AP277" s="58"/>
      <c r="AQ277" s="58"/>
      <c r="AR277" s="58"/>
      <c r="AS277" s="58"/>
      <c r="AT277" s="58"/>
    </row>
    <row r="278" spans="1:46" ht="12" hidden="1" thickBot="1">
      <c r="A278" s="588" t="s">
        <v>1469</v>
      </c>
      <c r="B278" s="522" t="s">
        <v>683</v>
      </c>
      <c r="C278" s="522" t="s">
        <v>1047</v>
      </c>
      <c r="D278" s="533" t="s">
        <v>1035</v>
      </c>
      <c r="E278" s="960"/>
      <c r="F278" s="962"/>
      <c r="G278" s="961"/>
      <c r="H278" s="962"/>
      <c r="I278" s="962"/>
      <c r="J278" s="962"/>
      <c r="K278" s="962"/>
      <c r="L278" s="962"/>
      <c r="M278" s="961"/>
      <c r="N278" s="961"/>
      <c r="O278" s="962"/>
      <c r="P278" s="962"/>
      <c r="Q278" s="962"/>
      <c r="R278" s="961"/>
      <c r="S278" s="527">
        <f t="shared" si="36"/>
        <v>0</v>
      </c>
      <c r="T278" s="528">
        <f t="shared" si="37"/>
        <v>0</v>
      </c>
      <c r="U278" s="527">
        <f t="shared" si="38"/>
        <v>0</v>
      </c>
      <c r="W278" s="326">
        <f t="shared" si="39"/>
        <v>0</v>
      </c>
      <c r="X278" s="261">
        <f t="shared" si="40"/>
        <v>0</v>
      </c>
      <c r="Y278" s="58"/>
      <c r="Z278" s="1016">
        <f t="shared" si="35"/>
        <v>0</v>
      </c>
      <c r="AA278" s="58"/>
      <c r="AB278" s="58"/>
      <c r="AC278" s="58"/>
      <c r="AD278" s="58"/>
      <c r="AE278" s="58"/>
      <c r="AF278" s="58"/>
      <c r="AG278" s="58"/>
      <c r="AH278" s="58"/>
      <c r="AI278" s="58"/>
      <c r="AJ278" s="58"/>
      <c r="AK278" s="58"/>
      <c r="AL278" s="58"/>
      <c r="AM278" s="58"/>
      <c r="AN278" s="58"/>
      <c r="AO278" s="58"/>
      <c r="AP278" s="58"/>
      <c r="AQ278" s="58"/>
      <c r="AR278" s="58"/>
      <c r="AS278" s="58"/>
      <c r="AT278" s="58"/>
    </row>
    <row r="279" spans="1:46" ht="12" hidden="1" thickBot="1">
      <c r="A279" s="588" t="s">
        <v>1469</v>
      </c>
      <c r="B279" s="522" t="s">
        <v>463</v>
      </c>
      <c r="C279" s="522" t="s">
        <v>1030</v>
      </c>
      <c r="D279" s="533" t="s">
        <v>1035</v>
      </c>
      <c r="E279" s="960"/>
      <c r="F279" s="962"/>
      <c r="G279" s="961"/>
      <c r="H279" s="962"/>
      <c r="I279" s="962"/>
      <c r="J279" s="962"/>
      <c r="K279" s="962"/>
      <c r="L279" s="962"/>
      <c r="M279" s="961"/>
      <c r="N279" s="961"/>
      <c r="O279" s="962"/>
      <c r="P279" s="962"/>
      <c r="Q279" s="962"/>
      <c r="R279" s="961"/>
      <c r="S279" s="527">
        <f t="shared" si="36"/>
        <v>0</v>
      </c>
      <c r="T279" s="528">
        <f t="shared" si="37"/>
        <v>0</v>
      </c>
      <c r="U279" s="527">
        <f t="shared" si="38"/>
        <v>0</v>
      </c>
      <c r="W279" s="326">
        <f t="shared" si="39"/>
        <v>0</v>
      </c>
      <c r="X279" s="261">
        <f t="shared" si="40"/>
        <v>0</v>
      </c>
      <c r="Y279" s="58"/>
      <c r="Z279" s="1016">
        <f t="shared" si="35"/>
        <v>0</v>
      </c>
      <c r="AA279" s="58"/>
      <c r="AB279" s="58"/>
      <c r="AC279" s="58"/>
      <c r="AD279" s="58"/>
      <c r="AE279" s="58"/>
      <c r="AF279" s="58"/>
      <c r="AG279" s="58"/>
      <c r="AH279" s="58"/>
      <c r="AI279" s="58"/>
      <c r="AJ279" s="58"/>
      <c r="AK279" s="58"/>
      <c r="AL279" s="58"/>
      <c r="AM279" s="58"/>
      <c r="AN279" s="58"/>
      <c r="AO279" s="58"/>
      <c r="AP279" s="58"/>
      <c r="AQ279" s="58"/>
      <c r="AR279" s="58"/>
      <c r="AS279" s="58"/>
      <c r="AT279" s="58"/>
    </row>
    <row r="280" spans="1:46" ht="12" hidden="1" thickBot="1">
      <c r="A280" s="588" t="s">
        <v>1469</v>
      </c>
      <c r="B280" s="522" t="s">
        <v>653</v>
      </c>
      <c r="C280" s="522" t="s">
        <v>1031</v>
      </c>
      <c r="D280" s="533" t="s">
        <v>1035</v>
      </c>
      <c r="E280" s="960"/>
      <c r="F280" s="962"/>
      <c r="G280" s="961"/>
      <c r="H280" s="962"/>
      <c r="I280" s="962"/>
      <c r="J280" s="962"/>
      <c r="K280" s="962"/>
      <c r="L280" s="962"/>
      <c r="M280" s="961"/>
      <c r="N280" s="961"/>
      <c r="O280" s="962"/>
      <c r="P280" s="962"/>
      <c r="Q280" s="962"/>
      <c r="R280" s="961"/>
      <c r="S280" s="527">
        <f t="shared" si="36"/>
        <v>0</v>
      </c>
      <c r="T280" s="528">
        <f t="shared" si="37"/>
        <v>0</v>
      </c>
      <c r="U280" s="527">
        <f t="shared" si="38"/>
        <v>0</v>
      </c>
      <c r="W280" s="326">
        <f t="shared" si="39"/>
        <v>0</v>
      </c>
      <c r="X280" s="261">
        <f t="shared" si="40"/>
        <v>0</v>
      </c>
      <c r="Y280" s="58"/>
      <c r="Z280" s="1016">
        <f t="shared" si="35"/>
        <v>0</v>
      </c>
      <c r="AA280" s="58"/>
      <c r="AB280" s="58"/>
      <c r="AC280" s="58"/>
      <c r="AD280" s="58"/>
      <c r="AE280" s="58"/>
      <c r="AF280" s="58"/>
      <c r="AG280" s="58"/>
      <c r="AH280" s="58"/>
      <c r="AI280" s="58"/>
      <c r="AJ280" s="58"/>
      <c r="AK280" s="58"/>
      <c r="AL280" s="58"/>
      <c r="AM280" s="58"/>
      <c r="AN280" s="58"/>
      <c r="AO280" s="58"/>
      <c r="AP280" s="58"/>
      <c r="AQ280" s="58"/>
      <c r="AR280" s="58"/>
      <c r="AS280" s="58"/>
      <c r="AT280" s="58"/>
    </row>
    <row r="281" spans="1:46" ht="12" thickBot="1">
      <c r="A281" s="588" t="s">
        <v>1469</v>
      </c>
      <c r="B281" s="522" t="s">
        <v>79</v>
      </c>
      <c r="C281" s="522" t="s">
        <v>444</v>
      </c>
      <c r="D281" s="533" t="s">
        <v>79</v>
      </c>
      <c r="E281" s="989">
        <f>9812639-E172-E174</f>
        <v>9690520</v>
      </c>
      <c r="F281" s="989"/>
      <c r="G281" s="989">
        <f>1822886-G172-F174-G174</f>
        <v>1810911.25</v>
      </c>
      <c r="H281" s="989">
        <v>283782</v>
      </c>
      <c r="I281" s="989"/>
      <c r="J281" s="989"/>
      <c r="K281" s="989"/>
      <c r="L281" s="989"/>
      <c r="M281" s="989">
        <f>18241-M172-M174</f>
        <v>18014</v>
      </c>
      <c r="N281" s="989">
        <f>35165-N172-N174</f>
        <v>34728</v>
      </c>
      <c r="O281" s="989"/>
      <c r="P281" s="989"/>
      <c r="Q281" s="989"/>
      <c r="R281" s="961">
        <f>SUM(F281:Q281)</f>
        <v>2147435.25</v>
      </c>
      <c r="S281" s="527">
        <f t="shared" si="36"/>
        <v>2094693.25</v>
      </c>
      <c r="T281" s="528">
        <f t="shared" si="37"/>
        <v>0</v>
      </c>
      <c r="U281" s="527">
        <f t="shared" si="38"/>
        <v>34728</v>
      </c>
      <c r="W281" s="326">
        <f t="shared" si="39"/>
        <v>2147435.25</v>
      </c>
      <c r="X281" s="261">
        <f t="shared" si="40"/>
        <v>0</v>
      </c>
      <c r="Y281" s="58"/>
      <c r="Z281" s="1016">
        <f t="shared" si="35"/>
        <v>2094693.25</v>
      </c>
      <c r="AA281" s="58"/>
      <c r="AB281" s="58"/>
      <c r="AC281" s="58"/>
      <c r="AD281" s="58"/>
      <c r="AE281" s="58"/>
      <c r="AF281" s="58"/>
      <c r="AG281" s="58"/>
      <c r="AH281" s="58"/>
      <c r="AI281" s="58"/>
      <c r="AJ281" s="58"/>
      <c r="AK281" s="58"/>
      <c r="AL281" s="58"/>
      <c r="AM281" s="58"/>
      <c r="AN281" s="58"/>
      <c r="AO281" s="58"/>
      <c r="AP281" s="58"/>
      <c r="AQ281" s="58"/>
      <c r="AR281" s="58"/>
      <c r="AS281" s="58"/>
      <c r="AT281" s="58"/>
    </row>
    <row r="282" spans="1:46" ht="12" hidden="1" thickBot="1">
      <c r="A282" s="588" t="s">
        <v>1469</v>
      </c>
      <c r="B282" s="522" t="s">
        <v>474</v>
      </c>
      <c r="C282" s="522" t="s">
        <v>473</v>
      </c>
      <c r="D282" s="533" t="s">
        <v>747</v>
      </c>
      <c r="E282" s="962"/>
      <c r="F282" s="962"/>
      <c r="G282" s="962"/>
      <c r="H282" s="962"/>
      <c r="I282" s="962"/>
      <c r="J282" s="962"/>
      <c r="K282" s="962"/>
      <c r="L282" s="962"/>
      <c r="M282" s="962"/>
      <c r="N282" s="962"/>
      <c r="O282" s="962"/>
      <c r="P282" s="962"/>
      <c r="Q282" s="962"/>
      <c r="R282" s="961"/>
      <c r="S282" s="527">
        <f t="shared" si="36"/>
        <v>0</v>
      </c>
      <c r="T282" s="528">
        <f t="shared" si="37"/>
        <v>0</v>
      </c>
      <c r="U282" s="527">
        <f t="shared" si="38"/>
        <v>0</v>
      </c>
      <c r="W282" s="326">
        <f t="shared" si="39"/>
        <v>0</v>
      </c>
      <c r="X282" s="261">
        <f t="shared" si="40"/>
        <v>0</v>
      </c>
      <c r="Y282" s="58"/>
      <c r="Z282" s="1016">
        <f t="shared" si="35"/>
        <v>0</v>
      </c>
      <c r="AA282" s="58"/>
      <c r="AB282" s="58"/>
      <c r="AC282" s="58"/>
      <c r="AD282" s="58"/>
      <c r="AE282" s="58"/>
      <c r="AF282" s="58"/>
      <c r="AG282" s="58"/>
      <c r="AH282" s="58"/>
      <c r="AI282" s="58"/>
      <c r="AJ282" s="58"/>
      <c r="AK282" s="58"/>
      <c r="AL282" s="58"/>
      <c r="AM282" s="58"/>
      <c r="AN282" s="58"/>
      <c r="AO282" s="58"/>
      <c r="AP282" s="58"/>
      <c r="AQ282" s="58"/>
      <c r="AR282" s="58"/>
      <c r="AS282" s="58"/>
      <c r="AT282" s="58"/>
    </row>
    <row r="283" spans="1:46" ht="12" hidden="1" thickBot="1">
      <c r="A283" s="588" t="s">
        <v>1469</v>
      </c>
      <c r="B283" s="522" t="s">
        <v>476</v>
      </c>
      <c r="C283" s="522" t="s">
        <v>475</v>
      </c>
      <c r="D283" s="533" t="s">
        <v>747</v>
      </c>
      <c r="E283" s="962"/>
      <c r="F283" s="962"/>
      <c r="G283" s="962"/>
      <c r="H283" s="962"/>
      <c r="I283" s="962"/>
      <c r="J283" s="962"/>
      <c r="K283" s="962"/>
      <c r="L283" s="962"/>
      <c r="M283" s="962"/>
      <c r="N283" s="962"/>
      <c r="O283" s="962"/>
      <c r="P283" s="962"/>
      <c r="Q283" s="962"/>
      <c r="R283" s="961"/>
      <c r="S283" s="527">
        <f t="shared" si="36"/>
        <v>0</v>
      </c>
      <c r="T283" s="528">
        <f t="shared" si="37"/>
        <v>0</v>
      </c>
      <c r="U283" s="527">
        <f t="shared" si="38"/>
        <v>0</v>
      </c>
      <c r="W283" s="326">
        <f t="shared" si="39"/>
        <v>0</v>
      </c>
      <c r="X283" s="261">
        <f t="shared" si="40"/>
        <v>0</v>
      </c>
      <c r="Y283" s="58"/>
      <c r="Z283" s="1016">
        <f t="shared" si="35"/>
        <v>0</v>
      </c>
      <c r="AA283" s="58"/>
      <c r="AB283" s="58"/>
      <c r="AC283" s="58"/>
      <c r="AD283" s="58"/>
      <c r="AE283" s="58"/>
      <c r="AF283" s="58"/>
      <c r="AG283" s="58"/>
      <c r="AH283" s="58"/>
      <c r="AI283" s="58"/>
      <c r="AJ283" s="58"/>
      <c r="AK283" s="58"/>
      <c r="AL283" s="58"/>
      <c r="AM283" s="58"/>
      <c r="AN283" s="58"/>
      <c r="AO283" s="58"/>
      <c r="AP283" s="58"/>
      <c r="AQ283" s="58"/>
      <c r="AR283" s="58"/>
      <c r="AS283" s="58"/>
      <c r="AT283" s="58"/>
    </row>
    <row r="284" spans="1:46" ht="12" hidden="1" thickBot="1">
      <c r="A284" s="588" t="s">
        <v>1469</v>
      </c>
      <c r="B284" s="522" t="s">
        <v>443</v>
      </c>
      <c r="C284" s="522" t="s">
        <v>442</v>
      </c>
      <c r="D284" s="533" t="s">
        <v>1053</v>
      </c>
      <c r="E284" s="962"/>
      <c r="F284" s="961"/>
      <c r="G284" s="962"/>
      <c r="H284" s="962"/>
      <c r="I284" s="962"/>
      <c r="J284" s="962"/>
      <c r="K284" s="962"/>
      <c r="L284" s="962"/>
      <c r="M284" s="962"/>
      <c r="N284" s="962"/>
      <c r="O284" s="962"/>
      <c r="P284" s="962"/>
      <c r="Q284" s="962"/>
      <c r="R284" s="961"/>
      <c r="S284" s="527">
        <f t="shared" si="36"/>
        <v>0</v>
      </c>
      <c r="T284" s="528">
        <f t="shared" si="37"/>
        <v>0</v>
      </c>
      <c r="U284" s="527">
        <f t="shared" si="38"/>
        <v>0</v>
      </c>
      <c r="W284" s="326">
        <f t="shared" si="39"/>
        <v>0</v>
      </c>
      <c r="X284" s="261">
        <f t="shared" si="40"/>
        <v>0</v>
      </c>
      <c r="Y284" s="58"/>
      <c r="Z284" s="1016">
        <f t="shared" si="35"/>
        <v>0</v>
      </c>
      <c r="AA284" s="58"/>
      <c r="AB284" s="58"/>
      <c r="AC284" s="58"/>
      <c r="AD284" s="58"/>
      <c r="AE284" s="58"/>
      <c r="AF284" s="58"/>
      <c r="AG284" s="58"/>
      <c r="AH284" s="58"/>
      <c r="AI284" s="58"/>
      <c r="AJ284" s="58"/>
      <c r="AK284" s="58"/>
      <c r="AL284" s="58"/>
      <c r="AM284" s="58"/>
      <c r="AN284" s="58"/>
      <c r="AO284" s="58"/>
      <c r="AP284" s="58"/>
      <c r="AQ284" s="58"/>
      <c r="AR284" s="58"/>
      <c r="AS284" s="58"/>
      <c r="AT284" s="58"/>
    </row>
    <row r="285" spans="1:46" ht="12" hidden="1" thickBot="1">
      <c r="A285" s="588" t="s">
        <v>1469</v>
      </c>
      <c r="B285" s="522" t="s">
        <v>710</v>
      </c>
      <c r="C285" s="522" t="s">
        <v>711</v>
      </c>
      <c r="D285" s="533" t="s">
        <v>747</v>
      </c>
      <c r="E285" s="962"/>
      <c r="F285" s="962"/>
      <c r="G285" s="962"/>
      <c r="H285" s="962"/>
      <c r="I285" s="962"/>
      <c r="J285" s="962"/>
      <c r="K285" s="962"/>
      <c r="L285" s="962"/>
      <c r="M285" s="962"/>
      <c r="N285" s="962"/>
      <c r="O285" s="962"/>
      <c r="P285" s="962"/>
      <c r="Q285" s="962"/>
      <c r="R285" s="961"/>
      <c r="S285" s="527">
        <f t="shared" si="36"/>
        <v>0</v>
      </c>
      <c r="T285" s="528">
        <f t="shared" si="37"/>
        <v>0</v>
      </c>
      <c r="U285" s="527">
        <f t="shared" si="38"/>
        <v>0</v>
      </c>
      <c r="W285" s="326">
        <f t="shared" si="39"/>
        <v>0</v>
      </c>
      <c r="X285" s="261">
        <f t="shared" si="40"/>
        <v>0</v>
      </c>
      <c r="Y285" s="58"/>
      <c r="Z285" s="1016">
        <f t="shared" si="35"/>
        <v>0</v>
      </c>
      <c r="AA285" s="58"/>
      <c r="AB285" s="58"/>
      <c r="AC285" s="58"/>
      <c r="AD285" s="58"/>
      <c r="AE285" s="58"/>
      <c r="AF285" s="58"/>
      <c r="AG285" s="58"/>
      <c r="AH285" s="58"/>
      <c r="AI285" s="58"/>
      <c r="AJ285" s="58"/>
      <c r="AK285" s="58"/>
      <c r="AL285" s="58"/>
      <c r="AM285" s="58"/>
      <c r="AN285" s="58"/>
      <c r="AO285" s="58"/>
      <c r="AP285" s="58"/>
      <c r="AQ285" s="58"/>
      <c r="AR285" s="58"/>
      <c r="AS285" s="58"/>
      <c r="AT285" s="58"/>
    </row>
    <row r="286" spans="1:46" ht="12" hidden="1" thickBot="1">
      <c r="A286" s="588" t="s">
        <v>1469</v>
      </c>
      <c r="B286" s="522" t="s">
        <v>1048</v>
      </c>
      <c r="C286" s="522" t="s">
        <v>1049</v>
      </c>
      <c r="D286" s="533" t="s">
        <v>747</v>
      </c>
      <c r="E286" s="962"/>
      <c r="F286" s="962"/>
      <c r="G286" s="962"/>
      <c r="H286" s="962"/>
      <c r="I286" s="962"/>
      <c r="J286" s="962"/>
      <c r="K286" s="962"/>
      <c r="L286" s="962"/>
      <c r="M286" s="962"/>
      <c r="N286" s="962"/>
      <c r="O286" s="962"/>
      <c r="P286" s="962"/>
      <c r="Q286" s="962"/>
      <c r="R286" s="961"/>
      <c r="S286" s="527">
        <f t="shared" si="36"/>
        <v>0</v>
      </c>
      <c r="T286" s="528">
        <f t="shared" si="37"/>
        <v>0</v>
      </c>
      <c r="U286" s="527">
        <f t="shared" si="38"/>
        <v>0</v>
      </c>
      <c r="W286" s="326">
        <f t="shared" si="39"/>
        <v>0</v>
      </c>
      <c r="X286" s="261">
        <f t="shared" si="40"/>
        <v>0</v>
      </c>
      <c r="Y286" s="58"/>
      <c r="Z286" s="1016">
        <f t="shared" si="35"/>
        <v>0</v>
      </c>
      <c r="AA286" s="58"/>
      <c r="AB286" s="58"/>
      <c r="AC286" s="58"/>
      <c r="AD286" s="58"/>
      <c r="AE286" s="58"/>
      <c r="AF286" s="58"/>
      <c r="AG286" s="58"/>
      <c r="AH286" s="58"/>
      <c r="AI286" s="58"/>
      <c r="AJ286" s="58"/>
      <c r="AK286" s="58"/>
      <c r="AL286" s="58"/>
      <c r="AM286" s="58"/>
      <c r="AN286" s="58"/>
      <c r="AO286" s="58"/>
      <c r="AP286" s="58"/>
      <c r="AQ286" s="58"/>
      <c r="AR286" s="58"/>
      <c r="AS286" s="58"/>
      <c r="AT286" s="58"/>
    </row>
    <row r="287" spans="1:46" ht="12" hidden="1" thickBot="1">
      <c r="A287" s="588" t="s">
        <v>1469</v>
      </c>
      <c r="B287" s="522" t="s">
        <v>450</v>
      </c>
      <c r="C287" s="522" t="s">
        <v>1050</v>
      </c>
      <c r="D287" s="533" t="s">
        <v>1054</v>
      </c>
      <c r="E287" s="960"/>
      <c r="F287" s="961"/>
      <c r="G287" s="961"/>
      <c r="H287" s="961"/>
      <c r="I287" s="962"/>
      <c r="J287" s="962"/>
      <c r="K287" s="962"/>
      <c r="L287" s="962"/>
      <c r="M287" s="962"/>
      <c r="N287" s="962"/>
      <c r="O287" s="962"/>
      <c r="P287" s="962"/>
      <c r="Q287" s="962"/>
      <c r="R287" s="961"/>
      <c r="S287" s="527">
        <f t="shared" si="36"/>
        <v>0</v>
      </c>
      <c r="T287" s="528">
        <f t="shared" si="37"/>
        <v>0</v>
      </c>
      <c r="U287" s="527">
        <f t="shared" si="38"/>
        <v>0</v>
      </c>
      <c r="W287" s="326">
        <f t="shared" si="39"/>
        <v>0</v>
      </c>
      <c r="X287" s="261">
        <f t="shared" si="40"/>
        <v>0</v>
      </c>
      <c r="Y287" s="58"/>
      <c r="Z287" s="1016">
        <f t="shared" si="35"/>
        <v>0</v>
      </c>
      <c r="AA287" s="58"/>
      <c r="AB287" s="58"/>
      <c r="AC287" s="58"/>
      <c r="AD287" s="58"/>
      <c r="AE287" s="58"/>
      <c r="AF287" s="58"/>
      <c r="AG287" s="58"/>
      <c r="AH287" s="58"/>
      <c r="AI287" s="58"/>
      <c r="AJ287" s="58"/>
      <c r="AK287" s="58"/>
      <c r="AL287" s="58"/>
      <c r="AM287" s="58"/>
      <c r="AN287" s="58"/>
      <c r="AO287" s="58"/>
      <c r="AP287" s="58"/>
      <c r="AQ287" s="58"/>
      <c r="AR287" s="58"/>
      <c r="AS287" s="58"/>
      <c r="AT287" s="58"/>
    </row>
    <row r="288" spans="1:46" ht="12" hidden="1" thickBot="1">
      <c r="A288" s="588" t="s">
        <v>1469</v>
      </c>
      <c r="B288" s="543" t="s">
        <v>9</v>
      </c>
      <c r="C288" s="544"/>
      <c r="D288" s="544"/>
      <c r="E288" s="544"/>
      <c r="F288" s="544"/>
      <c r="G288" s="544"/>
      <c r="H288" s="544"/>
      <c r="I288" s="544"/>
      <c r="J288" s="544"/>
      <c r="K288" s="544"/>
      <c r="L288" s="544"/>
      <c r="M288" s="544"/>
      <c r="N288" s="544"/>
      <c r="O288" s="544"/>
      <c r="P288" s="544"/>
      <c r="Q288" s="544"/>
      <c r="R288" s="544"/>
      <c r="S288" s="527">
        <f t="shared" si="36"/>
        <v>0</v>
      </c>
      <c r="T288" s="528">
        <f t="shared" si="37"/>
        <v>0</v>
      </c>
      <c r="U288" s="527">
        <f t="shared" si="38"/>
        <v>0</v>
      </c>
      <c r="W288" s="326">
        <f t="shared" si="39"/>
        <v>0</v>
      </c>
      <c r="X288" s="261">
        <f t="shared" si="40"/>
        <v>0</v>
      </c>
      <c r="Y288" s="58"/>
      <c r="Z288" s="1016">
        <f t="shared" si="35"/>
        <v>0</v>
      </c>
      <c r="AA288" s="58"/>
      <c r="AB288" s="58"/>
      <c r="AC288" s="58"/>
      <c r="AD288" s="58"/>
      <c r="AE288" s="58"/>
      <c r="AF288" s="58"/>
      <c r="AG288" s="58"/>
      <c r="AH288" s="58"/>
      <c r="AI288" s="58"/>
      <c r="AJ288" s="58"/>
      <c r="AK288" s="58"/>
      <c r="AL288" s="58"/>
      <c r="AM288" s="58"/>
      <c r="AN288" s="58"/>
      <c r="AO288" s="58"/>
      <c r="AP288" s="58"/>
      <c r="AQ288" s="58"/>
      <c r="AR288" s="58"/>
      <c r="AS288" s="58"/>
      <c r="AT288" s="58"/>
    </row>
    <row r="289" spans="1:77" ht="12" hidden="1" thickBot="1">
      <c r="A289" s="522" t="s">
        <v>1360</v>
      </c>
      <c r="B289" s="522" t="s">
        <v>440</v>
      </c>
      <c r="C289" s="522" t="s">
        <v>460</v>
      </c>
      <c r="D289" s="545" t="s">
        <v>760</v>
      </c>
      <c r="E289" s="524">
        <v>9249</v>
      </c>
      <c r="F289" s="525">
        <v>25.5</v>
      </c>
      <c r="G289" s="525">
        <v>629.39</v>
      </c>
      <c r="H289" s="526"/>
      <c r="I289" s="526"/>
      <c r="J289" s="526"/>
      <c r="K289" s="526"/>
      <c r="L289" s="526"/>
      <c r="M289" s="526"/>
      <c r="N289" s="526"/>
      <c r="O289" s="526"/>
      <c r="P289" s="526"/>
      <c r="Q289" s="526"/>
      <c r="R289" s="525">
        <v>654.89</v>
      </c>
      <c r="S289" s="527">
        <f>G289+H289+I289</f>
        <v>629.39</v>
      </c>
      <c r="T289" s="528">
        <f>J289+K289</f>
        <v>0</v>
      </c>
      <c r="U289" s="527">
        <f t="shared" ref="U289:U352" si="41">N289+O289</f>
        <v>0</v>
      </c>
      <c r="W289" s="326">
        <f>SUM(F289:Q289)</f>
        <v>654.89</v>
      </c>
      <c r="X289" s="261">
        <f>W289-R289</f>
        <v>0</v>
      </c>
      <c r="Y289" s="546"/>
      <c r="Z289" s="1016">
        <f t="shared" si="35"/>
        <v>654.89</v>
      </c>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46"/>
      <c r="AX289" s="546"/>
      <c r="AY289" s="546"/>
      <c r="AZ289" s="546"/>
      <c r="BA289" s="546"/>
      <c r="BB289" s="546"/>
      <c r="BC289" s="546"/>
      <c r="BD289" s="546"/>
      <c r="BE289" s="546"/>
      <c r="BF289" s="546"/>
      <c r="BG289" s="546"/>
      <c r="BH289" s="546"/>
      <c r="BI289" s="546"/>
      <c r="BJ289" s="546"/>
      <c r="BK289" s="546"/>
      <c r="BL289" s="546"/>
      <c r="BM289" s="546"/>
      <c r="BN289" s="546"/>
      <c r="BO289" s="546"/>
      <c r="BP289" s="546"/>
      <c r="BQ289" s="546"/>
      <c r="BR289" s="546"/>
      <c r="BS289" s="546"/>
      <c r="BT289" s="546"/>
      <c r="BU289" s="546"/>
      <c r="BV289" s="546"/>
      <c r="BW289" s="546"/>
      <c r="BX289" s="546"/>
      <c r="BY289" s="546"/>
    </row>
    <row r="290" spans="1:77" ht="12" hidden="1" thickBot="1">
      <c r="A290" s="522" t="s">
        <v>1360</v>
      </c>
      <c r="B290" s="522" t="s">
        <v>441</v>
      </c>
      <c r="C290" s="522" t="s">
        <v>461</v>
      </c>
      <c r="D290" s="523" t="s">
        <v>760</v>
      </c>
      <c r="E290" s="530">
        <v>1008</v>
      </c>
      <c r="F290" s="531">
        <v>8.5</v>
      </c>
      <c r="G290" s="531">
        <v>68.59</v>
      </c>
      <c r="H290" s="532"/>
      <c r="I290" s="532"/>
      <c r="J290" s="532"/>
      <c r="K290" s="532"/>
      <c r="L290" s="532"/>
      <c r="M290" s="532"/>
      <c r="N290" s="532"/>
      <c r="O290" s="532"/>
      <c r="P290" s="532"/>
      <c r="Q290" s="532"/>
      <c r="R290" s="531">
        <v>77.09</v>
      </c>
      <c r="S290" s="527">
        <f t="shared" ref="S290:S353" si="42">G290+H290+I290</f>
        <v>68.59</v>
      </c>
      <c r="T290" s="528">
        <f t="shared" ref="T290:T353" si="43">J290+K290</f>
        <v>0</v>
      </c>
      <c r="U290" s="527">
        <f t="shared" si="41"/>
        <v>0</v>
      </c>
      <c r="W290" s="326">
        <f t="shared" ref="W290:W353" si="44">SUM(F290:Q290)</f>
        <v>77.09</v>
      </c>
      <c r="X290" s="261">
        <f t="shared" ref="X290:X353" si="45">W290-R290</f>
        <v>0</v>
      </c>
      <c r="Y290" s="546"/>
      <c r="Z290" s="1016">
        <f t="shared" si="35"/>
        <v>77.09</v>
      </c>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46"/>
      <c r="AX290" s="546"/>
      <c r="AY290" s="546"/>
      <c r="AZ290" s="546"/>
      <c r="BA290" s="546"/>
      <c r="BB290" s="546"/>
      <c r="BC290" s="546"/>
      <c r="BD290" s="546"/>
      <c r="BE290" s="546"/>
      <c r="BF290" s="546"/>
      <c r="BG290" s="546"/>
      <c r="BH290" s="546"/>
      <c r="BI290" s="546"/>
      <c r="BJ290" s="546"/>
      <c r="BK290" s="546"/>
      <c r="BL290" s="546"/>
      <c r="BM290" s="546"/>
      <c r="BN290" s="546"/>
      <c r="BO290" s="546"/>
      <c r="BP290" s="546"/>
      <c r="BQ290" s="546"/>
      <c r="BR290" s="546"/>
      <c r="BS290" s="546"/>
      <c r="BT290" s="546"/>
      <c r="BU290" s="546"/>
      <c r="BV290" s="546"/>
      <c r="BW290" s="546"/>
      <c r="BX290" s="546"/>
      <c r="BY290" s="546"/>
    </row>
    <row r="291" spans="1:77" ht="12" hidden="1" thickBot="1">
      <c r="A291" s="522" t="s">
        <v>1360</v>
      </c>
      <c r="B291" s="522" t="s">
        <v>449</v>
      </c>
      <c r="C291" s="522" t="s">
        <v>448</v>
      </c>
      <c r="D291" s="523" t="s">
        <v>1051</v>
      </c>
      <c r="E291" s="524">
        <v>136</v>
      </c>
      <c r="F291" s="526"/>
      <c r="G291" s="525">
        <v>19.04</v>
      </c>
      <c r="H291" s="526"/>
      <c r="I291" s="526"/>
      <c r="J291" s="526"/>
      <c r="K291" s="526"/>
      <c r="L291" s="526"/>
      <c r="M291" s="526"/>
      <c r="N291" s="526"/>
      <c r="O291" s="526"/>
      <c r="P291" s="526"/>
      <c r="Q291" s="526"/>
      <c r="R291" s="525">
        <v>19.04</v>
      </c>
      <c r="S291" s="527">
        <f t="shared" si="42"/>
        <v>19.04</v>
      </c>
      <c r="T291" s="528">
        <f t="shared" si="43"/>
        <v>0</v>
      </c>
      <c r="U291" s="527">
        <f t="shared" si="41"/>
        <v>0</v>
      </c>
      <c r="W291" s="326">
        <f t="shared" si="44"/>
        <v>19.04</v>
      </c>
      <c r="X291" s="261">
        <f t="shared" si="45"/>
        <v>0</v>
      </c>
      <c r="Y291" s="546"/>
      <c r="Z291" s="1016">
        <f t="shared" si="35"/>
        <v>19.04</v>
      </c>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46"/>
      <c r="AX291" s="546"/>
      <c r="AY291" s="546"/>
      <c r="AZ291" s="546"/>
      <c r="BA291" s="546"/>
      <c r="BB291" s="546"/>
      <c r="BC291" s="546"/>
      <c r="BD291" s="546"/>
      <c r="BE291" s="546"/>
      <c r="BF291" s="546"/>
      <c r="BG291" s="546"/>
      <c r="BH291" s="546"/>
      <c r="BI291" s="546"/>
      <c r="BJ291" s="546"/>
      <c r="BK291" s="546"/>
      <c r="BL291" s="546"/>
      <c r="BM291" s="546"/>
      <c r="BN291" s="546"/>
      <c r="BO291" s="546"/>
      <c r="BP291" s="546"/>
      <c r="BQ291" s="546"/>
      <c r="BR291" s="546"/>
      <c r="BS291" s="546"/>
      <c r="BT291" s="546"/>
      <c r="BU291" s="546"/>
      <c r="BV291" s="546"/>
      <c r="BW291" s="546"/>
      <c r="BX291" s="546"/>
      <c r="BY291" s="546"/>
    </row>
    <row r="292" spans="1:77" ht="12" hidden="1" thickBot="1">
      <c r="A292" s="522" t="s">
        <v>1360</v>
      </c>
      <c r="B292" s="522" t="s">
        <v>447</v>
      </c>
      <c r="C292" s="522" t="s">
        <v>446</v>
      </c>
      <c r="D292" s="523" t="s">
        <v>1051</v>
      </c>
      <c r="E292" s="530">
        <v>38</v>
      </c>
      <c r="F292" s="532"/>
      <c r="G292" s="531">
        <v>6.9</v>
      </c>
      <c r="H292" s="532"/>
      <c r="I292" s="532"/>
      <c r="J292" s="532"/>
      <c r="K292" s="532"/>
      <c r="L292" s="532"/>
      <c r="M292" s="532"/>
      <c r="N292" s="532"/>
      <c r="O292" s="532"/>
      <c r="P292" s="532"/>
      <c r="Q292" s="532"/>
      <c r="R292" s="531">
        <v>6.9</v>
      </c>
      <c r="S292" s="527">
        <f t="shared" si="42"/>
        <v>6.9</v>
      </c>
      <c r="T292" s="528">
        <f t="shared" si="43"/>
        <v>0</v>
      </c>
      <c r="U292" s="527">
        <f t="shared" si="41"/>
        <v>0</v>
      </c>
      <c r="W292" s="326">
        <f t="shared" si="44"/>
        <v>6.9</v>
      </c>
      <c r="X292" s="261">
        <f t="shared" si="45"/>
        <v>0</v>
      </c>
      <c r="Y292" s="546"/>
      <c r="Z292" s="1016">
        <f t="shared" si="35"/>
        <v>6.9</v>
      </c>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46"/>
      <c r="AX292" s="546"/>
      <c r="AY292" s="546"/>
      <c r="AZ292" s="546"/>
      <c r="BA292" s="546"/>
      <c r="BB292" s="546"/>
      <c r="BC292" s="546"/>
      <c r="BD292" s="546"/>
      <c r="BE292" s="546"/>
      <c r="BF292" s="546"/>
      <c r="BG292" s="546"/>
      <c r="BH292" s="546"/>
      <c r="BI292" s="546"/>
      <c r="BJ292" s="546"/>
      <c r="BK292" s="546"/>
      <c r="BL292" s="546"/>
      <c r="BM292" s="546"/>
      <c r="BN292" s="546"/>
      <c r="BO292" s="546"/>
      <c r="BP292" s="546"/>
      <c r="BQ292" s="546"/>
      <c r="BR292" s="546"/>
      <c r="BS292" s="546"/>
      <c r="BT292" s="546"/>
      <c r="BU292" s="546"/>
      <c r="BV292" s="546"/>
      <c r="BW292" s="546"/>
      <c r="BX292" s="546"/>
      <c r="BY292" s="546"/>
    </row>
    <row r="293" spans="1:77" ht="12" hidden="1" thickBot="1">
      <c r="A293" s="522" t="s">
        <v>1360</v>
      </c>
      <c r="B293" s="522" t="s">
        <v>942</v>
      </c>
      <c r="C293" s="522" t="s">
        <v>943</v>
      </c>
      <c r="D293" s="523"/>
      <c r="E293" s="526"/>
      <c r="F293" s="526"/>
      <c r="G293" s="526"/>
      <c r="H293" s="526"/>
      <c r="I293" s="526"/>
      <c r="J293" s="526"/>
      <c r="K293" s="526"/>
      <c r="L293" s="526"/>
      <c r="M293" s="526"/>
      <c r="N293" s="526"/>
      <c r="O293" s="526"/>
      <c r="P293" s="526"/>
      <c r="Q293" s="526"/>
      <c r="R293" s="526"/>
      <c r="S293" s="527">
        <f t="shared" si="42"/>
        <v>0</v>
      </c>
      <c r="T293" s="528">
        <f t="shared" si="43"/>
        <v>0</v>
      </c>
      <c r="U293" s="527">
        <f t="shared" si="41"/>
        <v>0</v>
      </c>
      <c r="W293" s="326">
        <f t="shared" si="44"/>
        <v>0</v>
      </c>
      <c r="X293" s="261">
        <f t="shared" si="45"/>
        <v>0</v>
      </c>
      <c r="Y293" s="546"/>
      <c r="Z293" s="1016">
        <f t="shared" si="35"/>
        <v>0</v>
      </c>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46"/>
      <c r="AX293" s="546"/>
      <c r="AY293" s="546"/>
      <c r="AZ293" s="546"/>
      <c r="BA293" s="546"/>
      <c r="BB293" s="546"/>
      <c r="BC293" s="546"/>
      <c r="BD293" s="546"/>
      <c r="BE293" s="546"/>
      <c r="BF293" s="546"/>
      <c r="BG293" s="546"/>
      <c r="BH293" s="546"/>
      <c r="BI293" s="546"/>
      <c r="BJ293" s="546"/>
      <c r="BK293" s="546"/>
      <c r="BL293" s="546"/>
      <c r="BM293" s="546"/>
      <c r="BN293" s="546"/>
      <c r="BO293" s="546"/>
      <c r="BP293" s="546"/>
      <c r="BQ293" s="546"/>
      <c r="BR293" s="546"/>
      <c r="BS293" s="546"/>
      <c r="BT293" s="546"/>
      <c r="BU293" s="546"/>
      <c r="BV293" s="546"/>
      <c r="BW293" s="546"/>
      <c r="BX293" s="546"/>
      <c r="BY293" s="546"/>
    </row>
    <row r="294" spans="1:77" ht="12" hidden="1" thickBot="1">
      <c r="A294" s="522" t="s">
        <v>1360</v>
      </c>
      <c r="B294" s="522" t="s">
        <v>168</v>
      </c>
      <c r="C294" s="522" t="s">
        <v>58</v>
      </c>
      <c r="D294" s="523" t="s">
        <v>19</v>
      </c>
      <c r="E294" s="530">
        <v>142624745</v>
      </c>
      <c r="F294" s="531">
        <v>24000</v>
      </c>
      <c r="G294" s="531">
        <v>1058275.6100000001</v>
      </c>
      <c r="H294" s="531">
        <v>4124707.63</v>
      </c>
      <c r="I294" s="532"/>
      <c r="J294" s="531">
        <v>216031.29</v>
      </c>
      <c r="K294" s="531">
        <v>2214925.5</v>
      </c>
      <c r="L294" s="531">
        <v>0</v>
      </c>
      <c r="M294" s="531">
        <v>444989.2</v>
      </c>
      <c r="N294" s="531">
        <v>0</v>
      </c>
      <c r="O294" s="531">
        <v>97392.71</v>
      </c>
      <c r="P294" s="532"/>
      <c r="Q294" s="532"/>
      <c r="R294" s="531">
        <v>8180321.9400000004</v>
      </c>
      <c r="S294" s="527">
        <f t="shared" si="42"/>
        <v>5182983.24</v>
      </c>
      <c r="T294" s="528">
        <f t="shared" si="43"/>
        <v>2430956.79</v>
      </c>
      <c r="U294" s="527">
        <f t="shared" si="41"/>
        <v>97392.71</v>
      </c>
      <c r="W294" s="326">
        <f t="shared" si="44"/>
        <v>8180321.9400000004</v>
      </c>
      <c r="X294" s="261">
        <f t="shared" si="45"/>
        <v>0</v>
      </c>
      <c r="Y294" s="546"/>
      <c r="Z294" s="1016">
        <f t="shared" si="35"/>
        <v>7637940.0300000003</v>
      </c>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46"/>
      <c r="AX294" s="546"/>
      <c r="AY294" s="546"/>
      <c r="AZ294" s="546"/>
      <c r="BA294" s="546"/>
      <c r="BB294" s="546"/>
      <c r="BC294" s="546"/>
      <c r="BD294" s="546"/>
      <c r="BE294" s="546"/>
      <c r="BF294" s="546"/>
      <c r="BG294" s="546"/>
      <c r="BH294" s="546"/>
      <c r="BI294" s="546"/>
      <c r="BJ294" s="546"/>
      <c r="BK294" s="546"/>
      <c r="BL294" s="546"/>
      <c r="BM294" s="546"/>
      <c r="BN294" s="546"/>
      <c r="BO294" s="546"/>
      <c r="BP294" s="546"/>
      <c r="BQ294" s="546"/>
      <c r="BR294" s="546"/>
      <c r="BS294" s="546"/>
      <c r="BT294" s="546"/>
      <c r="BU294" s="546"/>
      <c r="BV294" s="546"/>
      <c r="BW294" s="546"/>
      <c r="BX294" s="546"/>
      <c r="BY294" s="546"/>
    </row>
    <row r="295" spans="1:77" ht="12" hidden="1" thickBot="1">
      <c r="A295" s="522" t="s">
        <v>1360</v>
      </c>
      <c r="B295" s="522" t="s">
        <v>169</v>
      </c>
      <c r="C295" s="522" t="s">
        <v>196</v>
      </c>
      <c r="D295" s="523" t="s">
        <v>26</v>
      </c>
      <c r="E295" s="524">
        <v>4760587</v>
      </c>
      <c r="F295" s="525">
        <v>25561.119999999999</v>
      </c>
      <c r="G295" s="525">
        <v>31896.080000000002</v>
      </c>
      <c r="H295" s="525">
        <v>137685.4</v>
      </c>
      <c r="I295" s="526"/>
      <c r="J295" s="525">
        <v>17306.72</v>
      </c>
      <c r="K295" s="525">
        <v>193899.5</v>
      </c>
      <c r="L295" s="525">
        <v>2698.4</v>
      </c>
      <c r="M295" s="525">
        <v>14638.05</v>
      </c>
      <c r="N295" s="525">
        <v>0</v>
      </c>
      <c r="O295" s="525">
        <v>7915.5</v>
      </c>
      <c r="P295" s="526"/>
      <c r="Q295" s="526"/>
      <c r="R295" s="525">
        <v>431600.77</v>
      </c>
      <c r="S295" s="527">
        <f t="shared" si="42"/>
        <v>169581.47999999998</v>
      </c>
      <c r="T295" s="528">
        <f t="shared" si="43"/>
        <v>211206.22</v>
      </c>
      <c r="U295" s="527">
        <f t="shared" si="41"/>
        <v>7915.5</v>
      </c>
      <c r="W295" s="326">
        <f t="shared" si="44"/>
        <v>431600.76999999996</v>
      </c>
      <c r="X295" s="261">
        <f t="shared" si="45"/>
        <v>0</v>
      </c>
      <c r="Y295" s="546"/>
      <c r="Z295" s="1016">
        <f t="shared" si="35"/>
        <v>406348.81999999995</v>
      </c>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46"/>
      <c r="AX295" s="546"/>
      <c r="AY295" s="546"/>
      <c r="AZ295" s="546"/>
      <c r="BA295" s="546"/>
      <c r="BB295" s="546"/>
      <c r="BC295" s="546"/>
      <c r="BD295" s="546"/>
      <c r="BE295" s="546"/>
      <c r="BF295" s="546"/>
      <c r="BG295" s="546"/>
      <c r="BH295" s="546"/>
      <c r="BI295" s="546"/>
      <c r="BJ295" s="546"/>
      <c r="BK295" s="546"/>
      <c r="BL295" s="546"/>
      <c r="BM295" s="546"/>
      <c r="BN295" s="546"/>
      <c r="BO295" s="546"/>
      <c r="BP295" s="546"/>
      <c r="BQ295" s="546"/>
      <c r="BR295" s="546"/>
      <c r="BS295" s="546"/>
      <c r="BT295" s="546"/>
      <c r="BU295" s="546"/>
      <c r="BV295" s="546"/>
      <c r="BW295" s="546"/>
      <c r="BX295" s="546"/>
      <c r="BY295" s="546"/>
    </row>
    <row r="296" spans="1:77" ht="12" hidden="1" thickBot="1">
      <c r="A296" s="522" t="s">
        <v>1360</v>
      </c>
      <c r="B296" s="522" t="s">
        <v>170</v>
      </c>
      <c r="C296" s="522" t="s">
        <v>197</v>
      </c>
      <c r="D296" s="523" t="s">
        <v>25</v>
      </c>
      <c r="E296" s="530">
        <v>140054129</v>
      </c>
      <c r="F296" s="531">
        <v>440488.91</v>
      </c>
      <c r="G296" s="531">
        <v>941163.65</v>
      </c>
      <c r="H296" s="531">
        <v>4050365.35</v>
      </c>
      <c r="I296" s="532"/>
      <c r="J296" s="531">
        <v>481375.13</v>
      </c>
      <c r="K296" s="531">
        <v>5405150.0800000001</v>
      </c>
      <c r="L296" s="531">
        <v>89204.479999999996</v>
      </c>
      <c r="M296" s="531">
        <v>393260.33</v>
      </c>
      <c r="N296" s="531">
        <v>0</v>
      </c>
      <c r="O296" s="531">
        <v>239440.75</v>
      </c>
      <c r="P296" s="532"/>
      <c r="Q296" s="532"/>
      <c r="R296" s="531">
        <v>12040448.68</v>
      </c>
      <c r="S296" s="527">
        <f t="shared" si="42"/>
        <v>4991529</v>
      </c>
      <c r="T296" s="528">
        <f t="shared" si="43"/>
        <v>5886525.21</v>
      </c>
      <c r="U296" s="527">
        <f t="shared" si="41"/>
        <v>239440.75</v>
      </c>
      <c r="W296" s="326">
        <f t="shared" si="44"/>
        <v>12040448.680000002</v>
      </c>
      <c r="X296" s="261">
        <f t="shared" si="45"/>
        <v>0</v>
      </c>
      <c r="Y296" s="546"/>
      <c r="Z296" s="1016">
        <f t="shared" si="35"/>
        <v>11318543.120000001</v>
      </c>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46"/>
      <c r="AX296" s="546"/>
      <c r="AY296" s="546"/>
      <c r="AZ296" s="546"/>
      <c r="BA296" s="546"/>
      <c r="BB296" s="546"/>
      <c r="BC296" s="546"/>
      <c r="BD296" s="546"/>
      <c r="BE296" s="546"/>
      <c r="BF296" s="546"/>
      <c r="BG296" s="546"/>
      <c r="BH296" s="546"/>
      <c r="BI296" s="546"/>
      <c r="BJ296" s="546"/>
      <c r="BK296" s="546"/>
      <c r="BL296" s="546"/>
      <c r="BM296" s="546"/>
      <c r="BN296" s="546"/>
      <c r="BO296" s="546"/>
      <c r="BP296" s="546"/>
      <c r="BQ296" s="546"/>
      <c r="BR296" s="546"/>
      <c r="BS296" s="546"/>
      <c r="BT296" s="546"/>
      <c r="BU296" s="546"/>
      <c r="BV296" s="546"/>
      <c r="BW296" s="546"/>
      <c r="BX296" s="546"/>
      <c r="BY296" s="546"/>
    </row>
    <row r="297" spans="1:77" ht="12" hidden="1" thickBot="1">
      <c r="A297" s="522" t="s">
        <v>1360</v>
      </c>
      <c r="B297" s="522" t="s">
        <v>171</v>
      </c>
      <c r="C297" s="522" t="s">
        <v>198</v>
      </c>
      <c r="D297" s="542" t="s">
        <v>221</v>
      </c>
      <c r="E297" s="524">
        <v>232867680</v>
      </c>
      <c r="F297" s="525">
        <v>15900.01</v>
      </c>
      <c r="G297" s="525">
        <v>2032934.88</v>
      </c>
      <c r="H297" s="525">
        <v>6734533.2800000003</v>
      </c>
      <c r="I297" s="526"/>
      <c r="J297" s="525">
        <v>368021.9</v>
      </c>
      <c r="K297" s="525">
        <v>3705759.57</v>
      </c>
      <c r="L297" s="525">
        <v>26139.65</v>
      </c>
      <c r="M297" s="525">
        <v>427727.97</v>
      </c>
      <c r="N297" s="525">
        <v>0</v>
      </c>
      <c r="O297" s="525">
        <v>294421.93</v>
      </c>
      <c r="P297" s="526"/>
      <c r="Q297" s="526"/>
      <c r="R297" s="525">
        <v>13605439.189999999</v>
      </c>
      <c r="S297" s="527">
        <f t="shared" si="42"/>
        <v>8767468.1600000001</v>
      </c>
      <c r="T297" s="528">
        <f t="shared" si="43"/>
        <v>4073781.4699999997</v>
      </c>
      <c r="U297" s="527">
        <f t="shared" si="41"/>
        <v>294421.93</v>
      </c>
      <c r="W297" s="326">
        <f t="shared" si="44"/>
        <v>13605439.190000001</v>
      </c>
      <c r="X297" s="261">
        <f t="shared" si="45"/>
        <v>0</v>
      </c>
      <c r="Y297" s="546"/>
      <c r="Z297" s="1016">
        <f t="shared" si="35"/>
        <v>12857149.640000001</v>
      </c>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46"/>
      <c r="AX297" s="546"/>
      <c r="AY297" s="546"/>
      <c r="AZ297" s="546"/>
      <c r="BA297" s="546"/>
      <c r="BB297" s="546"/>
      <c r="BC297" s="546"/>
      <c r="BD297" s="546"/>
      <c r="BE297" s="546"/>
      <c r="BF297" s="546"/>
      <c r="BG297" s="546"/>
      <c r="BH297" s="546"/>
      <c r="BI297" s="546"/>
      <c r="BJ297" s="546"/>
      <c r="BK297" s="546"/>
      <c r="BL297" s="546"/>
      <c r="BM297" s="546"/>
      <c r="BN297" s="546"/>
      <c r="BO297" s="546"/>
      <c r="BP297" s="546"/>
      <c r="BQ297" s="546"/>
      <c r="BR297" s="546"/>
      <c r="BS297" s="546"/>
      <c r="BT297" s="546"/>
      <c r="BU297" s="546"/>
      <c r="BV297" s="546"/>
      <c r="BW297" s="546"/>
      <c r="BX297" s="546"/>
      <c r="BY297" s="546"/>
    </row>
    <row r="298" spans="1:77" ht="12" hidden="1" thickBot="1">
      <c r="A298" s="522" t="s">
        <v>1360</v>
      </c>
      <c r="B298" s="522" t="s">
        <v>172</v>
      </c>
      <c r="C298" s="522" t="s">
        <v>199</v>
      </c>
      <c r="D298" s="523" t="s">
        <v>26</v>
      </c>
      <c r="E298" s="530">
        <v>23388127</v>
      </c>
      <c r="F298" s="531">
        <v>13260.02</v>
      </c>
      <c r="G298" s="531">
        <v>156700.44</v>
      </c>
      <c r="H298" s="531">
        <v>676384.6</v>
      </c>
      <c r="I298" s="532"/>
      <c r="J298" s="531">
        <v>61268.84</v>
      </c>
      <c r="K298" s="531">
        <v>687250.1</v>
      </c>
      <c r="L298" s="531">
        <v>8161.97</v>
      </c>
      <c r="M298" s="531">
        <v>55958.06</v>
      </c>
      <c r="N298" s="531">
        <v>0</v>
      </c>
      <c r="O298" s="531">
        <v>34933.839999999997</v>
      </c>
      <c r="P298" s="532"/>
      <c r="Q298" s="532"/>
      <c r="R298" s="531">
        <v>1693917.87</v>
      </c>
      <c r="S298" s="527">
        <f t="shared" si="42"/>
        <v>833085.04</v>
      </c>
      <c r="T298" s="528">
        <f t="shared" si="43"/>
        <v>748518.94</v>
      </c>
      <c r="U298" s="527">
        <f t="shared" si="41"/>
        <v>34933.839999999997</v>
      </c>
      <c r="W298" s="326">
        <f t="shared" si="44"/>
        <v>1693917.87</v>
      </c>
      <c r="X298" s="261">
        <f t="shared" si="45"/>
        <v>0</v>
      </c>
      <c r="Y298" s="546"/>
      <c r="Z298" s="1016">
        <f t="shared" si="35"/>
        <v>1594864</v>
      </c>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46"/>
      <c r="AX298" s="546"/>
      <c r="AY298" s="546"/>
      <c r="AZ298" s="546"/>
      <c r="BA298" s="546"/>
      <c r="BB298" s="546"/>
      <c r="BC298" s="546"/>
      <c r="BD298" s="546"/>
      <c r="BE298" s="546"/>
      <c r="BF298" s="546"/>
      <c r="BG298" s="546"/>
      <c r="BH298" s="546"/>
      <c r="BI298" s="546"/>
      <c r="BJ298" s="546"/>
      <c r="BK298" s="546"/>
      <c r="BL298" s="546"/>
      <c r="BM298" s="546"/>
      <c r="BN298" s="546"/>
      <c r="BO298" s="546"/>
      <c r="BP298" s="546"/>
      <c r="BQ298" s="546"/>
      <c r="BR298" s="546"/>
      <c r="BS298" s="546"/>
      <c r="BT298" s="546"/>
      <c r="BU298" s="546"/>
      <c r="BV298" s="546"/>
      <c r="BW298" s="546"/>
      <c r="BX298" s="546"/>
      <c r="BY298" s="546"/>
    </row>
    <row r="299" spans="1:77" ht="12" hidden="1" thickBot="1">
      <c r="A299" s="522" t="s">
        <v>1360</v>
      </c>
      <c r="B299" s="522" t="s">
        <v>173</v>
      </c>
      <c r="C299" s="522" t="s">
        <v>200</v>
      </c>
      <c r="D299" s="535" t="s">
        <v>25</v>
      </c>
      <c r="E299" s="524">
        <v>61291912</v>
      </c>
      <c r="F299" s="525">
        <v>36429.629999999997</v>
      </c>
      <c r="G299" s="525">
        <v>411881.73</v>
      </c>
      <c r="H299" s="525">
        <v>1772562</v>
      </c>
      <c r="I299" s="526"/>
      <c r="J299" s="525">
        <v>170454.9</v>
      </c>
      <c r="K299" s="525">
        <v>1913217.18</v>
      </c>
      <c r="L299" s="525">
        <v>25379.53</v>
      </c>
      <c r="M299" s="525">
        <v>174792.26</v>
      </c>
      <c r="N299" s="525">
        <v>0</v>
      </c>
      <c r="O299" s="525">
        <v>79720.039999999994</v>
      </c>
      <c r="P299" s="526"/>
      <c r="Q299" s="526"/>
      <c r="R299" s="525">
        <v>4584437.2699999996</v>
      </c>
      <c r="S299" s="527">
        <f t="shared" si="42"/>
        <v>2184443.73</v>
      </c>
      <c r="T299" s="528">
        <f t="shared" si="43"/>
        <v>2083672.0799999998</v>
      </c>
      <c r="U299" s="527">
        <f t="shared" si="41"/>
        <v>79720.039999999994</v>
      </c>
      <c r="W299" s="326">
        <f t="shared" si="44"/>
        <v>4584437.2699999996</v>
      </c>
      <c r="X299" s="261">
        <f t="shared" si="45"/>
        <v>0</v>
      </c>
      <c r="Y299" s="546"/>
      <c r="Z299" s="1016">
        <f t="shared" si="35"/>
        <v>4304545.4399999995</v>
      </c>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46"/>
      <c r="AX299" s="546"/>
      <c r="AY299" s="546"/>
      <c r="AZ299" s="546"/>
      <c r="BA299" s="546"/>
      <c r="BB299" s="546"/>
      <c r="BC299" s="546"/>
      <c r="BD299" s="546"/>
      <c r="BE299" s="546"/>
      <c r="BF299" s="546"/>
      <c r="BG299" s="546"/>
      <c r="BH299" s="546"/>
      <c r="BI299" s="546"/>
      <c r="BJ299" s="546"/>
      <c r="BK299" s="546"/>
      <c r="BL299" s="546"/>
      <c r="BM299" s="546"/>
      <c r="BN299" s="546"/>
      <c r="BO299" s="546"/>
      <c r="BP299" s="546"/>
      <c r="BQ299" s="546"/>
      <c r="BR299" s="546"/>
      <c r="BS299" s="546"/>
      <c r="BT299" s="546"/>
      <c r="BU299" s="546"/>
      <c r="BV299" s="546"/>
      <c r="BW299" s="546"/>
      <c r="BX299" s="546"/>
      <c r="BY299" s="546"/>
    </row>
    <row r="300" spans="1:77" ht="12" hidden="1" thickBot="1">
      <c r="A300" s="522" t="s">
        <v>1360</v>
      </c>
      <c r="B300" s="522" t="s">
        <v>174</v>
      </c>
      <c r="C300" s="522" t="s">
        <v>201</v>
      </c>
      <c r="D300" s="523" t="s">
        <v>221</v>
      </c>
      <c r="E300" s="530">
        <v>101888912</v>
      </c>
      <c r="F300" s="531">
        <v>47100.04</v>
      </c>
      <c r="G300" s="531">
        <v>889490.19</v>
      </c>
      <c r="H300" s="531">
        <v>2946627.39</v>
      </c>
      <c r="I300" s="532"/>
      <c r="J300" s="531">
        <v>195649.11</v>
      </c>
      <c r="K300" s="531">
        <v>1986637.97</v>
      </c>
      <c r="L300" s="531">
        <v>18170.41</v>
      </c>
      <c r="M300" s="531">
        <v>282905</v>
      </c>
      <c r="N300" s="531">
        <v>0</v>
      </c>
      <c r="O300" s="531">
        <v>104639.05</v>
      </c>
      <c r="P300" s="532"/>
      <c r="Q300" s="532"/>
      <c r="R300" s="531">
        <v>6471219.1600000001</v>
      </c>
      <c r="S300" s="527">
        <f t="shared" si="42"/>
        <v>3836117.58</v>
      </c>
      <c r="T300" s="528">
        <f t="shared" si="43"/>
        <v>2182287.08</v>
      </c>
      <c r="U300" s="527">
        <f t="shared" si="41"/>
        <v>104639.05</v>
      </c>
      <c r="W300" s="326">
        <f t="shared" si="44"/>
        <v>6471219.1600000001</v>
      </c>
      <c r="X300" s="261">
        <f t="shared" si="45"/>
        <v>0</v>
      </c>
      <c r="Y300" s="546"/>
      <c r="Z300" s="1016">
        <f t="shared" si="35"/>
        <v>6065504.7000000002</v>
      </c>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46"/>
      <c r="AX300" s="546"/>
      <c r="AY300" s="546"/>
      <c r="AZ300" s="546"/>
      <c r="BA300" s="546"/>
      <c r="BB300" s="546"/>
      <c r="BC300" s="546"/>
      <c r="BD300" s="546"/>
      <c r="BE300" s="546"/>
      <c r="BF300" s="546"/>
      <c r="BG300" s="546"/>
      <c r="BH300" s="546"/>
      <c r="BI300" s="546"/>
      <c r="BJ300" s="546"/>
      <c r="BK300" s="546"/>
      <c r="BL300" s="546"/>
      <c r="BM300" s="546"/>
      <c r="BN300" s="546"/>
      <c r="BO300" s="546"/>
      <c r="BP300" s="546"/>
      <c r="BQ300" s="546"/>
      <c r="BR300" s="546"/>
      <c r="BS300" s="546"/>
      <c r="BT300" s="546"/>
      <c r="BU300" s="546"/>
      <c r="BV300" s="546"/>
      <c r="BW300" s="546"/>
      <c r="BX300" s="546"/>
      <c r="BY300" s="546"/>
    </row>
    <row r="301" spans="1:77" ht="12" hidden="1" thickBot="1">
      <c r="A301" s="522" t="s">
        <v>1360</v>
      </c>
      <c r="B301" s="522" t="s">
        <v>175</v>
      </c>
      <c r="C301" s="522" t="s">
        <v>202</v>
      </c>
      <c r="D301" s="523" t="s">
        <v>220</v>
      </c>
      <c r="E301" s="524">
        <v>95043163</v>
      </c>
      <c r="F301" s="525">
        <v>80372.149999999994</v>
      </c>
      <c r="G301" s="525">
        <v>837330.52</v>
      </c>
      <c r="H301" s="525">
        <v>2748648.25</v>
      </c>
      <c r="I301" s="526"/>
      <c r="J301" s="525">
        <v>223067.17</v>
      </c>
      <c r="K301" s="525">
        <v>2284597.6800000002</v>
      </c>
      <c r="L301" s="525">
        <v>35913.519999999997</v>
      </c>
      <c r="M301" s="525">
        <v>262013.89</v>
      </c>
      <c r="N301" s="525">
        <v>0</v>
      </c>
      <c r="O301" s="525">
        <v>114770.53</v>
      </c>
      <c r="P301" s="526"/>
      <c r="Q301" s="526"/>
      <c r="R301" s="525">
        <v>6586713.71</v>
      </c>
      <c r="S301" s="527">
        <f t="shared" si="42"/>
        <v>3585978.77</v>
      </c>
      <c r="T301" s="528">
        <f t="shared" si="43"/>
        <v>2507664.85</v>
      </c>
      <c r="U301" s="527">
        <f t="shared" si="41"/>
        <v>114770.53</v>
      </c>
      <c r="W301" s="326">
        <f t="shared" si="44"/>
        <v>6586713.709999999</v>
      </c>
      <c r="X301" s="261">
        <f t="shared" si="45"/>
        <v>0</v>
      </c>
      <c r="Y301" s="546"/>
      <c r="Z301" s="1016">
        <f t="shared" si="35"/>
        <v>6174015.7699999996</v>
      </c>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46"/>
      <c r="AX301" s="546"/>
      <c r="AY301" s="546"/>
      <c r="AZ301" s="546"/>
      <c r="BA301" s="546"/>
      <c r="BB301" s="546"/>
      <c r="BC301" s="546"/>
      <c r="BD301" s="546"/>
      <c r="BE301" s="546"/>
      <c r="BF301" s="546"/>
      <c r="BG301" s="546"/>
      <c r="BH301" s="546"/>
      <c r="BI301" s="546"/>
      <c r="BJ301" s="546"/>
      <c r="BK301" s="546"/>
      <c r="BL301" s="546"/>
      <c r="BM301" s="546"/>
      <c r="BN301" s="546"/>
      <c r="BO301" s="546"/>
      <c r="BP301" s="546"/>
      <c r="BQ301" s="546"/>
      <c r="BR301" s="546"/>
      <c r="BS301" s="546"/>
      <c r="BT301" s="546"/>
      <c r="BU301" s="546"/>
      <c r="BV301" s="546"/>
      <c r="BW301" s="546"/>
      <c r="BX301" s="546"/>
      <c r="BY301" s="546"/>
    </row>
    <row r="302" spans="1:77" ht="12" hidden="1" thickBot="1">
      <c r="A302" s="522" t="s">
        <v>1360</v>
      </c>
      <c r="B302" s="522" t="s">
        <v>176</v>
      </c>
      <c r="C302" s="522" t="s">
        <v>203</v>
      </c>
      <c r="D302" s="523" t="s">
        <v>25</v>
      </c>
      <c r="E302" s="530">
        <v>30480</v>
      </c>
      <c r="F302" s="531">
        <v>90</v>
      </c>
      <c r="G302" s="531">
        <v>204.83</v>
      </c>
      <c r="H302" s="531">
        <v>881.48</v>
      </c>
      <c r="I302" s="532"/>
      <c r="J302" s="531">
        <v>194.51</v>
      </c>
      <c r="K302" s="531">
        <v>2182.81</v>
      </c>
      <c r="L302" s="531">
        <v>20.420000000000002</v>
      </c>
      <c r="M302" s="531">
        <v>95.1</v>
      </c>
      <c r="N302" s="531">
        <v>0</v>
      </c>
      <c r="O302" s="531">
        <v>74.58</v>
      </c>
      <c r="P302" s="532"/>
      <c r="Q302" s="532"/>
      <c r="R302" s="531">
        <v>3743.73</v>
      </c>
      <c r="S302" s="527">
        <f t="shared" si="42"/>
        <v>1086.31</v>
      </c>
      <c r="T302" s="528">
        <f t="shared" si="43"/>
        <v>2377.3199999999997</v>
      </c>
      <c r="U302" s="527">
        <f t="shared" si="41"/>
        <v>74.58</v>
      </c>
      <c r="W302" s="326">
        <f t="shared" si="44"/>
        <v>3743.73</v>
      </c>
      <c r="X302" s="261">
        <f t="shared" si="45"/>
        <v>0</v>
      </c>
      <c r="Y302" s="546"/>
      <c r="Z302" s="1016">
        <f t="shared" si="35"/>
        <v>3553.63</v>
      </c>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46"/>
      <c r="AX302" s="546"/>
      <c r="AY302" s="546"/>
      <c r="AZ302" s="546"/>
      <c r="BA302" s="546"/>
      <c r="BB302" s="546"/>
      <c r="BC302" s="546"/>
      <c r="BD302" s="546"/>
      <c r="BE302" s="546"/>
      <c r="BF302" s="546"/>
      <c r="BG302" s="546"/>
      <c r="BH302" s="546"/>
      <c r="BI302" s="546"/>
      <c r="BJ302" s="546"/>
      <c r="BK302" s="546"/>
      <c r="BL302" s="546"/>
      <c r="BM302" s="546"/>
      <c r="BN302" s="546"/>
      <c r="BO302" s="546"/>
      <c r="BP302" s="546"/>
      <c r="BQ302" s="546"/>
      <c r="BR302" s="546"/>
      <c r="BS302" s="546"/>
      <c r="BT302" s="546"/>
      <c r="BU302" s="546"/>
      <c r="BV302" s="546"/>
      <c r="BW302" s="546"/>
      <c r="BX302" s="546"/>
      <c r="BY302" s="546"/>
    </row>
    <row r="303" spans="1:77" ht="12" hidden="1" thickBot="1">
      <c r="A303" s="522" t="s">
        <v>1360</v>
      </c>
      <c r="B303" s="522" t="s">
        <v>944</v>
      </c>
      <c r="C303" s="522" t="s">
        <v>943</v>
      </c>
      <c r="D303" s="542"/>
      <c r="E303" s="526"/>
      <c r="F303" s="526"/>
      <c r="G303" s="526"/>
      <c r="H303" s="526"/>
      <c r="I303" s="526"/>
      <c r="J303" s="526"/>
      <c r="K303" s="526"/>
      <c r="L303" s="526"/>
      <c r="M303" s="526"/>
      <c r="N303" s="526"/>
      <c r="O303" s="526"/>
      <c r="P303" s="526"/>
      <c r="Q303" s="526"/>
      <c r="R303" s="526"/>
      <c r="S303" s="527">
        <f t="shared" si="42"/>
        <v>0</v>
      </c>
      <c r="T303" s="528">
        <f t="shared" si="43"/>
        <v>0</v>
      </c>
      <c r="U303" s="527">
        <f t="shared" si="41"/>
        <v>0</v>
      </c>
      <c r="W303" s="326">
        <f t="shared" si="44"/>
        <v>0</v>
      </c>
      <c r="X303" s="261">
        <f t="shared" si="45"/>
        <v>0</v>
      </c>
      <c r="Y303" s="546"/>
      <c r="Z303" s="1016">
        <f t="shared" si="35"/>
        <v>0</v>
      </c>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46"/>
      <c r="AX303" s="546"/>
      <c r="AY303" s="546"/>
      <c r="AZ303" s="546"/>
      <c r="BA303" s="546"/>
      <c r="BB303" s="546"/>
      <c r="BC303" s="546"/>
      <c r="BD303" s="546"/>
      <c r="BE303" s="546"/>
      <c r="BF303" s="546"/>
      <c r="BG303" s="546"/>
      <c r="BH303" s="546"/>
      <c r="BI303" s="546"/>
      <c r="BJ303" s="546"/>
      <c r="BK303" s="546"/>
      <c r="BL303" s="546"/>
      <c r="BM303" s="546"/>
      <c r="BN303" s="546"/>
      <c r="BO303" s="546"/>
      <c r="BP303" s="546"/>
      <c r="BQ303" s="546"/>
      <c r="BR303" s="546"/>
      <c r="BS303" s="546"/>
      <c r="BT303" s="546"/>
      <c r="BU303" s="546"/>
      <c r="BV303" s="546"/>
      <c r="BW303" s="546"/>
      <c r="BX303" s="546"/>
      <c r="BY303" s="546"/>
    </row>
    <row r="304" spans="1:77" ht="12" hidden="1" thickBot="1">
      <c r="A304" s="522" t="s">
        <v>1360</v>
      </c>
      <c r="B304" s="522" t="s">
        <v>177</v>
      </c>
      <c r="C304" s="522" t="s">
        <v>494</v>
      </c>
      <c r="D304" s="522" t="s">
        <v>224</v>
      </c>
      <c r="E304" s="530">
        <v>79298124</v>
      </c>
      <c r="F304" s="531">
        <v>1296298.28</v>
      </c>
      <c r="G304" s="531">
        <v>4649655.91</v>
      </c>
      <c r="H304" s="531">
        <v>2293943.73</v>
      </c>
      <c r="I304" s="531">
        <v>373434.14</v>
      </c>
      <c r="J304" s="532"/>
      <c r="K304" s="531">
        <v>0</v>
      </c>
      <c r="L304" s="531">
        <v>185042.08</v>
      </c>
      <c r="M304" s="531">
        <v>231242.35</v>
      </c>
      <c r="N304" s="531">
        <v>-291.12</v>
      </c>
      <c r="O304" s="531">
        <v>200881.45</v>
      </c>
      <c r="P304" s="532"/>
      <c r="Q304" s="531">
        <v>-0.03</v>
      </c>
      <c r="R304" s="531">
        <v>9230206.7899999991</v>
      </c>
      <c r="S304" s="527">
        <f t="shared" si="42"/>
        <v>7317033.7800000003</v>
      </c>
      <c r="T304" s="528">
        <f t="shared" si="43"/>
        <v>0</v>
      </c>
      <c r="U304" s="527">
        <f t="shared" si="41"/>
        <v>200590.33000000002</v>
      </c>
      <c r="W304" s="326">
        <f t="shared" si="44"/>
        <v>9230206.790000001</v>
      </c>
      <c r="X304" s="261">
        <f t="shared" si="45"/>
        <v>0</v>
      </c>
      <c r="Y304" s="546"/>
      <c r="Z304" s="1016">
        <f t="shared" si="35"/>
        <v>8613332.0600000005</v>
      </c>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46"/>
      <c r="AX304" s="546"/>
      <c r="AY304" s="546"/>
      <c r="AZ304" s="546"/>
      <c r="BA304" s="546"/>
      <c r="BB304" s="546"/>
      <c r="BC304" s="546"/>
      <c r="BD304" s="546"/>
      <c r="BE304" s="546"/>
      <c r="BF304" s="546"/>
      <c r="BG304" s="546"/>
      <c r="BH304" s="546"/>
      <c r="BI304" s="546"/>
      <c r="BJ304" s="546"/>
      <c r="BK304" s="546"/>
      <c r="BL304" s="546"/>
      <c r="BM304" s="546"/>
      <c r="BN304" s="546"/>
      <c r="BO304" s="546"/>
      <c r="BP304" s="546"/>
      <c r="BQ304" s="546"/>
      <c r="BR304" s="546"/>
      <c r="BS304" s="546"/>
      <c r="BT304" s="546"/>
      <c r="BU304" s="546"/>
      <c r="BV304" s="546"/>
      <c r="BW304" s="546"/>
      <c r="BX304" s="546"/>
      <c r="BY304" s="546"/>
    </row>
    <row r="305" spans="1:77" ht="12" hidden="1" thickBot="1">
      <c r="A305" s="522" t="s">
        <v>1360</v>
      </c>
      <c r="B305" s="522" t="s">
        <v>178</v>
      </c>
      <c r="C305" s="522" t="s">
        <v>1352</v>
      </c>
      <c r="D305" s="542" t="s">
        <v>224</v>
      </c>
      <c r="E305" s="524">
        <v>10785</v>
      </c>
      <c r="F305" s="525">
        <v>1220</v>
      </c>
      <c r="G305" s="525">
        <v>632.22</v>
      </c>
      <c r="H305" s="525">
        <v>311.91000000000003</v>
      </c>
      <c r="I305" s="525">
        <v>50.81</v>
      </c>
      <c r="J305" s="526"/>
      <c r="K305" s="526"/>
      <c r="L305" s="525">
        <v>25.69</v>
      </c>
      <c r="M305" s="525">
        <v>25.82</v>
      </c>
      <c r="N305" s="525">
        <v>0</v>
      </c>
      <c r="O305" s="525">
        <v>71.099999999999994</v>
      </c>
      <c r="P305" s="526"/>
      <c r="Q305" s="526"/>
      <c r="R305" s="525">
        <v>2337.5500000000002</v>
      </c>
      <c r="S305" s="527">
        <f t="shared" si="42"/>
        <v>994.94</v>
      </c>
      <c r="T305" s="528">
        <f t="shared" si="43"/>
        <v>0</v>
      </c>
      <c r="U305" s="527">
        <f t="shared" si="41"/>
        <v>71.099999999999994</v>
      </c>
      <c r="W305" s="326">
        <f t="shared" si="44"/>
        <v>2337.5500000000002</v>
      </c>
      <c r="X305" s="261">
        <f t="shared" si="45"/>
        <v>0</v>
      </c>
      <c r="Y305" s="546"/>
      <c r="Z305" s="1016">
        <f t="shared" si="35"/>
        <v>2214.94</v>
      </c>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46"/>
      <c r="AX305" s="546"/>
      <c r="AY305" s="546"/>
      <c r="AZ305" s="546"/>
      <c r="BA305" s="546"/>
      <c r="BB305" s="546"/>
      <c r="BC305" s="546"/>
      <c r="BD305" s="546"/>
      <c r="BE305" s="546"/>
      <c r="BF305" s="546"/>
      <c r="BG305" s="546"/>
      <c r="BH305" s="546"/>
      <c r="BI305" s="546"/>
      <c r="BJ305" s="546"/>
      <c r="BK305" s="546"/>
      <c r="BL305" s="546"/>
      <c r="BM305" s="546"/>
      <c r="BN305" s="546"/>
      <c r="BO305" s="546"/>
      <c r="BP305" s="546"/>
      <c r="BQ305" s="546"/>
      <c r="BR305" s="546"/>
      <c r="BS305" s="546"/>
      <c r="BT305" s="546"/>
      <c r="BU305" s="546"/>
      <c r="BV305" s="546"/>
      <c r="BW305" s="546"/>
      <c r="BX305" s="546"/>
      <c r="BY305" s="546"/>
    </row>
    <row r="306" spans="1:77" ht="12" hidden="1" thickBot="1">
      <c r="A306" s="522" t="s">
        <v>1360</v>
      </c>
      <c r="B306" s="522" t="s">
        <v>179</v>
      </c>
      <c r="C306" s="522" t="s">
        <v>64</v>
      </c>
      <c r="D306" s="523" t="s">
        <v>18</v>
      </c>
      <c r="E306" s="530">
        <v>90277924</v>
      </c>
      <c r="F306" s="531">
        <v>602098.47</v>
      </c>
      <c r="G306" s="531">
        <v>5292098.29</v>
      </c>
      <c r="H306" s="531">
        <v>2610835.4700000002</v>
      </c>
      <c r="I306" s="531">
        <v>425239.23</v>
      </c>
      <c r="J306" s="532"/>
      <c r="K306" s="532"/>
      <c r="L306" s="531">
        <v>200258.05</v>
      </c>
      <c r="M306" s="531">
        <v>263314.77</v>
      </c>
      <c r="N306" s="531">
        <v>-0.02</v>
      </c>
      <c r="O306" s="531">
        <v>200708.61</v>
      </c>
      <c r="P306" s="532"/>
      <c r="Q306" s="532">
        <v>0</v>
      </c>
      <c r="R306" s="531">
        <v>9594552.8699999992</v>
      </c>
      <c r="S306" s="527">
        <f t="shared" si="42"/>
        <v>8328172.9900000002</v>
      </c>
      <c r="T306" s="528">
        <f t="shared" si="43"/>
        <v>0</v>
      </c>
      <c r="U306" s="527">
        <f t="shared" si="41"/>
        <v>200708.59</v>
      </c>
      <c r="W306" s="326">
        <f t="shared" si="44"/>
        <v>9594552.870000001</v>
      </c>
      <c r="X306" s="261">
        <f t="shared" si="45"/>
        <v>0</v>
      </c>
      <c r="Y306" s="546"/>
      <c r="Z306" s="1016">
        <f t="shared" si="35"/>
        <v>8930271.4600000009</v>
      </c>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46"/>
      <c r="AX306" s="546"/>
      <c r="AY306" s="546"/>
      <c r="AZ306" s="546"/>
      <c r="BA306" s="546"/>
      <c r="BB306" s="546"/>
      <c r="BC306" s="546"/>
      <c r="BD306" s="546"/>
      <c r="BE306" s="546"/>
      <c r="BF306" s="546"/>
      <c r="BG306" s="546"/>
      <c r="BH306" s="546"/>
      <c r="BI306" s="546"/>
      <c r="BJ306" s="546"/>
      <c r="BK306" s="546"/>
      <c r="BL306" s="546"/>
      <c r="BM306" s="546"/>
      <c r="BN306" s="546"/>
      <c r="BO306" s="546"/>
      <c r="BP306" s="546"/>
      <c r="BQ306" s="546"/>
      <c r="BR306" s="546"/>
      <c r="BS306" s="546"/>
      <c r="BT306" s="546"/>
      <c r="BU306" s="546"/>
      <c r="BV306" s="546"/>
      <c r="BW306" s="546"/>
      <c r="BX306" s="546"/>
      <c r="BY306" s="546"/>
    </row>
    <row r="307" spans="1:77" ht="12" hidden="1" thickBot="1">
      <c r="A307" s="522" t="s">
        <v>1360</v>
      </c>
      <c r="B307" s="522" t="s">
        <v>180</v>
      </c>
      <c r="C307" s="522" t="s">
        <v>204</v>
      </c>
      <c r="D307" s="536" t="s">
        <v>219</v>
      </c>
      <c r="E307" s="524">
        <v>1056710</v>
      </c>
      <c r="F307" s="525">
        <v>6693.36</v>
      </c>
      <c r="G307" s="525">
        <v>44730.559999999998</v>
      </c>
      <c r="H307" s="525">
        <v>30560.05</v>
      </c>
      <c r="I307" s="525">
        <v>3328.59</v>
      </c>
      <c r="J307" s="526"/>
      <c r="K307" s="526"/>
      <c r="L307" s="525">
        <v>929.8</v>
      </c>
      <c r="M307" s="525">
        <v>2017.71</v>
      </c>
      <c r="N307" s="525">
        <v>2301.2399999999998</v>
      </c>
      <c r="O307" s="526"/>
      <c r="P307" s="526"/>
      <c r="Q307" s="526"/>
      <c r="R307" s="525">
        <v>90561.31</v>
      </c>
      <c r="S307" s="527">
        <f t="shared" si="42"/>
        <v>78619.199999999997</v>
      </c>
      <c r="T307" s="528">
        <f t="shared" si="43"/>
        <v>0</v>
      </c>
      <c r="U307" s="527">
        <f t="shared" si="41"/>
        <v>2301.2399999999998</v>
      </c>
      <c r="W307" s="326">
        <f t="shared" si="44"/>
        <v>90561.310000000012</v>
      </c>
      <c r="X307" s="261">
        <f t="shared" si="45"/>
        <v>0</v>
      </c>
      <c r="Y307" s="546"/>
      <c r="Z307" s="1016">
        <f t="shared" si="35"/>
        <v>85312.56</v>
      </c>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46"/>
      <c r="AX307" s="546"/>
      <c r="AY307" s="546"/>
      <c r="AZ307" s="546"/>
      <c r="BA307" s="546"/>
      <c r="BB307" s="546"/>
      <c r="BC307" s="546"/>
      <c r="BD307" s="546"/>
      <c r="BE307" s="546"/>
      <c r="BF307" s="546"/>
      <c r="BG307" s="546"/>
      <c r="BH307" s="546"/>
      <c r="BI307" s="546"/>
      <c r="BJ307" s="546"/>
      <c r="BK307" s="546"/>
      <c r="BL307" s="546"/>
      <c r="BM307" s="546"/>
      <c r="BN307" s="546"/>
      <c r="BO307" s="546"/>
      <c r="BP307" s="546"/>
      <c r="BQ307" s="546"/>
      <c r="BR307" s="546"/>
      <c r="BS307" s="546"/>
      <c r="BT307" s="546"/>
      <c r="BU307" s="546"/>
      <c r="BV307" s="546"/>
      <c r="BW307" s="546"/>
      <c r="BX307" s="546"/>
      <c r="BY307" s="546"/>
    </row>
    <row r="308" spans="1:77" ht="12" hidden="1" thickBot="1">
      <c r="A308" s="522" t="s">
        <v>1360</v>
      </c>
      <c r="B308" s="522" t="s">
        <v>181</v>
      </c>
      <c r="C308" s="522" t="s">
        <v>205</v>
      </c>
      <c r="D308" s="536" t="s">
        <v>219</v>
      </c>
      <c r="E308" s="530">
        <v>1002360</v>
      </c>
      <c r="F308" s="531">
        <v>100</v>
      </c>
      <c r="G308" s="531">
        <v>42429.9</v>
      </c>
      <c r="H308" s="531">
        <v>28988.25</v>
      </c>
      <c r="I308" s="531">
        <v>3157.43</v>
      </c>
      <c r="J308" s="532"/>
      <c r="K308" s="532"/>
      <c r="L308" s="531">
        <v>882.07</v>
      </c>
      <c r="M308" s="531">
        <v>-1463.44</v>
      </c>
      <c r="N308" s="531">
        <v>4191.3</v>
      </c>
      <c r="O308" s="532"/>
      <c r="P308" s="532"/>
      <c r="Q308" s="532"/>
      <c r="R308" s="531">
        <v>78285.509999999995</v>
      </c>
      <c r="S308" s="527">
        <f t="shared" si="42"/>
        <v>74575.579999999987</v>
      </c>
      <c r="T308" s="528">
        <f t="shared" si="43"/>
        <v>0</v>
      </c>
      <c r="U308" s="527">
        <f t="shared" si="41"/>
        <v>4191.3</v>
      </c>
      <c r="W308" s="326">
        <f t="shared" si="44"/>
        <v>78285.509999999995</v>
      </c>
      <c r="X308" s="261">
        <f t="shared" si="45"/>
        <v>0</v>
      </c>
      <c r="Y308" s="546"/>
      <c r="Z308" s="1016">
        <f t="shared" si="35"/>
        <v>74675.579999999987</v>
      </c>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46"/>
      <c r="AX308" s="546"/>
      <c r="AY308" s="546"/>
      <c r="AZ308" s="546"/>
      <c r="BA308" s="546"/>
      <c r="BB308" s="546"/>
      <c r="BC308" s="546"/>
      <c r="BD308" s="546"/>
      <c r="BE308" s="546"/>
      <c r="BF308" s="546"/>
      <c r="BG308" s="546"/>
      <c r="BH308" s="546"/>
      <c r="BI308" s="546"/>
      <c r="BJ308" s="546"/>
      <c r="BK308" s="546"/>
      <c r="BL308" s="546"/>
      <c r="BM308" s="546"/>
      <c r="BN308" s="546"/>
      <c r="BO308" s="546"/>
      <c r="BP308" s="546"/>
      <c r="BQ308" s="546"/>
      <c r="BR308" s="546"/>
      <c r="BS308" s="546"/>
      <c r="BT308" s="546"/>
      <c r="BU308" s="546"/>
      <c r="BV308" s="546"/>
      <c r="BW308" s="546"/>
      <c r="BX308" s="546"/>
      <c r="BY308" s="546"/>
    </row>
    <row r="309" spans="1:77" ht="12" hidden="1" thickBot="1">
      <c r="A309" s="522" t="s">
        <v>1360</v>
      </c>
      <c r="B309" s="522" t="s">
        <v>182</v>
      </c>
      <c r="C309" s="522" t="s">
        <v>206</v>
      </c>
      <c r="D309" s="533" t="s">
        <v>228</v>
      </c>
      <c r="E309" s="524">
        <v>738803</v>
      </c>
      <c r="F309" s="525">
        <v>2380</v>
      </c>
      <c r="G309" s="525">
        <v>31273.51</v>
      </c>
      <c r="H309" s="525">
        <v>21366.2</v>
      </c>
      <c r="I309" s="525">
        <v>2327.2600000000002</v>
      </c>
      <c r="J309" s="526"/>
      <c r="K309" s="526"/>
      <c r="L309" s="525">
        <v>650.12</v>
      </c>
      <c r="M309" s="525">
        <v>2120.14</v>
      </c>
      <c r="N309" s="525">
        <v>1092.8399999999999</v>
      </c>
      <c r="O309" s="526"/>
      <c r="P309" s="526"/>
      <c r="Q309" s="526"/>
      <c r="R309" s="525">
        <v>61210.07</v>
      </c>
      <c r="S309" s="527">
        <f t="shared" si="42"/>
        <v>54966.97</v>
      </c>
      <c r="T309" s="528">
        <f t="shared" si="43"/>
        <v>0</v>
      </c>
      <c r="U309" s="527">
        <f t="shared" si="41"/>
        <v>1092.8399999999999</v>
      </c>
      <c r="W309" s="326">
        <f t="shared" si="44"/>
        <v>61210.069999999992</v>
      </c>
      <c r="X309" s="261">
        <f t="shared" si="45"/>
        <v>0</v>
      </c>
      <c r="Y309" s="546"/>
      <c r="Z309" s="1016">
        <f t="shared" si="35"/>
        <v>57346.969999999994</v>
      </c>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46"/>
      <c r="AX309" s="546"/>
      <c r="AY309" s="546"/>
      <c r="AZ309" s="546"/>
      <c r="BA309" s="546"/>
      <c r="BB309" s="546"/>
      <c r="BC309" s="546"/>
      <c r="BD309" s="546"/>
      <c r="BE309" s="546"/>
      <c r="BF309" s="546"/>
      <c r="BG309" s="546"/>
      <c r="BH309" s="546"/>
      <c r="BI309" s="546"/>
      <c r="BJ309" s="546"/>
      <c r="BK309" s="546"/>
      <c r="BL309" s="546"/>
      <c r="BM309" s="546"/>
      <c r="BN309" s="546"/>
      <c r="BO309" s="546"/>
      <c r="BP309" s="546"/>
      <c r="BQ309" s="546"/>
      <c r="BR309" s="546"/>
      <c r="BS309" s="546"/>
      <c r="BT309" s="546"/>
      <c r="BU309" s="546"/>
      <c r="BV309" s="546"/>
      <c r="BW309" s="546"/>
      <c r="BX309" s="546"/>
      <c r="BY309" s="546"/>
    </row>
    <row r="310" spans="1:77" ht="12" hidden="1" thickBot="1">
      <c r="A310" s="522" t="s">
        <v>1360</v>
      </c>
      <c r="B310" s="522" t="s">
        <v>183</v>
      </c>
      <c r="C310" s="522" t="s">
        <v>207</v>
      </c>
      <c r="D310" s="535" t="s">
        <v>228</v>
      </c>
      <c r="E310" s="530">
        <v>386800</v>
      </c>
      <c r="F310" s="531">
        <v>160.78</v>
      </c>
      <c r="G310" s="531">
        <v>16373.24</v>
      </c>
      <c r="H310" s="531">
        <v>11186.26</v>
      </c>
      <c r="I310" s="531">
        <v>1218.42</v>
      </c>
      <c r="J310" s="532"/>
      <c r="K310" s="532"/>
      <c r="L310" s="531">
        <v>340.38</v>
      </c>
      <c r="M310" s="531">
        <v>651.73</v>
      </c>
      <c r="N310" s="531">
        <v>843.56</v>
      </c>
      <c r="O310" s="532"/>
      <c r="P310" s="532"/>
      <c r="Q310" s="532"/>
      <c r="R310" s="531">
        <v>30774.37</v>
      </c>
      <c r="S310" s="527">
        <f t="shared" si="42"/>
        <v>28777.919999999998</v>
      </c>
      <c r="T310" s="528">
        <f t="shared" si="43"/>
        <v>0</v>
      </c>
      <c r="U310" s="527">
        <f t="shared" si="41"/>
        <v>843.56</v>
      </c>
      <c r="W310" s="326">
        <f t="shared" si="44"/>
        <v>30774.37</v>
      </c>
      <c r="X310" s="261">
        <f t="shared" si="45"/>
        <v>0</v>
      </c>
      <c r="Y310" s="546"/>
      <c r="Z310" s="1016">
        <f t="shared" si="35"/>
        <v>28938.699999999997</v>
      </c>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46"/>
      <c r="AX310" s="546"/>
      <c r="AY310" s="546"/>
      <c r="AZ310" s="546"/>
      <c r="BA310" s="546"/>
      <c r="BB310" s="546"/>
      <c r="BC310" s="546"/>
      <c r="BD310" s="546"/>
      <c r="BE310" s="546"/>
      <c r="BF310" s="546"/>
      <c r="BG310" s="546"/>
      <c r="BH310" s="546"/>
      <c r="BI310" s="546"/>
      <c r="BJ310" s="546"/>
      <c r="BK310" s="546"/>
      <c r="BL310" s="546"/>
      <c r="BM310" s="546"/>
      <c r="BN310" s="546"/>
      <c r="BO310" s="546"/>
      <c r="BP310" s="546"/>
      <c r="BQ310" s="546"/>
      <c r="BR310" s="546"/>
      <c r="BS310" s="546"/>
      <c r="BT310" s="546"/>
      <c r="BU310" s="546"/>
      <c r="BV310" s="546"/>
      <c r="BW310" s="546"/>
      <c r="BX310" s="546"/>
      <c r="BY310" s="546"/>
    </row>
    <row r="311" spans="1:77" ht="12" hidden="1" thickBot="1">
      <c r="A311" s="522" t="s">
        <v>1360</v>
      </c>
      <c r="B311" s="522" t="s">
        <v>720</v>
      </c>
      <c r="C311" s="522" t="s">
        <v>723</v>
      </c>
      <c r="D311" s="535" t="s">
        <v>228</v>
      </c>
      <c r="E311" s="524">
        <v>3073152</v>
      </c>
      <c r="F311" s="525">
        <v>3360</v>
      </c>
      <c r="G311" s="525">
        <v>130086.53</v>
      </c>
      <c r="H311" s="525">
        <v>88875.54</v>
      </c>
      <c r="I311" s="525">
        <v>9680.42</v>
      </c>
      <c r="J311" s="526"/>
      <c r="K311" s="526"/>
      <c r="L311" s="525">
        <v>2704.36</v>
      </c>
      <c r="M311" s="525">
        <v>6919.33</v>
      </c>
      <c r="N311" s="525">
        <v>5633.16</v>
      </c>
      <c r="O311" s="526"/>
      <c r="P311" s="526"/>
      <c r="Q311" s="526"/>
      <c r="R311" s="525">
        <v>247259.34</v>
      </c>
      <c r="S311" s="527">
        <f t="shared" si="42"/>
        <v>228642.49000000002</v>
      </c>
      <c r="T311" s="528">
        <f t="shared" si="43"/>
        <v>0</v>
      </c>
      <c r="U311" s="527">
        <f t="shared" si="41"/>
        <v>5633.16</v>
      </c>
      <c r="W311" s="326">
        <f t="shared" si="44"/>
        <v>247259.34</v>
      </c>
      <c r="X311" s="261">
        <f t="shared" si="45"/>
        <v>0</v>
      </c>
      <c r="Y311" s="546"/>
      <c r="Z311" s="1016">
        <f t="shared" si="35"/>
        <v>232002.49000000002</v>
      </c>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46"/>
      <c r="AX311" s="546"/>
      <c r="AY311" s="546"/>
      <c r="AZ311" s="546"/>
      <c r="BA311" s="546"/>
      <c r="BB311" s="546"/>
      <c r="BC311" s="546"/>
      <c r="BD311" s="546"/>
      <c r="BE311" s="546"/>
      <c r="BF311" s="546"/>
      <c r="BG311" s="546"/>
      <c r="BH311" s="546"/>
      <c r="BI311" s="546"/>
      <c r="BJ311" s="546"/>
      <c r="BK311" s="546"/>
      <c r="BL311" s="546"/>
      <c r="BM311" s="546"/>
      <c r="BN311" s="546"/>
      <c r="BO311" s="546"/>
      <c r="BP311" s="546"/>
      <c r="BQ311" s="546"/>
      <c r="BR311" s="546"/>
      <c r="BS311" s="546"/>
      <c r="BT311" s="546"/>
      <c r="BU311" s="546"/>
      <c r="BV311" s="546"/>
      <c r="BW311" s="546"/>
      <c r="BX311" s="546"/>
      <c r="BY311" s="546"/>
    </row>
    <row r="312" spans="1:77" ht="12" hidden="1" thickBot="1">
      <c r="A312" s="522" t="s">
        <v>1360</v>
      </c>
      <c r="B312" s="522" t="s">
        <v>721</v>
      </c>
      <c r="C312" s="522" t="s">
        <v>724</v>
      </c>
      <c r="D312" s="535" t="s">
        <v>219</v>
      </c>
      <c r="E312" s="530">
        <v>65903</v>
      </c>
      <c r="F312" s="531">
        <v>380</v>
      </c>
      <c r="G312" s="531">
        <v>2789.7</v>
      </c>
      <c r="H312" s="531">
        <v>1905.88</v>
      </c>
      <c r="I312" s="531">
        <v>207.6</v>
      </c>
      <c r="J312" s="532"/>
      <c r="K312" s="532"/>
      <c r="L312" s="531">
        <v>57.99</v>
      </c>
      <c r="M312" s="531">
        <v>102.57</v>
      </c>
      <c r="N312" s="531">
        <v>159.4</v>
      </c>
      <c r="O312" s="532"/>
      <c r="P312" s="532"/>
      <c r="Q312" s="532"/>
      <c r="R312" s="531">
        <v>5603.14</v>
      </c>
      <c r="S312" s="527">
        <f t="shared" si="42"/>
        <v>4903.18</v>
      </c>
      <c r="T312" s="528">
        <f t="shared" si="43"/>
        <v>0</v>
      </c>
      <c r="U312" s="527">
        <f t="shared" si="41"/>
        <v>159.4</v>
      </c>
      <c r="W312" s="326">
        <f t="shared" si="44"/>
        <v>5603.1399999999994</v>
      </c>
      <c r="X312" s="261">
        <f t="shared" si="45"/>
        <v>0</v>
      </c>
      <c r="Y312" s="546"/>
      <c r="Z312" s="1016">
        <f t="shared" si="35"/>
        <v>5283.18</v>
      </c>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46"/>
      <c r="AX312" s="546"/>
      <c r="AY312" s="546"/>
      <c r="AZ312" s="546"/>
      <c r="BA312" s="546"/>
      <c r="BB312" s="546"/>
      <c r="BC312" s="546"/>
      <c r="BD312" s="546"/>
      <c r="BE312" s="546"/>
      <c r="BF312" s="546"/>
      <c r="BG312" s="546"/>
      <c r="BH312" s="546"/>
      <c r="BI312" s="546"/>
      <c r="BJ312" s="546"/>
      <c r="BK312" s="546"/>
      <c r="BL312" s="546"/>
      <c r="BM312" s="546"/>
      <c r="BN312" s="546"/>
      <c r="BO312" s="546"/>
      <c r="BP312" s="546"/>
      <c r="BQ312" s="546"/>
      <c r="BR312" s="546"/>
      <c r="BS312" s="546"/>
      <c r="BT312" s="546"/>
      <c r="BU312" s="546"/>
      <c r="BV312" s="546"/>
      <c r="BW312" s="546"/>
      <c r="BX312" s="546"/>
      <c r="BY312" s="546"/>
    </row>
    <row r="313" spans="1:77" ht="12" hidden="1" thickBot="1">
      <c r="A313" s="522" t="s">
        <v>1360</v>
      </c>
      <c r="B313" s="522" t="s">
        <v>722</v>
      </c>
      <c r="C313" s="522" t="s">
        <v>725</v>
      </c>
      <c r="D313" s="523" t="s">
        <v>228</v>
      </c>
      <c r="E313" s="524">
        <v>10563612</v>
      </c>
      <c r="F313" s="525">
        <v>3500.01</v>
      </c>
      <c r="G313" s="525">
        <v>447157.58</v>
      </c>
      <c r="H313" s="525">
        <v>305499.73</v>
      </c>
      <c r="I313" s="525">
        <v>33275.43</v>
      </c>
      <c r="J313" s="526"/>
      <c r="K313" s="526"/>
      <c r="L313" s="525">
        <v>9295.9500000000007</v>
      </c>
      <c r="M313" s="525">
        <v>20208.25</v>
      </c>
      <c r="N313" s="525">
        <v>21480.74</v>
      </c>
      <c r="O313" s="526"/>
      <c r="P313" s="526"/>
      <c r="Q313" s="526"/>
      <c r="R313" s="525">
        <v>840417.69</v>
      </c>
      <c r="S313" s="527">
        <f t="shared" si="42"/>
        <v>785932.74000000011</v>
      </c>
      <c r="T313" s="528">
        <f t="shared" si="43"/>
        <v>0</v>
      </c>
      <c r="U313" s="527">
        <f t="shared" si="41"/>
        <v>21480.74</v>
      </c>
      <c r="W313" s="326">
        <f t="shared" si="44"/>
        <v>840417.69000000006</v>
      </c>
      <c r="X313" s="261">
        <f t="shared" si="45"/>
        <v>0</v>
      </c>
      <c r="Y313" s="546"/>
      <c r="Z313" s="1016">
        <f t="shared" si="35"/>
        <v>789432.75000000012</v>
      </c>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46"/>
      <c r="AX313" s="546"/>
      <c r="AY313" s="546"/>
      <c r="AZ313" s="546"/>
      <c r="BA313" s="546"/>
      <c r="BB313" s="546"/>
      <c r="BC313" s="546"/>
      <c r="BD313" s="546"/>
      <c r="BE313" s="546"/>
      <c r="BF313" s="546"/>
      <c r="BG313" s="546"/>
      <c r="BH313" s="546"/>
      <c r="BI313" s="546"/>
      <c r="BJ313" s="546"/>
      <c r="BK313" s="546"/>
      <c r="BL313" s="546"/>
      <c r="BM313" s="546"/>
      <c r="BN313" s="546"/>
      <c r="BO313" s="546"/>
      <c r="BP313" s="546"/>
      <c r="BQ313" s="546"/>
      <c r="BR313" s="546"/>
      <c r="BS313" s="546"/>
      <c r="BT313" s="546"/>
      <c r="BU313" s="546"/>
      <c r="BV313" s="546"/>
      <c r="BW313" s="546"/>
      <c r="BX313" s="546"/>
      <c r="BY313" s="546"/>
    </row>
    <row r="314" spans="1:77" ht="12" thickBot="1">
      <c r="A314" s="522" t="s">
        <v>1360</v>
      </c>
      <c r="B314" s="522" t="s">
        <v>233</v>
      </c>
      <c r="C314" s="522" t="s">
        <v>651</v>
      </c>
      <c r="D314" s="542" t="s">
        <v>20</v>
      </c>
      <c r="E314" s="530">
        <v>13174</v>
      </c>
      <c r="F314" s="532"/>
      <c r="G314" s="531">
        <v>418.01</v>
      </c>
      <c r="H314" s="531">
        <v>380.99</v>
      </c>
      <c r="I314" s="531">
        <v>41.5</v>
      </c>
      <c r="J314" s="532"/>
      <c r="K314" s="532"/>
      <c r="L314" s="532"/>
      <c r="M314" s="531">
        <v>41.1</v>
      </c>
      <c r="N314" s="531">
        <v>14.11</v>
      </c>
      <c r="O314" s="532"/>
      <c r="P314" s="532"/>
      <c r="Q314" s="532"/>
      <c r="R314" s="531">
        <v>895.71</v>
      </c>
      <c r="S314" s="527">
        <f t="shared" si="42"/>
        <v>840.5</v>
      </c>
      <c r="T314" s="528">
        <f t="shared" si="43"/>
        <v>0</v>
      </c>
      <c r="U314" s="527">
        <f t="shared" si="41"/>
        <v>14.11</v>
      </c>
      <c r="W314" s="326">
        <f t="shared" si="44"/>
        <v>895.71</v>
      </c>
      <c r="X314" s="261">
        <f t="shared" si="45"/>
        <v>0</v>
      </c>
      <c r="Y314" s="546"/>
      <c r="Z314" s="1016">
        <f t="shared" si="35"/>
        <v>840.5</v>
      </c>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46"/>
      <c r="AX314" s="546"/>
      <c r="AY314" s="546"/>
      <c r="AZ314" s="546"/>
      <c r="BA314" s="546"/>
      <c r="BB314" s="546"/>
      <c r="BC314" s="546"/>
      <c r="BD314" s="546"/>
      <c r="BE314" s="546"/>
      <c r="BF314" s="546"/>
      <c r="BG314" s="546"/>
      <c r="BH314" s="546"/>
      <c r="BI314" s="546"/>
      <c r="BJ314" s="546"/>
      <c r="BK314" s="546"/>
      <c r="BL314" s="546"/>
      <c r="BM314" s="546"/>
      <c r="BN314" s="546"/>
      <c r="BO314" s="546"/>
      <c r="BP314" s="546"/>
      <c r="BQ314" s="546"/>
      <c r="BR314" s="546"/>
      <c r="BS314" s="546"/>
      <c r="BT314" s="546"/>
      <c r="BU314" s="546"/>
      <c r="BV314" s="546"/>
      <c r="BW314" s="546"/>
      <c r="BX314" s="546"/>
      <c r="BY314" s="546"/>
    </row>
    <row r="315" spans="1:77" ht="12" hidden="1" thickBot="1">
      <c r="A315" s="522" t="s">
        <v>1360</v>
      </c>
      <c r="B315" s="522" t="s">
        <v>232</v>
      </c>
      <c r="C315" s="522" t="s">
        <v>651</v>
      </c>
      <c r="D315" s="542" t="s">
        <v>20</v>
      </c>
      <c r="E315" s="524">
        <v>3647</v>
      </c>
      <c r="F315" s="526"/>
      <c r="G315" s="525">
        <v>115.72</v>
      </c>
      <c r="H315" s="525">
        <v>105.47</v>
      </c>
      <c r="I315" s="525">
        <v>11.49</v>
      </c>
      <c r="J315" s="526"/>
      <c r="K315" s="526"/>
      <c r="L315" s="526"/>
      <c r="M315" s="525">
        <v>-5.32</v>
      </c>
      <c r="N315" s="525">
        <v>12.87</v>
      </c>
      <c r="O315" s="526"/>
      <c r="P315" s="526"/>
      <c r="Q315" s="526"/>
      <c r="R315" s="525">
        <v>240.23</v>
      </c>
      <c r="S315" s="527">
        <f t="shared" si="42"/>
        <v>232.68</v>
      </c>
      <c r="T315" s="528">
        <f t="shared" si="43"/>
        <v>0</v>
      </c>
      <c r="U315" s="527">
        <f t="shared" si="41"/>
        <v>12.87</v>
      </c>
      <c r="W315" s="326">
        <f t="shared" si="44"/>
        <v>240.23000000000002</v>
      </c>
      <c r="X315" s="261">
        <f t="shared" si="45"/>
        <v>0</v>
      </c>
      <c r="Y315" s="546"/>
      <c r="Z315" s="1016">
        <f t="shared" si="35"/>
        <v>232.68</v>
      </c>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46"/>
      <c r="AX315" s="546"/>
      <c r="AY315" s="546"/>
      <c r="AZ315" s="546"/>
      <c r="BA315" s="546"/>
      <c r="BB315" s="546"/>
      <c r="BC315" s="546"/>
      <c r="BD315" s="546"/>
      <c r="BE315" s="546"/>
      <c r="BF315" s="546"/>
      <c r="BG315" s="546"/>
      <c r="BH315" s="546"/>
      <c r="BI315" s="546"/>
      <c r="BJ315" s="546"/>
      <c r="BK315" s="546"/>
      <c r="BL315" s="546"/>
      <c r="BM315" s="546"/>
      <c r="BN315" s="546"/>
      <c r="BO315" s="546"/>
      <c r="BP315" s="546"/>
      <c r="BQ315" s="546"/>
      <c r="BR315" s="546"/>
      <c r="BS315" s="546"/>
      <c r="BT315" s="546"/>
      <c r="BU315" s="546"/>
      <c r="BV315" s="546"/>
      <c r="BW315" s="546"/>
      <c r="BX315" s="546"/>
      <c r="BY315" s="546"/>
    </row>
    <row r="316" spans="1:77" ht="12" thickBot="1">
      <c r="A316" s="522" t="s">
        <v>1360</v>
      </c>
      <c r="B316" s="522" t="s">
        <v>184</v>
      </c>
      <c r="C316" s="522" t="s">
        <v>59</v>
      </c>
      <c r="D316" s="523" t="s">
        <v>21</v>
      </c>
      <c r="E316" s="530">
        <v>95222</v>
      </c>
      <c r="F316" s="531">
        <v>1537.25</v>
      </c>
      <c r="G316" s="531">
        <v>4542.7700000000004</v>
      </c>
      <c r="H316" s="531">
        <v>2753.93</v>
      </c>
      <c r="I316" s="531">
        <v>299.19</v>
      </c>
      <c r="J316" s="532"/>
      <c r="K316" s="532"/>
      <c r="L316" s="532"/>
      <c r="M316" s="531">
        <v>45.46</v>
      </c>
      <c r="N316" s="531">
        <v>359.23</v>
      </c>
      <c r="O316" s="532"/>
      <c r="P316" s="532"/>
      <c r="Q316" s="532"/>
      <c r="R316" s="531">
        <v>9537.83</v>
      </c>
      <c r="S316" s="527">
        <f t="shared" si="42"/>
        <v>7595.89</v>
      </c>
      <c r="T316" s="528">
        <f t="shared" si="43"/>
        <v>0</v>
      </c>
      <c r="U316" s="527">
        <f t="shared" si="41"/>
        <v>359.23</v>
      </c>
      <c r="W316" s="326">
        <f t="shared" si="44"/>
        <v>9537.83</v>
      </c>
      <c r="X316" s="261">
        <f t="shared" si="45"/>
        <v>0</v>
      </c>
      <c r="Y316" s="546"/>
      <c r="Z316" s="1016">
        <f t="shared" si="35"/>
        <v>9133.1400000000012</v>
      </c>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46"/>
      <c r="AX316" s="546"/>
      <c r="AY316" s="546"/>
      <c r="AZ316" s="546"/>
      <c r="BA316" s="546"/>
      <c r="BB316" s="546"/>
      <c r="BC316" s="546"/>
      <c r="BD316" s="546"/>
      <c r="BE316" s="546"/>
      <c r="BF316" s="546"/>
      <c r="BG316" s="546"/>
      <c r="BH316" s="546"/>
      <c r="BI316" s="546"/>
      <c r="BJ316" s="546"/>
      <c r="BK316" s="546"/>
      <c r="BL316" s="546"/>
      <c r="BM316" s="546"/>
      <c r="BN316" s="546"/>
      <c r="BO316" s="546"/>
      <c r="BP316" s="546"/>
      <c r="BQ316" s="546"/>
      <c r="BR316" s="546"/>
      <c r="BS316" s="546"/>
      <c r="BT316" s="546"/>
      <c r="BU316" s="546"/>
      <c r="BV316" s="546"/>
      <c r="BW316" s="546"/>
      <c r="BX316" s="546"/>
      <c r="BY316" s="546"/>
    </row>
    <row r="317" spans="1:77" ht="12" hidden="1" thickBot="1">
      <c r="A317" s="522" t="s">
        <v>1360</v>
      </c>
      <c r="B317" s="522" t="s">
        <v>652</v>
      </c>
      <c r="C317" s="522" t="s">
        <v>676</v>
      </c>
      <c r="D317" s="523" t="s">
        <v>21</v>
      </c>
      <c r="E317" s="524">
        <v>14416</v>
      </c>
      <c r="F317" s="525">
        <v>884</v>
      </c>
      <c r="G317" s="525">
        <v>688.16</v>
      </c>
      <c r="H317" s="525">
        <v>416.16</v>
      </c>
      <c r="I317" s="525">
        <v>46.24</v>
      </c>
      <c r="J317" s="526"/>
      <c r="K317" s="526"/>
      <c r="L317" s="526"/>
      <c r="M317" s="525">
        <v>46.24</v>
      </c>
      <c r="N317" s="525">
        <v>32.64</v>
      </c>
      <c r="O317" s="526"/>
      <c r="P317" s="526"/>
      <c r="Q317" s="526"/>
      <c r="R317" s="525">
        <v>2113.44</v>
      </c>
      <c r="S317" s="527">
        <f t="shared" si="42"/>
        <v>1150.56</v>
      </c>
      <c r="T317" s="528">
        <f t="shared" si="43"/>
        <v>0</v>
      </c>
      <c r="U317" s="527">
        <f t="shared" si="41"/>
        <v>32.64</v>
      </c>
      <c r="W317" s="326">
        <f t="shared" si="44"/>
        <v>2113.4399999999996</v>
      </c>
      <c r="X317" s="261">
        <f t="shared" si="45"/>
        <v>0</v>
      </c>
      <c r="Y317" s="546"/>
      <c r="Z317" s="1016">
        <f t="shared" si="35"/>
        <v>2034.56</v>
      </c>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46"/>
      <c r="AX317" s="546"/>
      <c r="AY317" s="546"/>
      <c r="AZ317" s="546"/>
      <c r="BA317" s="546"/>
      <c r="BB317" s="546"/>
      <c r="BC317" s="546"/>
      <c r="BD317" s="546"/>
      <c r="BE317" s="546"/>
      <c r="BF317" s="546"/>
      <c r="BG317" s="546"/>
      <c r="BH317" s="546"/>
      <c r="BI317" s="546"/>
      <c r="BJ317" s="546"/>
      <c r="BK317" s="546"/>
      <c r="BL317" s="546"/>
      <c r="BM317" s="546"/>
      <c r="BN317" s="546"/>
      <c r="BO317" s="546"/>
      <c r="BP317" s="546"/>
      <c r="BQ317" s="546"/>
      <c r="BR317" s="546"/>
      <c r="BS317" s="546"/>
      <c r="BT317" s="546"/>
      <c r="BU317" s="546"/>
      <c r="BV317" s="546"/>
      <c r="BW317" s="546"/>
      <c r="BX317" s="546"/>
      <c r="BY317" s="546"/>
    </row>
    <row r="318" spans="1:77" ht="12" hidden="1" thickBot="1">
      <c r="A318" s="522" t="s">
        <v>1360</v>
      </c>
      <c r="B318" s="522" t="s">
        <v>728</v>
      </c>
      <c r="C318" s="522" t="s">
        <v>726</v>
      </c>
      <c r="D318" s="523" t="s">
        <v>727</v>
      </c>
      <c r="E318" s="532"/>
      <c r="F318" s="532"/>
      <c r="G318" s="532"/>
      <c r="H318" s="532"/>
      <c r="I318" s="532"/>
      <c r="J318" s="532"/>
      <c r="K318" s="532"/>
      <c r="L318" s="532"/>
      <c r="M318" s="532"/>
      <c r="N318" s="532"/>
      <c r="O318" s="532"/>
      <c r="P318" s="532"/>
      <c r="Q318" s="532"/>
      <c r="R318" s="531">
        <v>0</v>
      </c>
      <c r="S318" s="527">
        <f t="shared" si="42"/>
        <v>0</v>
      </c>
      <c r="T318" s="528">
        <f t="shared" si="43"/>
        <v>0</v>
      </c>
      <c r="U318" s="527">
        <f t="shared" si="41"/>
        <v>0</v>
      </c>
      <c r="W318" s="326">
        <f t="shared" si="44"/>
        <v>0</v>
      </c>
      <c r="X318" s="261">
        <f t="shared" si="45"/>
        <v>0</v>
      </c>
      <c r="Y318" s="546"/>
      <c r="Z318" s="1016">
        <f t="shared" si="35"/>
        <v>0</v>
      </c>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46"/>
      <c r="AX318" s="546"/>
      <c r="AY318" s="546"/>
      <c r="AZ318" s="546"/>
      <c r="BA318" s="546"/>
      <c r="BB318" s="546"/>
      <c r="BC318" s="546"/>
      <c r="BD318" s="546"/>
      <c r="BE318" s="546"/>
      <c r="BF318" s="546"/>
      <c r="BG318" s="546"/>
      <c r="BH318" s="546"/>
      <c r="BI318" s="546"/>
      <c r="BJ318" s="546"/>
      <c r="BK318" s="546"/>
      <c r="BL318" s="546"/>
      <c r="BM318" s="546"/>
      <c r="BN318" s="546"/>
      <c r="BO318" s="546"/>
      <c r="BP318" s="546"/>
      <c r="BQ318" s="546"/>
      <c r="BR318" s="546"/>
      <c r="BS318" s="546"/>
      <c r="BT318" s="546"/>
      <c r="BU318" s="546"/>
      <c r="BV318" s="546"/>
      <c r="BW318" s="546"/>
      <c r="BX318" s="546"/>
      <c r="BY318" s="546"/>
    </row>
    <row r="319" spans="1:77" ht="12" hidden="1" thickBot="1">
      <c r="A319" s="522" t="s">
        <v>1360</v>
      </c>
      <c r="B319" s="522" t="s">
        <v>1043</v>
      </c>
      <c r="C319" s="522" t="s">
        <v>1044</v>
      </c>
      <c r="D319" s="523" t="s">
        <v>1052</v>
      </c>
      <c r="E319" s="526"/>
      <c r="F319" s="526"/>
      <c r="G319" s="526"/>
      <c r="H319" s="526"/>
      <c r="I319" s="526"/>
      <c r="J319" s="526"/>
      <c r="K319" s="526"/>
      <c r="L319" s="526"/>
      <c r="M319" s="526"/>
      <c r="N319" s="526"/>
      <c r="O319" s="526"/>
      <c r="P319" s="526"/>
      <c r="Q319" s="526"/>
      <c r="R319" s="525">
        <v>0</v>
      </c>
      <c r="S319" s="527">
        <f t="shared" si="42"/>
        <v>0</v>
      </c>
      <c r="T319" s="528">
        <f t="shared" si="43"/>
        <v>0</v>
      </c>
      <c r="U319" s="527">
        <f t="shared" si="41"/>
        <v>0</v>
      </c>
      <c r="W319" s="326">
        <f t="shared" si="44"/>
        <v>0</v>
      </c>
      <c r="X319" s="261">
        <f t="shared" si="45"/>
        <v>0</v>
      </c>
      <c r="Y319" s="546"/>
      <c r="Z319" s="1016">
        <f t="shared" si="35"/>
        <v>0</v>
      </c>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46"/>
      <c r="AX319" s="546"/>
      <c r="AY319" s="546"/>
      <c r="AZ319" s="546"/>
      <c r="BA319" s="546"/>
      <c r="BB319" s="546"/>
      <c r="BC319" s="546"/>
      <c r="BD319" s="546"/>
      <c r="BE319" s="546"/>
      <c r="BF319" s="546"/>
      <c r="BG319" s="546"/>
      <c r="BH319" s="546"/>
      <c r="BI319" s="546"/>
      <c r="BJ319" s="546"/>
      <c r="BK319" s="546"/>
      <c r="BL319" s="546"/>
      <c r="BM319" s="546"/>
      <c r="BN319" s="546"/>
      <c r="BO319" s="546"/>
      <c r="BP319" s="546"/>
      <c r="BQ319" s="546"/>
      <c r="BR319" s="546"/>
      <c r="BS319" s="546"/>
      <c r="BT319" s="546"/>
      <c r="BU319" s="546"/>
      <c r="BV319" s="546"/>
      <c r="BW319" s="546"/>
      <c r="BX319" s="546"/>
      <c r="BY319" s="546"/>
    </row>
    <row r="320" spans="1:77" ht="12" hidden="1" thickBot="1">
      <c r="A320" s="522" t="s">
        <v>1360</v>
      </c>
      <c r="B320" s="522" t="s">
        <v>185</v>
      </c>
      <c r="C320" s="522" t="s">
        <v>1353</v>
      </c>
      <c r="D320" s="533" t="s">
        <v>224</v>
      </c>
      <c r="E320" s="530">
        <v>13921</v>
      </c>
      <c r="F320" s="531">
        <v>160</v>
      </c>
      <c r="G320" s="531">
        <v>816.05</v>
      </c>
      <c r="H320" s="531">
        <v>402.6</v>
      </c>
      <c r="I320" s="531">
        <v>65.56</v>
      </c>
      <c r="J320" s="532"/>
      <c r="K320" s="532"/>
      <c r="L320" s="531">
        <v>33.14</v>
      </c>
      <c r="M320" s="531">
        <v>43.43</v>
      </c>
      <c r="N320" s="531">
        <v>0</v>
      </c>
      <c r="O320" s="531">
        <v>29.78</v>
      </c>
      <c r="P320" s="532"/>
      <c r="Q320" s="532"/>
      <c r="R320" s="531">
        <v>1550.56</v>
      </c>
      <c r="S320" s="527">
        <f t="shared" si="42"/>
        <v>1284.21</v>
      </c>
      <c r="T320" s="528">
        <f t="shared" si="43"/>
        <v>0</v>
      </c>
      <c r="U320" s="527">
        <f t="shared" si="41"/>
        <v>29.78</v>
      </c>
      <c r="W320" s="326">
        <f t="shared" si="44"/>
        <v>1550.5600000000002</v>
      </c>
      <c r="X320" s="261">
        <f t="shared" si="45"/>
        <v>0</v>
      </c>
      <c r="Y320" s="546"/>
      <c r="Z320" s="1016">
        <f t="shared" si="35"/>
        <v>1444.21</v>
      </c>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46"/>
      <c r="AX320" s="546"/>
      <c r="AY320" s="546"/>
      <c r="AZ320" s="546"/>
      <c r="BA320" s="546"/>
      <c r="BB320" s="546"/>
      <c r="BC320" s="546"/>
      <c r="BD320" s="546"/>
      <c r="BE320" s="546"/>
      <c r="BF320" s="546"/>
      <c r="BG320" s="546"/>
      <c r="BH320" s="546"/>
      <c r="BI320" s="546"/>
      <c r="BJ320" s="546"/>
      <c r="BK320" s="546"/>
      <c r="BL320" s="546"/>
      <c r="BM320" s="546"/>
      <c r="BN320" s="546"/>
      <c r="BO320" s="546"/>
      <c r="BP320" s="546"/>
      <c r="BQ320" s="546"/>
      <c r="BR320" s="546"/>
      <c r="BS320" s="546"/>
      <c r="BT320" s="546"/>
      <c r="BU320" s="546"/>
      <c r="BV320" s="546"/>
      <c r="BW320" s="546"/>
      <c r="BX320" s="546"/>
      <c r="BY320" s="546"/>
    </row>
    <row r="321" spans="1:77" ht="12" hidden="1" thickBot="1">
      <c r="A321" s="522" t="s">
        <v>1360</v>
      </c>
      <c r="B321" s="522" t="s">
        <v>186</v>
      </c>
      <c r="C321" s="522" t="s">
        <v>1354</v>
      </c>
      <c r="D321" s="533" t="s">
        <v>18</v>
      </c>
      <c r="E321" s="524">
        <v>13200</v>
      </c>
      <c r="F321" s="525">
        <v>70</v>
      </c>
      <c r="G321" s="525">
        <v>773.79</v>
      </c>
      <c r="H321" s="525">
        <v>381.74</v>
      </c>
      <c r="I321" s="525">
        <v>62.17</v>
      </c>
      <c r="J321" s="526"/>
      <c r="K321" s="526"/>
      <c r="L321" s="525">
        <v>6.47</v>
      </c>
      <c r="M321" s="525">
        <v>41.19</v>
      </c>
      <c r="N321" s="525">
        <v>0</v>
      </c>
      <c r="O321" s="525">
        <v>25.27</v>
      </c>
      <c r="P321" s="526"/>
      <c r="Q321" s="526"/>
      <c r="R321" s="525">
        <v>1360.63</v>
      </c>
      <c r="S321" s="527">
        <f t="shared" si="42"/>
        <v>1217.7</v>
      </c>
      <c r="T321" s="528">
        <f t="shared" si="43"/>
        <v>0</v>
      </c>
      <c r="U321" s="527">
        <f t="shared" si="41"/>
        <v>25.27</v>
      </c>
      <c r="W321" s="326">
        <f t="shared" si="44"/>
        <v>1360.63</v>
      </c>
      <c r="X321" s="261">
        <f t="shared" si="45"/>
        <v>0</v>
      </c>
      <c r="Y321" s="546"/>
      <c r="Z321" s="1016">
        <f t="shared" si="35"/>
        <v>1287.7</v>
      </c>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46"/>
      <c r="AX321" s="546"/>
      <c r="AY321" s="546"/>
      <c r="AZ321" s="546"/>
      <c r="BA321" s="546"/>
      <c r="BB321" s="546"/>
      <c r="BC321" s="546"/>
      <c r="BD321" s="546"/>
      <c r="BE321" s="546"/>
      <c r="BF321" s="546"/>
      <c r="BG321" s="546"/>
      <c r="BH321" s="546"/>
      <c r="BI321" s="546"/>
      <c r="BJ321" s="546"/>
      <c r="BK321" s="546"/>
      <c r="BL321" s="546"/>
      <c r="BM321" s="546"/>
      <c r="BN321" s="546"/>
      <c r="BO321" s="546"/>
      <c r="BP321" s="546"/>
      <c r="BQ321" s="546"/>
      <c r="BR321" s="546"/>
      <c r="BS321" s="546"/>
      <c r="BT321" s="546"/>
      <c r="BU321" s="546"/>
      <c r="BV321" s="546"/>
      <c r="BW321" s="546"/>
      <c r="BX321" s="546"/>
      <c r="BY321" s="546"/>
    </row>
    <row r="322" spans="1:77" ht="12" hidden="1" thickBot="1">
      <c r="A322" s="522" t="s">
        <v>1360</v>
      </c>
      <c r="B322" s="522" t="s">
        <v>750</v>
      </c>
      <c r="C322" s="522" t="s">
        <v>748</v>
      </c>
      <c r="D322" s="542" t="s">
        <v>749</v>
      </c>
      <c r="E322" s="532"/>
      <c r="F322" s="532"/>
      <c r="G322" s="532"/>
      <c r="H322" s="532"/>
      <c r="I322" s="532"/>
      <c r="J322" s="532"/>
      <c r="K322" s="532"/>
      <c r="L322" s="532"/>
      <c r="M322" s="532"/>
      <c r="N322" s="532"/>
      <c r="O322" s="532"/>
      <c r="P322" s="532"/>
      <c r="Q322" s="532"/>
      <c r="R322" s="532"/>
      <c r="S322" s="527">
        <f t="shared" si="42"/>
        <v>0</v>
      </c>
      <c r="T322" s="528">
        <f t="shared" si="43"/>
        <v>0</v>
      </c>
      <c r="U322" s="527">
        <f t="shared" si="41"/>
        <v>0</v>
      </c>
      <c r="W322" s="326">
        <f t="shared" si="44"/>
        <v>0</v>
      </c>
      <c r="X322" s="261">
        <f t="shared" si="45"/>
        <v>0</v>
      </c>
      <c r="Y322" s="546"/>
      <c r="Z322" s="1016">
        <f t="shared" si="35"/>
        <v>0</v>
      </c>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46"/>
      <c r="AX322" s="546"/>
      <c r="AY322" s="546"/>
      <c r="AZ322" s="546"/>
      <c r="BA322" s="546"/>
      <c r="BB322" s="546"/>
      <c r="BC322" s="546"/>
      <c r="BD322" s="546"/>
      <c r="BE322" s="546"/>
      <c r="BF322" s="546"/>
      <c r="BG322" s="546"/>
      <c r="BH322" s="546"/>
      <c r="BI322" s="546"/>
      <c r="BJ322" s="546"/>
      <c r="BK322" s="546"/>
      <c r="BL322" s="546"/>
      <c r="BM322" s="546"/>
      <c r="BN322" s="546"/>
      <c r="BO322" s="546"/>
      <c r="BP322" s="546"/>
      <c r="BQ322" s="546"/>
      <c r="BR322" s="546"/>
      <c r="BS322" s="546"/>
      <c r="BT322" s="546"/>
      <c r="BU322" s="546"/>
      <c r="BV322" s="546"/>
      <c r="BW322" s="546"/>
      <c r="BX322" s="546"/>
      <c r="BY322" s="546"/>
    </row>
    <row r="323" spans="1:77" ht="12" hidden="1" thickBot="1">
      <c r="A323" s="522" t="s">
        <v>1360</v>
      </c>
      <c r="B323" s="522" t="s">
        <v>187</v>
      </c>
      <c r="C323" s="522" t="s">
        <v>457</v>
      </c>
      <c r="D323" s="542" t="s">
        <v>78</v>
      </c>
      <c r="E323" s="526"/>
      <c r="F323" s="526"/>
      <c r="G323" s="526"/>
      <c r="H323" s="526"/>
      <c r="I323" s="526"/>
      <c r="J323" s="526"/>
      <c r="K323" s="526"/>
      <c r="L323" s="526"/>
      <c r="M323" s="526"/>
      <c r="N323" s="526"/>
      <c r="O323" s="526"/>
      <c r="P323" s="525">
        <v>-986248.39</v>
      </c>
      <c r="Q323" s="526"/>
      <c r="R323" s="525">
        <v>-986248.39</v>
      </c>
      <c r="S323" s="527">
        <f t="shared" si="42"/>
        <v>0</v>
      </c>
      <c r="T323" s="528">
        <f t="shared" si="43"/>
        <v>0</v>
      </c>
      <c r="U323" s="527">
        <f t="shared" si="41"/>
        <v>0</v>
      </c>
      <c r="W323" s="326">
        <f t="shared" si="44"/>
        <v>-986248.39</v>
      </c>
      <c r="X323" s="261">
        <f t="shared" si="45"/>
        <v>0</v>
      </c>
      <c r="Y323" s="546"/>
      <c r="Z323" s="1016">
        <f t="shared" ref="Z323:Z385" si="46">SUM(F323:K323)</f>
        <v>0</v>
      </c>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46"/>
      <c r="AX323" s="546"/>
      <c r="AY323" s="546"/>
      <c r="AZ323" s="546"/>
      <c r="BA323" s="546"/>
      <c r="BB323" s="546"/>
      <c r="BC323" s="546"/>
      <c r="BD323" s="546"/>
      <c r="BE323" s="546"/>
      <c r="BF323" s="546"/>
      <c r="BG323" s="546"/>
      <c r="BH323" s="546"/>
      <c r="BI323" s="546"/>
      <c r="BJ323" s="546"/>
      <c r="BK323" s="546"/>
      <c r="BL323" s="546"/>
      <c r="BM323" s="546"/>
      <c r="BN323" s="546"/>
      <c r="BO323" s="546"/>
      <c r="BP323" s="546"/>
      <c r="BQ323" s="546"/>
      <c r="BR323" s="546"/>
      <c r="BS323" s="546"/>
      <c r="BT323" s="546"/>
      <c r="BU323" s="546"/>
      <c r="BV323" s="546"/>
      <c r="BW323" s="546"/>
      <c r="BX323" s="546"/>
      <c r="BY323" s="546"/>
    </row>
    <row r="324" spans="1:77" ht="12" hidden="1" thickBot="1">
      <c r="A324" s="522" t="s">
        <v>1360</v>
      </c>
      <c r="B324" s="522" t="s">
        <v>188</v>
      </c>
      <c r="C324" s="522" t="s">
        <v>458</v>
      </c>
      <c r="D324" s="542" t="s">
        <v>78</v>
      </c>
      <c r="E324" s="532"/>
      <c r="F324" s="532"/>
      <c r="G324" s="532"/>
      <c r="H324" s="532"/>
      <c r="I324" s="532"/>
      <c r="J324" s="532"/>
      <c r="K324" s="532"/>
      <c r="L324" s="532"/>
      <c r="M324" s="532"/>
      <c r="N324" s="532"/>
      <c r="O324" s="532"/>
      <c r="P324" s="531">
        <v>-32627.83</v>
      </c>
      <c r="Q324" s="532"/>
      <c r="R324" s="531">
        <v>-32627.83</v>
      </c>
      <c r="S324" s="527">
        <f t="shared" si="42"/>
        <v>0</v>
      </c>
      <c r="T324" s="528">
        <f t="shared" si="43"/>
        <v>0</v>
      </c>
      <c r="U324" s="527">
        <f t="shared" si="41"/>
        <v>0</v>
      </c>
      <c r="W324" s="326">
        <f t="shared" si="44"/>
        <v>-32627.83</v>
      </c>
      <c r="X324" s="261">
        <f t="shared" si="45"/>
        <v>0</v>
      </c>
      <c r="Y324" s="546"/>
      <c r="Z324" s="1016">
        <f t="shared" si="46"/>
        <v>0</v>
      </c>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46"/>
      <c r="AX324" s="546"/>
      <c r="AY324" s="546"/>
      <c r="AZ324" s="546"/>
      <c r="BA324" s="546"/>
      <c r="BB324" s="546"/>
      <c r="BC324" s="546"/>
      <c r="BD324" s="546"/>
      <c r="BE324" s="546"/>
      <c r="BF324" s="546"/>
      <c r="BG324" s="546"/>
      <c r="BH324" s="546"/>
      <c r="BI324" s="546"/>
      <c r="BJ324" s="546"/>
      <c r="BK324" s="546"/>
      <c r="BL324" s="546"/>
      <c r="BM324" s="546"/>
      <c r="BN324" s="546"/>
      <c r="BO324" s="546"/>
      <c r="BP324" s="546"/>
      <c r="BQ324" s="546"/>
      <c r="BR324" s="546"/>
      <c r="BS324" s="546"/>
      <c r="BT324" s="546"/>
      <c r="BU324" s="546"/>
      <c r="BV324" s="546"/>
      <c r="BW324" s="546"/>
      <c r="BX324" s="546"/>
      <c r="BY324" s="546"/>
    </row>
    <row r="325" spans="1:77" ht="12" hidden="1" thickBot="1">
      <c r="A325" s="522" t="s">
        <v>1360</v>
      </c>
      <c r="B325" s="522" t="s">
        <v>1358</v>
      </c>
      <c r="C325" s="522" t="s">
        <v>1359</v>
      </c>
      <c r="D325" s="542" t="s">
        <v>78</v>
      </c>
      <c r="E325" s="526"/>
      <c r="F325" s="526"/>
      <c r="G325" s="526"/>
      <c r="H325" s="526"/>
      <c r="I325" s="526"/>
      <c r="J325" s="526"/>
      <c r="K325" s="526"/>
      <c r="L325" s="526"/>
      <c r="M325" s="526"/>
      <c r="N325" s="526"/>
      <c r="O325" s="526"/>
      <c r="P325" s="525">
        <v>-22530.73</v>
      </c>
      <c r="Q325" s="526"/>
      <c r="R325" s="525">
        <v>-22530.73</v>
      </c>
      <c r="S325" s="527">
        <f t="shared" si="42"/>
        <v>0</v>
      </c>
      <c r="T325" s="528">
        <f t="shared" si="43"/>
        <v>0</v>
      </c>
      <c r="U325" s="527">
        <f t="shared" si="41"/>
        <v>0</v>
      </c>
      <c r="W325" s="326">
        <f t="shared" si="44"/>
        <v>-22530.73</v>
      </c>
      <c r="X325" s="261">
        <f t="shared" si="45"/>
        <v>0</v>
      </c>
      <c r="Y325" s="546"/>
      <c r="Z325" s="1016">
        <f t="shared" si="46"/>
        <v>0</v>
      </c>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46"/>
      <c r="AX325" s="546"/>
      <c r="AY325" s="546"/>
      <c r="AZ325" s="546"/>
      <c r="BA325" s="546"/>
      <c r="BB325" s="546"/>
      <c r="BC325" s="546"/>
      <c r="BD325" s="546"/>
      <c r="BE325" s="546"/>
      <c r="BF325" s="546"/>
      <c r="BG325" s="546"/>
      <c r="BH325" s="546"/>
      <c r="BI325" s="546"/>
      <c r="BJ325" s="546"/>
      <c r="BK325" s="546"/>
      <c r="BL325" s="546"/>
      <c r="BM325" s="546"/>
      <c r="BN325" s="546"/>
      <c r="BO325" s="546"/>
      <c r="BP325" s="546"/>
      <c r="BQ325" s="546"/>
      <c r="BR325" s="546"/>
      <c r="BS325" s="546"/>
      <c r="BT325" s="546"/>
      <c r="BU325" s="546"/>
      <c r="BV325" s="546"/>
      <c r="BW325" s="546"/>
      <c r="BX325" s="546"/>
      <c r="BY325" s="546"/>
    </row>
    <row r="326" spans="1:77" ht="12" hidden="1" thickBot="1">
      <c r="A326" s="522" t="s">
        <v>1360</v>
      </c>
      <c r="B326" s="522" t="s">
        <v>1045</v>
      </c>
      <c r="C326" s="522" t="s">
        <v>1046</v>
      </c>
      <c r="D326" s="542"/>
      <c r="E326" s="532"/>
      <c r="F326" s="532"/>
      <c r="G326" s="532"/>
      <c r="H326" s="532"/>
      <c r="I326" s="532"/>
      <c r="J326" s="532"/>
      <c r="K326" s="532"/>
      <c r="L326" s="532"/>
      <c r="M326" s="532"/>
      <c r="N326" s="532"/>
      <c r="O326" s="532"/>
      <c r="P326" s="532">
        <v>-8800</v>
      </c>
      <c r="Q326" s="532"/>
      <c r="R326" s="532">
        <v>-8800</v>
      </c>
      <c r="S326" s="527">
        <f t="shared" si="42"/>
        <v>0</v>
      </c>
      <c r="T326" s="528">
        <f t="shared" si="43"/>
        <v>0</v>
      </c>
      <c r="U326" s="527">
        <f t="shared" si="41"/>
        <v>0</v>
      </c>
      <c r="W326" s="326">
        <f t="shared" si="44"/>
        <v>-8800</v>
      </c>
      <c r="X326" s="261">
        <f t="shared" si="45"/>
        <v>0</v>
      </c>
      <c r="Y326" s="546"/>
      <c r="Z326" s="1016">
        <f t="shared" si="46"/>
        <v>0</v>
      </c>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46"/>
      <c r="AX326" s="546"/>
      <c r="AY326" s="546"/>
      <c r="AZ326" s="546"/>
      <c r="BA326" s="546"/>
      <c r="BB326" s="546"/>
      <c r="BC326" s="546"/>
      <c r="BD326" s="546"/>
      <c r="BE326" s="546"/>
      <c r="BF326" s="546"/>
      <c r="BG326" s="546"/>
      <c r="BH326" s="546"/>
      <c r="BI326" s="546"/>
      <c r="BJ326" s="546"/>
      <c r="BK326" s="546"/>
      <c r="BL326" s="546"/>
      <c r="BM326" s="546"/>
      <c r="BN326" s="546"/>
      <c r="BO326" s="546"/>
      <c r="BP326" s="546"/>
      <c r="BQ326" s="546"/>
      <c r="BR326" s="546"/>
      <c r="BS326" s="546"/>
      <c r="BT326" s="546"/>
      <c r="BU326" s="546"/>
      <c r="BV326" s="546"/>
      <c r="BW326" s="546"/>
      <c r="BX326" s="546"/>
      <c r="BY326" s="546"/>
    </row>
    <row r="327" spans="1:77" ht="12" hidden="1" thickBot="1">
      <c r="A327" s="522" t="s">
        <v>1360</v>
      </c>
      <c r="B327" s="522" t="s">
        <v>945</v>
      </c>
      <c r="C327" s="522" t="s">
        <v>946</v>
      </c>
      <c r="D327" s="542"/>
      <c r="E327" s="526"/>
      <c r="F327" s="526"/>
      <c r="G327" s="526"/>
      <c r="H327" s="526"/>
      <c r="I327" s="526"/>
      <c r="J327" s="526"/>
      <c r="K327" s="526"/>
      <c r="L327" s="526"/>
      <c r="M327" s="526"/>
      <c r="N327" s="526"/>
      <c r="O327" s="526"/>
      <c r="P327" s="526"/>
      <c r="Q327" s="526"/>
      <c r="R327" s="526"/>
      <c r="S327" s="527">
        <f t="shared" si="42"/>
        <v>0</v>
      </c>
      <c r="T327" s="528">
        <f t="shared" si="43"/>
        <v>0</v>
      </c>
      <c r="U327" s="527">
        <f t="shared" si="41"/>
        <v>0</v>
      </c>
      <c r="W327" s="326">
        <f t="shared" si="44"/>
        <v>0</v>
      </c>
      <c r="X327" s="261">
        <f t="shared" si="45"/>
        <v>0</v>
      </c>
      <c r="Y327" s="546"/>
      <c r="Z327" s="1016">
        <f t="shared" si="46"/>
        <v>0</v>
      </c>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46"/>
      <c r="AX327" s="546"/>
      <c r="AY327" s="546"/>
      <c r="AZ327" s="546"/>
      <c r="BA327" s="546"/>
      <c r="BB327" s="546"/>
      <c r="BC327" s="546"/>
      <c r="BD327" s="546"/>
      <c r="BE327" s="546"/>
      <c r="BF327" s="546"/>
      <c r="BG327" s="546"/>
      <c r="BH327" s="546"/>
      <c r="BI327" s="546"/>
      <c r="BJ327" s="546"/>
      <c r="BK327" s="546"/>
      <c r="BL327" s="546"/>
      <c r="BM327" s="546"/>
      <c r="BN327" s="546"/>
      <c r="BO327" s="546"/>
      <c r="BP327" s="546"/>
      <c r="BQ327" s="546"/>
      <c r="BR327" s="546"/>
      <c r="BS327" s="546"/>
      <c r="BT327" s="546"/>
      <c r="BU327" s="546"/>
      <c r="BV327" s="546"/>
      <c r="BW327" s="546"/>
      <c r="BX327" s="546"/>
      <c r="BY327" s="546"/>
    </row>
    <row r="328" spans="1:77" ht="12" hidden="1" thickBot="1">
      <c r="A328" s="522" t="s">
        <v>1360</v>
      </c>
      <c r="B328" s="522" t="s">
        <v>947</v>
      </c>
      <c r="C328" s="522" t="s">
        <v>948</v>
      </c>
      <c r="D328" s="542"/>
      <c r="E328" s="530"/>
      <c r="F328" s="531"/>
      <c r="G328" s="531"/>
      <c r="H328" s="531"/>
      <c r="I328" s="532"/>
      <c r="J328" s="531"/>
      <c r="K328" s="531"/>
      <c r="L328" s="532"/>
      <c r="M328" s="531"/>
      <c r="N328" s="531"/>
      <c r="O328" s="531"/>
      <c r="P328" s="532"/>
      <c r="Q328" s="532"/>
      <c r="R328" s="531"/>
      <c r="S328" s="527">
        <f t="shared" si="42"/>
        <v>0</v>
      </c>
      <c r="T328" s="528">
        <f t="shared" si="43"/>
        <v>0</v>
      </c>
      <c r="U328" s="527">
        <f t="shared" si="41"/>
        <v>0</v>
      </c>
      <c r="W328" s="326">
        <f t="shared" si="44"/>
        <v>0</v>
      </c>
      <c r="X328" s="261">
        <f t="shared" si="45"/>
        <v>0</v>
      </c>
      <c r="Y328" s="546"/>
      <c r="Z328" s="1016">
        <f t="shared" si="46"/>
        <v>0</v>
      </c>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46"/>
      <c r="AX328" s="546"/>
      <c r="AY328" s="546"/>
      <c r="AZ328" s="546"/>
      <c r="BA328" s="546"/>
      <c r="BB328" s="546"/>
      <c r="BC328" s="546"/>
      <c r="BD328" s="546"/>
      <c r="BE328" s="546"/>
      <c r="BF328" s="546"/>
      <c r="BG328" s="546"/>
      <c r="BH328" s="546"/>
      <c r="BI328" s="546"/>
      <c r="BJ328" s="546"/>
      <c r="BK328" s="546"/>
      <c r="BL328" s="546"/>
      <c r="BM328" s="546"/>
      <c r="BN328" s="546"/>
      <c r="BO328" s="546"/>
      <c r="BP328" s="546"/>
      <c r="BQ328" s="546"/>
      <c r="BR328" s="546"/>
      <c r="BS328" s="546"/>
      <c r="BT328" s="546"/>
      <c r="BU328" s="546"/>
      <c r="BV328" s="546"/>
      <c r="BW328" s="546"/>
      <c r="BX328" s="546"/>
      <c r="BY328" s="546"/>
    </row>
    <row r="329" spans="1:77" ht="12" hidden="1" thickBot="1">
      <c r="A329" s="522" t="s">
        <v>1360</v>
      </c>
      <c r="B329" s="522" t="s">
        <v>189</v>
      </c>
      <c r="C329" s="522" t="s">
        <v>208</v>
      </c>
      <c r="D329" s="533" t="s">
        <v>675</v>
      </c>
      <c r="E329" s="524">
        <v>50976000</v>
      </c>
      <c r="F329" s="526">
        <v>750</v>
      </c>
      <c r="G329" s="525">
        <v>188101.44</v>
      </c>
      <c r="H329" s="526">
        <v>1474225.92</v>
      </c>
      <c r="I329" s="526"/>
      <c r="J329" s="526">
        <v>49633.58</v>
      </c>
      <c r="K329" s="525">
        <v>617855.81000000006</v>
      </c>
      <c r="L329" s="526"/>
      <c r="M329" s="525">
        <v>159045.12</v>
      </c>
      <c r="N329" s="526">
        <v>0</v>
      </c>
      <c r="O329" s="526">
        <v>23720.639999999999</v>
      </c>
      <c r="P329" s="526"/>
      <c r="Q329" s="526"/>
      <c r="R329" s="525">
        <v>2513332.5099999998</v>
      </c>
      <c r="S329" s="527">
        <f t="shared" si="42"/>
        <v>1662327.3599999999</v>
      </c>
      <c r="T329" s="528">
        <f t="shared" si="43"/>
        <v>667489.39</v>
      </c>
      <c r="U329" s="527">
        <f t="shared" si="41"/>
        <v>23720.639999999999</v>
      </c>
      <c r="W329" s="326">
        <f t="shared" si="44"/>
        <v>2513332.5100000002</v>
      </c>
      <c r="X329" s="261">
        <f t="shared" si="45"/>
        <v>0</v>
      </c>
      <c r="Y329" s="546"/>
      <c r="Z329" s="1016">
        <f t="shared" si="46"/>
        <v>2330566.75</v>
      </c>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46"/>
      <c r="AX329" s="546"/>
      <c r="AY329" s="546"/>
      <c r="AZ329" s="546"/>
      <c r="BA329" s="546"/>
      <c r="BB329" s="546"/>
      <c r="BC329" s="546"/>
      <c r="BD329" s="546"/>
      <c r="BE329" s="546"/>
      <c r="BF329" s="546"/>
      <c r="BG329" s="546"/>
      <c r="BH329" s="546"/>
      <c r="BI329" s="546"/>
      <c r="BJ329" s="546"/>
      <c r="BK329" s="546"/>
      <c r="BL329" s="546"/>
      <c r="BM329" s="546"/>
      <c r="BN329" s="546"/>
      <c r="BO329" s="546"/>
      <c r="BP329" s="546"/>
      <c r="BQ329" s="546"/>
      <c r="BR329" s="546"/>
      <c r="BS329" s="546"/>
      <c r="BT329" s="546"/>
      <c r="BU329" s="546"/>
      <c r="BV329" s="546"/>
      <c r="BW329" s="546"/>
      <c r="BX329" s="546"/>
      <c r="BY329" s="546"/>
    </row>
    <row r="330" spans="1:77" ht="12" hidden="1" thickBot="1">
      <c r="A330" s="522" t="s">
        <v>1360</v>
      </c>
      <c r="B330" s="522" t="s">
        <v>209</v>
      </c>
      <c r="C330" s="522" t="s">
        <v>210</v>
      </c>
      <c r="D330" s="542" t="s">
        <v>459</v>
      </c>
      <c r="E330" s="530">
        <v>47137600</v>
      </c>
      <c r="F330" s="532"/>
      <c r="G330" s="531">
        <v>1420270.03</v>
      </c>
      <c r="H330" s="532"/>
      <c r="I330" s="532"/>
      <c r="J330" s="532"/>
      <c r="K330" s="531">
        <v>1270337.68</v>
      </c>
      <c r="L330" s="532"/>
      <c r="M330" s="531">
        <v>256899.92</v>
      </c>
      <c r="N330" s="532"/>
      <c r="O330" s="532"/>
      <c r="P330" s="532"/>
      <c r="Q330" s="532"/>
      <c r="R330" s="531">
        <v>3078502.62</v>
      </c>
      <c r="S330" s="527">
        <f t="shared" si="42"/>
        <v>1420270.03</v>
      </c>
      <c r="T330" s="528">
        <f t="shared" si="43"/>
        <v>1270337.68</v>
      </c>
      <c r="U330" s="527">
        <f t="shared" si="41"/>
        <v>0</v>
      </c>
      <c r="W330" s="326">
        <f t="shared" si="44"/>
        <v>2947507.63</v>
      </c>
      <c r="X330" s="261">
        <f t="shared" si="45"/>
        <v>-130994.99000000022</v>
      </c>
      <c r="Y330" s="546"/>
      <c r="Z330" s="1016">
        <f t="shared" si="46"/>
        <v>2690607.71</v>
      </c>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46"/>
      <c r="AX330" s="546"/>
      <c r="AY330" s="546"/>
      <c r="AZ330" s="546"/>
      <c r="BA330" s="546"/>
      <c r="BB330" s="546"/>
      <c r="BC330" s="546"/>
      <c r="BD330" s="546"/>
      <c r="BE330" s="546"/>
      <c r="BF330" s="546"/>
      <c r="BG330" s="546"/>
      <c r="BH330" s="546"/>
      <c r="BI330" s="546"/>
      <c r="BJ330" s="546"/>
      <c r="BK330" s="546"/>
      <c r="BL330" s="546"/>
      <c r="BM330" s="546"/>
      <c r="BN330" s="546"/>
      <c r="BO330" s="546"/>
      <c r="BP330" s="546"/>
      <c r="BQ330" s="546"/>
      <c r="BR330" s="546"/>
      <c r="BS330" s="546"/>
      <c r="BT330" s="546"/>
      <c r="BU330" s="546"/>
      <c r="BV330" s="546"/>
      <c r="BW330" s="546"/>
      <c r="BX330" s="546"/>
      <c r="BY330" s="546"/>
    </row>
    <row r="331" spans="1:77" ht="12" hidden="1" thickBot="1">
      <c r="A331" s="522" t="s">
        <v>1360</v>
      </c>
      <c r="B331" s="522" t="s">
        <v>211</v>
      </c>
      <c r="C331" s="522" t="s">
        <v>212</v>
      </c>
      <c r="D331" s="533" t="s">
        <v>459</v>
      </c>
      <c r="E331" s="524">
        <v>108909478</v>
      </c>
      <c r="F331" s="526"/>
      <c r="G331" s="525">
        <v>3275332.75</v>
      </c>
      <c r="H331" s="526"/>
      <c r="I331" s="526"/>
      <c r="J331" s="526"/>
      <c r="K331" s="525">
        <v>3136095.38</v>
      </c>
      <c r="L331" s="526"/>
      <c r="M331" s="525">
        <v>588111.18000000005</v>
      </c>
      <c r="N331" s="526"/>
      <c r="O331" s="526"/>
      <c r="P331" s="526"/>
      <c r="Q331" s="526"/>
      <c r="R331" s="525">
        <v>7341327.7800000003</v>
      </c>
      <c r="S331" s="527">
        <f t="shared" si="42"/>
        <v>3275332.75</v>
      </c>
      <c r="T331" s="528">
        <f t="shared" si="43"/>
        <v>3136095.38</v>
      </c>
      <c r="U331" s="527">
        <f t="shared" si="41"/>
        <v>0</v>
      </c>
      <c r="W331" s="326">
        <f t="shared" si="44"/>
        <v>6999539.3099999996</v>
      </c>
      <c r="X331" s="261">
        <f t="shared" si="45"/>
        <v>-341788.47000000067</v>
      </c>
      <c r="Y331" s="546"/>
      <c r="Z331" s="1016">
        <f t="shared" si="46"/>
        <v>6411428.1299999999</v>
      </c>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46"/>
      <c r="AX331" s="546"/>
      <c r="AY331" s="546"/>
      <c r="AZ331" s="546"/>
      <c r="BA331" s="546"/>
      <c r="BB331" s="546"/>
      <c r="BC331" s="546"/>
      <c r="BD331" s="546"/>
      <c r="BE331" s="546"/>
      <c r="BF331" s="546"/>
      <c r="BG331" s="546"/>
      <c r="BH331" s="546"/>
      <c r="BI331" s="546"/>
      <c r="BJ331" s="546"/>
      <c r="BK331" s="546"/>
      <c r="BL331" s="546"/>
      <c r="BM331" s="546"/>
      <c r="BN331" s="546"/>
      <c r="BO331" s="546"/>
      <c r="BP331" s="546"/>
      <c r="BQ331" s="546"/>
      <c r="BR331" s="546"/>
      <c r="BS331" s="546"/>
      <c r="BT331" s="546"/>
      <c r="BU331" s="546"/>
      <c r="BV331" s="546"/>
      <c r="BW331" s="546"/>
      <c r="BX331" s="546"/>
      <c r="BY331" s="546"/>
    </row>
    <row r="332" spans="1:77" ht="12" hidden="1" thickBot="1">
      <c r="A332" s="522" t="s">
        <v>1360</v>
      </c>
      <c r="B332" s="522" t="s">
        <v>213</v>
      </c>
      <c r="C332" s="522" t="s">
        <v>214</v>
      </c>
      <c r="D332" s="542" t="s">
        <v>459</v>
      </c>
      <c r="E332" s="532">
        <v>6330347</v>
      </c>
      <c r="F332" s="532"/>
      <c r="G332" s="532">
        <v>190378.22</v>
      </c>
      <c r="H332" s="532"/>
      <c r="I332" s="532"/>
      <c r="J332" s="532"/>
      <c r="K332" s="532">
        <v>113210.92</v>
      </c>
      <c r="L332" s="532"/>
      <c r="M332" s="532">
        <v>34183.870000000003</v>
      </c>
      <c r="N332" s="532"/>
      <c r="O332" s="532"/>
      <c r="P332" s="532"/>
      <c r="Q332" s="532"/>
      <c r="R332" s="532">
        <v>359056.6</v>
      </c>
      <c r="S332" s="527">
        <f t="shared" si="42"/>
        <v>190378.22</v>
      </c>
      <c r="T332" s="528">
        <f t="shared" si="43"/>
        <v>113210.92</v>
      </c>
      <c r="U332" s="527">
        <f t="shared" si="41"/>
        <v>0</v>
      </c>
      <c r="W332" s="326">
        <f t="shared" si="44"/>
        <v>337773.01</v>
      </c>
      <c r="X332" s="261">
        <f t="shared" si="45"/>
        <v>-21283.589999999967</v>
      </c>
      <c r="Y332" s="546"/>
      <c r="Z332" s="1016">
        <f t="shared" si="46"/>
        <v>303589.14</v>
      </c>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46"/>
      <c r="AX332" s="546"/>
      <c r="AY332" s="546"/>
      <c r="AZ332" s="546"/>
      <c r="BA332" s="546"/>
      <c r="BB332" s="546"/>
      <c r="BC332" s="546"/>
      <c r="BD332" s="546"/>
      <c r="BE332" s="546"/>
      <c r="BF332" s="546"/>
      <c r="BG332" s="546"/>
      <c r="BH332" s="546"/>
      <c r="BI332" s="546"/>
      <c r="BJ332" s="546"/>
      <c r="BK332" s="546"/>
      <c r="BL332" s="546"/>
      <c r="BM332" s="546"/>
      <c r="BN332" s="546"/>
      <c r="BO332" s="546"/>
      <c r="BP332" s="546"/>
      <c r="BQ332" s="546"/>
      <c r="BR332" s="546"/>
      <c r="BS332" s="546"/>
      <c r="BT332" s="546"/>
      <c r="BU332" s="546"/>
      <c r="BV332" s="546"/>
      <c r="BW332" s="546"/>
      <c r="BX332" s="546"/>
      <c r="BY332" s="546"/>
    </row>
    <row r="333" spans="1:77" ht="12" hidden="1" thickBot="1">
      <c r="A333" s="522" t="s">
        <v>1360</v>
      </c>
      <c r="B333" s="522" t="s">
        <v>949</v>
      </c>
      <c r="C333" s="522" t="s">
        <v>943</v>
      </c>
      <c r="D333" s="523"/>
      <c r="E333" s="524"/>
      <c r="F333" s="525"/>
      <c r="G333" s="525"/>
      <c r="H333" s="525"/>
      <c r="I333" s="525"/>
      <c r="J333" s="526"/>
      <c r="K333" s="526"/>
      <c r="L333" s="525"/>
      <c r="M333" s="525"/>
      <c r="N333" s="525"/>
      <c r="O333" s="526"/>
      <c r="P333" s="526"/>
      <c r="Q333" s="525"/>
      <c r="R333" s="525"/>
      <c r="S333" s="527">
        <f t="shared" si="42"/>
        <v>0</v>
      </c>
      <c r="T333" s="528">
        <f t="shared" si="43"/>
        <v>0</v>
      </c>
      <c r="U333" s="527">
        <f t="shared" si="41"/>
        <v>0</v>
      </c>
      <c r="W333" s="326">
        <f t="shared" si="44"/>
        <v>0</v>
      </c>
      <c r="X333" s="261">
        <f t="shared" si="45"/>
        <v>0</v>
      </c>
      <c r="Y333" s="546"/>
      <c r="Z333" s="1016">
        <f t="shared" si="46"/>
        <v>0</v>
      </c>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46"/>
      <c r="AX333" s="546"/>
      <c r="AY333" s="546"/>
      <c r="AZ333" s="546"/>
      <c r="BA333" s="546"/>
      <c r="BB333" s="546"/>
      <c r="BC333" s="546"/>
      <c r="BD333" s="546"/>
      <c r="BE333" s="546"/>
      <c r="BF333" s="546"/>
      <c r="BG333" s="546"/>
      <c r="BH333" s="546"/>
      <c r="BI333" s="546"/>
      <c r="BJ333" s="546"/>
      <c r="BK333" s="546"/>
      <c r="BL333" s="546"/>
      <c r="BM333" s="546"/>
      <c r="BN333" s="546"/>
      <c r="BO333" s="546"/>
      <c r="BP333" s="546"/>
      <c r="BQ333" s="546"/>
      <c r="BR333" s="546"/>
      <c r="BS333" s="546"/>
      <c r="BT333" s="546"/>
      <c r="BU333" s="546"/>
      <c r="BV333" s="546"/>
      <c r="BW333" s="546"/>
      <c r="BX333" s="546"/>
      <c r="BY333" s="546"/>
    </row>
    <row r="334" spans="1:77" ht="12" hidden="1" thickBot="1">
      <c r="A334" s="522" t="s">
        <v>1360</v>
      </c>
      <c r="B334" s="522" t="s">
        <v>190</v>
      </c>
      <c r="C334" s="522" t="s">
        <v>111</v>
      </c>
      <c r="D334" s="533" t="s">
        <v>15</v>
      </c>
      <c r="E334" s="530">
        <v>267454258</v>
      </c>
      <c r="F334" s="531">
        <v>2455490.5699999998</v>
      </c>
      <c r="G334" s="531">
        <v>12133619.560000001</v>
      </c>
      <c r="H334" s="531">
        <v>7734143.8600000003</v>
      </c>
      <c r="I334" s="531">
        <v>842656.97</v>
      </c>
      <c r="J334" s="532"/>
      <c r="K334" s="532"/>
      <c r="L334" s="531">
        <v>933244.21</v>
      </c>
      <c r="M334" s="531">
        <v>833458.87</v>
      </c>
      <c r="N334" s="531">
        <v>399695.69</v>
      </c>
      <c r="O334" s="532"/>
      <c r="P334" s="532"/>
      <c r="Q334" s="531">
        <v>0.02</v>
      </c>
      <c r="R334" s="531">
        <v>25332309.75</v>
      </c>
      <c r="S334" s="527">
        <f t="shared" si="42"/>
        <v>20710420.390000001</v>
      </c>
      <c r="T334" s="528">
        <f t="shared" si="43"/>
        <v>0</v>
      </c>
      <c r="U334" s="527">
        <f t="shared" si="41"/>
        <v>399695.69</v>
      </c>
      <c r="W334" s="326">
        <f t="shared" si="44"/>
        <v>25332309.750000004</v>
      </c>
      <c r="X334" s="261">
        <f t="shared" si="45"/>
        <v>0</v>
      </c>
      <c r="Y334" s="546"/>
      <c r="Z334" s="1016">
        <f t="shared" si="46"/>
        <v>23165910.960000001</v>
      </c>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46"/>
      <c r="AX334" s="546"/>
      <c r="AY334" s="546"/>
      <c r="AZ334" s="546"/>
      <c r="BA334" s="546"/>
      <c r="BB334" s="546"/>
      <c r="BC334" s="546"/>
      <c r="BD334" s="546"/>
      <c r="BE334" s="546"/>
      <c r="BF334" s="546"/>
      <c r="BG334" s="546"/>
      <c r="BH334" s="546"/>
      <c r="BI334" s="546"/>
      <c r="BJ334" s="546"/>
      <c r="BK334" s="546"/>
      <c r="BL334" s="546"/>
      <c r="BM334" s="546"/>
      <c r="BN334" s="546"/>
      <c r="BO334" s="546"/>
      <c r="BP334" s="546"/>
      <c r="BQ334" s="546"/>
      <c r="BR334" s="546"/>
      <c r="BS334" s="546"/>
      <c r="BT334" s="546"/>
      <c r="BU334" s="546"/>
      <c r="BV334" s="546"/>
      <c r="BW334" s="546"/>
      <c r="BX334" s="546"/>
      <c r="BY334" s="546"/>
    </row>
    <row r="335" spans="1:77" ht="12" hidden="1" thickBot="1">
      <c r="A335" s="522" t="s">
        <v>1360</v>
      </c>
      <c r="B335" s="522" t="s">
        <v>191</v>
      </c>
      <c r="C335" s="522" t="s">
        <v>215</v>
      </c>
      <c r="D335" s="533" t="s">
        <v>15</v>
      </c>
      <c r="E335" s="524">
        <v>389789599</v>
      </c>
      <c r="F335" s="525">
        <v>2086374.15</v>
      </c>
      <c r="G335" s="525">
        <v>17684744.870000001</v>
      </c>
      <c r="H335" s="525">
        <v>11272721.65</v>
      </c>
      <c r="I335" s="525">
        <v>1227774.07</v>
      </c>
      <c r="J335" s="526"/>
      <c r="K335" s="526"/>
      <c r="L335" s="525">
        <v>1360354.12</v>
      </c>
      <c r="M335" s="525">
        <v>1211791.57</v>
      </c>
      <c r="N335" s="525">
        <v>560708.9</v>
      </c>
      <c r="O335" s="526"/>
      <c r="P335" s="526"/>
      <c r="Q335" s="526">
        <v>0</v>
      </c>
      <c r="R335" s="525">
        <v>35404469.329999998</v>
      </c>
      <c r="S335" s="527">
        <f t="shared" si="42"/>
        <v>30185240.590000004</v>
      </c>
      <c r="T335" s="528">
        <f t="shared" si="43"/>
        <v>0</v>
      </c>
      <c r="U335" s="527">
        <f t="shared" si="41"/>
        <v>560708.9</v>
      </c>
      <c r="W335" s="326">
        <f t="shared" si="44"/>
        <v>35404469.329999998</v>
      </c>
      <c r="X335" s="261">
        <f t="shared" si="45"/>
        <v>0</v>
      </c>
      <c r="Y335" s="546"/>
      <c r="Z335" s="1016">
        <f t="shared" si="46"/>
        <v>32271614.740000002</v>
      </c>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46"/>
      <c r="AX335" s="546"/>
      <c r="AY335" s="546"/>
      <c r="AZ335" s="546"/>
      <c r="BA335" s="546"/>
      <c r="BB335" s="546"/>
      <c r="BC335" s="546"/>
      <c r="BD335" s="546"/>
      <c r="BE335" s="546"/>
      <c r="BF335" s="546"/>
      <c r="BG335" s="546"/>
      <c r="BH335" s="546"/>
      <c r="BI335" s="546"/>
      <c r="BJ335" s="546"/>
      <c r="BK335" s="546"/>
      <c r="BL335" s="546"/>
      <c r="BM335" s="546"/>
      <c r="BN335" s="546"/>
      <c r="BO335" s="546"/>
      <c r="BP335" s="546"/>
      <c r="BQ335" s="546"/>
      <c r="BR335" s="546"/>
      <c r="BS335" s="546"/>
      <c r="BT335" s="546"/>
      <c r="BU335" s="546"/>
      <c r="BV335" s="546"/>
      <c r="BW335" s="546"/>
      <c r="BX335" s="546"/>
      <c r="BY335" s="546"/>
    </row>
    <row r="336" spans="1:77" ht="12" hidden="1" thickBot="1">
      <c r="A336" s="522" t="s">
        <v>1360</v>
      </c>
      <c r="B336" s="522" t="s">
        <v>192</v>
      </c>
      <c r="C336" s="522" t="s">
        <v>216</v>
      </c>
      <c r="D336" s="533" t="s">
        <v>15</v>
      </c>
      <c r="E336" s="530">
        <v>547519</v>
      </c>
      <c r="F336" s="531">
        <v>2662.8</v>
      </c>
      <c r="G336" s="531">
        <v>24840.81</v>
      </c>
      <c r="H336" s="531">
        <v>15834.28</v>
      </c>
      <c r="I336" s="531">
        <v>1724.73</v>
      </c>
      <c r="J336" s="532"/>
      <c r="K336" s="532"/>
      <c r="L336" s="531">
        <v>1910.82</v>
      </c>
      <c r="M336" s="531">
        <v>1474.96</v>
      </c>
      <c r="N336" s="531">
        <v>940.79</v>
      </c>
      <c r="O336" s="532"/>
      <c r="P336" s="532"/>
      <c r="Q336" s="532"/>
      <c r="R336" s="531">
        <v>49389.19</v>
      </c>
      <c r="S336" s="527">
        <f t="shared" si="42"/>
        <v>42399.820000000007</v>
      </c>
      <c r="T336" s="528">
        <f t="shared" si="43"/>
        <v>0</v>
      </c>
      <c r="U336" s="527">
        <f t="shared" si="41"/>
        <v>940.79</v>
      </c>
      <c r="W336" s="326">
        <f t="shared" si="44"/>
        <v>49389.19</v>
      </c>
      <c r="X336" s="261">
        <f t="shared" si="45"/>
        <v>0</v>
      </c>
      <c r="Y336" s="546"/>
      <c r="Z336" s="1016">
        <f t="shared" si="46"/>
        <v>45062.62</v>
      </c>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46"/>
      <c r="AX336" s="546"/>
      <c r="AY336" s="546"/>
      <c r="AZ336" s="546"/>
      <c r="BA336" s="546"/>
      <c r="BB336" s="546"/>
      <c r="BC336" s="546"/>
      <c r="BD336" s="546"/>
      <c r="BE336" s="546"/>
      <c r="BF336" s="546"/>
      <c r="BG336" s="546"/>
      <c r="BH336" s="546"/>
      <c r="BI336" s="546"/>
      <c r="BJ336" s="546"/>
      <c r="BK336" s="546"/>
      <c r="BL336" s="546"/>
      <c r="BM336" s="546"/>
      <c r="BN336" s="546"/>
      <c r="BO336" s="546"/>
      <c r="BP336" s="546"/>
      <c r="BQ336" s="546"/>
      <c r="BR336" s="546"/>
      <c r="BS336" s="546"/>
      <c r="BT336" s="546"/>
      <c r="BU336" s="546"/>
      <c r="BV336" s="546"/>
      <c r="BW336" s="546"/>
      <c r="BX336" s="546"/>
      <c r="BY336" s="546"/>
    </row>
    <row r="337" spans="1:77" ht="12" hidden="1" thickBot="1">
      <c r="A337" s="522" t="s">
        <v>1360</v>
      </c>
      <c r="B337" s="522" t="s">
        <v>477</v>
      </c>
      <c r="C337" s="522" t="s">
        <v>1263</v>
      </c>
      <c r="D337" s="542" t="s">
        <v>807</v>
      </c>
      <c r="E337" s="524">
        <v>8611</v>
      </c>
      <c r="F337" s="525">
        <v>64.5</v>
      </c>
      <c r="G337" s="525">
        <v>363.7</v>
      </c>
      <c r="H337" s="525">
        <v>249.03</v>
      </c>
      <c r="I337" s="525">
        <v>27.14</v>
      </c>
      <c r="J337" s="526"/>
      <c r="K337" s="526"/>
      <c r="L337" s="525">
        <v>30.05</v>
      </c>
      <c r="M337" s="525">
        <v>20.53</v>
      </c>
      <c r="N337" s="525">
        <v>16.82</v>
      </c>
      <c r="O337" s="526"/>
      <c r="P337" s="526"/>
      <c r="Q337" s="526"/>
      <c r="R337" s="525">
        <v>771.77</v>
      </c>
      <c r="S337" s="527">
        <f t="shared" si="42"/>
        <v>639.87</v>
      </c>
      <c r="T337" s="528">
        <f t="shared" si="43"/>
        <v>0</v>
      </c>
      <c r="U337" s="527">
        <f t="shared" si="41"/>
        <v>16.82</v>
      </c>
      <c r="W337" s="326">
        <f t="shared" si="44"/>
        <v>771.77</v>
      </c>
      <c r="X337" s="261">
        <f t="shared" si="45"/>
        <v>0</v>
      </c>
      <c r="Y337" s="546"/>
      <c r="Z337" s="1016">
        <f t="shared" si="46"/>
        <v>704.37</v>
      </c>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46"/>
      <c r="AX337" s="546"/>
      <c r="AY337" s="546"/>
      <c r="AZ337" s="546"/>
      <c r="BA337" s="546"/>
      <c r="BB337" s="546"/>
      <c r="BC337" s="546"/>
      <c r="BD337" s="546"/>
      <c r="BE337" s="546"/>
      <c r="BF337" s="546"/>
      <c r="BG337" s="546"/>
      <c r="BH337" s="546"/>
      <c r="BI337" s="546"/>
      <c r="BJ337" s="546"/>
      <c r="BK337" s="546"/>
      <c r="BL337" s="546"/>
      <c r="BM337" s="546"/>
      <c r="BN337" s="546"/>
      <c r="BO337" s="546"/>
      <c r="BP337" s="546"/>
      <c r="BQ337" s="546"/>
      <c r="BR337" s="546"/>
      <c r="BS337" s="546"/>
      <c r="BT337" s="546"/>
      <c r="BU337" s="546"/>
      <c r="BV337" s="546"/>
      <c r="BW337" s="546"/>
      <c r="BX337" s="546"/>
      <c r="BY337" s="546"/>
    </row>
    <row r="338" spans="1:77" ht="12" hidden="1" thickBot="1">
      <c r="A338" s="522" t="s">
        <v>1360</v>
      </c>
      <c r="B338" s="522" t="s">
        <v>193</v>
      </c>
      <c r="C338" s="522" t="s">
        <v>217</v>
      </c>
      <c r="D338" s="533" t="s">
        <v>15</v>
      </c>
      <c r="E338" s="530">
        <v>132111</v>
      </c>
      <c r="F338" s="531">
        <v>526.75</v>
      </c>
      <c r="G338" s="531">
        <v>5993.86</v>
      </c>
      <c r="H338" s="531">
        <v>3820.66</v>
      </c>
      <c r="I338" s="531">
        <v>416.15</v>
      </c>
      <c r="J338" s="532"/>
      <c r="K338" s="532"/>
      <c r="L338" s="531">
        <v>461.06</v>
      </c>
      <c r="M338" s="531">
        <v>384.71</v>
      </c>
      <c r="N338" s="531">
        <v>205.47</v>
      </c>
      <c r="O338" s="532"/>
      <c r="P338" s="532"/>
      <c r="Q338" s="532"/>
      <c r="R338" s="531">
        <v>11808.66</v>
      </c>
      <c r="S338" s="527">
        <f t="shared" si="42"/>
        <v>10230.67</v>
      </c>
      <c r="T338" s="528">
        <f t="shared" si="43"/>
        <v>0</v>
      </c>
      <c r="U338" s="527">
        <f t="shared" si="41"/>
        <v>205.47</v>
      </c>
      <c r="W338" s="326">
        <f t="shared" si="44"/>
        <v>11808.659999999998</v>
      </c>
      <c r="X338" s="261">
        <f t="shared" si="45"/>
        <v>0</v>
      </c>
      <c r="Y338" s="546"/>
      <c r="Z338" s="1016">
        <f t="shared" si="46"/>
        <v>10757.42</v>
      </c>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46"/>
      <c r="AX338" s="546"/>
      <c r="AY338" s="546"/>
      <c r="AZ338" s="546"/>
      <c r="BA338" s="546"/>
      <c r="BB338" s="546"/>
      <c r="BC338" s="546"/>
      <c r="BD338" s="546"/>
      <c r="BE338" s="546"/>
      <c r="BF338" s="546"/>
      <c r="BG338" s="546"/>
      <c r="BH338" s="546"/>
      <c r="BI338" s="546"/>
      <c r="BJ338" s="546"/>
      <c r="BK338" s="546"/>
      <c r="BL338" s="546"/>
      <c r="BM338" s="546"/>
      <c r="BN338" s="546"/>
      <c r="BO338" s="546"/>
      <c r="BP338" s="546"/>
      <c r="BQ338" s="546"/>
      <c r="BR338" s="546"/>
      <c r="BS338" s="546"/>
      <c r="BT338" s="546"/>
      <c r="BU338" s="546"/>
      <c r="BV338" s="546"/>
      <c r="BW338" s="546"/>
      <c r="BX338" s="546"/>
      <c r="BY338" s="546"/>
    </row>
    <row r="339" spans="1:77" ht="12" hidden="1" thickBot="1">
      <c r="A339" s="522" t="s">
        <v>1360</v>
      </c>
      <c r="B339" s="522" t="s">
        <v>194</v>
      </c>
      <c r="C339" s="522" t="s">
        <v>218</v>
      </c>
      <c r="D339" s="533" t="s">
        <v>15</v>
      </c>
      <c r="E339" s="526">
        <v>123913</v>
      </c>
      <c r="F339" s="526">
        <v>568.71</v>
      </c>
      <c r="G339" s="526">
        <v>5621.91</v>
      </c>
      <c r="H339" s="526">
        <v>3583.56</v>
      </c>
      <c r="I339" s="526">
        <v>390.34</v>
      </c>
      <c r="J339" s="526"/>
      <c r="K339" s="526"/>
      <c r="L339" s="526">
        <v>432.46</v>
      </c>
      <c r="M339" s="526">
        <v>328.67</v>
      </c>
      <c r="N339" s="526">
        <v>216.06</v>
      </c>
      <c r="O339" s="526"/>
      <c r="P339" s="526"/>
      <c r="Q339" s="526"/>
      <c r="R339" s="526">
        <v>11141.71</v>
      </c>
      <c r="S339" s="527">
        <f t="shared" si="42"/>
        <v>9595.81</v>
      </c>
      <c r="T339" s="528">
        <f t="shared" si="43"/>
        <v>0</v>
      </c>
      <c r="U339" s="527">
        <f t="shared" si="41"/>
        <v>216.06</v>
      </c>
      <c r="W339" s="326">
        <f t="shared" si="44"/>
        <v>11141.71</v>
      </c>
      <c r="X339" s="261">
        <f t="shared" si="45"/>
        <v>0</v>
      </c>
      <c r="Y339" s="546"/>
      <c r="Z339" s="1016">
        <f t="shared" si="46"/>
        <v>10164.52</v>
      </c>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46"/>
      <c r="AX339" s="546"/>
      <c r="AY339" s="546"/>
      <c r="AZ339" s="546"/>
      <c r="BA339" s="546"/>
      <c r="BB339" s="546"/>
      <c r="BC339" s="546"/>
      <c r="BD339" s="546"/>
      <c r="BE339" s="546"/>
      <c r="BF339" s="546"/>
      <c r="BG339" s="546"/>
      <c r="BH339" s="546"/>
      <c r="BI339" s="546"/>
      <c r="BJ339" s="546"/>
      <c r="BK339" s="546"/>
      <c r="BL339" s="546"/>
      <c r="BM339" s="546"/>
      <c r="BN339" s="546"/>
      <c r="BO339" s="546"/>
      <c r="BP339" s="546"/>
      <c r="BQ339" s="546"/>
      <c r="BR339" s="546"/>
      <c r="BS339" s="546"/>
      <c r="BT339" s="546"/>
      <c r="BU339" s="546"/>
      <c r="BV339" s="546"/>
      <c r="BW339" s="546"/>
      <c r="BX339" s="546"/>
      <c r="BY339" s="546"/>
    </row>
    <row r="340" spans="1:77" ht="12" hidden="1" thickBot="1">
      <c r="A340" s="522" t="s">
        <v>1360</v>
      </c>
      <c r="B340" s="522" t="s">
        <v>950</v>
      </c>
      <c r="C340" s="522" t="s">
        <v>951</v>
      </c>
      <c r="D340" s="523" t="s">
        <v>1035</v>
      </c>
      <c r="E340" s="530"/>
      <c r="F340" s="532"/>
      <c r="G340" s="531"/>
      <c r="H340" s="532"/>
      <c r="I340" s="532"/>
      <c r="J340" s="532"/>
      <c r="K340" s="532"/>
      <c r="L340" s="532"/>
      <c r="M340" s="531"/>
      <c r="N340" s="531"/>
      <c r="O340" s="532"/>
      <c r="P340" s="532"/>
      <c r="Q340" s="531"/>
      <c r="R340" s="531"/>
      <c r="S340" s="527">
        <f t="shared" si="42"/>
        <v>0</v>
      </c>
      <c r="T340" s="528">
        <f t="shared" si="43"/>
        <v>0</v>
      </c>
      <c r="U340" s="527">
        <f t="shared" si="41"/>
        <v>0</v>
      </c>
      <c r="W340" s="326">
        <f t="shared" si="44"/>
        <v>0</v>
      </c>
      <c r="X340" s="261">
        <f t="shared" si="45"/>
        <v>0</v>
      </c>
      <c r="Y340" s="546"/>
      <c r="Z340" s="1016">
        <f t="shared" si="46"/>
        <v>0</v>
      </c>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46"/>
      <c r="AX340" s="546"/>
      <c r="AY340" s="546"/>
      <c r="AZ340" s="546"/>
      <c r="BA340" s="546"/>
      <c r="BB340" s="546"/>
      <c r="BC340" s="546"/>
      <c r="BD340" s="546"/>
      <c r="BE340" s="546"/>
      <c r="BF340" s="546"/>
      <c r="BG340" s="546"/>
      <c r="BH340" s="546"/>
      <c r="BI340" s="546"/>
      <c r="BJ340" s="546"/>
      <c r="BK340" s="546"/>
      <c r="BL340" s="546"/>
      <c r="BM340" s="546"/>
      <c r="BN340" s="546"/>
      <c r="BO340" s="546"/>
      <c r="BP340" s="546"/>
      <c r="BQ340" s="546"/>
      <c r="BR340" s="546"/>
      <c r="BS340" s="546"/>
      <c r="BT340" s="546"/>
      <c r="BU340" s="546"/>
      <c r="BV340" s="546"/>
      <c r="BW340" s="546"/>
      <c r="BX340" s="546"/>
      <c r="BY340" s="546"/>
    </row>
    <row r="341" spans="1:77" ht="12" hidden="1" thickBot="1">
      <c r="A341" s="522" t="s">
        <v>1360</v>
      </c>
      <c r="B341" s="522" t="s">
        <v>339</v>
      </c>
      <c r="C341" s="522" t="s">
        <v>952</v>
      </c>
      <c r="D341" s="523" t="s">
        <v>1035</v>
      </c>
      <c r="E341" s="524">
        <v>11853</v>
      </c>
      <c r="F341" s="526"/>
      <c r="G341" s="525">
        <v>9848.74</v>
      </c>
      <c r="H341" s="526"/>
      <c r="I341" s="526"/>
      <c r="J341" s="526"/>
      <c r="K341" s="526"/>
      <c r="L341" s="526"/>
      <c r="M341" s="525">
        <v>-16.059999999999999</v>
      </c>
      <c r="N341" s="525">
        <v>547.5</v>
      </c>
      <c r="O341" s="526"/>
      <c r="P341" s="526"/>
      <c r="Q341" s="525">
        <v>0</v>
      </c>
      <c r="R341" s="525">
        <v>10380.18</v>
      </c>
      <c r="S341" s="527">
        <f t="shared" si="42"/>
        <v>9848.74</v>
      </c>
      <c r="T341" s="528">
        <f t="shared" si="43"/>
        <v>0</v>
      </c>
      <c r="U341" s="527">
        <f t="shared" si="41"/>
        <v>547.5</v>
      </c>
      <c r="W341" s="326">
        <f t="shared" si="44"/>
        <v>10380.18</v>
      </c>
      <c r="X341" s="261">
        <f t="shared" si="45"/>
        <v>0</v>
      </c>
      <c r="Y341" s="546"/>
      <c r="Z341" s="1016">
        <f t="shared" si="46"/>
        <v>9848.74</v>
      </c>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46"/>
      <c r="AX341" s="546"/>
      <c r="AY341" s="546"/>
      <c r="AZ341" s="546"/>
      <c r="BA341" s="546"/>
      <c r="BB341" s="546"/>
      <c r="BC341" s="546"/>
      <c r="BD341" s="546"/>
      <c r="BE341" s="546"/>
      <c r="BF341" s="546"/>
      <c r="BG341" s="546"/>
      <c r="BH341" s="546"/>
      <c r="BI341" s="546"/>
      <c r="BJ341" s="546"/>
      <c r="BK341" s="546"/>
      <c r="BL341" s="546"/>
      <c r="BM341" s="546"/>
      <c r="BN341" s="546"/>
      <c r="BO341" s="546"/>
      <c r="BP341" s="546"/>
      <c r="BQ341" s="546"/>
      <c r="BR341" s="546"/>
      <c r="BS341" s="546"/>
      <c r="BT341" s="546"/>
      <c r="BU341" s="546"/>
      <c r="BV341" s="546"/>
      <c r="BW341" s="546"/>
      <c r="BX341" s="546"/>
      <c r="BY341" s="546"/>
    </row>
    <row r="342" spans="1:77" ht="12" hidden="1" thickBot="1">
      <c r="A342" s="522" t="s">
        <v>1360</v>
      </c>
      <c r="B342" s="522" t="s">
        <v>344</v>
      </c>
      <c r="C342" s="522" t="s">
        <v>953</v>
      </c>
      <c r="D342" s="523" t="s">
        <v>1035</v>
      </c>
      <c r="E342" s="530">
        <v>1650</v>
      </c>
      <c r="F342" s="532"/>
      <c r="G342" s="531">
        <v>2079</v>
      </c>
      <c r="H342" s="532"/>
      <c r="I342" s="532"/>
      <c r="J342" s="532"/>
      <c r="K342" s="532"/>
      <c r="L342" s="532"/>
      <c r="M342" s="531">
        <v>-2.41</v>
      </c>
      <c r="N342" s="531">
        <v>117.54</v>
      </c>
      <c r="O342" s="532"/>
      <c r="P342" s="532"/>
      <c r="Q342" s="531">
        <v>0</v>
      </c>
      <c r="R342" s="531">
        <v>2194.13</v>
      </c>
      <c r="S342" s="527">
        <f t="shared" si="42"/>
        <v>2079</v>
      </c>
      <c r="T342" s="528">
        <f t="shared" si="43"/>
        <v>0</v>
      </c>
      <c r="U342" s="527">
        <f t="shared" si="41"/>
        <v>117.54</v>
      </c>
      <c r="W342" s="326">
        <f t="shared" si="44"/>
        <v>2194.13</v>
      </c>
      <c r="X342" s="261">
        <f t="shared" si="45"/>
        <v>0</v>
      </c>
      <c r="Y342" s="546"/>
      <c r="Z342" s="1016">
        <f t="shared" si="46"/>
        <v>2079</v>
      </c>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46"/>
      <c r="AX342" s="546"/>
      <c r="AY342" s="546"/>
      <c r="AZ342" s="546"/>
      <c r="BA342" s="546"/>
      <c r="BB342" s="546"/>
      <c r="BC342" s="546"/>
      <c r="BD342" s="546"/>
      <c r="BE342" s="546"/>
      <c r="BF342" s="546"/>
      <c r="BG342" s="546"/>
      <c r="BH342" s="546"/>
      <c r="BI342" s="546"/>
      <c r="BJ342" s="546"/>
      <c r="BK342" s="546"/>
      <c r="BL342" s="546"/>
      <c r="BM342" s="546"/>
      <c r="BN342" s="546"/>
      <c r="BO342" s="546"/>
      <c r="BP342" s="546"/>
      <c r="BQ342" s="546"/>
      <c r="BR342" s="546"/>
      <c r="BS342" s="546"/>
      <c r="BT342" s="546"/>
      <c r="BU342" s="546"/>
      <c r="BV342" s="546"/>
      <c r="BW342" s="546"/>
      <c r="BX342" s="546"/>
      <c r="BY342" s="546"/>
    </row>
    <row r="343" spans="1:77" ht="12" hidden="1" thickBot="1">
      <c r="A343" s="522" t="s">
        <v>1360</v>
      </c>
      <c r="B343" s="522" t="s">
        <v>347</v>
      </c>
      <c r="C343" s="522" t="s">
        <v>954</v>
      </c>
      <c r="D343" s="523" t="s">
        <v>1035</v>
      </c>
      <c r="E343" s="524">
        <v>2317</v>
      </c>
      <c r="F343" s="526"/>
      <c r="G343" s="525">
        <v>2570.54</v>
      </c>
      <c r="H343" s="526"/>
      <c r="I343" s="526"/>
      <c r="J343" s="526"/>
      <c r="K343" s="526"/>
      <c r="L343" s="526"/>
      <c r="M343" s="525">
        <v>-3.38</v>
      </c>
      <c r="N343" s="525">
        <v>145.30000000000001</v>
      </c>
      <c r="O343" s="526"/>
      <c r="P343" s="526"/>
      <c r="Q343" s="525">
        <v>0</v>
      </c>
      <c r="R343" s="525">
        <v>2712.46</v>
      </c>
      <c r="S343" s="527">
        <f t="shared" si="42"/>
        <v>2570.54</v>
      </c>
      <c r="T343" s="528">
        <f t="shared" si="43"/>
        <v>0</v>
      </c>
      <c r="U343" s="527">
        <f t="shared" si="41"/>
        <v>145.30000000000001</v>
      </c>
      <c r="W343" s="326">
        <f t="shared" si="44"/>
        <v>2712.46</v>
      </c>
      <c r="X343" s="261">
        <f t="shared" si="45"/>
        <v>0</v>
      </c>
      <c r="Y343" s="546"/>
      <c r="Z343" s="1016">
        <f t="shared" si="46"/>
        <v>2570.54</v>
      </c>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c r="BS343" s="546"/>
      <c r="BT343" s="546"/>
      <c r="BU343" s="546"/>
      <c r="BV343" s="546"/>
      <c r="BW343" s="546"/>
      <c r="BX343" s="546"/>
      <c r="BY343" s="546"/>
    </row>
    <row r="344" spans="1:77" ht="12" hidden="1" thickBot="1">
      <c r="A344" s="522" t="s">
        <v>1360</v>
      </c>
      <c r="B344" s="522" t="s">
        <v>348</v>
      </c>
      <c r="C344" s="522" t="s">
        <v>955</v>
      </c>
      <c r="D344" s="523" t="s">
        <v>1035</v>
      </c>
      <c r="E344" s="530">
        <v>325</v>
      </c>
      <c r="F344" s="532"/>
      <c r="G344" s="531">
        <v>308.75</v>
      </c>
      <c r="H344" s="532"/>
      <c r="I344" s="532"/>
      <c r="J344" s="532"/>
      <c r="K344" s="532"/>
      <c r="L344" s="532"/>
      <c r="M344" s="531">
        <v>-0.47</v>
      </c>
      <c r="N344" s="531">
        <v>17.45</v>
      </c>
      <c r="O344" s="532"/>
      <c r="P344" s="532"/>
      <c r="Q344" s="531">
        <v>0</v>
      </c>
      <c r="R344" s="531">
        <v>325.73</v>
      </c>
      <c r="S344" s="527">
        <f t="shared" si="42"/>
        <v>308.75</v>
      </c>
      <c r="T344" s="528">
        <f t="shared" si="43"/>
        <v>0</v>
      </c>
      <c r="U344" s="527">
        <f t="shared" si="41"/>
        <v>17.45</v>
      </c>
      <c r="W344" s="326">
        <f t="shared" si="44"/>
        <v>325.72999999999996</v>
      </c>
      <c r="X344" s="261">
        <f t="shared" si="45"/>
        <v>0</v>
      </c>
      <c r="Y344" s="546"/>
      <c r="Z344" s="1016">
        <f t="shared" si="46"/>
        <v>308.75</v>
      </c>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46"/>
      <c r="AX344" s="546"/>
      <c r="AY344" s="546"/>
      <c r="AZ344" s="546"/>
      <c r="BA344" s="546"/>
      <c r="BB344" s="546"/>
      <c r="BC344" s="546"/>
      <c r="BD344" s="546"/>
      <c r="BE344" s="546"/>
      <c r="BF344" s="546"/>
      <c r="BG344" s="546"/>
      <c r="BH344" s="546"/>
      <c r="BI344" s="546"/>
      <c r="BJ344" s="546"/>
      <c r="BK344" s="546"/>
      <c r="BL344" s="546"/>
      <c r="BM344" s="546"/>
      <c r="BN344" s="546"/>
      <c r="BO344" s="546"/>
      <c r="BP344" s="546"/>
      <c r="BQ344" s="546"/>
      <c r="BR344" s="546"/>
      <c r="BS344" s="546"/>
      <c r="BT344" s="546"/>
      <c r="BU344" s="546"/>
      <c r="BV344" s="546"/>
      <c r="BW344" s="546"/>
      <c r="BX344" s="546"/>
      <c r="BY344" s="546"/>
    </row>
    <row r="345" spans="1:77" ht="12" hidden="1" thickBot="1">
      <c r="A345" s="522" t="s">
        <v>1360</v>
      </c>
      <c r="B345" s="522" t="s">
        <v>349</v>
      </c>
      <c r="C345" s="522" t="s">
        <v>956</v>
      </c>
      <c r="D345" s="523" t="s">
        <v>1035</v>
      </c>
      <c r="E345" s="524">
        <v>65</v>
      </c>
      <c r="F345" s="526"/>
      <c r="G345" s="525">
        <v>63.11</v>
      </c>
      <c r="H345" s="526"/>
      <c r="I345" s="526"/>
      <c r="J345" s="526"/>
      <c r="K345" s="526"/>
      <c r="L345" s="526"/>
      <c r="M345" s="525">
        <v>-0.09</v>
      </c>
      <c r="N345" s="525">
        <v>3.57</v>
      </c>
      <c r="O345" s="526"/>
      <c r="P345" s="526"/>
      <c r="Q345" s="525">
        <v>0</v>
      </c>
      <c r="R345" s="525">
        <v>66.59</v>
      </c>
      <c r="S345" s="527">
        <f t="shared" si="42"/>
        <v>63.11</v>
      </c>
      <c r="T345" s="528">
        <f t="shared" si="43"/>
        <v>0</v>
      </c>
      <c r="U345" s="527">
        <f t="shared" si="41"/>
        <v>3.57</v>
      </c>
      <c r="W345" s="326">
        <f t="shared" si="44"/>
        <v>66.589999999999989</v>
      </c>
      <c r="X345" s="261">
        <f t="shared" si="45"/>
        <v>0</v>
      </c>
      <c r="Y345" s="546"/>
      <c r="Z345" s="1016">
        <f t="shared" si="46"/>
        <v>63.11</v>
      </c>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46"/>
      <c r="AX345" s="546"/>
      <c r="AY345" s="546"/>
      <c r="AZ345" s="546"/>
      <c r="BA345" s="546"/>
      <c r="BB345" s="546"/>
      <c r="BC345" s="546"/>
      <c r="BD345" s="546"/>
      <c r="BE345" s="546"/>
      <c r="BF345" s="546"/>
      <c r="BG345" s="546"/>
      <c r="BH345" s="546"/>
      <c r="BI345" s="546"/>
      <c r="BJ345" s="546"/>
      <c r="BK345" s="546"/>
      <c r="BL345" s="546"/>
      <c r="BM345" s="546"/>
      <c r="BN345" s="546"/>
      <c r="BO345" s="546"/>
      <c r="BP345" s="546"/>
      <c r="BQ345" s="546"/>
      <c r="BR345" s="546"/>
      <c r="BS345" s="546"/>
      <c r="BT345" s="546"/>
      <c r="BU345" s="546"/>
      <c r="BV345" s="546"/>
      <c r="BW345" s="546"/>
      <c r="BX345" s="546"/>
      <c r="BY345" s="546"/>
    </row>
    <row r="346" spans="1:77" ht="12" hidden="1" thickBot="1">
      <c r="A346" s="522" t="s">
        <v>1360</v>
      </c>
      <c r="B346" s="522" t="s">
        <v>351</v>
      </c>
      <c r="C346" s="522" t="s">
        <v>957</v>
      </c>
      <c r="D346" s="523" t="s">
        <v>1035</v>
      </c>
      <c r="E346" s="530">
        <v>327</v>
      </c>
      <c r="F346" s="532"/>
      <c r="G346" s="531">
        <v>404.7</v>
      </c>
      <c r="H346" s="532"/>
      <c r="I346" s="532"/>
      <c r="J346" s="532"/>
      <c r="K346" s="532"/>
      <c r="L346" s="532"/>
      <c r="M346" s="531">
        <v>-0.48</v>
      </c>
      <c r="N346" s="531">
        <v>22.88</v>
      </c>
      <c r="O346" s="532"/>
      <c r="P346" s="532"/>
      <c r="Q346" s="531">
        <v>0</v>
      </c>
      <c r="R346" s="531">
        <v>427.1</v>
      </c>
      <c r="S346" s="527">
        <f t="shared" si="42"/>
        <v>404.7</v>
      </c>
      <c r="T346" s="528">
        <f t="shared" si="43"/>
        <v>0</v>
      </c>
      <c r="U346" s="527">
        <f t="shared" si="41"/>
        <v>22.88</v>
      </c>
      <c r="W346" s="326">
        <f t="shared" si="44"/>
        <v>427.09999999999997</v>
      </c>
      <c r="X346" s="261">
        <f t="shared" si="45"/>
        <v>0</v>
      </c>
      <c r="Y346" s="546"/>
      <c r="Z346" s="1016">
        <f t="shared" si="46"/>
        <v>404.7</v>
      </c>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46"/>
      <c r="AW346" s="546"/>
      <c r="AX346" s="546"/>
      <c r="AY346" s="546"/>
      <c r="AZ346" s="546"/>
      <c r="BA346" s="546"/>
      <c r="BB346" s="546"/>
      <c r="BC346" s="546"/>
      <c r="BD346" s="546"/>
      <c r="BE346" s="546"/>
      <c r="BF346" s="546"/>
      <c r="BG346" s="546"/>
      <c r="BH346" s="546"/>
      <c r="BI346" s="546"/>
      <c r="BJ346" s="546"/>
      <c r="BK346" s="546"/>
      <c r="BL346" s="546"/>
      <c r="BM346" s="546"/>
      <c r="BN346" s="546"/>
      <c r="BO346" s="546"/>
      <c r="BP346" s="546"/>
      <c r="BQ346" s="546"/>
      <c r="BR346" s="546"/>
      <c r="BS346" s="546"/>
      <c r="BT346" s="546"/>
      <c r="BU346" s="546"/>
      <c r="BV346" s="546"/>
      <c r="BW346" s="546"/>
      <c r="BX346" s="546"/>
      <c r="BY346" s="546"/>
    </row>
    <row r="347" spans="1:77" ht="12" hidden="1" thickBot="1">
      <c r="A347" s="522" t="s">
        <v>1360</v>
      </c>
      <c r="B347" s="522" t="s">
        <v>352</v>
      </c>
      <c r="C347" s="522" t="s">
        <v>958</v>
      </c>
      <c r="D347" s="523" t="s">
        <v>1035</v>
      </c>
      <c r="E347" s="524">
        <v>587</v>
      </c>
      <c r="F347" s="526"/>
      <c r="G347" s="525">
        <v>710.73</v>
      </c>
      <c r="H347" s="526"/>
      <c r="I347" s="526"/>
      <c r="J347" s="526"/>
      <c r="K347" s="526"/>
      <c r="L347" s="526"/>
      <c r="M347" s="525">
        <v>-0.86</v>
      </c>
      <c r="N347" s="525">
        <v>40.17</v>
      </c>
      <c r="O347" s="526"/>
      <c r="P347" s="526"/>
      <c r="Q347" s="525">
        <v>0</v>
      </c>
      <c r="R347" s="525">
        <v>750.04</v>
      </c>
      <c r="S347" s="527">
        <f t="shared" si="42"/>
        <v>710.73</v>
      </c>
      <c r="T347" s="528">
        <f t="shared" si="43"/>
        <v>0</v>
      </c>
      <c r="U347" s="527">
        <f t="shared" si="41"/>
        <v>40.17</v>
      </c>
      <c r="W347" s="326">
        <f t="shared" si="44"/>
        <v>750.04</v>
      </c>
      <c r="X347" s="261">
        <f t="shared" si="45"/>
        <v>0</v>
      </c>
      <c r="Y347" s="546"/>
      <c r="Z347" s="1016">
        <f t="shared" si="46"/>
        <v>710.73</v>
      </c>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46"/>
      <c r="AW347" s="546"/>
      <c r="AX347" s="546"/>
      <c r="AY347" s="546"/>
      <c r="AZ347" s="546"/>
      <c r="BA347" s="546"/>
      <c r="BB347" s="546"/>
      <c r="BC347" s="546"/>
      <c r="BD347" s="546"/>
      <c r="BE347" s="546"/>
      <c r="BF347" s="546"/>
      <c r="BG347" s="546"/>
      <c r="BH347" s="546"/>
      <c r="BI347" s="546"/>
      <c r="BJ347" s="546"/>
      <c r="BK347" s="546"/>
      <c r="BL347" s="546"/>
      <c r="BM347" s="546"/>
      <c r="BN347" s="546"/>
      <c r="BO347" s="546"/>
      <c r="BP347" s="546"/>
      <c r="BQ347" s="546"/>
      <c r="BR347" s="546"/>
      <c r="BS347" s="546"/>
      <c r="BT347" s="546"/>
      <c r="BU347" s="546"/>
      <c r="BV347" s="546"/>
      <c r="BW347" s="546"/>
      <c r="BX347" s="546"/>
      <c r="BY347" s="546"/>
    </row>
    <row r="348" spans="1:77" ht="12" hidden="1" thickBot="1">
      <c r="A348" s="522" t="s">
        <v>1360</v>
      </c>
      <c r="B348" s="522" t="s">
        <v>354</v>
      </c>
      <c r="C348" s="522" t="s">
        <v>959</v>
      </c>
      <c r="D348" s="523" t="s">
        <v>1035</v>
      </c>
      <c r="E348" s="530">
        <v>1672</v>
      </c>
      <c r="F348" s="532"/>
      <c r="G348" s="531">
        <v>1530.75</v>
      </c>
      <c r="H348" s="532"/>
      <c r="I348" s="532"/>
      <c r="J348" s="532"/>
      <c r="K348" s="532"/>
      <c r="L348" s="532"/>
      <c r="M348" s="531">
        <v>-2.44</v>
      </c>
      <c r="N348" s="531">
        <v>86.5</v>
      </c>
      <c r="O348" s="532"/>
      <c r="P348" s="532"/>
      <c r="Q348" s="531">
        <v>0</v>
      </c>
      <c r="R348" s="531">
        <v>1614.81</v>
      </c>
      <c r="S348" s="527">
        <f t="shared" si="42"/>
        <v>1530.75</v>
      </c>
      <c r="T348" s="528">
        <f t="shared" si="43"/>
        <v>0</v>
      </c>
      <c r="U348" s="527">
        <f t="shared" si="41"/>
        <v>86.5</v>
      </c>
      <c r="W348" s="326">
        <f t="shared" si="44"/>
        <v>1614.81</v>
      </c>
      <c r="X348" s="261">
        <f t="shared" si="45"/>
        <v>0</v>
      </c>
      <c r="Y348" s="546"/>
      <c r="Z348" s="1016">
        <f t="shared" si="46"/>
        <v>1530.75</v>
      </c>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46"/>
      <c r="AW348" s="546"/>
      <c r="AX348" s="546"/>
      <c r="AY348" s="546"/>
      <c r="AZ348" s="546"/>
      <c r="BA348" s="546"/>
      <c r="BB348" s="546"/>
      <c r="BC348" s="546"/>
      <c r="BD348" s="546"/>
      <c r="BE348" s="546"/>
      <c r="BF348" s="546"/>
      <c r="BG348" s="546"/>
      <c r="BH348" s="546"/>
      <c r="BI348" s="546"/>
      <c r="BJ348" s="546"/>
      <c r="BK348" s="546"/>
      <c r="BL348" s="546"/>
      <c r="BM348" s="546"/>
      <c r="BN348" s="546"/>
      <c r="BO348" s="546"/>
      <c r="BP348" s="546"/>
      <c r="BQ348" s="546"/>
      <c r="BR348" s="546"/>
      <c r="BS348" s="546"/>
      <c r="BT348" s="546"/>
      <c r="BU348" s="546"/>
      <c r="BV348" s="546"/>
      <c r="BW348" s="546"/>
      <c r="BX348" s="546"/>
      <c r="BY348" s="546"/>
    </row>
    <row r="349" spans="1:77" ht="12" hidden="1" thickBot="1">
      <c r="A349" s="522" t="s">
        <v>1360</v>
      </c>
      <c r="B349" s="522" t="s">
        <v>355</v>
      </c>
      <c r="C349" s="522" t="s">
        <v>960</v>
      </c>
      <c r="D349" s="523" t="s">
        <v>1035</v>
      </c>
      <c r="E349" s="524">
        <v>65</v>
      </c>
      <c r="F349" s="526"/>
      <c r="G349" s="525">
        <v>56.69</v>
      </c>
      <c r="H349" s="526"/>
      <c r="I349" s="526"/>
      <c r="J349" s="526"/>
      <c r="K349" s="526"/>
      <c r="L349" s="526"/>
      <c r="M349" s="525">
        <v>-0.09</v>
      </c>
      <c r="N349" s="525">
        <v>3.2</v>
      </c>
      <c r="O349" s="526"/>
      <c r="P349" s="526"/>
      <c r="Q349" s="525">
        <v>0</v>
      </c>
      <c r="R349" s="525">
        <v>59.8</v>
      </c>
      <c r="S349" s="527">
        <f t="shared" si="42"/>
        <v>56.69</v>
      </c>
      <c r="T349" s="528">
        <f t="shared" si="43"/>
        <v>0</v>
      </c>
      <c r="U349" s="527">
        <f t="shared" si="41"/>
        <v>3.2</v>
      </c>
      <c r="W349" s="326">
        <f t="shared" si="44"/>
        <v>59.8</v>
      </c>
      <c r="X349" s="261">
        <f t="shared" si="45"/>
        <v>0</v>
      </c>
      <c r="Y349" s="546"/>
      <c r="Z349" s="1016">
        <f t="shared" si="46"/>
        <v>56.69</v>
      </c>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46"/>
      <c r="AW349" s="546"/>
      <c r="AX349" s="546"/>
      <c r="AY349" s="546"/>
      <c r="AZ349" s="546"/>
      <c r="BA349" s="546"/>
      <c r="BB349" s="546"/>
      <c r="BC349" s="546"/>
      <c r="BD349" s="546"/>
      <c r="BE349" s="546"/>
      <c r="BF349" s="546"/>
      <c r="BG349" s="546"/>
      <c r="BH349" s="546"/>
      <c r="BI349" s="546"/>
      <c r="BJ349" s="546"/>
      <c r="BK349" s="546"/>
      <c r="BL349" s="546"/>
      <c r="BM349" s="546"/>
      <c r="BN349" s="546"/>
      <c r="BO349" s="546"/>
      <c r="BP349" s="546"/>
      <c r="BQ349" s="546"/>
      <c r="BR349" s="546"/>
      <c r="BS349" s="546"/>
      <c r="BT349" s="546"/>
      <c r="BU349" s="546"/>
      <c r="BV349" s="546"/>
      <c r="BW349" s="546"/>
      <c r="BX349" s="546"/>
      <c r="BY349" s="546"/>
    </row>
    <row r="350" spans="1:77" ht="12" hidden="1" thickBot="1">
      <c r="A350" s="522" t="s">
        <v>1360</v>
      </c>
      <c r="B350" s="522" t="s">
        <v>341</v>
      </c>
      <c r="C350" s="522" t="s">
        <v>961</v>
      </c>
      <c r="D350" s="523" t="s">
        <v>1035</v>
      </c>
      <c r="E350" s="530">
        <v>985</v>
      </c>
      <c r="F350" s="532"/>
      <c r="G350" s="531">
        <v>1117.8</v>
      </c>
      <c r="H350" s="532"/>
      <c r="I350" s="532"/>
      <c r="J350" s="532"/>
      <c r="K350" s="532"/>
      <c r="L350" s="532"/>
      <c r="M350" s="531">
        <v>-0.82</v>
      </c>
      <c r="N350" s="531">
        <v>57.15</v>
      </c>
      <c r="O350" s="532"/>
      <c r="P350" s="532"/>
      <c r="Q350" s="531">
        <v>0</v>
      </c>
      <c r="R350" s="531">
        <v>1174.1300000000001</v>
      </c>
      <c r="S350" s="527">
        <f t="shared" si="42"/>
        <v>1117.8</v>
      </c>
      <c r="T350" s="528">
        <f t="shared" si="43"/>
        <v>0</v>
      </c>
      <c r="U350" s="527">
        <f t="shared" si="41"/>
        <v>57.15</v>
      </c>
      <c r="W350" s="326">
        <f t="shared" si="44"/>
        <v>1174.1300000000001</v>
      </c>
      <c r="X350" s="261">
        <f t="shared" si="45"/>
        <v>0</v>
      </c>
      <c r="Y350" s="546"/>
      <c r="Z350" s="1016">
        <f t="shared" si="46"/>
        <v>1117.8</v>
      </c>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46"/>
      <c r="AW350" s="546"/>
      <c r="AX350" s="546"/>
      <c r="AY350" s="546"/>
      <c r="AZ350" s="546"/>
      <c r="BA350" s="546"/>
      <c r="BB350" s="546"/>
      <c r="BC350" s="546"/>
      <c r="BD350" s="546"/>
      <c r="BE350" s="546"/>
      <c r="BF350" s="546"/>
      <c r="BG350" s="546"/>
      <c r="BH350" s="546"/>
      <c r="BI350" s="546"/>
      <c r="BJ350" s="546"/>
      <c r="BK350" s="546"/>
      <c r="BL350" s="546"/>
      <c r="BM350" s="546"/>
      <c r="BN350" s="546"/>
      <c r="BO350" s="546"/>
      <c r="BP350" s="546"/>
      <c r="BQ350" s="546"/>
      <c r="BR350" s="546"/>
      <c r="BS350" s="546"/>
      <c r="BT350" s="546"/>
      <c r="BU350" s="546"/>
      <c r="BV350" s="546"/>
      <c r="BW350" s="546"/>
      <c r="BX350" s="546"/>
      <c r="BY350" s="546"/>
    </row>
    <row r="351" spans="1:77" ht="12" hidden="1" thickBot="1">
      <c r="A351" s="522" t="s">
        <v>1360</v>
      </c>
      <c r="B351" s="522" t="s">
        <v>350</v>
      </c>
      <c r="C351" s="522" t="s">
        <v>962</v>
      </c>
      <c r="D351" s="523" t="s">
        <v>1035</v>
      </c>
      <c r="E351" s="524">
        <v>65</v>
      </c>
      <c r="F351" s="526"/>
      <c r="G351" s="525">
        <v>82.3</v>
      </c>
      <c r="H351" s="526"/>
      <c r="I351" s="526"/>
      <c r="J351" s="526"/>
      <c r="K351" s="526"/>
      <c r="L351" s="526"/>
      <c r="M351" s="525">
        <v>-0.09</v>
      </c>
      <c r="N351" s="525">
        <v>4.6500000000000004</v>
      </c>
      <c r="O351" s="526"/>
      <c r="P351" s="526"/>
      <c r="Q351" s="525">
        <v>0</v>
      </c>
      <c r="R351" s="525">
        <v>86.86</v>
      </c>
      <c r="S351" s="527">
        <f t="shared" si="42"/>
        <v>82.3</v>
      </c>
      <c r="T351" s="528">
        <f t="shared" si="43"/>
        <v>0</v>
      </c>
      <c r="U351" s="527">
        <f t="shared" si="41"/>
        <v>4.6500000000000004</v>
      </c>
      <c r="W351" s="326">
        <f t="shared" si="44"/>
        <v>86.86</v>
      </c>
      <c r="X351" s="261">
        <f t="shared" si="45"/>
        <v>0</v>
      </c>
      <c r="Y351" s="546"/>
      <c r="Z351" s="1016">
        <f t="shared" si="46"/>
        <v>82.3</v>
      </c>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46"/>
      <c r="AW351" s="546"/>
      <c r="AX351" s="546"/>
      <c r="AY351" s="546"/>
      <c r="AZ351" s="546"/>
      <c r="BA351" s="546"/>
      <c r="BB351" s="546"/>
      <c r="BC351" s="546"/>
      <c r="BD351" s="546"/>
      <c r="BE351" s="546"/>
      <c r="BF351" s="546"/>
      <c r="BG351" s="546"/>
      <c r="BH351" s="546"/>
      <c r="BI351" s="546"/>
      <c r="BJ351" s="546"/>
      <c r="BK351" s="546"/>
      <c r="BL351" s="546"/>
      <c r="BM351" s="546"/>
      <c r="BN351" s="546"/>
      <c r="BO351" s="546"/>
      <c r="BP351" s="546"/>
      <c r="BQ351" s="546"/>
      <c r="BR351" s="546"/>
      <c r="BS351" s="546"/>
      <c r="BT351" s="546"/>
      <c r="BU351" s="546"/>
      <c r="BV351" s="546"/>
      <c r="BW351" s="546"/>
      <c r="BX351" s="546"/>
      <c r="BY351" s="546"/>
    </row>
    <row r="352" spans="1:77" ht="12" hidden="1" thickBot="1">
      <c r="A352" s="522" t="s">
        <v>1360</v>
      </c>
      <c r="B352" s="522" t="s">
        <v>342</v>
      </c>
      <c r="C352" s="522" t="s">
        <v>963</v>
      </c>
      <c r="D352" s="523" t="s">
        <v>1035</v>
      </c>
      <c r="E352" s="530">
        <v>1339</v>
      </c>
      <c r="F352" s="532"/>
      <c r="G352" s="531">
        <v>1490.4</v>
      </c>
      <c r="H352" s="532"/>
      <c r="I352" s="532"/>
      <c r="J352" s="532"/>
      <c r="K352" s="532"/>
      <c r="L352" s="532"/>
      <c r="M352" s="531">
        <v>-1.96</v>
      </c>
      <c r="N352" s="531">
        <v>84.24</v>
      </c>
      <c r="O352" s="532"/>
      <c r="P352" s="532"/>
      <c r="Q352" s="531">
        <v>0</v>
      </c>
      <c r="R352" s="531">
        <v>1572.68</v>
      </c>
      <c r="S352" s="527">
        <f t="shared" si="42"/>
        <v>1490.4</v>
      </c>
      <c r="T352" s="528">
        <f t="shared" si="43"/>
        <v>0</v>
      </c>
      <c r="U352" s="527">
        <f t="shared" si="41"/>
        <v>84.24</v>
      </c>
      <c r="W352" s="326">
        <f t="shared" si="44"/>
        <v>1572.68</v>
      </c>
      <c r="X352" s="261">
        <f t="shared" si="45"/>
        <v>0</v>
      </c>
      <c r="Y352" s="546"/>
      <c r="Z352" s="1016">
        <f t="shared" si="46"/>
        <v>1490.4</v>
      </c>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46"/>
      <c r="AW352" s="546"/>
      <c r="AX352" s="546"/>
      <c r="AY352" s="546"/>
      <c r="AZ352" s="546"/>
      <c r="BA352" s="546"/>
      <c r="BB352" s="546"/>
      <c r="BC352" s="546"/>
      <c r="BD352" s="546"/>
      <c r="BE352" s="546"/>
      <c r="BF352" s="546"/>
      <c r="BG352" s="546"/>
      <c r="BH352" s="546"/>
      <c r="BI352" s="546"/>
      <c r="BJ352" s="546"/>
      <c r="BK352" s="546"/>
      <c r="BL352" s="546"/>
      <c r="BM352" s="546"/>
      <c r="BN352" s="546"/>
      <c r="BO352" s="546"/>
      <c r="BP352" s="546"/>
      <c r="BQ352" s="546"/>
      <c r="BR352" s="546"/>
      <c r="BS352" s="546"/>
      <c r="BT352" s="546"/>
      <c r="BU352" s="546"/>
      <c r="BV352" s="546"/>
      <c r="BW352" s="546"/>
      <c r="BX352" s="546"/>
      <c r="BY352" s="546"/>
    </row>
    <row r="353" spans="1:77" ht="12" hidden="1" thickBot="1">
      <c r="A353" s="522" t="s">
        <v>1360</v>
      </c>
      <c r="B353" s="522" t="s">
        <v>346</v>
      </c>
      <c r="C353" s="522" t="s">
        <v>964</v>
      </c>
      <c r="D353" s="523" t="s">
        <v>1035</v>
      </c>
      <c r="E353" s="524">
        <v>264</v>
      </c>
      <c r="F353" s="526"/>
      <c r="G353" s="525">
        <v>303.52</v>
      </c>
      <c r="H353" s="526"/>
      <c r="I353" s="526"/>
      <c r="J353" s="526"/>
      <c r="K353" s="526"/>
      <c r="L353" s="526"/>
      <c r="M353" s="525">
        <v>-0.39</v>
      </c>
      <c r="N353" s="525">
        <v>17.16</v>
      </c>
      <c r="O353" s="526"/>
      <c r="P353" s="526"/>
      <c r="Q353" s="525">
        <v>0</v>
      </c>
      <c r="R353" s="525">
        <v>320.29000000000002</v>
      </c>
      <c r="S353" s="527">
        <f t="shared" si="42"/>
        <v>303.52</v>
      </c>
      <c r="T353" s="528">
        <f t="shared" si="43"/>
        <v>0</v>
      </c>
      <c r="U353" s="527">
        <f t="shared" ref="U353:U415" si="47">N353+O353</f>
        <v>17.16</v>
      </c>
      <c r="W353" s="326">
        <f t="shared" si="44"/>
        <v>320.29000000000002</v>
      </c>
      <c r="X353" s="261">
        <f t="shared" si="45"/>
        <v>0</v>
      </c>
      <c r="Y353" s="546"/>
      <c r="Z353" s="1016">
        <f t="shared" si="46"/>
        <v>303.52</v>
      </c>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46"/>
      <c r="AW353" s="546"/>
      <c r="AX353" s="546"/>
      <c r="AY353" s="546"/>
      <c r="AZ353" s="546"/>
      <c r="BA353" s="546"/>
      <c r="BB353" s="546"/>
      <c r="BC353" s="546"/>
      <c r="BD353" s="546"/>
      <c r="BE353" s="546"/>
      <c r="BF353" s="546"/>
      <c r="BG353" s="546"/>
      <c r="BH353" s="546"/>
      <c r="BI353" s="546"/>
      <c r="BJ353" s="546"/>
      <c r="BK353" s="546"/>
      <c r="BL353" s="546"/>
      <c r="BM353" s="546"/>
      <c r="BN353" s="546"/>
      <c r="BO353" s="546"/>
      <c r="BP353" s="546"/>
      <c r="BQ353" s="546"/>
      <c r="BR353" s="546"/>
      <c r="BS353" s="546"/>
      <c r="BT353" s="546"/>
      <c r="BU353" s="546"/>
      <c r="BV353" s="546"/>
      <c r="BW353" s="546"/>
      <c r="BX353" s="546"/>
      <c r="BY353" s="546"/>
    </row>
    <row r="354" spans="1:77" ht="12" hidden="1" thickBot="1">
      <c r="A354" s="522" t="s">
        <v>1360</v>
      </c>
      <c r="B354" s="522" t="s">
        <v>353</v>
      </c>
      <c r="C354" s="522" t="s">
        <v>965</v>
      </c>
      <c r="D354" s="523" t="s">
        <v>1035</v>
      </c>
      <c r="E354" s="530">
        <v>201</v>
      </c>
      <c r="F354" s="532"/>
      <c r="G354" s="531">
        <v>236.91</v>
      </c>
      <c r="H354" s="532"/>
      <c r="I354" s="532"/>
      <c r="J354" s="532"/>
      <c r="K354" s="532"/>
      <c r="L354" s="532"/>
      <c r="M354" s="531">
        <v>-0.3</v>
      </c>
      <c r="N354" s="531">
        <v>13.39</v>
      </c>
      <c r="O354" s="532"/>
      <c r="P354" s="532"/>
      <c r="Q354" s="531">
        <v>0</v>
      </c>
      <c r="R354" s="531">
        <v>250</v>
      </c>
      <c r="S354" s="527">
        <f t="shared" ref="S354:S416" si="48">G354+H354+I354</f>
        <v>236.91</v>
      </c>
      <c r="T354" s="528">
        <f t="shared" ref="T354:T416" si="49">J354+K354</f>
        <v>0</v>
      </c>
      <c r="U354" s="527">
        <f t="shared" si="47"/>
        <v>13.39</v>
      </c>
      <c r="W354" s="326">
        <f t="shared" ref="W354:W416" si="50">SUM(F354:Q354)</f>
        <v>250</v>
      </c>
      <c r="X354" s="261">
        <f t="shared" ref="X354:X416" si="51">W354-R354</f>
        <v>0</v>
      </c>
      <c r="Y354" s="546"/>
      <c r="Z354" s="1016">
        <f t="shared" si="46"/>
        <v>236.91</v>
      </c>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46"/>
      <c r="AW354" s="546"/>
      <c r="AX354" s="546"/>
      <c r="AY354" s="546"/>
      <c r="AZ354" s="546"/>
      <c r="BA354" s="546"/>
      <c r="BB354" s="546"/>
      <c r="BC354" s="546"/>
      <c r="BD354" s="546"/>
      <c r="BE354" s="546"/>
      <c r="BF354" s="546"/>
      <c r="BG354" s="546"/>
      <c r="BH354" s="546"/>
      <c r="BI354" s="546"/>
      <c r="BJ354" s="546"/>
      <c r="BK354" s="546"/>
      <c r="BL354" s="546"/>
      <c r="BM354" s="546"/>
      <c r="BN354" s="546"/>
      <c r="BO354" s="546"/>
      <c r="BP354" s="546"/>
      <c r="BQ354" s="546"/>
      <c r="BR354" s="546"/>
      <c r="BS354" s="546"/>
      <c r="BT354" s="546"/>
      <c r="BU354" s="546"/>
      <c r="BV354" s="546"/>
      <c r="BW354" s="546"/>
      <c r="BX354" s="546"/>
      <c r="BY354" s="546"/>
    </row>
    <row r="355" spans="1:77" ht="12" hidden="1" thickBot="1">
      <c r="A355" s="522" t="s">
        <v>1360</v>
      </c>
      <c r="B355" s="522" t="s">
        <v>345</v>
      </c>
      <c r="C355" s="522" t="s">
        <v>966</v>
      </c>
      <c r="D355" s="523" t="s">
        <v>1035</v>
      </c>
      <c r="E355" s="524">
        <v>134</v>
      </c>
      <c r="F355" s="526"/>
      <c r="G355" s="525">
        <v>154.52000000000001</v>
      </c>
      <c r="H355" s="526"/>
      <c r="I355" s="526"/>
      <c r="J355" s="526"/>
      <c r="K355" s="526"/>
      <c r="L355" s="526"/>
      <c r="M355" s="525">
        <v>-0.2</v>
      </c>
      <c r="N355" s="525">
        <v>8.73</v>
      </c>
      <c r="O355" s="526"/>
      <c r="P355" s="526"/>
      <c r="Q355" s="525">
        <v>0</v>
      </c>
      <c r="R355" s="525">
        <v>163.05000000000001</v>
      </c>
      <c r="S355" s="527">
        <f t="shared" si="48"/>
        <v>154.52000000000001</v>
      </c>
      <c r="T355" s="528">
        <f t="shared" si="49"/>
        <v>0</v>
      </c>
      <c r="U355" s="527">
        <f t="shared" si="47"/>
        <v>8.73</v>
      </c>
      <c r="W355" s="326">
        <f t="shared" si="50"/>
        <v>163.05000000000001</v>
      </c>
      <c r="X355" s="261">
        <f t="shared" si="51"/>
        <v>0</v>
      </c>
      <c r="Y355" s="546"/>
      <c r="Z355" s="1016">
        <f t="shared" si="46"/>
        <v>154.52000000000001</v>
      </c>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46"/>
      <c r="AW355" s="546"/>
      <c r="AX355" s="546"/>
      <c r="AY355" s="546"/>
      <c r="AZ355" s="546"/>
      <c r="BA355" s="546"/>
      <c r="BB355" s="546"/>
      <c r="BC355" s="546"/>
      <c r="BD355" s="546"/>
      <c r="BE355" s="546"/>
      <c r="BF355" s="546"/>
      <c r="BG355" s="546"/>
      <c r="BH355" s="546"/>
      <c r="BI355" s="546"/>
      <c r="BJ355" s="546"/>
      <c r="BK355" s="546"/>
      <c r="BL355" s="546"/>
      <c r="BM355" s="546"/>
      <c r="BN355" s="546"/>
      <c r="BO355" s="546"/>
      <c r="BP355" s="546"/>
      <c r="BQ355" s="546"/>
      <c r="BR355" s="546"/>
      <c r="BS355" s="546"/>
      <c r="BT355" s="546"/>
      <c r="BU355" s="546"/>
      <c r="BV355" s="546"/>
      <c r="BW355" s="546"/>
      <c r="BX355" s="546"/>
      <c r="BY355" s="546"/>
    </row>
    <row r="356" spans="1:77" ht="12" hidden="1" thickBot="1">
      <c r="A356" s="522" t="s">
        <v>1360</v>
      </c>
      <c r="B356" s="522" t="s">
        <v>343</v>
      </c>
      <c r="C356" s="522" t="s">
        <v>967</v>
      </c>
      <c r="D356" s="523" t="s">
        <v>1035</v>
      </c>
      <c r="E356" s="530">
        <v>3393</v>
      </c>
      <c r="F356" s="532"/>
      <c r="G356" s="531">
        <v>3273.69</v>
      </c>
      <c r="H356" s="532"/>
      <c r="I356" s="532"/>
      <c r="J356" s="532"/>
      <c r="K356" s="532"/>
      <c r="L356" s="532"/>
      <c r="M356" s="531">
        <v>-4.95</v>
      </c>
      <c r="N356" s="531">
        <v>185.01</v>
      </c>
      <c r="O356" s="532"/>
      <c r="P356" s="532"/>
      <c r="Q356" s="532">
        <v>0</v>
      </c>
      <c r="R356" s="531">
        <v>3453.75</v>
      </c>
      <c r="S356" s="527">
        <f t="shared" si="48"/>
        <v>3273.69</v>
      </c>
      <c r="T356" s="528">
        <f t="shared" si="49"/>
        <v>0</v>
      </c>
      <c r="U356" s="527">
        <f t="shared" si="47"/>
        <v>185.01</v>
      </c>
      <c r="W356" s="326">
        <f t="shared" si="50"/>
        <v>3453.75</v>
      </c>
      <c r="X356" s="261">
        <f t="shared" si="51"/>
        <v>0</v>
      </c>
      <c r="Y356" s="546"/>
      <c r="Z356" s="1016">
        <f t="shared" si="46"/>
        <v>3273.69</v>
      </c>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46"/>
      <c r="AW356" s="546"/>
      <c r="AX356" s="546"/>
      <c r="AY356" s="546"/>
      <c r="AZ356" s="546"/>
      <c r="BA356" s="546"/>
      <c r="BB356" s="546"/>
      <c r="BC356" s="546"/>
      <c r="BD356" s="546"/>
      <c r="BE356" s="546"/>
      <c r="BF356" s="546"/>
      <c r="BG356" s="546"/>
      <c r="BH356" s="546"/>
      <c r="BI356" s="546"/>
      <c r="BJ356" s="546"/>
      <c r="BK356" s="546"/>
      <c r="BL356" s="546"/>
      <c r="BM356" s="546"/>
      <c r="BN356" s="546"/>
      <c r="BO356" s="546"/>
      <c r="BP356" s="546"/>
      <c r="BQ356" s="546"/>
      <c r="BR356" s="546"/>
      <c r="BS356" s="546"/>
      <c r="BT356" s="546"/>
      <c r="BU356" s="546"/>
      <c r="BV356" s="546"/>
      <c r="BW356" s="546"/>
      <c r="BX356" s="546"/>
      <c r="BY356" s="546"/>
    </row>
    <row r="357" spans="1:77" ht="12" hidden="1" thickBot="1">
      <c r="A357" s="522" t="s">
        <v>1360</v>
      </c>
      <c r="B357" s="522" t="s">
        <v>472</v>
      </c>
      <c r="C357" s="522" t="s">
        <v>968</v>
      </c>
      <c r="D357" s="523" t="s">
        <v>1035</v>
      </c>
      <c r="E357" s="524">
        <v>140</v>
      </c>
      <c r="F357" s="526"/>
      <c r="G357" s="525">
        <v>151.80000000000001</v>
      </c>
      <c r="H357" s="526"/>
      <c r="I357" s="526"/>
      <c r="J357" s="526"/>
      <c r="K357" s="526"/>
      <c r="L357" s="526"/>
      <c r="M357" s="525">
        <v>-0.2</v>
      </c>
      <c r="N357" s="525">
        <v>8.58</v>
      </c>
      <c r="O357" s="526"/>
      <c r="P357" s="526"/>
      <c r="Q357" s="525"/>
      <c r="R357" s="525">
        <v>160.18</v>
      </c>
      <c r="S357" s="527">
        <f t="shared" si="48"/>
        <v>151.80000000000001</v>
      </c>
      <c r="T357" s="528">
        <f t="shared" si="49"/>
        <v>0</v>
      </c>
      <c r="U357" s="527">
        <f t="shared" si="47"/>
        <v>8.58</v>
      </c>
      <c r="W357" s="326">
        <f t="shared" si="50"/>
        <v>160.18000000000004</v>
      </c>
      <c r="X357" s="261">
        <f t="shared" si="51"/>
        <v>0</v>
      </c>
      <c r="Y357" s="546"/>
      <c r="Z357" s="1016">
        <f t="shared" si="46"/>
        <v>151.80000000000001</v>
      </c>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46"/>
      <c r="AW357" s="546"/>
      <c r="AX357" s="546"/>
      <c r="AY357" s="546"/>
      <c r="AZ357" s="546"/>
      <c r="BA357" s="546"/>
      <c r="BB357" s="546"/>
      <c r="BC357" s="546"/>
      <c r="BD357" s="546"/>
      <c r="BE357" s="546"/>
      <c r="BF357" s="546"/>
      <c r="BG357" s="546"/>
      <c r="BH357" s="546"/>
      <c r="BI357" s="546"/>
      <c r="BJ357" s="546"/>
      <c r="BK357" s="546"/>
      <c r="BL357" s="546"/>
      <c r="BM357" s="546"/>
      <c r="BN357" s="546"/>
      <c r="BO357" s="546"/>
      <c r="BP357" s="546"/>
      <c r="BQ357" s="546"/>
      <c r="BR357" s="546"/>
      <c r="BS357" s="546"/>
      <c r="BT357" s="546"/>
      <c r="BU357" s="546"/>
      <c r="BV357" s="546"/>
      <c r="BW357" s="546"/>
      <c r="BX357" s="546"/>
      <c r="BY357" s="546"/>
    </row>
    <row r="358" spans="1:77" ht="12" hidden="1" thickBot="1">
      <c r="A358" s="522" t="s">
        <v>1360</v>
      </c>
      <c r="B358" s="522" t="s">
        <v>382</v>
      </c>
      <c r="C358" s="522" t="s">
        <v>969</v>
      </c>
      <c r="D358" s="533" t="s">
        <v>1035</v>
      </c>
      <c r="E358" s="530">
        <v>1565</v>
      </c>
      <c r="F358" s="532"/>
      <c r="G358" s="531">
        <v>772.72</v>
      </c>
      <c r="H358" s="532"/>
      <c r="I358" s="532"/>
      <c r="J358" s="532"/>
      <c r="K358" s="532"/>
      <c r="L358" s="532"/>
      <c r="M358" s="531">
        <v>3.24</v>
      </c>
      <c r="N358" s="531">
        <v>19.63</v>
      </c>
      <c r="O358" s="532"/>
      <c r="P358" s="532"/>
      <c r="Q358" s="531">
        <v>0</v>
      </c>
      <c r="R358" s="531">
        <v>795.59</v>
      </c>
      <c r="S358" s="527">
        <f t="shared" si="48"/>
        <v>772.72</v>
      </c>
      <c r="T358" s="528">
        <f t="shared" si="49"/>
        <v>0</v>
      </c>
      <c r="U358" s="527">
        <f t="shared" si="47"/>
        <v>19.63</v>
      </c>
      <c r="W358" s="326">
        <f t="shared" si="50"/>
        <v>795.59</v>
      </c>
      <c r="X358" s="261">
        <f t="shared" si="51"/>
        <v>0</v>
      </c>
      <c r="Y358" s="546"/>
      <c r="Z358" s="1016">
        <f t="shared" si="46"/>
        <v>772.72</v>
      </c>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46"/>
      <c r="AW358" s="546"/>
      <c r="AX358" s="546"/>
      <c r="AY358" s="546"/>
      <c r="AZ358" s="546"/>
      <c r="BA358" s="546"/>
      <c r="BB358" s="546"/>
      <c r="BC358" s="546"/>
      <c r="BD358" s="546"/>
      <c r="BE358" s="546"/>
      <c r="BF358" s="546"/>
      <c r="BG358" s="546"/>
      <c r="BH358" s="546"/>
      <c r="BI358" s="546"/>
      <c r="BJ358" s="546"/>
      <c r="BK358" s="546"/>
      <c r="BL358" s="546"/>
      <c r="BM358" s="546"/>
      <c r="BN358" s="546"/>
      <c r="BO358" s="546"/>
      <c r="BP358" s="546"/>
      <c r="BQ358" s="546"/>
      <c r="BR358" s="546"/>
      <c r="BS358" s="546"/>
      <c r="BT358" s="546"/>
      <c r="BU358" s="546"/>
      <c r="BV358" s="546"/>
      <c r="BW358" s="546"/>
      <c r="BX358" s="546"/>
      <c r="BY358" s="546"/>
    </row>
    <row r="359" spans="1:77" ht="12" hidden="1" thickBot="1">
      <c r="A359" s="522" t="s">
        <v>1360</v>
      </c>
      <c r="B359" s="522" t="s">
        <v>402</v>
      </c>
      <c r="C359" s="522" t="s">
        <v>970</v>
      </c>
      <c r="D359" s="533" t="s">
        <v>1036</v>
      </c>
      <c r="E359" s="524">
        <v>530883</v>
      </c>
      <c r="F359" s="526"/>
      <c r="G359" s="525">
        <v>76177.45</v>
      </c>
      <c r="H359" s="526"/>
      <c r="I359" s="526"/>
      <c r="J359" s="526"/>
      <c r="K359" s="526"/>
      <c r="L359" s="526"/>
      <c r="M359" s="525">
        <v>1598.85</v>
      </c>
      <c r="N359" s="525">
        <v>1299.18</v>
      </c>
      <c r="O359" s="526"/>
      <c r="P359" s="526"/>
      <c r="Q359" s="525">
        <v>0</v>
      </c>
      <c r="R359" s="525">
        <v>79075.48</v>
      </c>
      <c r="S359" s="527">
        <f t="shared" si="48"/>
        <v>76177.45</v>
      </c>
      <c r="T359" s="528">
        <f t="shared" si="49"/>
        <v>0</v>
      </c>
      <c r="U359" s="527">
        <f t="shared" si="47"/>
        <v>1299.18</v>
      </c>
      <c r="W359" s="326">
        <f t="shared" si="50"/>
        <v>79075.48</v>
      </c>
      <c r="X359" s="261">
        <f t="shared" si="51"/>
        <v>0</v>
      </c>
      <c r="Y359" s="546"/>
      <c r="Z359" s="1016">
        <f t="shared" si="46"/>
        <v>76177.45</v>
      </c>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46"/>
      <c r="AW359" s="546"/>
      <c r="AX359" s="546"/>
      <c r="AY359" s="546"/>
      <c r="AZ359" s="546"/>
      <c r="BA359" s="546"/>
      <c r="BB359" s="546"/>
      <c r="BC359" s="546"/>
      <c r="BD359" s="546"/>
      <c r="BE359" s="546"/>
      <c r="BF359" s="546"/>
      <c r="BG359" s="546"/>
      <c r="BH359" s="546"/>
      <c r="BI359" s="546"/>
      <c r="BJ359" s="546"/>
      <c r="BK359" s="546"/>
      <c r="BL359" s="546"/>
      <c r="BM359" s="546"/>
      <c r="BN359" s="546"/>
      <c r="BO359" s="546"/>
      <c r="BP359" s="546"/>
      <c r="BQ359" s="546"/>
      <c r="BR359" s="546"/>
      <c r="BS359" s="546"/>
      <c r="BT359" s="546"/>
      <c r="BU359" s="546"/>
      <c r="BV359" s="546"/>
      <c r="BW359" s="546"/>
      <c r="BX359" s="546"/>
      <c r="BY359" s="546"/>
    </row>
    <row r="360" spans="1:77" ht="12" hidden="1" thickBot="1">
      <c r="A360" s="522" t="s">
        <v>1360</v>
      </c>
      <c r="B360" s="547" t="s">
        <v>398</v>
      </c>
      <c r="C360" s="522" t="s">
        <v>971</v>
      </c>
      <c r="D360" s="533" t="s">
        <v>1036</v>
      </c>
      <c r="E360" s="530">
        <v>23606</v>
      </c>
      <c r="F360" s="532"/>
      <c r="G360" s="531">
        <v>1674.53</v>
      </c>
      <c r="H360" s="532"/>
      <c r="I360" s="532"/>
      <c r="J360" s="532"/>
      <c r="K360" s="532"/>
      <c r="L360" s="532"/>
      <c r="M360" s="531">
        <v>54.68</v>
      </c>
      <c r="N360" s="531">
        <v>38.9</v>
      </c>
      <c r="O360" s="532"/>
      <c r="P360" s="532"/>
      <c r="Q360" s="531">
        <v>0</v>
      </c>
      <c r="R360" s="531">
        <v>1768.11</v>
      </c>
      <c r="S360" s="527">
        <f t="shared" si="48"/>
        <v>1674.53</v>
      </c>
      <c r="T360" s="528">
        <f t="shared" si="49"/>
        <v>0</v>
      </c>
      <c r="U360" s="527">
        <f t="shared" si="47"/>
        <v>38.9</v>
      </c>
      <c r="W360" s="326">
        <f t="shared" si="50"/>
        <v>1768.1100000000001</v>
      </c>
      <c r="X360" s="261">
        <f t="shared" si="51"/>
        <v>0</v>
      </c>
      <c r="Y360" s="546"/>
      <c r="Z360" s="1016">
        <f t="shared" si="46"/>
        <v>1674.53</v>
      </c>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46"/>
      <c r="AW360" s="546"/>
      <c r="AX360" s="546"/>
      <c r="AY360" s="546"/>
      <c r="AZ360" s="546"/>
      <c r="BA360" s="546"/>
      <c r="BB360" s="546"/>
      <c r="BC360" s="546"/>
      <c r="BD360" s="546"/>
      <c r="BE360" s="546"/>
      <c r="BF360" s="546"/>
      <c r="BG360" s="546"/>
      <c r="BH360" s="546"/>
      <c r="BI360" s="546"/>
      <c r="BJ360" s="546"/>
      <c r="BK360" s="546"/>
      <c r="BL360" s="546"/>
      <c r="BM360" s="546"/>
      <c r="BN360" s="546"/>
      <c r="BO360" s="546"/>
      <c r="BP360" s="546"/>
      <c r="BQ360" s="546"/>
      <c r="BR360" s="546"/>
      <c r="BS360" s="546"/>
      <c r="BT360" s="546"/>
      <c r="BU360" s="546"/>
      <c r="BV360" s="546"/>
      <c r="BW360" s="546"/>
      <c r="BX360" s="546"/>
      <c r="BY360" s="546"/>
    </row>
    <row r="361" spans="1:77" ht="12" hidden="1" thickBot="1">
      <c r="A361" s="522" t="s">
        <v>1360</v>
      </c>
      <c r="B361" s="522" t="s">
        <v>376</v>
      </c>
      <c r="C361" s="522" t="s">
        <v>972</v>
      </c>
      <c r="D361" s="533" t="s">
        <v>1036</v>
      </c>
      <c r="E361" s="524">
        <v>5403</v>
      </c>
      <c r="F361" s="526"/>
      <c r="G361" s="525">
        <v>4862.41</v>
      </c>
      <c r="H361" s="526"/>
      <c r="I361" s="526"/>
      <c r="J361" s="526"/>
      <c r="K361" s="526"/>
      <c r="L361" s="526"/>
      <c r="M361" s="525">
        <v>16.86</v>
      </c>
      <c r="N361" s="525">
        <v>78.08</v>
      </c>
      <c r="O361" s="526"/>
      <c r="P361" s="526"/>
      <c r="Q361" s="525">
        <v>0</v>
      </c>
      <c r="R361" s="525">
        <v>4957.3500000000004</v>
      </c>
      <c r="S361" s="527">
        <f t="shared" si="48"/>
        <v>4862.41</v>
      </c>
      <c r="T361" s="528">
        <f t="shared" si="49"/>
        <v>0</v>
      </c>
      <c r="U361" s="527">
        <f t="shared" si="47"/>
        <v>78.08</v>
      </c>
      <c r="W361" s="326">
        <f t="shared" si="50"/>
        <v>4957.3499999999995</v>
      </c>
      <c r="X361" s="261">
        <f t="shared" si="51"/>
        <v>0</v>
      </c>
      <c r="Y361" s="546"/>
      <c r="Z361" s="1016">
        <f t="shared" si="46"/>
        <v>4862.41</v>
      </c>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46"/>
      <c r="AW361" s="546"/>
      <c r="AX361" s="546"/>
      <c r="AY361" s="546"/>
      <c r="AZ361" s="546"/>
      <c r="BA361" s="546"/>
      <c r="BB361" s="546"/>
      <c r="BC361" s="546"/>
      <c r="BD361" s="546"/>
      <c r="BE361" s="546"/>
      <c r="BF361" s="546"/>
      <c r="BG361" s="546"/>
      <c r="BH361" s="546"/>
      <c r="BI361" s="546"/>
      <c r="BJ361" s="546"/>
      <c r="BK361" s="546"/>
      <c r="BL361" s="546"/>
      <c r="BM361" s="546"/>
      <c r="BN361" s="546"/>
      <c r="BO361" s="546"/>
      <c r="BP361" s="546"/>
      <c r="BQ361" s="546"/>
      <c r="BR361" s="546"/>
      <c r="BS361" s="546"/>
      <c r="BT361" s="546"/>
      <c r="BU361" s="546"/>
      <c r="BV361" s="546"/>
      <c r="BW361" s="546"/>
      <c r="BX361" s="546"/>
      <c r="BY361" s="546"/>
    </row>
    <row r="362" spans="1:77" ht="12" hidden="1" thickBot="1">
      <c r="A362" s="522" t="s">
        <v>1360</v>
      </c>
      <c r="B362" s="522" t="s">
        <v>384</v>
      </c>
      <c r="C362" s="522" t="s">
        <v>973</v>
      </c>
      <c r="D362" s="533" t="s">
        <v>1035</v>
      </c>
      <c r="E362" s="530">
        <v>4424</v>
      </c>
      <c r="F362" s="532"/>
      <c r="G362" s="531">
        <v>3100.1</v>
      </c>
      <c r="H362" s="532"/>
      <c r="I362" s="532"/>
      <c r="J362" s="532"/>
      <c r="K362" s="532"/>
      <c r="L362" s="532"/>
      <c r="M362" s="531">
        <v>13.79</v>
      </c>
      <c r="N362" s="531">
        <v>49.81</v>
      </c>
      <c r="O362" s="532"/>
      <c r="P362" s="532"/>
      <c r="Q362" s="531">
        <v>0</v>
      </c>
      <c r="R362" s="531">
        <v>3163.7</v>
      </c>
      <c r="S362" s="527">
        <f t="shared" si="48"/>
        <v>3100.1</v>
      </c>
      <c r="T362" s="528">
        <f t="shared" si="49"/>
        <v>0</v>
      </c>
      <c r="U362" s="527">
        <f t="shared" si="47"/>
        <v>49.81</v>
      </c>
      <c r="W362" s="326">
        <f t="shared" si="50"/>
        <v>3163.7</v>
      </c>
      <c r="X362" s="261">
        <f t="shared" si="51"/>
        <v>0</v>
      </c>
      <c r="Y362" s="546"/>
      <c r="Z362" s="1016">
        <f t="shared" si="46"/>
        <v>3100.1</v>
      </c>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46"/>
      <c r="AW362" s="546"/>
      <c r="AX362" s="546"/>
      <c r="AY362" s="546"/>
      <c r="AZ362" s="546"/>
      <c r="BA362" s="546"/>
      <c r="BB362" s="546"/>
      <c r="BC362" s="546"/>
      <c r="BD362" s="546"/>
      <c r="BE362" s="546"/>
      <c r="BF362" s="546"/>
      <c r="BG362" s="546"/>
      <c r="BH362" s="546"/>
      <c r="BI362" s="546"/>
      <c r="BJ362" s="546"/>
      <c r="BK362" s="546"/>
      <c r="BL362" s="546"/>
      <c r="BM362" s="546"/>
      <c r="BN362" s="546"/>
      <c r="BO362" s="546"/>
      <c r="BP362" s="546"/>
      <c r="BQ362" s="546"/>
      <c r="BR362" s="546"/>
      <c r="BS362" s="546"/>
      <c r="BT362" s="546"/>
      <c r="BU362" s="546"/>
      <c r="BV362" s="546"/>
      <c r="BW362" s="546"/>
      <c r="BX362" s="546"/>
      <c r="BY362" s="546"/>
    </row>
    <row r="363" spans="1:77" ht="12" hidden="1" thickBot="1">
      <c r="A363" s="522" t="s">
        <v>1360</v>
      </c>
      <c r="B363" s="522" t="s">
        <v>386</v>
      </c>
      <c r="C363" s="522" t="s">
        <v>974</v>
      </c>
      <c r="D363" s="533" t="s">
        <v>1036</v>
      </c>
      <c r="E363" s="524">
        <v>908</v>
      </c>
      <c r="F363" s="526"/>
      <c r="G363" s="525">
        <v>863.52</v>
      </c>
      <c r="H363" s="526"/>
      <c r="I363" s="526"/>
      <c r="J363" s="526"/>
      <c r="K363" s="526"/>
      <c r="L363" s="526"/>
      <c r="M363" s="525">
        <v>2.83</v>
      </c>
      <c r="N363" s="525">
        <v>13.86</v>
      </c>
      <c r="O363" s="526"/>
      <c r="P363" s="526"/>
      <c r="Q363" s="525">
        <v>0</v>
      </c>
      <c r="R363" s="525">
        <v>880.21</v>
      </c>
      <c r="S363" s="527">
        <f t="shared" si="48"/>
        <v>863.52</v>
      </c>
      <c r="T363" s="528">
        <f t="shared" si="49"/>
        <v>0</v>
      </c>
      <c r="U363" s="527">
        <f t="shared" si="47"/>
        <v>13.86</v>
      </c>
      <c r="W363" s="326">
        <f t="shared" si="50"/>
        <v>880.21</v>
      </c>
      <c r="X363" s="261">
        <f t="shared" si="51"/>
        <v>0</v>
      </c>
      <c r="Y363" s="546"/>
      <c r="Z363" s="1016">
        <f t="shared" si="46"/>
        <v>863.52</v>
      </c>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46"/>
      <c r="AW363" s="546"/>
      <c r="AX363" s="546"/>
      <c r="AY363" s="546"/>
      <c r="AZ363" s="546"/>
      <c r="BA363" s="546"/>
      <c r="BB363" s="546"/>
      <c r="BC363" s="546"/>
      <c r="BD363" s="546"/>
      <c r="BE363" s="546"/>
      <c r="BF363" s="546"/>
      <c r="BG363" s="546"/>
      <c r="BH363" s="546"/>
      <c r="BI363" s="546"/>
      <c r="BJ363" s="546"/>
      <c r="BK363" s="546"/>
      <c r="BL363" s="546"/>
      <c r="BM363" s="546"/>
      <c r="BN363" s="546"/>
      <c r="BO363" s="546"/>
      <c r="BP363" s="546"/>
      <c r="BQ363" s="546"/>
      <c r="BR363" s="546"/>
      <c r="BS363" s="546"/>
      <c r="BT363" s="546"/>
      <c r="BU363" s="546"/>
      <c r="BV363" s="546"/>
      <c r="BW363" s="546"/>
      <c r="BX363" s="546"/>
      <c r="BY363" s="546"/>
    </row>
    <row r="364" spans="1:77" ht="12" hidden="1" thickBot="1">
      <c r="A364" s="522" t="s">
        <v>1360</v>
      </c>
      <c r="B364" s="522" t="s">
        <v>409</v>
      </c>
      <c r="C364" s="522" t="s">
        <v>975</v>
      </c>
      <c r="D364" s="533" t="s">
        <v>1036</v>
      </c>
      <c r="E364" s="530">
        <v>4171</v>
      </c>
      <c r="F364" s="532"/>
      <c r="G364" s="531">
        <v>2997.12</v>
      </c>
      <c r="H364" s="532"/>
      <c r="I364" s="532"/>
      <c r="J364" s="532"/>
      <c r="K364" s="532"/>
      <c r="L364" s="532"/>
      <c r="M364" s="531">
        <v>13</v>
      </c>
      <c r="N364" s="531">
        <v>48.17</v>
      </c>
      <c r="O364" s="532"/>
      <c r="P364" s="532"/>
      <c r="Q364" s="531">
        <v>0</v>
      </c>
      <c r="R364" s="531">
        <v>3058.29</v>
      </c>
      <c r="S364" s="527">
        <f t="shared" si="48"/>
        <v>2997.12</v>
      </c>
      <c r="T364" s="528">
        <f t="shared" si="49"/>
        <v>0</v>
      </c>
      <c r="U364" s="527">
        <f t="shared" si="47"/>
        <v>48.17</v>
      </c>
      <c r="W364" s="326">
        <f t="shared" si="50"/>
        <v>3058.29</v>
      </c>
      <c r="X364" s="261">
        <f t="shared" si="51"/>
        <v>0</v>
      </c>
      <c r="Y364" s="546"/>
      <c r="Z364" s="1016">
        <f t="shared" si="46"/>
        <v>2997.12</v>
      </c>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46"/>
      <c r="AW364" s="546"/>
      <c r="AX364" s="546"/>
      <c r="AY364" s="546"/>
      <c r="AZ364" s="546"/>
      <c r="BA364" s="546"/>
      <c r="BB364" s="546"/>
      <c r="BC364" s="546"/>
      <c r="BD364" s="546"/>
      <c r="BE364" s="546"/>
      <c r="BF364" s="546"/>
      <c r="BG364" s="546"/>
      <c r="BH364" s="546"/>
      <c r="BI364" s="546"/>
      <c r="BJ364" s="546"/>
      <c r="BK364" s="546"/>
      <c r="BL364" s="546"/>
      <c r="BM364" s="546"/>
      <c r="BN364" s="546"/>
      <c r="BO364" s="546"/>
      <c r="BP364" s="546"/>
      <c r="BQ364" s="546"/>
      <c r="BR364" s="546"/>
      <c r="BS364" s="546"/>
      <c r="BT364" s="546"/>
      <c r="BU364" s="546"/>
      <c r="BV364" s="546"/>
      <c r="BW364" s="546"/>
      <c r="BX364" s="546"/>
      <c r="BY364" s="546"/>
    </row>
    <row r="365" spans="1:77" ht="12" hidden="1" thickBot="1">
      <c r="A365" s="522" t="s">
        <v>1360</v>
      </c>
      <c r="B365" s="522" t="s">
        <v>387</v>
      </c>
      <c r="C365" s="522" t="s">
        <v>976</v>
      </c>
      <c r="D365" s="533" t="s">
        <v>1035</v>
      </c>
      <c r="E365" s="524">
        <v>624</v>
      </c>
      <c r="F365" s="526"/>
      <c r="G365" s="525">
        <v>647.64</v>
      </c>
      <c r="H365" s="526"/>
      <c r="I365" s="526"/>
      <c r="J365" s="526"/>
      <c r="K365" s="526"/>
      <c r="L365" s="526"/>
      <c r="M365" s="525">
        <v>-0.91</v>
      </c>
      <c r="N365" s="525">
        <v>36.6</v>
      </c>
      <c r="O365" s="526"/>
      <c r="P365" s="526"/>
      <c r="Q365" s="525">
        <v>0</v>
      </c>
      <c r="R365" s="525">
        <v>683.33</v>
      </c>
      <c r="S365" s="527">
        <f t="shared" si="48"/>
        <v>647.64</v>
      </c>
      <c r="T365" s="528">
        <f t="shared" si="49"/>
        <v>0</v>
      </c>
      <c r="U365" s="527">
        <f t="shared" si="47"/>
        <v>36.6</v>
      </c>
      <c r="W365" s="326">
        <f t="shared" si="50"/>
        <v>683.33</v>
      </c>
      <c r="X365" s="261">
        <f t="shared" si="51"/>
        <v>0</v>
      </c>
      <c r="Y365" s="546"/>
      <c r="Z365" s="1016">
        <f t="shared" si="46"/>
        <v>647.64</v>
      </c>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6"/>
      <c r="BQ365" s="546"/>
      <c r="BR365" s="546"/>
      <c r="BS365" s="546"/>
      <c r="BT365" s="546"/>
      <c r="BU365" s="546"/>
      <c r="BV365" s="546"/>
      <c r="BW365" s="546"/>
      <c r="BX365" s="546"/>
      <c r="BY365" s="546"/>
    </row>
    <row r="366" spans="1:77" ht="12" hidden="1" thickBot="1">
      <c r="A366" s="522" t="s">
        <v>1360</v>
      </c>
      <c r="B366" s="522" t="s">
        <v>410</v>
      </c>
      <c r="C366" s="522" t="s">
        <v>977</v>
      </c>
      <c r="D366" s="533" t="s">
        <v>1035</v>
      </c>
      <c r="E366" s="530">
        <v>419</v>
      </c>
      <c r="F366" s="532"/>
      <c r="G366" s="531">
        <v>312.2</v>
      </c>
      <c r="H366" s="532"/>
      <c r="I366" s="532"/>
      <c r="J366" s="532"/>
      <c r="K366" s="532"/>
      <c r="L366" s="532"/>
      <c r="M366" s="531">
        <v>-0.61</v>
      </c>
      <c r="N366" s="531">
        <v>17.64</v>
      </c>
      <c r="O366" s="532"/>
      <c r="P366" s="532"/>
      <c r="Q366" s="531">
        <v>0</v>
      </c>
      <c r="R366" s="531">
        <v>329.23</v>
      </c>
      <c r="S366" s="527">
        <f t="shared" si="48"/>
        <v>312.2</v>
      </c>
      <c r="T366" s="528">
        <f t="shared" si="49"/>
        <v>0</v>
      </c>
      <c r="U366" s="527">
        <f t="shared" si="47"/>
        <v>17.64</v>
      </c>
      <c r="W366" s="326">
        <f t="shared" si="50"/>
        <v>329.22999999999996</v>
      </c>
      <c r="X366" s="261">
        <f t="shared" si="51"/>
        <v>0</v>
      </c>
      <c r="Y366" s="546"/>
      <c r="Z366" s="1016">
        <f t="shared" si="46"/>
        <v>312.2</v>
      </c>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46"/>
      <c r="AW366" s="546"/>
      <c r="AX366" s="546"/>
      <c r="AY366" s="546"/>
      <c r="AZ366" s="546"/>
      <c r="BA366" s="546"/>
      <c r="BB366" s="546"/>
      <c r="BC366" s="546"/>
      <c r="BD366" s="546"/>
      <c r="BE366" s="546"/>
      <c r="BF366" s="546"/>
      <c r="BG366" s="546"/>
      <c r="BH366" s="546"/>
      <c r="BI366" s="546"/>
      <c r="BJ366" s="546"/>
      <c r="BK366" s="546"/>
      <c r="BL366" s="546"/>
      <c r="BM366" s="546"/>
      <c r="BN366" s="546"/>
      <c r="BO366" s="546"/>
      <c r="BP366" s="546"/>
      <c r="BQ366" s="546"/>
      <c r="BR366" s="546"/>
      <c r="BS366" s="546"/>
      <c r="BT366" s="546"/>
      <c r="BU366" s="546"/>
      <c r="BV366" s="546"/>
      <c r="BW366" s="546"/>
      <c r="BX366" s="546"/>
      <c r="BY366" s="546"/>
    </row>
    <row r="367" spans="1:77" ht="12" hidden="1" thickBot="1">
      <c r="A367" s="522" t="s">
        <v>1360</v>
      </c>
      <c r="B367" s="522" t="s">
        <v>405</v>
      </c>
      <c r="C367" s="522" t="s">
        <v>978</v>
      </c>
      <c r="D367" s="533" t="s">
        <v>1035</v>
      </c>
      <c r="E367" s="524">
        <v>19728</v>
      </c>
      <c r="F367" s="526"/>
      <c r="G367" s="525">
        <v>7133.18</v>
      </c>
      <c r="H367" s="526"/>
      <c r="I367" s="526"/>
      <c r="J367" s="526"/>
      <c r="K367" s="526"/>
      <c r="L367" s="526"/>
      <c r="M367" s="525">
        <v>37.770000000000003</v>
      </c>
      <c r="N367" s="525">
        <v>189.45</v>
      </c>
      <c r="O367" s="526"/>
      <c r="P367" s="526"/>
      <c r="Q367" s="525">
        <v>0</v>
      </c>
      <c r="R367" s="525">
        <v>7360.4</v>
      </c>
      <c r="S367" s="527">
        <f t="shared" si="48"/>
        <v>7133.18</v>
      </c>
      <c r="T367" s="528">
        <f t="shared" si="49"/>
        <v>0</v>
      </c>
      <c r="U367" s="527">
        <f t="shared" si="47"/>
        <v>189.45</v>
      </c>
      <c r="W367" s="326">
        <f t="shared" si="50"/>
        <v>7360.4000000000005</v>
      </c>
      <c r="X367" s="261">
        <f t="shared" si="51"/>
        <v>0</v>
      </c>
      <c r="Y367" s="546"/>
      <c r="Z367" s="1016">
        <f t="shared" si="46"/>
        <v>7133.18</v>
      </c>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46"/>
      <c r="AW367" s="546"/>
      <c r="AX367" s="546"/>
      <c r="AY367" s="546"/>
      <c r="AZ367" s="546"/>
      <c r="BA367" s="546"/>
      <c r="BB367" s="546"/>
      <c r="BC367" s="546"/>
      <c r="BD367" s="546"/>
      <c r="BE367" s="546"/>
      <c r="BF367" s="546"/>
      <c r="BG367" s="546"/>
      <c r="BH367" s="546"/>
      <c r="BI367" s="546"/>
      <c r="BJ367" s="546"/>
      <c r="BK367" s="546"/>
      <c r="BL367" s="546"/>
      <c r="BM367" s="546"/>
      <c r="BN367" s="546"/>
      <c r="BO367" s="546"/>
      <c r="BP367" s="546"/>
      <c r="BQ367" s="546"/>
      <c r="BR367" s="546"/>
      <c r="BS367" s="546"/>
      <c r="BT367" s="546"/>
      <c r="BU367" s="546"/>
      <c r="BV367" s="546"/>
      <c r="BW367" s="546"/>
      <c r="BX367" s="546"/>
      <c r="BY367" s="546"/>
    </row>
    <row r="368" spans="1:77" ht="12" hidden="1" thickBot="1">
      <c r="A368" s="522" t="s">
        <v>1360</v>
      </c>
      <c r="B368" s="522" t="s">
        <v>326</v>
      </c>
      <c r="C368" s="522" t="s">
        <v>979</v>
      </c>
      <c r="D368" s="533" t="s">
        <v>1036</v>
      </c>
      <c r="E368" s="530">
        <v>187</v>
      </c>
      <c r="F368" s="532"/>
      <c r="G368" s="531">
        <v>16.95</v>
      </c>
      <c r="H368" s="532"/>
      <c r="I368" s="532"/>
      <c r="J368" s="532"/>
      <c r="K368" s="532"/>
      <c r="L368" s="532"/>
      <c r="M368" s="531">
        <v>7.0000000000000007E-2</v>
      </c>
      <c r="N368" s="531">
        <v>0.69</v>
      </c>
      <c r="O368" s="532"/>
      <c r="P368" s="532"/>
      <c r="Q368" s="531">
        <v>0</v>
      </c>
      <c r="R368" s="531">
        <v>17.71</v>
      </c>
      <c r="S368" s="527">
        <f t="shared" si="48"/>
        <v>16.95</v>
      </c>
      <c r="T368" s="528">
        <f t="shared" si="49"/>
        <v>0</v>
      </c>
      <c r="U368" s="527">
        <f t="shared" si="47"/>
        <v>0.69</v>
      </c>
      <c r="W368" s="326">
        <f t="shared" si="50"/>
        <v>17.71</v>
      </c>
      <c r="X368" s="261">
        <f t="shared" si="51"/>
        <v>0</v>
      </c>
      <c r="Y368" s="546"/>
      <c r="Z368" s="1016">
        <f t="shared" si="46"/>
        <v>16.95</v>
      </c>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46"/>
      <c r="AW368" s="546"/>
      <c r="AX368" s="546"/>
      <c r="AY368" s="546"/>
      <c r="AZ368" s="546"/>
      <c r="BA368" s="546"/>
      <c r="BB368" s="546"/>
      <c r="BC368" s="546"/>
      <c r="BD368" s="546"/>
      <c r="BE368" s="546"/>
      <c r="BF368" s="546"/>
      <c r="BG368" s="546"/>
      <c r="BH368" s="546"/>
      <c r="BI368" s="546"/>
      <c r="BJ368" s="546"/>
      <c r="BK368" s="546"/>
      <c r="BL368" s="546"/>
      <c r="BM368" s="546"/>
      <c r="BN368" s="546"/>
      <c r="BO368" s="546"/>
      <c r="BP368" s="546"/>
      <c r="BQ368" s="546"/>
      <c r="BR368" s="546"/>
      <c r="BS368" s="546"/>
      <c r="BT368" s="546"/>
      <c r="BU368" s="546"/>
      <c r="BV368" s="546"/>
      <c r="BW368" s="546"/>
      <c r="BX368" s="546"/>
      <c r="BY368" s="546"/>
    </row>
    <row r="369" spans="1:77" ht="12" hidden="1" thickBot="1">
      <c r="A369" s="522" t="s">
        <v>1360</v>
      </c>
      <c r="B369" s="522" t="s">
        <v>356</v>
      </c>
      <c r="C369" s="522" t="s">
        <v>980</v>
      </c>
      <c r="D369" s="533" t="s">
        <v>1036</v>
      </c>
      <c r="E369" s="524">
        <v>49573</v>
      </c>
      <c r="F369" s="526"/>
      <c r="G369" s="525">
        <v>3074.43</v>
      </c>
      <c r="H369" s="526"/>
      <c r="I369" s="526"/>
      <c r="J369" s="526"/>
      <c r="K369" s="526"/>
      <c r="L369" s="526"/>
      <c r="M369" s="525">
        <v>96.88</v>
      </c>
      <c r="N369" s="525">
        <v>81.34</v>
      </c>
      <c r="O369" s="526"/>
      <c r="P369" s="526"/>
      <c r="Q369" s="525">
        <v>0</v>
      </c>
      <c r="R369" s="525">
        <v>3252.65</v>
      </c>
      <c r="S369" s="527">
        <f t="shared" si="48"/>
        <v>3074.43</v>
      </c>
      <c r="T369" s="528">
        <f t="shared" si="49"/>
        <v>0</v>
      </c>
      <c r="U369" s="527">
        <f t="shared" si="47"/>
        <v>81.34</v>
      </c>
      <c r="W369" s="326">
        <f t="shared" si="50"/>
        <v>3252.65</v>
      </c>
      <c r="X369" s="261">
        <f t="shared" si="51"/>
        <v>0</v>
      </c>
      <c r="Y369" s="546"/>
      <c r="Z369" s="1016">
        <f t="shared" si="46"/>
        <v>3074.43</v>
      </c>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46"/>
      <c r="AW369" s="546"/>
      <c r="AX369" s="546"/>
      <c r="AY369" s="546"/>
      <c r="AZ369" s="546"/>
      <c r="BA369" s="546"/>
      <c r="BB369" s="546"/>
      <c r="BC369" s="546"/>
      <c r="BD369" s="546"/>
      <c r="BE369" s="546"/>
      <c r="BF369" s="546"/>
      <c r="BG369" s="546"/>
      <c r="BH369" s="546"/>
      <c r="BI369" s="546"/>
      <c r="BJ369" s="546"/>
      <c r="BK369" s="546"/>
      <c r="BL369" s="546"/>
      <c r="BM369" s="546"/>
      <c r="BN369" s="546"/>
      <c r="BO369" s="546"/>
      <c r="BP369" s="546"/>
      <c r="BQ369" s="546"/>
      <c r="BR369" s="546"/>
      <c r="BS369" s="546"/>
      <c r="BT369" s="546"/>
      <c r="BU369" s="546"/>
      <c r="BV369" s="546"/>
      <c r="BW369" s="546"/>
      <c r="BX369" s="546"/>
      <c r="BY369" s="546"/>
    </row>
    <row r="370" spans="1:77" ht="12" hidden="1" thickBot="1">
      <c r="A370" s="522" t="s">
        <v>1360</v>
      </c>
      <c r="B370" s="522" t="s">
        <v>374</v>
      </c>
      <c r="C370" s="522" t="s">
        <v>981</v>
      </c>
      <c r="D370" s="533" t="s">
        <v>1036</v>
      </c>
      <c r="E370" s="530">
        <v>8382</v>
      </c>
      <c r="F370" s="532"/>
      <c r="G370" s="531">
        <v>474.61</v>
      </c>
      <c r="H370" s="532"/>
      <c r="I370" s="532"/>
      <c r="J370" s="532"/>
      <c r="K370" s="532"/>
      <c r="L370" s="532"/>
      <c r="M370" s="531">
        <v>-1.24</v>
      </c>
      <c r="N370" s="531">
        <v>20.97</v>
      </c>
      <c r="O370" s="532"/>
      <c r="P370" s="532"/>
      <c r="Q370" s="531">
        <v>0</v>
      </c>
      <c r="R370" s="531">
        <v>494.34</v>
      </c>
      <c r="S370" s="527">
        <f t="shared" si="48"/>
        <v>474.61</v>
      </c>
      <c r="T370" s="528">
        <f t="shared" si="49"/>
        <v>0</v>
      </c>
      <c r="U370" s="527">
        <f t="shared" si="47"/>
        <v>20.97</v>
      </c>
      <c r="W370" s="326">
        <f t="shared" si="50"/>
        <v>494.34000000000003</v>
      </c>
      <c r="X370" s="261">
        <f t="shared" si="51"/>
        <v>0</v>
      </c>
      <c r="Y370" s="546"/>
      <c r="Z370" s="1016">
        <f t="shared" si="46"/>
        <v>474.61</v>
      </c>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46"/>
      <c r="AW370" s="546"/>
      <c r="AX370" s="546"/>
      <c r="AY370" s="546"/>
      <c r="AZ370" s="546"/>
      <c r="BA370" s="546"/>
      <c r="BB370" s="546"/>
      <c r="BC370" s="546"/>
      <c r="BD370" s="546"/>
      <c r="BE370" s="546"/>
      <c r="BF370" s="546"/>
      <c r="BG370" s="546"/>
      <c r="BH370" s="546"/>
      <c r="BI370" s="546"/>
      <c r="BJ370" s="546"/>
      <c r="BK370" s="546"/>
      <c r="BL370" s="546"/>
      <c r="BM370" s="546"/>
      <c r="BN370" s="546"/>
      <c r="BO370" s="546"/>
      <c r="BP370" s="546"/>
      <c r="BQ370" s="546"/>
      <c r="BR370" s="546"/>
      <c r="BS370" s="546"/>
      <c r="BT370" s="546"/>
      <c r="BU370" s="546"/>
      <c r="BV370" s="546"/>
      <c r="BW370" s="546"/>
      <c r="BX370" s="546"/>
      <c r="BY370" s="546"/>
    </row>
    <row r="371" spans="1:77" ht="12" hidden="1" thickBot="1">
      <c r="A371" s="522" t="s">
        <v>1360</v>
      </c>
      <c r="B371" s="522" t="s">
        <v>399</v>
      </c>
      <c r="C371" s="522" t="s">
        <v>982</v>
      </c>
      <c r="D371" s="533" t="s">
        <v>1036</v>
      </c>
      <c r="E371" s="524">
        <v>321</v>
      </c>
      <c r="F371" s="526"/>
      <c r="G371" s="525">
        <v>18.12</v>
      </c>
      <c r="H371" s="526"/>
      <c r="I371" s="526"/>
      <c r="J371" s="526"/>
      <c r="K371" s="526"/>
      <c r="L371" s="526"/>
      <c r="M371" s="525">
        <v>1</v>
      </c>
      <c r="N371" s="525">
        <v>0.3</v>
      </c>
      <c r="O371" s="526"/>
      <c r="P371" s="526"/>
      <c r="Q371" s="525">
        <v>0</v>
      </c>
      <c r="R371" s="525">
        <v>19.420000000000002</v>
      </c>
      <c r="S371" s="527">
        <f t="shared" si="48"/>
        <v>18.12</v>
      </c>
      <c r="T371" s="528">
        <f t="shared" si="49"/>
        <v>0</v>
      </c>
      <c r="U371" s="527">
        <f t="shared" si="47"/>
        <v>0.3</v>
      </c>
      <c r="W371" s="326">
        <f t="shared" si="50"/>
        <v>19.420000000000002</v>
      </c>
      <c r="X371" s="261">
        <f t="shared" si="51"/>
        <v>0</v>
      </c>
      <c r="Y371" s="546"/>
      <c r="Z371" s="1016">
        <f t="shared" si="46"/>
        <v>18.12</v>
      </c>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46"/>
      <c r="AW371" s="546"/>
      <c r="AX371" s="546"/>
      <c r="AY371" s="546"/>
      <c r="AZ371" s="546"/>
      <c r="BA371" s="546"/>
      <c r="BB371" s="546"/>
      <c r="BC371" s="546"/>
      <c r="BD371" s="546"/>
      <c r="BE371" s="546"/>
      <c r="BF371" s="546"/>
      <c r="BG371" s="546"/>
      <c r="BH371" s="546"/>
      <c r="BI371" s="546"/>
      <c r="BJ371" s="546"/>
      <c r="BK371" s="546"/>
      <c r="BL371" s="546"/>
      <c r="BM371" s="546"/>
      <c r="BN371" s="546"/>
      <c r="BO371" s="546"/>
      <c r="BP371" s="546"/>
      <c r="BQ371" s="546"/>
      <c r="BR371" s="546"/>
      <c r="BS371" s="546"/>
      <c r="BT371" s="546"/>
      <c r="BU371" s="546"/>
      <c r="BV371" s="546"/>
      <c r="BW371" s="546"/>
      <c r="BX371" s="546"/>
      <c r="BY371" s="546"/>
    </row>
    <row r="372" spans="1:77" ht="12" hidden="1" thickBot="1">
      <c r="A372" s="522" t="s">
        <v>1360</v>
      </c>
      <c r="B372" s="522" t="s">
        <v>391</v>
      </c>
      <c r="C372" s="522" t="s">
        <v>983</v>
      </c>
      <c r="D372" s="533" t="s">
        <v>1036</v>
      </c>
      <c r="E372" s="530">
        <v>4968</v>
      </c>
      <c r="F372" s="532"/>
      <c r="G372" s="531">
        <v>1258.5999999999999</v>
      </c>
      <c r="H372" s="532"/>
      <c r="I372" s="532"/>
      <c r="J372" s="532"/>
      <c r="K372" s="532"/>
      <c r="L372" s="532"/>
      <c r="M372" s="531">
        <v>15.25</v>
      </c>
      <c r="N372" s="531">
        <v>20.350000000000001</v>
      </c>
      <c r="O372" s="532"/>
      <c r="P372" s="532"/>
      <c r="Q372" s="531">
        <v>0</v>
      </c>
      <c r="R372" s="531">
        <v>1294.2</v>
      </c>
      <c r="S372" s="527">
        <f t="shared" si="48"/>
        <v>1258.5999999999999</v>
      </c>
      <c r="T372" s="528">
        <f t="shared" si="49"/>
        <v>0</v>
      </c>
      <c r="U372" s="527">
        <f t="shared" si="47"/>
        <v>20.350000000000001</v>
      </c>
      <c r="W372" s="326">
        <f t="shared" si="50"/>
        <v>1294.1999999999998</v>
      </c>
      <c r="X372" s="261">
        <f t="shared" si="51"/>
        <v>0</v>
      </c>
      <c r="Y372" s="546"/>
      <c r="Z372" s="1016">
        <f t="shared" si="46"/>
        <v>1258.5999999999999</v>
      </c>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46"/>
      <c r="AW372" s="546"/>
      <c r="AX372" s="546"/>
      <c r="AY372" s="546"/>
      <c r="AZ372" s="546"/>
      <c r="BA372" s="546"/>
      <c r="BB372" s="546"/>
      <c r="BC372" s="546"/>
      <c r="BD372" s="546"/>
      <c r="BE372" s="546"/>
      <c r="BF372" s="546"/>
      <c r="BG372" s="546"/>
      <c r="BH372" s="546"/>
      <c r="BI372" s="546"/>
      <c r="BJ372" s="546"/>
      <c r="BK372" s="546"/>
      <c r="BL372" s="546"/>
      <c r="BM372" s="546"/>
      <c r="BN372" s="546"/>
      <c r="BO372" s="546"/>
      <c r="BP372" s="546"/>
      <c r="BQ372" s="546"/>
      <c r="BR372" s="546"/>
      <c r="BS372" s="546"/>
      <c r="BT372" s="546"/>
      <c r="BU372" s="546"/>
      <c r="BV372" s="546"/>
      <c r="BW372" s="546"/>
      <c r="BX372" s="546"/>
      <c r="BY372" s="546"/>
    </row>
    <row r="373" spans="1:77" ht="12" hidden="1" thickBot="1">
      <c r="A373" s="522" t="s">
        <v>1360</v>
      </c>
      <c r="B373" s="522" t="s">
        <v>416</v>
      </c>
      <c r="C373" s="522" t="s">
        <v>984</v>
      </c>
      <c r="D373" s="533" t="s">
        <v>1035</v>
      </c>
      <c r="E373" s="524">
        <v>1517873</v>
      </c>
      <c r="F373" s="526"/>
      <c r="G373" s="525">
        <v>285893.11</v>
      </c>
      <c r="H373" s="526"/>
      <c r="I373" s="526"/>
      <c r="J373" s="526"/>
      <c r="K373" s="526"/>
      <c r="L373" s="526"/>
      <c r="M373" s="525">
        <v>4688.09</v>
      </c>
      <c r="N373" s="525">
        <v>4791.05</v>
      </c>
      <c r="O373" s="526"/>
      <c r="P373" s="526"/>
      <c r="Q373" s="525">
        <v>0</v>
      </c>
      <c r="R373" s="525">
        <v>295372.25</v>
      </c>
      <c r="S373" s="527">
        <f t="shared" si="48"/>
        <v>285893.11</v>
      </c>
      <c r="T373" s="528">
        <f t="shared" si="49"/>
        <v>0</v>
      </c>
      <c r="U373" s="527">
        <f t="shared" si="47"/>
        <v>4791.05</v>
      </c>
      <c r="W373" s="326">
        <f t="shared" si="50"/>
        <v>295372.25</v>
      </c>
      <c r="X373" s="261">
        <f t="shared" si="51"/>
        <v>0</v>
      </c>
      <c r="Y373" s="546"/>
      <c r="Z373" s="1016">
        <f t="shared" si="46"/>
        <v>285893.11</v>
      </c>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46"/>
      <c r="AW373" s="546"/>
      <c r="AX373" s="546"/>
      <c r="AY373" s="546"/>
      <c r="AZ373" s="546"/>
      <c r="BA373" s="546"/>
      <c r="BB373" s="546"/>
      <c r="BC373" s="546"/>
      <c r="BD373" s="546"/>
      <c r="BE373" s="546"/>
      <c r="BF373" s="546"/>
      <c r="BG373" s="546"/>
      <c r="BH373" s="546"/>
      <c r="BI373" s="546"/>
      <c r="BJ373" s="546"/>
      <c r="BK373" s="546"/>
      <c r="BL373" s="546"/>
      <c r="BM373" s="546"/>
      <c r="BN373" s="546"/>
      <c r="BO373" s="546"/>
      <c r="BP373" s="546"/>
      <c r="BQ373" s="546"/>
      <c r="BR373" s="546"/>
      <c r="BS373" s="546"/>
      <c r="BT373" s="546"/>
      <c r="BU373" s="546"/>
      <c r="BV373" s="546"/>
      <c r="BW373" s="546"/>
      <c r="BX373" s="546"/>
      <c r="BY373" s="546"/>
    </row>
    <row r="374" spans="1:77" ht="12" hidden="1" thickBot="1">
      <c r="A374" s="522" t="s">
        <v>1360</v>
      </c>
      <c r="B374" s="547" t="s">
        <v>407</v>
      </c>
      <c r="C374" s="522" t="s">
        <v>985</v>
      </c>
      <c r="D374" s="533" t="s">
        <v>1035</v>
      </c>
      <c r="E374" s="524">
        <v>48915</v>
      </c>
      <c r="F374" s="526"/>
      <c r="G374" s="525">
        <v>25639.58</v>
      </c>
      <c r="H374" s="526"/>
      <c r="I374" s="526"/>
      <c r="J374" s="526"/>
      <c r="K374" s="526"/>
      <c r="L374" s="526"/>
      <c r="M374" s="525">
        <v>111.77</v>
      </c>
      <c r="N374" s="525">
        <v>596.32000000000005</v>
      </c>
      <c r="O374" s="526"/>
      <c r="P374" s="526"/>
      <c r="Q374" s="525">
        <v>0</v>
      </c>
      <c r="R374" s="525">
        <v>26347.67</v>
      </c>
      <c r="S374" s="527">
        <f t="shared" si="48"/>
        <v>25639.58</v>
      </c>
      <c r="T374" s="528">
        <f t="shared" si="49"/>
        <v>0</v>
      </c>
      <c r="U374" s="527">
        <f t="shared" si="47"/>
        <v>596.32000000000005</v>
      </c>
      <c r="W374" s="326">
        <f t="shared" si="50"/>
        <v>26347.670000000002</v>
      </c>
      <c r="X374" s="261">
        <f t="shared" si="51"/>
        <v>0</v>
      </c>
      <c r="Y374" s="546"/>
      <c r="Z374" s="1016">
        <f t="shared" si="46"/>
        <v>25639.58</v>
      </c>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46"/>
      <c r="AW374" s="546"/>
      <c r="AX374" s="546"/>
      <c r="AY374" s="546"/>
      <c r="AZ374" s="546"/>
      <c r="BA374" s="546"/>
      <c r="BB374" s="546"/>
      <c r="BC374" s="546"/>
      <c r="BD374" s="546"/>
      <c r="BE374" s="546"/>
      <c r="BF374" s="546"/>
      <c r="BG374" s="546"/>
      <c r="BH374" s="546"/>
      <c r="BI374" s="546"/>
      <c r="BJ374" s="546"/>
      <c r="BK374" s="546"/>
      <c r="BL374" s="546"/>
      <c r="BM374" s="546"/>
      <c r="BN374" s="546"/>
      <c r="BO374" s="546"/>
      <c r="BP374" s="546"/>
      <c r="BQ374" s="546"/>
      <c r="BR374" s="546"/>
      <c r="BS374" s="546"/>
      <c r="BT374" s="546"/>
      <c r="BU374" s="546"/>
      <c r="BV374" s="546"/>
      <c r="BW374" s="546"/>
      <c r="BX374" s="546"/>
      <c r="BY374" s="546"/>
    </row>
    <row r="375" spans="1:77" ht="12" hidden="1" thickBot="1">
      <c r="A375" s="522" t="s">
        <v>1360</v>
      </c>
      <c r="B375" s="522" t="s">
        <v>373</v>
      </c>
      <c r="C375" s="522" t="s">
        <v>986</v>
      </c>
      <c r="D375" s="533" t="s">
        <v>1036</v>
      </c>
      <c r="E375" s="530">
        <v>596</v>
      </c>
      <c r="F375" s="532"/>
      <c r="G375" s="531">
        <v>38.700000000000003</v>
      </c>
      <c r="H375" s="532"/>
      <c r="I375" s="532"/>
      <c r="J375" s="532"/>
      <c r="K375" s="532"/>
      <c r="L375" s="532"/>
      <c r="M375" s="531">
        <v>-0.87</v>
      </c>
      <c r="N375" s="531">
        <v>2.14</v>
      </c>
      <c r="O375" s="532"/>
      <c r="P375" s="532"/>
      <c r="Q375" s="531">
        <v>0</v>
      </c>
      <c r="R375" s="531">
        <v>39.97</v>
      </c>
      <c r="S375" s="527">
        <f t="shared" si="48"/>
        <v>38.700000000000003</v>
      </c>
      <c r="T375" s="528">
        <f t="shared" si="49"/>
        <v>0</v>
      </c>
      <c r="U375" s="527">
        <f t="shared" si="47"/>
        <v>2.14</v>
      </c>
      <c r="W375" s="326">
        <f t="shared" si="50"/>
        <v>39.970000000000006</v>
      </c>
      <c r="X375" s="261">
        <f t="shared" si="51"/>
        <v>0</v>
      </c>
      <c r="Y375" s="546"/>
      <c r="Z375" s="1016">
        <f t="shared" si="46"/>
        <v>38.700000000000003</v>
      </c>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46"/>
      <c r="AW375" s="546"/>
      <c r="AX375" s="546"/>
      <c r="AY375" s="546"/>
      <c r="AZ375" s="546"/>
      <c r="BA375" s="546"/>
      <c r="BB375" s="546"/>
      <c r="BC375" s="546"/>
      <c r="BD375" s="546"/>
      <c r="BE375" s="546"/>
      <c r="BF375" s="546"/>
      <c r="BG375" s="546"/>
      <c r="BH375" s="546"/>
      <c r="BI375" s="546"/>
      <c r="BJ375" s="546"/>
      <c r="BK375" s="546"/>
      <c r="BL375" s="546"/>
      <c r="BM375" s="546"/>
      <c r="BN375" s="546"/>
      <c r="BO375" s="546"/>
      <c r="BP375" s="546"/>
      <c r="BQ375" s="546"/>
      <c r="BR375" s="546"/>
      <c r="BS375" s="546"/>
      <c r="BT375" s="546"/>
      <c r="BU375" s="546"/>
      <c r="BV375" s="546"/>
      <c r="BW375" s="546"/>
      <c r="BX375" s="546"/>
      <c r="BY375" s="546"/>
    </row>
    <row r="376" spans="1:77" ht="12" hidden="1" thickBot="1">
      <c r="A376" s="522" t="s">
        <v>1360</v>
      </c>
      <c r="B376" s="522" t="s">
        <v>375</v>
      </c>
      <c r="C376" s="522" t="s">
        <v>987</v>
      </c>
      <c r="D376" s="533" t="s">
        <v>1036</v>
      </c>
      <c r="E376" s="524">
        <v>43</v>
      </c>
      <c r="F376" s="526"/>
      <c r="G376" s="525">
        <v>27.22</v>
      </c>
      <c r="H376" s="526"/>
      <c r="I376" s="526"/>
      <c r="J376" s="526"/>
      <c r="K376" s="526"/>
      <c r="L376" s="526"/>
      <c r="M376" s="525">
        <v>0.13</v>
      </c>
      <c r="N376" s="525">
        <v>0.44</v>
      </c>
      <c r="O376" s="526"/>
      <c r="P376" s="526"/>
      <c r="Q376" s="525">
        <v>0</v>
      </c>
      <c r="R376" s="525">
        <v>27.79</v>
      </c>
      <c r="S376" s="527">
        <f t="shared" si="48"/>
        <v>27.22</v>
      </c>
      <c r="T376" s="528">
        <f t="shared" si="49"/>
        <v>0</v>
      </c>
      <c r="U376" s="527">
        <f t="shared" si="47"/>
        <v>0.44</v>
      </c>
      <c r="W376" s="326">
        <f t="shared" si="50"/>
        <v>27.79</v>
      </c>
      <c r="X376" s="261">
        <f t="shared" si="51"/>
        <v>0</v>
      </c>
      <c r="Y376" s="546"/>
      <c r="Z376" s="1016">
        <f t="shared" si="46"/>
        <v>27.22</v>
      </c>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46"/>
      <c r="AW376" s="546"/>
      <c r="AX376" s="546"/>
      <c r="AY376" s="546"/>
      <c r="AZ376" s="546"/>
      <c r="BA376" s="546"/>
      <c r="BB376" s="546"/>
      <c r="BC376" s="546"/>
      <c r="BD376" s="546"/>
      <c r="BE376" s="546"/>
      <c r="BF376" s="546"/>
      <c r="BG376" s="546"/>
      <c r="BH376" s="546"/>
      <c r="BI376" s="546"/>
      <c r="BJ376" s="546"/>
      <c r="BK376" s="546"/>
      <c r="BL376" s="546"/>
      <c r="BM376" s="546"/>
      <c r="BN376" s="546"/>
      <c r="BO376" s="546"/>
      <c r="BP376" s="546"/>
      <c r="BQ376" s="546"/>
      <c r="BR376" s="546"/>
      <c r="BS376" s="546"/>
      <c r="BT376" s="546"/>
      <c r="BU376" s="546"/>
      <c r="BV376" s="546"/>
      <c r="BW376" s="546"/>
      <c r="BX376" s="546"/>
      <c r="BY376" s="546"/>
    </row>
    <row r="377" spans="1:77" ht="12" hidden="1" thickBot="1">
      <c r="A377" s="522" t="s">
        <v>1360</v>
      </c>
      <c r="B377" s="522" t="s">
        <v>401</v>
      </c>
      <c r="C377" s="522" t="s">
        <v>988</v>
      </c>
      <c r="D377" s="533" t="s">
        <v>1036</v>
      </c>
      <c r="E377" s="530">
        <v>81899</v>
      </c>
      <c r="F377" s="532"/>
      <c r="G377" s="531">
        <v>10358.200000000001</v>
      </c>
      <c r="H377" s="532"/>
      <c r="I377" s="532"/>
      <c r="J377" s="532"/>
      <c r="K377" s="532"/>
      <c r="L377" s="532"/>
      <c r="M377" s="531">
        <v>186.19</v>
      </c>
      <c r="N377" s="531">
        <v>246.2</v>
      </c>
      <c r="O377" s="532"/>
      <c r="P377" s="532"/>
      <c r="Q377" s="531">
        <v>0</v>
      </c>
      <c r="R377" s="531">
        <v>10790.59</v>
      </c>
      <c r="S377" s="527">
        <f t="shared" si="48"/>
        <v>10358.200000000001</v>
      </c>
      <c r="T377" s="528">
        <f t="shared" si="49"/>
        <v>0</v>
      </c>
      <c r="U377" s="527">
        <f t="shared" si="47"/>
        <v>246.2</v>
      </c>
      <c r="W377" s="326">
        <f t="shared" si="50"/>
        <v>10790.590000000002</v>
      </c>
      <c r="X377" s="261">
        <f t="shared" si="51"/>
        <v>0</v>
      </c>
      <c r="Y377" s="546"/>
      <c r="Z377" s="1016">
        <f t="shared" si="46"/>
        <v>10358.200000000001</v>
      </c>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46"/>
      <c r="AW377" s="546"/>
      <c r="AX377" s="546"/>
      <c r="AY377" s="546"/>
      <c r="AZ377" s="546"/>
      <c r="BA377" s="546"/>
      <c r="BB377" s="546"/>
      <c r="BC377" s="546"/>
      <c r="BD377" s="546"/>
      <c r="BE377" s="546"/>
      <c r="BF377" s="546"/>
      <c r="BG377" s="546"/>
      <c r="BH377" s="546"/>
      <c r="BI377" s="546"/>
      <c r="BJ377" s="546"/>
      <c r="BK377" s="546"/>
      <c r="BL377" s="546"/>
      <c r="BM377" s="546"/>
      <c r="BN377" s="546"/>
      <c r="BO377" s="546"/>
      <c r="BP377" s="546"/>
      <c r="BQ377" s="546"/>
      <c r="BR377" s="546"/>
      <c r="BS377" s="546"/>
      <c r="BT377" s="546"/>
      <c r="BU377" s="546"/>
      <c r="BV377" s="546"/>
      <c r="BW377" s="546"/>
      <c r="BX377" s="546"/>
      <c r="BY377" s="546"/>
    </row>
    <row r="378" spans="1:77" ht="12" hidden="1" thickBot="1">
      <c r="A378" s="522" t="s">
        <v>1360</v>
      </c>
      <c r="B378" s="522" t="s">
        <v>328</v>
      </c>
      <c r="C378" s="522" t="s">
        <v>989</v>
      </c>
      <c r="D378" s="533" t="s">
        <v>1036</v>
      </c>
      <c r="E378" s="524">
        <v>83963</v>
      </c>
      <c r="F378" s="526"/>
      <c r="G378" s="525">
        <v>8378.27</v>
      </c>
      <c r="H378" s="526"/>
      <c r="I378" s="526"/>
      <c r="J378" s="526"/>
      <c r="K378" s="526"/>
      <c r="L378" s="526"/>
      <c r="M378" s="525">
        <v>-107.03</v>
      </c>
      <c r="N378" s="525">
        <v>454.17</v>
      </c>
      <c r="O378" s="526"/>
      <c r="P378" s="526"/>
      <c r="Q378" s="525">
        <v>0</v>
      </c>
      <c r="R378" s="525">
        <v>8725.41</v>
      </c>
      <c r="S378" s="527">
        <f t="shared" si="48"/>
        <v>8378.27</v>
      </c>
      <c r="T378" s="528">
        <f t="shared" si="49"/>
        <v>0</v>
      </c>
      <c r="U378" s="527">
        <f t="shared" si="47"/>
        <v>454.17</v>
      </c>
      <c r="W378" s="326">
        <f t="shared" si="50"/>
        <v>8725.41</v>
      </c>
      <c r="X378" s="261">
        <f t="shared" si="51"/>
        <v>0</v>
      </c>
      <c r="Y378" s="546"/>
      <c r="Z378" s="1016">
        <f t="shared" si="46"/>
        <v>8378.27</v>
      </c>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46"/>
      <c r="AW378" s="546"/>
      <c r="AX378" s="546"/>
      <c r="AY378" s="546"/>
      <c r="AZ378" s="546"/>
      <c r="BA378" s="546"/>
      <c r="BB378" s="546"/>
      <c r="BC378" s="546"/>
      <c r="BD378" s="546"/>
      <c r="BE378" s="546"/>
      <c r="BF378" s="546"/>
      <c r="BG378" s="546"/>
      <c r="BH378" s="546"/>
      <c r="BI378" s="546"/>
      <c r="BJ378" s="546"/>
      <c r="BK378" s="546"/>
      <c r="BL378" s="546"/>
      <c r="BM378" s="546"/>
      <c r="BN378" s="546"/>
      <c r="BO378" s="546"/>
      <c r="BP378" s="546"/>
      <c r="BQ378" s="546"/>
      <c r="BR378" s="546"/>
      <c r="BS378" s="546"/>
      <c r="BT378" s="546"/>
      <c r="BU378" s="546"/>
      <c r="BV378" s="546"/>
      <c r="BW378" s="546"/>
      <c r="BX378" s="546"/>
      <c r="BY378" s="546"/>
    </row>
    <row r="379" spans="1:77" ht="12" hidden="1" thickBot="1">
      <c r="A379" s="522" t="s">
        <v>1360</v>
      </c>
      <c r="B379" s="522" t="s">
        <v>437</v>
      </c>
      <c r="C379" s="522" t="s">
        <v>990</v>
      </c>
      <c r="D379" s="533" t="s">
        <v>1036</v>
      </c>
      <c r="E379" s="530">
        <v>245797</v>
      </c>
      <c r="F379" s="532"/>
      <c r="G379" s="531">
        <v>18980.72</v>
      </c>
      <c r="H379" s="532"/>
      <c r="I379" s="532"/>
      <c r="J379" s="532"/>
      <c r="K379" s="532"/>
      <c r="L379" s="532"/>
      <c r="M379" s="531">
        <v>299.07</v>
      </c>
      <c r="N379" s="531">
        <v>615.28</v>
      </c>
      <c r="O379" s="532"/>
      <c r="P379" s="532"/>
      <c r="Q379" s="531">
        <v>0</v>
      </c>
      <c r="R379" s="531">
        <v>19895.07</v>
      </c>
      <c r="S379" s="527">
        <f t="shared" si="48"/>
        <v>18980.72</v>
      </c>
      <c r="T379" s="528">
        <f t="shared" si="49"/>
        <v>0</v>
      </c>
      <c r="U379" s="527">
        <f t="shared" si="47"/>
        <v>615.28</v>
      </c>
      <c r="W379" s="326">
        <f t="shared" si="50"/>
        <v>19895.07</v>
      </c>
      <c r="X379" s="261">
        <f t="shared" si="51"/>
        <v>0</v>
      </c>
      <c r="Y379" s="546"/>
      <c r="Z379" s="1016">
        <f t="shared" si="46"/>
        <v>18980.72</v>
      </c>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46"/>
      <c r="AW379" s="546"/>
      <c r="AX379" s="546"/>
      <c r="AY379" s="546"/>
      <c r="AZ379" s="546"/>
      <c r="BA379" s="546"/>
      <c r="BB379" s="546"/>
      <c r="BC379" s="546"/>
      <c r="BD379" s="546"/>
      <c r="BE379" s="546"/>
      <c r="BF379" s="546"/>
      <c r="BG379" s="546"/>
      <c r="BH379" s="546"/>
      <c r="BI379" s="546"/>
      <c r="BJ379" s="546"/>
      <c r="BK379" s="546"/>
      <c r="BL379" s="546"/>
      <c r="BM379" s="546"/>
      <c r="BN379" s="546"/>
      <c r="BO379" s="546"/>
      <c r="BP379" s="546"/>
      <c r="BQ379" s="546"/>
      <c r="BR379" s="546"/>
      <c r="BS379" s="546"/>
      <c r="BT379" s="546"/>
      <c r="BU379" s="546"/>
      <c r="BV379" s="546"/>
      <c r="BW379" s="546"/>
      <c r="BX379" s="546"/>
      <c r="BY379" s="546"/>
    </row>
    <row r="380" spans="1:77" ht="12" hidden="1" thickBot="1">
      <c r="A380" s="522" t="s">
        <v>1360</v>
      </c>
      <c r="B380" s="522" t="s">
        <v>338</v>
      </c>
      <c r="C380" s="522" t="s">
        <v>991</v>
      </c>
      <c r="D380" s="533" t="s">
        <v>1035</v>
      </c>
      <c r="E380" s="524">
        <v>35473</v>
      </c>
      <c r="F380" s="526"/>
      <c r="G380" s="525">
        <v>9439.2099999999991</v>
      </c>
      <c r="H380" s="526"/>
      <c r="I380" s="526"/>
      <c r="J380" s="526"/>
      <c r="K380" s="526"/>
      <c r="L380" s="526"/>
      <c r="M380" s="525">
        <v>105.4</v>
      </c>
      <c r="N380" s="525">
        <v>164.5</v>
      </c>
      <c r="O380" s="526"/>
      <c r="P380" s="526"/>
      <c r="Q380" s="525">
        <v>0</v>
      </c>
      <c r="R380" s="525">
        <v>9709.11</v>
      </c>
      <c r="S380" s="527">
        <f t="shared" si="48"/>
        <v>9439.2099999999991</v>
      </c>
      <c r="T380" s="528">
        <f t="shared" si="49"/>
        <v>0</v>
      </c>
      <c r="U380" s="527">
        <f t="shared" si="47"/>
        <v>164.5</v>
      </c>
      <c r="W380" s="326">
        <f t="shared" si="50"/>
        <v>9709.1099999999988</v>
      </c>
      <c r="X380" s="261">
        <f t="shared" si="51"/>
        <v>0</v>
      </c>
      <c r="Y380" s="546"/>
      <c r="Z380" s="1016">
        <f t="shared" si="46"/>
        <v>9439.2099999999991</v>
      </c>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46"/>
      <c r="AW380" s="546"/>
      <c r="AX380" s="546"/>
      <c r="AY380" s="546"/>
      <c r="AZ380" s="546"/>
      <c r="BA380" s="546"/>
      <c r="BB380" s="546"/>
      <c r="BC380" s="546"/>
      <c r="BD380" s="546"/>
      <c r="BE380" s="546"/>
      <c r="BF380" s="546"/>
      <c r="BG380" s="546"/>
      <c r="BH380" s="546"/>
      <c r="BI380" s="546"/>
      <c r="BJ380" s="546"/>
      <c r="BK380" s="546"/>
      <c r="BL380" s="546"/>
      <c r="BM380" s="546"/>
      <c r="BN380" s="546"/>
      <c r="BO380" s="546"/>
      <c r="BP380" s="546"/>
      <c r="BQ380" s="546"/>
      <c r="BR380" s="546"/>
      <c r="BS380" s="546"/>
      <c r="BT380" s="546"/>
      <c r="BU380" s="546"/>
      <c r="BV380" s="546"/>
      <c r="BW380" s="546"/>
      <c r="BX380" s="546"/>
      <c r="BY380" s="546"/>
    </row>
    <row r="381" spans="1:77" ht="12" hidden="1" thickBot="1">
      <c r="A381" s="522" t="s">
        <v>1360</v>
      </c>
      <c r="B381" s="522" t="s">
        <v>370</v>
      </c>
      <c r="C381" s="522" t="s">
        <v>992</v>
      </c>
      <c r="D381" s="533" t="s">
        <v>1035</v>
      </c>
      <c r="E381" s="530">
        <v>641218</v>
      </c>
      <c r="F381" s="532"/>
      <c r="G381" s="531">
        <v>103628.78</v>
      </c>
      <c r="H381" s="532"/>
      <c r="I381" s="532"/>
      <c r="J381" s="532"/>
      <c r="K381" s="532"/>
      <c r="L381" s="532"/>
      <c r="M381" s="531">
        <v>1877.44</v>
      </c>
      <c r="N381" s="531">
        <v>1850.58</v>
      </c>
      <c r="O381" s="532"/>
      <c r="P381" s="532"/>
      <c r="Q381" s="531">
        <v>0</v>
      </c>
      <c r="R381" s="531">
        <v>107356.8</v>
      </c>
      <c r="S381" s="527">
        <f t="shared" si="48"/>
        <v>103628.78</v>
      </c>
      <c r="T381" s="528">
        <f t="shared" si="49"/>
        <v>0</v>
      </c>
      <c r="U381" s="527">
        <f t="shared" si="47"/>
        <v>1850.58</v>
      </c>
      <c r="W381" s="326">
        <f t="shared" si="50"/>
        <v>107356.8</v>
      </c>
      <c r="X381" s="261">
        <f t="shared" si="51"/>
        <v>0</v>
      </c>
      <c r="Y381" s="546"/>
      <c r="Z381" s="1016">
        <f t="shared" si="46"/>
        <v>103628.78</v>
      </c>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46"/>
      <c r="AW381" s="546"/>
      <c r="AX381" s="546"/>
      <c r="AY381" s="546"/>
      <c r="AZ381" s="546"/>
      <c r="BA381" s="546"/>
      <c r="BB381" s="546"/>
      <c r="BC381" s="546"/>
      <c r="BD381" s="546"/>
      <c r="BE381" s="546"/>
      <c r="BF381" s="546"/>
      <c r="BG381" s="546"/>
      <c r="BH381" s="546"/>
      <c r="BI381" s="546"/>
      <c r="BJ381" s="546"/>
      <c r="BK381" s="546"/>
      <c r="BL381" s="546"/>
      <c r="BM381" s="546"/>
      <c r="BN381" s="546"/>
      <c r="BO381" s="546"/>
      <c r="BP381" s="546"/>
      <c r="BQ381" s="546"/>
      <c r="BR381" s="546"/>
      <c r="BS381" s="546"/>
      <c r="BT381" s="546"/>
      <c r="BU381" s="546"/>
      <c r="BV381" s="546"/>
      <c r="BW381" s="546"/>
      <c r="BX381" s="546"/>
      <c r="BY381" s="546"/>
    </row>
    <row r="382" spans="1:77" ht="12" hidden="1" thickBot="1">
      <c r="A382" s="522" t="s">
        <v>1360</v>
      </c>
      <c r="B382" s="522" t="s">
        <v>333</v>
      </c>
      <c r="C382" s="522" t="s">
        <v>993</v>
      </c>
      <c r="D382" s="533" t="s">
        <v>1035</v>
      </c>
      <c r="E382" s="524">
        <v>399341</v>
      </c>
      <c r="F382" s="526"/>
      <c r="G382" s="525">
        <v>43891.93</v>
      </c>
      <c r="H382" s="526"/>
      <c r="I382" s="526"/>
      <c r="J382" s="526"/>
      <c r="K382" s="526"/>
      <c r="L382" s="526"/>
      <c r="M382" s="525">
        <v>1199.67</v>
      </c>
      <c r="N382" s="525">
        <v>765</v>
      </c>
      <c r="O382" s="526"/>
      <c r="P382" s="526"/>
      <c r="Q382" s="525">
        <v>0</v>
      </c>
      <c r="R382" s="525">
        <v>45856.6</v>
      </c>
      <c r="S382" s="527">
        <f t="shared" si="48"/>
        <v>43891.93</v>
      </c>
      <c r="T382" s="528">
        <f t="shared" si="49"/>
        <v>0</v>
      </c>
      <c r="U382" s="527">
        <f t="shared" si="47"/>
        <v>765</v>
      </c>
      <c r="W382" s="326">
        <f t="shared" si="50"/>
        <v>45856.6</v>
      </c>
      <c r="X382" s="261">
        <f t="shared" si="51"/>
        <v>0</v>
      </c>
      <c r="Y382" s="546"/>
      <c r="Z382" s="1016">
        <f t="shared" si="46"/>
        <v>43891.93</v>
      </c>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46"/>
      <c r="AW382" s="546"/>
      <c r="AX382" s="546"/>
      <c r="AY382" s="546"/>
      <c r="AZ382" s="546"/>
      <c r="BA382" s="546"/>
      <c r="BB382" s="546"/>
      <c r="BC382" s="546"/>
      <c r="BD382" s="546"/>
      <c r="BE382" s="546"/>
      <c r="BF382" s="546"/>
      <c r="BG382" s="546"/>
      <c r="BH382" s="546"/>
      <c r="BI382" s="546"/>
      <c r="BJ382" s="546"/>
      <c r="BK382" s="546"/>
      <c r="BL382" s="546"/>
      <c r="BM382" s="546"/>
      <c r="BN382" s="546"/>
      <c r="BO382" s="546"/>
      <c r="BP382" s="546"/>
      <c r="BQ382" s="546"/>
      <c r="BR382" s="546"/>
      <c r="BS382" s="546"/>
      <c r="BT382" s="546"/>
      <c r="BU382" s="546"/>
      <c r="BV382" s="546"/>
      <c r="BW382" s="546"/>
      <c r="BX382" s="546"/>
      <c r="BY382" s="546"/>
    </row>
    <row r="383" spans="1:77" ht="12" hidden="1" thickBot="1">
      <c r="A383" s="522" t="s">
        <v>1360</v>
      </c>
      <c r="B383" s="522" t="s">
        <v>336</v>
      </c>
      <c r="C383" s="522" t="s">
        <v>994</v>
      </c>
      <c r="D383" s="533" t="s">
        <v>1036</v>
      </c>
      <c r="E383" s="530">
        <v>8051</v>
      </c>
      <c r="F383" s="532"/>
      <c r="G383" s="531">
        <v>2796.71</v>
      </c>
      <c r="H383" s="532"/>
      <c r="I383" s="532"/>
      <c r="J383" s="532"/>
      <c r="K383" s="532"/>
      <c r="L383" s="532"/>
      <c r="M383" s="531">
        <v>22.78</v>
      </c>
      <c r="N383" s="531">
        <v>51.74</v>
      </c>
      <c r="O383" s="532"/>
      <c r="P383" s="532"/>
      <c r="Q383" s="531">
        <v>0</v>
      </c>
      <c r="R383" s="531">
        <v>2871.23</v>
      </c>
      <c r="S383" s="527">
        <f t="shared" si="48"/>
        <v>2796.71</v>
      </c>
      <c r="T383" s="528">
        <f t="shared" si="49"/>
        <v>0</v>
      </c>
      <c r="U383" s="527">
        <f t="shared" si="47"/>
        <v>51.74</v>
      </c>
      <c r="W383" s="326">
        <f t="shared" si="50"/>
        <v>2871.23</v>
      </c>
      <c r="X383" s="261">
        <f t="shared" si="51"/>
        <v>0</v>
      </c>
      <c r="Y383" s="546"/>
      <c r="Z383" s="1016">
        <f t="shared" si="46"/>
        <v>2796.71</v>
      </c>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46"/>
      <c r="AW383" s="546"/>
      <c r="AX383" s="546"/>
      <c r="AY383" s="546"/>
      <c r="AZ383" s="546"/>
      <c r="BA383" s="546"/>
      <c r="BB383" s="546"/>
      <c r="BC383" s="546"/>
      <c r="BD383" s="546"/>
      <c r="BE383" s="546"/>
      <c r="BF383" s="546"/>
      <c r="BG383" s="546"/>
      <c r="BH383" s="546"/>
      <c r="BI383" s="546"/>
      <c r="BJ383" s="546"/>
      <c r="BK383" s="546"/>
      <c r="BL383" s="546"/>
      <c r="BM383" s="546"/>
      <c r="BN383" s="546"/>
      <c r="BO383" s="546"/>
      <c r="BP383" s="546"/>
      <c r="BQ383" s="546"/>
      <c r="BR383" s="546"/>
      <c r="BS383" s="546"/>
      <c r="BT383" s="546"/>
      <c r="BU383" s="546"/>
      <c r="BV383" s="546"/>
      <c r="BW383" s="546"/>
      <c r="BX383" s="546"/>
      <c r="BY383" s="546"/>
    </row>
    <row r="384" spans="1:77" ht="12" hidden="1" thickBot="1">
      <c r="A384" s="522" t="s">
        <v>1360</v>
      </c>
      <c r="B384" s="522" t="s">
        <v>368</v>
      </c>
      <c r="C384" s="522" t="s">
        <v>995</v>
      </c>
      <c r="D384" s="533" t="s">
        <v>1036</v>
      </c>
      <c r="E384" s="524">
        <v>129998</v>
      </c>
      <c r="F384" s="526"/>
      <c r="G384" s="525">
        <v>25414.61</v>
      </c>
      <c r="H384" s="526"/>
      <c r="I384" s="526"/>
      <c r="J384" s="526"/>
      <c r="K384" s="526"/>
      <c r="L384" s="526"/>
      <c r="M384" s="525">
        <v>379.9</v>
      </c>
      <c r="N384" s="525">
        <v>454.73</v>
      </c>
      <c r="O384" s="526"/>
      <c r="P384" s="526"/>
      <c r="Q384" s="525">
        <v>0</v>
      </c>
      <c r="R384" s="525">
        <v>26249.24</v>
      </c>
      <c r="S384" s="527">
        <f t="shared" si="48"/>
        <v>25414.61</v>
      </c>
      <c r="T384" s="528">
        <f t="shared" si="49"/>
        <v>0</v>
      </c>
      <c r="U384" s="527">
        <f t="shared" si="47"/>
        <v>454.73</v>
      </c>
      <c r="W384" s="326">
        <f t="shared" si="50"/>
        <v>26249.24</v>
      </c>
      <c r="X384" s="261">
        <f t="shared" si="51"/>
        <v>0</v>
      </c>
      <c r="Y384" s="546"/>
      <c r="Z384" s="1016">
        <f t="shared" si="46"/>
        <v>25414.61</v>
      </c>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46"/>
      <c r="AW384" s="546"/>
      <c r="AX384" s="546"/>
      <c r="AY384" s="546"/>
      <c r="AZ384" s="546"/>
      <c r="BA384" s="546"/>
      <c r="BB384" s="546"/>
      <c r="BC384" s="546"/>
      <c r="BD384" s="546"/>
      <c r="BE384" s="546"/>
      <c r="BF384" s="546"/>
      <c r="BG384" s="546"/>
      <c r="BH384" s="546"/>
      <c r="BI384" s="546"/>
      <c r="BJ384" s="546"/>
      <c r="BK384" s="546"/>
      <c r="BL384" s="546"/>
      <c r="BM384" s="546"/>
      <c r="BN384" s="546"/>
      <c r="BO384" s="546"/>
      <c r="BP384" s="546"/>
      <c r="BQ384" s="546"/>
      <c r="BR384" s="546"/>
      <c r="BS384" s="546"/>
      <c r="BT384" s="546"/>
      <c r="BU384" s="546"/>
      <c r="BV384" s="546"/>
      <c r="BW384" s="546"/>
      <c r="BX384" s="546"/>
      <c r="BY384" s="546"/>
    </row>
    <row r="385" spans="1:77" ht="12" hidden="1" thickBot="1">
      <c r="A385" s="522" t="s">
        <v>1360</v>
      </c>
      <c r="B385" s="522" t="s">
        <v>400</v>
      </c>
      <c r="C385" s="522" t="s">
        <v>996</v>
      </c>
      <c r="D385" s="533" t="s">
        <v>1036</v>
      </c>
      <c r="E385" s="530">
        <v>10881</v>
      </c>
      <c r="F385" s="532"/>
      <c r="G385" s="531">
        <v>1661.8</v>
      </c>
      <c r="H385" s="532"/>
      <c r="I385" s="532"/>
      <c r="J385" s="532"/>
      <c r="K385" s="532"/>
      <c r="L385" s="532"/>
      <c r="M385" s="531">
        <v>27.36</v>
      </c>
      <c r="N385" s="531">
        <v>36.1</v>
      </c>
      <c r="O385" s="532"/>
      <c r="P385" s="532"/>
      <c r="Q385" s="531">
        <v>0</v>
      </c>
      <c r="R385" s="531">
        <v>1725.26</v>
      </c>
      <c r="S385" s="527">
        <f t="shared" si="48"/>
        <v>1661.8</v>
      </c>
      <c r="T385" s="528">
        <f t="shared" si="49"/>
        <v>0</v>
      </c>
      <c r="U385" s="527">
        <f t="shared" si="47"/>
        <v>36.1</v>
      </c>
      <c r="W385" s="326">
        <f t="shared" si="50"/>
        <v>1725.2599999999998</v>
      </c>
      <c r="X385" s="261">
        <f t="shared" si="51"/>
        <v>0</v>
      </c>
      <c r="Y385" s="546"/>
      <c r="Z385" s="1016">
        <f t="shared" si="46"/>
        <v>1661.8</v>
      </c>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46"/>
      <c r="AW385" s="546"/>
      <c r="AX385" s="546"/>
      <c r="AY385" s="546"/>
      <c r="AZ385" s="546"/>
      <c r="BA385" s="546"/>
      <c r="BB385" s="546"/>
      <c r="BC385" s="546"/>
      <c r="BD385" s="546"/>
      <c r="BE385" s="546"/>
      <c r="BF385" s="546"/>
      <c r="BG385" s="546"/>
      <c r="BH385" s="546"/>
      <c r="BI385" s="546"/>
      <c r="BJ385" s="546"/>
      <c r="BK385" s="546"/>
      <c r="BL385" s="546"/>
      <c r="BM385" s="546"/>
      <c r="BN385" s="546"/>
      <c r="BO385" s="546"/>
      <c r="BP385" s="546"/>
      <c r="BQ385" s="546"/>
      <c r="BR385" s="546"/>
      <c r="BS385" s="546"/>
      <c r="BT385" s="546"/>
      <c r="BU385" s="546"/>
      <c r="BV385" s="546"/>
      <c r="BW385" s="546"/>
      <c r="BX385" s="546"/>
      <c r="BY385" s="546"/>
    </row>
    <row r="386" spans="1:77" ht="12" hidden="1" thickBot="1">
      <c r="A386" s="522" t="s">
        <v>1360</v>
      </c>
      <c r="B386" s="522" t="s">
        <v>327</v>
      </c>
      <c r="C386" s="522" t="s">
        <v>997</v>
      </c>
      <c r="D386" s="533" t="s">
        <v>1036</v>
      </c>
      <c r="E386" s="524">
        <v>51367</v>
      </c>
      <c r="F386" s="526"/>
      <c r="G386" s="525">
        <v>6054.23</v>
      </c>
      <c r="H386" s="526"/>
      <c r="I386" s="526"/>
      <c r="J386" s="526"/>
      <c r="K386" s="526"/>
      <c r="L386" s="526"/>
      <c r="M386" s="525">
        <v>-74.510000000000005</v>
      </c>
      <c r="N386" s="525">
        <v>337.9</v>
      </c>
      <c r="O386" s="526"/>
      <c r="P386" s="526"/>
      <c r="Q386" s="525">
        <v>0</v>
      </c>
      <c r="R386" s="525">
        <v>6317.62</v>
      </c>
      <c r="S386" s="527">
        <f t="shared" si="48"/>
        <v>6054.23</v>
      </c>
      <c r="T386" s="528">
        <f t="shared" si="49"/>
        <v>0</v>
      </c>
      <c r="U386" s="527">
        <f t="shared" si="47"/>
        <v>337.9</v>
      </c>
      <c r="W386" s="326">
        <f t="shared" si="50"/>
        <v>6317.619999999999</v>
      </c>
      <c r="X386" s="261">
        <f t="shared" si="51"/>
        <v>0</v>
      </c>
      <c r="Y386" s="546"/>
      <c r="Z386" s="1016">
        <f t="shared" ref="Z386:Z449" si="52">SUM(F386:K386)</f>
        <v>6054.23</v>
      </c>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46"/>
      <c r="AW386" s="546"/>
      <c r="AX386" s="546"/>
      <c r="AY386" s="546"/>
      <c r="AZ386" s="546"/>
      <c r="BA386" s="546"/>
      <c r="BB386" s="546"/>
      <c r="BC386" s="546"/>
      <c r="BD386" s="546"/>
      <c r="BE386" s="546"/>
      <c r="BF386" s="546"/>
      <c r="BG386" s="546"/>
      <c r="BH386" s="546"/>
      <c r="BI386" s="546"/>
      <c r="BJ386" s="546"/>
      <c r="BK386" s="546"/>
      <c r="BL386" s="546"/>
      <c r="BM386" s="546"/>
      <c r="BN386" s="546"/>
      <c r="BO386" s="546"/>
      <c r="BP386" s="546"/>
      <c r="BQ386" s="546"/>
      <c r="BR386" s="546"/>
      <c r="BS386" s="546"/>
      <c r="BT386" s="546"/>
      <c r="BU386" s="546"/>
      <c r="BV386" s="546"/>
      <c r="BW386" s="546"/>
      <c r="BX386" s="546"/>
      <c r="BY386" s="546"/>
    </row>
    <row r="387" spans="1:77" ht="12" hidden="1" thickBot="1">
      <c r="A387" s="522" t="s">
        <v>1360</v>
      </c>
      <c r="B387" s="522" t="s">
        <v>357</v>
      </c>
      <c r="C387" s="522" t="s">
        <v>998</v>
      </c>
      <c r="D387" s="533" t="s">
        <v>1036</v>
      </c>
      <c r="E387" s="530">
        <v>248939</v>
      </c>
      <c r="F387" s="532"/>
      <c r="G387" s="531">
        <v>22191.919999999998</v>
      </c>
      <c r="H387" s="532"/>
      <c r="I387" s="532"/>
      <c r="J387" s="532"/>
      <c r="K387" s="532"/>
      <c r="L387" s="532"/>
      <c r="M387" s="531">
        <v>-16.940000000000001</v>
      </c>
      <c r="N387" s="531">
        <v>958.36</v>
      </c>
      <c r="O387" s="532"/>
      <c r="P387" s="532"/>
      <c r="Q387" s="531">
        <v>0</v>
      </c>
      <c r="R387" s="531">
        <v>23133.34</v>
      </c>
      <c r="S387" s="527">
        <f t="shared" si="48"/>
        <v>22191.919999999998</v>
      </c>
      <c r="T387" s="528">
        <f t="shared" si="49"/>
        <v>0</v>
      </c>
      <c r="U387" s="527">
        <f t="shared" si="47"/>
        <v>958.36</v>
      </c>
      <c r="W387" s="326">
        <f t="shared" si="50"/>
        <v>23133.34</v>
      </c>
      <c r="X387" s="261">
        <f t="shared" si="51"/>
        <v>0</v>
      </c>
      <c r="Y387" s="546"/>
      <c r="Z387" s="1016">
        <f t="shared" si="52"/>
        <v>22191.919999999998</v>
      </c>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46"/>
      <c r="AW387" s="546"/>
      <c r="AX387" s="546"/>
      <c r="AY387" s="546"/>
      <c r="AZ387" s="546"/>
      <c r="BA387" s="546"/>
      <c r="BB387" s="546"/>
      <c r="BC387" s="546"/>
      <c r="BD387" s="546"/>
      <c r="BE387" s="546"/>
      <c r="BF387" s="546"/>
      <c r="BG387" s="546"/>
      <c r="BH387" s="546"/>
      <c r="BI387" s="546"/>
      <c r="BJ387" s="546"/>
      <c r="BK387" s="546"/>
      <c r="BL387" s="546"/>
      <c r="BM387" s="546"/>
      <c r="BN387" s="546"/>
      <c r="BO387" s="546"/>
      <c r="BP387" s="546"/>
      <c r="BQ387" s="546"/>
      <c r="BR387" s="546"/>
      <c r="BS387" s="546"/>
      <c r="BT387" s="546"/>
      <c r="BU387" s="546"/>
      <c r="BV387" s="546"/>
      <c r="BW387" s="546"/>
      <c r="BX387" s="546"/>
      <c r="BY387" s="546"/>
    </row>
    <row r="388" spans="1:77" ht="12" hidden="1" thickBot="1">
      <c r="A388" s="522" t="s">
        <v>1360</v>
      </c>
      <c r="B388" s="522" t="s">
        <v>331</v>
      </c>
      <c r="C388" s="522" t="s">
        <v>999</v>
      </c>
      <c r="D388" s="533" t="s">
        <v>1036</v>
      </c>
      <c r="E388" s="524">
        <v>84965</v>
      </c>
      <c r="F388" s="526"/>
      <c r="G388" s="525">
        <v>10402.89</v>
      </c>
      <c r="H388" s="526"/>
      <c r="I388" s="526"/>
      <c r="J388" s="526"/>
      <c r="K388" s="526"/>
      <c r="L388" s="526"/>
      <c r="M388" s="525">
        <v>257.16000000000003</v>
      </c>
      <c r="N388" s="525">
        <v>178.96</v>
      </c>
      <c r="O388" s="526"/>
      <c r="P388" s="526"/>
      <c r="Q388" s="525">
        <v>0</v>
      </c>
      <c r="R388" s="525">
        <v>10839.01</v>
      </c>
      <c r="S388" s="527">
        <f t="shared" si="48"/>
        <v>10402.89</v>
      </c>
      <c r="T388" s="528">
        <f t="shared" si="49"/>
        <v>0</v>
      </c>
      <c r="U388" s="527">
        <f t="shared" si="47"/>
        <v>178.96</v>
      </c>
      <c r="W388" s="326">
        <f t="shared" si="50"/>
        <v>10839.009999999998</v>
      </c>
      <c r="X388" s="261">
        <f t="shared" si="51"/>
        <v>0</v>
      </c>
      <c r="Y388" s="546"/>
      <c r="Z388" s="1016">
        <f t="shared" si="52"/>
        <v>10402.89</v>
      </c>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46"/>
      <c r="AW388" s="546"/>
      <c r="AX388" s="546"/>
      <c r="AY388" s="546"/>
      <c r="AZ388" s="546"/>
      <c r="BA388" s="546"/>
      <c r="BB388" s="546"/>
      <c r="BC388" s="546"/>
      <c r="BD388" s="546"/>
      <c r="BE388" s="546"/>
      <c r="BF388" s="546"/>
      <c r="BG388" s="546"/>
      <c r="BH388" s="546"/>
      <c r="BI388" s="546"/>
      <c r="BJ388" s="546"/>
      <c r="BK388" s="546"/>
      <c r="BL388" s="546"/>
      <c r="BM388" s="546"/>
      <c r="BN388" s="546"/>
      <c r="BO388" s="546"/>
      <c r="BP388" s="546"/>
      <c r="BQ388" s="546"/>
      <c r="BR388" s="546"/>
      <c r="BS388" s="546"/>
      <c r="BT388" s="546"/>
      <c r="BU388" s="546"/>
      <c r="BV388" s="546"/>
      <c r="BW388" s="546"/>
      <c r="BX388" s="546"/>
      <c r="BY388" s="546"/>
    </row>
    <row r="389" spans="1:77" ht="12" hidden="1" thickBot="1">
      <c r="A389" s="522" t="s">
        <v>1360</v>
      </c>
      <c r="B389" s="522" t="s">
        <v>335</v>
      </c>
      <c r="C389" s="522" t="s">
        <v>1000</v>
      </c>
      <c r="D389" s="533" t="s">
        <v>1036</v>
      </c>
      <c r="E389" s="530">
        <v>1425</v>
      </c>
      <c r="F389" s="532"/>
      <c r="G389" s="531">
        <v>711.33</v>
      </c>
      <c r="H389" s="532"/>
      <c r="I389" s="532"/>
      <c r="J389" s="532"/>
      <c r="K389" s="532"/>
      <c r="L389" s="532"/>
      <c r="M389" s="531">
        <v>1.46</v>
      </c>
      <c r="N389" s="531">
        <v>23.49</v>
      </c>
      <c r="O389" s="532"/>
      <c r="P389" s="532"/>
      <c r="Q389" s="531">
        <v>0</v>
      </c>
      <c r="R389" s="531">
        <v>736.28</v>
      </c>
      <c r="S389" s="527">
        <f t="shared" si="48"/>
        <v>711.33</v>
      </c>
      <c r="T389" s="528">
        <f t="shared" si="49"/>
        <v>0</v>
      </c>
      <c r="U389" s="527">
        <f t="shared" si="47"/>
        <v>23.49</v>
      </c>
      <c r="W389" s="326">
        <f t="shared" si="50"/>
        <v>736.28000000000009</v>
      </c>
      <c r="X389" s="261">
        <f t="shared" si="51"/>
        <v>0</v>
      </c>
      <c r="Y389" s="546"/>
      <c r="Z389" s="1016">
        <f t="shared" si="52"/>
        <v>711.33</v>
      </c>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46"/>
      <c r="AW389" s="546"/>
      <c r="AX389" s="546"/>
      <c r="AY389" s="546"/>
      <c r="AZ389" s="546"/>
      <c r="BA389" s="546"/>
      <c r="BB389" s="546"/>
      <c r="BC389" s="546"/>
      <c r="BD389" s="546"/>
      <c r="BE389" s="546"/>
      <c r="BF389" s="546"/>
      <c r="BG389" s="546"/>
      <c r="BH389" s="546"/>
      <c r="BI389" s="546"/>
      <c r="BJ389" s="546"/>
      <c r="BK389" s="546"/>
      <c r="BL389" s="546"/>
      <c r="BM389" s="546"/>
      <c r="BN389" s="546"/>
      <c r="BO389" s="546"/>
      <c r="BP389" s="546"/>
      <c r="BQ389" s="546"/>
      <c r="BR389" s="546"/>
      <c r="BS389" s="546"/>
      <c r="BT389" s="546"/>
      <c r="BU389" s="546"/>
      <c r="BV389" s="546"/>
      <c r="BW389" s="546"/>
      <c r="BX389" s="546"/>
      <c r="BY389" s="546"/>
    </row>
    <row r="390" spans="1:77" ht="12" hidden="1" thickBot="1">
      <c r="A390" s="522" t="s">
        <v>1360</v>
      </c>
      <c r="B390" s="522" t="s">
        <v>372</v>
      </c>
      <c r="C390" s="522" t="s">
        <v>1001</v>
      </c>
      <c r="D390" s="533" t="s">
        <v>1036</v>
      </c>
      <c r="E390" s="524">
        <v>151272</v>
      </c>
      <c r="F390" s="526"/>
      <c r="G390" s="525">
        <v>52242.84</v>
      </c>
      <c r="H390" s="526"/>
      <c r="I390" s="526"/>
      <c r="J390" s="526"/>
      <c r="K390" s="526"/>
      <c r="L390" s="526"/>
      <c r="M390" s="525">
        <v>274.32</v>
      </c>
      <c r="N390" s="525">
        <v>1430.08</v>
      </c>
      <c r="O390" s="526"/>
      <c r="P390" s="526"/>
      <c r="Q390" s="525">
        <v>0</v>
      </c>
      <c r="R390" s="525">
        <v>53947.24</v>
      </c>
      <c r="S390" s="527">
        <f t="shared" si="48"/>
        <v>52242.84</v>
      </c>
      <c r="T390" s="528">
        <f t="shared" si="49"/>
        <v>0</v>
      </c>
      <c r="U390" s="527">
        <f t="shared" si="47"/>
        <v>1430.08</v>
      </c>
      <c r="W390" s="326">
        <f t="shared" si="50"/>
        <v>53947.24</v>
      </c>
      <c r="X390" s="261">
        <f t="shared" si="51"/>
        <v>0</v>
      </c>
      <c r="Y390" s="546"/>
      <c r="Z390" s="1016">
        <f t="shared" si="52"/>
        <v>52242.84</v>
      </c>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46"/>
      <c r="AW390" s="546"/>
      <c r="AX390" s="546"/>
      <c r="AY390" s="546"/>
      <c r="AZ390" s="546"/>
      <c r="BA390" s="546"/>
      <c r="BB390" s="546"/>
      <c r="BC390" s="546"/>
      <c r="BD390" s="546"/>
      <c r="BE390" s="546"/>
      <c r="BF390" s="546"/>
      <c r="BG390" s="546"/>
      <c r="BH390" s="546"/>
      <c r="BI390" s="546"/>
      <c r="BJ390" s="546"/>
      <c r="BK390" s="546"/>
      <c r="BL390" s="546"/>
      <c r="BM390" s="546"/>
      <c r="BN390" s="546"/>
      <c r="BO390" s="546"/>
      <c r="BP390" s="546"/>
      <c r="BQ390" s="546"/>
      <c r="BR390" s="546"/>
      <c r="BS390" s="546"/>
      <c r="BT390" s="546"/>
      <c r="BU390" s="546"/>
      <c r="BV390" s="546"/>
      <c r="BW390" s="546"/>
      <c r="BX390" s="546"/>
      <c r="BY390" s="546"/>
    </row>
    <row r="391" spans="1:77" ht="12" hidden="1" thickBot="1">
      <c r="A391" s="522" t="s">
        <v>1360</v>
      </c>
      <c r="B391" s="522" t="s">
        <v>381</v>
      </c>
      <c r="C391" s="522" t="s">
        <v>1002</v>
      </c>
      <c r="D391" s="533" t="s">
        <v>1035</v>
      </c>
      <c r="E391" s="530">
        <v>272657</v>
      </c>
      <c r="F391" s="532"/>
      <c r="G391" s="531">
        <v>76641.009999999995</v>
      </c>
      <c r="H391" s="532"/>
      <c r="I391" s="532"/>
      <c r="J391" s="532"/>
      <c r="K391" s="532"/>
      <c r="L391" s="532"/>
      <c r="M391" s="531">
        <v>285.99</v>
      </c>
      <c r="N391" s="531">
        <v>2621.12</v>
      </c>
      <c r="O391" s="532"/>
      <c r="P391" s="532"/>
      <c r="Q391" s="531">
        <v>0</v>
      </c>
      <c r="R391" s="531">
        <v>79548.12</v>
      </c>
      <c r="S391" s="527">
        <f t="shared" si="48"/>
        <v>76641.009999999995</v>
      </c>
      <c r="T391" s="528">
        <f t="shared" si="49"/>
        <v>0</v>
      </c>
      <c r="U391" s="527">
        <f t="shared" si="47"/>
        <v>2621.12</v>
      </c>
      <c r="W391" s="326">
        <f t="shared" si="50"/>
        <v>79548.12</v>
      </c>
      <c r="X391" s="261">
        <f t="shared" si="51"/>
        <v>0</v>
      </c>
      <c r="Y391" s="546"/>
      <c r="Z391" s="1016">
        <f t="shared" si="52"/>
        <v>76641.009999999995</v>
      </c>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46"/>
      <c r="AW391" s="546"/>
      <c r="AX391" s="546"/>
      <c r="AY391" s="546"/>
      <c r="AZ391" s="546"/>
      <c r="BA391" s="546"/>
      <c r="BB391" s="546"/>
      <c r="BC391" s="546"/>
      <c r="BD391" s="546"/>
      <c r="BE391" s="546"/>
      <c r="BF391" s="546"/>
      <c r="BG391" s="546"/>
      <c r="BH391" s="546"/>
      <c r="BI391" s="546"/>
      <c r="BJ391" s="546"/>
      <c r="BK391" s="546"/>
      <c r="BL391" s="546"/>
      <c r="BM391" s="546"/>
      <c r="BN391" s="546"/>
      <c r="BO391" s="546"/>
      <c r="BP391" s="546"/>
      <c r="BQ391" s="546"/>
      <c r="BR391" s="546"/>
      <c r="BS391" s="546"/>
      <c r="BT391" s="546"/>
      <c r="BU391" s="546"/>
      <c r="BV391" s="546"/>
      <c r="BW391" s="546"/>
      <c r="BX391" s="546"/>
      <c r="BY391" s="546"/>
    </row>
    <row r="392" spans="1:77" ht="12" hidden="1" thickBot="1">
      <c r="A392" s="522" t="s">
        <v>1360</v>
      </c>
      <c r="B392" s="522" t="s">
        <v>404</v>
      </c>
      <c r="C392" s="522" t="s">
        <v>1003</v>
      </c>
      <c r="D392" s="533" t="s">
        <v>1035</v>
      </c>
      <c r="E392" s="524">
        <v>876292</v>
      </c>
      <c r="F392" s="526"/>
      <c r="G392" s="525">
        <v>188691.96</v>
      </c>
      <c r="H392" s="526"/>
      <c r="I392" s="526"/>
      <c r="J392" s="526"/>
      <c r="K392" s="526"/>
      <c r="L392" s="526"/>
      <c r="M392" s="525">
        <v>1894.74</v>
      </c>
      <c r="N392" s="525">
        <v>4599.93</v>
      </c>
      <c r="O392" s="526"/>
      <c r="P392" s="526"/>
      <c r="Q392" s="525">
        <v>0</v>
      </c>
      <c r="R392" s="525">
        <v>195186.63</v>
      </c>
      <c r="S392" s="527">
        <f t="shared" si="48"/>
        <v>188691.96</v>
      </c>
      <c r="T392" s="528">
        <f t="shared" si="49"/>
        <v>0</v>
      </c>
      <c r="U392" s="527">
        <f t="shared" si="47"/>
        <v>4599.93</v>
      </c>
      <c r="W392" s="326">
        <f t="shared" si="50"/>
        <v>195186.62999999998</v>
      </c>
      <c r="X392" s="261">
        <f t="shared" si="51"/>
        <v>0</v>
      </c>
      <c r="Y392" s="546"/>
      <c r="Z392" s="1016">
        <f t="shared" si="52"/>
        <v>188691.96</v>
      </c>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46"/>
      <c r="AW392" s="546"/>
      <c r="AX392" s="546"/>
      <c r="AY392" s="546"/>
      <c r="AZ392" s="546"/>
      <c r="BA392" s="546"/>
      <c r="BB392" s="546"/>
      <c r="BC392" s="546"/>
      <c r="BD392" s="546"/>
      <c r="BE392" s="546"/>
      <c r="BF392" s="546"/>
      <c r="BG392" s="546"/>
      <c r="BH392" s="546"/>
      <c r="BI392" s="546"/>
      <c r="BJ392" s="546"/>
      <c r="BK392" s="546"/>
      <c r="BL392" s="546"/>
      <c r="BM392" s="546"/>
      <c r="BN392" s="546"/>
      <c r="BO392" s="546"/>
      <c r="BP392" s="546"/>
      <c r="BQ392" s="546"/>
      <c r="BR392" s="546"/>
      <c r="BS392" s="546"/>
      <c r="BT392" s="546"/>
      <c r="BU392" s="546"/>
      <c r="BV392" s="546"/>
      <c r="BW392" s="546"/>
      <c r="BX392" s="546"/>
      <c r="BY392" s="546"/>
    </row>
    <row r="393" spans="1:77" ht="12" hidden="1" thickBot="1">
      <c r="A393" s="522" t="s">
        <v>1360</v>
      </c>
      <c r="B393" s="522" t="s">
        <v>361</v>
      </c>
      <c r="C393" s="522" t="s">
        <v>1004</v>
      </c>
      <c r="D393" s="533" t="s">
        <v>1035</v>
      </c>
      <c r="E393" s="530">
        <v>671063</v>
      </c>
      <c r="F393" s="532"/>
      <c r="G393" s="531">
        <v>108184.62</v>
      </c>
      <c r="H393" s="532"/>
      <c r="I393" s="532"/>
      <c r="J393" s="532"/>
      <c r="K393" s="532"/>
      <c r="L393" s="532"/>
      <c r="M393" s="531">
        <v>1446.36</v>
      </c>
      <c r="N393" s="531">
        <v>2657.02</v>
      </c>
      <c r="O393" s="532"/>
      <c r="P393" s="532"/>
      <c r="Q393" s="531">
        <v>0</v>
      </c>
      <c r="R393" s="531">
        <v>112288</v>
      </c>
      <c r="S393" s="527">
        <f t="shared" si="48"/>
        <v>108184.62</v>
      </c>
      <c r="T393" s="528">
        <f t="shared" si="49"/>
        <v>0</v>
      </c>
      <c r="U393" s="527">
        <f t="shared" si="47"/>
        <v>2657.02</v>
      </c>
      <c r="W393" s="326">
        <f t="shared" si="50"/>
        <v>112288</v>
      </c>
      <c r="X393" s="261">
        <f t="shared" si="51"/>
        <v>0</v>
      </c>
      <c r="Y393" s="546"/>
      <c r="Z393" s="1016">
        <f t="shared" si="52"/>
        <v>108184.62</v>
      </c>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46"/>
      <c r="AW393" s="546"/>
      <c r="AX393" s="546"/>
      <c r="AY393" s="546"/>
      <c r="AZ393" s="546"/>
      <c r="BA393" s="546"/>
      <c r="BB393" s="546"/>
      <c r="BC393" s="546"/>
      <c r="BD393" s="546"/>
      <c r="BE393" s="546"/>
      <c r="BF393" s="546"/>
      <c r="BG393" s="546"/>
      <c r="BH393" s="546"/>
      <c r="BI393" s="546"/>
      <c r="BJ393" s="546"/>
      <c r="BK393" s="546"/>
      <c r="BL393" s="546"/>
      <c r="BM393" s="546"/>
      <c r="BN393" s="546"/>
      <c r="BO393" s="546"/>
      <c r="BP393" s="546"/>
      <c r="BQ393" s="546"/>
      <c r="BR393" s="546"/>
      <c r="BS393" s="546"/>
      <c r="BT393" s="546"/>
      <c r="BU393" s="546"/>
      <c r="BV393" s="546"/>
      <c r="BW393" s="546"/>
      <c r="BX393" s="546"/>
      <c r="BY393" s="546"/>
    </row>
    <row r="394" spans="1:77" ht="12" hidden="1" thickBot="1">
      <c r="A394" s="522" t="s">
        <v>1360</v>
      </c>
      <c r="B394" s="522" t="s">
        <v>393</v>
      </c>
      <c r="C394" s="522" t="s">
        <v>1005</v>
      </c>
      <c r="D394" s="533" t="s">
        <v>1035</v>
      </c>
      <c r="E394" s="524">
        <v>476796</v>
      </c>
      <c r="F394" s="526"/>
      <c r="G394" s="525">
        <v>63970.46</v>
      </c>
      <c r="H394" s="526"/>
      <c r="I394" s="526"/>
      <c r="J394" s="526"/>
      <c r="K394" s="526"/>
      <c r="L394" s="526"/>
      <c r="M394" s="525">
        <v>1233.17</v>
      </c>
      <c r="N394" s="525">
        <v>1329.57</v>
      </c>
      <c r="O394" s="526"/>
      <c r="P394" s="526"/>
      <c r="Q394" s="525">
        <v>0</v>
      </c>
      <c r="R394" s="525">
        <v>66533.2</v>
      </c>
      <c r="S394" s="527">
        <f t="shared" si="48"/>
        <v>63970.46</v>
      </c>
      <c r="T394" s="528">
        <f t="shared" si="49"/>
        <v>0</v>
      </c>
      <c r="U394" s="527">
        <f t="shared" si="47"/>
        <v>1329.57</v>
      </c>
      <c r="W394" s="326">
        <f t="shared" si="50"/>
        <v>66533.2</v>
      </c>
      <c r="X394" s="261">
        <f t="shared" si="51"/>
        <v>0</v>
      </c>
      <c r="Y394" s="546"/>
      <c r="Z394" s="1016">
        <f t="shared" si="52"/>
        <v>63970.46</v>
      </c>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46"/>
      <c r="AW394" s="546"/>
      <c r="AX394" s="546"/>
      <c r="AY394" s="546"/>
      <c r="AZ394" s="546"/>
      <c r="BA394" s="546"/>
      <c r="BB394" s="546"/>
      <c r="BC394" s="546"/>
      <c r="BD394" s="546"/>
      <c r="BE394" s="546"/>
      <c r="BF394" s="546"/>
      <c r="BG394" s="546"/>
      <c r="BH394" s="546"/>
      <c r="BI394" s="546"/>
      <c r="BJ394" s="546"/>
      <c r="BK394" s="546"/>
      <c r="BL394" s="546"/>
      <c r="BM394" s="546"/>
      <c r="BN394" s="546"/>
      <c r="BO394" s="546"/>
      <c r="BP394" s="546"/>
      <c r="BQ394" s="546"/>
      <c r="BR394" s="546"/>
      <c r="BS394" s="546"/>
      <c r="BT394" s="546"/>
      <c r="BU394" s="546"/>
      <c r="BV394" s="546"/>
      <c r="BW394" s="546"/>
      <c r="BX394" s="546"/>
      <c r="BY394" s="546"/>
    </row>
    <row r="395" spans="1:77" ht="12" hidden="1" thickBot="1">
      <c r="A395" s="522" t="s">
        <v>1360</v>
      </c>
      <c r="B395" s="522" t="s">
        <v>1356</v>
      </c>
      <c r="C395" s="522" t="s">
        <v>1357</v>
      </c>
      <c r="D395" s="533" t="s">
        <v>756</v>
      </c>
      <c r="E395" s="530">
        <v>460</v>
      </c>
      <c r="F395" s="532"/>
      <c r="G395" s="531"/>
      <c r="H395" s="532"/>
      <c r="I395" s="532"/>
      <c r="J395" s="532"/>
      <c r="K395" s="532"/>
      <c r="L395" s="532"/>
      <c r="M395" s="531"/>
      <c r="N395" s="531"/>
      <c r="O395" s="532"/>
      <c r="P395" s="532"/>
      <c r="Q395" s="531"/>
      <c r="R395" s="531"/>
      <c r="S395" s="527">
        <f t="shared" si="48"/>
        <v>0</v>
      </c>
      <c r="T395" s="528">
        <f t="shared" si="49"/>
        <v>0</v>
      </c>
      <c r="U395" s="527">
        <f t="shared" si="47"/>
        <v>0</v>
      </c>
      <c r="W395" s="326">
        <f t="shared" si="50"/>
        <v>0</v>
      </c>
      <c r="X395" s="261">
        <f t="shared" si="51"/>
        <v>0</v>
      </c>
      <c r="Y395" s="546"/>
      <c r="Z395" s="1016">
        <f t="shared" si="52"/>
        <v>0</v>
      </c>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46"/>
      <c r="AW395" s="546"/>
      <c r="AX395" s="546"/>
      <c r="AY395" s="546"/>
      <c r="AZ395" s="546"/>
      <c r="BA395" s="546"/>
      <c r="BB395" s="546"/>
      <c r="BC395" s="546"/>
      <c r="BD395" s="546"/>
      <c r="BE395" s="546"/>
      <c r="BF395" s="546"/>
      <c r="BG395" s="546"/>
      <c r="BH395" s="546"/>
      <c r="BI395" s="546"/>
      <c r="BJ395" s="546"/>
      <c r="BK395" s="546"/>
      <c r="BL395" s="546"/>
      <c r="BM395" s="546"/>
      <c r="BN395" s="546"/>
      <c r="BO395" s="546"/>
      <c r="BP395" s="546"/>
      <c r="BQ395" s="546"/>
      <c r="BR395" s="546"/>
      <c r="BS395" s="546"/>
      <c r="BT395" s="546"/>
      <c r="BU395" s="546"/>
      <c r="BV395" s="546"/>
      <c r="BW395" s="546"/>
      <c r="BX395" s="546"/>
      <c r="BY395" s="546"/>
    </row>
    <row r="396" spans="1:77" ht="12" hidden="1" thickBot="1">
      <c r="A396" s="522" t="s">
        <v>1360</v>
      </c>
      <c r="B396" s="522" t="s">
        <v>379</v>
      </c>
      <c r="C396" s="522" t="s">
        <v>1006</v>
      </c>
      <c r="D396" s="533" t="s">
        <v>1036</v>
      </c>
      <c r="E396" s="524">
        <v>19192</v>
      </c>
      <c r="F396" s="526"/>
      <c r="G396" s="525">
        <v>8253.9699999999993</v>
      </c>
      <c r="H396" s="526"/>
      <c r="I396" s="526"/>
      <c r="J396" s="526"/>
      <c r="K396" s="526"/>
      <c r="L396" s="526"/>
      <c r="M396" s="525">
        <v>39.81</v>
      </c>
      <c r="N396" s="525">
        <v>211.37</v>
      </c>
      <c r="O396" s="526"/>
      <c r="P396" s="526"/>
      <c r="Q396" s="525">
        <v>0</v>
      </c>
      <c r="R396" s="525">
        <v>8505.15</v>
      </c>
      <c r="S396" s="527">
        <f t="shared" si="48"/>
        <v>8253.9699999999993</v>
      </c>
      <c r="T396" s="528">
        <f t="shared" si="49"/>
        <v>0</v>
      </c>
      <c r="U396" s="527">
        <f t="shared" si="47"/>
        <v>211.37</v>
      </c>
      <c r="W396" s="326">
        <f t="shared" si="50"/>
        <v>8505.15</v>
      </c>
      <c r="X396" s="261">
        <f t="shared" si="51"/>
        <v>0</v>
      </c>
      <c r="Y396" s="546"/>
      <c r="Z396" s="1016">
        <f t="shared" si="52"/>
        <v>8253.9699999999993</v>
      </c>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46"/>
      <c r="AW396" s="546"/>
      <c r="AX396" s="546"/>
      <c r="AY396" s="546"/>
      <c r="AZ396" s="546"/>
      <c r="BA396" s="546"/>
      <c r="BB396" s="546"/>
      <c r="BC396" s="546"/>
      <c r="BD396" s="546"/>
      <c r="BE396" s="546"/>
      <c r="BF396" s="546"/>
      <c r="BG396" s="546"/>
      <c r="BH396" s="546"/>
      <c r="BI396" s="546"/>
      <c r="BJ396" s="546"/>
      <c r="BK396" s="546"/>
      <c r="BL396" s="546"/>
      <c r="BM396" s="546"/>
      <c r="BN396" s="546"/>
      <c r="BO396" s="546"/>
      <c r="BP396" s="546"/>
      <c r="BQ396" s="546"/>
      <c r="BR396" s="546"/>
      <c r="BS396" s="546"/>
      <c r="BT396" s="546"/>
      <c r="BU396" s="546"/>
      <c r="BV396" s="546"/>
      <c r="BW396" s="546"/>
      <c r="BX396" s="546"/>
      <c r="BY396" s="546"/>
    </row>
    <row r="397" spans="1:77" ht="12" hidden="1" thickBot="1">
      <c r="A397" s="522" t="s">
        <v>1360</v>
      </c>
      <c r="B397" s="522" t="s">
        <v>389</v>
      </c>
      <c r="C397" s="522" t="s">
        <v>1007</v>
      </c>
      <c r="D397" s="533" t="s">
        <v>1035</v>
      </c>
      <c r="E397" s="530">
        <v>40950</v>
      </c>
      <c r="F397" s="532"/>
      <c r="G397" s="531">
        <v>14593.35</v>
      </c>
      <c r="H397" s="532"/>
      <c r="I397" s="532"/>
      <c r="J397" s="532"/>
      <c r="K397" s="532"/>
      <c r="L397" s="532"/>
      <c r="M397" s="531">
        <v>82.74</v>
      </c>
      <c r="N397" s="531">
        <v>376.71</v>
      </c>
      <c r="O397" s="532"/>
      <c r="P397" s="532"/>
      <c r="Q397" s="531">
        <v>0</v>
      </c>
      <c r="R397" s="531">
        <v>15052.8</v>
      </c>
      <c r="S397" s="527">
        <f t="shared" si="48"/>
        <v>14593.35</v>
      </c>
      <c r="T397" s="528">
        <f t="shared" si="49"/>
        <v>0</v>
      </c>
      <c r="U397" s="527">
        <f t="shared" si="47"/>
        <v>376.71</v>
      </c>
      <c r="W397" s="326">
        <f t="shared" si="50"/>
        <v>15052.8</v>
      </c>
      <c r="X397" s="261">
        <f t="shared" si="51"/>
        <v>0</v>
      </c>
      <c r="Y397" s="546"/>
      <c r="Z397" s="1016">
        <f t="shared" si="52"/>
        <v>14593.35</v>
      </c>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46"/>
      <c r="AW397" s="546"/>
      <c r="AX397" s="546"/>
      <c r="AY397" s="546"/>
      <c r="AZ397" s="546"/>
      <c r="BA397" s="546"/>
      <c r="BB397" s="546"/>
      <c r="BC397" s="546"/>
      <c r="BD397" s="546"/>
      <c r="BE397" s="546"/>
      <c r="BF397" s="546"/>
      <c r="BG397" s="546"/>
      <c r="BH397" s="546"/>
      <c r="BI397" s="546"/>
      <c r="BJ397" s="546"/>
      <c r="BK397" s="546"/>
      <c r="BL397" s="546"/>
      <c r="BM397" s="546"/>
      <c r="BN397" s="546"/>
      <c r="BO397" s="546"/>
      <c r="BP397" s="546"/>
      <c r="BQ397" s="546"/>
      <c r="BR397" s="546"/>
      <c r="BS397" s="546"/>
      <c r="BT397" s="546"/>
      <c r="BU397" s="546"/>
      <c r="BV397" s="546"/>
      <c r="BW397" s="546"/>
      <c r="BX397" s="546"/>
      <c r="BY397" s="546"/>
    </row>
    <row r="398" spans="1:77" ht="12" hidden="1" thickBot="1">
      <c r="A398" s="522" t="s">
        <v>1360</v>
      </c>
      <c r="B398" s="522" t="s">
        <v>412</v>
      </c>
      <c r="C398" s="522" t="s">
        <v>1008</v>
      </c>
      <c r="D398" s="533" t="s">
        <v>1035</v>
      </c>
      <c r="E398" s="524">
        <v>170039</v>
      </c>
      <c r="F398" s="526"/>
      <c r="G398" s="525">
        <v>44858.07</v>
      </c>
      <c r="H398" s="526"/>
      <c r="I398" s="526"/>
      <c r="J398" s="526"/>
      <c r="K398" s="526"/>
      <c r="L398" s="526"/>
      <c r="M398" s="525">
        <v>489.43</v>
      </c>
      <c r="N398" s="525">
        <v>821.7</v>
      </c>
      <c r="O398" s="526"/>
      <c r="P398" s="526"/>
      <c r="Q398" s="525">
        <v>0</v>
      </c>
      <c r="R398" s="525">
        <v>46169.2</v>
      </c>
      <c r="S398" s="527">
        <f t="shared" si="48"/>
        <v>44858.07</v>
      </c>
      <c r="T398" s="528">
        <f t="shared" si="49"/>
        <v>0</v>
      </c>
      <c r="U398" s="527">
        <f t="shared" si="47"/>
        <v>821.7</v>
      </c>
      <c r="W398" s="326">
        <f t="shared" si="50"/>
        <v>46169.2</v>
      </c>
      <c r="X398" s="261">
        <f t="shared" si="51"/>
        <v>0</v>
      </c>
      <c r="Y398" s="546"/>
      <c r="Z398" s="1016">
        <f t="shared" si="52"/>
        <v>44858.07</v>
      </c>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46"/>
      <c r="AW398" s="546"/>
      <c r="AX398" s="546"/>
      <c r="AY398" s="546"/>
      <c r="AZ398" s="546"/>
      <c r="BA398" s="546"/>
      <c r="BB398" s="546"/>
      <c r="BC398" s="546"/>
      <c r="BD398" s="546"/>
      <c r="BE398" s="546"/>
      <c r="BF398" s="546"/>
      <c r="BG398" s="546"/>
      <c r="BH398" s="546"/>
      <c r="BI398" s="546"/>
      <c r="BJ398" s="546"/>
      <c r="BK398" s="546"/>
      <c r="BL398" s="546"/>
      <c r="BM398" s="546"/>
      <c r="BN398" s="546"/>
      <c r="BO398" s="546"/>
      <c r="BP398" s="546"/>
      <c r="BQ398" s="546"/>
      <c r="BR398" s="546"/>
      <c r="BS398" s="546"/>
      <c r="BT398" s="546"/>
      <c r="BU398" s="546"/>
      <c r="BV398" s="546"/>
      <c r="BW398" s="546"/>
      <c r="BX398" s="546"/>
      <c r="BY398" s="546"/>
    </row>
    <row r="399" spans="1:77" ht="12" hidden="1" thickBot="1">
      <c r="A399" s="522" t="s">
        <v>1360</v>
      </c>
      <c r="B399" s="522" t="s">
        <v>367</v>
      </c>
      <c r="C399" s="522" t="s">
        <v>1009</v>
      </c>
      <c r="D399" s="533" t="s">
        <v>1036</v>
      </c>
      <c r="E399" s="530">
        <v>36114</v>
      </c>
      <c r="F399" s="532"/>
      <c r="G399" s="531">
        <v>9548.4699999999993</v>
      </c>
      <c r="H399" s="532"/>
      <c r="I399" s="532"/>
      <c r="J399" s="532"/>
      <c r="K399" s="532"/>
      <c r="L399" s="532"/>
      <c r="M399" s="531">
        <v>107.51</v>
      </c>
      <c r="N399" s="531">
        <v>166.34</v>
      </c>
      <c r="O399" s="532"/>
      <c r="P399" s="532"/>
      <c r="Q399" s="531">
        <v>0</v>
      </c>
      <c r="R399" s="531">
        <v>9822.32</v>
      </c>
      <c r="S399" s="527">
        <f t="shared" si="48"/>
        <v>9548.4699999999993</v>
      </c>
      <c r="T399" s="528">
        <f t="shared" si="49"/>
        <v>0</v>
      </c>
      <c r="U399" s="527">
        <f t="shared" si="47"/>
        <v>166.34</v>
      </c>
      <c r="W399" s="326">
        <f t="shared" si="50"/>
        <v>9822.32</v>
      </c>
      <c r="X399" s="261">
        <f t="shared" si="51"/>
        <v>0</v>
      </c>
      <c r="Y399" s="546"/>
      <c r="Z399" s="1016">
        <f t="shared" si="52"/>
        <v>9548.4699999999993</v>
      </c>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46"/>
      <c r="AW399" s="546"/>
      <c r="AX399" s="546"/>
      <c r="AY399" s="546"/>
      <c r="AZ399" s="546"/>
      <c r="BA399" s="546"/>
      <c r="BB399" s="546"/>
      <c r="BC399" s="546"/>
      <c r="BD399" s="546"/>
      <c r="BE399" s="546"/>
      <c r="BF399" s="546"/>
      <c r="BG399" s="546"/>
      <c r="BH399" s="546"/>
      <c r="BI399" s="546"/>
      <c r="BJ399" s="546"/>
      <c r="BK399" s="546"/>
      <c r="BL399" s="546"/>
      <c r="BM399" s="546"/>
      <c r="BN399" s="546"/>
      <c r="BO399" s="546"/>
      <c r="BP399" s="546"/>
      <c r="BQ399" s="546"/>
      <c r="BR399" s="546"/>
      <c r="BS399" s="546"/>
      <c r="BT399" s="546"/>
      <c r="BU399" s="546"/>
      <c r="BV399" s="546"/>
      <c r="BW399" s="546"/>
      <c r="BX399" s="546"/>
      <c r="BY399" s="546"/>
    </row>
    <row r="400" spans="1:77" ht="12" hidden="1" thickBot="1">
      <c r="A400" s="522" t="s">
        <v>1360</v>
      </c>
      <c r="B400" s="522" t="s">
        <v>330</v>
      </c>
      <c r="C400" s="522" t="s">
        <v>1010</v>
      </c>
      <c r="D400" s="533" t="s">
        <v>1036</v>
      </c>
      <c r="E400" s="524">
        <v>23031</v>
      </c>
      <c r="F400" s="526"/>
      <c r="G400" s="525">
        <v>3370.25</v>
      </c>
      <c r="H400" s="526"/>
      <c r="I400" s="526"/>
      <c r="J400" s="526"/>
      <c r="K400" s="526"/>
      <c r="L400" s="526"/>
      <c r="M400" s="525">
        <v>71.87</v>
      </c>
      <c r="N400" s="525">
        <v>55.08</v>
      </c>
      <c r="O400" s="526"/>
      <c r="P400" s="526"/>
      <c r="Q400" s="525">
        <v>0</v>
      </c>
      <c r="R400" s="525">
        <v>3497.2</v>
      </c>
      <c r="S400" s="527">
        <f t="shared" si="48"/>
        <v>3370.25</v>
      </c>
      <c r="T400" s="528">
        <f t="shared" si="49"/>
        <v>0</v>
      </c>
      <c r="U400" s="527">
        <f t="shared" si="47"/>
        <v>55.08</v>
      </c>
      <c r="W400" s="326">
        <f t="shared" si="50"/>
        <v>3497.2</v>
      </c>
      <c r="X400" s="261">
        <f t="shared" si="51"/>
        <v>0</v>
      </c>
      <c r="Y400" s="546"/>
      <c r="Z400" s="1016">
        <f t="shared" si="52"/>
        <v>3370.25</v>
      </c>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46"/>
      <c r="AW400" s="546"/>
      <c r="AX400" s="546"/>
      <c r="AY400" s="546"/>
      <c r="AZ400" s="546"/>
      <c r="BA400" s="546"/>
      <c r="BB400" s="546"/>
      <c r="BC400" s="546"/>
      <c r="BD400" s="546"/>
      <c r="BE400" s="546"/>
      <c r="BF400" s="546"/>
      <c r="BG400" s="546"/>
      <c r="BH400" s="546"/>
      <c r="BI400" s="546"/>
      <c r="BJ400" s="546"/>
      <c r="BK400" s="546"/>
      <c r="BL400" s="546"/>
      <c r="BM400" s="546"/>
      <c r="BN400" s="546"/>
      <c r="BO400" s="546"/>
      <c r="BP400" s="546"/>
      <c r="BQ400" s="546"/>
      <c r="BR400" s="546"/>
      <c r="BS400" s="546"/>
      <c r="BT400" s="546"/>
      <c r="BU400" s="546"/>
      <c r="BV400" s="546"/>
      <c r="BW400" s="546"/>
      <c r="BX400" s="546"/>
      <c r="BY400" s="546"/>
    </row>
    <row r="401" spans="1:77" ht="12" hidden="1" thickBot="1">
      <c r="A401" s="522" t="s">
        <v>1360</v>
      </c>
      <c r="B401" s="522" t="s">
        <v>371</v>
      </c>
      <c r="C401" s="522" t="s">
        <v>1011</v>
      </c>
      <c r="D401" s="533" t="s">
        <v>1036</v>
      </c>
      <c r="E401" s="530">
        <v>85064</v>
      </c>
      <c r="F401" s="532"/>
      <c r="G401" s="531">
        <v>38468.18</v>
      </c>
      <c r="H401" s="532"/>
      <c r="I401" s="532"/>
      <c r="J401" s="532"/>
      <c r="K401" s="532"/>
      <c r="L401" s="532"/>
      <c r="M401" s="531">
        <v>-123.66</v>
      </c>
      <c r="N401" s="531">
        <v>2168.15</v>
      </c>
      <c r="O401" s="532"/>
      <c r="P401" s="532"/>
      <c r="Q401" s="531">
        <v>0</v>
      </c>
      <c r="R401" s="531">
        <v>40512.67</v>
      </c>
      <c r="S401" s="527">
        <f t="shared" si="48"/>
        <v>38468.18</v>
      </c>
      <c r="T401" s="528">
        <f t="shared" si="49"/>
        <v>0</v>
      </c>
      <c r="U401" s="527">
        <f t="shared" si="47"/>
        <v>2168.15</v>
      </c>
      <c r="W401" s="326">
        <f t="shared" si="50"/>
        <v>40512.67</v>
      </c>
      <c r="X401" s="261">
        <f t="shared" si="51"/>
        <v>0</v>
      </c>
      <c r="Y401" s="546"/>
      <c r="Z401" s="1016">
        <f t="shared" si="52"/>
        <v>38468.18</v>
      </c>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46"/>
      <c r="AW401" s="546"/>
      <c r="AX401" s="546"/>
      <c r="AY401" s="546"/>
      <c r="AZ401" s="546"/>
      <c r="BA401" s="546"/>
      <c r="BB401" s="546"/>
      <c r="BC401" s="546"/>
      <c r="BD401" s="546"/>
      <c r="BE401" s="546"/>
      <c r="BF401" s="546"/>
      <c r="BG401" s="546"/>
      <c r="BH401" s="546"/>
      <c r="BI401" s="546"/>
      <c r="BJ401" s="546"/>
      <c r="BK401" s="546"/>
      <c r="BL401" s="546"/>
      <c r="BM401" s="546"/>
      <c r="BN401" s="546"/>
      <c r="BO401" s="546"/>
      <c r="BP401" s="546"/>
      <c r="BQ401" s="546"/>
      <c r="BR401" s="546"/>
      <c r="BS401" s="546"/>
      <c r="BT401" s="546"/>
      <c r="BU401" s="546"/>
      <c r="BV401" s="546"/>
      <c r="BW401" s="546"/>
      <c r="BX401" s="546"/>
      <c r="BY401" s="546"/>
    </row>
    <row r="402" spans="1:77" ht="12" hidden="1" thickBot="1">
      <c r="A402" s="522" t="s">
        <v>1360</v>
      </c>
      <c r="B402" s="522" t="s">
        <v>380</v>
      </c>
      <c r="C402" s="522" t="s">
        <v>1012</v>
      </c>
      <c r="D402" s="533" t="s">
        <v>1035</v>
      </c>
      <c r="E402" s="524">
        <v>280404</v>
      </c>
      <c r="F402" s="526"/>
      <c r="G402" s="525">
        <v>101405.71</v>
      </c>
      <c r="H402" s="526"/>
      <c r="I402" s="526"/>
      <c r="J402" s="526"/>
      <c r="K402" s="526"/>
      <c r="L402" s="526"/>
      <c r="M402" s="525">
        <v>-396.97</v>
      </c>
      <c r="N402" s="525">
        <v>5674.36</v>
      </c>
      <c r="O402" s="526"/>
      <c r="P402" s="526"/>
      <c r="Q402" s="525">
        <v>0</v>
      </c>
      <c r="R402" s="525">
        <v>106683.1</v>
      </c>
      <c r="S402" s="527">
        <f t="shared" si="48"/>
        <v>101405.71</v>
      </c>
      <c r="T402" s="528">
        <f t="shared" si="49"/>
        <v>0</v>
      </c>
      <c r="U402" s="527">
        <f t="shared" si="47"/>
        <v>5674.36</v>
      </c>
      <c r="W402" s="326">
        <f t="shared" si="50"/>
        <v>106683.1</v>
      </c>
      <c r="X402" s="261">
        <f t="shared" si="51"/>
        <v>0</v>
      </c>
      <c r="Y402" s="546"/>
      <c r="Z402" s="1016">
        <f t="shared" si="52"/>
        <v>101405.71</v>
      </c>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46"/>
      <c r="AW402" s="546"/>
      <c r="AX402" s="546"/>
      <c r="AY402" s="546"/>
      <c r="AZ402" s="546"/>
      <c r="BA402" s="546"/>
      <c r="BB402" s="546"/>
      <c r="BC402" s="546"/>
      <c r="BD402" s="546"/>
      <c r="BE402" s="546"/>
      <c r="BF402" s="546"/>
      <c r="BG402" s="546"/>
      <c r="BH402" s="546"/>
      <c r="BI402" s="546"/>
      <c r="BJ402" s="546"/>
      <c r="BK402" s="546"/>
      <c r="BL402" s="546"/>
      <c r="BM402" s="546"/>
      <c r="BN402" s="546"/>
      <c r="BO402" s="546"/>
      <c r="BP402" s="546"/>
      <c r="BQ402" s="546"/>
      <c r="BR402" s="546"/>
      <c r="BS402" s="546"/>
      <c r="BT402" s="546"/>
      <c r="BU402" s="546"/>
      <c r="BV402" s="546"/>
      <c r="BW402" s="546"/>
      <c r="BX402" s="546"/>
      <c r="BY402" s="546"/>
    </row>
    <row r="403" spans="1:77" ht="12" hidden="1" thickBot="1">
      <c r="A403" s="522" t="s">
        <v>1360</v>
      </c>
      <c r="B403" s="522" t="s">
        <v>403</v>
      </c>
      <c r="C403" s="522" t="s">
        <v>1013</v>
      </c>
      <c r="D403" s="533" t="s">
        <v>1035</v>
      </c>
      <c r="E403" s="530">
        <v>148044</v>
      </c>
      <c r="F403" s="532"/>
      <c r="G403" s="531">
        <v>41792.629999999997</v>
      </c>
      <c r="H403" s="532"/>
      <c r="I403" s="532"/>
      <c r="J403" s="532"/>
      <c r="K403" s="532"/>
      <c r="L403" s="532"/>
      <c r="M403" s="531">
        <v>31.92</v>
      </c>
      <c r="N403" s="531">
        <v>1704.72</v>
      </c>
      <c r="O403" s="532"/>
      <c r="P403" s="532"/>
      <c r="Q403" s="531">
        <v>0</v>
      </c>
      <c r="R403" s="531">
        <v>43529.27</v>
      </c>
      <c r="S403" s="527">
        <f t="shared" si="48"/>
        <v>41792.629999999997</v>
      </c>
      <c r="T403" s="528">
        <f t="shared" si="49"/>
        <v>0</v>
      </c>
      <c r="U403" s="527">
        <f t="shared" si="47"/>
        <v>1704.72</v>
      </c>
      <c r="W403" s="326">
        <f t="shared" si="50"/>
        <v>43529.27</v>
      </c>
      <c r="X403" s="261">
        <f t="shared" si="51"/>
        <v>0</v>
      </c>
      <c r="Y403" s="546"/>
      <c r="Z403" s="1016">
        <f t="shared" si="52"/>
        <v>41792.629999999997</v>
      </c>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46"/>
      <c r="AW403" s="546"/>
      <c r="AX403" s="546"/>
      <c r="AY403" s="546"/>
      <c r="AZ403" s="546"/>
      <c r="BA403" s="546"/>
      <c r="BB403" s="546"/>
      <c r="BC403" s="546"/>
      <c r="BD403" s="546"/>
      <c r="BE403" s="546"/>
      <c r="BF403" s="546"/>
      <c r="BG403" s="546"/>
      <c r="BH403" s="546"/>
      <c r="BI403" s="546"/>
      <c r="BJ403" s="546"/>
      <c r="BK403" s="546"/>
      <c r="BL403" s="546"/>
      <c r="BM403" s="546"/>
      <c r="BN403" s="546"/>
      <c r="BO403" s="546"/>
      <c r="BP403" s="546"/>
      <c r="BQ403" s="546"/>
      <c r="BR403" s="546"/>
      <c r="BS403" s="546"/>
      <c r="BT403" s="546"/>
      <c r="BU403" s="546"/>
      <c r="BV403" s="546"/>
      <c r="BW403" s="546"/>
      <c r="BX403" s="546"/>
      <c r="BY403" s="546"/>
    </row>
    <row r="404" spans="1:77" ht="12" hidden="1" thickBot="1">
      <c r="A404" s="522" t="s">
        <v>1360</v>
      </c>
      <c r="B404" s="522" t="s">
        <v>360</v>
      </c>
      <c r="C404" s="522" t="s">
        <v>1014</v>
      </c>
      <c r="D404" s="533" t="s">
        <v>1035</v>
      </c>
      <c r="E404" s="524">
        <v>470273</v>
      </c>
      <c r="F404" s="526"/>
      <c r="G404" s="525">
        <v>89892.31</v>
      </c>
      <c r="H404" s="526"/>
      <c r="I404" s="526"/>
      <c r="J404" s="526"/>
      <c r="K404" s="526"/>
      <c r="L404" s="526"/>
      <c r="M404" s="525">
        <v>122.95</v>
      </c>
      <c r="N404" s="525">
        <v>3646.77</v>
      </c>
      <c r="O404" s="526"/>
      <c r="P404" s="526"/>
      <c r="Q404" s="525">
        <v>0</v>
      </c>
      <c r="R404" s="525">
        <v>93662.03</v>
      </c>
      <c r="S404" s="527">
        <f t="shared" si="48"/>
        <v>89892.31</v>
      </c>
      <c r="T404" s="528">
        <f t="shared" si="49"/>
        <v>0</v>
      </c>
      <c r="U404" s="527">
        <f t="shared" si="47"/>
        <v>3646.77</v>
      </c>
      <c r="W404" s="326">
        <f t="shared" si="50"/>
        <v>93662.03</v>
      </c>
      <c r="X404" s="261">
        <f t="shared" si="51"/>
        <v>0</v>
      </c>
      <c r="Y404" s="546"/>
      <c r="Z404" s="1016">
        <f t="shared" si="52"/>
        <v>89892.31</v>
      </c>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46"/>
      <c r="AW404" s="546"/>
      <c r="AX404" s="546"/>
      <c r="AY404" s="546"/>
      <c r="AZ404" s="546"/>
      <c r="BA404" s="546"/>
      <c r="BB404" s="546"/>
      <c r="BC404" s="546"/>
      <c r="BD404" s="546"/>
      <c r="BE404" s="546"/>
      <c r="BF404" s="546"/>
      <c r="BG404" s="546"/>
      <c r="BH404" s="546"/>
      <c r="BI404" s="546"/>
      <c r="BJ404" s="546"/>
      <c r="BK404" s="546"/>
      <c r="BL404" s="546"/>
      <c r="BM404" s="546"/>
      <c r="BN404" s="546"/>
      <c r="BO404" s="546"/>
      <c r="BP404" s="546"/>
      <c r="BQ404" s="546"/>
      <c r="BR404" s="546"/>
      <c r="BS404" s="546"/>
      <c r="BT404" s="546"/>
      <c r="BU404" s="546"/>
      <c r="BV404" s="546"/>
      <c r="BW404" s="546"/>
      <c r="BX404" s="546"/>
      <c r="BY404" s="546"/>
    </row>
    <row r="405" spans="1:77" ht="12" hidden="1" thickBot="1">
      <c r="A405" s="522" t="s">
        <v>1360</v>
      </c>
      <c r="B405" s="522" t="s">
        <v>392</v>
      </c>
      <c r="C405" s="522" t="s">
        <v>1015</v>
      </c>
      <c r="D405" s="533" t="s">
        <v>1035</v>
      </c>
      <c r="E405" s="530">
        <v>91504</v>
      </c>
      <c r="F405" s="532"/>
      <c r="G405" s="531">
        <v>12592.95</v>
      </c>
      <c r="H405" s="532"/>
      <c r="I405" s="532"/>
      <c r="J405" s="532"/>
      <c r="K405" s="532"/>
      <c r="L405" s="532"/>
      <c r="M405" s="531">
        <v>27.08</v>
      </c>
      <c r="N405" s="531">
        <v>512.24</v>
      </c>
      <c r="O405" s="532"/>
      <c r="P405" s="532"/>
      <c r="Q405" s="531">
        <v>0</v>
      </c>
      <c r="R405" s="531">
        <v>13132.27</v>
      </c>
      <c r="S405" s="527">
        <f t="shared" si="48"/>
        <v>12592.95</v>
      </c>
      <c r="T405" s="528">
        <f t="shared" si="49"/>
        <v>0</v>
      </c>
      <c r="U405" s="527">
        <f t="shared" si="47"/>
        <v>512.24</v>
      </c>
      <c r="W405" s="326">
        <f t="shared" si="50"/>
        <v>13132.27</v>
      </c>
      <c r="X405" s="261">
        <f t="shared" si="51"/>
        <v>0</v>
      </c>
      <c r="Y405" s="546"/>
      <c r="Z405" s="1016">
        <f t="shared" si="52"/>
        <v>12592.95</v>
      </c>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46"/>
      <c r="AW405" s="546"/>
      <c r="AX405" s="546"/>
      <c r="AY405" s="546"/>
      <c r="AZ405" s="546"/>
      <c r="BA405" s="546"/>
      <c r="BB405" s="546"/>
      <c r="BC405" s="546"/>
      <c r="BD405" s="546"/>
      <c r="BE405" s="546"/>
      <c r="BF405" s="546"/>
      <c r="BG405" s="546"/>
      <c r="BH405" s="546"/>
      <c r="BI405" s="546"/>
      <c r="BJ405" s="546"/>
      <c r="BK405" s="546"/>
      <c r="BL405" s="546"/>
      <c r="BM405" s="546"/>
      <c r="BN405" s="546"/>
      <c r="BO405" s="546"/>
      <c r="BP405" s="546"/>
      <c r="BQ405" s="546"/>
      <c r="BR405" s="546"/>
      <c r="BS405" s="546"/>
      <c r="BT405" s="546"/>
      <c r="BU405" s="546"/>
      <c r="BV405" s="546"/>
      <c r="BW405" s="546"/>
      <c r="BX405" s="546"/>
      <c r="BY405" s="546"/>
    </row>
    <row r="406" spans="1:77" ht="12" hidden="1" thickBot="1">
      <c r="A406" s="522" t="s">
        <v>1360</v>
      </c>
      <c r="B406" s="522" t="s">
        <v>390</v>
      </c>
      <c r="C406" s="522" t="s">
        <v>1016</v>
      </c>
      <c r="D406" s="533" t="s">
        <v>1035</v>
      </c>
      <c r="E406" s="524">
        <v>146577</v>
      </c>
      <c r="F406" s="526"/>
      <c r="G406" s="525">
        <v>76713.509999999995</v>
      </c>
      <c r="H406" s="526"/>
      <c r="I406" s="526"/>
      <c r="J406" s="526"/>
      <c r="K406" s="526"/>
      <c r="L406" s="526"/>
      <c r="M406" s="525">
        <v>-211.17</v>
      </c>
      <c r="N406" s="525">
        <v>4316.32</v>
      </c>
      <c r="O406" s="526"/>
      <c r="P406" s="526"/>
      <c r="Q406" s="525">
        <v>0</v>
      </c>
      <c r="R406" s="525">
        <v>80818.66</v>
      </c>
      <c r="S406" s="527">
        <f t="shared" si="48"/>
        <v>76713.509999999995</v>
      </c>
      <c r="T406" s="528">
        <f t="shared" si="49"/>
        <v>0</v>
      </c>
      <c r="U406" s="527">
        <f t="shared" si="47"/>
        <v>4316.32</v>
      </c>
      <c r="W406" s="326">
        <f t="shared" si="50"/>
        <v>80818.66</v>
      </c>
      <c r="X406" s="261">
        <f t="shared" si="51"/>
        <v>0</v>
      </c>
      <c r="Y406" s="546"/>
      <c r="Z406" s="1016">
        <f t="shared" si="52"/>
        <v>76713.509999999995</v>
      </c>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46"/>
      <c r="AW406" s="546"/>
      <c r="AX406" s="546"/>
      <c r="AY406" s="546"/>
      <c r="AZ406" s="546"/>
      <c r="BA406" s="546"/>
      <c r="BB406" s="546"/>
      <c r="BC406" s="546"/>
      <c r="BD406" s="546"/>
      <c r="BE406" s="546"/>
      <c r="BF406" s="546"/>
      <c r="BG406" s="546"/>
      <c r="BH406" s="546"/>
      <c r="BI406" s="546"/>
      <c r="BJ406" s="546"/>
      <c r="BK406" s="546"/>
      <c r="BL406" s="546"/>
      <c r="BM406" s="546"/>
      <c r="BN406" s="546"/>
      <c r="BO406" s="546"/>
      <c r="BP406" s="546"/>
      <c r="BQ406" s="546"/>
      <c r="BR406" s="546"/>
      <c r="BS406" s="546"/>
      <c r="BT406" s="546"/>
      <c r="BU406" s="546"/>
      <c r="BV406" s="546"/>
      <c r="BW406" s="546"/>
      <c r="BX406" s="546"/>
      <c r="BY406" s="546"/>
    </row>
    <row r="407" spans="1:77" ht="12" hidden="1" thickBot="1">
      <c r="A407" s="522" t="s">
        <v>1360</v>
      </c>
      <c r="B407" s="522" t="s">
        <v>414</v>
      </c>
      <c r="C407" s="522" t="s">
        <v>1017</v>
      </c>
      <c r="D407" s="533" t="s">
        <v>1035</v>
      </c>
      <c r="E407" s="530">
        <v>46505</v>
      </c>
      <c r="F407" s="532"/>
      <c r="G407" s="531">
        <v>22291.11</v>
      </c>
      <c r="H407" s="532"/>
      <c r="I407" s="532"/>
      <c r="J407" s="532"/>
      <c r="K407" s="532"/>
      <c r="L407" s="532"/>
      <c r="M407" s="531">
        <v>31.31</v>
      </c>
      <c r="N407" s="531">
        <v>826.5</v>
      </c>
      <c r="O407" s="532"/>
      <c r="P407" s="532"/>
      <c r="Q407" s="531">
        <v>0</v>
      </c>
      <c r="R407" s="531">
        <v>23148.92</v>
      </c>
      <c r="S407" s="527">
        <f t="shared" si="48"/>
        <v>22291.11</v>
      </c>
      <c r="T407" s="528">
        <f t="shared" si="49"/>
        <v>0</v>
      </c>
      <c r="U407" s="527">
        <f t="shared" si="47"/>
        <v>826.5</v>
      </c>
      <c r="W407" s="326">
        <f t="shared" si="50"/>
        <v>23148.920000000002</v>
      </c>
      <c r="X407" s="261">
        <f t="shared" si="51"/>
        <v>0</v>
      </c>
      <c r="Y407" s="546"/>
      <c r="Z407" s="1016">
        <f t="shared" si="52"/>
        <v>22291.11</v>
      </c>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46"/>
      <c r="AW407" s="546"/>
      <c r="AX407" s="546"/>
      <c r="AY407" s="546"/>
      <c r="AZ407" s="546"/>
      <c r="BA407" s="546"/>
      <c r="BB407" s="546"/>
      <c r="BC407" s="546"/>
      <c r="BD407" s="546"/>
      <c r="BE407" s="546"/>
      <c r="BF407" s="546"/>
      <c r="BG407" s="546"/>
      <c r="BH407" s="546"/>
      <c r="BI407" s="546"/>
      <c r="BJ407" s="546"/>
      <c r="BK407" s="546"/>
      <c r="BL407" s="546"/>
      <c r="BM407" s="546"/>
      <c r="BN407" s="546"/>
      <c r="BO407" s="546"/>
      <c r="BP407" s="546"/>
      <c r="BQ407" s="546"/>
      <c r="BR407" s="546"/>
      <c r="BS407" s="546"/>
      <c r="BT407" s="546"/>
      <c r="BU407" s="546"/>
      <c r="BV407" s="546"/>
      <c r="BW407" s="546"/>
      <c r="BX407" s="546"/>
      <c r="BY407" s="546"/>
    </row>
    <row r="408" spans="1:77" ht="12" hidden="1" thickBot="1">
      <c r="A408" s="522" t="s">
        <v>1360</v>
      </c>
      <c r="B408" s="522" t="s">
        <v>364</v>
      </c>
      <c r="C408" s="522" t="s">
        <v>1018</v>
      </c>
      <c r="D408" s="533" t="s">
        <v>1035</v>
      </c>
      <c r="E408" s="524">
        <v>127334</v>
      </c>
      <c r="F408" s="526"/>
      <c r="G408" s="525">
        <v>38114.35</v>
      </c>
      <c r="H408" s="526"/>
      <c r="I408" s="526"/>
      <c r="J408" s="526"/>
      <c r="K408" s="526"/>
      <c r="L408" s="526"/>
      <c r="M408" s="525">
        <v>141.29</v>
      </c>
      <c r="N408" s="525">
        <v>1262.98</v>
      </c>
      <c r="O408" s="526"/>
      <c r="P408" s="526"/>
      <c r="Q408" s="525">
        <v>0</v>
      </c>
      <c r="R408" s="525">
        <v>39518.620000000003</v>
      </c>
      <c r="S408" s="527">
        <f t="shared" si="48"/>
        <v>38114.35</v>
      </c>
      <c r="T408" s="528">
        <f t="shared" si="49"/>
        <v>0</v>
      </c>
      <c r="U408" s="527">
        <f t="shared" si="47"/>
        <v>1262.98</v>
      </c>
      <c r="W408" s="326">
        <f t="shared" si="50"/>
        <v>39518.620000000003</v>
      </c>
      <c r="X408" s="261">
        <f t="shared" si="51"/>
        <v>0</v>
      </c>
      <c r="Y408" s="546"/>
      <c r="Z408" s="1016">
        <f t="shared" si="52"/>
        <v>38114.35</v>
      </c>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46"/>
      <c r="AW408" s="546"/>
      <c r="AX408" s="546"/>
      <c r="AY408" s="546"/>
      <c r="AZ408" s="546"/>
      <c r="BA408" s="546"/>
      <c r="BB408" s="546"/>
      <c r="BC408" s="546"/>
      <c r="BD408" s="546"/>
      <c r="BE408" s="546"/>
      <c r="BF408" s="546"/>
      <c r="BG408" s="546"/>
      <c r="BH408" s="546"/>
      <c r="BI408" s="546"/>
      <c r="BJ408" s="546"/>
      <c r="BK408" s="546"/>
      <c r="BL408" s="546"/>
      <c r="BM408" s="546"/>
      <c r="BN408" s="546"/>
      <c r="BO408" s="546"/>
      <c r="BP408" s="546"/>
      <c r="BQ408" s="546"/>
      <c r="BR408" s="546"/>
      <c r="BS408" s="546"/>
      <c r="BT408" s="546"/>
      <c r="BU408" s="546"/>
      <c r="BV408" s="546"/>
      <c r="BW408" s="546"/>
      <c r="BX408" s="546"/>
      <c r="BY408" s="546"/>
    </row>
    <row r="409" spans="1:77" ht="12" hidden="1" thickBot="1">
      <c r="A409" s="522" t="s">
        <v>1360</v>
      </c>
      <c r="B409" s="522" t="s">
        <v>396</v>
      </c>
      <c r="C409" s="522" t="s">
        <v>1019</v>
      </c>
      <c r="D409" s="533" t="s">
        <v>1035</v>
      </c>
      <c r="E409" s="530">
        <v>162580</v>
      </c>
      <c r="F409" s="532"/>
      <c r="G409" s="531">
        <v>31708.99</v>
      </c>
      <c r="H409" s="532"/>
      <c r="I409" s="532"/>
      <c r="J409" s="532"/>
      <c r="K409" s="532"/>
      <c r="L409" s="532"/>
      <c r="M409" s="531">
        <v>406.73</v>
      </c>
      <c r="N409" s="531">
        <v>674.2</v>
      </c>
      <c r="O409" s="532"/>
      <c r="P409" s="532"/>
      <c r="Q409" s="531">
        <v>0</v>
      </c>
      <c r="R409" s="531">
        <v>32789.919999999998</v>
      </c>
      <c r="S409" s="527">
        <f t="shared" si="48"/>
        <v>31708.99</v>
      </c>
      <c r="T409" s="528">
        <f t="shared" si="49"/>
        <v>0</v>
      </c>
      <c r="U409" s="527">
        <f t="shared" si="47"/>
        <v>674.2</v>
      </c>
      <c r="W409" s="326">
        <f t="shared" si="50"/>
        <v>32789.919999999998</v>
      </c>
      <c r="X409" s="261">
        <f t="shared" si="51"/>
        <v>0</v>
      </c>
      <c r="Y409" s="546"/>
      <c r="Z409" s="1016">
        <f t="shared" si="52"/>
        <v>31708.99</v>
      </c>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46"/>
      <c r="AW409" s="546"/>
      <c r="AX409" s="546"/>
      <c r="AY409" s="546"/>
      <c r="AZ409" s="546"/>
      <c r="BA409" s="546"/>
      <c r="BB409" s="546"/>
      <c r="BC409" s="546"/>
      <c r="BD409" s="546"/>
      <c r="BE409" s="546"/>
      <c r="BF409" s="546"/>
      <c r="BG409" s="546"/>
      <c r="BH409" s="546"/>
      <c r="BI409" s="546"/>
      <c r="BJ409" s="546"/>
      <c r="BK409" s="546"/>
      <c r="BL409" s="546"/>
      <c r="BM409" s="546"/>
      <c r="BN409" s="546"/>
      <c r="BO409" s="546"/>
      <c r="BP409" s="546"/>
      <c r="BQ409" s="546"/>
      <c r="BR409" s="546"/>
      <c r="BS409" s="546"/>
      <c r="BT409" s="546"/>
      <c r="BU409" s="546"/>
      <c r="BV409" s="546"/>
      <c r="BW409" s="546"/>
      <c r="BX409" s="546"/>
      <c r="BY409" s="546"/>
    </row>
    <row r="410" spans="1:77" ht="12" hidden="1" thickBot="1">
      <c r="A410" s="522" t="s">
        <v>1360</v>
      </c>
      <c r="B410" s="522" t="s">
        <v>415</v>
      </c>
      <c r="C410" s="522" t="s">
        <v>1020</v>
      </c>
      <c r="D410" s="533" t="s">
        <v>1035</v>
      </c>
      <c r="E410" s="524">
        <v>459228</v>
      </c>
      <c r="F410" s="526"/>
      <c r="G410" s="525">
        <v>99560.83</v>
      </c>
      <c r="H410" s="526"/>
      <c r="I410" s="526"/>
      <c r="J410" s="526"/>
      <c r="K410" s="526"/>
      <c r="L410" s="526"/>
      <c r="M410" s="525">
        <v>1413.96</v>
      </c>
      <c r="N410" s="525">
        <v>1682.28</v>
      </c>
      <c r="O410" s="526"/>
      <c r="P410" s="526"/>
      <c r="Q410" s="525">
        <v>0</v>
      </c>
      <c r="R410" s="525">
        <v>102657.07</v>
      </c>
      <c r="S410" s="527">
        <f t="shared" si="48"/>
        <v>99560.83</v>
      </c>
      <c r="T410" s="528">
        <f t="shared" si="49"/>
        <v>0</v>
      </c>
      <c r="U410" s="527">
        <f t="shared" si="47"/>
        <v>1682.28</v>
      </c>
      <c r="W410" s="326">
        <f t="shared" si="50"/>
        <v>102657.07</v>
      </c>
      <c r="X410" s="261">
        <f t="shared" si="51"/>
        <v>0</v>
      </c>
      <c r="Y410" s="546"/>
      <c r="Z410" s="1016">
        <f t="shared" si="52"/>
        <v>99560.83</v>
      </c>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46"/>
      <c r="AW410" s="546"/>
      <c r="AX410" s="546"/>
      <c r="AY410" s="546"/>
      <c r="AZ410" s="546"/>
      <c r="BA410" s="546"/>
      <c r="BB410" s="546"/>
      <c r="BC410" s="546"/>
      <c r="BD410" s="546"/>
      <c r="BE410" s="546"/>
      <c r="BF410" s="546"/>
      <c r="BG410" s="546"/>
      <c r="BH410" s="546"/>
      <c r="BI410" s="546"/>
      <c r="BJ410" s="546"/>
      <c r="BK410" s="546"/>
      <c r="BL410" s="546"/>
      <c r="BM410" s="546"/>
      <c r="BN410" s="546"/>
      <c r="BO410" s="546"/>
      <c r="BP410" s="546"/>
      <c r="BQ410" s="546"/>
      <c r="BR410" s="546"/>
      <c r="BS410" s="546"/>
      <c r="BT410" s="546"/>
      <c r="BU410" s="546"/>
      <c r="BV410" s="546"/>
      <c r="BW410" s="546"/>
      <c r="BX410" s="546"/>
      <c r="BY410" s="546"/>
    </row>
    <row r="411" spans="1:77" ht="12" hidden="1" thickBot="1">
      <c r="A411" s="522" t="s">
        <v>1360</v>
      </c>
      <c r="B411" s="522" t="s">
        <v>365</v>
      </c>
      <c r="C411" s="522" t="s">
        <v>1021</v>
      </c>
      <c r="D411" s="533" t="s">
        <v>1035</v>
      </c>
      <c r="E411" s="530">
        <v>584387</v>
      </c>
      <c r="F411" s="532"/>
      <c r="G411" s="531">
        <v>92213.95</v>
      </c>
      <c r="H411" s="532"/>
      <c r="I411" s="532"/>
      <c r="J411" s="532"/>
      <c r="K411" s="532"/>
      <c r="L411" s="532"/>
      <c r="M411" s="531">
        <v>1686.49</v>
      </c>
      <c r="N411" s="531">
        <v>1691.91</v>
      </c>
      <c r="O411" s="532"/>
      <c r="P411" s="532"/>
      <c r="Q411" s="531">
        <v>0.05</v>
      </c>
      <c r="R411" s="531">
        <v>95592.4</v>
      </c>
      <c r="S411" s="527">
        <f t="shared" si="48"/>
        <v>92213.95</v>
      </c>
      <c r="T411" s="528">
        <f t="shared" si="49"/>
        <v>0</v>
      </c>
      <c r="U411" s="527">
        <f t="shared" si="47"/>
        <v>1691.91</v>
      </c>
      <c r="W411" s="326">
        <f t="shared" si="50"/>
        <v>95592.400000000009</v>
      </c>
      <c r="X411" s="261">
        <f t="shared" si="51"/>
        <v>0</v>
      </c>
      <c r="Y411" s="546"/>
      <c r="Z411" s="1016">
        <f t="shared" si="52"/>
        <v>92213.95</v>
      </c>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46"/>
      <c r="AW411" s="546"/>
      <c r="AX411" s="546"/>
      <c r="AY411" s="546"/>
      <c r="AZ411" s="546"/>
      <c r="BA411" s="546"/>
      <c r="BB411" s="546"/>
      <c r="BC411" s="546"/>
      <c r="BD411" s="546"/>
      <c r="BE411" s="546"/>
      <c r="BF411" s="546"/>
      <c r="BG411" s="546"/>
      <c r="BH411" s="546"/>
      <c r="BI411" s="546"/>
      <c r="BJ411" s="546"/>
      <c r="BK411" s="546"/>
      <c r="BL411" s="546"/>
      <c r="BM411" s="546"/>
      <c r="BN411" s="546"/>
      <c r="BO411" s="546"/>
      <c r="BP411" s="546"/>
      <c r="BQ411" s="546"/>
      <c r="BR411" s="546"/>
      <c r="BS411" s="546"/>
      <c r="BT411" s="546"/>
      <c r="BU411" s="546"/>
      <c r="BV411" s="546"/>
      <c r="BW411" s="546"/>
      <c r="BX411" s="546"/>
      <c r="BY411" s="546"/>
    </row>
    <row r="412" spans="1:77" ht="12" hidden="1" thickBot="1">
      <c r="A412" s="522" t="s">
        <v>1360</v>
      </c>
      <c r="B412" s="522" t="s">
        <v>397</v>
      </c>
      <c r="C412" s="522" t="s">
        <v>1022</v>
      </c>
      <c r="D412" s="533" t="s">
        <v>1035</v>
      </c>
      <c r="E412" s="524">
        <v>1375653</v>
      </c>
      <c r="F412" s="526"/>
      <c r="G412" s="525">
        <v>159076.07999999999</v>
      </c>
      <c r="H412" s="526"/>
      <c r="I412" s="526"/>
      <c r="J412" s="526"/>
      <c r="K412" s="526"/>
      <c r="L412" s="526"/>
      <c r="M412" s="525">
        <v>3990.88</v>
      </c>
      <c r="N412" s="525">
        <v>2886.29</v>
      </c>
      <c r="O412" s="526"/>
      <c r="P412" s="526"/>
      <c r="Q412" s="525">
        <v>-0.09</v>
      </c>
      <c r="R412" s="525">
        <v>165953.16</v>
      </c>
      <c r="S412" s="527">
        <f t="shared" si="48"/>
        <v>159076.07999999999</v>
      </c>
      <c r="T412" s="528">
        <f t="shared" si="49"/>
        <v>0</v>
      </c>
      <c r="U412" s="527">
        <f t="shared" si="47"/>
        <v>2886.29</v>
      </c>
      <c r="W412" s="326">
        <f t="shared" si="50"/>
        <v>165953.16</v>
      </c>
      <c r="X412" s="261">
        <f t="shared" si="51"/>
        <v>0</v>
      </c>
      <c r="Y412" s="546"/>
      <c r="Z412" s="1016">
        <f t="shared" si="52"/>
        <v>159076.07999999999</v>
      </c>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46"/>
      <c r="AW412" s="546"/>
      <c r="AX412" s="546"/>
      <c r="AY412" s="546"/>
      <c r="AZ412" s="546"/>
      <c r="BA412" s="546"/>
      <c r="BB412" s="546"/>
      <c r="BC412" s="546"/>
      <c r="BD412" s="546"/>
      <c r="BE412" s="546"/>
      <c r="BF412" s="546"/>
      <c r="BG412" s="546"/>
      <c r="BH412" s="546"/>
      <c r="BI412" s="546"/>
      <c r="BJ412" s="546"/>
      <c r="BK412" s="546"/>
      <c r="BL412" s="546"/>
      <c r="BM412" s="546"/>
      <c r="BN412" s="546"/>
      <c r="BO412" s="546"/>
      <c r="BP412" s="546"/>
      <c r="BQ412" s="546"/>
      <c r="BR412" s="546"/>
      <c r="BS412" s="546"/>
      <c r="BT412" s="546"/>
      <c r="BU412" s="546"/>
      <c r="BV412" s="546"/>
      <c r="BW412" s="546"/>
      <c r="BX412" s="546"/>
      <c r="BY412" s="546"/>
    </row>
    <row r="413" spans="1:77" ht="12" hidden="1" thickBot="1">
      <c r="A413" s="522" t="s">
        <v>1360</v>
      </c>
      <c r="B413" s="522" t="s">
        <v>337</v>
      </c>
      <c r="C413" s="522" t="s">
        <v>1023</v>
      </c>
      <c r="D413" s="533" t="s">
        <v>1035</v>
      </c>
      <c r="E413" s="530">
        <v>3059</v>
      </c>
      <c r="F413" s="532"/>
      <c r="G413" s="531">
        <v>897.26</v>
      </c>
      <c r="H413" s="532"/>
      <c r="I413" s="532"/>
      <c r="J413" s="532"/>
      <c r="K413" s="532"/>
      <c r="L413" s="532"/>
      <c r="M413" s="531">
        <v>9.3000000000000007</v>
      </c>
      <c r="N413" s="531">
        <v>15.12</v>
      </c>
      <c r="O413" s="532"/>
      <c r="P413" s="532"/>
      <c r="Q413" s="531">
        <v>0</v>
      </c>
      <c r="R413" s="531">
        <v>921.68</v>
      </c>
      <c r="S413" s="527">
        <f t="shared" si="48"/>
        <v>897.26</v>
      </c>
      <c r="T413" s="528">
        <f t="shared" si="49"/>
        <v>0</v>
      </c>
      <c r="U413" s="527">
        <f t="shared" si="47"/>
        <v>15.12</v>
      </c>
      <c r="W413" s="326">
        <f t="shared" si="50"/>
        <v>921.68</v>
      </c>
      <c r="X413" s="261">
        <f t="shared" si="51"/>
        <v>0</v>
      </c>
      <c r="Y413" s="546"/>
      <c r="Z413" s="1016">
        <f t="shared" si="52"/>
        <v>897.26</v>
      </c>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46"/>
      <c r="AW413" s="546"/>
      <c r="AX413" s="546"/>
      <c r="AY413" s="546"/>
      <c r="AZ413" s="546"/>
      <c r="BA413" s="546"/>
      <c r="BB413" s="546"/>
      <c r="BC413" s="546"/>
      <c r="BD413" s="546"/>
      <c r="BE413" s="546"/>
      <c r="BF413" s="546"/>
      <c r="BG413" s="546"/>
      <c r="BH413" s="546"/>
      <c r="BI413" s="546"/>
      <c r="BJ413" s="546"/>
      <c r="BK413" s="546"/>
      <c r="BL413" s="546"/>
      <c r="BM413" s="546"/>
      <c r="BN413" s="546"/>
      <c r="BO413" s="546"/>
      <c r="BP413" s="546"/>
      <c r="BQ413" s="546"/>
      <c r="BR413" s="546"/>
      <c r="BS413" s="546"/>
      <c r="BT413" s="546"/>
      <c r="BU413" s="546"/>
      <c r="BV413" s="546"/>
      <c r="BW413" s="546"/>
      <c r="BX413" s="546"/>
      <c r="BY413" s="546"/>
    </row>
    <row r="414" spans="1:77" ht="12" hidden="1" thickBot="1">
      <c r="A414" s="522" t="s">
        <v>1360</v>
      </c>
      <c r="B414" s="522" t="s">
        <v>369</v>
      </c>
      <c r="C414" s="522" t="s">
        <v>1024</v>
      </c>
      <c r="D414" s="533" t="s">
        <v>1035</v>
      </c>
      <c r="E414" s="524">
        <v>37676</v>
      </c>
      <c r="F414" s="526"/>
      <c r="G414" s="525">
        <v>6652.1</v>
      </c>
      <c r="H414" s="526"/>
      <c r="I414" s="526"/>
      <c r="J414" s="526"/>
      <c r="K414" s="526"/>
      <c r="L414" s="526"/>
      <c r="M414" s="525">
        <v>114.59</v>
      </c>
      <c r="N414" s="525">
        <v>112.68</v>
      </c>
      <c r="O414" s="526"/>
      <c r="P414" s="526"/>
      <c r="Q414" s="525">
        <v>0</v>
      </c>
      <c r="R414" s="525">
        <v>6879.37</v>
      </c>
      <c r="S414" s="527">
        <f t="shared" si="48"/>
        <v>6652.1</v>
      </c>
      <c r="T414" s="528">
        <f t="shared" si="49"/>
        <v>0</v>
      </c>
      <c r="U414" s="527">
        <f t="shared" si="47"/>
        <v>112.68</v>
      </c>
      <c r="W414" s="326">
        <f t="shared" si="50"/>
        <v>6879.3700000000008</v>
      </c>
      <c r="X414" s="261">
        <f t="shared" si="51"/>
        <v>0</v>
      </c>
      <c r="Y414" s="546"/>
      <c r="Z414" s="1016">
        <f t="shared" si="52"/>
        <v>6652.1</v>
      </c>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46"/>
      <c r="AW414" s="546"/>
      <c r="AX414" s="546"/>
      <c r="AY414" s="546"/>
      <c r="AZ414" s="546"/>
      <c r="BA414" s="546"/>
      <c r="BB414" s="546"/>
      <c r="BC414" s="546"/>
      <c r="BD414" s="546"/>
      <c r="BE414" s="546"/>
      <c r="BF414" s="546"/>
      <c r="BG414" s="546"/>
      <c r="BH414" s="546"/>
      <c r="BI414" s="546"/>
      <c r="BJ414" s="546"/>
      <c r="BK414" s="546"/>
      <c r="BL414" s="546"/>
      <c r="BM414" s="546"/>
      <c r="BN414" s="546"/>
      <c r="BO414" s="546"/>
      <c r="BP414" s="546"/>
      <c r="BQ414" s="546"/>
      <c r="BR414" s="546"/>
      <c r="BS414" s="546"/>
      <c r="BT414" s="546"/>
      <c r="BU414" s="546"/>
      <c r="BV414" s="546"/>
      <c r="BW414" s="546"/>
      <c r="BX414" s="546"/>
      <c r="BY414" s="546"/>
    </row>
    <row r="415" spans="1:77" ht="12" hidden="1" thickBot="1">
      <c r="A415" s="522" t="s">
        <v>1360</v>
      </c>
      <c r="B415" s="522" t="s">
        <v>715</v>
      </c>
      <c r="C415" s="522" t="s">
        <v>1025</v>
      </c>
      <c r="D415" s="533" t="s">
        <v>1035</v>
      </c>
      <c r="E415" s="530">
        <v>59</v>
      </c>
      <c r="F415" s="532"/>
      <c r="G415" s="531">
        <v>30.74</v>
      </c>
      <c r="H415" s="532"/>
      <c r="I415" s="532"/>
      <c r="J415" s="532"/>
      <c r="K415" s="532"/>
      <c r="L415" s="532"/>
      <c r="M415" s="531">
        <v>0.18</v>
      </c>
      <c r="N415" s="531">
        <v>0.49</v>
      </c>
      <c r="O415" s="532"/>
      <c r="P415" s="532"/>
      <c r="Q415" s="532"/>
      <c r="R415" s="531">
        <v>31.41</v>
      </c>
      <c r="S415" s="527">
        <f t="shared" si="48"/>
        <v>30.74</v>
      </c>
      <c r="T415" s="528">
        <f t="shared" si="49"/>
        <v>0</v>
      </c>
      <c r="U415" s="527">
        <f t="shared" si="47"/>
        <v>0.49</v>
      </c>
      <c r="W415" s="326">
        <f t="shared" si="50"/>
        <v>31.409999999999997</v>
      </c>
      <c r="X415" s="261">
        <f t="shared" si="51"/>
        <v>0</v>
      </c>
      <c r="Y415" s="546"/>
      <c r="Z415" s="1016">
        <f t="shared" si="52"/>
        <v>30.74</v>
      </c>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46"/>
      <c r="AW415" s="546"/>
      <c r="AX415" s="546"/>
      <c r="AY415" s="546"/>
      <c r="AZ415" s="546"/>
      <c r="BA415" s="546"/>
      <c r="BB415" s="546"/>
      <c r="BC415" s="546"/>
      <c r="BD415" s="546"/>
      <c r="BE415" s="546"/>
      <c r="BF415" s="546"/>
      <c r="BG415" s="546"/>
      <c r="BH415" s="546"/>
      <c r="BI415" s="546"/>
      <c r="BJ415" s="546"/>
      <c r="BK415" s="546"/>
      <c r="BL415" s="546"/>
      <c r="BM415" s="546"/>
      <c r="BN415" s="546"/>
      <c r="BO415" s="546"/>
      <c r="BP415" s="546"/>
      <c r="BQ415" s="546"/>
      <c r="BR415" s="546"/>
      <c r="BS415" s="546"/>
      <c r="BT415" s="546"/>
      <c r="BU415" s="546"/>
      <c r="BV415" s="546"/>
      <c r="BW415" s="546"/>
      <c r="BX415" s="546"/>
      <c r="BY415" s="546"/>
    </row>
    <row r="416" spans="1:77" ht="12" hidden="1" thickBot="1">
      <c r="A416" s="522" t="s">
        <v>1360</v>
      </c>
      <c r="B416" s="522" t="s">
        <v>332</v>
      </c>
      <c r="C416" s="522" t="s">
        <v>1026</v>
      </c>
      <c r="D416" s="533" t="s">
        <v>1035</v>
      </c>
      <c r="E416" s="524">
        <v>16697</v>
      </c>
      <c r="F416" s="526"/>
      <c r="G416" s="525">
        <v>1965.1</v>
      </c>
      <c r="H416" s="526"/>
      <c r="I416" s="526"/>
      <c r="J416" s="526"/>
      <c r="K416" s="526"/>
      <c r="L416" s="526"/>
      <c r="M416" s="525">
        <v>52.11</v>
      </c>
      <c r="N416" s="525">
        <v>32.270000000000003</v>
      </c>
      <c r="O416" s="526"/>
      <c r="P416" s="526"/>
      <c r="Q416" s="525">
        <v>0</v>
      </c>
      <c r="R416" s="525">
        <v>2049.48</v>
      </c>
      <c r="S416" s="527">
        <f t="shared" si="48"/>
        <v>1965.1</v>
      </c>
      <c r="T416" s="528">
        <f t="shared" si="49"/>
        <v>0</v>
      </c>
      <c r="U416" s="527">
        <f t="shared" ref="U416:U429" si="53">N416+O416</f>
        <v>32.270000000000003</v>
      </c>
      <c r="W416" s="326">
        <f t="shared" si="50"/>
        <v>2049.48</v>
      </c>
      <c r="X416" s="261">
        <f t="shared" si="51"/>
        <v>0</v>
      </c>
      <c r="Y416" s="546"/>
      <c r="Z416" s="1016">
        <f t="shared" si="52"/>
        <v>1965.1</v>
      </c>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46"/>
      <c r="AW416" s="546"/>
      <c r="AX416" s="546"/>
      <c r="AY416" s="546"/>
      <c r="AZ416" s="546"/>
      <c r="BA416" s="546"/>
      <c r="BB416" s="546"/>
      <c r="BC416" s="546"/>
      <c r="BD416" s="546"/>
      <c r="BE416" s="546"/>
      <c r="BF416" s="546"/>
      <c r="BG416" s="546"/>
      <c r="BH416" s="546"/>
      <c r="BI416" s="546"/>
      <c r="BJ416" s="546"/>
      <c r="BK416" s="546"/>
      <c r="BL416" s="546"/>
      <c r="BM416" s="546"/>
      <c r="BN416" s="546"/>
      <c r="BO416" s="546"/>
      <c r="BP416" s="546"/>
      <c r="BQ416" s="546"/>
      <c r="BR416" s="546"/>
      <c r="BS416" s="546"/>
      <c r="BT416" s="546"/>
      <c r="BU416" s="546"/>
      <c r="BV416" s="546"/>
      <c r="BW416" s="546"/>
      <c r="BX416" s="546"/>
      <c r="BY416" s="546"/>
    </row>
    <row r="417" spans="1:77" ht="12" hidden="1" thickBot="1">
      <c r="A417" s="522" t="s">
        <v>1360</v>
      </c>
      <c r="B417" s="522" t="s">
        <v>334</v>
      </c>
      <c r="C417" s="522" t="s">
        <v>1027</v>
      </c>
      <c r="D417" s="533" t="s">
        <v>1035</v>
      </c>
      <c r="E417" s="530">
        <v>9130</v>
      </c>
      <c r="F417" s="532"/>
      <c r="G417" s="531">
        <v>4766.16</v>
      </c>
      <c r="H417" s="532"/>
      <c r="I417" s="532"/>
      <c r="J417" s="532"/>
      <c r="K417" s="532"/>
      <c r="L417" s="532"/>
      <c r="M417" s="531">
        <v>20.51</v>
      </c>
      <c r="N417" s="531">
        <v>112.19</v>
      </c>
      <c r="O417" s="532"/>
      <c r="P417" s="532"/>
      <c r="Q417" s="531">
        <v>0</v>
      </c>
      <c r="R417" s="531">
        <v>4898.8599999999997</v>
      </c>
      <c r="S417" s="527">
        <f t="shared" ref="S417:S429" si="54">G417+H417+I417</f>
        <v>4766.16</v>
      </c>
      <c r="T417" s="528">
        <f t="shared" ref="T417:T429" si="55">J417+K417</f>
        <v>0</v>
      </c>
      <c r="U417" s="527">
        <f t="shared" si="53"/>
        <v>112.19</v>
      </c>
      <c r="W417" s="326">
        <f t="shared" ref="W417:W429" si="56">SUM(F417:Q417)</f>
        <v>4898.8599999999997</v>
      </c>
      <c r="X417" s="261">
        <f t="shared" ref="X417:X429" si="57">W417-R417</f>
        <v>0</v>
      </c>
      <c r="Y417" s="546"/>
      <c r="Z417" s="1016">
        <f t="shared" si="52"/>
        <v>4766.16</v>
      </c>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46"/>
      <c r="AW417" s="546"/>
      <c r="AX417" s="546"/>
      <c r="AY417" s="546"/>
      <c r="AZ417" s="546"/>
      <c r="BA417" s="546"/>
      <c r="BB417" s="546"/>
      <c r="BC417" s="546"/>
      <c r="BD417" s="546"/>
      <c r="BE417" s="546"/>
      <c r="BF417" s="546"/>
      <c r="BG417" s="546"/>
      <c r="BH417" s="546"/>
      <c r="BI417" s="546"/>
      <c r="BJ417" s="546"/>
      <c r="BK417" s="546"/>
      <c r="BL417" s="546"/>
      <c r="BM417" s="546"/>
      <c r="BN417" s="546"/>
      <c r="BO417" s="546"/>
      <c r="BP417" s="546"/>
      <c r="BQ417" s="546"/>
      <c r="BR417" s="546"/>
      <c r="BS417" s="546"/>
      <c r="BT417" s="546"/>
      <c r="BU417" s="546"/>
      <c r="BV417" s="546"/>
      <c r="BW417" s="546"/>
      <c r="BX417" s="546"/>
      <c r="BY417" s="546"/>
    </row>
    <row r="418" spans="1:77" ht="12" hidden="1" thickBot="1">
      <c r="A418" s="522" t="s">
        <v>1360</v>
      </c>
      <c r="B418" s="522" t="s">
        <v>366</v>
      </c>
      <c r="C418" s="522" t="s">
        <v>1028</v>
      </c>
      <c r="D418" s="533" t="s">
        <v>1035</v>
      </c>
      <c r="E418" s="524">
        <v>77106</v>
      </c>
      <c r="F418" s="526"/>
      <c r="G418" s="525">
        <v>21726.67</v>
      </c>
      <c r="H418" s="526"/>
      <c r="I418" s="526"/>
      <c r="J418" s="526"/>
      <c r="K418" s="526"/>
      <c r="L418" s="526"/>
      <c r="M418" s="525">
        <v>236.96</v>
      </c>
      <c r="N418" s="525">
        <v>359.9</v>
      </c>
      <c r="O418" s="526"/>
      <c r="P418" s="526"/>
      <c r="Q418" s="525">
        <v>0</v>
      </c>
      <c r="R418" s="525">
        <v>22323.53</v>
      </c>
      <c r="S418" s="527">
        <f t="shared" si="54"/>
        <v>21726.67</v>
      </c>
      <c r="T418" s="528">
        <f t="shared" si="55"/>
        <v>0</v>
      </c>
      <c r="U418" s="527">
        <f t="shared" si="53"/>
        <v>359.9</v>
      </c>
      <c r="W418" s="326">
        <f t="shared" si="56"/>
        <v>22323.53</v>
      </c>
      <c r="X418" s="261">
        <f t="shared" si="57"/>
        <v>0</v>
      </c>
      <c r="Y418" s="546"/>
      <c r="Z418" s="1016">
        <f t="shared" si="52"/>
        <v>21726.67</v>
      </c>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46"/>
      <c r="AW418" s="546"/>
      <c r="AX418" s="546"/>
      <c r="AY418" s="546"/>
      <c r="AZ418" s="546"/>
      <c r="BA418" s="546"/>
      <c r="BB418" s="546"/>
      <c r="BC418" s="546"/>
      <c r="BD418" s="546"/>
      <c r="BE418" s="546"/>
      <c r="BF418" s="546"/>
      <c r="BG418" s="546"/>
      <c r="BH418" s="546"/>
      <c r="BI418" s="546"/>
      <c r="BJ418" s="546"/>
      <c r="BK418" s="546"/>
      <c r="BL418" s="546"/>
      <c r="BM418" s="546"/>
      <c r="BN418" s="546"/>
      <c r="BO418" s="546"/>
      <c r="BP418" s="546"/>
      <c r="BQ418" s="546"/>
      <c r="BR418" s="546"/>
      <c r="BS418" s="546"/>
      <c r="BT418" s="546"/>
      <c r="BU418" s="546"/>
      <c r="BV418" s="546"/>
      <c r="BW418" s="546"/>
      <c r="BX418" s="546"/>
      <c r="BY418" s="546"/>
    </row>
    <row r="419" spans="1:77" ht="12" hidden="1" thickBot="1">
      <c r="A419" s="522" t="s">
        <v>1360</v>
      </c>
      <c r="B419" s="522" t="s">
        <v>329</v>
      </c>
      <c r="C419" s="522" t="s">
        <v>1029</v>
      </c>
      <c r="D419" s="533" t="s">
        <v>1035</v>
      </c>
      <c r="E419" s="530">
        <v>60170</v>
      </c>
      <c r="F419" s="532"/>
      <c r="G419" s="531">
        <v>9198.6299999999992</v>
      </c>
      <c r="H419" s="532"/>
      <c r="I419" s="532"/>
      <c r="J419" s="532"/>
      <c r="K419" s="532"/>
      <c r="L419" s="532"/>
      <c r="M419" s="531">
        <v>171.7</v>
      </c>
      <c r="N419" s="531">
        <v>171.14</v>
      </c>
      <c r="O419" s="532"/>
      <c r="P419" s="532"/>
      <c r="Q419" s="531">
        <v>0</v>
      </c>
      <c r="R419" s="531">
        <v>9541.4699999999993</v>
      </c>
      <c r="S419" s="527">
        <f t="shared" si="54"/>
        <v>9198.6299999999992</v>
      </c>
      <c r="T419" s="528">
        <f t="shared" si="55"/>
        <v>0</v>
      </c>
      <c r="U419" s="527">
        <f t="shared" si="53"/>
        <v>171.14</v>
      </c>
      <c r="W419" s="326">
        <f t="shared" si="56"/>
        <v>9541.4699999999993</v>
      </c>
      <c r="X419" s="261">
        <f t="shared" si="57"/>
        <v>0</v>
      </c>
      <c r="Y419" s="546"/>
      <c r="Z419" s="1016">
        <f t="shared" si="52"/>
        <v>9198.6299999999992</v>
      </c>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46"/>
      <c r="AW419" s="546"/>
      <c r="AX419" s="546"/>
      <c r="AY419" s="546"/>
      <c r="AZ419" s="546"/>
      <c r="BA419" s="546"/>
      <c r="BB419" s="546"/>
      <c r="BC419" s="546"/>
      <c r="BD419" s="546"/>
      <c r="BE419" s="546"/>
      <c r="BF419" s="546"/>
      <c r="BG419" s="546"/>
      <c r="BH419" s="546"/>
      <c r="BI419" s="546"/>
      <c r="BJ419" s="546"/>
      <c r="BK419" s="546"/>
      <c r="BL419" s="546"/>
      <c r="BM419" s="546"/>
      <c r="BN419" s="546"/>
      <c r="BO419" s="546"/>
      <c r="BP419" s="546"/>
      <c r="BQ419" s="546"/>
      <c r="BR419" s="546"/>
      <c r="BS419" s="546"/>
      <c r="BT419" s="546"/>
      <c r="BU419" s="546"/>
      <c r="BV419" s="546"/>
      <c r="BW419" s="546"/>
      <c r="BX419" s="546"/>
      <c r="BY419" s="546"/>
    </row>
    <row r="420" spans="1:77" ht="12" hidden="1" thickBot="1">
      <c r="A420" s="522" t="s">
        <v>1360</v>
      </c>
      <c r="B420" s="522" t="s">
        <v>683</v>
      </c>
      <c r="C420" s="522" t="s">
        <v>1047</v>
      </c>
      <c r="D420" s="533" t="s">
        <v>1035</v>
      </c>
      <c r="E420" s="524">
        <v>532</v>
      </c>
      <c r="F420" s="526"/>
      <c r="G420" s="525">
        <v>197.5</v>
      </c>
      <c r="H420" s="526"/>
      <c r="I420" s="526"/>
      <c r="J420" s="526"/>
      <c r="K420" s="526"/>
      <c r="L420" s="526"/>
      <c r="M420" s="525">
        <v>1.66</v>
      </c>
      <c r="N420" s="525">
        <v>3.2</v>
      </c>
      <c r="O420" s="526"/>
      <c r="P420" s="526"/>
      <c r="Q420" s="526"/>
      <c r="R420" s="525">
        <v>202.36</v>
      </c>
      <c r="S420" s="527">
        <f t="shared" si="54"/>
        <v>197.5</v>
      </c>
      <c r="T420" s="528">
        <f t="shared" si="55"/>
        <v>0</v>
      </c>
      <c r="U420" s="527">
        <f t="shared" si="53"/>
        <v>3.2</v>
      </c>
      <c r="W420" s="326">
        <f t="shared" si="56"/>
        <v>202.35999999999999</v>
      </c>
      <c r="X420" s="261">
        <f t="shared" si="57"/>
        <v>0</v>
      </c>
      <c r="Y420" s="546"/>
      <c r="Z420" s="1016">
        <f t="shared" si="52"/>
        <v>197.5</v>
      </c>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46"/>
      <c r="AW420" s="546"/>
      <c r="AX420" s="546"/>
      <c r="AY420" s="546"/>
      <c r="AZ420" s="546"/>
      <c r="BA420" s="546"/>
      <c r="BB420" s="546"/>
      <c r="BC420" s="546"/>
      <c r="BD420" s="546"/>
      <c r="BE420" s="546"/>
      <c r="BF420" s="546"/>
      <c r="BG420" s="546"/>
      <c r="BH420" s="546"/>
      <c r="BI420" s="546"/>
      <c r="BJ420" s="546"/>
      <c r="BK420" s="546"/>
      <c r="BL420" s="546"/>
      <c r="BM420" s="546"/>
      <c r="BN420" s="546"/>
      <c r="BO420" s="546"/>
      <c r="BP420" s="546"/>
      <c r="BQ420" s="546"/>
      <c r="BR420" s="546"/>
      <c r="BS420" s="546"/>
      <c r="BT420" s="546"/>
      <c r="BU420" s="546"/>
      <c r="BV420" s="546"/>
      <c r="BW420" s="546"/>
      <c r="BX420" s="546"/>
      <c r="BY420" s="546"/>
    </row>
    <row r="421" spans="1:77" ht="12" hidden="1" thickBot="1">
      <c r="A421" s="522" t="s">
        <v>1360</v>
      </c>
      <c r="B421" s="522" t="s">
        <v>463</v>
      </c>
      <c r="C421" s="522" t="s">
        <v>1030</v>
      </c>
      <c r="D421" s="533" t="s">
        <v>1035</v>
      </c>
      <c r="E421" s="530">
        <v>2673</v>
      </c>
      <c r="F421" s="532"/>
      <c r="G421" s="531">
        <v>531.6</v>
      </c>
      <c r="H421" s="532"/>
      <c r="I421" s="532"/>
      <c r="J421" s="532"/>
      <c r="K421" s="532"/>
      <c r="L421" s="532"/>
      <c r="M421" s="531">
        <v>8.33</v>
      </c>
      <c r="N421" s="531">
        <v>8.64</v>
      </c>
      <c r="O421" s="532"/>
      <c r="P421" s="532"/>
      <c r="Q421" s="532"/>
      <c r="R421" s="531">
        <v>548.57000000000005</v>
      </c>
      <c r="S421" s="527">
        <f t="shared" si="54"/>
        <v>531.6</v>
      </c>
      <c r="T421" s="528">
        <f t="shared" si="55"/>
        <v>0</v>
      </c>
      <c r="U421" s="527">
        <f t="shared" si="53"/>
        <v>8.64</v>
      </c>
      <c r="W421" s="326">
        <f t="shared" si="56"/>
        <v>548.57000000000005</v>
      </c>
      <c r="X421" s="261">
        <f t="shared" si="57"/>
        <v>0</v>
      </c>
      <c r="Y421" s="546"/>
      <c r="Z421" s="1016">
        <f t="shared" si="52"/>
        <v>531.6</v>
      </c>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46"/>
      <c r="AW421" s="546"/>
      <c r="AX421" s="546"/>
      <c r="AY421" s="546"/>
      <c r="AZ421" s="546"/>
      <c r="BA421" s="546"/>
      <c r="BB421" s="546"/>
      <c r="BC421" s="546"/>
      <c r="BD421" s="546"/>
      <c r="BE421" s="546"/>
      <c r="BF421" s="546"/>
      <c r="BG421" s="546"/>
      <c r="BH421" s="546"/>
      <c r="BI421" s="546"/>
      <c r="BJ421" s="546"/>
      <c r="BK421" s="546"/>
      <c r="BL421" s="546"/>
      <c r="BM421" s="546"/>
      <c r="BN421" s="546"/>
      <c r="BO421" s="546"/>
      <c r="BP421" s="546"/>
      <c r="BQ421" s="546"/>
      <c r="BR421" s="546"/>
      <c r="BS421" s="546"/>
      <c r="BT421" s="546"/>
      <c r="BU421" s="546"/>
      <c r="BV421" s="546"/>
      <c r="BW421" s="546"/>
      <c r="BX421" s="546"/>
      <c r="BY421" s="546"/>
    </row>
    <row r="422" spans="1:77" ht="12" hidden="1" thickBot="1">
      <c r="A422" s="522" t="s">
        <v>1360</v>
      </c>
      <c r="B422" s="522" t="s">
        <v>653</v>
      </c>
      <c r="C422" s="522" t="s">
        <v>1031</v>
      </c>
      <c r="D422" s="533" t="s">
        <v>1035</v>
      </c>
      <c r="E422" s="524">
        <v>4223</v>
      </c>
      <c r="F422" s="526"/>
      <c r="G422" s="525">
        <v>515.76</v>
      </c>
      <c r="H422" s="526"/>
      <c r="I422" s="526"/>
      <c r="J422" s="526"/>
      <c r="K422" s="526"/>
      <c r="L422" s="526"/>
      <c r="M422" s="525">
        <v>12.38</v>
      </c>
      <c r="N422" s="525">
        <v>9.3000000000000007</v>
      </c>
      <c r="O422" s="526"/>
      <c r="P422" s="526"/>
      <c r="Q422" s="526"/>
      <c r="R422" s="525">
        <v>537.44000000000005</v>
      </c>
      <c r="S422" s="527">
        <f t="shared" si="54"/>
        <v>515.76</v>
      </c>
      <c r="T422" s="528">
        <f t="shared" si="55"/>
        <v>0</v>
      </c>
      <c r="U422" s="527">
        <f t="shared" si="53"/>
        <v>9.3000000000000007</v>
      </c>
      <c r="W422" s="326">
        <f t="shared" si="56"/>
        <v>537.43999999999994</v>
      </c>
      <c r="X422" s="261">
        <f t="shared" si="57"/>
        <v>0</v>
      </c>
      <c r="Y422" s="546"/>
      <c r="Z422" s="1016">
        <f t="shared" si="52"/>
        <v>515.76</v>
      </c>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46"/>
      <c r="AW422" s="546"/>
      <c r="AX422" s="546"/>
      <c r="AY422" s="546"/>
      <c r="AZ422" s="546"/>
      <c r="BA422" s="546"/>
      <c r="BB422" s="546"/>
      <c r="BC422" s="546"/>
      <c r="BD422" s="546"/>
      <c r="BE422" s="546"/>
      <c r="BF422" s="546"/>
      <c r="BG422" s="546"/>
      <c r="BH422" s="546"/>
      <c r="BI422" s="546"/>
      <c r="BJ422" s="546"/>
      <c r="BK422" s="546"/>
      <c r="BL422" s="546"/>
      <c r="BM422" s="546"/>
      <c r="BN422" s="546"/>
      <c r="BO422" s="546"/>
      <c r="BP422" s="546"/>
      <c r="BQ422" s="546"/>
      <c r="BR422" s="546"/>
      <c r="BS422" s="546"/>
      <c r="BT422" s="546"/>
      <c r="BU422" s="546"/>
      <c r="BV422" s="546"/>
      <c r="BW422" s="546"/>
      <c r="BX422" s="546"/>
      <c r="BY422" s="546"/>
    </row>
    <row r="423" spans="1:77" ht="12" hidden="1" thickBot="1">
      <c r="A423" s="522" t="s">
        <v>1360</v>
      </c>
      <c r="B423" s="522" t="s">
        <v>445</v>
      </c>
      <c r="C423" s="522" t="s">
        <v>444</v>
      </c>
      <c r="D423" s="523"/>
      <c r="E423" s="532"/>
      <c r="F423" s="532"/>
      <c r="G423" s="532"/>
      <c r="H423" s="532"/>
      <c r="I423" s="532"/>
      <c r="J423" s="532"/>
      <c r="K423" s="532"/>
      <c r="L423" s="532"/>
      <c r="M423" s="532"/>
      <c r="N423" s="532"/>
      <c r="O423" s="532"/>
      <c r="P423" s="532"/>
      <c r="Q423" s="532"/>
      <c r="R423" s="531">
        <v>125.7</v>
      </c>
      <c r="S423" s="527">
        <f t="shared" si="54"/>
        <v>0</v>
      </c>
      <c r="T423" s="528">
        <f t="shared" si="55"/>
        <v>0</v>
      </c>
      <c r="U423" s="527">
        <f t="shared" si="53"/>
        <v>0</v>
      </c>
      <c r="W423" s="326">
        <f t="shared" si="56"/>
        <v>0</v>
      </c>
      <c r="X423" s="261">
        <f t="shared" si="57"/>
        <v>-125.7</v>
      </c>
      <c r="Y423" s="546"/>
      <c r="Z423" s="1016">
        <f t="shared" si="52"/>
        <v>0</v>
      </c>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46"/>
      <c r="AW423" s="546"/>
      <c r="AX423" s="546"/>
      <c r="AY423" s="546"/>
      <c r="AZ423" s="546"/>
      <c r="BA423" s="546"/>
      <c r="BB423" s="546"/>
      <c r="BC423" s="546"/>
      <c r="BD423" s="546"/>
      <c r="BE423" s="546"/>
      <c r="BF423" s="546"/>
      <c r="BG423" s="546"/>
      <c r="BH423" s="546"/>
      <c r="BI423" s="546"/>
      <c r="BJ423" s="546"/>
      <c r="BK423" s="546"/>
      <c r="BL423" s="546"/>
      <c r="BM423" s="546"/>
      <c r="BN423" s="546"/>
      <c r="BO423" s="546"/>
      <c r="BP423" s="546"/>
      <c r="BQ423" s="546"/>
      <c r="BR423" s="546"/>
      <c r="BS423" s="546"/>
      <c r="BT423" s="546"/>
      <c r="BU423" s="546"/>
      <c r="BV423" s="546"/>
      <c r="BW423" s="546"/>
      <c r="BX423" s="546"/>
      <c r="BY423" s="546"/>
    </row>
    <row r="424" spans="1:77" ht="12" hidden="1" thickBot="1">
      <c r="A424" s="522" t="s">
        <v>1360</v>
      </c>
      <c r="B424" s="522" t="s">
        <v>474</v>
      </c>
      <c r="C424" s="522" t="s">
        <v>473</v>
      </c>
      <c r="D424" s="523"/>
      <c r="E424" s="526"/>
      <c r="F424" s="526"/>
      <c r="G424" s="526"/>
      <c r="H424" s="526"/>
      <c r="I424" s="526"/>
      <c r="J424" s="526"/>
      <c r="K424" s="526"/>
      <c r="L424" s="526"/>
      <c r="M424" s="526"/>
      <c r="N424" s="526"/>
      <c r="O424" s="526"/>
      <c r="P424" s="526"/>
      <c r="Q424" s="526"/>
      <c r="R424" s="525">
        <v>74646.720000000001</v>
      </c>
      <c r="S424" s="527">
        <f t="shared" si="54"/>
        <v>0</v>
      </c>
      <c r="T424" s="528">
        <f t="shared" si="55"/>
        <v>0</v>
      </c>
      <c r="U424" s="527">
        <f t="shared" si="53"/>
        <v>0</v>
      </c>
      <c r="W424" s="326">
        <f t="shared" si="56"/>
        <v>0</v>
      </c>
      <c r="X424" s="261">
        <f t="shared" si="57"/>
        <v>-74646.720000000001</v>
      </c>
      <c r="Y424" s="546"/>
      <c r="Z424" s="1016">
        <f t="shared" si="52"/>
        <v>0</v>
      </c>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46"/>
      <c r="AW424" s="546"/>
      <c r="AX424" s="546"/>
      <c r="AY424" s="546"/>
      <c r="AZ424" s="546"/>
      <c r="BA424" s="546"/>
      <c r="BB424" s="546"/>
      <c r="BC424" s="546"/>
      <c r="BD424" s="546"/>
      <c r="BE424" s="546"/>
      <c r="BF424" s="546"/>
      <c r="BG424" s="546"/>
      <c r="BH424" s="546"/>
      <c r="BI424" s="546"/>
      <c r="BJ424" s="546"/>
      <c r="BK424" s="546"/>
      <c r="BL424" s="546"/>
      <c r="BM424" s="546"/>
      <c r="BN424" s="546"/>
      <c r="BO424" s="546"/>
      <c r="BP424" s="546"/>
      <c r="BQ424" s="546"/>
      <c r="BR424" s="546"/>
      <c r="BS424" s="546"/>
      <c r="BT424" s="546"/>
      <c r="BU424" s="546"/>
      <c r="BV424" s="546"/>
      <c r="BW424" s="546"/>
      <c r="BX424" s="546"/>
      <c r="BY424" s="546"/>
    </row>
    <row r="425" spans="1:77" ht="12" hidden="1" thickBot="1">
      <c r="A425" s="522" t="s">
        <v>1360</v>
      </c>
      <c r="B425" s="522" t="s">
        <v>476</v>
      </c>
      <c r="C425" s="522" t="s">
        <v>475</v>
      </c>
      <c r="D425" s="523"/>
      <c r="E425" s="532"/>
      <c r="F425" s="532"/>
      <c r="G425" s="532"/>
      <c r="H425" s="532"/>
      <c r="I425" s="532"/>
      <c r="J425" s="532"/>
      <c r="K425" s="532"/>
      <c r="L425" s="532"/>
      <c r="M425" s="532"/>
      <c r="N425" s="532"/>
      <c r="O425" s="532"/>
      <c r="P425" s="532"/>
      <c r="Q425" s="532"/>
      <c r="R425" s="531">
        <v>9348.74</v>
      </c>
      <c r="S425" s="527">
        <f t="shared" si="54"/>
        <v>0</v>
      </c>
      <c r="T425" s="528">
        <f t="shared" si="55"/>
        <v>0</v>
      </c>
      <c r="U425" s="527">
        <f t="shared" si="53"/>
        <v>0</v>
      </c>
      <c r="W425" s="326">
        <f t="shared" si="56"/>
        <v>0</v>
      </c>
      <c r="X425" s="261">
        <f t="shared" si="57"/>
        <v>-9348.74</v>
      </c>
      <c r="Y425" s="546"/>
      <c r="Z425" s="1016">
        <f t="shared" si="52"/>
        <v>0</v>
      </c>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46"/>
      <c r="AW425" s="546"/>
      <c r="AX425" s="546"/>
      <c r="AY425" s="546"/>
      <c r="AZ425" s="546"/>
      <c r="BA425" s="546"/>
      <c r="BB425" s="546"/>
      <c r="BC425" s="546"/>
      <c r="BD425" s="546"/>
      <c r="BE425" s="546"/>
      <c r="BF425" s="546"/>
      <c r="BG425" s="546"/>
      <c r="BH425" s="546"/>
      <c r="BI425" s="546"/>
      <c r="BJ425" s="546"/>
      <c r="BK425" s="546"/>
      <c r="BL425" s="546"/>
      <c r="BM425" s="546"/>
      <c r="BN425" s="546"/>
      <c r="BO425" s="546"/>
      <c r="BP425" s="546"/>
      <c r="BQ425" s="546"/>
      <c r="BR425" s="546"/>
      <c r="BS425" s="546"/>
      <c r="BT425" s="546"/>
      <c r="BU425" s="546"/>
      <c r="BV425" s="546"/>
      <c r="BW425" s="546"/>
      <c r="BX425" s="546"/>
      <c r="BY425" s="546"/>
    </row>
    <row r="426" spans="1:77" ht="12" hidden="1" thickBot="1">
      <c r="A426" s="522" t="s">
        <v>1360</v>
      </c>
      <c r="B426" s="522" t="s">
        <v>443</v>
      </c>
      <c r="C426" s="522" t="s">
        <v>442</v>
      </c>
      <c r="D426" s="523"/>
      <c r="E426" s="526"/>
      <c r="F426" s="525">
        <v>27869</v>
      </c>
      <c r="G426" s="526"/>
      <c r="H426" s="526"/>
      <c r="I426" s="526"/>
      <c r="J426" s="526"/>
      <c r="K426" s="526"/>
      <c r="L426" s="526"/>
      <c r="M426" s="526"/>
      <c r="N426" s="526"/>
      <c r="O426" s="526"/>
      <c r="P426" s="526"/>
      <c r="Q426" s="526"/>
      <c r="R426" s="525">
        <v>27869</v>
      </c>
      <c r="S426" s="527">
        <f t="shared" si="54"/>
        <v>0</v>
      </c>
      <c r="T426" s="528">
        <f t="shared" si="55"/>
        <v>0</v>
      </c>
      <c r="U426" s="527">
        <f t="shared" si="53"/>
        <v>0</v>
      </c>
      <c r="W426" s="326">
        <f t="shared" si="56"/>
        <v>27869</v>
      </c>
      <c r="X426" s="261">
        <f t="shared" si="57"/>
        <v>0</v>
      </c>
      <c r="Y426" s="546"/>
      <c r="Z426" s="1016">
        <f t="shared" si="52"/>
        <v>27869</v>
      </c>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46"/>
      <c r="AW426" s="546"/>
      <c r="AX426" s="546"/>
      <c r="AY426" s="546"/>
      <c r="AZ426" s="546"/>
      <c r="BA426" s="546"/>
      <c r="BB426" s="546"/>
      <c r="BC426" s="546"/>
      <c r="BD426" s="546"/>
      <c r="BE426" s="546"/>
      <c r="BF426" s="546"/>
      <c r="BG426" s="546"/>
      <c r="BH426" s="546"/>
      <c r="BI426" s="546"/>
      <c r="BJ426" s="546"/>
      <c r="BK426" s="546"/>
      <c r="BL426" s="546"/>
      <c r="BM426" s="546"/>
      <c r="BN426" s="546"/>
      <c r="BO426" s="546"/>
      <c r="BP426" s="546"/>
      <c r="BQ426" s="546"/>
      <c r="BR426" s="546"/>
      <c r="BS426" s="546"/>
      <c r="BT426" s="546"/>
      <c r="BU426" s="546"/>
      <c r="BV426" s="546"/>
      <c r="BW426" s="546"/>
      <c r="BX426" s="546"/>
      <c r="BY426" s="546"/>
    </row>
    <row r="427" spans="1:77" ht="12" hidden="1" thickBot="1">
      <c r="A427" s="522" t="s">
        <v>1360</v>
      </c>
      <c r="B427" s="522" t="s">
        <v>710</v>
      </c>
      <c r="C427" s="522" t="s">
        <v>711</v>
      </c>
      <c r="D427" s="523"/>
      <c r="E427" s="532"/>
      <c r="F427" s="532"/>
      <c r="G427" s="532"/>
      <c r="H427" s="532"/>
      <c r="I427" s="532"/>
      <c r="J427" s="532"/>
      <c r="K427" s="532"/>
      <c r="L427" s="532"/>
      <c r="M427" s="532"/>
      <c r="N427" s="532"/>
      <c r="O427" s="532"/>
      <c r="P427" s="532"/>
      <c r="Q427" s="532"/>
      <c r="R427" s="531">
        <v>31500.5</v>
      </c>
      <c r="S427" s="527">
        <f t="shared" si="54"/>
        <v>0</v>
      </c>
      <c r="T427" s="528">
        <f t="shared" si="55"/>
        <v>0</v>
      </c>
      <c r="U427" s="527">
        <f t="shared" si="53"/>
        <v>0</v>
      </c>
      <c r="W427" s="326">
        <f t="shared" si="56"/>
        <v>0</v>
      </c>
      <c r="X427" s="261">
        <f t="shared" si="57"/>
        <v>-31500.5</v>
      </c>
      <c r="Y427" s="546"/>
      <c r="Z427" s="1016">
        <f t="shared" si="52"/>
        <v>0</v>
      </c>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46"/>
      <c r="AW427" s="546"/>
      <c r="AX427" s="546"/>
      <c r="AY427" s="546"/>
      <c r="AZ427" s="546"/>
      <c r="BA427" s="546"/>
      <c r="BB427" s="546"/>
      <c r="BC427" s="546"/>
      <c r="BD427" s="546"/>
      <c r="BE427" s="546"/>
      <c r="BF427" s="546"/>
      <c r="BG427" s="546"/>
      <c r="BH427" s="546"/>
      <c r="BI427" s="546"/>
      <c r="BJ427" s="546"/>
      <c r="BK427" s="546"/>
      <c r="BL427" s="546"/>
      <c r="BM427" s="546"/>
      <c r="BN427" s="546"/>
      <c r="BO427" s="546"/>
      <c r="BP427" s="546"/>
      <c r="BQ427" s="546"/>
      <c r="BR427" s="546"/>
      <c r="BS427" s="546"/>
      <c r="BT427" s="546"/>
      <c r="BU427" s="546"/>
      <c r="BV427" s="546"/>
      <c r="BW427" s="546"/>
      <c r="BX427" s="546"/>
      <c r="BY427" s="546"/>
    </row>
    <row r="428" spans="1:77" ht="12" hidden="1" thickBot="1">
      <c r="A428" s="522" t="s">
        <v>1360</v>
      </c>
      <c r="B428" s="522" t="s">
        <v>1048</v>
      </c>
      <c r="C428" s="522" t="s">
        <v>1049</v>
      </c>
      <c r="D428" s="523"/>
      <c r="E428" s="526"/>
      <c r="F428" s="526"/>
      <c r="G428" s="526"/>
      <c r="H428" s="526"/>
      <c r="I428" s="526"/>
      <c r="J428" s="526"/>
      <c r="K428" s="526"/>
      <c r="L428" s="526"/>
      <c r="M428" s="526"/>
      <c r="N428" s="526"/>
      <c r="O428" s="526"/>
      <c r="P428" s="526"/>
      <c r="Q428" s="526"/>
      <c r="R428" s="525">
        <v>0</v>
      </c>
      <c r="S428" s="527">
        <f t="shared" si="54"/>
        <v>0</v>
      </c>
      <c r="T428" s="528">
        <f t="shared" si="55"/>
        <v>0</v>
      </c>
      <c r="U428" s="527">
        <f t="shared" si="53"/>
        <v>0</v>
      </c>
      <c r="W428" s="326">
        <f t="shared" si="56"/>
        <v>0</v>
      </c>
      <c r="X428" s="261">
        <f t="shared" si="57"/>
        <v>0</v>
      </c>
      <c r="Y428" s="546"/>
      <c r="Z428" s="1016">
        <f t="shared" si="52"/>
        <v>0</v>
      </c>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46"/>
      <c r="AW428" s="546"/>
      <c r="AX428" s="546"/>
      <c r="AY428" s="546"/>
      <c r="AZ428" s="546"/>
      <c r="BA428" s="546"/>
      <c r="BB428" s="546"/>
      <c r="BC428" s="546"/>
      <c r="BD428" s="546"/>
      <c r="BE428" s="546"/>
      <c r="BF428" s="546"/>
      <c r="BG428" s="546"/>
      <c r="BH428" s="546"/>
      <c r="BI428" s="546"/>
      <c r="BJ428" s="546"/>
      <c r="BK428" s="546"/>
      <c r="BL428" s="546"/>
      <c r="BM428" s="546"/>
      <c r="BN428" s="546"/>
      <c r="BO428" s="546"/>
      <c r="BP428" s="546"/>
      <c r="BQ428" s="546"/>
      <c r="BR428" s="546"/>
      <c r="BS428" s="546"/>
      <c r="BT428" s="546"/>
      <c r="BU428" s="546"/>
      <c r="BV428" s="546"/>
      <c r="BW428" s="546"/>
      <c r="BX428" s="546"/>
      <c r="BY428" s="546"/>
    </row>
    <row r="429" spans="1:77" ht="12" hidden="1" thickBot="1">
      <c r="A429" s="522" t="s">
        <v>1360</v>
      </c>
      <c r="B429" s="543" t="s">
        <v>9</v>
      </c>
      <c r="C429" s="544"/>
      <c r="D429" s="544"/>
      <c r="E429" s="539">
        <v>1871195387</v>
      </c>
      <c r="F429" s="540">
        <v>7176384.5099999998</v>
      </c>
      <c r="G429" s="540">
        <v>54078394.799999997</v>
      </c>
      <c r="H429" s="540">
        <v>49094888.25</v>
      </c>
      <c r="I429" s="540">
        <v>2925434.8799999999</v>
      </c>
      <c r="J429" s="540">
        <v>1783003.15</v>
      </c>
      <c r="K429" s="540">
        <v>23531120.18</v>
      </c>
      <c r="L429" s="540">
        <v>2902347.2</v>
      </c>
      <c r="M429" s="540">
        <v>5691878.4000000004</v>
      </c>
      <c r="N429" s="540">
        <v>1054559.2</v>
      </c>
      <c r="O429" s="540">
        <v>1398745.78</v>
      </c>
      <c r="P429" s="540">
        <v>-1050206.95</v>
      </c>
      <c r="Q429" s="540">
        <v>-0.05</v>
      </c>
      <c r="R429" s="540">
        <f>SUM(R289:R428)</f>
        <v>149196238.05999997</v>
      </c>
      <c r="S429" s="527">
        <f t="shared" si="54"/>
        <v>106098717.92999999</v>
      </c>
      <c r="T429" s="528">
        <f t="shared" si="55"/>
        <v>25314123.329999998</v>
      </c>
      <c r="U429" s="527">
        <f t="shared" si="53"/>
        <v>2453304.98</v>
      </c>
      <c r="W429" s="326">
        <f t="shared" si="56"/>
        <v>148586549.34999999</v>
      </c>
      <c r="X429" s="261">
        <f t="shared" si="57"/>
        <v>-609688.70999997854</v>
      </c>
      <c r="Y429" s="546"/>
      <c r="Z429" s="1016">
        <f t="shared" si="52"/>
        <v>138589225.77000001</v>
      </c>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46"/>
      <c r="AW429" s="546"/>
      <c r="AX429" s="546"/>
      <c r="AY429" s="546"/>
      <c r="AZ429" s="546"/>
      <c r="BA429" s="546"/>
      <c r="BB429" s="546"/>
      <c r="BC429" s="546"/>
      <c r="BD429" s="546"/>
      <c r="BE429" s="546"/>
      <c r="BF429" s="546"/>
      <c r="BG429" s="546"/>
      <c r="BH429" s="546"/>
      <c r="BI429" s="546"/>
      <c r="BJ429" s="546"/>
      <c r="BK429" s="546"/>
      <c r="BL429" s="546"/>
      <c r="BM429" s="546"/>
      <c r="BN429" s="546"/>
      <c r="BO429" s="546"/>
      <c r="BP429" s="546"/>
      <c r="BQ429" s="546"/>
      <c r="BR429" s="546"/>
      <c r="BS429" s="546"/>
      <c r="BT429" s="546"/>
      <c r="BU429" s="546"/>
      <c r="BV429" s="546"/>
      <c r="BW429" s="546"/>
      <c r="BX429" s="546"/>
      <c r="BY429" s="546"/>
    </row>
    <row r="430" spans="1:77" ht="12" hidden="1" thickBot="1">
      <c r="A430" s="522" t="s">
        <v>1361</v>
      </c>
      <c r="B430" s="522" t="s">
        <v>440</v>
      </c>
      <c r="C430" s="522" t="s">
        <v>460</v>
      </c>
      <c r="D430" s="545" t="s">
        <v>760</v>
      </c>
      <c r="E430" s="524">
        <v>5412</v>
      </c>
      <c r="F430" s="525">
        <v>25.5</v>
      </c>
      <c r="G430" s="525">
        <v>368.29</v>
      </c>
      <c r="H430" s="526"/>
      <c r="I430" s="526"/>
      <c r="J430" s="526"/>
      <c r="K430" s="526"/>
      <c r="L430" s="526"/>
      <c r="M430" s="526"/>
      <c r="N430" s="526"/>
      <c r="O430" s="526"/>
      <c r="P430" s="526"/>
      <c r="Q430" s="526"/>
      <c r="R430" s="525">
        <v>393.79</v>
      </c>
      <c r="S430" s="527">
        <f t="shared" ref="S430:S493" si="58">G430+H430+I430</f>
        <v>368.29</v>
      </c>
      <c r="T430" s="528">
        <f t="shared" ref="T430:T493" si="59">J430+K430</f>
        <v>0</v>
      </c>
      <c r="U430" s="527">
        <f t="shared" ref="U430:U493" si="60">N430+O430</f>
        <v>0</v>
      </c>
      <c r="W430" s="326">
        <f t="shared" ref="W430:W491" si="61">SUM(F430:Q430)</f>
        <v>393.79</v>
      </c>
      <c r="X430" s="261">
        <f t="shared" ref="X430:X491" si="62">W430-R430</f>
        <v>0</v>
      </c>
      <c r="Y430" s="546"/>
      <c r="Z430" s="1016">
        <f t="shared" si="52"/>
        <v>393.79</v>
      </c>
      <c r="AA430" s="58"/>
      <c r="AB430" s="58"/>
      <c r="AC430" s="58"/>
      <c r="AD430" s="58"/>
      <c r="AE430" s="58"/>
      <c r="AF430" s="58"/>
      <c r="AG430" s="58"/>
      <c r="AH430" s="58"/>
      <c r="AI430" s="58"/>
      <c r="AJ430" s="58"/>
      <c r="AK430" s="58"/>
      <c r="AL430" s="58"/>
      <c r="AM430" s="58"/>
      <c r="AN430" s="58"/>
      <c r="AO430" s="58"/>
      <c r="AP430" s="58"/>
      <c r="AQ430" s="546"/>
      <c r="AR430" s="546"/>
      <c r="AS430" s="546"/>
      <c r="AT430" s="546"/>
      <c r="AU430" s="546"/>
      <c r="AV430" s="546"/>
      <c r="AW430" s="546"/>
      <c r="AX430" s="546"/>
      <c r="AY430" s="546"/>
      <c r="AZ430" s="546"/>
      <c r="BA430" s="546"/>
      <c r="BB430" s="546"/>
      <c r="BC430" s="546"/>
    </row>
    <row r="431" spans="1:77" ht="12" hidden="1" thickBot="1">
      <c r="A431" s="522" t="s">
        <v>1361</v>
      </c>
      <c r="B431" s="522" t="s">
        <v>441</v>
      </c>
      <c r="C431" s="522" t="s">
        <v>461</v>
      </c>
      <c r="D431" s="523" t="s">
        <v>760</v>
      </c>
      <c r="E431" s="530">
        <v>870</v>
      </c>
      <c r="F431" s="531">
        <v>8.5</v>
      </c>
      <c r="G431" s="531">
        <v>59.2</v>
      </c>
      <c r="H431" s="532"/>
      <c r="I431" s="532"/>
      <c r="J431" s="532"/>
      <c r="K431" s="532"/>
      <c r="L431" s="532"/>
      <c r="M431" s="532"/>
      <c r="N431" s="532"/>
      <c r="O431" s="532"/>
      <c r="P431" s="532"/>
      <c r="Q431" s="532"/>
      <c r="R431" s="531">
        <v>67.7</v>
      </c>
      <c r="S431" s="527">
        <f t="shared" si="58"/>
        <v>59.2</v>
      </c>
      <c r="T431" s="528">
        <f t="shared" si="59"/>
        <v>0</v>
      </c>
      <c r="U431" s="527">
        <f t="shared" si="60"/>
        <v>0</v>
      </c>
      <c r="W431" s="326">
        <f t="shared" si="61"/>
        <v>67.7</v>
      </c>
      <c r="X431" s="261">
        <f t="shared" si="62"/>
        <v>0</v>
      </c>
      <c r="Y431" s="546"/>
      <c r="Z431" s="1016">
        <f t="shared" si="52"/>
        <v>67.7</v>
      </c>
      <c r="AA431" s="58"/>
      <c r="AB431" s="58"/>
      <c r="AC431" s="58"/>
      <c r="AD431" s="58"/>
      <c r="AE431" s="58"/>
      <c r="AF431" s="58"/>
      <c r="AG431" s="58"/>
      <c r="AH431" s="58"/>
      <c r="AI431" s="58"/>
      <c r="AJ431" s="58"/>
      <c r="AK431" s="58"/>
      <c r="AL431" s="58"/>
      <c r="AM431" s="58"/>
      <c r="AN431" s="58"/>
      <c r="AO431" s="58"/>
      <c r="AP431" s="58"/>
      <c r="AQ431" s="546"/>
      <c r="AR431" s="546"/>
      <c r="AS431" s="546"/>
      <c r="AT431" s="546"/>
      <c r="AU431" s="546"/>
      <c r="AV431" s="546"/>
      <c r="AW431" s="546"/>
      <c r="AX431" s="546"/>
      <c r="AY431" s="546"/>
      <c r="AZ431" s="546"/>
      <c r="BA431" s="546"/>
      <c r="BB431" s="546"/>
      <c r="BC431" s="546"/>
    </row>
    <row r="432" spans="1:77" ht="12" hidden="1" thickBot="1">
      <c r="A432" s="522" t="s">
        <v>1361</v>
      </c>
      <c r="B432" s="522" t="s">
        <v>449</v>
      </c>
      <c r="C432" s="522" t="s">
        <v>448</v>
      </c>
      <c r="D432" s="523" t="s">
        <v>1051</v>
      </c>
      <c r="E432" s="524">
        <v>128</v>
      </c>
      <c r="F432" s="526"/>
      <c r="G432" s="525">
        <v>19.04</v>
      </c>
      <c r="H432" s="526"/>
      <c r="I432" s="526"/>
      <c r="J432" s="526"/>
      <c r="K432" s="526"/>
      <c r="L432" s="526"/>
      <c r="M432" s="526"/>
      <c r="N432" s="526"/>
      <c r="O432" s="526"/>
      <c r="P432" s="526"/>
      <c r="Q432" s="526"/>
      <c r="R432" s="525">
        <v>19.04</v>
      </c>
      <c r="S432" s="527">
        <f t="shared" si="58"/>
        <v>19.04</v>
      </c>
      <c r="T432" s="528">
        <f t="shared" si="59"/>
        <v>0</v>
      </c>
      <c r="U432" s="527">
        <f t="shared" si="60"/>
        <v>0</v>
      </c>
      <c r="W432" s="326">
        <f t="shared" si="61"/>
        <v>19.04</v>
      </c>
      <c r="X432" s="261">
        <f t="shared" si="62"/>
        <v>0</v>
      </c>
      <c r="Y432" s="546"/>
      <c r="Z432" s="1016">
        <f t="shared" si="52"/>
        <v>19.04</v>
      </c>
      <c r="AA432" s="58"/>
      <c r="AB432" s="58"/>
      <c r="AC432" s="58"/>
      <c r="AD432" s="58"/>
      <c r="AE432" s="58"/>
      <c r="AF432" s="58"/>
      <c r="AG432" s="58"/>
      <c r="AH432" s="58"/>
      <c r="AI432" s="58"/>
      <c r="AJ432" s="58"/>
      <c r="AK432" s="58"/>
      <c r="AL432" s="58"/>
      <c r="AM432" s="58"/>
      <c r="AN432" s="58"/>
      <c r="AO432" s="58"/>
      <c r="AP432" s="58"/>
      <c r="AQ432" s="546"/>
      <c r="AR432" s="546"/>
      <c r="AS432" s="546"/>
      <c r="AT432" s="546"/>
      <c r="AU432" s="546"/>
      <c r="AV432" s="546"/>
      <c r="AW432" s="546"/>
      <c r="AX432" s="546"/>
      <c r="AY432" s="546"/>
      <c r="AZ432" s="546"/>
      <c r="BA432" s="546"/>
      <c r="BB432" s="546"/>
      <c r="BC432" s="546"/>
    </row>
    <row r="433" spans="1:55" ht="12" hidden="1" thickBot="1">
      <c r="A433" s="522" t="s">
        <v>1361</v>
      </c>
      <c r="B433" s="522" t="s">
        <v>447</v>
      </c>
      <c r="C433" s="522" t="s">
        <v>446</v>
      </c>
      <c r="D433" s="523" t="s">
        <v>1051</v>
      </c>
      <c r="E433" s="530">
        <v>36</v>
      </c>
      <c r="F433" s="532"/>
      <c r="G433" s="531">
        <v>6.9</v>
      </c>
      <c r="H433" s="532"/>
      <c r="I433" s="532"/>
      <c r="J433" s="532"/>
      <c r="K433" s="532"/>
      <c r="L433" s="532"/>
      <c r="M433" s="532"/>
      <c r="N433" s="532"/>
      <c r="O433" s="532"/>
      <c r="P433" s="532"/>
      <c r="Q433" s="532"/>
      <c r="R433" s="531">
        <v>6.9</v>
      </c>
      <c r="S433" s="527">
        <f t="shared" si="58"/>
        <v>6.9</v>
      </c>
      <c r="T433" s="528">
        <f t="shared" si="59"/>
        <v>0</v>
      </c>
      <c r="U433" s="527">
        <f t="shared" si="60"/>
        <v>0</v>
      </c>
      <c r="W433" s="326">
        <f t="shared" si="61"/>
        <v>6.9</v>
      </c>
      <c r="X433" s="261">
        <f t="shared" si="62"/>
        <v>0</v>
      </c>
      <c r="Y433" s="546"/>
      <c r="Z433" s="1016">
        <f t="shared" si="52"/>
        <v>6.9</v>
      </c>
      <c r="AA433" s="58"/>
      <c r="AB433" s="58"/>
      <c r="AC433" s="58"/>
      <c r="AD433" s="58"/>
      <c r="AE433" s="58"/>
      <c r="AF433" s="58"/>
      <c r="AG433" s="58"/>
      <c r="AH433" s="58"/>
      <c r="AI433" s="58"/>
      <c r="AJ433" s="58"/>
      <c r="AK433" s="58"/>
      <c r="AL433" s="58"/>
      <c r="AM433" s="58"/>
      <c r="AN433" s="58"/>
      <c r="AO433" s="58"/>
      <c r="AP433" s="58"/>
      <c r="AQ433" s="546"/>
      <c r="AR433" s="546"/>
      <c r="AS433" s="546"/>
      <c r="AT433" s="546"/>
      <c r="AU433" s="546"/>
      <c r="AV433" s="546"/>
      <c r="AW433" s="546"/>
      <c r="AX433" s="546"/>
      <c r="AY433" s="546"/>
      <c r="AZ433" s="546"/>
      <c r="BA433" s="546"/>
      <c r="BB433" s="546"/>
      <c r="BC433" s="546"/>
    </row>
    <row r="434" spans="1:55" ht="12" hidden="1" thickBot="1">
      <c r="A434" s="522" t="s">
        <v>1361</v>
      </c>
      <c r="B434" s="522" t="s">
        <v>942</v>
      </c>
      <c r="C434" s="522" t="s">
        <v>943</v>
      </c>
      <c r="D434" s="523"/>
      <c r="E434" s="526"/>
      <c r="F434" s="526"/>
      <c r="G434" s="526"/>
      <c r="H434" s="526"/>
      <c r="I434" s="526"/>
      <c r="J434" s="526"/>
      <c r="K434" s="526"/>
      <c r="L434" s="526"/>
      <c r="M434" s="526"/>
      <c r="N434" s="526"/>
      <c r="O434" s="526"/>
      <c r="P434" s="526"/>
      <c r="Q434" s="526"/>
      <c r="R434" s="526"/>
      <c r="S434" s="527">
        <f t="shared" si="58"/>
        <v>0</v>
      </c>
      <c r="T434" s="528">
        <f t="shared" si="59"/>
        <v>0</v>
      </c>
      <c r="U434" s="527">
        <f t="shared" si="60"/>
        <v>0</v>
      </c>
      <c r="W434" s="326">
        <f t="shared" si="61"/>
        <v>0</v>
      </c>
      <c r="X434" s="261">
        <f t="shared" si="62"/>
        <v>0</v>
      </c>
      <c r="Y434" s="546"/>
      <c r="Z434" s="1016">
        <f t="shared" si="52"/>
        <v>0</v>
      </c>
      <c r="AA434" s="58"/>
      <c r="AB434" s="58"/>
      <c r="AC434" s="58"/>
      <c r="AD434" s="58"/>
      <c r="AE434" s="58"/>
      <c r="AF434" s="58"/>
      <c r="AG434" s="58"/>
      <c r="AH434" s="58"/>
      <c r="AI434" s="58"/>
      <c r="AJ434" s="58"/>
      <c r="AK434" s="58"/>
      <c r="AL434" s="58"/>
      <c r="AM434" s="58"/>
      <c r="AN434" s="58"/>
      <c r="AO434" s="58"/>
      <c r="AP434" s="58"/>
      <c r="AQ434" s="546"/>
      <c r="AR434" s="546"/>
      <c r="AS434" s="546"/>
      <c r="AT434" s="546"/>
      <c r="AU434" s="546"/>
      <c r="AV434" s="546"/>
      <c r="AW434" s="546"/>
      <c r="AX434" s="546"/>
      <c r="AY434" s="546"/>
      <c r="AZ434" s="546"/>
      <c r="BA434" s="546"/>
      <c r="BB434" s="546"/>
      <c r="BC434" s="546"/>
    </row>
    <row r="435" spans="1:55" ht="12" hidden="1" thickBot="1">
      <c r="A435" s="522" t="s">
        <v>1361</v>
      </c>
      <c r="B435" s="522" t="s">
        <v>168</v>
      </c>
      <c r="C435" s="522" t="s">
        <v>58</v>
      </c>
      <c r="D435" s="523" t="s">
        <v>19</v>
      </c>
      <c r="E435" s="530">
        <v>136741819</v>
      </c>
      <c r="F435" s="531">
        <v>24000</v>
      </c>
      <c r="G435" s="531">
        <v>1014624.31</v>
      </c>
      <c r="H435" s="531">
        <v>3954573.4</v>
      </c>
      <c r="I435" s="532"/>
      <c r="J435" s="531">
        <v>213929.1</v>
      </c>
      <c r="K435" s="531">
        <v>2186127.67</v>
      </c>
      <c r="L435" s="531">
        <v>0</v>
      </c>
      <c r="M435" s="531">
        <v>289892.65000000002</v>
      </c>
      <c r="N435" s="531">
        <v>0</v>
      </c>
      <c r="O435" s="531">
        <v>72563.28</v>
      </c>
      <c r="P435" s="532"/>
      <c r="Q435" s="532"/>
      <c r="R435" s="531">
        <v>7755710.4100000001</v>
      </c>
      <c r="S435" s="527">
        <f t="shared" si="58"/>
        <v>4969197.71</v>
      </c>
      <c r="T435" s="528">
        <f t="shared" si="59"/>
        <v>2400056.77</v>
      </c>
      <c r="U435" s="527">
        <f t="shared" si="60"/>
        <v>72563.28</v>
      </c>
      <c r="W435" s="326">
        <f>SUM(F435:Q435)</f>
        <v>7755710.4100000001</v>
      </c>
      <c r="X435" s="261">
        <f t="shared" si="62"/>
        <v>0</v>
      </c>
      <c r="Y435" s="546"/>
      <c r="Z435" s="1016">
        <f t="shared" si="52"/>
        <v>7393254.4799999995</v>
      </c>
      <c r="AA435" s="58"/>
      <c r="AB435" s="58"/>
      <c r="AC435" s="58"/>
      <c r="AD435" s="58"/>
      <c r="AE435" s="58"/>
      <c r="AF435" s="58"/>
      <c r="AG435" s="58"/>
      <c r="AH435" s="58"/>
      <c r="AI435" s="58"/>
      <c r="AJ435" s="58"/>
      <c r="AK435" s="58"/>
      <c r="AL435" s="58"/>
      <c r="AM435" s="58"/>
      <c r="AN435" s="58"/>
      <c r="AO435" s="58"/>
      <c r="AP435" s="58"/>
      <c r="AQ435" s="546"/>
      <c r="AR435" s="546"/>
      <c r="AS435" s="546"/>
      <c r="AT435" s="546"/>
      <c r="AU435" s="546"/>
      <c r="AV435" s="546"/>
      <c r="AW435" s="546"/>
      <c r="AX435" s="546"/>
      <c r="AY435" s="546"/>
      <c r="AZ435" s="546"/>
      <c r="BA435" s="546"/>
      <c r="BB435" s="546"/>
      <c r="BC435" s="546"/>
    </row>
    <row r="436" spans="1:55" ht="12" hidden="1" thickBot="1">
      <c r="A436" s="522" t="s">
        <v>1361</v>
      </c>
      <c r="B436" s="522" t="s">
        <v>169</v>
      </c>
      <c r="C436" s="522" t="s">
        <v>196</v>
      </c>
      <c r="D436" s="523" t="s">
        <v>26</v>
      </c>
      <c r="E436" s="524">
        <v>3934684</v>
      </c>
      <c r="F436" s="525">
        <v>28220</v>
      </c>
      <c r="G436" s="525">
        <v>26362.47</v>
      </c>
      <c r="H436" s="525">
        <v>113791.07</v>
      </c>
      <c r="I436" s="526"/>
      <c r="J436" s="525">
        <v>14387.04</v>
      </c>
      <c r="K436" s="525">
        <v>161188.35999999999</v>
      </c>
      <c r="L436" s="525">
        <v>4477.97</v>
      </c>
      <c r="M436" s="525">
        <v>8385.57</v>
      </c>
      <c r="N436" s="525">
        <v>0</v>
      </c>
      <c r="O436" s="525">
        <v>4926.37</v>
      </c>
      <c r="P436" s="526"/>
      <c r="Q436" s="526"/>
      <c r="R436" s="525">
        <v>361738.85</v>
      </c>
      <c r="S436" s="527">
        <f t="shared" si="58"/>
        <v>140153.54</v>
      </c>
      <c r="T436" s="528">
        <f t="shared" si="59"/>
        <v>175575.4</v>
      </c>
      <c r="U436" s="527">
        <f t="shared" si="60"/>
        <v>4926.37</v>
      </c>
      <c r="W436" s="326">
        <f t="shared" si="61"/>
        <v>361738.85</v>
      </c>
      <c r="X436" s="261">
        <f t="shared" si="62"/>
        <v>0</v>
      </c>
      <c r="Y436" s="546"/>
      <c r="Z436" s="1016">
        <f t="shared" si="52"/>
        <v>343948.94</v>
      </c>
      <c r="AA436" s="58"/>
      <c r="AB436" s="58"/>
      <c r="AC436" s="58"/>
      <c r="AD436" s="58"/>
      <c r="AE436" s="58"/>
      <c r="AF436" s="58"/>
      <c r="AG436" s="58"/>
      <c r="AH436" s="58"/>
      <c r="AI436" s="58"/>
      <c r="AJ436" s="58"/>
      <c r="AK436" s="58"/>
      <c r="AL436" s="58"/>
      <c r="AM436" s="58"/>
      <c r="AN436" s="58"/>
      <c r="AO436" s="58"/>
      <c r="AP436" s="58"/>
      <c r="AQ436" s="546"/>
      <c r="AR436" s="546"/>
      <c r="AS436" s="546"/>
      <c r="AT436" s="546"/>
      <c r="AU436" s="546"/>
      <c r="AV436" s="546"/>
      <c r="AW436" s="546"/>
      <c r="AX436" s="546"/>
      <c r="AY436" s="546"/>
      <c r="AZ436" s="546"/>
      <c r="BA436" s="546"/>
      <c r="BB436" s="546"/>
      <c r="BC436" s="546"/>
    </row>
    <row r="437" spans="1:55" ht="12" hidden="1" thickBot="1">
      <c r="A437" s="522" t="s">
        <v>1361</v>
      </c>
      <c r="B437" s="522" t="s">
        <v>170</v>
      </c>
      <c r="C437" s="522" t="s">
        <v>197</v>
      </c>
      <c r="D437" s="523" t="s">
        <v>25</v>
      </c>
      <c r="E437" s="530">
        <v>124118359</v>
      </c>
      <c r="F437" s="531">
        <v>432131.22</v>
      </c>
      <c r="G437" s="531">
        <v>834081.89</v>
      </c>
      <c r="H437" s="531">
        <v>3589554.69</v>
      </c>
      <c r="I437" s="532"/>
      <c r="J437" s="531">
        <v>458809.62</v>
      </c>
      <c r="K437" s="531">
        <v>5159971.13</v>
      </c>
      <c r="L437" s="531">
        <v>156744.1</v>
      </c>
      <c r="M437" s="531">
        <v>270962.06</v>
      </c>
      <c r="N437" s="531">
        <v>-86.46</v>
      </c>
      <c r="O437" s="531">
        <v>150812.97</v>
      </c>
      <c r="P437" s="532"/>
      <c r="Q437" s="532">
        <v>0</v>
      </c>
      <c r="R437" s="531">
        <v>11052981.220000001</v>
      </c>
      <c r="S437" s="527">
        <f t="shared" si="58"/>
        <v>4423636.58</v>
      </c>
      <c r="T437" s="528">
        <f t="shared" si="59"/>
        <v>5618780.75</v>
      </c>
      <c r="U437" s="527">
        <f t="shared" si="60"/>
        <v>150726.51</v>
      </c>
      <c r="W437" s="326">
        <f t="shared" si="61"/>
        <v>11052981.220000001</v>
      </c>
      <c r="X437" s="261">
        <f t="shared" si="62"/>
        <v>0</v>
      </c>
      <c r="Y437" s="546"/>
      <c r="Z437" s="1016">
        <f t="shared" si="52"/>
        <v>10474548.550000001</v>
      </c>
      <c r="AA437" s="58"/>
      <c r="AB437" s="58"/>
      <c r="AC437" s="58"/>
      <c r="AD437" s="58"/>
      <c r="AE437" s="58"/>
      <c r="AF437" s="58"/>
      <c r="AG437" s="58"/>
      <c r="AH437" s="58"/>
      <c r="AI437" s="58"/>
      <c r="AJ437" s="58"/>
      <c r="AK437" s="58"/>
      <c r="AL437" s="58"/>
      <c r="AM437" s="58"/>
      <c r="AN437" s="58"/>
      <c r="AO437" s="58"/>
      <c r="AP437" s="58"/>
      <c r="AQ437" s="546"/>
      <c r="AR437" s="546"/>
      <c r="AS437" s="546"/>
      <c r="AT437" s="546"/>
      <c r="AU437" s="546"/>
      <c r="AV437" s="546"/>
      <c r="AW437" s="546"/>
      <c r="AX437" s="546"/>
      <c r="AY437" s="546"/>
      <c r="AZ437" s="546"/>
      <c r="BA437" s="546"/>
      <c r="BB437" s="546"/>
      <c r="BC437" s="546"/>
    </row>
    <row r="438" spans="1:55" ht="12" hidden="1" thickBot="1">
      <c r="A438" s="522" t="s">
        <v>1361</v>
      </c>
      <c r="B438" s="522" t="s">
        <v>171</v>
      </c>
      <c r="C438" s="522" t="s">
        <v>198</v>
      </c>
      <c r="D438" s="542" t="s">
        <v>221</v>
      </c>
      <c r="E438" s="524">
        <v>241833815</v>
      </c>
      <c r="F438" s="525">
        <v>16800.03</v>
      </c>
      <c r="G438" s="525">
        <v>2111209.2400000002</v>
      </c>
      <c r="H438" s="525">
        <v>6993833.8899999997</v>
      </c>
      <c r="I438" s="526"/>
      <c r="J438" s="525">
        <v>385308.8</v>
      </c>
      <c r="K438" s="525">
        <v>3884754.63</v>
      </c>
      <c r="L438" s="525">
        <v>30544.89</v>
      </c>
      <c r="M438" s="525">
        <v>580387.93000000005</v>
      </c>
      <c r="N438" s="525">
        <v>0</v>
      </c>
      <c r="O438" s="525">
        <v>147740.69</v>
      </c>
      <c r="P438" s="526"/>
      <c r="Q438" s="526"/>
      <c r="R438" s="525">
        <v>14150580.1</v>
      </c>
      <c r="S438" s="527">
        <f t="shared" si="58"/>
        <v>9105043.129999999</v>
      </c>
      <c r="T438" s="528">
        <f t="shared" si="59"/>
        <v>4270063.43</v>
      </c>
      <c r="U438" s="527">
        <f t="shared" si="60"/>
        <v>147740.69</v>
      </c>
      <c r="W438" s="326">
        <f t="shared" si="61"/>
        <v>14150580.1</v>
      </c>
      <c r="X438" s="261">
        <f t="shared" si="62"/>
        <v>0</v>
      </c>
      <c r="Y438" s="546"/>
      <c r="Z438" s="1016">
        <f t="shared" si="52"/>
        <v>13391906.59</v>
      </c>
      <c r="AA438" s="58"/>
      <c r="AB438" s="58"/>
      <c r="AC438" s="58"/>
      <c r="AD438" s="58"/>
      <c r="AE438" s="58"/>
      <c r="AF438" s="58"/>
      <c r="AG438" s="58"/>
      <c r="AH438" s="58"/>
      <c r="AI438" s="58"/>
      <c r="AJ438" s="58"/>
      <c r="AK438" s="58"/>
      <c r="AL438" s="58"/>
      <c r="AM438" s="58"/>
      <c r="AN438" s="58"/>
      <c r="AO438" s="58"/>
      <c r="AP438" s="58"/>
      <c r="AQ438" s="546"/>
      <c r="AR438" s="546"/>
      <c r="AS438" s="546"/>
      <c r="AT438" s="546"/>
      <c r="AU438" s="546"/>
      <c r="AV438" s="546"/>
      <c r="AW438" s="546"/>
      <c r="AX438" s="546"/>
      <c r="AY438" s="546"/>
      <c r="AZ438" s="546"/>
      <c r="BA438" s="546"/>
      <c r="BB438" s="546"/>
      <c r="BC438" s="546"/>
    </row>
    <row r="439" spans="1:55" ht="12" hidden="1" thickBot="1">
      <c r="A439" s="522" t="s">
        <v>1361</v>
      </c>
      <c r="B439" s="522" t="s">
        <v>172</v>
      </c>
      <c r="C439" s="522" t="s">
        <v>199</v>
      </c>
      <c r="D439" s="523" t="s">
        <v>26</v>
      </c>
      <c r="E439" s="530">
        <v>21503273</v>
      </c>
      <c r="F439" s="531">
        <v>13277</v>
      </c>
      <c r="G439" s="531">
        <v>144071.96</v>
      </c>
      <c r="H439" s="531">
        <v>621874.62</v>
      </c>
      <c r="I439" s="532"/>
      <c r="J439" s="531">
        <v>56963.96</v>
      </c>
      <c r="K439" s="531">
        <v>639019.75</v>
      </c>
      <c r="L439" s="531">
        <v>16713.34</v>
      </c>
      <c r="M439" s="531">
        <v>46937.31</v>
      </c>
      <c r="N439" s="531">
        <v>0</v>
      </c>
      <c r="O439" s="531">
        <v>18667.78</v>
      </c>
      <c r="P439" s="532"/>
      <c r="Q439" s="532"/>
      <c r="R439" s="531">
        <v>1557525.72</v>
      </c>
      <c r="S439" s="527">
        <f t="shared" si="58"/>
        <v>765946.58</v>
      </c>
      <c r="T439" s="528">
        <f t="shared" si="59"/>
        <v>695983.71</v>
      </c>
      <c r="U439" s="527">
        <f t="shared" si="60"/>
        <v>18667.78</v>
      </c>
      <c r="W439" s="326">
        <f t="shared" si="61"/>
        <v>1557525.7200000002</v>
      </c>
      <c r="X439" s="261">
        <f t="shared" si="62"/>
        <v>0</v>
      </c>
      <c r="Y439" s="546"/>
      <c r="Z439" s="1016">
        <f t="shared" si="52"/>
        <v>1475207.29</v>
      </c>
      <c r="AA439" s="58"/>
      <c r="AB439" s="58"/>
      <c r="AC439" s="58"/>
      <c r="AD439" s="58"/>
      <c r="AE439" s="58"/>
      <c r="AF439" s="58"/>
      <c r="AG439" s="58"/>
      <c r="AH439" s="58"/>
      <c r="AI439" s="58"/>
      <c r="AJ439" s="58"/>
      <c r="AK439" s="58"/>
      <c r="AL439" s="58"/>
      <c r="AM439" s="58"/>
      <c r="AN439" s="58"/>
      <c r="AO439" s="58"/>
      <c r="AP439" s="58"/>
      <c r="AQ439" s="546"/>
      <c r="AR439" s="546"/>
      <c r="AS439" s="546"/>
      <c r="AT439" s="546"/>
      <c r="AU439" s="546"/>
      <c r="AV439" s="546"/>
      <c r="AW439" s="546"/>
      <c r="AX439" s="546"/>
      <c r="AY439" s="546"/>
      <c r="AZ439" s="546"/>
      <c r="BA439" s="546"/>
      <c r="BB439" s="546"/>
      <c r="BC439" s="546"/>
    </row>
    <row r="440" spans="1:55" ht="12" hidden="1" thickBot="1">
      <c r="A440" s="522" t="s">
        <v>1361</v>
      </c>
      <c r="B440" s="522" t="s">
        <v>173</v>
      </c>
      <c r="C440" s="522" t="s">
        <v>200</v>
      </c>
      <c r="D440" s="535" t="s">
        <v>25</v>
      </c>
      <c r="E440" s="524">
        <v>55207646</v>
      </c>
      <c r="F440" s="525">
        <v>35666.769999999997</v>
      </c>
      <c r="G440" s="525">
        <v>370995.28</v>
      </c>
      <c r="H440" s="525">
        <v>1596605.24</v>
      </c>
      <c r="I440" s="526"/>
      <c r="J440" s="525">
        <v>167738.84</v>
      </c>
      <c r="K440" s="525">
        <v>1882736.76</v>
      </c>
      <c r="L440" s="525">
        <v>43645.23</v>
      </c>
      <c r="M440" s="525">
        <v>119223.8</v>
      </c>
      <c r="N440" s="525">
        <v>0</v>
      </c>
      <c r="O440" s="525">
        <v>53778.19</v>
      </c>
      <c r="P440" s="526"/>
      <c r="Q440" s="526"/>
      <c r="R440" s="525">
        <v>4270390.1100000003</v>
      </c>
      <c r="S440" s="527">
        <f t="shared" si="58"/>
        <v>1967600.52</v>
      </c>
      <c r="T440" s="528">
        <f t="shared" si="59"/>
        <v>2050475.6</v>
      </c>
      <c r="U440" s="527">
        <f t="shared" si="60"/>
        <v>53778.19</v>
      </c>
      <c r="W440" s="326">
        <f t="shared" si="61"/>
        <v>4270390.1100000003</v>
      </c>
      <c r="X440" s="261">
        <f t="shared" si="62"/>
        <v>0</v>
      </c>
      <c r="Y440" s="546"/>
      <c r="Z440" s="1016">
        <f t="shared" si="52"/>
        <v>4053742.8899999997</v>
      </c>
      <c r="AA440" s="58"/>
      <c r="AB440" s="58"/>
      <c r="AC440" s="58"/>
      <c r="AD440" s="58"/>
      <c r="AE440" s="58"/>
      <c r="AF440" s="58"/>
      <c r="AG440" s="58"/>
      <c r="AH440" s="58"/>
      <c r="AI440" s="58"/>
      <c r="AJ440" s="58"/>
      <c r="AK440" s="58"/>
      <c r="AL440" s="58"/>
      <c r="AM440" s="58"/>
      <c r="AN440" s="58"/>
      <c r="AO440" s="58"/>
      <c r="AP440" s="58"/>
      <c r="AQ440" s="546"/>
      <c r="AR440" s="546"/>
      <c r="AS440" s="546"/>
      <c r="AT440" s="546"/>
      <c r="AU440" s="546"/>
      <c r="AV440" s="546"/>
      <c r="AW440" s="546"/>
      <c r="AX440" s="546"/>
      <c r="AY440" s="546"/>
      <c r="AZ440" s="546"/>
      <c r="BA440" s="546"/>
      <c r="BB440" s="546"/>
      <c r="BC440" s="546"/>
    </row>
    <row r="441" spans="1:55" ht="12" hidden="1" thickBot="1">
      <c r="A441" s="522" t="s">
        <v>1361</v>
      </c>
      <c r="B441" s="522" t="s">
        <v>174</v>
      </c>
      <c r="C441" s="522" t="s">
        <v>201</v>
      </c>
      <c r="D441" s="523" t="s">
        <v>221</v>
      </c>
      <c r="E441" s="530">
        <v>93811383</v>
      </c>
      <c r="F441" s="531">
        <v>46900</v>
      </c>
      <c r="G441" s="531">
        <v>818973.43</v>
      </c>
      <c r="H441" s="531">
        <v>2713025.17</v>
      </c>
      <c r="I441" s="532"/>
      <c r="J441" s="531">
        <v>188636.55</v>
      </c>
      <c r="K441" s="531">
        <v>1915484.3</v>
      </c>
      <c r="L441" s="531">
        <v>28638.71</v>
      </c>
      <c r="M441" s="531">
        <v>204333.35</v>
      </c>
      <c r="N441" s="531">
        <v>0</v>
      </c>
      <c r="O441" s="531">
        <v>64407.93</v>
      </c>
      <c r="P441" s="532"/>
      <c r="Q441" s="532"/>
      <c r="R441" s="531">
        <v>5980399.4400000004</v>
      </c>
      <c r="S441" s="527">
        <f t="shared" si="58"/>
        <v>3531998.6</v>
      </c>
      <c r="T441" s="528">
        <f t="shared" si="59"/>
        <v>2104120.85</v>
      </c>
      <c r="U441" s="527">
        <f t="shared" si="60"/>
        <v>64407.93</v>
      </c>
      <c r="W441" s="326">
        <f t="shared" si="61"/>
        <v>5980399.4399999995</v>
      </c>
      <c r="X441" s="261">
        <f t="shared" si="62"/>
        <v>0</v>
      </c>
      <c r="Y441" s="546"/>
      <c r="Z441" s="1016">
        <f t="shared" si="52"/>
        <v>5683019.4500000002</v>
      </c>
      <c r="AA441" s="58"/>
      <c r="AB441" s="58"/>
      <c r="AC441" s="58"/>
      <c r="AD441" s="58"/>
      <c r="AE441" s="58"/>
      <c r="AF441" s="58"/>
      <c r="AG441" s="58"/>
      <c r="AH441" s="58"/>
      <c r="AI441" s="58"/>
      <c r="AJ441" s="58"/>
      <c r="AK441" s="58"/>
      <c r="AL441" s="58"/>
      <c r="AM441" s="58"/>
      <c r="AN441" s="58"/>
      <c r="AO441" s="58"/>
      <c r="AP441" s="58"/>
      <c r="AQ441" s="546"/>
      <c r="AR441" s="546"/>
      <c r="AS441" s="546"/>
      <c r="AT441" s="546"/>
      <c r="AU441" s="546"/>
      <c r="AV441" s="546"/>
      <c r="AW441" s="546"/>
      <c r="AX441" s="546"/>
      <c r="AY441" s="546"/>
      <c r="AZ441" s="546"/>
      <c r="BA441" s="546"/>
      <c r="BB441" s="546"/>
      <c r="BC441" s="546"/>
    </row>
    <row r="442" spans="1:55" ht="12" hidden="1" thickBot="1">
      <c r="A442" s="522" t="s">
        <v>1361</v>
      </c>
      <c r="B442" s="522" t="s">
        <v>175</v>
      </c>
      <c r="C442" s="522" t="s">
        <v>202</v>
      </c>
      <c r="D442" s="523" t="s">
        <v>220</v>
      </c>
      <c r="E442" s="524">
        <v>94643548</v>
      </c>
      <c r="F442" s="525">
        <v>85423.75</v>
      </c>
      <c r="G442" s="525">
        <v>833809.73</v>
      </c>
      <c r="H442" s="525">
        <v>2737091.41</v>
      </c>
      <c r="I442" s="526"/>
      <c r="J442" s="525">
        <v>231105.39</v>
      </c>
      <c r="K442" s="525">
        <v>2366435.1</v>
      </c>
      <c r="L442" s="525">
        <v>68002.94</v>
      </c>
      <c r="M442" s="525">
        <v>209608.62</v>
      </c>
      <c r="N442" s="525">
        <v>0</v>
      </c>
      <c r="O442" s="525">
        <v>77656.899999999994</v>
      </c>
      <c r="P442" s="526"/>
      <c r="Q442" s="526"/>
      <c r="R442" s="525">
        <v>6609133.8399999999</v>
      </c>
      <c r="S442" s="527">
        <f t="shared" si="58"/>
        <v>3570901.14</v>
      </c>
      <c r="T442" s="528">
        <f t="shared" si="59"/>
        <v>2597540.4900000002</v>
      </c>
      <c r="U442" s="527">
        <f t="shared" si="60"/>
        <v>77656.899999999994</v>
      </c>
      <c r="W442" s="326">
        <f t="shared" si="61"/>
        <v>6609133.8400000017</v>
      </c>
      <c r="X442" s="261">
        <f t="shared" si="62"/>
        <v>0</v>
      </c>
      <c r="Y442" s="546"/>
      <c r="Z442" s="1016">
        <f t="shared" si="52"/>
        <v>6253865.3800000008</v>
      </c>
      <c r="AA442" s="58"/>
      <c r="AB442" s="58"/>
      <c r="AC442" s="58"/>
      <c r="AD442" s="58"/>
      <c r="AE442" s="58"/>
      <c r="AF442" s="58"/>
      <c r="AG442" s="58"/>
      <c r="AH442" s="58"/>
      <c r="AI442" s="58"/>
      <c r="AJ442" s="58"/>
      <c r="AK442" s="58"/>
      <c r="AL442" s="58"/>
      <c r="AM442" s="58"/>
      <c r="AN442" s="58"/>
      <c r="AO442" s="58"/>
      <c r="AP442" s="58"/>
      <c r="AQ442" s="546"/>
      <c r="AR442" s="546"/>
      <c r="AS442" s="546"/>
      <c r="AT442" s="546"/>
      <c r="AU442" s="546"/>
      <c r="AV442" s="546"/>
      <c r="AW442" s="546"/>
      <c r="AX442" s="546"/>
      <c r="AY442" s="546"/>
      <c r="AZ442" s="546"/>
      <c r="BA442" s="546"/>
      <c r="BB442" s="546"/>
      <c r="BC442" s="546"/>
    </row>
    <row r="443" spans="1:55" ht="12" hidden="1" thickBot="1">
      <c r="A443" s="522" t="s">
        <v>1361</v>
      </c>
      <c r="B443" s="522" t="s">
        <v>176</v>
      </c>
      <c r="C443" s="522" t="s">
        <v>203</v>
      </c>
      <c r="D443" s="523" t="s">
        <v>25</v>
      </c>
      <c r="E443" s="530">
        <v>23280</v>
      </c>
      <c r="F443" s="531">
        <v>90</v>
      </c>
      <c r="G443" s="531">
        <v>156.44</v>
      </c>
      <c r="H443" s="531">
        <v>673.26</v>
      </c>
      <c r="I443" s="532"/>
      <c r="J443" s="531">
        <v>130.46</v>
      </c>
      <c r="K443" s="531">
        <v>1464.1</v>
      </c>
      <c r="L443" s="531">
        <v>31.89</v>
      </c>
      <c r="M443" s="531">
        <v>49.35</v>
      </c>
      <c r="N443" s="531">
        <v>0</v>
      </c>
      <c r="O443" s="531">
        <v>39.520000000000003</v>
      </c>
      <c r="P443" s="532"/>
      <c r="Q443" s="532"/>
      <c r="R443" s="531">
        <v>2635.02</v>
      </c>
      <c r="S443" s="527">
        <f t="shared" si="58"/>
        <v>829.7</v>
      </c>
      <c r="T443" s="528">
        <f t="shared" si="59"/>
        <v>1594.56</v>
      </c>
      <c r="U443" s="527">
        <f t="shared" si="60"/>
        <v>39.520000000000003</v>
      </c>
      <c r="W443" s="326">
        <f t="shared" si="61"/>
        <v>2635.02</v>
      </c>
      <c r="X443" s="261">
        <f t="shared" si="62"/>
        <v>0</v>
      </c>
      <c r="Y443" s="546"/>
      <c r="Z443" s="1016">
        <f t="shared" si="52"/>
        <v>2514.2600000000002</v>
      </c>
      <c r="AA443" s="58"/>
      <c r="AB443" s="58"/>
      <c r="AC443" s="58"/>
      <c r="AD443" s="58"/>
      <c r="AE443" s="58"/>
      <c r="AF443" s="58"/>
      <c r="AG443" s="58"/>
      <c r="AH443" s="58"/>
      <c r="AI443" s="58"/>
      <c r="AJ443" s="58"/>
      <c r="AK443" s="58"/>
      <c r="AL443" s="58"/>
      <c r="AM443" s="58"/>
      <c r="AN443" s="58"/>
      <c r="AO443" s="58"/>
      <c r="AP443" s="58"/>
      <c r="AQ443" s="546"/>
      <c r="AR443" s="546"/>
      <c r="AS443" s="546"/>
      <c r="AT443" s="546"/>
      <c r="AU443" s="546"/>
      <c r="AV443" s="546"/>
      <c r="AW443" s="546"/>
      <c r="AX443" s="546"/>
      <c r="AY443" s="546"/>
      <c r="AZ443" s="546"/>
      <c r="BA443" s="546"/>
      <c r="BB443" s="546"/>
      <c r="BC443" s="546"/>
    </row>
    <row r="444" spans="1:55" ht="12" hidden="1" thickBot="1">
      <c r="A444" s="522" t="s">
        <v>1361</v>
      </c>
      <c r="B444" s="522" t="s">
        <v>944</v>
      </c>
      <c r="C444" s="522" t="s">
        <v>943</v>
      </c>
      <c r="D444" s="542"/>
      <c r="E444" s="526"/>
      <c r="F444" s="526"/>
      <c r="G444" s="526"/>
      <c r="H444" s="526"/>
      <c r="I444" s="526"/>
      <c r="J444" s="526"/>
      <c r="K444" s="526"/>
      <c r="L444" s="526"/>
      <c r="M444" s="526"/>
      <c r="N444" s="526"/>
      <c r="O444" s="526"/>
      <c r="P444" s="526"/>
      <c r="Q444" s="526"/>
      <c r="R444" s="526"/>
      <c r="S444" s="527">
        <f t="shared" si="58"/>
        <v>0</v>
      </c>
      <c r="T444" s="528">
        <f t="shared" si="59"/>
        <v>0</v>
      </c>
      <c r="U444" s="527">
        <f t="shared" si="60"/>
        <v>0</v>
      </c>
      <c r="W444" s="326">
        <f t="shared" si="61"/>
        <v>0</v>
      </c>
      <c r="X444" s="261">
        <f t="shared" si="62"/>
        <v>0</v>
      </c>
      <c r="Y444" s="546"/>
      <c r="Z444" s="1016">
        <f t="shared" si="52"/>
        <v>0</v>
      </c>
      <c r="AA444" s="58"/>
      <c r="AB444" s="58"/>
      <c r="AC444" s="58"/>
      <c r="AD444" s="58"/>
      <c r="AE444" s="58"/>
      <c r="AF444" s="58"/>
      <c r="AG444" s="58"/>
      <c r="AH444" s="58"/>
      <c r="AI444" s="58"/>
      <c r="AJ444" s="58"/>
      <c r="AK444" s="58"/>
      <c r="AL444" s="58"/>
      <c r="AM444" s="58"/>
      <c r="AN444" s="58"/>
      <c r="AO444" s="58"/>
      <c r="AP444" s="58"/>
      <c r="AQ444" s="546"/>
      <c r="AR444" s="546"/>
      <c r="AS444" s="546"/>
      <c r="AT444" s="546"/>
      <c r="AU444" s="546"/>
      <c r="AV444" s="546"/>
      <c r="AW444" s="546"/>
      <c r="AX444" s="546"/>
      <c r="AY444" s="546"/>
      <c r="AZ444" s="546"/>
      <c r="BA444" s="546"/>
      <c r="BB444" s="546"/>
      <c r="BC444" s="546"/>
    </row>
    <row r="445" spans="1:55" ht="12" hidden="1" thickBot="1">
      <c r="A445" s="522" t="s">
        <v>1361</v>
      </c>
      <c r="B445" s="522" t="s">
        <v>177</v>
      </c>
      <c r="C445" s="522" t="s">
        <v>494</v>
      </c>
      <c r="D445" s="522" t="s">
        <v>224</v>
      </c>
      <c r="E445" s="530">
        <v>59618393</v>
      </c>
      <c r="F445" s="531">
        <v>1300004.77</v>
      </c>
      <c r="G445" s="531">
        <v>3494566.19</v>
      </c>
      <c r="H445" s="531">
        <v>1724278.93</v>
      </c>
      <c r="I445" s="531">
        <v>280985.96000000002</v>
      </c>
      <c r="J445" s="532"/>
      <c r="K445" s="532">
        <v>0</v>
      </c>
      <c r="L445" s="531">
        <v>172989.52</v>
      </c>
      <c r="M445" s="531">
        <v>130392.83</v>
      </c>
      <c r="N445" s="531">
        <v>-86.57</v>
      </c>
      <c r="O445" s="531">
        <v>111734.6</v>
      </c>
      <c r="P445" s="532"/>
      <c r="Q445" s="531">
        <v>0</v>
      </c>
      <c r="R445" s="531">
        <v>7214866.2300000004</v>
      </c>
      <c r="S445" s="527">
        <f t="shared" si="58"/>
        <v>5499831.0800000001</v>
      </c>
      <c r="T445" s="528">
        <f t="shared" si="59"/>
        <v>0</v>
      </c>
      <c r="U445" s="527">
        <f t="shared" si="60"/>
        <v>111648.03</v>
      </c>
      <c r="W445" s="326">
        <f t="shared" si="61"/>
        <v>7214866.2299999986</v>
      </c>
      <c r="X445" s="261">
        <f t="shared" si="62"/>
        <v>0</v>
      </c>
      <c r="Y445" s="546"/>
      <c r="Z445" s="1016">
        <f t="shared" si="52"/>
        <v>6799835.8499999996</v>
      </c>
      <c r="AA445" s="58"/>
      <c r="AB445" s="58"/>
      <c r="AC445" s="58"/>
      <c r="AD445" s="58"/>
      <c r="AE445" s="58"/>
      <c r="AF445" s="58"/>
      <c r="AG445" s="58"/>
      <c r="AH445" s="58"/>
      <c r="AI445" s="58"/>
      <c r="AJ445" s="58"/>
      <c r="AK445" s="58"/>
      <c r="AL445" s="58"/>
      <c r="AM445" s="58"/>
      <c r="AN445" s="58"/>
      <c r="AO445" s="58"/>
      <c r="AP445" s="58"/>
      <c r="AQ445" s="546"/>
      <c r="AR445" s="546"/>
      <c r="AS445" s="546"/>
      <c r="AT445" s="546"/>
      <c r="AU445" s="546"/>
      <c r="AV445" s="546"/>
      <c r="AW445" s="546"/>
      <c r="AX445" s="546"/>
      <c r="AY445" s="546"/>
      <c r="AZ445" s="546"/>
      <c r="BA445" s="546"/>
      <c r="BB445" s="546"/>
      <c r="BC445" s="546"/>
    </row>
    <row r="446" spans="1:55" ht="12" hidden="1" thickBot="1">
      <c r="A446" s="522" t="s">
        <v>1361</v>
      </c>
      <c r="B446" s="522" t="s">
        <v>178</v>
      </c>
      <c r="C446" s="522" t="s">
        <v>1352</v>
      </c>
      <c r="D446" s="542" t="s">
        <v>224</v>
      </c>
      <c r="E446" s="524">
        <v>10785</v>
      </c>
      <c r="F446" s="525">
        <v>1220</v>
      </c>
      <c r="G446" s="525">
        <v>632.22</v>
      </c>
      <c r="H446" s="525">
        <v>311.91000000000003</v>
      </c>
      <c r="I446" s="525">
        <v>50.81</v>
      </c>
      <c r="J446" s="526"/>
      <c r="K446" s="526"/>
      <c r="L446" s="525">
        <v>31.33</v>
      </c>
      <c r="M446" s="525">
        <v>24.55</v>
      </c>
      <c r="N446" s="525">
        <v>0</v>
      </c>
      <c r="O446" s="525">
        <v>42.4</v>
      </c>
      <c r="P446" s="526"/>
      <c r="Q446" s="526"/>
      <c r="R446" s="525">
        <v>2313.2199999999998</v>
      </c>
      <c r="S446" s="527">
        <f t="shared" si="58"/>
        <v>994.94</v>
      </c>
      <c r="T446" s="528">
        <f t="shared" si="59"/>
        <v>0</v>
      </c>
      <c r="U446" s="527">
        <f t="shared" si="60"/>
        <v>42.4</v>
      </c>
      <c r="W446" s="326">
        <f t="shared" si="61"/>
        <v>2313.2200000000003</v>
      </c>
      <c r="X446" s="261">
        <f t="shared" si="62"/>
        <v>0</v>
      </c>
      <c r="Y446" s="546"/>
      <c r="Z446" s="1016">
        <f t="shared" si="52"/>
        <v>2214.94</v>
      </c>
      <c r="AA446" s="58"/>
      <c r="AB446" s="58"/>
      <c r="AC446" s="58"/>
      <c r="AD446" s="58"/>
      <c r="AE446" s="58"/>
      <c r="AF446" s="58"/>
      <c r="AG446" s="58"/>
      <c r="AH446" s="58"/>
      <c r="AI446" s="58"/>
      <c r="AJ446" s="58"/>
      <c r="AK446" s="58"/>
      <c r="AL446" s="58"/>
      <c r="AM446" s="58"/>
      <c r="AN446" s="58"/>
      <c r="AO446" s="58"/>
      <c r="AP446" s="58"/>
      <c r="AQ446" s="546"/>
      <c r="AR446" s="546"/>
      <c r="AS446" s="546"/>
      <c r="AT446" s="546"/>
      <c r="AU446" s="546"/>
      <c r="AV446" s="546"/>
      <c r="AW446" s="546"/>
      <c r="AX446" s="546"/>
      <c r="AY446" s="546"/>
      <c r="AZ446" s="546"/>
      <c r="BA446" s="546"/>
      <c r="BB446" s="546"/>
      <c r="BC446" s="546"/>
    </row>
    <row r="447" spans="1:55" ht="12" hidden="1" thickBot="1">
      <c r="A447" s="522" t="s">
        <v>1361</v>
      </c>
      <c r="B447" s="522" t="s">
        <v>179</v>
      </c>
      <c r="C447" s="522" t="s">
        <v>64</v>
      </c>
      <c r="D447" s="523" t="s">
        <v>18</v>
      </c>
      <c r="E447" s="530">
        <v>76504036</v>
      </c>
      <c r="F447" s="531">
        <v>605590</v>
      </c>
      <c r="G447" s="531">
        <v>4484409.79</v>
      </c>
      <c r="H447" s="531">
        <v>2212444.4900000002</v>
      </c>
      <c r="I447" s="531">
        <v>360395.4</v>
      </c>
      <c r="J447" s="532"/>
      <c r="K447" s="532"/>
      <c r="L447" s="531">
        <v>208112.8</v>
      </c>
      <c r="M447" s="531">
        <v>166066.01999999999</v>
      </c>
      <c r="N447" s="531">
        <v>-7.31</v>
      </c>
      <c r="O447" s="531">
        <v>121356.5</v>
      </c>
      <c r="P447" s="532"/>
      <c r="Q447" s="531">
        <v>0</v>
      </c>
      <c r="R447" s="531">
        <v>8158367.6900000004</v>
      </c>
      <c r="S447" s="527">
        <f t="shared" si="58"/>
        <v>7057249.6800000006</v>
      </c>
      <c r="T447" s="528">
        <f t="shared" si="59"/>
        <v>0</v>
      </c>
      <c r="U447" s="527">
        <f t="shared" si="60"/>
        <v>121349.19</v>
      </c>
      <c r="W447" s="326">
        <f t="shared" si="61"/>
        <v>8158367.6900000004</v>
      </c>
      <c r="X447" s="261">
        <f t="shared" si="62"/>
        <v>0</v>
      </c>
      <c r="Y447" s="546"/>
      <c r="Z447" s="1016">
        <f t="shared" si="52"/>
        <v>7662839.6800000006</v>
      </c>
      <c r="AA447" s="58"/>
      <c r="AB447" s="58"/>
      <c r="AC447" s="58"/>
      <c r="AD447" s="58"/>
      <c r="AE447" s="58"/>
      <c r="AF447" s="58"/>
      <c r="AG447" s="58"/>
      <c r="AH447" s="58"/>
      <c r="AI447" s="58"/>
      <c r="AJ447" s="58"/>
      <c r="AK447" s="58"/>
      <c r="AL447" s="58"/>
      <c r="AM447" s="58"/>
      <c r="AN447" s="58"/>
      <c r="AO447" s="58"/>
      <c r="AP447" s="58"/>
      <c r="AQ447" s="546"/>
      <c r="AR447" s="546"/>
      <c r="AS447" s="546"/>
      <c r="AT447" s="546"/>
      <c r="AU447" s="546"/>
      <c r="AV447" s="546"/>
      <c r="AW447" s="546"/>
      <c r="AX447" s="546"/>
      <c r="AY447" s="546"/>
      <c r="AZ447" s="546"/>
      <c r="BA447" s="546"/>
      <c r="BB447" s="546"/>
      <c r="BC447" s="546"/>
    </row>
    <row r="448" spans="1:55" ht="12" hidden="1" thickBot="1">
      <c r="A448" s="522" t="s">
        <v>1361</v>
      </c>
      <c r="B448" s="522" t="s">
        <v>180</v>
      </c>
      <c r="C448" s="522" t="s">
        <v>204</v>
      </c>
      <c r="D448" s="536" t="s">
        <v>219</v>
      </c>
      <c r="E448" s="524">
        <v>669685</v>
      </c>
      <c r="F448" s="525">
        <v>6700.02</v>
      </c>
      <c r="G448" s="525">
        <v>28347.86</v>
      </c>
      <c r="H448" s="525">
        <v>19367.25</v>
      </c>
      <c r="I448" s="525">
        <v>2109.46</v>
      </c>
      <c r="J448" s="526"/>
      <c r="K448" s="526"/>
      <c r="L448" s="525">
        <v>752.05</v>
      </c>
      <c r="M448" s="525">
        <v>1624.36</v>
      </c>
      <c r="N448" s="525">
        <v>784.22</v>
      </c>
      <c r="O448" s="526"/>
      <c r="P448" s="526"/>
      <c r="Q448" s="526"/>
      <c r="R448" s="525">
        <v>59685.22</v>
      </c>
      <c r="S448" s="527">
        <f t="shared" si="58"/>
        <v>49824.57</v>
      </c>
      <c r="T448" s="528">
        <f t="shared" si="59"/>
        <v>0</v>
      </c>
      <c r="U448" s="527">
        <f t="shared" si="60"/>
        <v>784.22</v>
      </c>
      <c r="W448" s="326">
        <f t="shared" si="61"/>
        <v>59685.220000000008</v>
      </c>
      <c r="X448" s="261">
        <f t="shared" si="62"/>
        <v>0</v>
      </c>
      <c r="Y448" s="546"/>
      <c r="Z448" s="1016">
        <f t="shared" si="52"/>
        <v>56524.590000000004</v>
      </c>
      <c r="AA448" s="58"/>
      <c r="AB448" s="58"/>
      <c r="AC448" s="58"/>
      <c r="AD448" s="58"/>
      <c r="AE448" s="58"/>
      <c r="AF448" s="58"/>
      <c r="AG448" s="58"/>
      <c r="AH448" s="58"/>
      <c r="AI448" s="58"/>
      <c r="AJ448" s="58"/>
      <c r="AK448" s="58"/>
      <c r="AL448" s="58"/>
      <c r="AM448" s="58"/>
      <c r="AN448" s="58"/>
      <c r="AO448" s="58"/>
      <c r="AP448" s="58"/>
      <c r="AQ448" s="546"/>
      <c r="AR448" s="546"/>
      <c r="AS448" s="546"/>
      <c r="AT448" s="546"/>
      <c r="AU448" s="546"/>
      <c r="AV448" s="546"/>
      <c r="AW448" s="546"/>
      <c r="AX448" s="546"/>
      <c r="AY448" s="546"/>
      <c r="AZ448" s="546"/>
      <c r="BA448" s="546"/>
      <c r="BB448" s="546"/>
      <c r="BC448" s="546"/>
    </row>
    <row r="449" spans="1:55" ht="12" hidden="1" thickBot="1">
      <c r="A449" s="522" t="s">
        <v>1361</v>
      </c>
      <c r="B449" s="522" t="s">
        <v>181</v>
      </c>
      <c r="C449" s="522" t="s">
        <v>205</v>
      </c>
      <c r="D449" s="536" t="s">
        <v>219</v>
      </c>
      <c r="E449" s="530">
        <v>-1002900</v>
      </c>
      <c r="F449" s="531">
        <v>140</v>
      </c>
      <c r="G449" s="531">
        <v>-42452.75</v>
      </c>
      <c r="H449" s="531">
        <v>-29003.87</v>
      </c>
      <c r="I449" s="531">
        <v>-3158.61</v>
      </c>
      <c r="J449" s="532"/>
      <c r="K449" s="532"/>
      <c r="L449" s="531">
        <v>-882.25</v>
      </c>
      <c r="M449" s="531">
        <v>1468.27</v>
      </c>
      <c r="N449" s="531">
        <v>-4189.8599999999997</v>
      </c>
      <c r="O449" s="532"/>
      <c r="P449" s="532"/>
      <c r="Q449" s="532"/>
      <c r="R449" s="531">
        <v>-78079.070000000007</v>
      </c>
      <c r="S449" s="527">
        <f t="shared" si="58"/>
        <v>-74615.23</v>
      </c>
      <c r="T449" s="528">
        <f t="shared" si="59"/>
        <v>0</v>
      </c>
      <c r="U449" s="527">
        <f t="shared" si="60"/>
        <v>-4189.8599999999997</v>
      </c>
      <c r="W449" s="326">
        <f t="shared" si="61"/>
        <v>-78079.069999999992</v>
      </c>
      <c r="X449" s="261">
        <f t="shared" si="62"/>
        <v>0</v>
      </c>
      <c r="Y449" s="546"/>
      <c r="Z449" s="1016">
        <f t="shared" si="52"/>
        <v>-74475.23</v>
      </c>
      <c r="AA449" s="58"/>
      <c r="AB449" s="58"/>
      <c r="AC449" s="58"/>
      <c r="AD449" s="58"/>
      <c r="AE449" s="58"/>
      <c r="AF449" s="58"/>
      <c r="AG449" s="58"/>
      <c r="AH449" s="58"/>
      <c r="AI449" s="58"/>
      <c r="AJ449" s="58"/>
      <c r="AK449" s="58"/>
      <c r="AL449" s="58"/>
      <c r="AM449" s="58"/>
      <c r="AN449" s="58"/>
      <c r="AO449" s="58"/>
      <c r="AP449" s="58"/>
      <c r="AQ449" s="546"/>
      <c r="AR449" s="546"/>
      <c r="AS449" s="546"/>
      <c r="AT449" s="546"/>
      <c r="AU449" s="546"/>
      <c r="AV449" s="546"/>
      <c r="AW449" s="546"/>
      <c r="AX449" s="546"/>
      <c r="AY449" s="546"/>
      <c r="AZ449" s="546"/>
      <c r="BA449" s="546"/>
      <c r="BB449" s="546"/>
      <c r="BC449" s="546"/>
    </row>
    <row r="450" spans="1:55" ht="12" hidden="1" thickBot="1">
      <c r="A450" s="522" t="s">
        <v>1361</v>
      </c>
      <c r="B450" s="522" t="s">
        <v>182</v>
      </c>
      <c r="C450" s="522" t="s">
        <v>206</v>
      </c>
      <c r="D450" s="533" t="s">
        <v>228</v>
      </c>
      <c r="E450" s="524">
        <v>489126</v>
      </c>
      <c r="F450" s="525">
        <v>2380</v>
      </c>
      <c r="G450" s="525">
        <v>20704.669999999998</v>
      </c>
      <c r="H450" s="525">
        <v>14145.54</v>
      </c>
      <c r="I450" s="525">
        <v>1540.79</v>
      </c>
      <c r="J450" s="526"/>
      <c r="K450" s="526"/>
      <c r="L450" s="525">
        <v>589.07000000000005</v>
      </c>
      <c r="M450" s="525">
        <v>1072.82</v>
      </c>
      <c r="N450" s="525">
        <v>504.91</v>
      </c>
      <c r="O450" s="526"/>
      <c r="P450" s="526"/>
      <c r="Q450" s="526"/>
      <c r="R450" s="525">
        <v>40937.800000000003</v>
      </c>
      <c r="S450" s="527">
        <f t="shared" si="58"/>
        <v>36391</v>
      </c>
      <c r="T450" s="528">
        <f t="shared" si="59"/>
        <v>0</v>
      </c>
      <c r="U450" s="527">
        <f t="shared" si="60"/>
        <v>504.91</v>
      </c>
      <c r="W450" s="326">
        <f t="shared" si="61"/>
        <v>40937.800000000003</v>
      </c>
      <c r="X450" s="261">
        <f t="shared" si="62"/>
        <v>0</v>
      </c>
      <c r="Y450" s="546"/>
      <c r="Z450" s="1016">
        <f t="shared" ref="Z450:Z512" si="63">SUM(F450:K450)</f>
        <v>38771</v>
      </c>
      <c r="AA450" s="58"/>
      <c r="AB450" s="58"/>
      <c r="AC450" s="58"/>
      <c r="AD450" s="58"/>
      <c r="AE450" s="58"/>
      <c r="AF450" s="58"/>
      <c r="AG450" s="58"/>
      <c r="AH450" s="58"/>
      <c r="AI450" s="58"/>
      <c r="AJ450" s="58"/>
      <c r="AK450" s="58"/>
      <c r="AL450" s="58"/>
      <c r="AM450" s="58"/>
      <c r="AN450" s="58"/>
      <c r="AO450" s="58"/>
      <c r="AP450" s="58"/>
      <c r="AQ450" s="546"/>
      <c r="AR450" s="546"/>
      <c r="AS450" s="546"/>
      <c r="AT450" s="546"/>
      <c r="AU450" s="546"/>
      <c r="AV450" s="546"/>
      <c r="AW450" s="546"/>
      <c r="AX450" s="546"/>
      <c r="AY450" s="546"/>
      <c r="AZ450" s="546"/>
      <c r="BA450" s="546"/>
      <c r="BB450" s="546"/>
      <c r="BC450" s="546"/>
    </row>
    <row r="451" spans="1:55" ht="12" hidden="1" thickBot="1">
      <c r="A451" s="522" t="s">
        <v>1361</v>
      </c>
      <c r="B451" s="522" t="s">
        <v>183</v>
      </c>
      <c r="C451" s="522" t="s">
        <v>207</v>
      </c>
      <c r="D451" s="535" t="s">
        <v>228</v>
      </c>
      <c r="E451" s="530">
        <v>246340</v>
      </c>
      <c r="F451" s="531">
        <v>140</v>
      </c>
      <c r="G451" s="531">
        <v>10427.57</v>
      </c>
      <c r="H451" s="531">
        <v>7124.15</v>
      </c>
      <c r="I451" s="531">
        <v>775.97</v>
      </c>
      <c r="J451" s="532"/>
      <c r="K451" s="532"/>
      <c r="L451" s="531">
        <v>266.36</v>
      </c>
      <c r="M451" s="531">
        <v>626.92999999999995</v>
      </c>
      <c r="N451" s="531">
        <v>267.54000000000002</v>
      </c>
      <c r="O451" s="532"/>
      <c r="P451" s="532"/>
      <c r="Q451" s="532"/>
      <c r="R451" s="531">
        <v>19628.52</v>
      </c>
      <c r="S451" s="527">
        <f t="shared" si="58"/>
        <v>18327.690000000002</v>
      </c>
      <c r="T451" s="528">
        <f t="shared" si="59"/>
        <v>0</v>
      </c>
      <c r="U451" s="527">
        <f t="shared" si="60"/>
        <v>267.54000000000002</v>
      </c>
      <c r="W451" s="326">
        <f t="shared" si="61"/>
        <v>19628.520000000004</v>
      </c>
      <c r="X451" s="261">
        <f t="shared" si="62"/>
        <v>0</v>
      </c>
      <c r="Y451" s="546"/>
      <c r="Z451" s="1016">
        <f t="shared" si="63"/>
        <v>18467.690000000002</v>
      </c>
      <c r="AA451" s="58"/>
      <c r="AB451" s="58"/>
      <c r="AC451" s="58"/>
      <c r="AD451" s="58"/>
      <c r="AE451" s="58"/>
      <c r="AF451" s="58"/>
      <c r="AG451" s="58"/>
      <c r="AH451" s="58"/>
      <c r="AI451" s="58"/>
      <c r="AJ451" s="58"/>
      <c r="AK451" s="58"/>
      <c r="AL451" s="58"/>
      <c r="AM451" s="58"/>
      <c r="AN451" s="58"/>
      <c r="AO451" s="58"/>
      <c r="AP451" s="58"/>
      <c r="AQ451" s="546"/>
      <c r="AR451" s="546"/>
      <c r="AS451" s="546"/>
      <c r="AT451" s="546"/>
      <c r="AU451" s="546"/>
      <c r="AV451" s="546"/>
      <c r="AW451" s="546"/>
      <c r="AX451" s="546"/>
      <c r="AY451" s="546"/>
      <c r="AZ451" s="546"/>
      <c r="BA451" s="546"/>
      <c r="BB451" s="546"/>
      <c r="BC451" s="546"/>
    </row>
    <row r="452" spans="1:55" ht="12" hidden="1" thickBot="1">
      <c r="A452" s="522" t="s">
        <v>1361</v>
      </c>
      <c r="B452" s="522" t="s">
        <v>720</v>
      </c>
      <c r="C452" s="522" t="s">
        <v>723</v>
      </c>
      <c r="D452" s="535" t="s">
        <v>228</v>
      </c>
      <c r="E452" s="524">
        <v>2369020</v>
      </c>
      <c r="F452" s="525">
        <v>3360</v>
      </c>
      <c r="G452" s="525">
        <v>100280.63</v>
      </c>
      <c r="H452" s="525">
        <v>68512.03</v>
      </c>
      <c r="I452" s="525">
        <v>7462.43</v>
      </c>
      <c r="J452" s="526"/>
      <c r="K452" s="526"/>
      <c r="L452" s="525">
        <v>2722.64</v>
      </c>
      <c r="M452" s="525">
        <v>5568.87</v>
      </c>
      <c r="N452" s="525">
        <v>2457.7800000000002</v>
      </c>
      <c r="O452" s="526"/>
      <c r="P452" s="526"/>
      <c r="Q452" s="526"/>
      <c r="R452" s="525">
        <v>190364.38</v>
      </c>
      <c r="S452" s="527">
        <f t="shared" si="58"/>
        <v>176255.09</v>
      </c>
      <c r="T452" s="528">
        <f t="shared" si="59"/>
        <v>0</v>
      </c>
      <c r="U452" s="527">
        <f t="shared" si="60"/>
        <v>2457.7800000000002</v>
      </c>
      <c r="W452" s="326">
        <f t="shared" si="61"/>
        <v>190364.38</v>
      </c>
      <c r="X452" s="261">
        <f t="shared" si="62"/>
        <v>0</v>
      </c>
      <c r="Y452" s="546"/>
      <c r="Z452" s="1016">
        <f t="shared" si="63"/>
        <v>179615.09</v>
      </c>
      <c r="AA452" s="58"/>
      <c r="AB452" s="58"/>
      <c r="AC452" s="58"/>
      <c r="AD452" s="58"/>
      <c r="AE452" s="58"/>
      <c r="AF452" s="58"/>
      <c r="AG452" s="58"/>
      <c r="AH452" s="58"/>
      <c r="AI452" s="58"/>
      <c r="AJ452" s="58"/>
      <c r="AK452" s="58"/>
      <c r="AL452" s="58"/>
      <c r="AM452" s="58"/>
      <c r="AN452" s="58"/>
      <c r="AO452" s="58"/>
      <c r="AP452" s="58"/>
      <c r="AQ452" s="546"/>
      <c r="AR452" s="546"/>
      <c r="AS452" s="546"/>
      <c r="AT452" s="546"/>
      <c r="AU452" s="546"/>
      <c r="AV452" s="546"/>
      <c r="AW452" s="546"/>
      <c r="AX452" s="546"/>
      <c r="AY452" s="546"/>
      <c r="AZ452" s="546"/>
      <c r="BA452" s="546"/>
      <c r="BB452" s="546"/>
      <c r="BC452" s="546"/>
    </row>
    <row r="453" spans="1:55" ht="12" hidden="1" thickBot="1">
      <c r="A453" s="522" t="s">
        <v>1361</v>
      </c>
      <c r="B453" s="522" t="s">
        <v>721</v>
      </c>
      <c r="C453" s="522" t="s">
        <v>724</v>
      </c>
      <c r="D453" s="535" t="s">
        <v>219</v>
      </c>
      <c r="E453" s="530">
        <v>54793</v>
      </c>
      <c r="F453" s="531">
        <v>380</v>
      </c>
      <c r="G453" s="531">
        <v>2319.39</v>
      </c>
      <c r="H453" s="531">
        <v>1584.6</v>
      </c>
      <c r="I453" s="531">
        <v>172.59</v>
      </c>
      <c r="J453" s="532"/>
      <c r="K453" s="532"/>
      <c r="L453" s="531">
        <v>60.37</v>
      </c>
      <c r="M453" s="531">
        <v>136.19</v>
      </c>
      <c r="N453" s="531">
        <v>63.19</v>
      </c>
      <c r="O453" s="532"/>
      <c r="P453" s="532"/>
      <c r="Q453" s="532"/>
      <c r="R453" s="531">
        <v>4716.33</v>
      </c>
      <c r="S453" s="527">
        <f t="shared" si="58"/>
        <v>4076.58</v>
      </c>
      <c r="T453" s="528">
        <f t="shared" si="59"/>
        <v>0</v>
      </c>
      <c r="U453" s="527">
        <f t="shared" si="60"/>
        <v>63.19</v>
      </c>
      <c r="W453" s="326">
        <f t="shared" si="61"/>
        <v>4716.329999999999</v>
      </c>
      <c r="X453" s="261">
        <f t="shared" si="62"/>
        <v>0</v>
      </c>
      <c r="Y453" s="546"/>
      <c r="Z453" s="1016">
        <f t="shared" si="63"/>
        <v>4456.58</v>
      </c>
      <c r="AA453" s="58"/>
      <c r="AB453" s="58"/>
      <c r="AC453" s="58"/>
      <c r="AD453" s="58"/>
      <c r="AE453" s="58"/>
      <c r="AF453" s="58"/>
      <c r="AG453" s="58"/>
      <c r="AH453" s="58"/>
      <c r="AI453" s="58"/>
      <c r="AJ453" s="58"/>
      <c r="AK453" s="58"/>
      <c r="AL453" s="58"/>
      <c r="AM453" s="58"/>
      <c r="AN453" s="58"/>
      <c r="AO453" s="58"/>
      <c r="AP453" s="58"/>
      <c r="AQ453" s="546"/>
      <c r="AR453" s="546"/>
      <c r="AS453" s="546"/>
      <c r="AT453" s="546"/>
      <c r="AU453" s="546"/>
      <c r="AV453" s="546"/>
      <c r="AW453" s="546"/>
      <c r="AX453" s="546"/>
      <c r="AY453" s="546"/>
      <c r="AZ453" s="546"/>
      <c r="BA453" s="546"/>
      <c r="BB453" s="546"/>
      <c r="BC453" s="546"/>
    </row>
    <row r="454" spans="1:55" ht="12" hidden="1" thickBot="1">
      <c r="A454" s="522" t="s">
        <v>1361</v>
      </c>
      <c r="B454" s="522" t="s">
        <v>722</v>
      </c>
      <c r="C454" s="522" t="s">
        <v>725</v>
      </c>
      <c r="D454" s="523" t="s">
        <v>228</v>
      </c>
      <c r="E454" s="524">
        <v>8681308</v>
      </c>
      <c r="F454" s="525">
        <v>3479.48</v>
      </c>
      <c r="G454" s="525">
        <v>367479.7</v>
      </c>
      <c r="H454" s="525">
        <v>251063.45</v>
      </c>
      <c r="I454" s="525">
        <v>27346.15</v>
      </c>
      <c r="J454" s="526"/>
      <c r="K454" s="526"/>
      <c r="L454" s="525">
        <v>9825.2099999999991</v>
      </c>
      <c r="M454" s="525">
        <v>20840.939999999999</v>
      </c>
      <c r="N454" s="525">
        <v>9025.48</v>
      </c>
      <c r="O454" s="526"/>
      <c r="P454" s="526"/>
      <c r="Q454" s="526"/>
      <c r="R454" s="525">
        <v>689060.41</v>
      </c>
      <c r="S454" s="527">
        <f t="shared" si="58"/>
        <v>645889.30000000005</v>
      </c>
      <c r="T454" s="528">
        <f t="shared" si="59"/>
        <v>0</v>
      </c>
      <c r="U454" s="527">
        <f t="shared" si="60"/>
        <v>9025.48</v>
      </c>
      <c r="W454" s="326">
        <f t="shared" si="61"/>
        <v>689060.40999999992</v>
      </c>
      <c r="X454" s="261">
        <f t="shared" si="62"/>
        <v>0</v>
      </c>
      <c r="Y454" s="546"/>
      <c r="Z454" s="1016">
        <f t="shared" si="63"/>
        <v>649368.78</v>
      </c>
      <c r="AA454" s="58"/>
      <c r="AB454" s="58"/>
      <c r="AC454" s="58"/>
      <c r="AD454" s="58"/>
      <c r="AE454" s="58"/>
      <c r="AF454" s="58"/>
      <c r="AG454" s="58"/>
      <c r="AH454" s="58"/>
      <c r="AI454" s="58"/>
      <c r="AJ454" s="58"/>
      <c r="AK454" s="58"/>
      <c r="AL454" s="58"/>
      <c r="AM454" s="58"/>
      <c r="AN454" s="58"/>
      <c r="AO454" s="58"/>
      <c r="AP454" s="58"/>
      <c r="AQ454" s="546"/>
      <c r="AR454" s="546"/>
      <c r="AS454" s="546"/>
      <c r="AT454" s="546"/>
      <c r="AU454" s="546"/>
      <c r="AV454" s="546"/>
      <c r="AW454" s="546"/>
      <c r="AX454" s="546"/>
      <c r="AY454" s="546"/>
      <c r="AZ454" s="546"/>
      <c r="BA454" s="546"/>
      <c r="BB454" s="546"/>
      <c r="BC454" s="546"/>
    </row>
    <row r="455" spans="1:55" ht="12" thickBot="1">
      <c r="A455" s="522" t="s">
        <v>1361</v>
      </c>
      <c r="B455" s="522" t="s">
        <v>233</v>
      </c>
      <c r="C455" s="522" t="s">
        <v>651</v>
      </c>
      <c r="D455" s="542" t="s">
        <v>20</v>
      </c>
      <c r="E455" s="530">
        <v>12161</v>
      </c>
      <c r="F455" s="532"/>
      <c r="G455" s="531">
        <v>385.86</v>
      </c>
      <c r="H455" s="531">
        <v>351.7</v>
      </c>
      <c r="I455" s="531">
        <v>38.31</v>
      </c>
      <c r="J455" s="532"/>
      <c r="K455" s="532"/>
      <c r="L455" s="532"/>
      <c r="M455" s="531">
        <v>25.78</v>
      </c>
      <c r="N455" s="531">
        <v>9.7799999999999994</v>
      </c>
      <c r="O455" s="532"/>
      <c r="P455" s="532"/>
      <c r="Q455" s="532"/>
      <c r="R455" s="531">
        <v>811.43</v>
      </c>
      <c r="S455" s="527">
        <f t="shared" si="58"/>
        <v>775.86999999999989</v>
      </c>
      <c r="T455" s="528">
        <f t="shared" si="59"/>
        <v>0</v>
      </c>
      <c r="U455" s="527">
        <f t="shared" si="60"/>
        <v>9.7799999999999994</v>
      </c>
      <c r="W455" s="326">
        <f t="shared" si="61"/>
        <v>811.42999999999984</v>
      </c>
      <c r="X455" s="261">
        <f t="shared" si="62"/>
        <v>0</v>
      </c>
      <c r="Y455" s="546"/>
      <c r="Z455" s="1016">
        <f t="shared" si="63"/>
        <v>775.86999999999989</v>
      </c>
      <c r="AA455" s="58"/>
      <c r="AB455" s="58"/>
      <c r="AC455" s="58"/>
      <c r="AD455" s="58"/>
      <c r="AE455" s="58"/>
      <c r="AF455" s="58"/>
      <c r="AG455" s="58"/>
      <c r="AH455" s="58"/>
      <c r="AI455" s="58"/>
      <c r="AJ455" s="58"/>
      <c r="AK455" s="58"/>
      <c r="AL455" s="58"/>
      <c r="AM455" s="58"/>
      <c r="AN455" s="58"/>
      <c r="AO455" s="58"/>
      <c r="AP455" s="58"/>
      <c r="AQ455" s="546"/>
      <c r="AR455" s="546"/>
      <c r="AS455" s="546"/>
      <c r="AT455" s="546"/>
      <c r="AU455" s="546"/>
      <c r="AV455" s="546"/>
      <c r="AW455" s="546"/>
      <c r="AX455" s="546"/>
      <c r="AY455" s="546"/>
      <c r="AZ455" s="546"/>
      <c r="BA455" s="546"/>
      <c r="BB455" s="546"/>
      <c r="BC455" s="546"/>
    </row>
    <row r="456" spans="1:55" ht="12" hidden="1" thickBot="1">
      <c r="A456" s="522" t="s">
        <v>1361</v>
      </c>
      <c r="B456" s="522" t="s">
        <v>232</v>
      </c>
      <c r="C456" s="522" t="s">
        <v>651</v>
      </c>
      <c r="D456" s="542" t="s">
        <v>20</v>
      </c>
      <c r="E456" s="524">
        <v>3344</v>
      </c>
      <c r="F456" s="526"/>
      <c r="G456" s="525">
        <v>106.1</v>
      </c>
      <c r="H456" s="525">
        <v>96.71</v>
      </c>
      <c r="I456" s="525">
        <v>10.53</v>
      </c>
      <c r="J456" s="526"/>
      <c r="K456" s="526"/>
      <c r="L456" s="526"/>
      <c r="M456" s="525">
        <v>10.43</v>
      </c>
      <c r="N456" s="525">
        <v>3.58</v>
      </c>
      <c r="O456" s="526"/>
      <c r="P456" s="526"/>
      <c r="Q456" s="526"/>
      <c r="R456" s="525">
        <v>227.35</v>
      </c>
      <c r="S456" s="527">
        <f t="shared" si="58"/>
        <v>213.34</v>
      </c>
      <c r="T456" s="528">
        <f t="shared" si="59"/>
        <v>0</v>
      </c>
      <c r="U456" s="527">
        <f t="shared" si="60"/>
        <v>3.58</v>
      </c>
      <c r="W456" s="326">
        <f t="shared" si="61"/>
        <v>227.35000000000002</v>
      </c>
      <c r="X456" s="261">
        <f t="shared" si="62"/>
        <v>0</v>
      </c>
      <c r="Y456" s="546"/>
      <c r="Z456" s="1016">
        <f t="shared" si="63"/>
        <v>213.34</v>
      </c>
      <c r="AA456" s="58"/>
      <c r="AB456" s="58"/>
      <c r="AC456" s="58"/>
      <c r="AD456" s="58"/>
      <c r="AE456" s="58"/>
      <c r="AF456" s="58"/>
      <c r="AG456" s="58"/>
      <c r="AH456" s="58"/>
      <c r="AI456" s="58"/>
      <c r="AJ456" s="58"/>
      <c r="AK456" s="58"/>
      <c r="AL456" s="58"/>
      <c r="AM456" s="58"/>
      <c r="AN456" s="58"/>
      <c r="AO456" s="58"/>
      <c r="AP456" s="58"/>
      <c r="AQ456" s="546"/>
      <c r="AR456" s="546"/>
      <c r="AS456" s="546"/>
      <c r="AT456" s="546"/>
      <c r="AU456" s="546"/>
      <c r="AV456" s="546"/>
      <c r="AW456" s="546"/>
      <c r="AX456" s="546"/>
      <c r="AY456" s="546"/>
      <c r="AZ456" s="546"/>
      <c r="BA456" s="546"/>
      <c r="BB456" s="546"/>
      <c r="BC456" s="546"/>
    </row>
    <row r="457" spans="1:55" ht="12" thickBot="1">
      <c r="A457" s="522" t="s">
        <v>1361</v>
      </c>
      <c r="B457" s="522" t="s">
        <v>184</v>
      </c>
      <c r="C457" s="522" t="s">
        <v>59</v>
      </c>
      <c r="D457" s="523" t="s">
        <v>21</v>
      </c>
      <c r="E457" s="530">
        <v>90374</v>
      </c>
      <c r="F457" s="531">
        <v>1537.25</v>
      </c>
      <c r="G457" s="531">
        <v>4311.6899999999996</v>
      </c>
      <c r="H457" s="531">
        <v>2613.65</v>
      </c>
      <c r="I457" s="531">
        <v>284.64999999999998</v>
      </c>
      <c r="J457" s="532"/>
      <c r="K457" s="532"/>
      <c r="L457" s="532"/>
      <c r="M457" s="531">
        <v>245.36</v>
      </c>
      <c r="N457" s="531">
        <v>130.13999999999999</v>
      </c>
      <c r="O457" s="532"/>
      <c r="P457" s="532"/>
      <c r="Q457" s="532"/>
      <c r="R457" s="531">
        <v>9122.74</v>
      </c>
      <c r="S457" s="527">
        <f t="shared" si="58"/>
        <v>7209.99</v>
      </c>
      <c r="T457" s="528">
        <f t="shared" si="59"/>
        <v>0</v>
      </c>
      <c r="U457" s="527">
        <f t="shared" si="60"/>
        <v>130.13999999999999</v>
      </c>
      <c r="W457" s="326">
        <f t="shared" si="61"/>
        <v>9122.74</v>
      </c>
      <c r="X457" s="261">
        <f t="shared" si="62"/>
        <v>0</v>
      </c>
      <c r="Y457" s="546"/>
      <c r="Z457" s="1016">
        <f t="shared" si="63"/>
        <v>8747.24</v>
      </c>
      <c r="AA457" s="58"/>
      <c r="AB457" s="58"/>
      <c r="AC457" s="58"/>
      <c r="AD457" s="58"/>
      <c r="AE457" s="58"/>
      <c r="AF457" s="58"/>
      <c r="AG457" s="58"/>
      <c r="AH457" s="58"/>
      <c r="AI457" s="58"/>
      <c r="AJ457" s="58"/>
      <c r="AK457" s="58"/>
      <c r="AL457" s="58"/>
      <c r="AM457" s="58"/>
      <c r="AN457" s="58"/>
      <c r="AO457" s="58"/>
      <c r="AP457" s="58"/>
      <c r="AQ457" s="546"/>
      <c r="AR457" s="546"/>
      <c r="AS457" s="546"/>
      <c r="AT457" s="546"/>
      <c r="AU457" s="546"/>
      <c r="AV457" s="546"/>
      <c r="AW457" s="546"/>
      <c r="AX457" s="546"/>
      <c r="AY457" s="546"/>
      <c r="AZ457" s="546"/>
      <c r="BA457" s="546"/>
      <c r="BB457" s="546"/>
      <c r="BC457" s="546"/>
    </row>
    <row r="458" spans="1:55" ht="12" hidden="1" thickBot="1">
      <c r="A458" s="522" t="s">
        <v>1361</v>
      </c>
      <c r="B458" s="522" t="s">
        <v>652</v>
      </c>
      <c r="C458" s="522" t="s">
        <v>676</v>
      </c>
      <c r="D458" s="523" t="s">
        <v>21</v>
      </c>
      <c r="E458" s="524">
        <v>14416</v>
      </c>
      <c r="F458" s="525">
        <v>884</v>
      </c>
      <c r="G458" s="525">
        <v>688.16</v>
      </c>
      <c r="H458" s="525">
        <v>416.16</v>
      </c>
      <c r="I458" s="525">
        <v>46.24</v>
      </c>
      <c r="J458" s="526"/>
      <c r="K458" s="526"/>
      <c r="L458" s="526"/>
      <c r="M458" s="525">
        <v>29.92</v>
      </c>
      <c r="N458" s="525">
        <v>24.48</v>
      </c>
      <c r="O458" s="526"/>
      <c r="P458" s="526"/>
      <c r="Q458" s="526"/>
      <c r="R458" s="525">
        <v>2088.96</v>
      </c>
      <c r="S458" s="527">
        <f t="shared" si="58"/>
        <v>1150.56</v>
      </c>
      <c r="T458" s="528">
        <f t="shared" si="59"/>
        <v>0</v>
      </c>
      <c r="U458" s="527">
        <f t="shared" si="60"/>
        <v>24.48</v>
      </c>
      <c r="W458" s="326">
        <f t="shared" si="61"/>
        <v>2088.96</v>
      </c>
      <c r="X458" s="261">
        <f t="shared" si="62"/>
        <v>0</v>
      </c>
      <c r="Y458" s="546"/>
      <c r="Z458" s="1016">
        <f t="shared" si="63"/>
        <v>2034.56</v>
      </c>
      <c r="AA458" s="58"/>
      <c r="AB458" s="58"/>
      <c r="AC458" s="58"/>
      <c r="AD458" s="58"/>
      <c r="AE458" s="58"/>
      <c r="AF458" s="58"/>
      <c r="AG458" s="58"/>
      <c r="AH458" s="58"/>
      <c r="AI458" s="58"/>
      <c r="AJ458" s="58"/>
      <c r="AK458" s="58"/>
      <c r="AL458" s="58"/>
      <c r="AM458" s="58"/>
      <c r="AN458" s="58"/>
      <c r="AO458" s="58"/>
      <c r="AP458" s="58"/>
      <c r="AQ458" s="546"/>
      <c r="AR458" s="546"/>
      <c r="AS458" s="546"/>
      <c r="AT458" s="546"/>
      <c r="AU458" s="546"/>
      <c r="AV458" s="546"/>
      <c r="AW458" s="546"/>
      <c r="AX458" s="546"/>
      <c r="AY458" s="546"/>
      <c r="AZ458" s="546"/>
      <c r="BA458" s="546"/>
      <c r="BB458" s="546"/>
      <c r="BC458" s="546"/>
    </row>
    <row r="459" spans="1:55" ht="12" hidden="1" thickBot="1">
      <c r="A459" s="522" t="s">
        <v>1361</v>
      </c>
      <c r="B459" s="522" t="s">
        <v>728</v>
      </c>
      <c r="C459" s="522" t="s">
        <v>726</v>
      </c>
      <c r="D459" s="523" t="s">
        <v>727</v>
      </c>
      <c r="E459" s="532"/>
      <c r="F459" s="532"/>
      <c r="G459" s="532"/>
      <c r="H459" s="532"/>
      <c r="I459" s="532"/>
      <c r="J459" s="532"/>
      <c r="K459" s="532"/>
      <c r="L459" s="532"/>
      <c r="M459" s="532"/>
      <c r="N459" s="532"/>
      <c r="O459" s="532"/>
      <c r="P459" s="532"/>
      <c r="Q459" s="532"/>
      <c r="R459" s="531">
        <v>0</v>
      </c>
      <c r="S459" s="527">
        <f t="shared" si="58"/>
        <v>0</v>
      </c>
      <c r="T459" s="528">
        <f t="shared" si="59"/>
        <v>0</v>
      </c>
      <c r="U459" s="527">
        <f t="shared" si="60"/>
        <v>0</v>
      </c>
      <c r="W459" s="326">
        <f t="shared" si="61"/>
        <v>0</v>
      </c>
      <c r="X459" s="261">
        <f t="shared" si="62"/>
        <v>0</v>
      </c>
      <c r="Y459" s="546"/>
      <c r="Z459" s="1016">
        <f t="shared" si="63"/>
        <v>0</v>
      </c>
      <c r="AA459" s="58"/>
      <c r="AB459" s="58"/>
      <c r="AC459" s="58"/>
      <c r="AD459" s="58"/>
      <c r="AE459" s="58"/>
      <c r="AF459" s="58"/>
      <c r="AG459" s="58"/>
      <c r="AH459" s="58"/>
      <c r="AI459" s="58"/>
      <c r="AJ459" s="58"/>
      <c r="AK459" s="58"/>
      <c r="AL459" s="58"/>
      <c r="AM459" s="58"/>
      <c r="AN459" s="58"/>
      <c r="AO459" s="58"/>
      <c r="AP459" s="58"/>
      <c r="AQ459" s="546"/>
      <c r="AR459" s="546"/>
      <c r="AS459" s="546"/>
      <c r="AT459" s="546"/>
      <c r="AU459" s="546"/>
      <c r="AV459" s="546"/>
      <c r="AW459" s="546"/>
      <c r="AX459" s="546"/>
      <c r="AY459" s="546"/>
      <c r="AZ459" s="546"/>
      <c r="BA459" s="546"/>
      <c r="BB459" s="546"/>
      <c r="BC459" s="546"/>
    </row>
    <row r="460" spans="1:55" ht="12" hidden="1" thickBot="1">
      <c r="A460" s="522" t="s">
        <v>1361</v>
      </c>
      <c r="B460" s="522" t="s">
        <v>1043</v>
      </c>
      <c r="C460" s="522" t="s">
        <v>1044</v>
      </c>
      <c r="D460" s="523" t="s">
        <v>1052</v>
      </c>
      <c r="E460" s="526"/>
      <c r="F460" s="526"/>
      <c r="G460" s="526"/>
      <c r="H460" s="526"/>
      <c r="I460" s="526"/>
      <c r="J460" s="526"/>
      <c r="K460" s="526"/>
      <c r="L460" s="526"/>
      <c r="M460" s="526"/>
      <c r="N460" s="526"/>
      <c r="O460" s="526"/>
      <c r="P460" s="526"/>
      <c r="Q460" s="526"/>
      <c r="R460" s="525">
        <v>0</v>
      </c>
      <c r="S460" s="527">
        <f t="shared" si="58"/>
        <v>0</v>
      </c>
      <c r="T460" s="528">
        <f t="shared" si="59"/>
        <v>0</v>
      </c>
      <c r="U460" s="527">
        <f t="shared" si="60"/>
        <v>0</v>
      </c>
      <c r="W460" s="326">
        <f t="shared" si="61"/>
        <v>0</v>
      </c>
      <c r="X460" s="261">
        <f t="shared" si="62"/>
        <v>0</v>
      </c>
      <c r="Y460" s="546"/>
      <c r="Z460" s="1016">
        <f t="shared" si="63"/>
        <v>0</v>
      </c>
      <c r="AA460" s="58"/>
      <c r="AB460" s="58"/>
      <c r="AC460" s="58"/>
      <c r="AD460" s="58"/>
      <c r="AE460" s="58"/>
      <c r="AF460" s="58"/>
      <c r="AG460" s="58"/>
      <c r="AH460" s="58"/>
      <c r="AI460" s="58"/>
      <c r="AJ460" s="58"/>
      <c r="AK460" s="58"/>
      <c r="AL460" s="58"/>
      <c r="AM460" s="58"/>
      <c r="AN460" s="58"/>
      <c r="AO460" s="58"/>
      <c r="AP460" s="58"/>
      <c r="AQ460" s="546"/>
      <c r="AR460" s="546"/>
      <c r="AS460" s="546"/>
      <c r="AT460" s="546"/>
      <c r="AU460" s="546"/>
      <c r="AV460" s="546"/>
      <c r="AW460" s="546"/>
      <c r="AX460" s="546"/>
      <c r="AY460" s="546"/>
      <c r="AZ460" s="546"/>
      <c r="BA460" s="546"/>
      <c r="BB460" s="546"/>
      <c r="BC460" s="546"/>
    </row>
    <row r="461" spans="1:55" ht="12" hidden="1" thickBot="1">
      <c r="A461" s="522" t="s">
        <v>1361</v>
      </c>
      <c r="B461" s="522" t="s">
        <v>185</v>
      </c>
      <c r="C461" s="522" t="s">
        <v>1353</v>
      </c>
      <c r="D461" s="533" t="s">
        <v>224</v>
      </c>
      <c r="E461" s="530">
        <v>6767</v>
      </c>
      <c r="F461" s="531">
        <v>172.67</v>
      </c>
      <c r="G461" s="531">
        <v>396.69</v>
      </c>
      <c r="H461" s="531">
        <v>195.7</v>
      </c>
      <c r="I461" s="531">
        <v>31.87</v>
      </c>
      <c r="J461" s="532"/>
      <c r="K461" s="532"/>
      <c r="L461" s="531">
        <v>20.309999999999999</v>
      </c>
      <c r="M461" s="531">
        <v>14.34</v>
      </c>
      <c r="N461" s="531">
        <v>0</v>
      </c>
      <c r="O461" s="531">
        <v>13.12</v>
      </c>
      <c r="P461" s="532"/>
      <c r="Q461" s="532"/>
      <c r="R461" s="531">
        <v>844.7</v>
      </c>
      <c r="S461" s="527">
        <f t="shared" si="58"/>
        <v>624.26</v>
      </c>
      <c r="T461" s="528">
        <f t="shared" si="59"/>
        <v>0</v>
      </c>
      <c r="U461" s="527">
        <f t="shared" si="60"/>
        <v>13.12</v>
      </c>
      <c r="W461" s="326">
        <f t="shared" si="61"/>
        <v>844.69999999999993</v>
      </c>
      <c r="X461" s="261">
        <f t="shared" si="62"/>
        <v>0</v>
      </c>
      <c r="Y461" s="546"/>
      <c r="Z461" s="1016">
        <f t="shared" si="63"/>
        <v>796.93</v>
      </c>
      <c r="AA461" s="58"/>
      <c r="AB461" s="58"/>
      <c r="AC461" s="58"/>
      <c r="AD461" s="58"/>
      <c r="AE461" s="58"/>
      <c r="AF461" s="58"/>
      <c r="AG461" s="58"/>
      <c r="AH461" s="58"/>
      <c r="AI461" s="58"/>
      <c r="AJ461" s="58"/>
      <c r="AK461" s="58"/>
      <c r="AL461" s="58"/>
      <c r="AM461" s="58"/>
      <c r="AN461" s="58"/>
      <c r="AO461" s="58"/>
      <c r="AP461" s="58"/>
      <c r="AQ461" s="546"/>
      <c r="AR461" s="546"/>
      <c r="AS461" s="546"/>
      <c r="AT461" s="546"/>
      <c r="AU461" s="546"/>
      <c r="AV461" s="546"/>
      <c r="AW461" s="546"/>
      <c r="AX461" s="546"/>
      <c r="AY461" s="546"/>
      <c r="AZ461" s="546"/>
      <c r="BA461" s="546"/>
      <c r="BB461" s="546"/>
      <c r="BC461" s="546"/>
    </row>
    <row r="462" spans="1:55" ht="12" hidden="1" thickBot="1">
      <c r="A462" s="522" t="s">
        <v>1361</v>
      </c>
      <c r="B462" s="522" t="s">
        <v>186</v>
      </c>
      <c r="C462" s="522" t="s">
        <v>1354</v>
      </c>
      <c r="D462" s="533" t="s">
        <v>18</v>
      </c>
      <c r="E462" s="524">
        <v>10840</v>
      </c>
      <c r="F462" s="525">
        <v>70</v>
      </c>
      <c r="G462" s="525">
        <v>635.44000000000005</v>
      </c>
      <c r="H462" s="525">
        <v>313.49</v>
      </c>
      <c r="I462" s="525">
        <v>51.06</v>
      </c>
      <c r="J462" s="526"/>
      <c r="K462" s="526"/>
      <c r="L462" s="525">
        <v>4.5599999999999996</v>
      </c>
      <c r="M462" s="525">
        <v>22.98</v>
      </c>
      <c r="N462" s="525">
        <v>0</v>
      </c>
      <c r="O462" s="525">
        <v>16.059999999999999</v>
      </c>
      <c r="P462" s="526"/>
      <c r="Q462" s="526"/>
      <c r="R462" s="525">
        <v>1113.5899999999999</v>
      </c>
      <c r="S462" s="527">
        <f t="shared" si="58"/>
        <v>999.99</v>
      </c>
      <c r="T462" s="528">
        <f t="shared" si="59"/>
        <v>0</v>
      </c>
      <c r="U462" s="527">
        <f t="shared" si="60"/>
        <v>16.059999999999999</v>
      </c>
      <c r="W462" s="326">
        <f t="shared" si="61"/>
        <v>1113.5899999999999</v>
      </c>
      <c r="X462" s="261">
        <f t="shared" si="62"/>
        <v>0</v>
      </c>
      <c r="Y462" s="546"/>
      <c r="Z462" s="1016">
        <f t="shared" si="63"/>
        <v>1069.99</v>
      </c>
      <c r="AA462" s="58"/>
      <c r="AB462" s="58"/>
      <c r="AC462" s="58"/>
      <c r="AD462" s="58"/>
      <c r="AE462" s="58"/>
      <c r="AF462" s="58"/>
      <c r="AG462" s="58"/>
      <c r="AH462" s="58"/>
      <c r="AI462" s="58"/>
      <c r="AJ462" s="58"/>
      <c r="AK462" s="58"/>
      <c r="AL462" s="58"/>
      <c r="AM462" s="58"/>
      <c r="AN462" s="58"/>
      <c r="AO462" s="58"/>
      <c r="AP462" s="58"/>
      <c r="AQ462" s="546"/>
      <c r="AR462" s="546"/>
      <c r="AS462" s="546"/>
      <c r="AT462" s="546"/>
      <c r="AU462" s="546"/>
      <c r="AV462" s="546"/>
      <c r="AW462" s="546"/>
      <c r="AX462" s="546"/>
      <c r="AY462" s="546"/>
      <c r="AZ462" s="546"/>
      <c r="BA462" s="546"/>
      <c r="BB462" s="546"/>
      <c r="BC462" s="546"/>
    </row>
    <row r="463" spans="1:55" ht="12" hidden="1" thickBot="1">
      <c r="A463" s="522" t="s">
        <v>1361</v>
      </c>
      <c r="B463" s="522" t="s">
        <v>750</v>
      </c>
      <c r="C463" s="522" t="s">
        <v>748</v>
      </c>
      <c r="D463" s="542" t="s">
        <v>749</v>
      </c>
      <c r="E463" s="532"/>
      <c r="F463" s="532"/>
      <c r="G463" s="532"/>
      <c r="H463" s="532"/>
      <c r="I463" s="532"/>
      <c r="J463" s="532"/>
      <c r="K463" s="532"/>
      <c r="L463" s="532"/>
      <c r="M463" s="532"/>
      <c r="N463" s="532"/>
      <c r="O463" s="532"/>
      <c r="P463" s="532"/>
      <c r="Q463" s="532"/>
      <c r="R463" s="532"/>
      <c r="S463" s="527">
        <f t="shared" si="58"/>
        <v>0</v>
      </c>
      <c r="T463" s="528">
        <f t="shared" si="59"/>
        <v>0</v>
      </c>
      <c r="U463" s="527">
        <f t="shared" si="60"/>
        <v>0</v>
      </c>
      <c r="W463" s="326">
        <f t="shared" si="61"/>
        <v>0</v>
      </c>
      <c r="X463" s="261">
        <f t="shared" si="62"/>
        <v>0</v>
      </c>
      <c r="Y463" s="546"/>
      <c r="Z463" s="1016">
        <f t="shared" si="63"/>
        <v>0</v>
      </c>
      <c r="AA463" s="58"/>
      <c r="AB463" s="58"/>
      <c r="AC463" s="58"/>
      <c r="AD463" s="58"/>
      <c r="AE463" s="58"/>
      <c r="AF463" s="58"/>
      <c r="AG463" s="58"/>
      <c r="AH463" s="58"/>
      <c r="AI463" s="58"/>
      <c r="AJ463" s="58"/>
      <c r="AK463" s="58"/>
      <c r="AL463" s="58"/>
      <c r="AM463" s="58"/>
      <c r="AN463" s="58"/>
      <c r="AO463" s="58"/>
      <c r="AP463" s="58"/>
      <c r="AQ463" s="546"/>
      <c r="AR463" s="546"/>
      <c r="AS463" s="546"/>
      <c r="AT463" s="546"/>
      <c r="AU463" s="546"/>
      <c r="AV463" s="546"/>
      <c r="AW463" s="546"/>
      <c r="AX463" s="546"/>
      <c r="AY463" s="546"/>
      <c r="AZ463" s="546"/>
      <c r="BA463" s="546"/>
      <c r="BB463" s="546"/>
      <c r="BC463" s="546"/>
    </row>
    <row r="464" spans="1:55" ht="12" hidden="1" thickBot="1">
      <c r="A464" s="522" t="s">
        <v>1361</v>
      </c>
      <c r="B464" s="522" t="s">
        <v>187</v>
      </c>
      <c r="C464" s="522" t="s">
        <v>457</v>
      </c>
      <c r="D464" s="542" t="s">
        <v>78</v>
      </c>
      <c r="E464" s="526"/>
      <c r="F464" s="526"/>
      <c r="G464" s="526"/>
      <c r="H464" s="526"/>
      <c r="I464" s="526"/>
      <c r="J464" s="526"/>
      <c r="K464" s="526"/>
      <c r="L464" s="526"/>
      <c r="M464" s="526"/>
      <c r="N464" s="526"/>
      <c r="O464" s="526"/>
      <c r="P464" s="525">
        <v>-939315.26</v>
      </c>
      <c r="Q464" s="526"/>
      <c r="R464" s="525">
        <v>-939315.26</v>
      </c>
      <c r="S464" s="527">
        <f t="shared" si="58"/>
        <v>0</v>
      </c>
      <c r="T464" s="528">
        <f t="shared" si="59"/>
        <v>0</v>
      </c>
      <c r="U464" s="527">
        <f t="shared" si="60"/>
        <v>0</v>
      </c>
      <c r="W464" s="326">
        <f t="shared" si="61"/>
        <v>-939315.26</v>
      </c>
      <c r="X464" s="261">
        <f t="shared" si="62"/>
        <v>0</v>
      </c>
      <c r="Y464" s="546"/>
      <c r="Z464" s="1016">
        <f t="shared" si="63"/>
        <v>0</v>
      </c>
      <c r="AA464" s="58"/>
      <c r="AB464" s="58"/>
      <c r="AC464" s="58"/>
      <c r="AD464" s="58"/>
      <c r="AE464" s="58"/>
      <c r="AF464" s="58"/>
      <c r="AG464" s="58"/>
      <c r="AH464" s="58"/>
      <c r="AI464" s="58"/>
      <c r="AJ464" s="58"/>
      <c r="AK464" s="58"/>
      <c r="AL464" s="58"/>
      <c r="AM464" s="58"/>
      <c r="AN464" s="58"/>
      <c r="AO464" s="58"/>
      <c r="AP464" s="58"/>
      <c r="AQ464" s="546"/>
      <c r="AR464" s="546"/>
      <c r="AS464" s="546"/>
      <c r="AT464" s="546"/>
      <c r="AU464" s="546"/>
      <c r="AV464" s="546"/>
      <c r="AW464" s="546"/>
      <c r="AX464" s="546"/>
      <c r="AY464" s="546"/>
      <c r="AZ464" s="546"/>
      <c r="BA464" s="546"/>
      <c r="BB464" s="546"/>
      <c r="BC464" s="546"/>
    </row>
    <row r="465" spans="1:55" ht="12" hidden="1" thickBot="1">
      <c r="A465" s="522" t="s">
        <v>1361</v>
      </c>
      <c r="B465" s="522" t="s">
        <v>188</v>
      </c>
      <c r="C465" s="522" t="s">
        <v>458</v>
      </c>
      <c r="D465" s="542" t="s">
        <v>78</v>
      </c>
      <c r="E465" s="532"/>
      <c r="F465" s="532"/>
      <c r="G465" s="532"/>
      <c r="H465" s="532"/>
      <c r="I465" s="532"/>
      <c r="J465" s="532"/>
      <c r="K465" s="532"/>
      <c r="L465" s="532"/>
      <c r="M465" s="532"/>
      <c r="N465" s="532"/>
      <c r="O465" s="532"/>
      <c r="P465" s="531">
        <v>-29651.77</v>
      </c>
      <c r="Q465" s="532"/>
      <c r="R465" s="531">
        <v>-29651.77</v>
      </c>
      <c r="S465" s="527">
        <f t="shared" si="58"/>
        <v>0</v>
      </c>
      <c r="T465" s="528">
        <f t="shared" si="59"/>
        <v>0</v>
      </c>
      <c r="U465" s="527">
        <f t="shared" si="60"/>
        <v>0</v>
      </c>
      <c r="W465" s="326">
        <f t="shared" si="61"/>
        <v>-29651.77</v>
      </c>
      <c r="X465" s="261">
        <f t="shared" si="62"/>
        <v>0</v>
      </c>
      <c r="Y465" s="546"/>
      <c r="Z465" s="1016">
        <f t="shared" si="63"/>
        <v>0</v>
      </c>
      <c r="AA465" s="58"/>
      <c r="AB465" s="58"/>
      <c r="AC465" s="58"/>
      <c r="AD465" s="58"/>
      <c r="AE465" s="58"/>
      <c r="AF465" s="58"/>
      <c r="AG465" s="58"/>
      <c r="AH465" s="58"/>
      <c r="AI465" s="58"/>
      <c r="AJ465" s="58"/>
      <c r="AK465" s="58"/>
      <c r="AL465" s="58"/>
      <c r="AM465" s="58"/>
      <c r="AN465" s="58"/>
      <c r="AO465" s="58"/>
      <c r="AP465" s="58"/>
      <c r="AQ465" s="546"/>
      <c r="AR465" s="546"/>
      <c r="AS465" s="546"/>
      <c r="AT465" s="546"/>
      <c r="AU465" s="546"/>
      <c r="AV465" s="546"/>
      <c r="AW465" s="546"/>
      <c r="AX465" s="546"/>
      <c r="AY465" s="546"/>
      <c r="AZ465" s="546"/>
      <c r="BA465" s="546"/>
      <c r="BB465" s="546"/>
      <c r="BC465" s="546"/>
    </row>
    <row r="466" spans="1:55" ht="12" hidden="1" thickBot="1">
      <c r="A466" s="522" t="s">
        <v>1361</v>
      </c>
      <c r="B466" s="522" t="s">
        <v>1358</v>
      </c>
      <c r="C466" s="522" t="s">
        <v>1359</v>
      </c>
      <c r="D466" s="542" t="s">
        <v>78</v>
      </c>
      <c r="E466" s="526"/>
      <c r="F466" s="526"/>
      <c r="G466" s="526"/>
      <c r="H466" s="526"/>
      <c r="I466" s="526"/>
      <c r="J466" s="526"/>
      <c r="K466" s="526"/>
      <c r="L466" s="526"/>
      <c r="M466" s="526"/>
      <c r="N466" s="526"/>
      <c r="O466" s="526"/>
      <c r="P466" s="525">
        <v>-20814.2</v>
      </c>
      <c r="Q466" s="526"/>
      <c r="R466" s="525">
        <v>-20814.2</v>
      </c>
      <c r="S466" s="527">
        <f t="shared" si="58"/>
        <v>0</v>
      </c>
      <c r="T466" s="528">
        <f t="shared" si="59"/>
        <v>0</v>
      </c>
      <c r="U466" s="527">
        <f t="shared" si="60"/>
        <v>0</v>
      </c>
      <c r="W466" s="326">
        <f t="shared" si="61"/>
        <v>-20814.2</v>
      </c>
      <c r="X466" s="261">
        <f t="shared" si="62"/>
        <v>0</v>
      </c>
      <c r="Y466" s="546"/>
      <c r="Z466" s="1016">
        <f t="shared" si="63"/>
        <v>0</v>
      </c>
      <c r="AA466" s="58"/>
      <c r="AB466" s="58"/>
      <c r="AC466" s="58"/>
      <c r="AD466" s="58"/>
      <c r="AE466" s="58"/>
      <c r="AF466" s="58"/>
      <c r="AG466" s="58"/>
      <c r="AH466" s="58"/>
      <c r="AI466" s="58"/>
      <c r="AJ466" s="58"/>
      <c r="AK466" s="58"/>
      <c r="AL466" s="58"/>
      <c r="AM466" s="58"/>
      <c r="AN466" s="58"/>
      <c r="AO466" s="58"/>
      <c r="AP466" s="58"/>
      <c r="AQ466" s="546"/>
      <c r="AR466" s="546"/>
      <c r="AS466" s="546"/>
      <c r="AT466" s="546"/>
      <c r="AU466" s="546"/>
      <c r="AV466" s="546"/>
      <c r="AW466" s="546"/>
      <c r="AX466" s="546"/>
      <c r="AY466" s="546"/>
      <c r="AZ466" s="546"/>
      <c r="BA466" s="546"/>
      <c r="BB466" s="546"/>
      <c r="BC466" s="546"/>
    </row>
    <row r="467" spans="1:55" ht="12" hidden="1" thickBot="1">
      <c r="A467" s="522" t="s">
        <v>1361</v>
      </c>
      <c r="B467" s="522" t="s">
        <v>1045</v>
      </c>
      <c r="C467" s="522" t="s">
        <v>1046</v>
      </c>
      <c r="D467" s="542"/>
      <c r="E467" s="532"/>
      <c r="F467" s="532"/>
      <c r="G467" s="532"/>
      <c r="H467" s="532"/>
      <c r="I467" s="532"/>
      <c r="J467" s="532"/>
      <c r="K467" s="532"/>
      <c r="L467" s="532"/>
      <c r="M467" s="532"/>
      <c r="N467" s="532"/>
      <c r="O467" s="532"/>
      <c r="P467" s="532">
        <v>-8800</v>
      </c>
      <c r="Q467" s="532"/>
      <c r="R467" s="532">
        <v>-8800</v>
      </c>
      <c r="S467" s="527">
        <f t="shared" si="58"/>
        <v>0</v>
      </c>
      <c r="T467" s="528">
        <f t="shared" si="59"/>
        <v>0</v>
      </c>
      <c r="U467" s="527">
        <f t="shared" si="60"/>
        <v>0</v>
      </c>
      <c r="W467" s="326">
        <f t="shared" si="61"/>
        <v>-8800</v>
      </c>
      <c r="X467" s="261">
        <f t="shared" si="62"/>
        <v>0</v>
      </c>
      <c r="Y467" s="546"/>
      <c r="Z467" s="1016">
        <f t="shared" si="63"/>
        <v>0</v>
      </c>
      <c r="AA467" s="58"/>
      <c r="AB467" s="58"/>
      <c r="AC467" s="58"/>
      <c r="AD467" s="58"/>
      <c r="AE467" s="58"/>
      <c r="AF467" s="58"/>
      <c r="AG467" s="58"/>
      <c r="AH467" s="58"/>
      <c r="AI467" s="58"/>
      <c r="AJ467" s="58"/>
      <c r="AK467" s="58"/>
      <c r="AL467" s="58"/>
      <c r="AM467" s="58"/>
      <c r="AN467" s="58"/>
      <c r="AO467" s="58"/>
      <c r="AP467" s="58"/>
      <c r="AQ467" s="546"/>
      <c r="AR467" s="546"/>
      <c r="AS467" s="546"/>
      <c r="AT467" s="546"/>
      <c r="AU467" s="546"/>
      <c r="AV467" s="546"/>
      <c r="AW467" s="546"/>
      <c r="AX467" s="546"/>
      <c r="AY467" s="546"/>
      <c r="AZ467" s="546"/>
      <c r="BA467" s="546"/>
      <c r="BB467" s="546"/>
      <c r="BC467" s="546"/>
    </row>
    <row r="468" spans="1:55" ht="12" hidden="1" thickBot="1">
      <c r="A468" s="522" t="s">
        <v>1361</v>
      </c>
      <c r="B468" s="522" t="s">
        <v>945</v>
      </c>
      <c r="C468" s="522" t="s">
        <v>946</v>
      </c>
      <c r="D468" s="542"/>
      <c r="E468" s="526"/>
      <c r="F468" s="526"/>
      <c r="G468" s="526"/>
      <c r="H468" s="526"/>
      <c r="I468" s="526"/>
      <c r="J468" s="526"/>
      <c r="K468" s="526"/>
      <c r="L468" s="526"/>
      <c r="M468" s="526"/>
      <c r="N468" s="526"/>
      <c r="O468" s="526"/>
      <c r="P468" s="526"/>
      <c r="Q468" s="526"/>
      <c r="R468" s="526"/>
      <c r="S468" s="527">
        <f t="shared" si="58"/>
        <v>0</v>
      </c>
      <c r="T468" s="528">
        <f t="shared" si="59"/>
        <v>0</v>
      </c>
      <c r="U468" s="527">
        <f t="shared" si="60"/>
        <v>0</v>
      </c>
      <c r="W468" s="326">
        <f t="shared" si="61"/>
        <v>0</v>
      </c>
      <c r="X468" s="261">
        <f t="shared" si="62"/>
        <v>0</v>
      </c>
      <c r="Y468" s="546"/>
      <c r="Z468" s="1016">
        <f t="shared" si="63"/>
        <v>0</v>
      </c>
      <c r="AA468" s="58"/>
      <c r="AB468" s="58"/>
      <c r="AC468" s="58"/>
      <c r="AD468" s="58"/>
      <c r="AE468" s="58"/>
      <c r="AF468" s="58"/>
      <c r="AG468" s="58"/>
      <c r="AH468" s="58"/>
      <c r="AI468" s="58"/>
      <c r="AJ468" s="58"/>
      <c r="AK468" s="58"/>
      <c r="AL468" s="58"/>
      <c r="AM468" s="58"/>
      <c r="AN468" s="58"/>
      <c r="AO468" s="58"/>
      <c r="AP468" s="58"/>
      <c r="AQ468" s="546"/>
      <c r="AR468" s="546"/>
      <c r="AS468" s="546"/>
      <c r="AT468" s="546"/>
      <c r="AU468" s="546"/>
      <c r="AV468" s="546"/>
      <c r="AW468" s="546"/>
      <c r="AX468" s="546"/>
      <c r="AY468" s="546"/>
      <c r="AZ468" s="546"/>
      <c r="BA468" s="546"/>
      <c r="BB468" s="546"/>
      <c r="BC468" s="546"/>
    </row>
    <row r="469" spans="1:55" ht="12" hidden="1" thickBot="1">
      <c r="A469" s="522" t="s">
        <v>1361</v>
      </c>
      <c r="B469" s="522" t="s">
        <v>947</v>
      </c>
      <c r="C469" s="522" t="s">
        <v>948</v>
      </c>
      <c r="D469" s="542" t="s">
        <v>28</v>
      </c>
      <c r="E469" s="530"/>
      <c r="F469" s="531"/>
      <c r="G469" s="531"/>
      <c r="H469" s="531"/>
      <c r="I469" s="532"/>
      <c r="J469" s="531"/>
      <c r="K469" s="531"/>
      <c r="L469" s="532"/>
      <c r="M469" s="531"/>
      <c r="N469" s="531"/>
      <c r="O469" s="531"/>
      <c r="P469" s="532"/>
      <c r="Q469" s="532"/>
      <c r="R469" s="531"/>
      <c r="S469" s="527">
        <f t="shared" si="58"/>
        <v>0</v>
      </c>
      <c r="T469" s="528">
        <f t="shared" si="59"/>
        <v>0</v>
      </c>
      <c r="U469" s="527">
        <f t="shared" si="60"/>
        <v>0</v>
      </c>
      <c r="W469" s="326">
        <f t="shared" si="61"/>
        <v>0</v>
      </c>
      <c r="X469" s="261">
        <f t="shared" si="62"/>
        <v>0</v>
      </c>
      <c r="Y469" s="546"/>
      <c r="Z469" s="1016">
        <f t="shared" si="63"/>
        <v>0</v>
      </c>
      <c r="AA469" s="58"/>
      <c r="AB469" s="58"/>
      <c r="AC469" s="58"/>
      <c r="AD469" s="58"/>
      <c r="AE469" s="58"/>
      <c r="AF469" s="58"/>
      <c r="AG469" s="58"/>
      <c r="AH469" s="58"/>
      <c r="AI469" s="58"/>
      <c r="AJ469" s="58"/>
      <c r="AK469" s="58"/>
      <c r="AL469" s="58"/>
      <c r="AM469" s="58"/>
      <c r="AN469" s="58"/>
      <c r="AO469" s="58"/>
      <c r="AP469" s="58"/>
      <c r="AQ469" s="546"/>
      <c r="AR469" s="546"/>
      <c r="AS469" s="546"/>
      <c r="AT469" s="546"/>
      <c r="AU469" s="546"/>
      <c r="AV469" s="546"/>
      <c r="AW469" s="546"/>
      <c r="AX469" s="546"/>
      <c r="AY469" s="546"/>
      <c r="AZ469" s="546"/>
      <c r="BA469" s="546"/>
      <c r="BB469" s="546"/>
      <c r="BC469" s="546"/>
    </row>
    <row r="470" spans="1:55" ht="12" hidden="1" thickBot="1">
      <c r="A470" s="522" t="s">
        <v>1361</v>
      </c>
      <c r="B470" s="522" t="s">
        <v>189</v>
      </c>
      <c r="C470" s="522" t="s">
        <v>208</v>
      </c>
      <c r="D470" s="533" t="s">
        <v>675</v>
      </c>
      <c r="E470" s="524">
        <v>49896000</v>
      </c>
      <c r="F470" s="526">
        <v>750</v>
      </c>
      <c r="G470" s="525">
        <v>184116.24</v>
      </c>
      <c r="H470" s="526">
        <v>1442992.32</v>
      </c>
      <c r="I470" s="526"/>
      <c r="J470" s="526">
        <v>53950.080000000002</v>
      </c>
      <c r="K470" s="525">
        <v>727665.78</v>
      </c>
      <c r="L470" s="526"/>
      <c r="M470" s="525">
        <v>105779.52</v>
      </c>
      <c r="N470" s="526">
        <v>0</v>
      </c>
      <c r="O470" s="526">
        <v>20392.77</v>
      </c>
      <c r="P470" s="526"/>
      <c r="Q470" s="526"/>
      <c r="R470" s="525">
        <v>2535646.71</v>
      </c>
      <c r="S470" s="527">
        <f t="shared" si="58"/>
        <v>1627108.56</v>
      </c>
      <c r="T470" s="528">
        <f t="shared" si="59"/>
        <v>781615.86</v>
      </c>
      <c r="U470" s="527">
        <f t="shared" si="60"/>
        <v>20392.77</v>
      </c>
      <c r="W470" s="326">
        <f t="shared" si="61"/>
        <v>2535646.71</v>
      </c>
      <c r="X470" s="261">
        <f t="shared" si="62"/>
        <v>0</v>
      </c>
      <c r="Y470" s="546"/>
      <c r="Z470" s="1016">
        <f t="shared" si="63"/>
        <v>2409474.42</v>
      </c>
      <c r="AA470" s="58"/>
      <c r="AB470" s="58"/>
      <c r="AC470" s="58"/>
      <c r="AD470" s="58"/>
      <c r="AE470" s="58"/>
      <c r="AF470" s="58"/>
      <c r="AG470" s="58"/>
      <c r="AH470" s="58"/>
      <c r="AI470" s="58"/>
      <c r="AJ470" s="58"/>
      <c r="AK470" s="58"/>
      <c r="AL470" s="58"/>
      <c r="AM470" s="58"/>
      <c r="AN470" s="58"/>
      <c r="AO470" s="58"/>
      <c r="AP470" s="58"/>
      <c r="AQ470" s="546"/>
      <c r="AR470" s="546"/>
      <c r="AS470" s="546"/>
      <c r="AT470" s="546"/>
      <c r="AU470" s="546"/>
      <c r="AV470" s="546"/>
      <c r="AW470" s="546"/>
      <c r="AX470" s="546"/>
      <c r="AY470" s="546"/>
      <c r="AZ470" s="546"/>
      <c r="BA470" s="546"/>
      <c r="BB470" s="546"/>
      <c r="BC470" s="546"/>
    </row>
    <row r="471" spans="1:55" ht="12" hidden="1" thickBot="1">
      <c r="A471" s="522" t="s">
        <v>1361</v>
      </c>
      <c r="B471" s="522" t="s">
        <v>209</v>
      </c>
      <c r="C471" s="522" t="s">
        <v>210</v>
      </c>
      <c r="D471" s="533" t="s">
        <v>459</v>
      </c>
      <c r="E471" s="530">
        <v>46354000</v>
      </c>
      <c r="F471" s="532"/>
      <c r="G471" s="531">
        <v>1396659.93</v>
      </c>
      <c r="H471" s="532"/>
      <c r="I471" s="532"/>
      <c r="J471" s="532"/>
      <c r="K471" s="531">
        <v>1137713.99</v>
      </c>
      <c r="L471" s="532"/>
      <c r="M471" s="531">
        <v>295738.53000000003</v>
      </c>
      <c r="N471" s="532"/>
      <c r="O471" s="532"/>
      <c r="P471" s="532"/>
      <c r="Q471" s="532"/>
      <c r="R471" s="531">
        <v>2945073.47</v>
      </c>
      <c r="S471" s="527">
        <f t="shared" si="58"/>
        <v>1396659.93</v>
      </c>
      <c r="T471" s="528">
        <f t="shared" si="59"/>
        <v>1137713.99</v>
      </c>
      <c r="U471" s="527">
        <f t="shared" si="60"/>
        <v>0</v>
      </c>
      <c r="W471" s="326">
        <f t="shared" si="61"/>
        <v>2830112.45</v>
      </c>
      <c r="X471" s="261">
        <f t="shared" si="62"/>
        <v>-114961.02000000002</v>
      </c>
      <c r="Y471" s="546"/>
      <c r="Z471" s="1016">
        <f t="shared" si="63"/>
        <v>2534373.92</v>
      </c>
      <c r="AA471" s="58"/>
      <c r="AB471" s="58"/>
      <c r="AC471" s="58"/>
      <c r="AD471" s="58"/>
      <c r="AE471" s="58"/>
      <c r="AF471" s="58"/>
      <c r="AG471" s="58"/>
      <c r="AH471" s="58"/>
      <c r="AI471" s="58"/>
      <c r="AJ471" s="58"/>
      <c r="AK471" s="58"/>
      <c r="AL471" s="58"/>
      <c r="AM471" s="58"/>
      <c r="AN471" s="58"/>
      <c r="AO471" s="58"/>
      <c r="AP471" s="58"/>
      <c r="AQ471" s="546"/>
      <c r="AR471" s="546"/>
      <c r="AS471" s="546"/>
      <c r="AT471" s="546"/>
      <c r="AU471" s="546"/>
      <c r="AV471" s="546"/>
      <c r="AW471" s="546"/>
      <c r="AX471" s="546"/>
      <c r="AY471" s="546"/>
      <c r="AZ471" s="546"/>
      <c r="BA471" s="546"/>
      <c r="BB471" s="546"/>
      <c r="BC471" s="546"/>
    </row>
    <row r="472" spans="1:55" ht="12" hidden="1" thickBot="1">
      <c r="A472" s="522" t="s">
        <v>1361</v>
      </c>
      <c r="B472" s="522" t="s">
        <v>211</v>
      </c>
      <c r="C472" s="522" t="s">
        <v>212</v>
      </c>
      <c r="D472" s="542" t="s">
        <v>459</v>
      </c>
      <c r="E472" s="524">
        <v>104332522</v>
      </c>
      <c r="F472" s="526"/>
      <c r="G472" s="525">
        <v>3137685.84</v>
      </c>
      <c r="H472" s="526"/>
      <c r="I472" s="526"/>
      <c r="J472" s="526"/>
      <c r="K472" s="525">
        <v>2875782.98</v>
      </c>
      <c r="L472" s="526"/>
      <c r="M472" s="525">
        <v>659381.54</v>
      </c>
      <c r="N472" s="526"/>
      <c r="O472" s="526"/>
      <c r="P472" s="526"/>
      <c r="Q472" s="526"/>
      <c r="R472" s="525">
        <v>6983342.8600000003</v>
      </c>
      <c r="S472" s="527">
        <f t="shared" si="58"/>
        <v>3137685.84</v>
      </c>
      <c r="T472" s="528">
        <f t="shared" si="59"/>
        <v>2875782.98</v>
      </c>
      <c r="U472" s="527">
        <f t="shared" si="60"/>
        <v>0</v>
      </c>
      <c r="W472" s="326">
        <f t="shared" si="61"/>
        <v>6672850.3600000003</v>
      </c>
      <c r="X472" s="261">
        <f t="shared" si="62"/>
        <v>-310492.5</v>
      </c>
      <c r="Y472" s="546"/>
      <c r="Z472" s="1016">
        <f t="shared" si="63"/>
        <v>6013468.8200000003</v>
      </c>
      <c r="AA472" s="58"/>
      <c r="AB472" s="58"/>
      <c r="AC472" s="58"/>
      <c r="AD472" s="58"/>
      <c r="AE472" s="58"/>
      <c r="AF472" s="58"/>
      <c r="AG472" s="58"/>
      <c r="AH472" s="58"/>
      <c r="AI472" s="58"/>
      <c r="AJ472" s="58"/>
      <c r="AK472" s="58"/>
      <c r="AL472" s="58"/>
      <c r="AM472" s="58"/>
      <c r="AN472" s="58"/>
      <c r="AO472" s="58"/>
      <c r="AP472" s="58"/>
      <c r="AQ472" s="546"/>
      <c r="AR472" s="546"/>
      <c r="AS472" s="546"/>
      <c r="AT472" s="546"/>
      <c r="AU472" s="546"/>
      <c r="AV472" s="546"/>
      <c r="AW472" s="546"/>
      <c r="AX472" s="546"/>
      <c r="AY472" s="546"/>
      <c r="AZ472" s="546"/>
      <c r="BA472" s="546"/>
      <c r="BB472" s="546"/>
      <c r="BC472" s="546"/>
    </row>
    <row r="473" spans="1:55" ht="12" hidden="1" thickBot="1">
      <c r="A473" s="522" t="s">
        <v>1361</v>
      </c>
      <c r="B473" s="522" t="s">
        <v>213</v>
      </c>
      <c r="C473" s="522" t="s">
        <v>214</v>
      </c>
      <c r="D473" s="523"/>
      <c r="E473" s="532">
        <v>5600272</v>
      </c>
      <c r="F473" s="532"/>
      <c r="G473" s="532">
        <v>168422.02</v>
      </c>
      <c r="H473" s="532"/>
      <c r="I473" s="532"/>
      <c r="J473" s="532"/>
      <c r="K473" s="532">
        <v>99612.99</v>
      </c>
      <c r="L473" s="532"/>
      <c r="M473" s="532">
        <v>35393.72</v>
      </c>
      <c r="N473" s="532"/>
      <c r="O473" s="532"/>
      <c r="P473" s="532"/>
      <c r="Q473" s="532"/>
      <c r="R473" s="532">
        <v>322666.58</v>
      </c>
      <c r="S473" s="527">
        <f t="shared" si="58"/>
        <v>168422.02</v>
      </c>
      <c r="T473" s="528">
        <f t="shared" si="59"/>
        <v>99612.99</v>
      </c>
      <c r="U473" s="527">
        <f t="shared" si="60"/>
        <v>0</v>
      </c>
      <c r="W473" s="326">
        <f t="shared" si="61"/>
        <v>303428.73</v>
      </c>
      <c r="X473" s="261">
        <f t="shared" si="62"/>
        <v>-19237.850000000035</v>
      </c>
      <c r="Y473" s="546"/>
      <c r="Z473" s="1016">
        <f t="shared" si="63"/>
        <v>268035.01</v>
      </c>
      <c r="AA473" s="58"/>
      <c r="AB473" s="58"/>
      <c r="AC473" s="58"/>
      <c r="AD473" s="58"/>
      <c r="AE473" s="58"/>
      <c r="AF473" s="58"/>
      <c r="AG473" s="58"/>
      <c r="AH473" s="58"/>
      <c r="AI473" s="58"/>
      <c r="AJ473" s="58"/>
      <c r="AK473" s="58"/>
      <c r="AL473" s="58"/>
      <c r="AM473" s="58"/>
      <c r="AN473" s="58"/>
      <c r="AO473" s="58"/>
      <c r="AP473" s="58"/>
      <c r="AQ473" s="546"/>
      <c r="AR473" s="546"/>
      <c r="AS473" s="546"/>
      <c r="AT473" s="546"/>
      <c r="AU473" s="546"/>
      <c r="AV473" s="546"/>
      <c r="AW473" s="546"/>
      <c r="AX473" s="546"/>
      <c r="AY473" s="546"/>
      <c r="AZ473" s="546"/>
      <c r="BA473" s="546"/>
      <c r="BB473" s="546"/>
      <c r="BC473" s="546"/>
    </row>
    <row r="474" spans="1:55" ht="12" hidden="1" thickBot="1">
      <c r="A474" s="522" t="s">
        <v>1361</v>
      </c>
      <c r="B474" s="522" t="s">
        <v>949</v>
      </c>
      <c r="C474" s="522" t="s">
        <v>943</v>
      </c>
      <c r="D474" s="523" t="s">
        <v>15</v>
      </c>
      <c r="E474" s="524"/>
      <c r="F474" s="525"/>
      <c r="G474" s="525"/>
      <c r="H474" s="525"/>
      <c r="I474" s="525"/>
      <c r="J474" s="526"/>
      <c r="K474" s="526"/>
      <c r="L474" s="525"/>
      <c r="M474" s="525"/>
      <c r="N474" s="525"/>
      <c r="O474" s="526"/>
      <c r="P474" s="526"/>
      <c r="Q474" s="525"/>
      <c r="R474" s="525"/>
      <c r="S474" s="527">
        <f t="shared" si="58"/>
        <v>0</v>
      </c>
      <c r="T474" s="528">
        <f t="shared" si="59"/>
        <v>0</v>
      </c>
      <c r="U474" s="527">
        <f t="shared" si="60"/>
        <v>0</v>
      </c>
      <c r="W474" s="326">
        <f t="shared" si="61"/>
        <v>0</v>
      </c>
      <c r="X474" s="261">
        <f t="shared" si="62"/>
        <v>0</v>
      </c>
      <c r="Y474" s="546"/>
      <c r="Z474" s="1016">
        <f t="shared" si="63"/>
        <v>0</v>
      </c>
      <c r="AA474" s="58"/>
      <c r="AB474" s="58"/>
      <c r="AC474" s="58"/>
      <c r="AD474" s="58"/>
      <c r="AE474" s="58"/>
      <c r="AF474" s="58"/>
      <c r="AG474" s="58"/>
      <c r="AH474" s="58"/>
      <c r="AI474" s="58"/>
      <c r="AJ474" s="58"/>
      <c r="AK474" s="58"/>
      <c r="AL474" s="58"/>
      <c r="AM474" s="58"/>
      <c r="AN474" s="58"/>
      <c r="AO474" s="58"/>
      <c r="AP474" s="58"/>
      <c r="AQ474" s="546"/>
      <c r="AR474" s="546"/>
      <c r="AS474" s="546"/>
      <c r="AT474" s="546"/>
      <c r="AU474" s="546"/>
      <c r="AV474" s="546"/>
      <c r="AW474" s="546"/>
      <c r="AX474" s="546"/>
      <c r="AY474" s="546"/>
      <c r="AZ474" s="546"/>
      <c r="BA474" s="546"/>
      <c r="BB474" s="546"/>
      <c r="BC474" s="546"/>
    </row>
    <row r="475" spans="1:55" ht="12" hidden="1" thickBot="1">
      <c r="A475" s="522" t="s">
        <v>1361</v>
      </c>
      <c r="B475" s="522" t="s">
        <v>190</v>
      </c>
      <c r="C475" s="522" t="s">
        <v>111</v>
      </c>
      <c r="D475" s="533" t="s">
        <v>15</v>
      </c>
      <c r="E475" s="530">
        <v>189776294</v>
      </c>
      <c r="F475" s="531">
        <v>2451908.06</v>
      </c>
      <c r="G475" s="531">
        <v>8609969.5800000001</v>
      </c>
      <c r="H475" s="531">
        <v>5488109.96</v>
      </c>
      <c r="I475" s="531">
        <v>597846.78</v>
      </c>
      <c r="J475" s="532"/>
      <c r="K475" s="532"/>
      <c r="L475" s="531">
        <v>747593.82</v>
      </c>
      <c r="M475" s="531">
        <v>402398.45</v>
      </c>
      <c r="N475" s="531">
        <v>223360.57</v>
      </c>
      <c r="O475" s="532"/>
      <c r="P475" s="532"/>
      <c r="Q475" s="532">
        <v>0</v>
      </c>
      <c r="R475" s="531">
        <v>18521187.219999999</v>
      </c>
      <c r="S475" s="527">
        <f t="shared" si="58"/>
        <v>14695926.319999998</v>
      </c>
      <c r="T475" s="528">
        <f t="shared" si="59"/>
        <v>0</v>
      </c>
      <c r="U475" s="527">
        <f t="shared" si="60"/>
        <v>223360.57</v>
      </c>
      <c r="W475" s="326">
        <f t="shared" si="61"/>
        <v>18521187.220000003</v>
      </c>
      <c r="X475" s="261">
        <f t="shared" si="62"/>
        <v>0</v>
      </c>
      <c r="Y475" s="546"/>
      <c r="Z475" s="1016">
        <f t="shared" si="63"/>
        <v>17147834.380000003</v>
      </c>
      <c r="AA475" s="58"/>
      <c r="AB475" s="58"/>
      <c r="AC475" s="58"/>
      <c r="AD475" s="58"/>
      <c r="AE475" s="58"/>
      <c r="AF475" s="58"/>
      <c r="AG475" s="58"/>
      <c r="AH475" s="58"/>
      <c r="AI475" s="58"/>
      <c r="AJ475" s="58"/>
      <c r="AK475" s="58"/>
      <c r="AL475" s="58"/>
      <c r="AM475" s="58"/>
      <c r="AN475" s="58"/>
      <c r="AO475" s="58"/>
      <c r="AP475" s="58"/>
      <c r="AQ475" s="546"/>
      <c r="AR475" s="546"/>
      <c r="AS475" s="546"/>
      <c r="AT475" s="546"/>
      <c r="AU475" s="546"/>
      <c r="AV475" s="546"/>
      <c r="AW475" s="546"/>
      <c r="AX475" s="546"/>
      <c r="AY475" s="546"/>
      <c r="AZ475" s="546"/>
      <c r="BA475" s="546"/>
      <c r="BB475" s="546"/>
      <c r="BC475" s="546"/>
    </row>
    <row r="476" spans="1:55" ht="12" hidden="1" thickBot="1">
      <c r="A476" s="522" t="s">
        <v>1361</v>
      </c>
      <c r="B476" s="522" t="s">
        <v>191</v>
      </c>
      <c r="C476" s="522" t="s">
        <v>215</v>
      </c>
      <c r="D476" s="533" t="s">
        <v>15</v>
      </c>
      <c r="E476" s="524">
        <v>235356677</v>
      </c>
      <c r="F476" s="525">
        <v>2083162.31</v>
      </c>
      <c r="G476" s="525">
        <v>10678105.07</v>
      </c>
      <c r="H476" s="525">
        <v>6806505.2699999996</v>
      </c>
      <c r="I476" s="525">
        <v>741343.58</v>
      </c>
      <c r="J476" s="526"/>
      <c r="K476" s="526"/>
      <c r="L476" s="525">
        <v>927059.09</v>
      </c>
      <c r="M476" s="525">
        <v>499560.3</v>
      </c>
      <c r="N476" s="525">
        <v>265320.93</v>
      </c>
      <c r="O476" s="526"/>
      <c r="P476" s="526"/>
      <c r="Q476" s="526"/>
      <c r="R476" s="525">
        <v>22001056.550000001</v>
      </c>
      <c r="S476" s="527">
        <f t="shared" si="58"/>
        <v>18225953.919999998</v>
      </c>
      <c r="T476" s="528">
        <f t="shared" si="59"/>
        <v>0</v>
      </c>
      <c r="U476" s="527">
        <f t="shared" si="60"/>
        <v>265320.93</v>
      </c>
      <c r="W476" s="326">
        <f t="shared" si="61"/>
        <v>22001056.549999997</v>
      </c>
      <c r="X476" s="261">
        <f t="shared" si="62"/>
        <v>0</v>
      </c>
      <c r="Y476" s="546"/>
      <c r="Z476" s="1016">
        <f t="shared" si="63"/>
        <v>20309116.229999997</v>
      </c>
      <c r="AA476" s="58"/>
      <c r="AB476" s="58"/>
      <c r="AC476" s="58"/>
      <c r="AD476" s="58"/>
      <c r="AE476" s="58"/>
      <c r="AF476" s="58"/>
      <c r="AG476" s="58"/>
      <c r="AH476" s="58"/>
      <c r="AI476" s="58"/>
      <c r="AJ476" s="58"/>
      <c r="AK476" s="58"/>
      <c r="AL476" s="58"/>
      <c r="AM476" s="58"/>
      <c r="AN476" s="58"/>
      <c r="AO476" s="58"/>
      <c r="AP476" s="58"/>
      <c r="AQ476" s="546"/>
      <c r="AR476" s="546"/>
      <c r="AS476" s="546"/>
      <c r="AT476" s="546"/>
      <c r="AU476" s="546"/>
      <c r="AV476" s="546"/>
      <c r="AW476" s="546"/>
      <c r="AX476" s="546"/>
      <c r="AY476" s="546"/>
      <c r="AZ476" s="546"/>
      <c r="BA476" s="546"/>
      <c r="BB476" s="546"/>
      <c r="BC476" s="546"/>
    </row>
    <row r="477" spans="1:55" ht="12" hidden="1" thickBot="1">
      <c r="A477" s="522" t="s">
        <v>1361</v>
      </c>
      <c r="B477" s="522" t="s">
        <v>192</v>
      </c>
      <c r="C477" s="522" t="s">
        <v>216</v>
      </c>
      <c r="D477" s="533" t="s">
        <v>15</v>
      </c>
      <c r="E477" s="530">
        <v>458458</v>
      </c>
      <c r="F477" s="531">
        <v>2699.33</v>
      </c>
      <c r="G477" s="531">
        <v>20800.330000000002</v>
      </c>
      <c r="H477" s="531">
        <v>13258.58</v>
      </c>
      <c r="I477" s="531">
        <v>1444.12</v>
      </c>
      <c r="J477" s="532"/>
      <c r="K477" s="532"/>
      <c r="L477" s="531">
        <v>1784.81</v>
      </c>
      <c r="M477" s="531">
        <v>1019.68</v>
      </c>
      <c r="N477" s="531">
        <v>515.69000000000005</v>
      </c>
      <c r="O477" s="532"/>
      <c r="P477" s="532"/>
      <c r="Q477" s="532"/>
      <c r="R477" s="531">
        <v>41522.54</v>
      </c>
      <c r="S477" s="527">
        <f t="shared" si="58"/>
        <v>35503.030000000006</v>
      </c>
      <c r="T477" s="528">
        <f t="shared" si="59"/>
        <v>0</v>
      </c>
      <c r="U477" s="527">
        <f t="shared" si="60"/>
        <v>515.69000000000005</v>
      </c>
      <c r="W477" s="326">
        <f t="shared" si="61"/>
        <v>41522.540000000008</v>
      </c>
      <c r="X477" s="261">
        <f t="shared" si="62"/>
        <v>0</v>
      </c>
      <c r="Y477" s="546"/>
      <c r="Z477" s="1016">
        <f t="shared" si="63"/>
        <v>38202.360000000008</v>
      </c>
      <c r="AA477" s="58"/>
      <c r="AB477" s="58"/>
      <c r="AC477" s="58"/>
      <c r="AD477" s="58"/>
      <c r="AE477" s="58"/>
      <c r="AF477" s="58"/>
      <c r="AG477" s="58"/>
      <c r="AH477" s="58"/>
      <c r="AI477" s="58"/>
      <c r="AJ477" s="58"/>
      <c r="AK477" s="58"/>
      <c r="AL477" s="58"/>
      <c r="AM477" s="58"/>
      <c r="AN477" s="58"/>
      <c r="AO477" s="58"/>
      <c r="AP477" s="58"/>
      <c r="AQ477" s="546"/>
      <c r="AR477" s="546"/>
      <c r="AS477" s="546"/>
      <c r="AT477" s="546"/>
      <c r="AU477" s="546"/>
      <c r="AV477" s="546"/>
      <c r="AW477" s="546"/>
      <c r="AX477" s="546"/>
      <c r="AY477" s="546"/>
      <c r="AZ477" s="546"/>
      <c r="BA477" s="546"/>
      <c r="BB477" s="546"/>
      <c r="BC477" s="546"/>
    </row>
    <row r="478" spans="1:55" ht="12" hidden="1" thickBot="1">
      <c r="A478" s="522" t="s">
        <v>1361</v>
      </c>
      <c r="B478" s="522" t="s">
        <v>477</v>
      </c>
      <c r="C478" s="522" t="s">
        <v>1263</v>
      </c>
      <c r="D478" s="542" t="s">
        <v>807</v>
      </c>
      <c r="E478" s="524">
        <v>5321</v>
      </c>
      <c r="F478" s="525">
        <v>53.75</v>
      </c>
      <c r="G478" s="525">
        <v>219.68</v>
      </c>
      <c r="H478" s="525">
        <v>153.9</v>
      </c>
      <c r="I478" s="525">
        <v>16.77</v>
      </c>
      <c r="J478" s="526"/>
      <c r="K478" s="526"/>
      <c r="L478" s="525">
        <v>20.96</v>
      </c>
      <c r="M478" s="525">
        <v>11.28</v>
      </c>
      <c r="N478" s="525">
        <v>5.81</v>
      </c>
      <c r="O478" s="526"/>
      <c r="P478" s="526"/>
      <c r="Q478" s="526"/>
      <c r="R478" s="525">
        <v>482.15</v>
      </c>
      <c r="S478" s="527">
        <f t="shared" si="58"/>
        <v>390.35</v>
      </c>
      <c r="T478" s="528">
        <f t="shared" si="59"/>
        <v>0</v>
      </c>
      <c r="U478" s="527">
        <f t="shared" si="60"/>
        <v>5.81</v>
      </c>
      <c r="W478" s="326">
        <f t="shared" si="61"/>
        <v>482.15</v>
      </c>
      <c r="X478" s="261">
        <f t="shared" si="62"/>
        <v>0</v>
      </c>
      <c r="Y478" s="546"/>
      <c r="Z478" s="1016">
        <f t="shared" si="63"/>
        <v>444.1</v>
      </c>
      <c r="AA478" s="58"/>
      <c r="AB478" s="58"/>
      <c r="AC478" s="58"/>
      <c r="AD478" s="58"/>
      <c r="AE478" s="58"/>
      <c r="AF478" s="58"/>
      <c r="AG478" s="58"/>
      <c r="AH478" s="58"/>
      <c r="AI478" s="58"/>
      <c r="AJ478" s="58"/>
      <c r="AK478" s="58"/>
      <c r="AL478" s="58"/>
      <c r="AM478" s="58"/>
      <c r="AN478" s="58"/>
      <c r="AO478" s="58"/>
      <c r="AP478" s="58"/>
      <c r="AQ478" s="546"/>
      <c r="AR478" s="546"/>
      <c r="AS478" s="546"/>
      <c r="AT478" s="546"/>
      <c r="AU478" s="546"/>
      <c r="AV478" s="546"/>
      <c r="AW478" s="546"/>
      <c r="AX478" s="546"/>
      <c r="AY478" s="546"/>
      <c r="AZ478" s="546"/>
      <c r="BA478" s="546"/>
      <c r="BB478" s="546"/>
      <c r="BC478" s="546"/>
    </row>
    <row r="479" spans="1:55" ht="12" hidden="1" thickBot="1">
      <c r="A479" s="522" t="s">
        <v>1361</v>
      </c>
      <c r="B479" s="522" t="s">
        <v>193</v>
      </c>
      <c r="C479" s="522" t="s">
        <v>217</v>
      </c>
      <c r="D479" s="533" t="s">
        <v>15</v>
      </c>
      <c r="E479" s="530">
        <v>79474</v>
      </c>
      <c r="F479" s="531">
        <v>526.75</v>
      </c>
      <c r="G479" s="531">
        <v>3605.73</v>
      </c>
      <c r="H479" s="531">
        <v>2298.41</v>
      </c>
      <c r="I479" s="531">
        <v>250.33</v>
      </c>
      <c r="J479" s="532"/>
      <c r="K479" s="532"/>
      <c r="L479" s="531">
        <v>310.82</v>
      </c>
      <c r="M479" s="531">
        <v>173.7</v>
      </c>
      <c r="N479" s="531">
        <v>89.12</v>
      </c>
      <c r="O479" s="532"/>
      <c r="P479" s="532"/>
      <c r="Q479" s="532"/>
      <c r="R479" s="531">
        <v>7254.86</v>
      </c>
      <c r="S479" s="527">
        <f t="shared" si="58"/>
        <v>6154.4699999999993</v>
      </c>
      <c r="T479" s="528">
        <f t="shared" si="59"/>
        <v>0</v>
      </c>
      <c r="U479" s="527">
        <f t="shared" si="60"/>
        <v>89.12</v>
      </c>
      <c r="W479" s="326">
        <f t="shared" si="61"/>
        <v>7254.8599999999988</v>
      </c>
      <c r="X479" s="261">
        <f t="shared" si="62"/>
        <v>0</v>
      </c>
      <c r="Y479" s="546"/>
      <c r="Z479" s="1016">
        <f t="shared" si="63"/>
        <v>6681.2199999999993</v>
      </c>
      <c r="AA479" s="58"/>
      <c r="AB479" s="58"/>
      <c r="AC479" s="58"/>
      <c r="AD479" s="58"/>
      <c r="AE479" s="58"/>
      <c r="AF479" s="58"/>
      <c r="AG479" s="58"/>
      <c r="AH479" s="58"/>
      <c r="AI479" s="58"/>
      <c r="AJ479" s="58"/>
      <c r="AK479" s="58"/>
      <c r="AL479" s="58"/>
      <c r="AM479" s="58"/>
      <c r="AN479" s="58"/>
      <c r="AO479" s="58"/>
      <c r="AP479" s="58"/>
      <c r="AQ479" s="546"/>
      <c r="AR479" s="546"/>
      <c r="AS479" s="546"/>
      <c r="AT479" s="546"/>
      <c r="AU479" s="546"/>
      <c r="AV479" s="546"/>
      <c r="AW479" s="546"/>
      <c r="AX479" s="546"/>
      <c r="AY479" s="546"/>
      <c r="AZ479" s="546"/>
      <c r="BA479" s="546"/>
      <c r="BB479" s="546"/>
      <c r="BC479" s="546"/>
    </row>
    <row r="480" spans="1:55" ht="12" hidden="1" thickBot="1">
      <c r="A480" s="522" t="s">
        <v>1361</v>
      </c>
      <c r="B480" s="522" t="s">
        <v>194</v>
      </c>
      <c r="C480" s="522" t="s">
        <v>218</v>
      </c>
      <c r="D480" s="533" t="s">
        <v>15</v>
      </c>
      <c r="E480" s="526">
        <v>52164</v>
      </c>
      <c r="F480" s="526">
        <v>559</v>
      </c>
      <c r="G480" s="526">
        <v>2366.69</v>
      </c>
      <c r="H480" s="526">
        <v>1508.58</v>
      </c>
      <c r="I480" s="526">
        <v>164.3</v>
      </c>
      <c r="J480" s="526"/>
      <c r="K480" s="526"/>
      <c r="L480" s="526">
        <v>205.53</v>
      </c>
      <c r="M480" s="526">
        <v>110.58</v>
      </c>
      <c r="N480" s="526">
        <v>59.93</v>
      </c>
      <c r="O480" s="526"/>
      <c r="P480" s="526"/>
      <c r="Q480" s="526"/>
      <c r="R480" s="526">
        <v>4974.6099999999997</v>
      </c>
      <c r="S480" s="527">
        <f t="shared" si="58"/>
        <v>4039.57</v>
      </c>
      <c r="T480" s="528">
        <f t="shared" si="59"/>
        <v>0</v>
      </c>
      <c r="U480" s="527">
        <f t="shared" si="60"/>
        <v>59.93</v>
      </c>
      <c r="W480" s="326">
        <f t="shared" si="61"/>
        <v>4974.6100000000006</v>
      </c>
      <c r="X480" s="261">
        <f t="shared" si="62"/>
        <v>0</v>
      </c>
      <c r="Y480" s="546"/>
      <c r="Z480" s="1016">
        <f t="shared" si="63"/>
        <v>4598.5700000000006</v>
      </c>
      <c r="AA480" s="58"/>
      <c r="AB480" s="58"/>
      <c r="AC480" s="58"/>
      <c r="AD480" s="58"/>
      <c r="AE480" s="58"/>
      <c r="AF480" s="58"/>
      <c r="AG480" s="58"/>
      <c r="AH480" s="58"/>
      <c r="AI480" s="58"/>
      <c r="AJ480" s="58"/>
      <c r="AK480" s="58"/>
      <c r="AL480" s="58"/>
      <c r="AM480" s="58"/>
      <c r="AN480" s="58"/>
      <c r="AO480" s="58"/>
      <c r="AP480" s="58"/>
      <c r="AQ480" s="546"/>
      <c r="AR480" s="546"/>
      <c r="AS480" s="546"/>
      <c r="AT480" s="546"/>
      <c r="AU480" s="546"/>
      <c r="AV480" s="546"/>
      <c r="AW480" s="546"/>
      <c r="AX480" s="546"/>
      <c r="AY480" s="546"/>
      <c r="AZ480" s="546"/>
      <c r="BA480" s="546"/>
      <c r="BB480" s="546"/>
      <c r="BC480" s="546"/>
    </row>
    <row r="481" spans="1:55" ht="12" hidden="1" thickBot="1">
      <c r="A481" s="522" t="s">
        <v>1361</v>
      </c>
      <c r="B481" s="522" t="s">
        <v>950</v>
      </c>
      <c r="C481" s="522" t="s">
        <v>951</v>
      </c>
      <c r="D481" s="523" t="s">
        <v>1042</v>
      </c>
      <c r="E481" s="530"/>
      <c r="F481" s="532"/>
      <c r="G481" s="531"/>
      <c r="H481" s="532"/>
      <c r="I481" s="532"/>
      <c r="J481" s="532"/>
      <c r="K481" s="532"/>
      <c r="L481" s="532"/>
      <c r="M481" s="531"/>
      <c r="N481" s="531"/>
      <c r="O481" s="532"/>
      <c r="P481" s="532"/>
      <c r="Q481" s="531"/>
      <c r="R481" s="531"/>
      <c r="S481" s="527">
        <f t="shared" si="58"/>
        <v>0</v>
      </c>
      <c r="T481" s="528">
        <f t="shared" si="59"/>
        <v>0</v>
      </c>
      <c r="U481" s="527">
        <f t="shared" si="60"/>
        <v>0</v>
      </c>
      <c r="W481" s="326">
        <f t="shared" si="61"/>
        <v>0</v>
      </c>
      <c r="X481" s="261">
        <f t="shared" si="62"/>
        <v>0</v>
      </c>
      <c r="Y481" s="546"/>
      <c r="Z481" s="1016">
        <f t="shared" si="63"/>
        <v>0</v>
      </c>
      <c r="AA481" s="58"/>
      <c r="AB481" s="58"/>
      <c r="AC481" s="58"/>
      <c r="AD481" s="58"/>
      <c r="AE481" s="58"/>
      <c r="AF481" s="58"/>
      <c r="AG481" s="58"/>
      <c r="AH481" s="58"/>
      <c r="AI481" s="58"/>
      <c r="AJ481" s="58"/>
      <c r="AK481" s="58"/>
      <c r="AL481" s="58"/>
      <c r="AM481" s="58"/>
      <c r="AN481" s="58"/>
      <c r="AO481" s="58"/>
      <c r="AP481" s="58"/>
      <c r="AQ481" s="546"/>
      <c r="AR481" s="546"/>
      <c r="AS481" s="546"/>
      <c r="AT481" s="546"/>
      <c r="AU481" s="546"/>
      <c r="AV481" s="546"/>
      <c r="AW481" s="546"/>
      <c r="AX481" s="546"/>
      <c r="AY481" s="546"/>
      <c r="AZ481" s="546"/>
      <c r="BA481" s="546"/>
      <c r="BB481" s="546"/>
      <c r="BC481" s="546"/>
    </row>
    <row r="482" spans="1:55" ht="12" hidden="1" thickBot="1">
      <c r="A482" s="522" t="s">
        <v>1361</v>
      </c>
      <c r="B482" s="522" t="s">
        <v>339</v>
      </c>
      <c r="C482" s="522" t="s">
        <v>952</v>
      </c>
      <c r="D482" s="523" t="s">
        <v>1035</v>
      </c>
      <c r="E482" s="524">
        <v>11766</v>
      </c>
      <c r="F482" s="526"/>
      <c r="G482" s="525">
        <v>9848.74</v>
      </c>
      <c r="H482" s="526"/>
      <c r="I482" s="526"/>
      <c r="J482" s="526"/>
      <c r="K482" s="526"/>
      <c r="L482" s="526"/>
      <c r="M482" s="525">
        <v>36.49</v>
      </c>
      <c r="N482" s="525">
        <v>157.32</v>
      </c>
      <c r="O482" s="526"/>
      <c r="P482" s="526"/>
      <c r="Q482" s="525">
        <v>0</v>
      </c>
      <c r="R482" s="525">
        <v>10042.549999999999</v>
      </c>
      <c r="S482" s="527">
        <f t="shared" si="58"/>
        <v>9848.74</v>
      </c>
      <c r="T482" s="528">
        <f t="shared" si="59"/>
        <v>0</v>
      </c>
      <c r="U482" s="527">
        <f t="shared" si="60"/>
        <v>157.32</v>
      </c>
      <c r="W482" s="326">
        <f t="shared" si="61"/>
        <v>10042.549999999999</v>
      </c>
      <c r="X482" s="261">
        <f t="shared" si="62"/>
        <v>0</v>
      </c>
      <c r="Y482" s="546"/>
      <c r="Z482" s="1016">
        <f t="shared" si="63"/>
        <v>9848.74</v>
      </c>
      <c r="AA482" s="58"/>
      <c r="AB482" s="58"/>
      <c r="AC482" s="58"/>
      <c r="AD482" s="58"/>
      <c r="AE482" s="58"/>
      <c r="AF482" s="58"/>
      <c r="AG482" s="58"/>
      <c r="AH482" s="58"/>
      <c r="AI482" s="58"/>
      <c r="AJ482" s="58"/>
      <c r="AK482" s="58"/>
      <c r="AL482" s="58"/>
      <c r="AM482" s="58"/>
      <c r="AN482" s="58"/>
      <c r="AO482" s="58"/>
      <c r="AP482" s="58"/>
      <c r="AQ482" s="546"/>
      <c r="AR482" s="546"/>
      <c r="AS482" s="546"/>
      <c r="AT482" s="546"/>
      <c r="AU482" s="546"/>
      <c r="AV482" s="546"/>
      <c r="AW482" s="546"/>
      <c r="AX482" s="546"/>
      <c r="AY482" s="546"/>
      <c r="AZ482" s="546"/>
      <c r="BA482" s="546"/>
      <c r="BB482" s="546"/>
      <c r="BC482" s="546"/>
    </row>
    <row r="483" spans="1:55" ht="12" hidden="1" thickBot="1">
      <c r="A483" s="522" t="s">
        <v>1361</v>
      </c>
      <c r="B483" s="522" t="s">
        <v>344</v>
      </c>
      <c r="C483" s="522" t="s">
        <v>953</v>
      </c>
      <c r="D483" s="523" t="s">
        <v>1035</v>
      </c>
      <c r="E483" s="530">
        <v>1593</v>
      </c>
      <c r="F483" s="532"/>
      <c r="G483" s="531">
        <v>2079</v>
      </c>
      <c r="H483" s="532"/>
      <c r="I483" s="532"/>
      <c r="J483" s="532"/>
      <c r="K483" s="532"/>
      <c r="L483" s="532"/>
      <c r="M483" s="531">
        <v>4.97</v>
      </c>
      <c r="N483" s="531">
        <v>33.36</v>
      </c>
      <c r="O483" s="532"/>
      <c r="P483" s="532"/>
      <c r="Q483" s="531">
        <v>0</v>
      </c>
      <c r="R483" s="531">
        <v>2117.33</v>
      </c>
      <c r="S483" s="527">
        <f t="shared" si="58"/>
        <v>2079</v>
      </c>
      <c r="T483" s="528">
        <f t="shared" si="59"/>
        <v>0</v>
      </c>
      <c r="U483" s="527">
        <f t="shared" si="60"/>
        <v>33.36</v>
      </c>
      <c r="W483" s="326">
        <f t="shared" si="61"/>
        <v>2117.33</v>
      </c>
      <c r="X483" s="261">
        <f t="shared" si="62"/>
        <v>0</v>
      </c>
      <c r="Y483" s="546"/>
      <c r="Z483" s="1016">
        <f t="shared" si="63"/>
        <v>2079</v>
      </c>
      <c r="AA483" s="58"/>
      <c r="AB483" s="58"/>
      <c r="AC483" s="58"/>
      <c r="AD483" s="58"/>
      <c r="AE483" s="58"/>
      <c r="AF483" s="58"/>
      <c r="AG483" s="58"/>
      <c r="AH483" s="58"/>
      <c r="AI483" s="58"/>
      <c r="AJ483" s="58"/>
      <c r="AK483" s="58"/>
      <c r="AL483" s="58"/>
      <c r="AM483" s="58"/>
      <c r="AN483" s="58"/>
      <c r="AO483" s="58"/>
      <c r="AP483" s="58"/>
      <c r="AQ483" s="546"/>
      <c r="AR483" s="546"/>
      <c r="AS483" s="546"/>
      <c r="AT483" s="546"/>
      <c r="AU483" s="546"/>
      <c r="AV483" s="546"/>
      <c r="AW483" s="546"/>
      <c r="AX483" s="546"/>
      <c r="AY483" s="546"/>
      <c r="AZ483" s="546"/>
      <c r="BA483" s="546"/>
      <c r="BB483" s="546"/>
      <c r="BC483" s="546"/>
    </row>
    <row r="484" spans="1:55" ht="12" hidden="1" thickBot="1">
      <c r="A484" s="522" t="s">
        <v>1361</v>
      </c>
      <c r="B484" s="522" t="s">
        <v>347</v>
      </c>
      <c r="C484" s="522" t="s">
        <v>954</v>
      </c>
      <c r="D484" s="523" t="s">
        <v>1035</v>
      </c>
      <c r="E484" s="524">
        <v>2273</v>
      </c>
      <c r="F484" s="526"/>
      <c r="G484" s="525">
        <v>2570.54</v>
      </c>
      <c r="H484" s="526"/>
      <c r="I484" s="526"/>
      <c r="J484" s="526"/>
      <c r="K484" s="526"/>
      <c r="L484" s="526"/>
      <c r="M484" s="525">
        <v>7.09</v>
      </c>
      <c r="N484" s="525">
        <v>41.24</v>
      </c>
      <c r="O484" s="526"/>
      <c r="P484" s="526"/>
      <c r="Q484" s="525">
        <v>0</v>
      </c>
      <c r="R484" s="525">
        <v>2618.87</v>
      </c>
      <c r="S484" s="527">
        <f t="shared" si="58"/>
        <v>2570.54</v>
      </c>
      <c r="T484" s="528">
        <f t="shared" si="59"/>
        <v>0</v>
      </c>
      <c r="U484" s="527">
        <f t="shared" si="60"/>
        <v>41.24</v>
      </c>
      <c r="W484" s="326">
        <f t="shared" si="61"/>
        <v>2618.87</v>
      </c>
      <c r="X484" s="261">
        <f t="shared" si="62"/>
        <v>0</v>
      </c>
      <c r="Y484" s="546"/>
      <c r="Z484" s="1016">
        <f t="shared" si="63"/>
        <v>2570.54</v>
      </c>
      <c r="AA484" s="58"/>
      <c r="AB484" s="58"/>
      <c r="AC484" s="58"/>
      <c r="AD484" s="58"/>
      <c r="AE484" s="58"/>
      <c r="AF484" s="58"/>
      <c r="AG484" s="58"/>
      <c r="AH484" s="58"/>
      <c r="AI484" s="58"/>
      <c r="AJ484" s="58"/>
      <c r="AK484" s="58"/>
      <c r="AL484" s="58"/>
      <c r="AM484" s="58"/>
      <c r="AN484" s="58"/>
      <c r="AO484" s="58"/>
      <c r="AP484" s="58"/>
      <c r="AQ484" s="546"/>
      <c r="AR484" s="546"/>
      <c r="AS484" s="546"/>
      <c r="AT484" s="546"/>
      <c r="AU484" s="546"/>
      <c r="AV484" s="546"/>
      <c r="AW484" s="546"/>
      <c r="AX484" s="546"/>
      <c r="AY484" s="546"/>
      <c r="AZ484" s="546"/>
      <c r="BA484" s="546"/>
      <c r="BB484" s="546"/>
      <c r="BC484" s="546"/>
    </row>
    <row r="485" spans="1:55" ht="12" hidden="1" thickBot="1">
      <c r="A485" s="522" t="s">
        <v>1361</v>
      </c>
      <c r="B485" s="522" t="s">
        <v>348</v>
      </c>
      <c r="C485" s="522" t="s">
        <v>955</v>
      </c>
      <c r="D485" s="523" t="s">
        <v>1035</v>
      </c>
      <c r="E485" s="530">
        <v>296</v>
      </c>
      <c r="F485" s="532"/>
      <c r="G485" s="531">
        <v>308.75</v>
      </c>
      <c r="H485" s="532"/>
      <c r="I485" s="532"/>
      <c r="J485" s="532"/>
      <c r="K485" s="532"/>
      <c r="L485" s="532"/>
      <c r="M485" s="531">
        <v>0.92</v>
      </c>
      <c r="N485" s="531">
        <v>4.95</v>
      </c>
      <c r="O485" s="532"/>
      <c r="P485" s="532"/>
      <c r="Q485" s="531">
        <v>0</v>
      </c>
      <c r="R485" s="531">
        <v>314.62</v>
      </c>
      <c r="S485" s="527">
        <f t="shared" si="58"/>
        <v>308.75</v>
      </c>
      <c r="T485" s="528">
        <f t="shared" si="59"/>
        <v>0</v>
      </c>
      <c r="U485" s="527">
        <f t="shared" si="60"/>
        <v>4.95</v>
      </c>
      <c r="W485" s="326">
        <f t="shared" si="61"/>
        <v>314.62</v>
      </c>
      <c r="X485" s="261">
        <f t="shared" si="62"/>
        <v>0</v>
      </c>
      <c r="Y485" s="546"/>
      <c r="Z485" s="1016">
        <f t="shared" si="63"/>
        <v>308.75</v>
      </c>
      <c r="AA485" s="58"/>
      <c r="AB485" s="58"/>
      <c r="AC485" s="58"/>
      <c r="AD485" s="58"/>
      <c r="AE485" s="58"/>
      <c r="AF485" s="58"/>
      <c r="AG485" s="58"/>
      <c r="AH485" s="58"/>
      <c r="AI485" s="58"/>
      <c r="AJ485" s="58"/>
      <c r="AK485" s="58"/>
      <c r="AL485" s="58"/>
      <c r="AM485" s="58"/>
      <c r="AN485" s="58"/>
      <c r="AO485" s="58"/>
      <c r="AP485" s="58"/>
      <c r="AQ485" s="546"/>
      <c r="AR485" s="546"/>
      <c r="AS485" s="546"/>
      <c r="AT485" s="546"/>
      <c r="AU485" s="546"/>
      <c r="AV485" s="546"/>
      <c r="AW485" s="546"/>
      <c r="AX485" s="546"/>
      <c r="AY485" s="546"/>
      <c r="AZ485" s="546"/>
      <c r="BA485" s="546"/>
      <c r="BB485" s="546"/>
      <c r="BC485" s="546"/>
    </row>
    <row r="486" spans="1:55" ht="12" hidden="1" thickBot="1">
      <c r="A486" s="522" t="s">
        <v>1361</v>
      </c>
      <c r="B486" s="522" t="s">
        <v>349</v>
      </c>
      <c r="C486" s="522" t="s">
        <v>956</v>
      </c>
      <c r="D486" s="523" t="s">
        <v>1035</v>
      </c>
      <c r="E486" s="524">
        <v>59</v>
      </c>
      <c r="F486" s="526"/>
      <c r="G486" s="525">
        <v>63.11</v>
      </c>
      <c r="H486" s="526"/>
      <c r="I486" s="526"/>
      <c r="J486" s="526"/>
      <c r="K486" s="526"/>
      <c r="L486" s="526"/>
      <c r="M486" s="525">
        <v>0.18</v>
      </c>
      <c r="N486" s="525">
        <v>1.01</v>
      </c>
      <c r="O486" s="526"/>
      <c r="P486" s="526"/>
      <c r="Q486" s="525">
        <v>0</v>
      </c>
      <c r="R486" s="525">
        <v>64.3</v>
      </c>
      <c r="S486" s="527">
        <f t="shared" si="58"/>
        <v>63.11</v>
      </c>
      <c r="T486" s="528">
        <f t="shared" si="59"/>
        <v>0</v>
      </c>
      <c r="U486" s="527">
        <f t="shared" si="60"/>
        <v>1.01</v>
      </c>
      <c r="W486" s="326">
        <f t="shared" si="61"/>
        <v>64.3</v>
      </c>
      <c r="X486" s="261">
        <f t="shared" si="62"/>
        <v>0</v>
      </c>
      <c r="Y486" s="546"/>
      <c r="Z486" s="1016">
        <f t="shared" si="63"/>
        <v>63.11</v>
      </c>
      <c r="AA486" s="58"/>
      <c r="AB486" s="58"/>
      <c r="AC486" s="58"/>
      <c r="AD486" s="58"/>
      <c r="AE486" s="58"/>
      <c r="AF486" s="58"/>
      <c r="AG486" s="58"/>
      <c r="AH486" s="58"/>
      <c r="AI486" s="58"/>
      <c r="AJ486" s="58"/>
      <c r="AK486" s="58"/>
      <c r="AL486" s="58"/>
      <c r="AM486" s="58"/>
      <c r="AN486" s="58"/>
      <c r="AO486" s="58"/>
      <c r="AP486" s="58"/>
      <c r="AQ486" s="546"/>
      <c r="AR486" s="546"/>
      <c r="AS486" s="546"/>
      <c r="AT486" s="546"/>
      <c r="AU486" s="546"/>
      <c r="AV486" s="546"/>
      <c r="AW486" s="546"/>
      <c r="AX486" s="546"/>
      <c r="AY486" s="546"/>
      <c r="AZ486" s="546"/>
      <c r="BA486" s="546"/>
      <c r="BB486" s="546"/>
      <c r="BC486" s="546"/>
    </row>
    <row r="487" spans="1:55" ht="12" hidden="1" thickBot="1">
      <c r="A487" s="522" t="s">
        <v>1361</v>
      </c>
      <c r="B487" s="522" t="s">
        <v>351</v>
      </c>
      <c r="C487" s="522" t="s">
        <v>957</v>
      </c>
      <c r="D487" s="523" t="s">
        <v>1035</v>
      </c>
      <c r="E487" s="530">
        <v>305</v>
      </c>
      <c r="F487" s="532"/>
      <c r="G487" s="531">
        <v>404.7</v>
      </c>
      <c r="H487" s="532"/>
      <c r="I487" s="532"/>
      <c r="J487" s="532"/>
      <c r="K487" s="532"/>
      <c r="L487" s="532"/>
      <c r="M487" s="531">
        <v>0.95</v>
      </c>
      <c r="N487" s="531">
        <v>6.49</v>
      </c>
      <c r="O487" s="532"/>
      <c r="P487" s="532"/>
      <c r="Q487" s="531">
        <v>0</v>
      </c>
      <c r="R487" s="531">
        <v>412.14</v>
      </c>
      <c r="S487" s="527">
        <f t="shared" si="58"/>
        <v>404.7</v>
      </c>
      <c r="T487" s="528">
        <f t="shared" si="59"/>
        <v>0</v>
      </c>
      <c r="U487" s="527">
        <f t="shared" si="60"/>
        <v>6.49</v>
      </c>
      <c r="W487" s="326">
        <f t="shared" si="61"/>
        <v>412.14</v>
      </c>
      <c r="X487" s="261">
        <f t="shared" si="62"/>
        <v>0</v>
      </c>
      <c r="Y487" s="546"/>
      <c r="Z487" s="1016">
        <f t="shared" si="63"/>
        <v>404.7</v>
      </c>
      <c r="AA487" s="58"/>
      <c r="AB487" s="58"/>
      <c r="AC487" s="58"/>
      <c r="AD487" s="58"/>
      <c r="AE487" s="58"/>
      <c r="AF487" s="58"/>
      <c r="AG487" s="58"/>
      <c r="AH487" s="58"/>
      <c r="AI487" s="58"/>
      <c r="AJ487" s="58"/>
      <c r="AK487" s="58"/>
      <c r="AL487" s="58"/>
      <c r="AM487" s="58"/>
      <c r="AN487" s="58"/>
      <c r="AO487" s="58"/>
      <c r="AP487" s="58"/>
      <c r="AQ487" s="546"/>
      <c r="AR487" s="546"/>
      <c r="AS487" s="546"/>
      <c r="AT487" s="546"/>
      <c r="AU487" s="546"/>
      <c r="AV487" s="546"/>
      <c r="AW487" s="546"/>
      <c r="AX487" s="546"/>
      <c r="AY487" s="546"/>
      <c r="AZ487" s="546"/>
      <c r="BA487" s="546"/>
      <c r="BB487" s="546"/>
      <c r="BC487" s="546"/>
    </row>
    <row r="488" spans="1:55" ht="12" hidden="1" thickBot="1">
      <c r="A488" s="522" t="s">
        <v>1361</v>
      </c>
      <c r="B488" s="522" t="s">
        <v>352</v>
      </c>
      <c r="C488" s="522" t="s">
        <v>958</v>
      </c>
      <c r="D488" s="523" t="s">
        <v>1035</v>
      </c>
      <c r="E488" s="524">
        <v>541</v>
      </c>
      <c r="F488" s="526"/>
      <c r="G488" s="525">
        <v>710.73</v>
      </c>
      <c r="H488" s="526"/>
      <c r="I488" s="526"/>
      <c r="J488" s="526"/>
      <c r="K488" s="526"/>
      <c r="L488" s="526"/>
      <c r="M488" s="525">
        <v>1.69</v>
      </c>
      <c r="N488" s="525">
        <v>11.4</v>
      </c>
      <c r="O488" s="526"/>
      <c r="P488" s="526"/>
      <c r="Q488" s="525">
        <v>0</v>
      </c>
      <c r="R488" s="525">
        <v>723.82</v>
      </c>
      <c r="S488" s="527">
        <f t="shared" si="58"/>
        <v>710.73</v>
      </c>
      <c r="T488" s="528">
        <f t="shared" si="59"/>
        <v>0</v>
      </c>
      <c r="U488" s="527">
        <f t="shared" si="60"/>
        <v>11.4</v>
      </c>
      <c r="W488" s="326">
        <f t="shared" si="61"/>
        <v>723.82</v>
      </c>
      <c r="X488" s="261">
        <f t="shared" si="62"/>
        <v>0</v>
      </c>
      <c r="Y488" s="546"/>
      <c r="Z488" s="1016">
        <f t="shared" si="63"/>
        <v>710.73</v>
      </c>
      <c r="AA488" s="58"/>
      <c r="AB488" s="58"/>
      <c r="AC488" s="58"/>
      <c r="AD488" s="58"/>
      <c r="AE488" s="58"/>
      <c r="AF488" s="58"/>
      <c r="AG488" s="58"/>
      <c r="AH488" s="58"/>
      <c r="AI488" s="58"/>
      <c r="AJ488" s="58"/>
      <c r="AK488" s="58"/>
      <c r="AL488" s="58"/>
      <c r="AM488" s="58"/>
      <c r="AN488" s="58"/>
      <c r="AO488" s="58"/>
      <c r="AP488" s="58"/>
      <c r="AQ488" s="546"/>
      <c r="AR488" s="546"/>
      <c r="AS488" s="546"/>
      <c r="AT488" s="546"/>
      <c r="AU488" s="546"/>
      <c r="AV488" s="546"/>
      <c r="AW488" s="546"/>
      <c r="AX488" s="546"/>
      <c r="AY488" s="546"/>
      <c r="AZ488" s="546"/>
      <c r="BA488" s="546"/>
      <c r="BB488" s="546"/>
      <c r="BC488" s="546"/>
    </row>
    <row r="489" spans="1:55" ht="12" hidden="1" thickBot="1">
      <c r="A489" s="522" t="s">
        <v>1361</v>
      </c>
      <c r="B489" s="522" t="s">
        <v>354</v>
      </c>
      <c r="C489" s="522" t="s">
        <v>959</v>
      </c>
      <c r="D489" s="523" t="s">
        <v>1035</v>
      </c>
      <c r="E489" s="530">
        <v>1664</v>
      </c>
      <c r="F489" s="532"/>
      <c r="G489" s="531">
        <v>1530.75</v>
      </c>
      <c r="H489" s="532"/>
      <c r="I489" s="532"/>
      <c r="J489" s="532"/>
      <c r="K489" s="532"/>
      <c r="L489" s="532"/>
      <c r="M489" s="531">
        <v>5.18</v>
      </c>
      <c r="N489" s="531">
        <v>24.57</v>
      </c>
      <c r="O489" s="532"/>
      <c r="P489" s="532"/>
      <c r="Q489" s="531">
        <v>0</v>
      </c>
      <c r="R489" s="531">
        <v>1560.5</v>
      </c>
      <c r="S489" s="527">
        <f t="shared" si="58"/>
        <v>1530.75</v>
      </c>
      <c r="T489" s="528">
        <f t="shared" si="59"/>
        <v>0</v>
      </c>
      <c r="U489" s="527">
        <f t="shared" si="60"/>
        <v>24.57</v>
      </c>
      <c r="W489" s="326">
        <f t="shared" si="61"/>
        <v>1560.5</v>
      </c>
      <c r="X489" s="261">
        <f t="shared" si="62"/>
        <v>0</v>
      </c>
      <c r="Y489" s="546"/>
      <c r="Z489" s="1016">
        <f t="shared" si="63"/>
        <v>1530.75</v>
      </c>
      <c r="AA489" s="58"/>
      <c r="AB489" s="58"/>
      <c r="AC489" s="58"/>
      <c r="AD489" s="58"/>
      <c r="AE489" s="58"/>
      <c r="AF489" s="58"/>
      <c r="AG489" s="58"/>
      <c r="AH489" s="58"/>
      <c r="AI489" s="58"/>
      <c r="AJ489" s="58"/>
      <c r="AK489" s="58"/>
      <c r="AL489" s="58"/>
      <c r="AM489" s="58"/>
      <c r="AN489" s="58"/>
      <c r="AO489" s="58"/>
      <c r="AP489" s="58"/>
      <c r="AQ489" s="546"/>
      <c r="AR489" s="546"/>
      <c r="AS489" s="546"/>
      <c r="AT489" s="546"/>
      <c r="AU489" s="546"/>
      <c r="AV489" s="546"/>
      <c r="AW489" s="546"/>
      <c r="AX489" s="546"/>
      <c r="AY489" s="546"/>
      <c r="AZ489" s="546"/>
      <c r="BA489" s="546"/>
      <c r="BB489" s="546"/>
      <c r="BC489" s="546"/>
    </row>
    <row r="490" spans="1:55" ht="12" hidden="1" thickBot="1">
      <c r="A490" s="522" t="s">
        <v>1361</v>
      </c>
      <c r="B490" s="522" t="s">
        <v>355</v>
      </c>
      <c r="C490" s="522" t="s">
        <v>960</v>
      </c>
      <c r="D490" s="523" t="s">
        <v>1035</v>
      </c>
      <c r="E490" s="524">
        <v>59</v>
      </c>
      <c r="F490" s="526"/>
      <c r="G490" s="525">
        <v>56.69</v>
      </c>
      <c r="H490" s="526"/>
      <c r="I490" s="526"/>
      <c r="J490" s="526"/>
      <c r="K490" s="526"/>
      <c r="L490" s="526"/>
      <c r="M490" s="525">
        <v>0.18</v>
      </c>
      <c r="N490" s="525">
        <v>0.91</v>
      </c>
      <c r="O490" s="526"/>
      <c r="P490" s="526"/>
      <c r="Q490" s="525">
        <v>0</v>
      </c>
      <c r="R490" s="525">
        <v>57.78</v>
      </c>
      <c r="S490" s="527">
        <f t="shared" si="58"/>
        <v>56.69</v>
      </c>
      <c r="T490" s="528">
        <f t="shared" si="59"/>
        <v>0</v>
      </c>
      <c r="U490" s="527">
        <f t="shared" si="60"/>
        <v>0.91</v>
      </c>
      <c r="W490" s="326">
        <f t="shared" si="61"/>
        <v>57.779999999999994</v>
      </c>
      <c r="X490" s="261">
        <f t="shared" si="62"/>
        <v>0</v>
      </c>
      <c r="Y490" s="546"/>
      <c r="Z490" s="1016">
        <f t="shared" si="63"/>
        <v>56.69</v>
      </c>
      <c r="AA490" s="58"/>
      <c r="AB490" s="58"/>
      <c r="AC490" s="58"/>
      <c r="AD490" s="58"/>
      <c r="AE490" s="58"/>
      <c r="AF490" s="58"/>
      <c r="AG490" s="58"/>
      <c r="AH490" s="58"/>
      <c r="AI490" s="58"/>
      <c r="AJ490" s="58"/>
      <c r="AK490" s="58"/>
      <c r="AL490" s="58"/>
      <c r="AM490" s="58"/>
      <c r="AN490" s="58"/>
      <c r="AO490" s="58"/>
      <c r="AP490" s="58"/>
      <c r="AQ490" s="546"/>
      <c r="AR490" s="546"/>
      <c r="AS490" s="546"/>
      <c r="AT490" s="546"/>
      <c r="AU490" s="546"/>
      <c r="AV490" s="546"/>
      <c r="AW490" s="546"/>
      <c r="AX490" s="546"/>
      <c r="AY490" s="546"/>
      <c r="AZ490" s="546"/>
      <c r="BA490" s="546"/>
      <c r="BB490" s="546"/>
      <c r="BC490" s="546"/>
    </row>
    <row r="491" spans="1:55" ht="12" hidden="1" thickBot="1">
      <c r="A491" s="522" t="s">
        <v>1361</v>
      </c>
      <c r="B491" s="522" t="s">
        <v>341</v>
      </c>
      <c r="C491" s="522" t="s">
        <v>961</v>
      </c>
      <c r="D491" s="523" t="s">
        <v>1035</v>
      </c>
      <c r="E491" s="530">
        <v>906</v>
      </c>
      <c r="F491" s="532"/>
      <c r="G491" s="531">
        <v>1117.8</v>
      </c>
      <c r="H491" s="532"/>
      <c r="I491" s="532"/>
      <c r="J491" s="532"/>
      <c r="K491" s="532"/>
      <c r="L491" s="532"/>
      <c r="M491" s="531">
        <v>2.72</v>
      </c>
      <c r="N491" s="531">
        <v>17.36</v>
      </c>
      <c r="O491" s="532"/>
      <c r="P491" s="532"/>
      <c r="Q491" s="531">
        <v>0</v>
      </c>
      <c r="R491" s="531">
        <v>1137.8800000000001</v>
      </c>
      <c r="S491" s="527">
        <f t="shared" si="58"/>
        <v>1117.8</v>
      </c>
      <c r="T491" s="528">
        <f t="shared" si="59"/>
        <v>0</v>
      </c>
      <c r="U491" s="527">
        <f t="shared" si="60"/>
        <v>17.36</v>
      </c>
      <c r="W491" s="326">
        <f t="shared" si="61"/>
        <v>1137.8799999999999</v>
      </c>
      <c r="X491" s="261">
        <f t="shared" si="62"/>
        <v>0</v>
      </c>
      <c r="Y491" s="546"/>
      <c r="Z491" s="1016">
        <f t="shared" si="63"/>
        <v>1117.8</v>
      </c>
      <c r="AA491" s="58"/>
      <c r="AB491" s="58"/>
      <c r="AC491" s="58"/>
      <c r="AD491" s="58"/>
      <c r="AE491" s="58"/>
      <c r="AF491" s="58"/>
      <c r="AG491" s="58"/>
      <c r="AH491" s="58"/>
      <c r="AI491" s="58"/>
      <c r="AJ491" s="58"/>
      <c r="AK491" s="58"/>
      <c r="AL491" s="58"/>
      <c r="AM491" s="58"/>
      <c r="AN491" s="58"/>
      <c r="AO491" s="58"/>
      <c r="AP491" s="58"/>
      <c r="AQ491" s="546"/>
      <c r="AR491" s="546"/>
      <c r="AS491" s="546"/>
      <c r="AT491" s="546"/>
      <c r="AU491" s="546"/>
      <c r="AV491" s="546"/>
      <c r="AW491" s="546"/>
      <c r="AX491" s="546"/>
      <c r="AY491" s="546"/>
      <c r="AZ491" s="546"/>
      <c r="BA491" s="546"/>
      <c r="BB491" s="546"/>
      <c r="BC491" s="546"/>
    </row>
    <row r="492" spans="1:55" ht="12" hidden="1" thickBot="1">
      <c r="A492" s="522" t="s">
        <v>1361</v>
      </c>
      <c r="B492" s="522" t="s">
        <v>350</v>
      </c>
      <c r="C492" s="522" t="s">
        <v>962</v>
      </c>
      <c r="D492" s="523" t="s">
        <v>1035</v>
      </c>
      <c r="E492" s="524">
        <v>59</v>
      </c>
      <c r="F492" s="526"/>
      <c r="G492" s="525">
        <v>82.3</v>
      </c>
      <c r="H492" s="526"/>
      <c r="I492" s="526"/>
      <c r="J492" s="526"/>
      <c r="K492" s="526"/>
      <c r="L492" s="526"/>
      <c r="M492" s="525">
        <v>0.18</v>
      </c>
      <c r="N492" s="525">
        <v>1.32</v>
      </c>
      <c r="O492" s="526"/>
      <c r="P492" s="526"/>
      <c r="Q492" s="525">
        <v>0</v>
      </c>
      <c r="R492" s="525">
        <v>83.8</v>
      </c>
      <c r="S492" s="527">
        <f t="shared" si="58"/>
        <v>82.3</v>
      </c>
      <c r="T492" s="528">
        <f t="shared" si="59"/>
        <v>0</v>
      </c>
      <c r="U492" s="527">
        <f t="shared" si="60"/>
        <v>1.32</v>
      </c>
      <c r="W492" s="326">
        <f t="shared" ref="W492:W554" si="64">SUM(F492:Q492)</f>
        <v>83.8</v>
      </c>
      <c r="X492" s="261">
        <f t="shared" ref="X492:X554" si="65">W492-R492</f>
        <v>0</v>
      </c>
      <c r="Y492" s="546"/>
      <c r="Z492" s="1016">
        <f t="shared" si="63"/>
        <v>82.3</v>
      </c>
      <c r="AA492" s="58"/>
      <c r="AB492" s="58"/>
      <c r="AC492" s="58"/>
      <c r="AD492" s="58"/>
      <c r="AE492" s="58"/>
      <c r="AF492" s="58"/>
      <c r="AG492" s="58"/>
      <c r="AH492" s="58"/>
      <c r="AI492" s="58"/>
      <c r="AJ492" s="58"/>
      <c r="AK492" s="58"/>
      <c r="AL492" s="58"/>
      <c r="AM492" s="58"/>
      <c r="AN492" s="58"/>
      <c r="AO492" s="58"/>
      <c r="AP492" s="58"/>
      <c r="AQ492" s="546"/>
      <c r="AR492" s="546"/>
      <c r="AS492" s="546"/>
      <c r="AT492" s="546"/>
      <c r="AU492" s="546"/>
      <c r="AV492" s="546"/>
      <c r="AW492" s="546"/>
      <c r="AX492" s="546"/>
      <c r="AY492" s="546"/>
      <c r="AZ492" s="546"/>
      <c r="BA492" s="546"/>
      <c r="BB492" s="546"/>
      <c r="BC492" s="546"/>
    </row>
    <row r="493" spans="1:55" ht="12" hidden="1" thickBot="1">
      <c r="A493" s="522" t="s">
        <v>1361</v>
      </c>
      <c r="B493" s="522" t="s">
        <v>342</v>
      </c>
      <c r="C493" s="522" t="s">
        <v>963</v>
      </c>
      <c r="D493" s="523" t="s">
        <v>1035</v>
      </c>
      <c r="E493" s="530">
        <v>1356</v>
      </c>
      <c r="F493" s="532"/>
      <c r="G493" s="531">
        <v>1490.4</v>
      </c>
      <c r="H493" s="532"/>
      <c r="I493" s="532"/>
      <c r="J493" s="532"/>
      <c r="K493" s="532"/>
      <c r="L493" s="532"/>
      <c r="M493" s="531">
        <v>4.2300000000000004</v>
      </c>
      <c r="N493" s="531">
        <v>23.91</v>
      </c>
      <c r="O493" s="532"/>
      <c r="P493" s="532"/>
      <c r="Q493" s="531">
        <v>0</v>
      </c>
      <c r="R493" s="531">
        <v>1518.54</v>
      </c>
      <c r="S493" s="527">
        <f t="shared" si="58"/>
        <v>1490.4</v>
      </c>
      <c r="T493" s="528">
        <f t="shared" si="59"/>
        <v>0</v>
      </c>
      <c r="U493" s="527">
        <f t="shared" si="60"/>
        <v>23.91</v>
      </c>
      <c r="W493" s="326">
        <f t="shared" si="64"/>
        <v>1518.5400000000002</v>
      </c>
      <c r="X493" s="261">
        <f t="shared" si="65"/>
        <v>0</v>
      </c>
      <c r="Y493" s="546"/>
      <c r="Z493" s="1016">
        <f t="shared" si="63"/>
        <v>1490.4</v>
      </c>
      <c r="AA493" s="58"/>
      <c r="AB493" s="58"/>
      <c r="AC493" s="58"/>
      <c r="AD493" s="58"/>
      <c r="AE493" s="58"/>
      <c r="AF493" s="58"/>
      <c r="AG493" s="58"/>
      <c r="AH493" s="58"/>
      <c r="AI493" s="58"/>
      <c r="AJ493" s="58"/>
      <c r="AK493" s="58"/>
      <c r="AL493" s="58"/>
      <c r="AM493" s="58"/>
      <c r="AN493" s="58"/>
      <c r="AO493" s="58"/>
      <c r="AP493" s="58"/>
      <c r="AQ493" s="546"/>
      <c r="AR493" s="546"/>
      <c r="AS493" s="546"/>
      <c r="AT493" s="546"/>
      <c r="AU493" s="546"/>
      <c r="AV493" s="546"/>
      <c r="AW493" s="546"/>
      <c r="AX493" s="546"/>
      <c r="AY493" s="546"/>
      <c r="AZ493" s="546"/>
      <c r="BA493" s="546"/>
      <c r="BB493" s="546"/>
      <c r="BC493" s="546"/>
    </row>
    <row r="494" spans="1:55" ht="12" hidden="1" thickBot="1">
      <c r="A494" s="522" t="s">
        <v>1361</v>
      </c>
      <c r="B494" s="522" t="s">
        <v>346</v>
      </c>
      <c r="C494" s="522" t="s">
        <v>964</v>
      </c>
      <c r="D494" s="523" t="s">
        <v>1035</v>
      </c>
      <c r="E494" s="524">
        <v>254</v>
      </c>
      <c r="F494" s="526"/>
      <c r="G494" s="525">
        <v>303.52</v>
      </c>
      <c r="H494" s="526"/>
      <c r="I494" s="526"/>
      <c r="J494" s="526"/>
      <c r="K494" s="526"/>
      <c r="L494" s="526"/>
      <c r="M494" s="525">
        <v>0.79</v>
      </c>
      <c r="N494" s="525">
        <v>4.8600000000000003</v>
      </c>
      <c r="O494" s="526"/>
      <c r="P494" s="526"/>
      <c r="Q494" s="525">
        <v>0</v>
      </c>
      <c r="R494" s="525">
        <v>309.17</v>
      </c>
      <c r="S494" s="527">
        <f t="shared" ref="S494:S556" si="66">G494+H494+I494</f>
        <v>303.52</v>
      </c>
      <c r="T494" s="528">
        <f t="shared" ref="T494:T556" si="67">J494+K494</f>
        <v>0</v>
      </c>
      <c r="U494" s="527">
        <f t="shared" ref="U494:U556" si="68">N494+O494</f>
        <v>4.8600000000000003</v>
      </c>
      <c r="W494" s="326">
        <f t="shared" si="64"/>
        <v>309.17</v>
      </c>
      <c r="X494" s="261">
        <f t="shared" si="65"/>
        <v>0</v>
      </c>
      <c r="Y494" s="546"/>
      <c r="Z494" s="1016">
        <f t="shared" si="63"/>
        <v>303.52</v>
      </c>
      <c r="AA494" s="58"/>
      <c r="AB494" s="58"/>
      <c r="AC494" s="58"/>
      <c r="AD494" s="58"/>
      <c r="AE494" s="58"/>
      <c r="AF494" s="58"/>
      <c r="AG494" s="58"/>
      <c r="AH494" s="58"/>
      <c r="AI494" s="58"/>
      <c r="AJ494" s="58"/>
      <c r="AK494" s="58"/>
      <c r="AL494" s="58"/>
      <c r="AM494" s="58"/>
      <c r="AN494" s="58"/>
      <c r="AO494" s="58"/>
      <c r="AP494" s="58"/>
      <c r="AQ494" s="546"/>
      <c r="AR494" s="546"/>
      <c r="AS494" s="546"/>
      <c r="AT494" s="546"/>
      <c r="AU494" s="546"/>
      <c r="AV494" s="546"/>
      <c r="AW494" s="546"/>
      <c r="AX494" s="546"/>
      <c r="AY494" s="546"/>
      <c r="AZ494" s="546"/>
      <c r="BA494" s="546"/>
      <c r="BB494" s="546"/>
      <c r="BC494" s="546"/>
    </row>
    <row r="495" spans="1:55" ht="12" hidden="1" thickBot="1">
      <c r="A495" s="522" t="s">
        <v>1361</v>
      </c>
      <c r="B495" s="522" t="s">
        <v>353</v>
      </c>
      <c r="C495" s="522" t="s">
        <v>965</v>
      </c>
      <c r="D495" s="523" t="s">
        <v>1035</v>
      </c>
      <c r="E495" s="530">
        <v>204</v>
      </c>
      <c r="F495" s="532"/>
      <c r="G495" s="531">
        <v>236.91</v>
      </c>
      <c r="H495" s="532"/>
      <c r="I495" s="532"/>
      <c r="J495" s="532"/>
      <c r="K495" s="532"/>
      <c r="L495" s="532"/>
      <c r="M495" s="531">
        <v>0.63</v>
      </c>
      <c r="N495" s="531">
        <v>3.8</v>
      </c>
      <c r="O495" s="532"/>
      <c r="P495" s="532"/>
      <c r="Q495" s="531">
        <v>0</v>
      </c>
      <c r="R495" s="531">
        <v>241.34</v>
      </c>
      <c r="S495" s="527">
        <f t="shared" si="66"/>
        <v>236.91</v>
      </c>
      <c r="T495" s="528">
        <f t="shared" si="67"/>
        <v>0</v>
      </c>
      <c r="U495" s="527">
        <f t="shared" si="68"/>
        <v>3.8</v>
      </c>
      <c r="W495" s="326">
        <f t="shared" si="64"/>
        <v>241.34</v>
      </c>
      <c r="X495" s="261">
        <f t="shared" si="65"/>
        <v>0</v>
      </c>
      <c r="Y495" s="546"/>
      <c r="Z495" s="1016">
        <f t="shared" si="63"/>
        <v>236.91</v>
      </c>
      <c r="AA495" s="58"/>
      <c r="AB495" s="58"/>
      <c r="AC495" s="58"/>
      <c r="AD495" s="58"/>
      <c r="AE495" s="58"/>
      <c r="AF495" s="58"/>
      <c r="AG495" s="58"/>
      <c r="AH495" s="58"/>
      <c r="AI495" s="58"/>
      <c r="AJ495" s="58"/>
      <c r="AK495" s="58"/>
      <c r="AL495" s="58"/>
      <c r="AM495" s="58"/>
      <c r="AN495" s="58"/>
      <c r="AO495" s="58"/>
      <c r="AP495" s="58"/>
      <c r="AQ495" s="546"/>
      <c r="AR495" s="546"/>
      <c r="AS495" s="546"/>
      <c r="AT495" s="546"/>
      <c r="AU495" s="546"/>
      <c r="AV495" s="546"/>
      <c r="AW495" s="546"/>
      <c r="AX495" s="546"/>
      <c r="AY495" s="546"/>
      <c r="AZ495" s="546"/>
      <c r="BA495" s="546"/>
      <c r="BB495" s="546"/>
      <c r="BC495" s="546"/>
    </row>
    <row r="496" spans="1:55" ht="12" hidden="1" thickBot="1">
      <c r="A496" s="522" t="s">
        <v>1361</v>
      </c>
      <c r="B496" s="522" t="s">
        <v>345</v>
      </c>
      <c r="C496" s="522" t="s">
        <v>966</v>
      </c>
      <c r="D496" s="523" t="s">
        <v>1035</v>
      </c>
      <c r="E496" s="524">
        <v>136</v>
      </c>
      <c r="F496" s="526"/>
      <c r="G496" s="525">
        <v>154.52000000000001</v>
      </c>
      <c r="H496" s="526"/>
      <c r="I496" s="526"/>
      <c r="J496" s="526"/>
      <c r="K496" s="526"/>
      <c r="L496" s="526"/>
      <c r="M496" s="525">
        <v>0.42</v>
      </c>
      <c r="N496" s="525">
        <v>2.48</v>
      </c>
      <c r="O496" s="526"/>
      <c r="P496" s="526"/>
      <c r="Q496" s="525">
        <v>0</v>
      </c>
      <c r="R496" s="525">
        <v>157.41999999999999</v>
      </c>
      <c r="S496" s="527">
        <f t="shared" si="66"/>
        <v>154.52000000000001</v>
      </c>
      <c r="T496" s="528">
        <f t="shared" si="67"/>
        <v>0</v>
      </c>
      <c r="U496" s="527">
        <f t="shared" si="68"/>
        <v>2.48</v>
      </c>
      <c r="W496" s="326">
        <f t="shared" si="64"/>
        <v>157.41999999999999</v>
      </c>
      <c r="X496" s="261">
        <f t="shared" si="65"/>
        <v>0</v>
      </c>
      <c r="Y496" s="546"/>
      <c r="Z496" s="1016">
        <f t="shared" si="63"/>
        <v>154.52000000000001</v>
      </c>
      <c r="AA496" s="58"/>
      <c r="AB496" s="58"/>
      <c r="AC496" s="58"/>
      <c r="AD496" s="58"/>
      <c r="AE496" s="58"/>
      <c r="AF496" s="58"/>
      <c r="AG496" s="58"/>
      <c r="AH496" s="58"/>
      <c r="AI496" s="58"/>
      <c r="AJ496" s="58"/>
      <c r="AK496" s="58"/>
      <c r="AL496" s="58"/>
      <c r="AM496" s="58"/>
      <c r="AN496" s="58"/>
      <c r="AO496" s="58"/>
      <c r="AP496" s="58"/>
      <c r="AQ496" s="546"/>
      <c r="AR496" s="546"/>
      <c r="AS496" s="546"/>
      <c r="AT496" s="546"/>
      <c r="AU496" s="546"/>
      <c r="AV496" s="546"/>
      <c r="AW496" s="546"/>
      <c r="AX496" s="546"/>
      <c r="AY496" s="546"/>
      <c r="AZ496" s="546"/>
      <c r="BA496" s="546"/>
      <c r="BB496" s="546"/>
      <c r="BC496" s="546"/>
    </row>
    <row r="497" spans="1:55" ht="12" hidden="1" thickBot="1">
      <c r="A497" s="522" t="s">
        <v>1361</v>
      </c>
      <c r="B497" s="522" t="s">
        <v>343</v>
      </c>
      <c r="C497" s="522" t="s">
        <v>967</v>
      </c>
      <c r="D497" s="523" t="s">
        <v>1035</v>
      </c>
      <c r="E497" s="530">
        <v>3370</v>
      </c>
      <c r="F497" s="532"/>
      <c r="G497" s="531">
        <v>3273.69</v>
      </c>
      <c r="H497" s="532"/>
      <c r="I497" s="532"/>
      <c r="J497" s="532"/>
      <c r="K497" s="532"/>
      <c r="L497" s="532"/>
      <c r="M497" s="531">
        <v>10.52</v>
      </c>
      <c r="N497" s="531">
        <v>52.54</v>
      </c>
      <c r="O497" s="532"/>
      <c r="P497" s="532"/>
      <c r="Q497" s="532">
        <v>0</v>
      </c>
      <c r="R497" s="531">
        <v>3336.75</v>
      </c>
      <c r="S497" s="527">
        <f t="shared" si="66"/>
        <v>3273.69</v>
      </c>
      <c r="T497" s="528">
        <f t="shared" si="67"/>
        <v>0</v>
      </c>
      <c r="U497" s="527">
        <f t="shared" si="68"/>
        <v>52.54</v>
      </c>
      <c r="W497" s="326">
        <f t="shared" si="64"/>
        <v>3336.75</v>
      </c>
      <c r="X497" s="261">
        <f t="shared" si="65"/>
        <v>0</v>
      </c>
      <c r="Y497" s="546"/>
      <c r="Z497" s="1016">
        <f t="shared" si="63"/>
        <v>3273.69</v>
      </c>
      <c r="AA497" s="58"/>
      <c r="AB497" s="58"/>
      <c r="AC497" s="58"/>
      <c r="AD497" s="58"/>
      <c r="AE497" s="58"/>
      <c r="AF497" s="58"/>
      <c r="AG497" s="58"/>
      <c r="AH497" s="58"/>
      <c r="AI497" s="58"/>
      <c r="AJ497" s="58"/>
      <c r="AK497" s="58"/>
      <c r="AL497" s="58"/>
      <c r="AM497" s="58"/>
      <c r="AN497" s="58"/>
      <c r="AO497" s="58"/>
      <c r="AP497" s="58"/>
      <c r="AQ497" s="546"/>
      <c r="AR497" s="546"/>
      <c r="AS497" s="546"/>
      <c r="AT497" s="546"/>
      <c r="AU497" s="546"/>
      <c r="AV497" s="546"/>
      <c r="AW497" s="546"/>
      <c r="AX497" s="546"/>
      <c r="AY497" s="546"/>
      <c r="AZ497" s="546"/>
      <c r="BA497" s="546"/>
      <c r="BB497" s="546"/>
      <c r="BC497" s="546"/>
    </row>
    <row r="498" spans="1:55" ht="12" hidden="1" thickBot="1">
      <c r="A498" s="522" t="s">
        <v>1361</v>
      </c>
      <c r="B498" s="522" t="s">
        <v>472</v>
      </c>
      <c r="C498" s="522" t="s">
        <v>968</v>
      </c>
      <c r="D498" s="523" t="s">
        <v>1035</v>
      </c>
      <c r="E498" s="524">
        <v>119</v>
      </c>
      <c r="F498" s="526"/>
      <c r="G498" s="525">
        <v>151.80000000000001</v>
      </c>
      <c r="H498" s="526"/>
      <c r="I498" s="526"/>
      <c r="J498" s="526"/>
      <c r="K498" s="526"/>
      <c r="L498" s="526"/>
      <c r="M498" s="525">
        <v>0.37</v>
      </c>
      <c r="N498" s="525">
        <v>2.4300000000000002</v>
      </c>
      <c r="O498" s="526"/>
      <c r="P498" s="526"/>
      <c r="Q498" s="525"/>
      <c r="R498" s="525">
        <v>154.6</v>
      </c>
      <c r="S498" s="527">
        <f t="shared" si="66"/>
        <v>151.80000000000001</v>
      </c>
      <c r="T498" s="528">
        <f t="shared" si="67"/>
        <v>0</v>
      </c>
      <c r="U498" s="527">
        <f t="shared" si="68"/>
        <v>2.4300000000000002</v>
      </c>
      <c r="W498" s="326">
        <f t="shared" si="64"/>
        <v>154.60000000000002</v>
      </c>
      <c r="X498" s="261">
        <f t="shared" si="65"/>
        <v>0</v>
      </c>
      <c r="Y498" s="546"/>
      <c r="Z498" s="1016">
        <f t="shared" si="63"/>
        <v>151.80000000000001</v>
      </c>
      <c r="AA498" s="58"/>
      <c r="AB498" s="58"/>
      <c r="AC498" s="58"/>
      <c r="AD498" s="58"/>
      <c r="AE498" s="58"/>
      <c r="AF498" s="58"/>
      <c r="AG498" s="58"/>
      <c r="AH498" s="58"/>
      <c r="AI498" s="58"/>
      <c r="AJ498" s="58"/>
      <c r="AK498" s="58"/>
      <c r="AL498" s="58"/>
      <c r="AM498" s="58"/>
      <c r="AN498" s="58"/>
      <c r="AO498" s="58"/>
      <c r="AP498" s="58"/>
      <c r="AQ498" s="546"/>
      <c r="AR498" s="546"/>
      <c r="AS498" s="546"/>
      <c r="AT498" s="546"/>
      <c r="AU498" s="546"/>
      <c r="AV498" s="546"/>
      <c r="AW498" s="546"/>
      <c r="AX498" s="546"/>
      <c r="AY498" s="546"/>
      <c r="AZ498" s="546"/>
      <c r="BA498" s="546"/>
      <c r="BB498" s="546"/>
      <c r="BC498" s="546"/>
    </row>
    <row r="499" spans="1:55" ht="12" hidden="1" thickBot="1">
      <c r="A499" s="522" t="s">
        <v>1361</v>
      </c>
      <c r="B499" s="522" t="s">
        <v>382</v>
      </c>
      <c r="C499" s="522" t="s">
        <v>969</v>
      </c>
      <c r="D499" s="533" t="s">
        <v>1035</v>
      </c>
      <c r="E499" s="530">
        <v>1359</v>
      </c>
      <c r="F499" s="532"/>
      <c r="G499" s="531">
        <v>772.72</v>
      </c>
      <c r="H499" s="532"/>
      <c r="I499" s="532"/>
      <c r="J499" s="532"/>
      <c r="K499" s="532"/>
      <c r="L499" s="532"/>
      <c r="M499" s="531">
        <v>3.23</v>
      </c>
      <c r="N499" s="531">
        <v>10.15</v>
      </c>
      <c r="O499" s="532"/>
      <c r="P499" s="532"/>
      <c r="Q499" s="531">
        <v>0</v>
      </c>
      <c r="R499" s="531">
        <v>786.1</v>
      </c>
      <c r="S499" s="527">
        <f t="shared" si="66"/>
        <v>772.72</v>
      </c>
      <c r="T499" s="528">
        <f t="shared" si="67"/>
        <v>0</v>
      </c>
      <c r="U499" s="527">
        <f t="shared" si="68"/>
        <v>10.15</v>
      </c>
      <c r="W499" s="326">
        <f t="shared" si="64"/>
        <v>786.1</v>
      </c>
      <c r="X499" s="261">
        <f t="shared" si="65"/>
        <v>0</v>
      </c>
      <c r="Y499" s="546"/>
      <c r="Z499" s="1016">
        <f t="shared" si="63"/>
        <v>772.72</v>
      </c>
      <c r="AA499" s="58"/>
      <c r="AB499" s="58"/>
      <c r="AC499" s="58"/>
      <c r="AD499" s="58"/>
      <c r="AE499" s="58"/>
      <c r="AF499" s="58"/>
      <c r="AG499" s="58"/>
      <c r="AH499" s="58"/>
      <c r="AI499" s="58"/>
      <c r="AJ499" s="58"/>
      <c r="AK499" s="58"/>
      <c r="AL499" s="58"/>
      <c r="AM499" s="58"/>
      <c r="AN499" s="58"/>
      <c r="AO499" s="58"/>
      <c r="AP499" s="58"/>
      <c r="AQ499" s="546"/>
      <c r="AR499" s="546"/>
      <c r="AS499" s="546"/>
      <c r="AT499" s="546"/>
      <c r="AU499" s="546"/>
      <c r="AV499" s="546"/>
      <c r="AW499" s="546"/>
      <c r="AX499" s="546"/>
      <c r="AY499" s="546"/>
      <c r="AZ499" s="546"/>
      <c r="BA499" s="546"/>
      <c r="BB499" s="546"/>
      <c r="BC499" s="546"/>
    </row>
    <row r="500" spans="1:55" ht="12" hidden="1" thickBot="1">
      <c r="A500" s="522" t="s">
        <v>1361</v>
      </c>
      <c r="B500" s="522" t="s">
        <v>402</v>
      </c>
      <c r="C500" s="522" t="s">
        <v>970</v>
      </c>
      <c r="D500" s="533" t="s">
        <v>1036</v>
      </c>
      <c r="E500" s="524">
        <v>472181</v>
      </c>
      <c r="F500" s="526"/>
      <c r="G500" s="525">
        <v>75614.23</v>
      </c>
      <c r="H500" s="526"/>
      <c r="I500" s="526"/>
      <c r="J500" s="526"/>
      <c r="K500" s="526"/>
      <c r="L500" s="526"/>
      <c r="M500" s="525">
        <v>1019.41</v>
      </c>
      <c r="N500" s="525">
        <v>935.23</v>
      </c>
      <c r="O500" s="526"/>
      <c r="P500" s="526"/>
      <c r="Q500" s="525">
        <v>0</v>
      </c>
      <c r="R500" s="525">
        <v>77568.87</v>
      </c>
      <c r="S500" s="527">
        <f t="shared" si="66"/>
        <v>75614.23</v>
      </c>
      <c r="T500" s="528">
        <f t="shared" si="67"/>
        <v>0</v>
      </c>
      <c r="U500" s="527">
        <f t="shared" si="68"/>
        <v>935.23</v>
      </c>
      <c r="W500" s="326">
        <f t="shared" si="64"/>
        <v>77568.87</v>
      </c>
      <c r="X500" s="261">
        <f t="shared" si="65"/>
        <v>0</v>
      </c>
      <c r="Y500" s="546"/>
      <c r="Z500" s="1016">
        <f t="shared" si="63"/>
        <v>75614.23</v>
      </c>
      <c r="AA500" s="58"/>
      <c r="AB500" s="58"/>
      <c r="AC500" s="58"/>
      <c r="AD500" s="58"/>
      <c r="AE500" s="58"/>
      <c r="AF500" s="58"/>
      <c r="AG500" s="58"/>
      <c r="AH500" s="58"/>
      <c r="AI500" s="58"/>
      <c r="AJ500" s="58"/>
      <c r="AK500" s="58"/>
      <c r="AL500" s="58"/>
      <c r="AM500" s="58"/>
      <c r="AN500" s="58"/>
      <c r="AO500" s="58"/>
      <c r="AP500" s="58"/>
      <c r="AQ500" s="546"/>
      <c r="AR500" s="546"/>
      <c r="AS500" s="546"/>
      <c r="AT500" s="546"/>
      <c r="AU500" s="546"/>
      <c r="AV500" s="546"/>
      <c r="AW500" s="546"/>
      <c r="AX500" s="546"/>
      <c r="AY500" s="546"/>
      <c r="AZ500" s="546"/>
      <c r="BA500" s="546"/>
      <c r="BB500" s="546"/>
      <c r="BC500" s="546"/>
    </row>
    <row r="501" spans="1:55" ht="12" hidden="1" thickBot="1">
      <c r="A501" s="522" t="s">
        <v>1361</v>
      </c>
      <c r="B501" s="522" t="s">
        <v>398</v>
      </c>
      <c r="C501" s="522" t="s">
        <v>971</v>
      </c>
      <c r="D501" s="533" t="s">
        <v>1036</v>
      </c>
      <c r="E501" s="524">
        <v>21137</v>
      </c>
      <c r="F501" s="526"/>
      <c r="G501" s="525">
        <v>1651.11</v>
      </c>
      <c r="H501" s="526"/>
      <c r="I501" s="526"/>
      <c r="J501" s="526"/>
      <c r="K501" s="526"/>
      <c r="L501" s="526"/>
      <c r="M501" s="525">
        <v>48.65</v>
      </c>
      <c r="N501" s="525">
        <v>21.9</v>
      </c>
      <c r="O501" s="526"/>
      <c r="P501" s="526"/>
      <c r="Q501" s="525">
        <v>0</v>
      </c>
      <c r="R501" s="525">
        <v>1721.66</v>
      </c>
      <c r="S501" s="527">
        <f t="shared" si="66"/>
        <v>1651.11</v>
      </c>
      <c r="T501" s="528">
        <f t="shared" si="67"/>
        <v>0</v>
      </c>
      <c r="U501" s="527">
        <f t="shared" si="68"/>
        <v>21.9</v>
      </c>
      <c r="W501" s="326">
        <f t="shared" si="64"/>
        <v>1721.66</v>
      </c>
      <c r="X501" s="261">
        <f t="shared" si="65"/>
        <v>0</v>
      </c>
      <c r="Y501" s="546"/>
      <c r="Z501" s="1016">
        <f t="shared" si="63"/>
        <v>1651.11</v>
      </c>
      <c r="AA501" s="58"/>
      <c r="AB501" s="58"/>
      <c r="AC501" s="58"/>
      <c r="AD501" s="58"/>
      <c r="AE501" s="58"/>
      <c r="AF501" s="58"/>
      <c r="AG501" s="58"/>
      <c r="AH501" s="58"/>
      <c r="AI501" s="58"/>
      <c r="AJ501" s="58"/>
      <c r="AK501" s="58"/>
      <c r="AL501" s="58"/>
      <c r="AM501" s="58"/>
      <c r="AN501" s="58"/>
      <c r="AO501" s="58"/>
      <c r="AP501" s="58"/>
      <c r="AQ501" s="546"/>
      <c r="AR501" s="546"/>
      <c r="AS501" s="546"/>
      <c r="AT501" s="546"/>
      <c r="AU501" s="546"/>
      <c r="AV501" s="546"/>
      <c r="AW501" s="546"/>
      <c r="AX501" s="546"/>
      <c r="AY501" s="546"/>
      <c r="AZ501" s="546"/>
      <c r="BA501" s="546"/>
      <c r="BB501" s="546"/>
      <c r="BC501" s="546"/>
    </row>
    <row r="502" spans="1:55" ht="12" hidden="1" thickBot="1">
      <c r="A502" s="522" t="s">
        <v>1361</v>
      </c>
      <c r="B502" s="522" t="s">
        <v>376</v>
      </c>
      <c r="C502" s="522" t="s">
        <v>972</v>
      </c>
      <c r="D502" s="533" t="s">
        <v>1036</v>
      </c>
      <c r="E502" s="530">
        <v>4596</v>
      </c>
      <c r="F502" s="532"/>
      <c r="G502" s="531">
        <v>4862.3999999999996</v>
      </c>
      <c r="H502" s="532"/>
      <c r="I502" s="532"/>
      <c r="J502" s="532"/>
      <c r="K502" s="532"/>
      <c r="L502" s="532"/>
      <c r="M502" s="531">
        <v>9.73</v>
      </c>
      <c r="N502" s="531">
        <v>59.47</v>
      </c>
      <c r="O502" s="532"/>
      <c r="P502" s="532"/>
      <c r="Q502" s="531">
        <v>0</v>
      </c>
      <c r="R502" s="531">
        <v>4931.6000000000004</v>
      </c>
      <c r="S502" s="527">
        <f t="shared" si="66"/>
        <v>4862.3999999999996</v>
      </c>
      <c r="T502" s="528">
        <f t="shared" si="67"/>
        <v>0</v>
      </c>
      <c r="U502" s="527">
        <f t="shared" si="68"/>
        <v>59.47</v>
      </c>
      <c r="W502" s="326">
        <f t="shared" si="64"/>
        <v>4931.5999999999995</v>
      </c>
      <c r="X502" s="261">
        <f t="shared" si="65"/>
        <v>0</v>
      </c>
      <c r="Y502" s="546"/>
      <c r="Z502" s="1016">
        <f t="shared" si="63"/>
        <v>4862.3999999999996</v>
      </c>
      <c r="AA502" s="58"/>
      <c r="AB502" s="58"/>
      <c r="AC502" s="58"/>
      <c r="AD502" s="58"/>
      <c r="AE502" s="58"/>
      <c r="AF502" s="58"/>
      <c r="AG502" s="58"/>
      <c r="AH502" s="58"/>
      <c r="AI502" s="58"/>
      <c r="AJ502" s="58"/>
      <c r="AK502" s="58"/>
      <c r="AL502" s="58"/>
      <c r="AM502" s="58"/>
      <c r="AN502" s="58"/>
      <c r="AO502" s="58"/>
      <c r="AP502" s="58"/>
      <c r="AQ502" s="546"/>
      <c r="AR502" s="546"/>
      <c r="AS502" s="546"/>
      <c r="AT502" s="546"/>
      <c r="AU502" s="546"/>
      <c r="AV502" s="546"/>
      <c r="AW502" s="546"/>
      <c r="AX502" s="546"/>
      <c r="AY502" s="546"/>
      <c r="AZ502" s="546"/>
      <c r="BA502" s="546"/>
      <c r="BB502" s="546"/>
      <c r="BC502" s="546"/>
    </row>
    <row r="503" spans="1:55" ht="12" hidden="1" thickBot="1">
      <c r="A503" s="522" t="s">
        <v>1361</v>
      </c>
      <c r="B503" s="522" t="s">
        <v>384</v>
      </c>
      <c r="C503" s="522" t="s">
        <v>973</v>
      </c>
      <c r="D503" s="533" t="s">
        <v>1035</v>
      </c>
      <c r="E503" s="524">
        <v>3889</v>
      </c>
      <c r="F503" s="526"/>
      <c r="G503" s="525">
        <v>3146.42</v>
      </c>
      <c r="H503" s="526"/>
      <c r="I503" s="526"/>
      <c r="J503" s="526"/>
      <c r="K503" s="526"/>
      <c r="L503" s="526"/>
      <c r="M503" s="525">
        <v>8.26</v>
      </c>
      <c r="N503" s="525">
        <v>38.49</v>
      </c>
      <c r="O503" s="526"/>
      <c r="P503" s="526"/>
      <c r="Q503" s="525">
        <v>0</v>
      </c>
      <c r="R503" s="525">
        <v>3193.17</v>
      </c>
      <c r="S503" s="527">
        <f t="shared" si="66"/>
        <v>3146.42</v>
      </c>
      <c r="T503" s="528">
        <f t="shared" si="67"/>
        <v>0</v>
      </c>
      <c r="U503" s="527">
        <f t="shared" si="68"/>
        <v>38.49</v>
      </c>
      <c r="W503" s="326">
        <f t="shared" si="64"/>
        <v>3193.17</v>
      </c>
      <c r="X503" s="261">
        <f t="shared" si="65"/>
        <v>0</v>
      </c>
      <c r="Y503" s="546"/>
      <c r="Z503" s="1016">
        <f t="shared" si="63"/>
        <v>3146.42</v>
      </c>
      <c r="AA503" s="58"/>
      <c r="AB503" s="58"/>
      <c r="AC503" s="58"/>
      <c r="AD503" s="58"/>
      <c r="AE503" s="58"/>
      <c r="AF503" s="58"/>
      <c r="AG503" s="58"/>
      <c r="AH503" s="58"/>
      <c r="AI503" s="58"/>
      <c r="AJ503" s="58"/>
      <c r="AK503" s="58"/>
      <c r="AL503" s="58"/>
      <c r="AM503" s="58"/>
      <c r="AN503" s="58"/>
      <c r="AO503" s="58"/>
      <c r="AP503" s="58"/>
      <c r="AQ503" s="546"/>
      <c r="AR503" s="546"/>
      <c r="AS503" s="546"/>
      <c r="AT503" s="546"/>
      <c r="AU503" s="546"/>
      <c r="AV503" s="546"/>
      <c r="AW503" s="546"/>
      <c r="AX503" s="546"/>
      <c r="AY503" s="546"/>
      <c r="AZ503" s="546"/>
      <c r="BA503" s="546"/>
      <c r="BB503" s="546"/>
      <c r="BC503" s="546"/>
    </row>
    <row r="504" spans="1:55" ht="12" hidden="1" thickBot="1">
      <c r="A504" s="522" t="s">
        <v>1361</v>
      </c>
      <c r="B504" s="522" t="s">
        <v>386</v>
      </c>
      <c r="C504" s="522" t="s">
        <v>974</v>
      </c>
      <c r="D504" s="533" t="s">
        <v>1036</v>
      </c>
      <c r="E504" s="530">
        <v>752</v>
      </c>
      <c r="F504" s="532"/>
      <c r="G504" s="531">
        <v>863.52</v>
      </c>
      <c r="H504" s="532"/>
      <c r="I504" s="532"/>
      <c r="J504" s="532"/>
      <c r="K504" s="532"/>
      <c r="L504" s="532"/>
      <c r="M504" s="531">
        <v>1.59</v>
      </c>
      <c r="N504" s="531">
        <v>10.55</v>
      </c>
      <c r="O504" s="532"/>
      <c r="P504" s="532"/>
      <c r="Q504" s="531">
        <v>0</v>
      </c>
      <c r="R504" s="531">
        <v>875.66</v>
      </c>
      <c r="S504" s="527">
        <f t="shared" si="66"/>
        <v>863.52</v>
      </c>
      <c r="T504" s="528">
        <f t="shared" si="67"/>
        <v>0</v>
      </c>
      <c r="U504" s="527">
        <f t="shared" si="68"/>
        <v>10.55</v>
      </c>
      <c r="W504" s="326">
        <f t="shared" si="64"/>
        <v>875.66</v>
      </c>
      <c r="X504" s="261">
        <f t="shared" si="65"/>
        <v>0</v>
      </c>
      <c r="Y504" s="546"/>
      <c r="Z504" s="1016">
        <f t="shared" si="63"/>
        <v>863.52</v>
      </c>
      <c r="AA504" s="58"/>
      <c r="AB504" s="58"/>
      <c r="AC504" s="58"/>
      <c r="AD504" s="58"/>
      <c r="AE504" s="58"/>
      <c r="AF504" s="58"/>
      <c r="AG504" s="58"/>
      <c r="AH504" s="58"/>
      <c r="AI504" s="58"/>
      <c r="AJ504" s="58"/>
      <c r="AK504" s="58"/>
      <c r="AL504" s="58"/>
      <c r="AM504" s="58"/>
      <c r="AN504" s="58"/>
      <c r="AO504" s="58"/>
      <c r="AP504" s="58"/>
      <c r="AQ504" s="546"/>
      <c r="AR504" s="546"/>
      <c r="AS504" s="546"/>
      <c r="AT504" s="546"/>
      <c r="AU504" s="546"/>
      <c r="AV504" s="546"/>
      <c r="AW504" s="546"/>
      <c r="AX504" s="546"/>
      <c r="AY504" s="546"/>
      <c r="AZ504" s="546"/>
      <c r="BA504" s="546"/>
      <c r="BB504" s="546"/>
      <c r="BC504" s="546"/>
    </row>
    <row r="505" spans="1:55" ht="12" hidden="1" thickBot="1">
      <c r="A505" s="522" t="s">
        <v>1361</v>
      </c>
      <c r="B505" s="522" t="s">
        <v>409</v>
      </c>
      <c r="C505" s="522" t="s">
        <v>975</v>
      </c>
      <c r="D505" s="533" t="s">
        <v>1036</v>
      </c>
      <c r="E505" s="524">
        <v>3617</v>
      </c>
      <c r="F505" s="526"/>
      <c r="G505" s="525">
        <v>2997.12</v>
      </c>
      <c r="H505" s="526"/>
      <c r="I505" s="526"/>
      <c r="J505" s="526"/>
      <c r="K505" s="526"/>
      <c r="L505" s="526"/>
      <c r="M505" s="525">
        <v>7.66</v>
      </c>
      <c r="N505" s="525">
        <v>36.659999999999997</v>
      </c>
      <c r="O505" s="526"/>
      <c r="P505" s="526"/>
      <c r="Q505" s="525">
        <v>0</v>
      </c>
      <c r="R505" s="525">
        <v>3041.44</v>
      </c>
      <c r="S505" s="527">
        <f t="shared" si="66"/>
        <v>2997.12</v>
      </c>
      <c r="T505" s="528">
        <f t="shared" si="67"/>
        <v>0</v>
      </c>
      <c r="U505" s="527">
        <f t="shared" si="68"/>
        <v>36.659999999999997</v>
      </c>
      <c r="W505" s="326">
        <f t="shared" si="64"/>
        <v>3041.4399999999996</v>
      </c>
      <c r="X505" s="261">
        <f t="shared" si="65"/>
        <v>0</v>
      </c>
      <c r="Y505" s="546"/>
      <c r="Z505" s="1016">
        <f t="shared" si="63"/>
        <v>2997.12</v>
      </c>
      <c r="AA505" s="58"/>
      <c r="AB505" s="58"/>
      <c r="AC505" s="58"/>
      <c r="AD505" s="58"/>
      <c r="AE505" s="58"/>
      <c r="AF505" s="58"/>
      <c r="AG505" s="58"/>
      <c r="AH505" s="58"/>
      <c r="AI505" s="58"/>
      <c r="AJ505" s="58"/>
      <c r="AK505" s="58"/>
      <c r="AL505" s="58"/>
      <c r="AM505" s="58"/>
      <c r="AN505" s="58"/>
      <c r="AO505" s="58"/>
      <c r="AP505" s="58"/>
      <c r="AQ505" s="546"/>
      <c r="AR505" s="546"/>
      <c r="AS505" s="546"/>
      <c r="AT505" s="546"/>
      <c r="AU505" s="546"/>
      <c r="AV505" s="546"/>
      <c r="AW505" s="546"/>
      <c r="AX505" s="546"/>
      <c r="AY505" s="546"/>
      <c r="AZ505" s="546"/>
      <c r="BA505" s="546"/>
      <c r="BB505" s="546"/>
      <c r="BC505" s="546"/>
    </row>
    <row r="506" spans="1:55" ht="12" hidden="1" thickBot="1">
      <c r="A506" s="522" t="s">
        <v>1361</v>
      </c>
      <c r="B506" s="522" t="s">
        <v>387</v>
      </c>
      <c r="C506" s="522" t="s">
        <v>976</v>
      </c>
      <c r="D506" s="533" t="s">
        <v>1035</v>
      </c>
      <c r="E506" s="530">
        <v>568</v>
      </c>
      <c r="F506" s="532"/>
      <c r="G506" s="531">
        <v>647.64</v>
      </c>
      <c r="H506" s="532"/>
      <c r="I506" s="532"/>
      <c r="J506" s="532"/>
      <c r="K506" s="532"/>
      <c r="L506" s="532"/>
      <c r="M506" s="531">
        <v>1.78</v>
      </c>
      <c r="N506" s="531">
        <v>10.39</v>
      </c>
      <c r="O506" s="532"/>
      <c r="P506" s="532"/>
      <c r="Q506" s="531">
        <v>0</v>
      </c>
      <c r="R506" s="531">
        <v>659.81</v>
      </c>
      <c r="S506" s="527">
        <f t="shared" si="66"/>
        <v>647.64</v>
      </c>
      <c r="T506" s="528">
        <f t="shared" si="67"/>
        <v>0</v>
      </c>
      <c r="U506" s="527">
        <f t="shared" si="68"/>
        <v>10.39</v>
      </c>
      <c r="W506" s="326">
        <f t="shared" si="64"/>
        <v>659.81</v>
      </c>
      <c r="X506" s="261">
        <f t="shared" si="65"/>
        <v>0</v>
      </c>
      <c r="Y506" s="546"/>
      <c r="Z506" s="1016">
        <f t="shared" si="63"/>
        <v>647.64</v>
      </c>
      <c r="AA506" s="58"/>
      <c r="AB506" s="58"/>
      <c r="AC506" s="58"/>
      <c r="AD506" s="58"/>
      <c r="AE506" s="58"/>
      <c r="AF506" s="58"/>
      <c r="AG506" s="58"/>
      <c r="AH506" s="58"/>
      <c r="AI506" s="58"/>
      <c r="AJ506" s="58"/>
      <c r="AK506" s="58"/>
      <c r="AL506" s="58"/>
      <c r="AM506" s="58"/>
      <c r="AN506" s="58"/>
      <c r="AO506" s="58"/>
      <c r="AP506" s="58"/>
      <c r="AQ506" s="546"/>
      <c r="AR506" s="546"/>
      <c r="AS506" s="546"/>
      <c r="AT506" s="546"/>
      <c r="AU506" s="546"/>
      <c r="AV506" s="546"/>
      <c r="AW506" s="546"/>
      <c r="AX506" s="546"/>
      <c r="AY506" s="546"/>
      <c r="AZ506" s="546"/>
      <c r="BA506" s="546"/>
      <c r="BB506" s="546"/>
      <c r="BC506" s="546"/>
    </row>
    <row r="507" spans="1:55" ht="12" hidden="1" thickBot="1">
      <c r="A507" s="522" t="s">
        <v>1361</v>
      </c>
      <c r="B507" s="522" t="s">
        <v>410</v>
      </c>
      <c r="C507" s="522" t="s">
        <v>977</v>
      </c>
      <c r="D507" s="533" t="s">
        <v>1035</v>
      </c>
      <c r="E507" s="524">
        <v>381</v>
      </c>
      <c r="F507" s="526"/>
      <c r="G507" s="525">
        <v>312.2</v>
      </c>
      <c r="H507" s="526"/>
      <c r="I507" s="526"/>
      <c r="J507" s="526"/>
      <c r="K507" s="526"/>
      <c r="L507" s="526"/>
      <c r="M507" s="525">
        <v>1.19</v>
      </c>
      <c r="N507" s="525">
        <v>5.01</v>
      </c>
      <c r="O507" s="526"/>
      <c r="P507" s="526"/>
      <c r="Q507" s="525">
        <v>0</v>
      </c>
      <c r="R507" s="525">
        <v>318.39999999999998</v>
      </c>
      <c r="S507" s="527">
        <f t="shared" si="66"/>
        <v>312.2</v>
      </c>
      <c r="T507" s="528">
        <f t="shared" si="67"/>
        <v>0</v>
      </c>
      <c r="U507" s="527">
        <f t="shared" si="68"/>
        <v>5.01</v>
      </c>
      <c r="W507" s="326">
        <f t="shared" si="64"/>
        <v>318.39999999999998</v>
      </c>
      <c r="X507" s="261">
        <f t="shared" si="65"/>
        <v>0</v>
      </c>
      <c r="Y507" s="546"/>
      <c r="Z507" s="1016">
        <f t="shared" si="63"/>
        <v>312.2</v>
      </c>
      <c r="AA507" s="58"/>
      <c r="AB507" s="58"/>
      <c r="AC507" s="58"/>
      <c r="AD507" s="58"/>
      <c r="AE507" s="58"/>
      <c r="AF507" s="58"/>
      <c r="AG507" s="58"/>
      <c r="AH507" s="58"/>
      <c r="AI507" s="58"/>
      <c r="AJ507" s="58"/>
      <c r="AK507" s="58"/>
      <c r="AL507" s="58"/>
      <c r="AM507" s="58"/>
      <c r="AN507" s="58"/>
      <c r="AO507" s="58"/>
      <c r="AP507" s="58"/>
      <c r="AQ507" s="546"/>
      <c r="AR507" s="546"/>
      <c r="AS507" s="546"/>
      <c r="AT507" s="546"/>
      <c r="AU507" s="546"/>
      <c r="AV507" s="546"/>
      <c r="AW507" s="546"/>
      <c r="AX507" s="546"/>
      <c r="AY507" s="546"/>
      <c r="AZ507" s="546"/>
      <c r="BA507" s="546"/>
      <c r="BB507" s="546"/>
      <c r="BC507" s="546"/>
    </row>
    <row r="508" spans="1:55" ht="12" hidden="1" thickBot="1">
      <c r="A508" s="522" t="s">
        <v>1361</v>
      </c>
      <c r="B508" s="522" t="s">
        <v>405</v>
      </c>
      <c r="C508" s="522" t="s">
        <v>978</v>
      </c>
      <c r="D508" s="533" t="s">
        <v>1035</v>
      </c>
      <c r="E508" s="530">
        <v>17721</v>
      </c>
      <c r="F508" s="532"/>
      <c r="G508" s="531">
        <v>7142.4</v>
      </c>
      <c r="H508" s="532"/>
      <c r="I508" s="532"/>
      <c r="J508" s="532"/>
      <c r="K508" s="532"/>
      <c r="L508" s="532"/>
      <c r="M508" s="531">
        <v>42.31</v>
      </c>
      <c r="N508" s="531">
        <v>94.79</v>
      </c>
      <c r="O508" s="532"/>
      <c r="P508" s="532"/>
      <c r="Q508" s="531">
        <v>0</v>
      </c>
      <c r="R508" s="531">
        <v>7279.5</v>
      </c>
      <c r="S508" s="527">
        <f t="shared" si="66"/>
        <v>7142.4</v>
      </c>
      <c r="T508" s="528">
        <f t="shared" si="67"/>
        <v>0</v>
      </c>
      <c r="U508" s="527">
        <f t="shared" si="68"/>
        <v>94.79</v>
      </c>
      <c r="W508" s="326">
        <f t="shared" si="64"/>
        <v>7279.5</v>
      </c>
      <c r="X508" s="261">
        <f t="shared" si="65"/>
        <v>0</v>
      </c>
      <c r="Y508" s="546"/>
      <c r="Z508" s="1016">
        <f t="shared" si="63"/>
        <v>7142.4</v>
      </c>
      <c r="AA508" s="58"/>
      <c r="AB508" s="58"/>
      <c r="AC508" s="58"/>
      <c r="AD508" s="58"/>
      <c r="AE508" s="58"/>
      <c r="AF508" s="58"/>
      <c r="AG508" s="58"/>
      <c r="AH508" s="58"/>
      <c r="AI508" s="58"/>
      <c r="AJ508" s="58"/>
      <c r="AK508" s="58"/>
      <c r="AL508" s="58"/>
      <c r="AM508" s="58"/>
      <c r="AN508" s="58"/>
      <c r="AO508" s="58"/>
      <c r="AP508" s="58"/>
      <c r="AQ508" s="546"/>
      <c r="AR508" s="546"/>
      <c r="AS508" s="546"/>
      <c r="AT508" s="546"/>
      <c r="AU508" s="546"/>
      <c r="AV508" s="546"/>
      <c r="AW508" s="546"/>
      <c r="AX508" s="546"/>
      <c r="AY508" s="546"/>
      <c r="AZ508" s="546"/>
      <c r="BA508" s="546"/>
      <c r="BB508" s="546"/>
      <c r="BC508" s="546"/>
    </row>
    <row r="509" spans="1:55" ht="12" hidden="1" thickBot="1">
      <c r="A509" s="522" t="s">
        <v>1361</v>
      </c>
      <c r="B509" s="522" t="s">
        <v>326</v>
      </c>
      <c r="C509" s="522" t="s">
        <v>979</v>
      </c>
      <c r="D509" s="533" t="s">
        <v>1036</v>
      </c>
      <c r="E509" s="524">
        <v>182</v>
      </c>
      <c r="F509" s="526"/>
      <c r="G509" s="525">
        <v>16.95</v>
      </c>
      <c r="H509" s="526"/>
      <c r="I509" s="526"/>
      <c r="J509" s="526"/>
      <c r="K509" s="526"/>
      <c r="L509" s="526"/>
      <c r="M509" s="525">
        <v>0.5</v>
      </c>
      <c r="N509" s="525">
        <v>0.25</v>
      </c>
      <c r="O509" s="526"/>
      <c r="P509" s="526"/>
      <c r="Q509" s="525">
        <v>0</v>
      </c>
      <c r="R509" s="525">
        <v>17.7</v>
      </c>
      <c r="S509" s="527">
        <f t="shared" si="66"/>
        <v>16.95</v>
      </c>
      <c r="T509" s="528">
        <f t="shared" si="67"/>
        <v>0</v>
      </c>
      <c r="U509" s="527">
        <f t="shared" si="68"/>
        <v>0.25</v>
      </c>
      <c r="W509" s="326">
        <f t="shared" si="64"/>
        <v>17.7</v>
      </c>
      <c r="X509" s="261">
        <f t="shared" si="65"/>
        <v>0</v>
      </c>
      <c r="Y509" s="546"/>
      <c r="Z509" s="1016">
        <f t="shared" si="63"/>
        <v>16.95</v>
      </c>
      <c r="AA509" s="58"/>
      <c r="AB509" s="58"/>
      <c r="AC509" s="58"/>
      <c r="AD509" s="58"/>
      <c r="AE509" s="58"/>
      <c r="AF509" s="58"/>
      <c r="AG509" s="58"/>
      <c r="AH509" s="58"/>
      <c r="AI509" s="58"/>
      <c r="AJ509" s="58"/>
      <c r="AK509" s="58"/>
      <c r="AL509" s="58"/>
      <c r="AM509" s="58"/>
      <c r="AN509" s="58"/>
      <c r="AO509" s="58"/>
      <c r="AP509" s="58"/>
      <c r="AQ509" s="546"/>
      <c r="AR509" s="546"/>
      <c r="AS509" s="546"/>
      <c r="AT509" s="546"/>
      <c r="AU509" s="546"/>
      <c r="AV509" s="546"/>
      <c r="AW509" s="546"/>
      <c r="AX509" s="546"/>
      <c r="AY509" s="546"/>
      <c r="AZ509" s="546"/>
      <c r="BA509" s="546"/>
      <c r="BB509" s="546"/>
      <c r="BC509" s="546"/>
    </row>
    <row r="510" spans="1:55" ht="12" hidden="1" thickBot="1">
      <c r="A510" s="522" t="s">
        <v>1361</v>
      </c>
      <c r="B510" s="522" t="s">
        <v>356</v>
      </c>
      <c r="C510" s="522" t="s">
        <v>980</v>
      </c>
      <c r="D510" s="533" t="s">
        <v>1036</v>
      </c>
      <c r="E510" s="530">
        <v>44244</v>
      </c>
      <c r="F510" s="532"/>
      <c r="G510" s="531">
        <v>3065.12</v>
      </c>
      <c r="H510" s="532"/>
      <c r="I510" s="532"/>
      <c r="J510" s="532"/>
      <c r="K510" s="532"/>
      <c r="L510" s="532"/>
      <c r="M510" s="531">
        <v>105.31</v>
      </c>
      <c r="N510" s="531">
        <v>41.74</v>
      </c>
      <c r="O510" s="532"/>
      <c r="P510" s="532"/>
      <c r="Q510" s="531">
        <v>0</v>
      </c>
      <c r="R510" s="531">
        <v>3212.17</v>
      </c>
      <c r="S510" s="527">
        <f t="shared" si="66"/>
        <v>3065.12</v>
      </c>
      <c r="T510" s="528">
        <f t="shared" si="67"/>
        <v>0</v>
      </c>
      <c r="U510" s="527">
        <f t="shared" si="68"/>
        <v>41.74</v>
      </c>
      <c r="W510" s="326">
        <f t="shared" si="64"/>
        <v>3212.1699999999996</v>
      </c>
      <c r="X510" s="261">
        <f t="shared" si="65"/>
        <v>0</v>
      </c>
      <c r="Y510" s="546"/>
      <c r="Z510" s="1016">
        <f t="shared" si="63"/>
        <v>3065.12</v>
      </c>
      <c r="AA510" s="58"/>
      <c r="AB510" s="58"/>
      <c r="AC510" s="58"/>
      <c r="AD510" s="58"/>
      <c r="AE510" s="58"/>
      <c r="AF510" s="58"/>
      <c r="AG510" s="58"/>
      <c r="AH510" s="58"/>
      <c r="AI510" s="58"/>
      <c r="AJ510" s="58"/>
      <c r="AK510" s="58"/>
      <c r="AL510" s="58"/>
      <c r="AM510" s="58"/>
      <c r="AN510" s="58"/>
      <c r="AO510" s="58"/>
      <c r="AP510" s="58"/>
      <c r="AQ510" s="546"/>
      <c r="AR510" s="546"/>
      <c r="AS510" s="546"/>
      <c r="AT510" s="546"/>
      <c r="AU510" s="546"/>
      <c r="AV510" s="546"/>
      <c r="AW510" s="546"/>
      <c r="AX510" s="546"/>
      <c r="AY510" s="546"/>
      <c r="AZ510" s="546"/>
      <c r="BA510" s="546"/>
      <c r="BB510" s="546"/>
      <c r="BC510" s="546"/>
    </row>
    <row r="511" spans="1:55" ht="12" hidden="1" thickBot="1">
      <c r="A511" s="522" t="s">
        <v>1361</v>
      </c>
      <c r="B511" s="522" t="s">
        <v>374</v>
      </c>
      <c r="C511" s="522" t="s">
        <v>981</v>
      </c>
      <c r="D511" s="533" t="s">
        <v>1036</v>
      </c>
      <c r="E511" s="524">
        <v>7032</v>
      </c>
      <c r="F511" s="526"/>
      <c r="G511" s="525">
        <v>440.7</v>
      </c>
      <c r="H511" s="526"/>
      <c r="I511" s="526"/>
      <c r="J511" s="526"/>
      <c r="K511" s="526"/>
      <c r="L511" s="526"/>
      <c r="M511" s="525">
        <v>19.89</v>
      </c>
      <c r="N511" s="525">
        <v>6.85</v>
      </c>
      <c r="O511" s="526"/>
      <c r="P511" s="526"/>
      <c r="Q511" s="525">
        <v>0</v>
      </c>
      <c r="R511" s="525">
        <v>467.44</v>
      </c>
      <c r="S511" s="527">
        <f t="shared" si="66"/>
        <v>440.7</v>
      </c>
      <c r="T511" s="528">
        <f t="shared" si="67"/>
        <v>0</v>
      </c>
      <c r="U511" s="527">
        <f t="shared" si="68"/>
        <v>6.85</v>
      </c>
      <c r="W511" s="326">
        <f t="shared" si="64"/>
        <v>467.44</v>
      </c>
      <c r="X511" s="261">
        <f t="shared" si="65"/>
        <v>0</v>
      </c>
      <c r="Y511" s="546"/>
      <c r="Z511" s="1016">
        <f t="shared" si="63"/>
        <v>440.7</v>
      </c>
      <c r="AA511" s="58"/>
      <c r="AB511" s="58"/>
      <c r="AC511" s="58"/>
      <c r="AD511" s="58"/>
      <c r="AE511" s="58"/>
      <c r="AF511" s="58"/>
      <c r="AG511" s="58"/>
      <c r="AH511" s="58"/>
      <c r="AI511" s="58"/>
      <c r="AJ511" s="58"/>
      <c r="AK511" s="58"/>
      <c r="AL511" s="58"/>
      <c r="AM511" s="58"/>
      <c r="AN511" s="58"/>
      <c r="AO511" s="58"/>
      <c r="AP511" s="58"/>
      <c r="AQ511" s="546"/>
      <c r="AR511" s="546"/>
      <c r="AS511" s="546"/>
      <c r="AT511" s="546"/>
      <c r="AU511" s="546"/>
      <c r="AV511" s="546"/>
      <c r="AW511" s="546"/>
      <c r="AX511" s="546"/>
      <c r="AY511" s="546"/>
      <c r="AZ511" s="546"/>
      <c r="BA511" s="546"/>
      <c r="BB511" s="546"/>
      <c r="BC511" s="546"/>
    </row>
    <row r="512" spans="1:55" ht="12" hidden="1" thickBot="1">
      <c r="A512" s="522" t="s">
        <v>1361</v>
      </c>
      <c r="B512" s="522" t="s">
        <v>399</v>
      </c>
      <c r="C512" s="522" t="s">
        <v>982</v>
      </c>
      <c r="D512" s="533" t="s">
        <v>1036</v>
      </c>
      <c r="E512" s="530">
        <v>283</v>
      </c>
      <c r="F512" s="532"/>
      <c r="G512" s="531">
        <v>18.12</v>
      </c>
      <c r="H512" s="532"/>
      <c r="I512" s="532"/>
      <c r="J512" s="532"/>
      <c r="K512" s="532"/>
      <c r="L512" s="532"/>
      <c r="M512" s="531">
        <v>0.6</v>
      </c>
      <c r="N512" s="531">
        <v>0.22</v>
      </c>
      <c r="O512" s="532"/>
      <c r="P512" s="532"/>
      <c r="Q512" s="531">
        <v>0</v>
      </c>
      <c r="R512" s="531">
        <v>18.940000000000001</v>
      </c>
      <c r="S512" s="527">
        <f t="shared" si="66"/>
        <v>18.12</v>
      </c>
      <c r="T512" s="528">
        <f t="shared" si="67"/>
        <v>0</v>
      </c>
      <c r="U512" s="527">
        <f t="shared" si="68"/>
        <v>0.22</v>
      </c>
      <c r="W512" s="326">
        <f t="shared" si="64"/>
        <v>18.940000000000001</v>
      </c>
      <c r="X512" s="261">
        <f t="shared" si="65"/>
        <v>0</v>
      </c>
      <c r="Y512" s="546"/>
      <c r="Z512" s="1016">
        <f t="shared" si="63"/>
        <v>18.12</v>
      </c>
      <c r="AA512" s="58"/>
      <c r="AB512" s="58"/>
      <c r="AC512" s="58"/>
      <c r="AD512" s="58"/>
      <c r="AE512" s="58"/>
      <c r="AF512" s="58"/>
      <c r="AG512" s="58"/>
      <c r="AH512" s="58"/>
      <c r="AI512" s="58"/>
      <c r="AJ512" s="58"/>
      <c r="AK512" s="58"/>
      <c r="AL512" s="58"/>
      <c r="AM512" s="58"/>
      <c r="AN512" s="58"/>
      <c r="AO512" s="58"/>
      <c r="AP512" s="58"/>
      <c r="AQ512" s="546"/>
      <c r="AR512" s="546"/>
      <c r="AS512" s="546"/>
      <c r="AT512" s="546"/>
      <c r="AU512" s="546"/>
      <c r="AV512" s="546"/>
      <c r="AW512" s="546"/>
      <c r="AX512" s="546"/>
      <c r="AY512" s="546"/>
      <c r="AZ512" s="546"/>
      <c r="BA512" s="546"/>
      <c r="BB512" s="546"/>
      <c r="BC512" s="546"/>
    </row>
    <row r="513" spans="1:55" ht="12" hidden="1" thickBot="1">
      <c r="A513" s="522" t="s">
        <v>1361</v>
      </c>
      <c r="B513" s="522" t="s">
        <v>391</v>
      </c>
      <c r="C513" s="522" t="s">
        <v>983</v>
      </c>
      <c r="D513" s="533" t="s">
        <v>1036</v>
      </c>
      <c r="E513" s="524">
        <v>4517</v>
      </c>
      <c r="F513" s="526"/>
      <c r="G513" s="525">
        <v>1272.74</v>
      </c>
      <c r="H513" s="526"/>
      <c r="I513" s="526"/>
      <c r="J513" s="526"/>
      <c r="K513" s="526"/>
      <c r="L513" s="526"/>
      <c r="M513" s="525">
        <v>9.92</v>
      </c>
      <c r="N513" s="525">
        <v>15.4</v>
      </c>
      <c r="O513" s="526"/>
      <c r="P513" s="526"/>
      <c r="Q513" s="525">
        <v>0</v>
      </c>
      <c r="R513" s="525">
        <v>1298.06</v>
      </c>
      <c r="S513" s="527">
        <f t="shared" si="66"/>
        <v>1272.74</v>
      </c>
      <c r="T513" s="528">
        <f t="shared" si="67"/>
        <v>0</v>
      </c>
      <c r="U513" s="527">
        <f t="shared" si="68"/>
        <v>15.4</v>
      </c>
      <c r="W513" s="326">
        <f t="shared" si="64"/>
        <v>1298.0600000000002</v>
      </c>
      <c r="X513" s="261">
        <f t="shared" si="65"/>
        <v>0</v>
      </c>
      <c r="Y513" s="546"/>
      <c r="Z513" s="1016">
        <f t="shared" ref="Z513:Z576" si="69">SUM(F513:K513)</f>
        <v>1272.74</v>
      </c>
      <c r="AA513" s="58"/>
      <c r="AB513" s="58"/>
      <c r="AC513" s="58"/>
      <c r="AD513" s="58"/>
      <c r="AE513" s="58"/>
      <c r="AF513" s="58"/>
      <c r="AG513" s="58"/>
      <c r="AH513" s="58"/>
      <c r="AI513" s="58"/>
      <c r="AJ513" s="58"/>
      <c r="AK513" s="58"/>
      <c r="AL513" s="58"/>
      <c r="AM513" s="58"/>
      <c r="AN513" s="58"/>
      <c r="AO513" s="58"/>
      <c r="AP513" s="58"/>
      <c r="AQ513" s="546"/>
      <c r="AR513" s="546"/>
      <c r="AS513" s="546"/>
      <c r="AT513" s="546"/>
      <c r="AU513" s="546"/>
      <c r="AV513" s="546"/>
      <c r="AW513" s="546"/>
      <c r="AX513" s="546"/>
      <c r="AY513" s="546"/>
      <c r="AZ513" s="546"/>
      <c r="BA513" s="546"/>
      <c r="BB513" s="546"/>
      <c r="BC513" s="546"/>
    </row>
    <row r="514" spans="1:55" ht="12" hidden="1" thickBot="1">
      <c r="A514" s="522" t="s">
        <v>1361</v>
      </c>
      <c r="B514" s="522" t="s">
        <v>416</v>
      </c>
      <c r="C514" s="522" t="s">
        <v>984</v>
      </c>
      <c r="D514" s="533" t="s">
        <v>1035</v>
      </c>
      <c r="E514" s="530">
        <v>1360504</v>
      </c>
      <c r="F514" s="532"/>
      <c r="G514" s="531">
        <v>285573.15000000002</v>
      </c>
      <c r="H514" s="532"/>
      <c r="I514" s="532"/>
      <c r="J514" s="532"/>
      <c r="K514" s="532"/>
      <c r="L514" s="532"/>
      <c r="M514" s="531">
        <v>2917.74</v>
      </c>
      <c r="N514" s="531">
        <v>3618.61</v>
      </c>
      <c r="O514" s="532"/>
      <c r="P514" s="532"/>
      <c r="Q514" s="531">
        <v>0</v>
      </c>
      <c r="R514" s="531">
        <v>292109.5</v>
      </c>
      <c r="S514" s="527">
        <f t="shared" si="66"/>
        <v>285573.15000000002</v>
      </c>
      <c r="T514" s="528">
        <f t="shared" si="67"/>
        <v>0</v>
      </c>
      <c r="U514" s="527">
        <f t="shared" si="68"/>
        <v>3618.61</v>
      </c>
      <c r="W514" s="326">
        <f t="shared" si="64"/>
        <v>292109.5</v>
      </c>
      <c r="X514" s="261">
        <f t="shared" si="65"/>
        <v>0</v>
      </c>
      <c r="Y514" s="546"/>
      <c r="Z514" s="1016">
        <f t="shared" si="69"/>
        <v>285573.15000000002</v>
      </c>
      <c r="AA514" s="58"/>
      <c r="AB514" s="58"/>
      <c r="AC514" s="58"/>
      <c r="AD514" s="58"/>
      <c r="AE514" s="58"/>
      <c r="AF514" s="58"/>
      <c r="AG514" s="58"/>
      <c r="AH514" s="58"/>
      <c r="AI514" s="58"/>
      <c r="AJ514" s="58"/>
      <c r="AK514" s="58"/>
      <c r="AL514" s="58"/>
      <c r="AM514" s="58"/>
      <c r="AN514" s="58"/>
      <c r="AO514" s="58"/>
      <c r="AP514" s="58"/>
      <c r="AQ514" s="546"/>
      <c r="AR514" s="546"/>
      <c r="AS514" s="546"/>
      <c r="AT514" s="546"/>
      <c r="AU514" s="546"/>
      <c r="AV514" s="546"/>
      <c r="AW514" s="546"/>
      <c r="AX514" s="546"/>
      <c r="AY514" s="546"/>
      <c r="AZ514" s="546"/>
      <c r="BA514" s="546"/>
      <c r="BB514" s="546"/>
      <c r="BC514" s="546"/>
    </row>
    <row r="515" spans="1:55" ht="12" hidden="1" thickBot="1">
      <c r="A515" s="522" t="s">
        <v>1361</v>
      </c>
      <c r="B515" s="522" t="s">
        <v>407</v>
      </c>
      <c r="C515" s="522" t="s">
        <v>985</v>
      </c>
      <c r="D515" s="533" t="s">
        <v>1035</v>
      </c>
      <c r="E515" s="524">
        <v>44594</v>
      </c>
      <c r="F515" s="526"/>
      <c r="G515" s="525">
        <v>25960</v>
      </c>
      <c r="H515" s="526"/>
      <c r="I515" s="526"/>
      <c r="J515" s="526"/>
      <c r="K515" s="526"/>
      <c r="L515" s="526"/>
      <c r="M515" s="525">
        <v>103.02</v>
      </c>
      <c r="N515" s="525">
        <v>335.45</v>
      </c>
      <c r="O515" s="526"/>
      <c r="P515" s="526"/>
      <c r="Q515" s="525">
        <v>0</v>
      </c>
      <c r="R515" s="525">
        <v>26398.47</v>
      </c>
      <c r="S515" s="527">
        <f t="shared" si="66"/>
        <v>25960</v>
      </c>
      <c r="T515" s="528">
        <f t="shared" si="67"/>
        <v>0</v>
      </c>
      <c r="U515" s="527">
        <f t="shared" si="68"/>
        <v>335.45</v>
      </c>
      <c r="W515" s="326">
        <f t="shared" si="64"/>
        <v>26398.47</v>
      </c>
      <c r="X515" s="261">
        <f t="shared" si="65"/>
        <v>0</v>
      </c>
      <c r="Y515" s="546"/>
      <c r="Z515" s="1016">
        <f t="shared" si="69"/>
        <v>25960</v>
      </c>
      <c r="AA515" s="58"/>
      <c r="AB515" s="58"/>
      <c r="AC515" s="58"/>
      <c r="AD515" s="58"/>
      <c r="AE515" s="58"/>
      <c r="AF515" s="58"/>
      <c r="AG515" s="58"/>
      <c r="AH515" s="58"/>
      <c r="AI515" s="58"/>
      <c r="AJ515" s="58"/>
      <c r="AK515" s="58"/>
      <c r="AL515" s="58"/>
      <c r="AM515" s="58"/>
      <c r="AN515" s="58"/>
      <c r="AO515" s="58"/>
      <c r="AP515" s="58"/>
      <c r="AQ515" s="546"/>
      <c r="AR515" s="546"/>
      <c r="AS515" s="546"/>
      <c r="AT515" s="546"/>
      <c r="AU515" s="546"/>
      <c r="AV515" s="546"/>
      <c r="AW515" s="546"/>
      <c r="AX515" s="546"/>
      <c r="AY515" s="546"/>
      <c r="AZ515" s="546"/>
      <c r="BA515" s="546"/>
      <c r="BB515" s="546"/>
      <c r="BC515" s="546"/>
    </row>
    <row r="516" spans="1:55" ht="12" hidden="1" thickBot="1">
      <c r="A516" s="522" t="s">
        <v>1361</v>
      </c>
      <c r="B516" s="522" t="s">
        <v>373</v>
      </c>
      <c r="C516" s="522" t="s">
        <v>986</v>
      </c>
      <c r="D516" s="533" t="s">
        <v>1036</v>
      </c>
      <c r="E516" s="530">
        <v>547</v>
      </c>
      <c r="F516" s="532"/>
      <c r="G516" s="531">
        <v>38.700000000000003</v>
      </c>
      <c r="H516" s="532"/>
      <c r="I516" s="532"/>
      <c r="J516" s="532"/>
      <c r="K516" s="532"/>
      <c r="L516" s="532"/>
      <c r="M516" s="531">
        <v>1.7</v>
      </c>
      <c r="N516" s="531">
        <v>0.65</v>
      </c>
      <c r="O516" s="532"/>
      <c r="P516" s="532"/>
      <c r="Q516" s="531">
        <v>0</v>
      </c>
      <c r="R516" s="531">
        <v>41.05</v>
      </c>
      <c r="S516" s="527">
        <f t="shared" si="66"/>
        <v>38.700000000000003</v>
      </c>
      <c r="T516" s="528">
        <f t="shared" si="67"/>
        <v>0</v>
      </c>
      <c r="U516" s="527">
        <f t="shared" si="68"/>
        <v>0.65</v>
      </c>
      <c r="W516" s="326">
        <f t="shared" si="64"/>
        <v>41.050000000000004</v>
      </c>
      <c r="X516" s="261">
        <f t="shared" si="65"/>
        <v>0</v>
      </c>
      <c r="Y516" s="546"/>
      <c r="Z516" s="1016">
        <f t="shared" si="69"/>
        <v>38.700000000000003</v>
      </c>
      <c r="AA516" s="58"/>
      <c r="AB516" s="58"/>
      <c r="AC516" s="58"/>
      <c r="AD516" s="58"/>
      <c r="AE516" s="58"/>
      <c r="AF516" s="58"/>
      <c r="AG516" s="58"/>
      <c r="AH516" s="58"/>
      <c r="AI516" s="58"/>
      <c r="AJ516" s="58"/>
      <c r="AK516" s="58"/>
      <c r="AL516" s="58"/>
      <c r="AM516" s="58"/>
      <c r="AN516" s="58"/>
      <c r="AO516" s="58"/>
      <c r="AP516" s="58"/>
      <c r="AQ516" s="546"/>
      <c r="AR516" s="546"/>
      <c r="AS516" s="546"/>
      <c r="AT516" s="546"/>
      <c r="AU516" s="546"/>
      <c r="AV516" s="546"/>
      <c r="AW516" s="546"/>
      <c r="AX516" s="546"/>
      <c r="AY516" s="546"/>
      <c r="AZ516" s="546"/>
      <c r="BA516" s="546"/>
      <c r="BB516" s="546"/>
      <c r="BC516" s="546"/>
    </row>
    <row r="517" spans="1:55" ht="12" hidden="1" thickBot="1">
      <c r="A517" s="522" t="s">
        <v>1361</v>
      </c>
      <c r="B517" s="522" t="s">
        <v>375</v>
      </c>
      <c r="C517" s="522" t="s">
        <v>987</v>
      </c>
      <c r="D517" s="533" t="s">
        <v>1036</v>
      </c>
      <c r="E517" s="524">
        <v>39</v>
      </c>
      <c r="F517" s="526"/>
      <c r="G517" s="525">
        <v>27.22</v>
      </c>
      <c r="H517" s="526"/>
      <c r="I517" s="526"/>
      <c r="J517" s="526"/>
      <c r="K517" s="526"/>
      <c r="L517" s="526"/>
      <c r="M517" s="525">
        <v>0.08</v>
      </c>
      <c r="N517" s="525">
        <v>0.34</v>
      </c>
      <c r="O517" s="526"/>
      <c r="P517" s="526"/>
      <c r="Q517" s="525">
        <v>0</v>
      </c>
      <c r="R517" s="525">
        <v>27.64</v>
      </c>
      <c r="S517" s="527">
        <f t="shared" si="66"/>
        <v>27.22</v>
      </c>
      <c r="T517" s="528">
        <f t="shared" si="67"/>
        <v>0</v>
      </c>
      <c r="U517" s="527">
        <f t="shared" si="68"/>
        <v>0.34</v>
      </c>
      <c r="W517" s="326">
        <f t="shared" si="64"/>
        <v>27.639999999999997</v>
      </c>
      <c r="X517" s="261">
        <f t="shared" si="65"/>
        <v>0</v>
      </c>
      <c r="Y517" s="546"/>
      <c r="Z517" s="1016">
        <f t="shared" si="69"/>
        <v>27.22</v>
      </c>
      <c r="AA517" s="58"/>
      <c r="AB517" s="58"/>
      <c r="AC517" s="58"/>
      <c r="AD517" s="58"/>
      <c r="AE517" s="58"/>
      <c r="AF517" s="58"/>
      <c r="AG517" s="58"/>
      <c r="AH517" s="58"/>
      <c r="AI517" s="58"/>
      <c r="AJ517" s="58"/>
      <c r="AK517" s="58"/>
      <c r="AL517" s="58"/>
      <c r="AM517" s="58"/>
      <c r="AN517" s="58"/>
      <c r="AO517" s="58"/>
      <c r="AP517" s="58"/>
      <c r="AQ517" s="546"/>
      <c r="AR517" s="546"/>
      <c r="AS517" s="546"/>
      <c r="AT517" s="546"/>
      <c r="AU517" s="546"/>
      <c r="AV517" s="546"/>
      <c r="AW517" s="546"/>
      <c r="AX517" s="546"/>
      <c r="AY517" s="546"/>
      <c r="AZ517" s="546"/>
      <c r="BA517" s="546"/>
      <c r="BB517" s="546"/>
      <c r="BC517" s="546"/>
    </row>
    <row r="518" spans="1:55" ht="12" hidden="1" thickBot="1">
      <c r="A518" s="522" t="s">
        <v>1361</v>
      </c>
      <c r="B518" s="522" t="s">
        <v>401</v>
      </c>
      <c r="C518" s="522" t="s">
        <v>988</v>
      </c>
      <c r="D518" s="533" t="s">
        <v>1036</v>
      </c>
      <c r="E518" s="530">
        <v>71543</v>
      </c>
      <c r="F518" s="532"/>
      <c r="G518" s="531">
        <v>10327.11</v>
      </c>
      <c r="H518" s="532"/>
      <c r="I518" s="532"/>
      <c r="J518" s="532"/>
      <c r="K518" s="532"/>
      <c r="L518" s="532"/>
      <c r="M518" s="531">
        <v>165.41</v>
      </c>
      <c r="N518" s="531">
        <v>135.49</v>
      </c>
      <c r="O518" s="532"/>
      <c r="P518" s="532"/>
      <c r="Q518" s="531">
        <v>0</v>
      </c>
      <c r="R518" s="531">
        <v>10628.01</v>
      </c>
      <c r="S518" s="527">
        <f t="shared" si="66"/>
        <v>10327.11</v>
      </c>
      <c r="T518" s="528">
        <f t="shared" si="67"/>
        <v>0</v>
      </c>
      <c r="U518" s="527">
        <f t="shared" si="68"/>
        <v>135.49</v>
      </c>
      <c r="W518" s="326">
        <f t="shared" si="64"/>
        <v>10628.01</v>
      </c>
      <c r="X518" s="261">
        <f t="shared" si="65"/>
        <v>0</v>
      </c>
      <c r="Y518" s="546"/>
      <c r="Z518" s="1016">
        <f t="shared" si="69"/>
        <v>10327.11</v>
      </c>
      <c r="AA518" s="58"/>
      <c r="AB518" s="58"/>
      <c r="AC518" s="58"/>
      <c r="AD518" s="58"/>
      <c r="AE518" s="58"/>
      <c r="AF518" s="58"/>
      <c r="AG518" s="58"/>
      <c r="AH518" s="58"/>
      <c r="AI518" s="58"/>
      <c r="AJ518" s="58"/>
      <c r="AK518" s="58"/>
      <c r="AL518" s="58"/>
      <c r="AM518" s="58"/>
      <c r="AN518" s="58"/>
      <c r="AO518" s="58"/>
      <c r="AP518" s="58"/>
      <c r="AQ518" s="546"/>
      <c r="AR518" s="546"/>
      <c r="AS518" s="546"/>
      <c r="AT518" s="546"/>
      <c r="AU518" s="546"/>
      <c r="AV518" s="546"/>
      <c r="AW518" s="546"/>
      <c r="AX518" s="546"/>
      <c r="AY518" s="546"/>
      <c r="AZ518" s="546"/>
      <c r="BA518" s="546"/>
      <c r="BB518" s="546"/>
      <c r="BC518" s="546"/>
    </row>
    <row r="519" spans="1:55" ht="12" hidden="1" thickBot="1">
      <c r="A519" s="522" t="s">
        <v>1361</v>
      </c>
      <c r="B519" s="522" t="s">
        <v>328</v>
      </c>
      <c r="C519" s="522" t="s">
        <v>989</v>
      </c>
      <c r="D519" s="533" t="s">
        <v>1036</v>
      </c>
      <c r="E519" s="524">
        <v>71643</v>
      </c>
      <c r="F519" s="526"/>
      <c r="G519" s="525">
        <v>8399.44</v>
      </c>
      <c r="H519" s="526"/>
      <c r="I519" s="526"/>
      <c r="J519" s="526"/>
      <c r="K519" s="526"/>
      <c r="L519" s="526"/>
      <c r="M519" s="525">
        <v>220.74</v>
      </c>
      <c r="N519" s="525">
        <v>136.61000000000001</v>
      </c>
      <c r="O519" s="526"/>
      <c r="P519" s="526"/>
      <c r="Q519" s="525">
        <v>0</v>
      </c>
      <c r="R519" s="525">
        <v>8756.7900000000009</v>
      </c>
      <c r="S519" s="527">
        <f t="shared" si="66"/>
        <v>8399.44</v>
      </c>
      <c r="T519" s="528">
        <f t="shared" si="67"/>
        <v>0</v>
      </c>
      <c r="U519" s="527">
        <f t="shared" si="68"/>
        <v>136.61000000000001</v>
      </c>
      <c r="W519" s="326">
        <f t="shared" si="64"/>
        <v>8756.7900000000009</v>
      </c>
      <c r="X519" s="261">
        <f t="shared" si="65"/>
        <v>0</v>
      </c>
      <c r="Y519" s="546"/>
      <c r="Z519" s="1016">
        <f t="shared" si="69"/>
        <v>8399.44</v>
      </c>
      <c r="AA519" s="58"/>
      <c r="AB519" s="58"/>
      <c r="AC519" s="58"/>
      <c r="AD519" s="58"/>
      <c r="AE519" s="58"/>
      <c r="AF519" s="58"/>
      <c r="AG519" s="58"/>
      <c r="AH519" s="58"/>
      <c r="AI519" s="58"/>
      <c r="AJ519" s="58"/>
      <c r="AK519" s="58"/>
      <c r="AL519" s="58"/>
      <c r="AM519" s="58"/>
      <c r="AN519" s="58"/>
      <c r="AO519" s="58"/>
      <c r="AP519" s="58"/>
      <c r="AQ519" s="546"/>
      <c r="AR519" s="546"/>
      <c r="AS519" s="546"/>
      <c r="AT519" s="546"/>
      <c r="AU519" s="546"/>
      <c r="AV519" s="546"/>
      <c r="AW519" s="546"/>
      <c r="AX519" s="546"/>
      <c r="AY519" s="546"/>
      <c r="AZ519" s="546"/>
      <c r="BA519" s="546"/>
      <c r="BB519" s="546"/>
      <c r="BC519" s="546"/>
    </row>
    <row r="520" spans="1:55" ht="12" hidden="1" thickBot="1">
      <c r="A520" s="522" t="s">
        <v>1361</v>
      </c>
      <c r="B520" s="522" t="s">
        <v>437</v>
      </c>
      <c r="C520" s="522" t="s">
        <v>990</v>
      </c>
      <c r="D520" s="533" t="s">
        <v>1036</v>
      </c>
      <c r="E520" s="530">
        <v>213646</v>
      </c>
      <c r="F520" s="532"/>
      <c r="G520" s="531">
        <v>18933.18</v>
      </c>
      <c r="H520" s="532"/>
      <c r="I520" s="532"/>
      <c r="J520" s="532"/>
      <c r="K520" s="532"/>
      <c r="L520" s="532"/>
      <c r="M520" s="531">
        <v>542.19000000000005</v>
      </c>
      <c r="N520" s="531">
        <v>267.81</v>
      </c>
      <c r="O520" s="532"/>
      <c r="P520" s="532"/>
      <c r="Q520" s="531">
        <v>0</v>
      </c>
      <c r="R520" s="531">
        <v>19743.18</v>
      </c>
      <c r="S520" s="527">
        <f t="shared" si="66"/>
        <v>18933.18</v>
      </c>
      <c r="T520" s="528">
        <f t="shared" si="67"/>
        <v>0</v>
      </c>
      <c r="U520" s="527">
        <f t="shared" si="68"/>
        <v>267.81</v>
      </c>
      <c r="W520" s="326">
        <f t="shared" si="64"/>
        <v>19743.18</v>
      </c>
      <c r="X520" s="261">
        <f t="shared" si="65"/>
        <v>0</v>
      </c>
      <c r="Y520" s="546"/>
      <c r="Z520" s="1016">
        <f t="shared" si="69"/>
        <v>18933.18</v>
      </c>
      <c r="AA520" s="58"/>
      <c r="AB520" s="58"/>
      <c r="AC520" s="58"/>
      <c r="AD520" s="58"/>
      <c r="AE520" s="58"/>
      <c r="AF520" s="58"/>
      <c r="AG520" s="58"/>
      <c r="AH520" s="58"/>
      <c r="AI520" s="58"/>
      <c r="AJ520" s="58"/>
      <c r="AK520" s="58"/>
      <c r="AL520" s="58"/>
      <c r="AM520" s="58"/>
      <c r="AN520" s="58"/>
      <c r="AO520" s="58"/>
      <c r="AP520" s="58"/>
      <c r="AQ520" s="546"/>
      <c r="AR520" s="546"/>
      <c r="AS520" s="546"/>
      <c r="AT520" s="546"/>
      <c r="AU520" s="546"/>
      <c r="AV520" s="546"/>
      <c r="AW520" s="546"/>
      <c r="AX520" s="546"/>
      <c r="AY520" s="546"/>
      <c r="AZ520" s="546"/>
      <c r="BA520" s="546"/>
      <c r="BB520" s="546"/>
      <c r="BC520" s="546"/>
    </row>
    <row r="521" spans="1:55" ht="12" hidden="1" thickBot="1">
      <c r="A521" s="522" t="s">
        <v>1361</v>
      </c>
      <c r="B521" s="522" t="s">
        <v>338</v>
      </c>
      <c r="C521" s="522" t="s">
        <v>991</v>
      </c>
      <c r="D521" s="533" t="s">
        <v>1035</v>
      </c>
      <c r="E521" s="524">
        <v>31479</v>
      </c>
      <c r="F521" s="526"/>
      <c r="G521" s="525">
        <v>9382.68</v>
      </c>
      <c r="H521" s="526"/>
      <c r="I521" s="526"/>
      <c r="J521" s="526"/>
      <c r="K521" s="526"/>
      <c r="L521" s="526"/>
      <c r="M521" s="525">
        <v>68.2</v>
      </c>
      <c r="N521" s="525">
        <v>118</v>
      </c>
      <c r="O521" s="526"/>
      <c r="P521" s="526"/>
      <c r="Q521" s="525">
        <v>0</v>
      </c>
      <c r="R521" s="525">
        <v>9568.8799999999992</v>
      </c>
      <c r="S521" s="527">
        <f t="shared" si="66"/>
        <v>9382.68</v>
      </c>
      <c r="T521" s="528">
        <f t="shared" si="67"/>
        <v>0</v>
      </c>
      <c r="U521" s="527">
        <f t="shared" si="68"/>
        <v>118</v>
      </c>
      <c r="W521" s="326">
        <f t="shared" si="64"/>
        <v>9568.880000000001</v>
      </c>
      <c r="X521" s="261">
        <f t="shared" si="65"/>
        <v>0</v>
      </c>
      <c r="Y521" s="546"/>
      <c r="Z521" s="1016">
        <f t="shared" si="69"/>
        <v>9382.68</v>
      </c>
      <c r="AA521" s="58"/>
      <c r="AB521" s="58"/>
      <c r="AC521" s="58"/>
      <c r="AD521" s="58"/>
      <c r="AE521" s="58"/>
      <c r="AF521" s="58"/>
      <c r="AG521" s="58"/>
      <c r="AH521" s="58"/>
      <c r="AI521" s="58"/>
      <c r="AJ521" s="58"/>
      <c r="AK521" s="58"/>
      <c r="AL521" s="58"/>
      <c r="AM521" s="58"/>
      <c r="AN521" s="58"/>
      <c r="AO521" s="58"/>
      <c r="AP521" s="58"/>
      <c r="AQ521" s="546"/>
      <c r="AR521" s="546"/>
      <c r="AS521" s="546"/>
      <c r="AT521" s="546"/>
      <c r="AU521" s="546"/>
      <c r="AV521" s="546"/>
      <c r="AW521" s="546"/>
      <c r="AX521" s="546"/>
      <c r="AY521" s="546"/>
      <c r="AZ521" s="546"/>
      <c r="BA521" s="546"/>
      <c r="BB521" s="546"/>
      <c r="BC521" s="546"/>
    </row>
    <row r="522" spans="1:55" ht="12" hidden="1" thickBot="1">
      <c r="A522" s="522" t="s">
        <v>1361</v>
      </c>
      <c r="B522" s="522" t="s">
        <v>370</v>
      </c>
      <c r="C522" s="522" t="s">
        <v>992</v>
      </c>
      <c r="D522" s="533" t="s">
        <v>1035</v>
      </c>
      <c r="E522" s="530">
        <v>574590</v>
      </c>
      <c r="F522" s="532"/>
      <c r="G522" s="531">
        <v>103621.66</v>
      </c>
      <c r="H522" s="532"/>
      <c r="I522" s="532"/>
      <c r="J522" s="532"/>
      <c r="K522" s="532"/>
      <c r="L522" s="532"/>
      <c r="M522" s="531">
        <v>1240.08</v>
      </c>
      <c r="N522" s="531">
        <v>1297.3699999999999</v>
      </c>
      <c r="O522" s="532"/>
      <c r="P522" s="532"/>
      <c r="Q522" s="531">
        <v>0</v>
      </c>
      <c r="R522" s="531">
        <v>106159.11</v>
      </c>
      <c r="S522" s="527">
        <f t="shared" si="66"/>
        <v>103621.66</v>
      </c>
      <c r="T522" s="528">
        <f t="shared" si="67"/>
        <v>0</v>
      </c>
      <c r="U522" s="527">
        <f t="shared" si="68"/>
        <v>1297.3699999999999</v>
      </c>
      <c r="W522" s="326">
        <f t="shared" si="64"/>
        <v>106159.11</v>
      </c>
      <c r="X522" s="261">
        <f t="shared" si="65"/>
        <v>0</v>
      </c>
      <c r="Y522" s="546"/>
      <c r="Z522" s="1016">
        <f t="shared" si="69"/>
        <v>103621.66</v>
      </c>
      <c r="AA522" s="58"/>
      <c r="AB522" s="58"/>
      <c r="AC522" s="58"/>
      <c r="AD522" s="58"/>
      <c r="AE522" s="58"/>
      <c r="AF522" s="58"/>
      <c r="AG522" s="58"/>
      <c r="AH522" s="58"/>
      <c r="AI522" s="58"/>
      <c r="AJ522" s="58"/>
      <c r="AK522" s="58"/>
      <c r="AL522" s="58"/>
      <c r="AM522" s="58"/>
      <c r="AN522" s="58"/>
      <c r="AO522" s="58"/>
      <c r="AP522" s="58"/>
      <c r="AQ522" s="546"/>
      <c r="AR522" s="546"/>
      <c r="AS522" s="546"/>
      <c r="AT522" s="546"/>
      <c r="AU522" s="546"/>
      <c r="AV522" s="546"/>
      <c r="AW522" s="546"/>
      <c r="AX522" s="546"/>
      <c r="AY522" s="546"/>
      <c r="AZ522" s="546"/>
      <c r="BA522" s="546"/>
      <c r="BB522" s="546"/>
      <c r="BC522" s="546"/>
    </row>
    <row r="523" spans="1:55" ht="12" hidden="1" thickBot="1">
      <c r="A523" s="522" t="s">
        <v>1361</v>
      </c>
      <c r="B523" s="522" t="s">
        <v>333</v>
      </c>
      <c r="C523" s="522" t="s">
        <v>993</v>
      </c>
      <c r="D523" s="533" t="s">
        <v>1035</v>
      </c>
      <c r="E523" s="524">
        <v>357912</v>
      </c>
      <c r="F523" s="526"/>
      <c r="G523" s="525">
        <v>44072.25</v>
      </c>
      <c r="H523" s="526"/>
      <c r="I523" s="526"/>
      <c r="J523" s="526"/>
      <c r="K523" s="526"/>
      <c r="L523" s="526"/>
      <c r="M523" s="525">
        <v>767.93</v>
      </c>
      <c r="N523" s="525">
        <v>552.5</v>
      </c>
      <c r="O523" s="526"/>
      <c r="P523" s="526"/>
      <c r="Q523" s="525">
        <v>0</v>
      </c>
      <c r="R523" s="525">
        <v>45392.68</v>
      </c>
      <c r="S523" s="527">
        <f t="shared" si="66"/>
        <v>44072.25</v>
      </c>
      <c r="T523" s="528">
        <f t="shared" si="67"/>
        <v>0</v>
      </c>
      <c r="U523" s="527">
        <f t="shared" si="68"/>
        <v>552.5</v>
      </c>
      <c r="W523" s="326">
        <f t="shared" si="64"/>
        <v>45392.68</v>
      </c>
      <c r="X523" s="261">
        <f t="shared" si="65"/>
        <v>0</v>
      </c>
      <c r="Y523" s="546"/>
      <c r="Z523" s="1016">
        <f t="shared" si="69"/>
        <v>44072.25</v>
      </c>
      <c r="AA523" s="58"/>
      <c r="AB523" s="58"/>
      <c r="AC523" s="58"/>
      <c r="AD523" s="58"/>
      <c r="AE523" s="58"/>
      <c r="AF523" s="58"/>
      <c r="AG523" s="58"/>
      <c r="AH523" s="58"/>
      <c r="AI523" s="58"/>
      <c r="AJ523" s="58"/>
      <c r="AK523" s="58"/>
      <c r="AL523" s="58"/>
      <c r="AM523" s="58"/>
      <c r="AN523" s="58"/>
      <c r="AO523" s="58"/>
      <c r="AP523" s="58"/>
      <c r="AQ523" s="546"/>
      <c r="AR523" s="546"/>
      <c r="AS523" s="546"/>
      <c r="AT523" s="546"/>
      <c r="AU523" s="546"/>
      <c r="AV523" s="546"/>
      <c r="AW523" s="546"/>
      <c r="AX523" s="546"/>
      <c r="AY523" s="546"/>
      <c r="AZ523" s="546"/>
      <c r="BA523" s="546"/>
      <c r="BB523" s="546"/>
      <c r="BC523" s="546"/>
    </row>
    <row r="524" spans="1:55" ht="12" hidden="1" thickBot="1">
      <c r="A524" s="522" t="s">
        <v>1361</v>
      </c>
      <c r="B524" s="522" t="s">
        <v>336</v>
      </c>
      <c r="C524" s="522" t="s">
        <v>994</v>
      </c>
      <c r="D524" s="533" t="s">
        <v>1036</v>
      </c>
      <c r="E524" s="530">
        <v>7191</v>
      </c>
      <c r="F524" s="532"/>
      <c r="G524" s="531">
        <v>2797.5</v>
      </c>
      <c r="H524" s="532"/>
      <c r="I524" s="532"/>
      <c r="J524" s="532"/>
      <c r="K524" s="532"/>
      <c r="L524" s="532"/>
      <c r="M524" s="531">
        <v>15.75</v>
      </c>
      <c r="N524" s="531">
        <v>35.11</v>
      </c>
      <c r="O524" s="532"/>
      <c r="P524" s="532"/>
      <c r="Q524" s="531">
        <v>0</v>
      </c>
      <c r="R524" s="531">
        <v>2848.36</v>
      </c>
      <c r="S524" s="527">
        <f t="shared" si="66"/>
        <v>2797.5</v>
      </c>
      <c r="T524" s="528">
        <f t="shared" si="67"/>
        <v>0</v>
      </c>
      <c r="U524" s="527">
        <f t="shared" si="68"/>
        <v>35.11</v>
      </c>
      <c r="W524" s="326">
        <f t="shared" si="64"/>
        <v>2848.36</v>
      </c>
      <c r="X524" s="261">
        <f t="shared" si="65"/>
        <v>0</v>
      </c>
      <c r="Y524" s="546"/>
      <c r="Z524" s="1016">
        <f t="shared" si="69"/>
        <v>2797.5</v>
      </c>
      <c r="AA524" s="58"/>
      <c r="AB524" s="58"/>
      <c r="AC524" s="58"/>
      <c r="AD524" s="58"/>
      <c r="AE524" s="58"/>
      <c r="AF524" s="58"/>
      <c r="AG524" s="58"/>
      <c r="AH524" s="58"/>
      <c r="AI524" s="58"/>
      <c r="AJ524" s="58"/>
      <c r="AK524" s="58"/>
      <c r="AL524" s="58"/>
      <c r="AM524" s="58"/>
      <c r="AN524" s="58"/>
      <c r="AO524" s="58"/>
      <c r="AP524" s="58"/>
      <c r="AQ524" s="546"/>
      <c r="AR524" s="546"/>
      <c r="AS524" s="546"/>
      <c r="AT524" s="546"/>
      <c r="AU524" s="546"/>
      <c r="AV524" s="546"/>
      <c r="AW524" s="546"/>
      <c r="AX524" s="546"/>
      <c r="AY524" s="546"/>
      <c r="AZ524" s="546"/>
      <c r="BA524" s="546"/>
      <c r="BB524" s="546"/>
      <c r="BC524" s="546"/>
    </row>
    <row r="525" spans="1:55" ht="12" hidden="1" thickBot="1">
      <c r="A525" s="522" t="s">
        <v>1361</v>
      </c>
      <c r="B525" s="522" t="s">
        <v>368</v>
      </c>
      <c r="C525" s="522" t="s">
        <v>995</v>
      </c>
      <c r="D525" s="533" t="s">
        <v>1036</v>
      </c>
      <c r="E525" s="524">
        <v>113937</v>
      </c>
      <c r="F525" s="526"/>
      <c r="G525" s="525">
        <v>25075.24</v>
      </c>
      <c r="H525" s="526"/>
      <c r="I525" s="526"/>
      <c r="J525" s="526"/>
      <c r="K525" s="526"/>
      <c r="L525" s="526"/>
      <c r="M525" s="525">
        <v>246.75</v>
      </c>
      <c r="N525" s="525">
        <v>312.33999999999997</v>
      </c>
      <c r="O525" s="526"/>
      <c r="P525" s="526"/>
      <c r="Q525" s="525">
        <v>0</v>
      </c>
      <c r="R525" s="525">
        <v>25634.33</v>
      </c>
      <c r="S525" s="527">
        <f t="shared" si="66"/>
        <v>25075.24</v>
      </c>
      <c r="T525" s="528">
        <f t="shared" si="67"/>
        <v>0</v>
      </c>
      <c r="U525" s="527">
        <f t="shared" si="68"/>
        <v>312.33999999999997</v>
      </c>
      <c r="W525" s="326">
        <f t="shared" si="64"/>
        <v>25634.33</v>
      </c>
      <c r="X525" s="261">
        <f t="shared" si="65"/>
        <v>0</v>
      </c>
      <c r="Y525" s="546"/>
      <c r="Z525" s="1016">
        <f t="shared" si="69"/>
        <v>25075.24</v>
      </c>
      <c r="AA525" s="58"/>
      <c r="AB525" s="58"/>
      <c r="AC525" s="58"/>
      <c r="AD525" s="58"/>
      <c r="AE525" s="58"/>
      <c r="AF525" s="58"/>
      <c r="AG525" s="58"/>
      <c r="AH525" s="58"/>
      <c r="AI525" s="58"/>
      <c r="AJ525" s="58"/>
      <c r="AK525" s="58"/>
      <c r="AL525" s="58"/>
      <c r="AM525" s="58"/>
      <c r="AN525" s="58"/>
      <c r="AO525" s="58"/>
      <c r="AP525" s="58"/>
      <c r="AQ525" s="546"/>
      <c r="AR525" s="546"/>
      <c r="AS525" s="546"/>
      <c r="AT525" s="546"/>
      <c r="AU525" s="546"/>
      <c r="AV525" s="546"/>
      <c r="AW525" s="546"/>
      <c r="AX525" s="546"/>
      <c r="AY525" s="546"/>
      <c r="AZ525" s="546"/>
      <c r="BA525" s="546"/>
      <c r="BB525" s="546"/>
      <c r="BC525" s="546"/>
    </row>
    <row r="526" spans="1:55" ht="12" hidden="1" thickBot="1">
      <c r="A526" s="522" t="s">
        <v>1361</v>
      </c>
      <c r="B526" s="522" t="s">
        <v>400</v>
      </c>
      <c r="C526" s="522" t="s">
        <v>996</v>
      </c>
      <c r="D526" s="533" t="s">
        <v>1036</v>
      </c>
      <c r="E526" s="530">
        <v>9167</v>
      </c>
      <c r="F526" s="532"/>
      <c r="G526" s="531">
        <v>1661.8</v>
      </c>
      <c r="H526" s="532"/>
      <c r="I526" s="532"/>
      <c r="J526" s="532"/>
      <c r="K526" s="532"/>
      <c r="L526" s="532"/>
      <c r="M526" s="531">
        <v>20.76</v>
      </c>
      <c r="N526" s="531">
        <v>21.4</v>
      </c>
      <c r="O526" s="532"/>
      <c r="P526" s="532"/>
      <c r="Q526" s="531">
        <v>0</v>
      </c>
      <c r="R526" s="531">
        <v>1703.96</v>
      </c>
      <c r="S526" s="527">
        <f t="shared" si="66"/>
        <v>1661.8</v>
      </c>
      <c r="T526" s="528">
        <f t="shared" si="67"/>
        <v>0</v>
      </c>
      <c r="U526" s="527">
        <f t="shared" si="68"/>
        <v>21.4</v>
      </c>
      <c r="W526" s="326">
        <f t="shared" si="64"/>
        <v>1703.96</v>
      </c>
      <c r="X526" s="261">
        <f t="shared" si="65"/>
        <v>0</v>
      </c>
      <c r="Y526" s="546"/>
      <c r="Z526" s="1016">
        <f t="shared" si="69"/>
        <v>1661.8</v>
      </c>
      <c r="AA526" s="58"/>
      <c r="AB526" s="58"/>
      <c r="AC526" s="58"/>
      <c r="AD526" s="58"/>
      <c r="AE526" s="58"/>
      <c r="AF526" s="58"/>
      <c r="AG526" s="58"/>
      <c r="AH526" s="58"/>
      <c r="AI526" s="58"/>
      <c r="AJ526" s="58"/>
      <c r="AK526" s="58"/>
      <c r="AL526" s="58"/>
      <c r="AM526" s="58"/>
      <c r="AN526" s="58"/>
      <c r="AO526" s="58"/>
      <c r="AP526" s="58"/>
      <c r="AQ526" s="546"/>
      <c r="AR526" s="546"/>
      <c r="AS526" s="546"/>
      <c r="AT526" s="546"/>
      <c r="AU526" s="546"/>
      <c r="AV526" s="546"/>
      <c r="AW526" s="546"/>
      <c r="AX526" s="546"/>
      <c r="AY526" s="546"/>
      <c r="AZ526" s="546"/>
      <c r="BA526" s="546"/>
      <c r="BB526" s="546"/>
      <c r="BC526" s="546"/>
    </row>
    <row r="527" spans="1:55" ht="12.75" hidden="1" customHeight="1" thickBot="1">
      <c r="A527" s="522" t="s">
        <v>1361</v>
      </c>
      <c r="B527" s="522" t="s">
        <v>327</v>
      </c>
      <c r="C527" s="522" t="s">
        <v>997</v>
      </c>
      <c r="D527" s="533" t="s">
        <v>1036</v>
      </c>
      <c r="E527" s="524">
        <v>43841</v>
      </c>
      <c r="F527" s="526"/>
      <c r="G527" s="525">
        <v>6052.08</v>
      </c>
      <c r="H527" s="526"/>
      <c r="I527" s="526"/>
      <c r="J527" s="526"/>
      <c r="K527" s="526"/>
      <c r="L527" s="526"/>
      <c r="M527" s="525">
        <v>136.69</v>
      </c>
      <c r="N527" s="525">
        <v>98.98</v>
      </c>
      <c r="O527" s="526"/>
      <c r="P527" s="526"/>
      <c r="Q527" s="525">
        <v>0</v>
      </c>
      <c r="R527" s="525">
        <v>6287.75</v>
      </c>
      <c r="S527" s="527">
        <f t="shared" si="66"/>
        <v>6052.08</v>
      </c>
      <c r="T527" s="528">
        <f t="shared" si="67"/>
        <v>0</v>
      </c>
      <c r="U527" s="527">
        <f t="shared" si="68"/>
        <v>98.98</v>
      </c>
      <c r="W527" s="326">
        <f t="shared" si="64"/>
        <v>6287.7499999999991</v>
      </c>
      <c r="X527" s="261">
        <f t="shared" si="65"/>
        <v>0</v>
      </c>
      <c r="Y527" s="546"/>
      <c r="Z527" s="1016">
        <f t="shared" si="69"/>
        <v>6052.08</v>
      </c>
      <c r="AA527" s="58"/>
      <c r="AB527" s="58"/>
      <c r="AC527" s="58"/>
      <c r="AD527" s="58"/>
      <c r="AE527" s="58"/>
      <c r="AF527" s="58"/>
      <c r="AG527" s="58"/>
      <c r="AH527" s="58"/>
      <c r="AI527" s="58"/>
      <c r="AJ527" s="58"/>
      <c r="AK527" s="58"/>
      <c r="AL527" s="58"/>
      <c r="AM527" s="58"/>
      <c r="AN527" s="58"/>
      <c r="AO527" s="58"/>
      <c r="AP527" s="58"/>
      <c r="AQ527" s="546"/>
      <c r="AR527" s="546"/>
      <c r="AS527" s="546"/>
      <c r="AT527" s="546"/>
      <c r="AU527" s="546"/>
      <c r="AV527" s="546"/>
      <c r="AW527" s="546"/>
      <c r="AX527" s="546"/>
      <c r="AY527" s="546"/>
      <c r="AZ527" s="546"/>
      <c r="BA527" s="546"/>
      <c r="BB527" s="546"/>
      <c r="BC527" s="546"/>
    </row>
    <row r="528" spans="1:55" ht="12" hidden="1" thickBot="1">
      <c r="A528" s="522" t="s">
        <v>1361</v>
      </c>
      <c r="B528" s="522" t="s">
        <v>357</v>
      </c>
      <c r="C528" s="522" t="s">
        <v>998</v>
      </c>
      <c r="D528" s="533" t="s">
        <v>1036</v>
      </c>
      <c r="E528" s="530">
        <v>217321</v>
      </c>
      <c r="F528" s="532"/>
      <c r="G528" s="531">
        <v>22249.17</v>
      </c>
      <c r="H528" s="532"/>
      <c r="I528" s="532"/>
      <c r="J528" s="532"/>
      <c r="K528" s="532"/>
      <c r="L528" s="532"/>
      <c r="M528" s="531">
        <v>610.52</v>
      </c>
      <c r="N528" s="531">
        <v>338.69</v>
      </c>
      <c r="O528" s="532"/>
      <c r="P528" s="532"/>
      <c r="Q528" s="531">
        <v>0</v>
      </c>
      <c r="R528" s="531">
        <v>23198.38</v>
      </c>
      <c r="S528" s="527">
        <f t="shared" si="66"/>
        <v>22249.17</v>
      </c>
      <c r="T528" s="528">
        <f t="shared" si="67"/>
        <v>0</v>
      </c>
      <c r="U528" s="527">
        <f t="shared" si="68"/>
        <v>338.69</v>
      </c>
      <c r="W528" s="326">
        <f t="shared" si="64"/>
        <v>23198.379999999997</v>
      </c>
      <c r="X528" s="261">
        <f t="shared" si="65"/>
        <v>0</v>
      </c>
      <c r="Y528" s="546"/>
      <c r="Z528" s="1016">
        <f t="shared" si="69"/>
        <v>22249.17</v>
      </c>
      <c r="AA528" s="58"/>
      <c r="AB528" s="58"/>
      <c r="AC528" s="58"/>
      <c r="AD528" s="58"/>
      <c r="AE528" s="58"/>
      <c r="AF528" s="58"/>
      <c r="AG528" s="58"/>
      <c r="AH528" s="58"/>
      <c r="AI528" s="58"/>
      <c r="AJ528" s="58"/>
      <c r="AK528" s="58"/>
      <c r="AL528" s="58"/>
      <c r="AM528" s="58"/>
      <c r="AN528" s="58"/>
      <c r="AO528" s="58"/>
      <c r="AP528" s="58"/>
      <c r="AQ528" s="546"/>
      <c r="AR528" s="546"/>
      <c r="AS528" s="546"/>
      <c r="AT528" s="546"/>
      <c r="AU528" s="546"/>
      <c r="AV528" s="546"/>
      <c r="AW528" s="546"/>
      <c r="AX528" s="546"/>
      <c r="AY528" s="546"/>
      <c r="AZ528" s="546"/>
      <c r="BA528" s="546"/>
      <c r="BB528" s="546"/>
      <c r="BC528" s="546"/>
    </row>
    <row r="529" spans="1:55" ht="12" hidden="1" thickBot="1">
      <c r="A529" s="522" t="s">
        <v>1361</v>
      </c>
      <c r="B529" s="522" t="s">
        <v>331</v>
      </c>
      <c r="C529" s="522" t="s">
        <v>999</v>
      </c>
      <c r="D529" s="533" t="s">
        <v>1036</v>
      </c>
      <c r="E529" s="524">
        <v>76873</v>
      </c>
      <c r="F529" s="526"/>
      <c r="G529" s="525">
        <v>10469.76</v>
      </c>
      <c r="H529" s="526"/>
      <c r="I529" s="526"/>
      <c r="J529" s="526"/>
      <c r="K529" s="526"/>
      <c r="L529" s="526"/>
      <c r="M529" s="525">
        <v>164.45</v>
      </c>
      <c r="N529" s="525">
        <v>130.65</v>
      </c>
      <c r="O529" s="526"/>
      <c r="P529" s="526"/>
      <c r="Q529" s="525">
        <v>0</v>
      </c>
      <c r="R529" s="525">
        <v>10764.86</v>
      </c>
      <c r="S529" s="527">
        <f t="shared" si="66"/>
        <v>10469.76</v>
      </c>
      <c r="T529" s="528">
        <f t="shared" si="67"/>
        <v>0</v>
      </c>
      <c r="U529" s="527">
        <f t="shared" si="68"/>
        <v>130.65</v>
      </c>
      <c r="W529" s="326">
        <f t="shared" si="64"/>
        <v>10764.86</v>
      </c>
      <c r="X529" s="261">
        <f t="shared" si="65"/>
        <v>0</v>
      </c>
      <c r="Y529" s="546"/>
      <c r="Z529" s="1016">
        <f t="shared" si="69"/>
        <v>10469.76</v>
      </c>
      <c r="AA529" s="58"/>
      <c r="AB529" s="58"/>
      <c r="AC529" s="58"/>
      <c r="AD529" s="58"/>
      <c r="AE529" s="58"/>
      <c r="AF529" s="58"/>
      <c r="AG529" s="58"/>
      <c r="AH529" s="58"/>
      <c r="AI529" s="58"/>
      <c r="AJ529" s="58"/>
      <c r="AK529" s="58"/>
      <c r="AL529" s="58"/>
      <c r="AM529" s="58"/>
      <c r="AN529" s="58"/>
      <c r="AO529" s="58"/>
      <c r="AP529" s="58"/>
      <c r="AQ529" s="546"/>
      <c r="AR529" s="546"/>
      <c r="AS529" s="546"/>
      <c r="AT529" s="546"/>
      <c r="AU529" s="546"/>
      <c r="AV529" s="546"/>
      <c r="AW529" s="546"/>
      <c r="AX529" s="546"/>
      <c r="AY529" s="546"/>
      <c r="AZ529" s="546"/>
      <c r="BA529" s="546"/>
      <c r="BB529" s="546"/>
      <c r="BC529" s="546"/>
    </row>
    <row r="530" spans="1:55" ht="12" hidden="1" thickBot="1">
      <c r="A530" s="522" t="s">
        <v>1361</v>
      </c>
      <c r="B530" s="522" t="s">
        <v>335</v>
      </c>
      <c r="C530" s="522" t="s">
        <v>1000</v>
      </c>
      <c r="D530" s="533" t="s">
        <v>1036</v>
      </c>
      <c r="E530" s="530">
        <v>1296</v>
      </c>
      <c r="F530" s="532"/>
      <c r="G530" s="531">
        <v>705.9</v>
      </c>
      <c r="H530" s="532"/>
      <c r="I530" s="532"/>
      <c r="J530" s="532"/>
      <c r="K530" s="532"/>
      <c r="L530" s="532"/>
      <c r="M530" s="531">
        <v>3.34</v>
      </c>
      <c r="N530" s="531">
        <v>9.7899999999999991</v>
      </c>
      <c r="O530" s="532"/>
      <c r="P530" s="532"/>
      <c r="Q530" s="531">
        <v>0</v>
      </c>
      <c r="R530" s="531">
        <v>719.03</v>
      </c>
      <c r="S530" s="527">
        <f t="shared" si="66"/>
        <v>705.9</v>
      </c>
      <c r="T530" s="528">
        <f t="shared" si="67"/>
        <v>0</v>
      </c>
      <c r="U530" s="527">
        <f t="shared" si="68"/>
        <v>9.7899999999999991</v>
      </c>
      <c r="W530" s="326">
        <f t="shared" si="64"/>
        <v>719.03</v>
      </c>
      <c r="X530" s="261">
        <f t="shared" si="65"/>
        <v>0</v>
      </c>
      <c r="Y530" s="546"/>
      <c r="Z530" s="1016">
        <f t="shared" si="69"/>
        <v>705.9</v>
      </c>
      <c r="AA530" s="58"/>
      <c r="AB530" s="58"/>
      <c r="AC530" s="58"/>
      <c r="AD530" s="58"/>
      <c r="AE530" s="58"/>
      <c r="AF530" s="58"/>
      <c r="AG530" s="58"/>
      <c r="AH530" s="58"/>
      <c r="AI530" s="58"/>
      <c r="AJ530" s="58"/>
      <c r="AK530" s="58"/>
      <c r="AL530" s="58"/>
      <c r="AM530" s="58"/>
      <c r="AN530" s="58"/>
      <c r="AO530" s="58"/>
      <c r="AP530" s="58"/>
      <c r="AQ530" s="546"/>
      <c r="AR530" s="546"/>
      <c r="AS530" s="546"/>
      <c r="AT530" s="546"/>
      <c r="AU530" s="546"/>
      <c r="AV530" s="546"/>
      <c r="AW530" s="546"/>
      <c r="AX530" s="546"/>
      <c r="AY530" s="546"/>
      <c r="AZ530" s="546"/>
      <c r="BA530" s="546"/>
      <c r="BB530" s="546"/>
      <c r="BC530" s="546"/>
    </row>
    <row r="531" spans="1:55" ht="12" hidden="1" thickBot="1">
      <c r="A531" s="522" t="s">
        <v>1361</v>
      </c>
      <c r="B531" s="522" t="s">
        <v>372</v>
      </c>
      <c r="C531" s="522" t="s">
        <v>1001</v>
      </c>
      <c r="D531" s="533" t="s">
        <v>1036</v>
      </c>
      <c r="E531" s="524">
        <v>133527</v>
      </c>
      <c r="F531" s="526"/>
      <c r="G531" s="525">
        <v>52252.2</v>
      </c>
      <c r="H531" s="526"/>
      <c r="I531" s="526"/>
      <c r="J531" s="526"/>
      <c r="K531" s="526"/>
      <c r="L531" s="526"/>
      <c r="M531" s="525">
        <v>322.37</v>
      </c>
      <c r="N531" s="525">
        <v>697.3</v>
      </c>
      <c r="O531" s="526"/>
      <c r="P531" s="526"/>
      <c r="Q531" s="525">
        <v>0</v>
      </c>
      <c r="R531" s="525">
        <v>53271.87</v>
      </c>
      <c r="S531" s="527">
        <f t="shared" si="66"/>
        <v>52252.2</v>
      </c>
      <c r="T531" s="528">
        <f t="shared" si="67"/>
        <v>0</v>
      </c>
      <c r="U531" s="527">
        <f t="shared" si="68"/>
        <v>697.3</v>
      </c>
      <c r="W531" s="326">
        <f t="shared" si="64"/>
        <v>53271.87</v>
      </c>
      <c r="X531" s="261">
        <f t="shared" si="65"/>
        <v>0</v>
      </c>
      <c r="Y531" s="546"/>
      <c r="Z531" s="1016">
        <f t="shared" si="69"/>
        <v>52252.2</v>
      </c>
      <c r="AA531" s="58"/>
      <c r="AB531" s="58"/>
      <c r="AC531" s="58"/>
      <c r="AD531" s="58"/>
      <c r="AE531" s="58"/>
      <c r="AF531" s="58"/>
      <c r="AG531" s="58"/>
      <c r="AH531" s="58"/>
      <c r="AI531" s="58"/>
      <c r="AJ531" s="58"/>
      <c r="AK531" s="58"/>
      <c r="AL531" s="58"/>
      <c r="AM531" s="58"/>
      <c r="AN531" s="58"/>
      <c r="AO531" s="58"/>
      <c r="AP531" s="58"/>
      <c r="AQ531" s="546"/>
      <c r="AR531" s="546"/>
      <c r="AS531" s="546"/>
      <c r="AT531" s="546"/>
      <c r="AU531" s="546"/>
      <c r="AV531" s="546"/>
      <c r="AW531" s="546"/>
      <c r="AX531" s="546"/>
      <c r="AY531" s="546"/>
      <c r="AZ531" s="546"/>
      <c r="BA531" s="546"/>
      <c r="BB531" s="546"/>
      <c r="BC531" s="546"/>
    </row>
    <row r="532" spans="1:55" ht="12" hidden="1" thickBot="1">
      <c r="A532" s="522" t="s">
        <v>1361</v>
      </c>
      <c r="B532" s="522" t="s">
        <v>381</v>
      </c>
      <c r="C532" s="522" t="s">
        <v>1002</v>
      </c>
      <c r="D532" s="533" t="s">
        <v>1035</v>
      </c>
      <c r="E532" s="530">
        <v>238864</v>
      </c>
      <c r="F532" s="532"/>
      <c r="G532" s="531">
        <v>76646.69</v>
      </c>
      <c r="H532" s="532"/>
      <c r="I532" s="532"/>
      <c r="J532" s="532"/>
      <c r="K532" s="532"/>
      <c r="L532" s="532"/>
      <c r="M532" s="531">
        <v>615.82000000000005</v>
      </c>
      <c r="N532" s="531">
        <v>1074.78</v>
      </c>
      <c r="O532" s="532"/>
      <c r="P532" s="532"/>
      <c r="Q532" s="531">
        <v>0</v>
      </c>
      <c r="R532" s="531">
        <v>78337.289999999994</v>
      </c>
      <c r="S532" s="527">
        <f t="shared" si="66"/>
        <v>76646.69</v>
      </c>
      <c r="T532" s="528">
        <f t="shared" si="67"/>
        <v>0</v>
      </c>
      <c r="U532" s="527">
        <f t="shared" si="68"/>
        <v>1074.78</v>
      </c>
      <c r="W532" s="326">
        <f t="shared" si="64"/>
        <v>78337.290000000008</v>
      </c>
      <c r="X532" s="261">
        <f t="shared" si="65"/>
        <v>0</v>
      </c>
      <c r="Y532" s="546"/>
      <c r="Z532" s="1016">
        <f t="shared" si="69"/>
        <v>76646.69</v>
      </c>
      <c r="AA532" s="58"/>
      <c r="AB532" s="58"/>
      <c r="AC532" s="58"/>
      <c r="AD532" s="58"/>
      <c r="AE532" s="58"/>
      <c r="AF532" s="58"/>
      <c r="AG532" s="58"/>
      <c r="AH532" s="58"/>
      <c r="AI532" s="58"/>
      <c r="AJ532" s="58"/>
      <c r="AK532" s="58"/>
      <c r="AL532" s="58"/>
      <c r="AM532" s="58"/>
      <c r="AN532" s="58"/>
      <c r="AO532" s="58"/>
      <c r="AP532" s="58"/>
      <c r="AQ532" s="546"/>
      <c r="AR532" s="546"/>
      <c r="AS532" s="546"/>
      <c r="AT532" s="546"/>
      <c r="AU532" s="546"/>
      <c r="AV532" s="546"/>
      <c r="AW532" s="546"/>
      <c r="AX532" s="546"/>
      <c r="AY532" s="546"/>
      <c r="AZ532" s="546"/>
      <c r="BA532" s="546"/>
      <c r="BB532" s="546"/>
      <c r="BC532" s="546"/>
    </row>
    <row r="533" spans="1:55" ht="12" hidden="1" thickBot="1">
      <c r="A533" s="522" t="s">
        <v>1361</v>
      </c>
      <c r="B533" s="522" t="s">
        <v>404</v>
      </c>
      <c r="C533" s="522" t="s">
        <v>1003</v>
      </c>
      <c r="D533" s="533" t="s">
        <v>1035</v>
      </c>
      <c r="E533" s="524">
        <v>768695</v>
      </c>
      <c r="F533" s="526"/>
      <c r="G533" s="525">
        <v>186256.84</v>
      </c>
      <c r="H533" s="526"/>
      <c r="I533" s="526"/>
      <c r="J533" s="526"/>
      <c r="K533" s="526"/>
      <c r="L533" s="526"/>
      <c r="M533" s="525">
        <v>1801.76</v>
      </c>
      <c r="N533" s="525">
        <v>2428.29</v>
      </c>
      <c r="O533" s="526"/>
      <c r="P533" s="526"/>
      <c r="Q533" s="525">
        <v>0</v>
      </c>
      <c r="R533" s="525">
        <v>190486.89</v>
      </c>
      <c r="S533" s="527">
        <f t="shared" si="66"/>
        <v>186256.84</v>
      </c>
      <c r="T533" s="528">
        <f t="shared" si="67"/>
        <v>0</v>
      </c>
      <c r="U533" s="527">
        <f t="shared" si="68"/>
        <v>2428.29</v>
      </c>
      <c r="W533" s="326">
        <f t="shared" si="64"/>
        <v>190486.89</v>
      </c>
      <c r="X533" s="261">
        <f t="shared" si="65"/>
        <v>0</v>
      </c>
      <c r="Y533" s="546"/>
      <c r="Z533" s="1016">
        <f t="shared" si="69"/>
        <v>186256.84</v>
      </c>
      <c r="AA533" s="58"/>
      <c r="AB533" s="58"/>
      <c r="AC533" s="58"/>
      <c r="AD533" s="58"/>
      <c r="AE533" s="58"/>
      <c r="AF533" s="58"/>
      <c r="AG533" s="58"/>
      <c r="AH533" s="58"/>
      <c r="AI533" s="58"/>
      <c r="AJ533" s="58"/>
      <c r="AK533" s="58"/>
      <c r="AL533" s="58"/>
      <c r="AM533" s="58"/>
      <c r="AN533" s="58"/>
      <c r="AO533" s="58"/>
      <c r="AP533" s="58"/>
      <c r="AQ533" s="546"/>
      <c r="AR533" s="546"/>
      <c r="AS533" s="546"/>
      <c r="AT533" s="546"/>
      <c r="AU533" s="546"/>
      <c r="AV533" s="546"/>
      <c r="AW533" s="546"/>
      <c r="AX533" s="546"/>
      <c r="AY533" s="546"/>
      <c r="AZ533" s="546"/>
      <c r="BA533" s="546"/>
      <c r="BB533" s="546"/>
      <c r="BC533" s="546"/>
    </row>
    <row r="534" spans="1:55" ht="12" hidden="1" thickBot="1">
      <c r="A534" s="522" t="s">
        <v>1361</v>
      </c>
      <c r="B534" s="522" t="s">
        <v>361</v>
      </c>
      <c r="C534" s="522" t="s">
        <v>1004</v>
      </c>
      <c r="D534" s="533" t="s">
        <v>1035</v>
      </c>
      <c r="E534" s="530">
        <v>591568</v>
      </c>
      <c r="F534" s="532"/>
      <c r="G534" s="531">
        <v>107697.51</v>
      </c>
      <c r="H534" s="532"/>
      <c r="I534" s="532"/>
      <c r="J534" s="532"/>
      <c r="K534" s="532"/>
      <c r="L534" s="532"/>
      <c r="M534" s="531">
        <v>1386.33</v>
      </c>
      <c r="N534" s="531">
        <v>1422.19</v>
      </c>
      <c r="O534" s="532"/>
      <c r="P534" s="532"/>
      <c r="Q534" s="531">
        <v>0</v>
      </c>
      <c r="R534" s="531">
        <v>110506.03</v>
      </c>
      <c r="S534" s="527">
        <f t="shared" si="66"/>
        <v>107697.51</v>
      </c>
      <c r="T534" s="528">
        <f t="shared" si="67"/>
        <v>0</v>
      </c>
      <c r="U534" s="527">
        <f t="shared" si="68"/>
        <v>1422.19</v>
      </c>
      <c r="W534" s="326">
        <f t="shared" si="64"/>
        <v>110506.03</v>
      </c>
      <c r="X534" s="261">
        <f t="shared" si="65"/>
        <v>0</v>
      </c>
      <c r="Y534" s="546"/>
      <c r="Z534" s="1016">
        <f t="shared" si="69"/>
        <v>107697.51</v>
      </c>
      <c r="AA534" s="58"/>
      <c r="AB534" s="58"/>
      <c r="AC534" s="58"/>
      <c r="AD534" s="58"/>
      <c r="AE534" s="58"/>
      <c r="AF534" s="58"/>
      <c r="AG534" s="58"/>
      <c r="AH534" s="58"/>
      <c r="AI534" s="58"/>
      <c r="AJ534" s="58"/>
      <c r="AK534" s="58"/>
      <c r="AL534" s="58"/>
      <c r="AM534" s="58"/>
      <c r="AN534" s="58"/>
      <c r="AO534" s="58"/>
      <c r="AP534" s="58"/>
      <c r="AQ534" s="546"/>
      <c r="AR534" s="546"/>
      <c r="AS534" s="546"/>
      <c r="AT534" s="546"/>
      <c r="AU534" s="546"/>
      <c r="AV534" s="546"/>
      <c r="AW534" s="546"/>
      <c r="AX534" s="546"/>
      <c r="AY534" s="546"/>
      <c r="AZ534" s="546"/>
      <c r="BA534" s="546"/>
      <c r="BB534" s="546"/>
      <c r="BC534" s="546"/>
    </row>
    <row r="535" spans="1:55" ht="12" hidden="1" thickBot="1">
      <c r="A535" s="522" t="s">
        <v>1361</v>
      </c>
      <c r="B535" s="522" t="s">
        <v>393</v>
      </c>
      <c r="C535" s="522" t="s">
        <v>1005</v>
      </c>
      <c r="D535" s="533" t="s">
        <v>1035</v>
      </c>
      <c r="E535" s="524">
        <v>422257</v>
      </c>
      <c r="F535" s="526"/>
      <c r="G535" s="525">
        <v>64013.37</v>
      </c>
      <c r="H535" s="526"/>
      <c r="I535" s="526"/>
      <c r="J535" s="526"/>
      <c r="K535" s="526"/>
      <c r="L535" s="526"/>
      <c r="M535" s="525">
        <v>945.57</v>
      </c>
      <c r="N535" s="525">
        <v>819.42</v>
      </c>
      <c r="O535" s="526"/>
      <c r="P535" s="526"/>
      <c r="Q535" s="525">
        <v>0</v>
      </c>
      <c r="R535" s="525">
        <v>65778.36</v>
      </c>
      <c r="S535" s="527">
        <f t="shared" si="66"/>
        <v>64013.37</v>
      </c>
      <c r="T535" s="528">
        <f t="shared" si="67"/>
        <v>0</v>
      </c>
      <c r="U535" s="527">
        <f t="shared" si="68"/>
        <v>819.42</v>
      </c>
      <c r="W535" s="326">
        <f t="shared" si="64"/>
        <v>65778.36</v>
      </c>
      <c r="X535" s="261">
        <f t="shared" si="65"/>
        <v>0</v>
      </c>
      <c r="Y535" s="546"/>
      <c r="Z535" s="1016">
        <f t="shared" si="69"/>
        <v>64013.37</v>
      </c>
      <c r="AA535" s="58"/>
      <c r="AB535" s="58"/>
      <c r="AC535" s="58"/>
      <c r="AD535" s="58"/>
      <c r="AE535" s="58"/>
      <c r="AF535" s="58"/>
      <c r="AG535" s="58"/>
      <c r="AH535" s="58"/>
      <c r="AI535" s="58"/>
      <c r="AJ535" s="58"/>
      <c r="AK535" s="58"/>
      <c r="AL535" s="58"/>
      <c r="AM535" s="58"/>
      <c r="AN535" s="58"/>
      <c r="AO535" s="58"/>
      <c r="AP535" s="58"/>
      <c r="AQ535" s="546"/>
      <c r="AR535" s="546"/>
      <c r="AS535" s="546"/>
      <c r="AT535" s="546"/>
      <c r="AU535" s="546"/>
      <c r="AV535" s="546"/>
      <c r="AW535" s="546"/>
      <c r="AX535" s="546"/>
      <c r="AY535" s="546"/>
      <c r="AZ535" s="546"/>
      <c r="BA535" s="546"/>
      <c r="BB535" s="546"/>
      <c r="BC535" s="546"/>
    </row>
    <row r="536" spans="1:55" ht="12" hidden="1" thickBot="1">
      <c r="A536" s="522" t="s">
        <v>1361</v>
      </c>
      <c r="B536" s="522" t="s">
        <v>1356</v>
      </c>
      <c r="C536" s="522" t="s">
        <v>1357</v>
      </c>
      <c r="D536" s="533" t="s">
        <v>756</v>
      </c>
      <c r="E536" s="530">
        <v>459</v>
      </c>
      <c r="F536" s="532"/>
      <c r="G536" s="531"/>
      <c r="H536" s="532"/>
      <c r="I536" s="532"/>
      <c r="J536" s="532"/>
      <c r="K536" s="532"/>
      <c r="L536" s="532"/>
      <c r="M536" s="531"/>
      <c r="N536" s="531"/>
      <c r="O536" s="532"/>
      <c r="P536" s="532"/>
      <c r="Q536" s="531"/>
      <c r="R536" s="531"/>
      <c r="S536" s="527">
        <f t="shared" si="66"/>
        <v>0</v>
      </c>
      <c r="T536" s="528">
        <f t="shared" si="67"/>
        <v>0</v>
      </c>
      <c r="U536" s="527">
        <f t="shared" si="68"/>
        <v>0</v>
      </c>
      <c r="W536" s="326">
        <f t="shared" si="64"/>
        <v>0</v>
      </c>
      <c r="X536" s="261">
        <f t="shared" si="65"/>
        <v>0</v>
      </c>
      <c r="Y536" s="546"/>
      <c r="Z536" s="1016">
        <f t="shared" si="69"/>
        <v>0</v>
      </c>
      <c r="AA536" s="58"/>
      <c r="AB536" s="58"/>
      <c r="AC536" s="58"/>
      <c r="AD536" s="58"/>
      <c r="AE536" s="58"/>
      <c r="AF536" s="58"/>
      <c r="AG536" s="58"/>
      <c r="AH536" s="58"/>
      <c r="AI536" s="58"/>
      <c r="AJ536" s="58"/>
      <c r="AK536" s="58"/>
      <c r="AL536" s="58"/>
      <c r="AM536" s="58"/>
      <c r="AN536" s="58"/>
      <c r="AO536" s="58"/>
      <c r="AP536" s="58"/>
      <c r="AQ536" s="546"/>
      <c r="AR536" s="546"/>
      <c r="AS536" s="546"/>
      <c r="AT536" s="546"/>
      <c r="AU536" s="546"/>
      <c r="AV536" s="546"/>
      <c r="AW536" s="546"/>
      <c r="AX536" s="546"/>
      <c r="AY536" s="546"/>
      <c r="AZ536" s="546"/>
      <c r="BA536" s="546"/>
      <c r="BB536" s="546"/>
      <c r="BC536" s="546"/>
    </row>
    <row r="537" spans="1:55" ht="12" hidden="1" thickBot="1">
      <c r="A537" s="522" t="s">
        <v>1361</v>
      </c>
      <c r="B537" s="522" t="s">
        <v>379</v>
      </c>
      <c r="C537" s="522" t="s">
        <v>1006</v>
      </c>
      <c r="D537" s="533" t="s">
        <v>1036</v>
      </c>
      <c r="E537" s="524">
        <v>16723</v>
      </c>
      <c r="F537" s="526"/>
      <c r="G537" s="525">
        <v>8215.48</v>
      </c>
      <c r="H537" s="526"/>
      <c r="I537" s="526"/>
      <c r="J537" s="526"/>
      <c r="K537" s="526"/>
      <c r="L537" s="526"/>
      <c r="M537" s="525">
        <v>39.549999999999997</v>
      </c>
      <c r="N537" s="525">
        <v>108.14</v>
      </c>
      <c r="O537" s="526"/>
      <c r="P537" s="526"/>
      <c r="Q537" s="525">
        <v>0</v>
      </c>
      <c r="R537" s="525">
        <v>8363.17</v>
      </c>
      <c r="S537" s="527">
        <f t="shared" si="66"/>
        <v>8215.48</v>
      </c>
      <c r="T537" s="528">
        <f t="shared" si="67"/>
        <v>0</v>
      </c>
      <c r="U537" s="527">
        <f t="shared" si="68"/>
        <v>108.14</v>
      </c>
      <c r="W537" s="326">
        <f t="shared" si="64"/>
        <v>8363.1699999999983</v>
      </c>
      <c r="X537" s="261">
        <f t="shared" si="65"/>
        <v>0</v>
      </c>
      <c r="Y537" s="546"/>
      <c r="Z537" s="1016">
        <f t="shared" si="69"/>
        <v>8215.48</v>
      </c>
      <c r="AA537" s="58"/>
      <c r="AB537" s="58"/>
      <c r="AC537" s="58"/>
      <c r="AD537" s="58"/>
      <c r="AE537" s="58"/>
      <c r="AF537" s="58"/>
      <c r="AG537" s="58"/>
      <c r="AH537" s="58"/>
      <c r="AI537" s="58"/>
      <c r="AJ537" s="58"/>
      <c r="AK537" s="58"/>
      <c r="AL537" s="58"/>
      <c r="AM537" s="58"/>
      <c r="AN537" s="58"/>
      <c r="AO537" s="58"/>
      <c r="AP537" s="58"/>
      <c r="AQ537" s="546"/>
      <c r="AR537" s="546"/>
      <c r="AS537" s="546"/>
      <c r="AT537" s="546"/>
      <c r="AU537" s="546"/>
      <c r="AV537" s="546"/>
      <c r="AW537" s="546"/>
      <c r="AX537" s="546"/>
      <c r="AY537" s="546"/>
      <c r="AZ537" s="546"/>
      <c r="BA537" s="546"/>
      <c r="BB537" s="546"/>
      <c r="BC537" s="546"/>
    </row>
    <row r="538" spans="1:55" ht="12" hidden="1" thickBot="1">
      <c r="A538" s="522" t="s">
        <v>1361</v>
      </c>
      <c r="B538" s="522" t="s">
        <v>389</v>
      </c>
      <c r="C538" s="522" t="s">
        <v>1007</v>
      </c>
      <c r="D538" s="533" t="s">
        <v>1035</v>
      </c>
      <c r="E538" s="530">
        <v>36448</v>
      </c>
      <c r="F538" s="532"/>
      <c r="G538" s="531">
        <v>14629.25</v>
      </c>
      <c r="H538" s="532"/>
      <c r="I538" s="532"/>
      <c r="J538" s="532"/>
      <c r="K538" s="532"/>
      <c r="L538" s="532"/>
      <c r="M538" s="531">
        <v>86.5</v>
      </c>
      <c r="N538" s="531">
        <v>193.05</v>
      </c>
      <c r="O538" s="532"/>
      <c r="P538" s="532"/>
      <c r="Q538" s="531">
        <v>0</v>
      </c>
      <c r="R538" s="531">
        <v>14908.8</v>
      </c>
      <c r="S538" s="527">
        <f t="shared" si="66"/>
        <v>14629.25</v>
      </c>
      <c r="T538" s="528">
        <f t="shared" si="67"/>
        <v>0</v>
      </c>
      <c r="U538" s="527">
        <f t="shared" si="68"/>
        <v>193.05</v>
      </c>
      <c r="W538" s="326">
        <f t="shared" si="64"/>
        <v>14908.8</v>
      </c>
      <c r="X538" s="261">
        <f t="shared" si="65"/>
        <v>0</v>
      </c>
      <c r="Y538" s="546"/>
      <c r="Z538" s="1016">
        <f t="shared" si="69"/>
        <v>14629.25</v>
      </c>
      <c r="AA538" s="58"/>
      <c r="AB538" s="58"/>
      <c r="AC538" s="58"/>
      <c r="AD538" s="58"/>
      <c r="AE538" s="58"/>
      <c r="AF538" s="58"/>
      <c r="AG538" s="58"/>
      <c r="AH538" s="58"/>
      <c r="AI538" s="58"/>
      <c r="AJ538" s="58"/>
      <c r="AK538" s="58"/>
      <c r="AL538" s="58"/>
      <c r="AM538" s="58"/>
      <c r="AN538" s="58"/>
      <c r="AO538" s="58"/>
      <c r="AP538" s="58"/>
      <c r="AQ538" s="546"/>
      <c r="AR538" s="546"/>
      <c r="AS538" s="546"/>
      <c r="AT538" s="546"/>
      <c r="AU538" s="546"/>
      <c r="AV538" s="546"/>
      <c r="AW538" s="546"/>
      <c r="AX538" s="546"/>
      <c r="AY538" s="546"/>
      <c r="AZ538" s="546"/>
      <c r="BA538" s="546"/>
      <c r="BB538" s="546"/>
      <c r="BC538" s="546"/>
    </row>
    <row r="539" spans="1:55" ht="12" hidden="1" thickBot="1">
      <c r="A539" s="522" t="s">
        <v>1361</v>
      </c>
      <c r="B539" s="522" t="s">
        <v>412</v>
      </c>
      <c r="C539" s="522" t="s">
        <v>1008</v>
      </c>
      <c r="D539" s="533" t="s">
        <v>1035</v>
      </c>
      <c r="E539" s="524">
        <v>152011</v>
      </c>
      <c r="F539" s="526"/>
      <c r="G539" s="525">
        <v>44861.72</v>
      </c>
      <c r="H539" s="526"/>
      <c r="I539" s="526"/>
      <c r="J539" s="526"/>
      <c r="K539" s="526"/>
      <c r="L539" s="526"/>
      <c r="M539" s="525">
        <v>331.89</v>
      </c>
      <c r="N539" s="525">
        <v>562.09</v>
      </c>
      <c r="O539" s="526"/>
      <c r="P539" s="526"/>
      <c r="Q539" s="525">
        <v>0</v>
      </c>
      <c r="R539" s="525">
        <v>45755.7</v>
      </c>
      <c r="S539" s="527">
        <f t="shared" si="66"/>
        <v>44861.72</v>
      </c>
      <c r="T539" s="528">
        <f t="shared" si="67"/>
        <v>0</v>
      </c>
      <c r="U539" s="527">
        <f t="shared" si="68"/>
        <v>562.09</v>
      </c>
      <c r="W539" s="326">
        <f t="shared" si="64"/>
        <v>45755.7</v>
      </c>
      <c r="X539" s="261">
        <f t="shared" si="65"/>
        <v>0</v>
      </c>
      <c r="Y539" s="546"/>
      <c r="Z539" s="1016">
        <f t="shared" si="69"/>
        <v>44861.72</v>
      </c>
      <c r="AA539" s="58"/>
      <c r="AB539" s="58"/>
      <c r="AC539" s="58"/>
      <c r="AD539" s="58"/>
      <c r="AE539" s="58"/>
      <c r="AF539" s="58"/>
      <c r="AG539" s="58"/>
      <c r="AH539" s="58"/>
      <c r="AI539" s="58"/>
      <c r="AJ539" s="58"/>
      <c r="AK539" s="58"/>
      <c r="AL539" s="58"/>
      <c r="AM539" s="58"/>
      <c r="AN539" s="58"/>
      <c r="AO539" s="58"/>
      <c r="AP539" s="58"/>
      <c r="AQ539" s="546"/>
      <c r="AR539" s="546"/>
      <c r="AS539" s="546"/>
      <c r="AT539" s="546"/>
      <c r="AU539" s="546"/>
      <c r="AV539" s="546"/>
      <c r="AW539" s="546"/>
      <c r="AX539" s="546"/>
      <c r="AY539" s="546"/>
      <c r="AZ539" s="546"/>
      <c r="BA539" s="546"/>
      <c r="BB539" s="546"/>
      <c r="BC539" s="546"/>
    </row>
    <row r="540" spans="1:55" ht="12" hidden="1" thickBot="1">
      <c r="A540" s="522" t="s">
        <v>1361</v>
      </c>
      <c r="B540" s="522" t="s">
        <v>367</v>
      </c>
      <c r="C540" s="522" t="s">
        <v>1009</v>
      </c>
      <c r="D540" s="533" t="s">
        <v>1036</v>
      </c>
      <c r="E540" s="530">
        <v>33107</v>
      </c>
      <c r="F540" s="532"/>
      <c r="G540" s="531">
        <v>9731.41</v>
      </c>
      <c r="H540" s="532"/>
      <c r="I540" s="532"/>
      <c r="J540" s="532"/>
      <c r="K540" s="532"/>
      <c r="L540" s="532"/>
      <c r="M540" s="531">
        <v>71.739999999999995</v>
      </c>
      <c r="N540" s="531">
        <v>121.3</v>
      </c>
      <c r="O540" s="532"/>
      <c r="P540" s="532"/>
      <c r="Q540" s="531">
        <v>0</v>
      </c>
      <c r="R540" s="531">
        <v>9924.4500000000007</v>
      </c>
      <c r="S540" s="527">
        <f t="shared" si="66"/>
        <v>9731.41</v>
      </c>
      <c r="T540" s="528">
        <f t="shared" si="67"/>
        <v>0</v>
      </c>
      <c r="U540" s="527">
        <f t="shared" si="68"/>
        <v>121.3</v>
      </c>
      <c r="W540" s="326">
        <f t="shared" si="64"/>
        <v>9924.4499999999989</v>
      </c>
      <c r="X540" s="261">
        <f t="shared" si="65"/>
        <v>0</v>
      </c>
      <c r="Y540" s="546"/>
      <c r="Z540" s="1016">
        <f t="shared" si="69"/>
        <v>9731.41</v>
      </c>
      <c r="AA540" s="58"/>
      <c r="AB540" s="58"/>
      <c r="AC540" s="58"/>
      <c r="AD540" s="58"/>
      <c r="AE540" s="58"/>
      <c r="AF540" s="58"/>
      <c r="AG540" s="58"/>
      <c r="AH540" s="58"/>
      <c r="AI540" s="58"/>
      <c r="AJ540" s="58"/>
      <c r="AK540" s="58"/>
      <c r="AL540" s="58"/>
      <c r="AM540" s="58"/>
      <c r="AN540" s="58"/>
      <c r="AO540" s="58"/>
      <c r="AP540" s="58"/>
      <c r="AQ540" s="546"/>
      <c r="AR540" s="546"/>
      <c r="AS540" s="546"/>
      <c r="AT540" s="546"/>
      <c r="AU540" s="546"/>
      <c r="AV540" s="546"/>
      <c r="AW540" s="546"/>
      <c r="AX540" s="546"/>
      <c r="AY540" s="546"/>
      <c r="AZ540" s="546"/>
      <c r="BA540" s="546"/>
      <c r="BB540" s="546"/>
      <c r="BC540" s="546"/>
    </row>
    <row r="541" spans="1:55" ht="12" hidden="1" thickBot="1">
      <c r="A541" s="522" t="s">
        <v>1361</v>
      </c>
      <c r="B541" s="522" t="s">
        <v>330</v>
      </c>
      <c r="C541" s="522" t="s">
        <v>1010</v>
      </c>
      <c r="D541" s="533" t="s">
        <v>1036</v>
      </c>
      <c r="E541" s="524">
        <v>21414</v>
      </c>
      <c r="F541" s="526"/>
      <c r="G541" s="525">
        <v>3370.26</v>
      </c>
      <c r="H541" s="526"/>
      <c r="I541" s="526"/>
      <c r="J541" s="526"/>
      <c r="K541" s="526"/>
      <c r="L541" s="526"/>
      <c r="M541" s="525">
        <v>45.39</v>
      </c>
      <c r="N541" s="525">
        <v>41.66</v>
      </c>
      <c r="O541" s="526"/>
      <c r="P541" s="526"/>
      <c r="Q541" s="525">
        <v>0</v>
      </c>
      <c r="R541" s="525">
        <v>3457.31</v>
      </c>
      <c r="S541" s="527">
        <f t="shared" si="66"/>
        <v>3370.26</v>
      </c>
      <c r="T541" s="528">
        <f t="shared" si="67"/>
        <v>0</v>
      </c>
      <c r="U541" s="527">
        <f t="shared" si="68"/>
        <v>41.66</v>
      </c>
      <c r="W541" s="326">
        <f t="shared" si="64"/>
        <v>3457.31</v>
      </c>
      <c r="X541" s="261">
        <f t="shared" si="65"/>
        <v>0</v>
      </c>
      <c r="Y541" s="546"/>
      <c r="Z541" s="1016">
        <f t="shared" si="69"/>
        <v>3370.26</v>
      </c>
      <c r="AA541" s="58"/>
      <c r="AB541" s="58"/>
      <c r="AC541" s="58"/>
      <c r="AD541" s="58"/>
      <c r="AE541" s="58"/>
      <c r="AF541" s="58"/>
      <c r="AG541" s="58"/>
      <c r="AH541" s="58"/>
      <c r="AI541" s="58"/>
      <c r="AJ541" s="58"/>
      <c r="AK541" s="58"/>
      <c r="AL541" s="58"/>
      <c r="AM541" s="58"/>
      <c r="AN541" s="58"/>
      <c r="AO541" s="58"/>
      <c r="AP541" s="58"/>
      <c r="AQ541" s="546"/>
      <c r="AR541" s="546"/>
      <c r="AS541" s="546"/>
      <c r="AT541" s="546"/>
      <c r="AU541" s="546"/>
      <c r="AV541" s="546"/>
      <c r="AW541" s="546"/>
      <c r="AX541" s="546"/>
      <c r="AY541" s="546"/>
      <c r="AZ541" s="546"/>
      <c r="BA541" s="546"/>
      <c r="BB541" s="546"/>
      <c r="BC541" s="546"/>
    </row>
    <row r="542" spans="1:55" ht="12" hidden="1" thickBot="1">
      <c r="A542" s="522" t="s">
        <v>1361</v>
      </c>
      <c r="B542" s="522" t="s">
        <v>371</v>
      </c>
      <c r="C542" s="522" t="s">
        <v>1011</v>
      </c>
      <c r="D542" s="533" t="s">
        <v>1036</v>
      </c>
      <c r="E542" s="530">
        <v>72368</v>
      </c>
      <c r="F542" s="532"/>
      <c r="G542" s="531">
        <v>38456.339999999997</v>
      </c>
      <c r="H542" s="532"/>
      <c r="I542" s="532"/>
      <c r="J542" s="532"/>
      <c r="K542" s="532"/>
      <c r="L542" s="532"/>
      <c r="M542" s="531">
        <v>225.69</v>
      </c>
      <c r="N542" s="531">
        <v>618.71</v>
      </c>
      <c r="O542" s="532"/>
      <c r="P542" s="532"/>
      <c r="Q542" s="531">
        <v>0</v>
      </c>
      <c r="R542" s="531">
        <v>39300.74</v>
      </c>
      <c r="S542" s="527">
        <f t="shared" si="66"/>
        <v>38456.339999999997</v>
      </c>
      <c r="T542" s="528">
        <f t="shared" si="67"/>
        <v>0</v>
      </c>
      <c r="U542" s="527">
        <f t="shared" si="68"/>
        <v>618.71</v>
      </c>
      <c r="W542" s="326">
        <f t="shared" si="64"/>
        <v>39300.74</v>
      </c>
      <c r="X542" s="261">
        <f t="shared" si="65"/>
        <v>0</v>
      </c>
      <c r="Y542" s="546"/>
      <c r="Z542" s="1016">
        <f t="shared" si="69"/>
        <v>38456.339999999997</v>
      </c>
      <c r="AA542" s="58"/>
      <c r="AB542" s="58"/>
      <c r="AC542" s="58"/>
      <c r="AD542" s="58"/>
      <c r="AE542" s="58"/>
      <c r="AF542" s="58"/>
      <c r="AG542" s="58"/>
      <c r="AH542" s="58"/>
      <c r="AI542" s="58"/>
      <c r="AJ542" s="58"/>
      <c r="AK542" s="58"/>
      <c r="AL542" s="58"/>
      <c r="AM542" s="58"/>
      <c r="AN542" s="58"/>
      <c r="AO542" s="58"/>
      <c r="AP542" s="58"/>
      <c r="AQ542" s="546"/>
      <c r="AR542" s="546"/>
      <c r="AS542" s="546"/>
      <c r="AT542" s="546"/>
      <c r="AU542" s="546"/>
      <c r="AV542" s="546"/>
      <c r="AW542" s="546"/>
      <c r="AX542" s="546"/>
      <c r="AY542" s="546"/>
      <c r="AZ542" s="546"/>
      <c r="BA542" s="546"/>
      <c r="BB542" s="546"/>
      <c r="BC542" s="546"/>
    </row>
    <row r="543" spans="1:55" ht="12" hidden="1" thickBot="1">
      <c r="A543" s="522" t="s">
        <v>1361</v>
      </c>
      <c r="B543" s="522" t="s">
        <v>380</v>
      </c>
      <c r="C543" s="522" t="s">
        <v>1012</v>
      </c>
      <c r="D543" s="533" t="s">
        <v>1035</v>
      </c>
      <c r="E543" s="524">
        <v>238682</v>
      </c>
      <c r="F543" s="526"/>
      <c r="G543" s="525">
        <v>101414</v>
      </c>
      <c r="H543" s="526"/>
      <c r="I543" s="526"/>
      <c r="J543" s="526"/>
      <c r="K543" s="526"/>
      <c r="L543" s="526"/>
      <c r="M543" s="525">
        <v>742.27</v>
      </c>
      <c r="N543" s="525">
        <v>1630.51</v>
      </c>
      <c r="O543" s="526"/>
      <c r="P543" s="526"/>
      <c r="Q543" s="525">
        <v>0</v>
      </c>
      <c r="R543" s="525">
        <v>103786.78</v>
      </c>
      <c r="S543" s="527">
        <f t="shared" si="66"/>
        <v>101414</v>
      </c>
      <c r="T543" s="528">
        <f t="shared" si="67"/>
        <v>0</v>
      </c>
      <c r="U543" s="527">
        <f t="shared" si="68"/>
        <v>1630.51</v>
      </c>
      <c r="W543" s="326">
        <f t="shared" si="64"/>
        <v>103786.78</v>
      </c>
      <c r="X543" s="261">
        <f t="shared" si="65"/>
        <v>0</v>
      </c>
      <c r="Y543" s="546"/>
      <c r="Z543" s="1016">
        <f t="shared" si="69"/>
        <v>101414</v>
      </c>
      <c r="AA543" s="58"/>
      <c r="AB543" s="58"/>
      <c r="AC543" s="58"/>
      <c r="AD543" s="58"/>
      <c r="AE543" s="58"/>
      <c r="AF543" s="58"/>
      <c r="AG543" s="58"/>
      <c r="AH543" s="58"/>
      <c r="AI543" s="58"/>
      <c r="AJ543" s="58"/>
      <c r="AK543" s="58"/>
      <c r="AL543" s="58"/>
      <c r="AM543" s="58"/>
      <c r="AN543" s="58"/>
      <c r="AO543" s="58"/>
      <c r="AP543" s="58"/>
      <c r="AQ543" s="546"/>
      <c r="AR543" s="546"/>
      <c r="AS543" s="546"/>
      <c r="AT543" s="546"/>
      <c r="AU543" s="546"/>
      <c r="AV543" s="546"/>
      <c r="AW543" s="546"/>
      <c r="AX543" s="546"/>
      <c r="AY543" s="546"/>
      <c r="AZ543" s="546"/>
      <c r="BA543" s="546"/>
      <c r="BB543" s="546"/>
      <c r="BC543" s="546"/>
    </row>
    <row r="544" spans="1:55" ht="12" hidden="1" thickBot="1">
      <c r="A544" s="522" t="s">
        <v>1361</v>
      </c>
      <c r="B544" s="522" t="s">
        <v>403</v>
      </c>
      <c r="C544" s="522" t="s">
        <v>1013</v>
      </c>
      <c r="D544" s="533" t="s">
        <v>1035</v>
      </c>
      <c r="E544" s="530">
        <v>129425</v>
      </c>
      <c r="F544" s="532"/>
      <c r="G544" s="531">
        <v>41717.360000000001</v>
      </c>
      <c r="H544" s="532"/>
      <c r="I544" s="532"/>
      <c r="J544" s="532"/>
      <c r="K544" s="532"/>
      <c r="L544" s="532"/>
      <c r="M544" s="531">
        <v>354.88</v>
      </c>
      <c r="N544" s="531">
        <v>611.34</v>
      </c>
      <c r="O544" s="532"/>
      <c r="P544" s="532"/>
      <c r="Q544" s="531">
        <v>0</v>
      </c>
      <c r="R544" s="531">
        <v>42683.58</v>
      </c>
      <c r="S544" s="527">
        <f t="shared" si="66"/>
        <v>41717.360000000001</v>
      </c>
      <c r="T544" s="528">
        <f t="shared" si="67"/>
        <v>0</v>
      </c>
      <c r="U544" s="527">
        <f t="shared" si="68"/>
        <v>611.34</v>
      </c>
      <c r="W544" s="326">
        <f t="shared" si="64"/>
        <v>42683.579999999994</v>
      </c>
      <c r="X544" s="261">
        <f t="shared" si="65"/>
        <v>0</v>
      </c>
      <c r="Y544" s="546"/>
      <c r="Z544" s="1016">
        <f t="shared" si="69"/>
        <v>41717.360000000001</v>
      </c>
      <c r="AA544" s="58"/>
      <c r="AB544" s="58"/>
      <c r="AC544" s="58"/>
      <c r="AD544" s="58"/>
      <c r="AE544" s="58"/>
      <c r="AF544" s="58"/>
      <c r="AG544" s="58"/>
      <c r="AH544" s="58"/>
      <c r="AI544" s="58"/>
      <c r="AJ544" s="58"/>
      <c r="AK544" s="58"/>
      <c r="AL544" s="58"/>
      <c r="AM544" s="58"/>
      <c r="AN544" s="58"/>
      <c r="AO544" s="58"/>
      <c r="AP544" s="58"/>
      <c r="AQ544" s="546"/>
      <c r="AR544" s="546"/>
      <c r="AS544" s="546"/>
      <c r="AT544" s="546"/>
      <c r="AU544" s="546"/>
      <c r="AV544" s="546"/>
      <c r="AW544" s="546"/>
      <c r="AX544" s="546"/>
      <c r="AY544" s="546"/>
      <c r="AZ544" s="546"/>
      <c r="BA544" s="546"/>
      <c r="BB544" s="546"/>
      <c r="BC544" s="546"/>
    </row>
    <row r="545" spans="1:55" ht="12" hidden="1" thickBot="1">
      <c r="A545" s="522" t="s">
        <v>1361</v>
      </c>
      <c r="B545" s="522" t="s">
        <v>360</v>
      </c>
      <c r="C545" s="522" t="s">
        <v>1014</v>
      </c>
      <c r="D545" s="533" t="s">
        <v>1035</v>
      </c>
      <c r="E545" s="524">
        <v>407328</v>
      </c>
      <c r="F545" s="526"/>
      <c r="G545" s="525">
        <v>89957.47</v>
      </c>
      <c r="H545" s="526"/>
      <c r="I545" s="526"/>
      <c r="J545" s="526"/>
      <c r="K545" s="526"/>
      <c r="L545" s="526"/>
      <c r="M545" s="525">
        <v>1114.51</v>
      </c>
      <c r="N545" s="525">
        <v>1322.3</v>
      </c>
      <c r="O545" s="526"/>
      <c r="P545" s="526"/>
      <c r="Q545" s="525">
        <v>0</v>
      </c>
      <c r="R545" s="525">
        <v>92394.28</v>
      </c>
      <c r="S545" s="527">
        <f t="shared" si="66"/>
        <v>89957.47</v>
      </c>
      <c r="T545" s="528">
        <f t="shared" si="67"/>
        <v>0</v>
      </c>
      <c r="U545" s="527">
        <f t="shared" si="68"/>
        <v>1322.3</v>
      </c>
      <c r="W545" s="326">
        <f t="shared" si="64"/>
        <v>92394.28</v>
      </c>
      <c r="X545" s="261">
        <f t="shared" si="65"/>
        <v>0</v>
      </c>
      <c r="Y545" s="546"/>
      <c r="Z545" s="1016">
        <f t="shared" si="69"/>
        <v>89957.47</v>
      </c>
      <c r="AA545" s="58"/>
      <c r="AB545" s="58"/>
      <c r="AC545" s="58"/>
      <c r="AD545" s="58"/>
      <c r="AE545" s="58"/>
      <c r="AF545" s="58"/>
      <c r="AG545" s="58"/>
      <c r="AH545" s="58"/>
      <c r="AI545" s="58"/>
      <c r="AJ545" s="58"/>
      <c r="AK545" s="58"/>
      <c r="AL545" s="58"/>
      <c r="AM545" s="58"/>
      <c r="AN545" s="58"/>
      <c r="AO545" s="58"/>
      <c r="AP545" s="58"/>
      <c r="AQ545" s="546"/>
      <c r="AR545" s="546"/>
      <c r="AS545" s="546"/>
      <c r="AT545" s="546"/>
      <c r="AU545" s="546"/>
      <c r="AV545" s="546"/>
      <c r="AW545" s="546"/>
      <c r="AX545" s="546"/>
      <c r="AY545" s="546"/>
      <c r="AZ545" s="546"/>
      <c r="BA545" s="546"/>
      <c r="BB545" s="546"/>
      <c r="BC545" s="546"/>
    </row>
    <row r="546" spans="1:55" ht="12" hidden="1" thickBot="1">
      <c r="A546" s="522" t="s">
        <v>1361</v>
      </c>
      <c r="B546" s="522" t="s">
        <v>392</v>
      </c>
      <c r="C546" s="522" t="s">
        <v>1015</v>
      </c>
      <c r="D546" s="533" t="s">
        <v>1035</v>
      </c>
      <c r="E546" s="530">
        <v>78787</v>
      </c>
      <c r="F546" s="532"/>
      <c r="G546" s="531">
        <v>12596.9</v>
      </c>
      <c r="H546" s="532"/>
      <c r="I546" s="532"/>
      <c r="J546" s="532"/>
      <c r="K546" s="532"/>
      <c r="L546" s="532"/>
      <c r="M546" s="531">
        <v>216.23</v>
      </c>
      <c r="N546" s="531">
        <v>186.26</v>
      </c>
      <c r="O546" s="532"/>
      <c r="P546" s="532"/>
      <c r="Q546" s="531">
        <v>0</v>
      </c>
      <c r="R546" s="531">
        <v>12999.39</v>
      </c>
      <c r="S546" s="527">
        <f t="shared" si="66"/>
        <v>12596.9</v>
      </c>
      <c r="T546" s="528">
        <f t="shared" si="67"/>
        <v>0</v>
      </c>
      <c r="U546" s="527">
        <f t="shared" si="68"/>
        <v>186.26</v>
      </c>
      <c r="W546" s="326">
        <f t="shared" si="64"/>
        <v>12999.39</v>
      </c>
      <c r="X546" s="261">
        <f t="shared" si="65"/>
        <v>0</v>
      </c>
      <c r="Y546" s="546"/>
      <c r="Z546" s="1016">
        <f t="shared" si="69"/>
        <v>12596.9</v>
      </c>
      <c r="AA546" s="58"/>
      <c r="AB546" s="58"/>
      <c r="AC546" s="58"/>
      <c r="AD546" s="58"/>
      <c r="AE546" s="58"/>
      <c r="AF546" s="58"/>
      <c r="AG546" s="58"/>
      <c r="AH546" s="58"/>
      <c r="AI546" s="58"/>
      <c r="AJ546" s="58"/>
      <c r="AK546" s="58"/>
      <c r="AL546" s="58"/>
      <c r="AM546" s="58"/>
      <c r="AN546" s="58"/>
      <c r="AO546" s="58"/>
      <c r="AP546" s="58"/>
      <c r="AQ546" s="546"/>
      <c r="AR546" s="546"/>
      <c r="AS546" s="546"/>
      <c r="AT546" s="546"/>
      <c r="AU546" s="546"/>
      <c r="AV546" s="546"/>
      <c r="AW546" s="546"/>
      <c r="AX546" s="546"/>
      <c r="AY546" s="546"/>
      <c r="AZ546" s="546"/>
      <c r="BA546" s="546"/>
      <c r="BB546" s="546"/>
      <c r="BC546" s="546"/>
    </row>
    <row r="547" spans="1:55" ht="12" hidden="1" thickBot="1">
      <c r="A547" s="522" t="s">
        <v>1361</v>
      </c>
      <c r="B547" s="522" t="s">
        <v>390</v>
      </c>
      <c r="C547" s="522" t="s">
        <v>1016</v>
      </c>
      <c r="D547" s="533" t="s">
        <v>1035</v>
      </c>
      <c r="E547" s="524">
        <v>124839</v>
      </c>
      <c r="F547" s="526"/>
      <c r="G547" s="525">
        <v>76696.710000000006</v>
      </c>
      <c r="H547" s="526"/>
      <c r="I547" s="526"/>
      <c r="J547" s="526"/>
      <c r="K547" s="526"/>
      <c r="L547" s="526"/>
      <c r="M547" s="525">
        <v>388.97</v>
      </c>
      <c r="N547" s="525">
        <v>1232.0999999999999</v>
      </c>
      <c r="O547" s="526"/>
      <c r="P547" s="526"/>
      <c r="Q547" s="525">
        <v>0</v>
      </c>
      <c r="R547" s="525">
        <v>78317.78</v>
      </c>
      <c r="S547" s="527">
        <f t="shared" si="66"/>
        <v>76696.710000000006</v>
      </c>
      <c r="T547" s="528">
        <f t="shared" si="67"/>
        <v>0</v>
      </c>
      <c r="U547" s="527">
        <f t="shared" si="68"/>
        <v>1232.0999999999999</v>
      </c>
      <c r="W547" s="326">
        <f t="shared" si="64"/>
        <v>78317.780000000013</v>
      </c>
      <c r="X547" s="261">
        <f t="shared" si="65"/>
        <v>0</v>
      </c>
      <c r="Y547" s="546"/>
      <c r="Z547" s="1016">
        <f t="shared" si="69"/>
        <v>76696.710000000006</v>
      </c>
      <c r="AA547" s="58"/>
      <c r="AB547" s="58"/>
      <c r="AC547" s="58"/>
      <c r="AD547" s="58"/>
      <c r="AE547" s="58"/>
      <c r="AF547" s="58"/>
      <c r="AG547" s="58"/>
      <c r="AH547" s="58"/>
      <c r="AI547" s="58"/>
      <c r="AJ547" s="58"/>
      <c r="AK547" s="58"/>
      <c r="AL547" s="58"/>
      <c r="AM547" s="58"/>
      <c r="AN547" s="58"/>
      <c r="AO547" s="58"/>
      <c r="AP547" s="58"/>
      <c r="AQ547" s="546"/>
      <c r="AR547" s="546"/>
      <c r="AS547" s="546"/>
      <c r="AT547" s="546"/>
      <c r="AU547" s="546"/>
      <c r="AV547" s="546"/>
      <c r="AW547" s="546"/>
      <c r="AX547" s="546"/>
      <c r="AY547" s="546"/>
      <c r="AZ547" s="546"/>
      <c r="BA547" s="546"/>
      <c r="BB547" s="546"/>
      <c r="BC547" s="546"/>
    </row>
    <row r="548" spans="1:55" ht="12" hidden="1" thickBot="1">
      <c r="A548" s="522" t="s">
        <v>1361</v>
      </c>
      <c r="B548" s="522" t="s">
        <v>414</v>
      </c>
      <c r="C548" s="522" t="s">
        <v>1017</v>
      </c>
      <c r="D548" s="533" t="s">
        <v>1035</v>
      </c>
      <c r="E548" s="530">
        <v>40276</v>
      </c>
      <c r="F548" s="532"/>
      <c r="G548" s="531">
        <v>22204.61</v>
      </c>
      <c r="H548" s="532"/>
      <c r="I548" s="532"/>
      <c r="J548" s="532"/>
      <c r="K548" s="532"/>
      <c r="L548" s="532"/>
      <c r="M548" s="531">
        <v>106.74</v>
      </c>
      <c r="N548" s="531">
        <v>316.17</v>
      </c>
      <c r="O548" s="532"/>
      <c r="P548" s="532"/>
      <c r="Q548" s="531">
        <v>0</v>
      </c>
      <c r="R548" s="531">
        <v>22627.52</v>
      </c>
      <c r="S548" s="527">
        <f t="shared" si="66"/>
        <v>22204.61</v>
      </c>
      <c r="T548" s="528">
        <f t="shared" si="67"/>
        <v>0</v>
      </c>
      <c r="U548" s="527">
        <f t="shared" si="68"/>
        <v>316.17</v>
      </c>
      <c r="W548" s="326">
        <f t="shared" si="64"/>
        <v>22627.52</v>
      </c>
      <c r="X548" s="261">
        <f t="shared" si="65"/>
        <v>0</v>
      </c>
      <c r="Y548" s="546"/>
      <c r="Z548" s="1016">
        <f t="shared" si="69"/>
        <v>22204.61</v>
      </c>
      <c r="AA548" s="58"/>
      <c r="AB548" s="58"/>
      <c r="AC548" s="58"/>
      <c r="AD548" s="58"/>
      <c r="AE548" s="58"/>
      <c r="AF548" s="58"/>
      <c r="AG548" s="58"/>
      <c r="AH548" s="58"/>
      <c r="AI548" s="58"/>
      <c r="AJ548" s="58"/>
      <c r="AK548" s="58"/>
      <c r="AL548" s="58"/>
      <c r="AM548" s="58"/>
      <c r="AN548" s="58"/>
      <c r="AO548" s="58"/>
      <c r="AP548" s="58"/>
      <c r="AQ548" s="546"/>
      <c r="AR548" s="546"/>
      <c r="AS548" s="546"/>
      <c r="AT548" s="546"/>
      <c r="AU548" s="546"/>
      <c r="AV548" s="546"/>
      <c r="AW548" s="546"/>
      <c r="AX548" s="546"/>
      <c r="AY548" s="546"/>
      <c r="AZ548" s="546"/>
      <c r="BA548" s="546"/>
      <c r="BB548" s="546"/>
      <c r="BC548" s="546"/>
    </row>
    <row r="549" spans="1:55" ht="12" hidden="1" thickBot="1">
      <c r="A549" s="522" t="s">
        <v>1361</v>
      </c>
      <c r="B549" s="522" t="s">
        <v>364</v>
      </c>
      <c r="C549" s="522" t="s">
        <v>1018</v>
      </c>
      <c r="D549" s="533" t="s">
        <v>1035</v>
      </c>
      <c r="E549" s="524">
        <v>111040</v>
      </c>
      <c r="F549" s="526"/>
      <c r="G549" s="525">
        <v>38049.68</v>
      </c>
      <c r="H549" s="526"/>
      <c r="I549" s="526"/>
      <c r="J549" s="526"/>
      <c r="K549" s="526"/>
      <c r="L549" s="526"/>
      <c r="M549" s="525">
        <v>284.08999999999997</v>
      </c>
      <c r="N549" s="525">
        <v>530.62</v>
      </c>
      <c r="O549" s="526"/>
      <c r="P549" s="526"/>
      <c r="Q549" s="525">
        <v>0</v>
      </c>
      <c r="R549" s="525">
        <v>38864.39</v>
      </c>
      <c r="S549" s="527">
        <f t="shared" si="66"/>
        <v>38049.68</v>
      </c>
      <c r="T549" s="528">
        <f t="shared" si="67"/>
        <v>0</v>
      </c>
      <c r="U549" s="527">
        <f t="shared" si="68"/>
        <v>530.62</v>
      </c>
      <c r="W549" s="326">
        <f t="shared" si="64"/>
        <v>38864.39</v>
      </c>
      <c r="X549" s="261">
        <f t="shared" si="65"/>
        <v>0</v>
      </c>
      <c r="Y549" s="546"/>
      <c r="Z549" s="1016">
        <f t="shared" si="69"/>
        <v>38049.68</v>
      </c>
      <c r="AA549" s="58"/>
      <c r="AB549" s="58"/>
      <c r="AC549" s="58"/>
      <c r="AD549" s="58"/>
      <c r="AE549" s="58"/>
      <c r="AF549" s="58"/>
      <c r="AG549" s="58"/>
      <c r="AH549" s="58"/>
      <c r="AI549" s="58"/>
      <c r="AJ549" s="58"/>
      <c r="AK549" s="58"/>
      <c r="AL549" s="58"/>
      <c r="AM549" s="58"/>
      <c r="AN549" s="58"/>
      <c r="AO549" s="58"/>
      <c r="AP549" s="58"/>
      <c r="AQ549" s="546"/>
      <c r="AR549" s="546"/>
      <c r="AS549" s="546"/>
      <c r="AT549" s="546"/>
      <c r="AU549" s="546"/>
      <c r="AV549" s="546"/>
      <c r="AW549" s="546"/>
      <c r="AX549" s="546"/>
      <c r="AY549" s="546"/>
      <c r="AZ549" s="546"/>
      <c r="BA549" s="546"/>
      <c r="BB549" s="546"/>
      <c r="BC549" s="546"/>
    </row>
    <row r="550" spans="1:55" ht="12" hidden="1" thickBot="1">
      <c r="A550" s="522" t="s">
        <v>1361</v>
      </c>
      <c r="B550" s="522" t="s">
        <v>396</v>
      </c>
      <c r="C550" s="522" t="s">
        <v>1019</v>
      </c>
      <c r="D550" s="533" t="s">
        <v>1035</v>
      </c>
      <c r="E550" s="530">
        <v>142763</v>
      </c>
      <c r="F550" s="532"/>
      <c r="G550" s="531">
        <v>31466.21</v>
      </c>
      <c r="H550" s="532"/>
      <c r="I550" s="532"/>
      <c r="J550" s="532"/>
      <c r="K550" s="532"/>
      <c r="L550" s="532"/>
      <c r="M550" s="531">
        <v>321.07</v>
      </c>
      <c r="N550" s="531">
        <v>402.69</v>
      </c>
      <c r="O550" s="532"/>
      <c r="P550" s="532"/>
      <c r="Q550" s="531">
        <v>0</v>
      </c>
      <c r="R550" s="531">
        <v>32189.97</v>
      </c>
      <c r="S550" s="527">
        <f t="shared" si="66"/>
        <v>31466.21</v>
      </c>
      <c r="T550" s="528">
        <f t="shared" si="67"/>
        <v>0</v>
      </c>
      <c r="U550" s="527">
        <f t="shared" si="68"/>
        <v>402.69</v>
      </c>
      <c r="W550" s="326">
        <f t="shared" si="64"/>
        <v>32189.969999999998</v>
      </c>
      <c r="X550" s="261">
        <f t="shared" si="65"/>
        <v>0</v>
      </c>
      <c r="Y550" s="546"/>
      <c r="Z550" s="1016">
        <f t="shared" si="69"/>
        <v>31466.21</v>
      </c>
      <c r="AA550" s="58"/>
      <c r="AB550" s="58"/>
      <c r="AC550" s="58"/>
      <c r="AD550" s="58"/>
      <c r="AE550" s="58"/>
      <c r="AF550" s="58"/>
      <c r="AG550" s="58"/>
      <c r="AH550" s="58"/>
      <c r="AI550" s="58"/>
      <c r="AJ550" s="58"/>
      <c r="AK550" s="58"/>
      <c r="AL550" s="58"/>
      <c r="AM550" s="58"/>
      <c r="AN550" s="58"/>
      <c r="AO550" s="58"/>
      <c r="AP550" s="58"/>
      <c r="AQ550" s="546"/>
      <c r="AR550" s="546"/>
      <c r="AS550" s="546"/>
      <c r="AT550" s="546"/>
      <c r="AU550" s="546"/>
      <c r="AV550" s="546"/>
      <c r="AW550" s="546"/>
      <c r="AX550" s="546"/>
      <c r="AY550" s="546"/>
      <c r="AZ550" s="546"/>
      <c r="BA550" s="546"/>
      <c r="BB550" s="546"/>
      <c r="BC550" s="546"/>
    </row>
    <row r="551" spans="1:55" ht="12" hidden="1" thickBot="1">
      <c r="A551" s="522" t="s">
        <v>1361</v>
      </c>
      <c r="B551" s="522" t="s">
        <v>415</v>
      </c>
      <c r="C551" s="522" t="s">
        <v>1020</v>
      </c>
      <c r="D551" s="533" t="s">
        <v>1035</v>
      </c>
      <c r="E551" s="524">
        <v>413239</v>
      </c>
      <c r="F551" s="526"/>
      <c r="G551" s="525">
        <v>99614.8</v>
      </c>
      <c r="H551" s="526"/>
      <c r="I551" s="526"/>
      <c r="J551" s="526"/>
      <c r="K551" s="526"/>
      <c r="L551" s="526"/>
      <c r="M551" s="525">
        <v>886.89</v>
      </c>
      <c r="N551" s="525">
        <v>1219.54</v>
      </c>
      <c r="O551" s="526"/>
      <c r="P551" s="526"/>
      <c r="Q551" s="525">
        <v>0</v>
      </c>
      <c r="R551" s="525">
        <v>101721.23</v>
      </c>
      <c r="S551" s="527">
        <f t="shared" si="66"/>
        <v>99614.8</v>
      </c>
      <c r="T551" s="528">
        <f t="shared" si="67"/>
        <v>0</v>
      </c>
      <c r="U551" s="527">
        <f t="shared" si="68"/>
        <v>1219.54</v>
      </c>
      <c r="W551" s="326">
        <f t="shared" si="64"/>
        <v>101721.23</v>
      </c>
      <c r="X551" s="261">
        <f t="shared" si="65"/>
        <v>0</v>
      </c>
      <c r="Y551" s="546"/>
      <c r="Z551" s="1016">
        <f t="shared" si="69"/>
        <v>99614.8</v>
      </c>
      <c r="AA551" s="58"/>
      <c r="AB551" s="58"/>
      <c r="AC551" s="58"/>
      <c r="AD551" s="58"/>
      <c r="AE551" s="58"/>
      <c r="AF551" s="58"/>
      <c r="AG551" s="58"/>
      <c r="AH551" s="58"/>
      <c r="AI551" s="58"/>
      <c r="AJ551" s="58"/>
      <c r="AK551" s="58"/>
      <c r="AL551" s="58"/>
      <c r="AM551" s="58"/>
      <c r="AN551" s="58"/>
      <c r="AO551" s="58"/>
      <c r="AP551" s="58"/>
      <c r="AQ551" s="546"/>
      <c r="AR551" s="546"/>
      <c r="AS551" s="546"/>
      <c r="AT551" s="546"/>
      <c r="AU551" s="546"/>
      <c r="AV551" s="546"/>
      <c r="AW551" s="546"/>
      <c r="AX551" s="546"/>
      <c r="AY551" s="546"/>
      <c r="AZ551" s="546"/>
      <c r="BA551" s="546"/>
      <c r="BB551" s="546"/>
      <c r="BC551" s="546"/>
    </row>
    <row r="552" spans="1:55" ht="12" hidden="1" thickBot="1">
      <c r="A552" s="522" t="s">
        <v>1361</v>
      </c>
      <c r="B552" s="522" t="s">
        <v>365</v>
      </c>
      <c r="C552" s="522" t="s">
        <v>1021</v>
      </c>
      <c r="D552" s="533" t="s">
        <v>1035</v>
      </c>
      <c r="E552" s="530">
        <v>512569</v>
      </c>
      <c r="F552" s="532"/>
      <c r="G552" s="531">
        <v>90475.08</v>
      </c>
      <c r="H552" s="532"/>
      <c r="I552" s="532"/>
      <c r="J552" s="532"/>
      <c r="K552" s="532"/>
      <c r="L552" s="532"/>
      <c r="M552" s="531">
        <v>1103.8499999999999</v>
      </c>
      <c r="N552" s="531">
        <v>1145.54</v>
      </c>
      <c r="O552" s="532"/>
      <c r="P552" s="532"/>
      <c r="Q552" s="531">
        <v>0</v>
      </c>
      <c r="R552" s="531">
        <v>92724.47</v>
      </c>
      <c r="S552" s="527">
        <f t="shared" si="66"/>
        <v>90475.08</v>
      </c>
      <c r="T552" s="528">
        <f t="shared" si="67"/>
        <v>0</v>
      </c>
      <c r="U552" s="527">
        <f t="shared" si="68"/>
        <v>1145.54</v>
      </c>
      <c r="W552" s="326">
        <f t="shared" si="64"/>
        <v>92724.47</v>
      </c>
      <c r="X552" s="261">
        <f t="shared" si="65"/>
        <v>0</v>
      </c>
      <c r="Y552" s="546"/>
      <c r="Z552" s="1016">
        <f t="shared" si="69"/>
        <v>90475.08</v>
      </c>
      <c r="AA552" s="58"/>
      <c r="AB552" s="58"/>
      <c r="AC552" s="58"/>
      <c r="AD552" s="58"/>
      <c r="AE552" s="58"/>
      <c r="AF552" s="58"/>
      <c r="AG552" s="58"/>
      <c r="AH552" s="58"/>
      <c r="AI552" s="58"/>
      <c r="AJ552" s="58"/>
      <c r="AK552" s="58"/>
      <c r="AL552" s="58"/>
      <c r="AM552" s="58"/>
      <c r="AN552" s="58"/>
      <c r="AO552" s="58"/>
      <c r="AP552" s="58"/>
      <c r="AQ552" s="546"/>
      <c r="AR552" s="546"/>
      <c r="AS552" s="546"/>
      <c r="AT552" s="546"/>
      <c r="AU552" s="546"/>
      <c r="AV552" s="546"/>
      <c r="AW552" s="546"/>
      <c r="AX552" s="546"/>
      <c r="AY552" s="546"/>
      <c r="AZ552" s="546"/>
      <c r="BA552" s="546"/>
      <c r="BB552" s="546"/>
      <c r="BC552" s="546"/>
    </row>
    <row r="553" spans="1:55" ht="12" hidden="1" thickBot="1">
      <c r="A553" s="522" t="s">
        <v>1361</v>
      </c>
      <c r="B553" s="522" t="s">
        <v>397</v>
      </c>
      <c r="C553" s="522" t="s">
        <v>1022</v>
      </c>
      <c r="D553" s="533" t="s">
        <v>1035</v>
      </c>
      <c r="E553" s="524">
        <v>1248214</v>
      </c>
      <c r="F553" s="526"/>
      <c r="G553" s="525">
        <v>161411.22</v>
      </c>
      <c r="H553" s="526"/>
      <c r="I553" s="526"/>
      <c r="J553" s="526"/>
      <c r="K553" s="526"/>
      <c r="L553" s="526"/>
      <c r="M553" s="525">
        <v>2735.78</v>
      </c>
      <c r="N553" s="525">
        <v>2023.45</v>
      </c>
      <c r="O553" s="526"/>
      <c r="P553" s="526"/>
      <c r="Q553" s="525">
        <v>0</v>
      </c>
      <c r="R553" s="525">
        <v>166170.45000000001</v>
      </c>
      <c r="S553" s="527">
        <f>G553+H553+I553</f>
        <v>161411.22</v>
      </c>
      <c r="T553" s="528">
        <f t="shared" si="67"/>
        <v>0</v>
      </c>
      <c r="U553" s="527">
        <f t="shared" si="68"/>
        <v>2023.45</v>
      </c>
      <c r="W553" s="326">
        <f t="shared" si="64"/>
        <v>166170.45000000001</v>
      </c>
      <c r="X553" s="261">
        <f t="shared" si="65"/>
        <v>0</v>
      </c>
      <c r="Y553" s="546"/>
      <c r="Z553" s="1016">
        <f t="shared" si="69"/>
        <v>161411.22</v>
      </c>
      <c r="AA553" s="58"/>
      <c r="AB553" s="58"/>
      <c r="AC553" s="58"/>
      <c r="AD553" s="58"/>
      <c r="AE553" s="58"/>
      <c r="AF553" s="58"/>
      <c r="AG553" s="58"/>
      <c r="AH553" s="58"/>
      <c r="AI553" s="58"/>
      <c r="AJ553" s="58"/>
      <c r="AK553" s="58"/>
      <c r="AL553" s="58"/>
      <c r="AM553" s="58"/>
      <c r="AN553" s="58"/>
      <c r="AO553" s="58"/>
      <c r="AP553" s="58"/>
      <c r="AQ553" s="546"/>
      <c r="AR553" s="546"/>
      <c r="AS553" s="546"/>
      <c r="AT553" s="546"/>
      <c r="AU553" s="546"/>
      <c r="AV553" s="546"/>
      <c r="AW553" s="546"/>
      <c r="AX553" s="546"/>
      <c r="AY553" s="546"/>
      <c r="AZ553" s="546"/>
      <c r="BA553" s="546"/>
      <c r="BB553" s="546"/>
      <c r="BC553" s="546"/>
    </row>
    <row r="554" spans="1:55" ht="12" hidden="1" thickBot="1">
      <c r="A554" s="522" t="s">
        <v>1361</v>
      </c>
      <c r="B554" s="522" t="s">
        <v>337</v>
      </c>
      <c r="C554" s="522" t="s">
        <v>1023</v>
      </c>
      <c r="D554" s="533" t="s">
        <v>1035</v>
      </c>
      <c r="E554" s="530">
        <v>2776</v>
      </c>
      <c r="F554" s="532"/>
      <c r="G554" s="531">
        <v>897.26</v>
      </c>
      <c r="H554" s="532"/>
      <c r="I554" s="532"/>
      <c r="J554" s="532"/>
      <c r="K554" s="532"/>
      <c r="L554" s="532"/>
      <c r="M554" s="531">
        <v>5.95</v>
      </c>
      <c r="N554" s="531">
        <v>11.08</v>
      </c>
      <c r="O554" s="532"/>
      <c r="P554" s="532"/>
      <c r="Q554" s="531">
        <v>0</v>
      </c>
      <c r="R554" s="531">
        <v>914.29</v>
      </c>
      <c r="S554" s="527">
        <f t="shared" si="66"/>
        <v>897.26</v>
      </c>
      <c r="T554" s="528">
        <f t="shared" si="67"/>
        <v>0</v>
      </c>
      <c r="U554" s="527">
        <f t="shared" si="68"/>
        <v>11.08</v>
      </c>
      <c r="W554" s="326">
        <f t="shared" si="64"/>
        <v>914.29000000000008</v>
      </c>
      <c r="X554" s="261">
        <f t="shared" si="65"/>
        <v>0</v>
      </c>
      <c r="Y554" s="546"/>
      <c r="Z554" s="1016">
        <f t="shared" si="69"/>
        <v>897.26</v>
      </c>
      <c r="AA554" s="58"/>
      <c r="AB554" s="58"/>
      <c r="AC554" s="58"/>
      <c r="AD554" s="58"/>
      <c r="AE554" s="58"/>
      <c r="AF554" s="58"/>
      <c r="AG554" s="58"/>
      <c r="AH554" s="58"/>
      <c r="AI554" s="58"/>
      <c r="AJ554" s="58"/>
      <c r="AK554" s="58"/>
      <c r="AL554" s="58"/>
      <c r="AM554" s="58"/>
      <c r="AN554" s="58"/>
      <c r="AO554" s="58"/>
      <c r="AP554" s="58"/>
      <c r="AQ554" s="546"/>
      <c r="AR554" s="546"/>
      <c r="AS554" s="546"/>
      <c r="AT554" s="546"/>
      <c r="AU554" s="546"/>
      <c r="AV554" s="546"/>
      <c r="AW554" s="546"/>
      <c r="AX554" s="546"/>
      <c r="AY554" s="546"/>
      <c r="AZ554" s="546"/>
      <c r="BA554" s="546"/>
      <c r="BB554" s="546"/>
      <c r="BC554" s="546"/>
    </row>
    <row r="555" spans="1:55" ht="12" hidden="1" thickBot="1">
      <c r="A555" s="522" t="s">
        <v>1361</v>
      </c>
      <c r="B555" s="522" t="s">
        <v>369</v>
      </c>
      <c r="C555" s="522" t="s">
        <v>1024</v>
      </c>
      <c r="D555" s="533" t="s">
        <v>1035</v>
      </c>
      <c r="E555" s="524">
        <v>33049</v>
      </c>
      <c r="F555" s="526"/>
      <c r="G555" s="525">
        <v>6530.75</v>
      </c>
      <c r="H555" s="526"/>
      <c r="I555" s="526"/>
      <c r="J555" s="526"/>
      <c r="K555" s="526"/>
      <c r="L555" s="526"/>
      <c r="M555" s="525">
        <v>71.12</v>
      </c>
      <c r="N555" s="525">
        <v>81.209999999999994</v>
      </c>
      <c r="O555" s="526"/>
      <c r="P555" s="526"/>
      <c r="Q555" s="525">
        <v>0</v>
      </c>
      <c r="R555" s="525">
        <v>6683.08</v>
      </c>
      <c r="S555" s="527">
        <f t="shared" si="66"/>
        <v>6530.75</v>
      </c>
      <c r="T555" s="528">
        <f t="shared" si="67"/>
        <v>0</v>
      </c>
      <c r="U555" s="527">
        <f t="shared" si="68"/>
        <v>81.209999999999994</v>
      </c>
      <c r="W555" s="326">
        <f t="shared" ref="W555:W570" si="70">SUM(F555:Q555)</f>
        <v>6683.08</v>
      </c>
      <c r="X555" s="261">
        <f t="shared" ref="X555:X570" si="71">W555-R555</f>
        <v>0</v>
      </c>
      <c r="Y555" s="546"/>
      <c r="Z555" s="1016">
        <f t="shared" si="69"/>
        <v>6530.75</v>
      </c>
      <c r="AA555" s="58"/>
      <c r="AB555" s="58"/>
      <c r="AC555" s="58"/>
      <c r="AD555" s="58"/>
      <c r="AE555" s="58"/>
      <c r="AF555" s="58"/>
      <c r="AG555" s="58"/>
      <c r="AH555" s="58"/>
      <c r="AI555" s="58"/>
      <c r="AJ555" s="58"/>
      <c r="AK555" s="58"/>
      <c r="AL555" s="58"/>
      <c r="AM555" s="58"/>
      <c r="AN555" s="58"/>
      <c r="AO555" s="58"/>
      <c r="AP555" s="58"/>
      <c r="AQ555" s="546"/>
      <c r="AR555" s="546"/>
      <c r="AS555" s="546"/>
      <c r="AT555" s="546"/>
      <c r="AU555" s="546"/>
      <c r="AV555" s="546"/>
      <c r="AW555" s="546"/>
      <c r="AX555" s="546"/>
      <c r="AY555" s="546"/>
      <c r="AZ555" s="546"/>
      <c r="BA555" s="546"/>
      <c r="BB555" s="546"/>
      <c r="BC555" s="546"/>
    </row>
    <row r="556" spans="1:55" ht="12" hidden="1" thickBot="1">
      <c r="A556" s="522" t="s">
        <v>1361</v>
      </c>
      <c r="B556" s="522" t="s">
        <v>715</v>
      </c>
      <c r="C556" s="522" t="s">
        <v>1025</v>
      </c>
      <c r="D556" s="533" t="s">
        <v>1035</v>
      </c>
      <c r="E556" s="530">
        <v>51</v>
      </c>
      <c r="F556" s="532"/>
      <c r="G556" s="531">
        <v>30.74</v>
      </c>
      <c r="H556" s="532"/>
      <c r="I556" s="532"/>
      <c r="J556" s="532"/>
      <c r="K556" s="532"/>
      <c r="L556" s="532"/>
      <c r="M556" s="531">
        <v>0.11</v>
      </c>
      <c r="N556" s="531">
        <v>0.38</v>
      </c>
      <c r="O556" s="532"/>
      <c r="P556" s="532"/>
      <c r="Q556" s="531"/>
      <c r="R556" s="531">
        <v>31.23</v>
      </c>
      <c r="S556" s="527">
        <f t="shared" si="66"/>
        <v>30.74</v>
      </c>
      <c r="T556" s="528">
        <f t="shared" si="67"/>
        <v>0</v>
      </c>
      <c r="U556" s="527">
        <f t="shared" si="68"/>
        <v>0.38</v>
      </c>
      <c r="W556" s="326">
        <f t="shared" si="70"/>
        <v>31.229999999999997</v>
      </c>
      <c r="X556" s="261">
        <f t="shared" si="71"/>
        <v>0</v>
      </c>
      <c r="Y556" s="546"/>
      <c r="Z556" s="1016">
        <f t="shared" si="69"/>
        <v>30.74</v>
      </c>
      <c r="AA556" s="58"/>
      <c r="AB556" s="58"/>
      <c r="AC556" s="58"/>
      <c r="AD556" s="58"/>
      <c r="AE556" s="58"/>
      <c r="AF556" s="58"/>
      <c r="AG556" s="58"/>
      <c r="AH556" s="58"/>
      <c r="AI556" s="58"/>
      <c r="AJ556" s="58"/>
      <c r="AK556" s="58"/>
      <c r="AL556" s="58"/>
      <c r="AM556" s="58"/>
      <c r="AN556" s="58"/>
      <c r="AO556" s="58"/>
      <c r="AP556" s="58"/>
      <c r="AQ556" s="546"/>
      <c r="AR556" s="546"/>
      <c r="AS556" s="546"/>
      <c r="AT556" s="546"/>
      <c r="AU556" s="546"/>
      <c r="AV556" s="546"/>
      <c r="AW556" s="546"/>
      <c r="AX556" s="546"/>
      <c r="AY556" s="546"/>
      <c r="AZ556" s="546"/>
      <c r="BA556" s="546"/>
      <c r="BB556" s="546"/>
      <c r="BC556" s="546"/>
    </row>
    <row r="557" spans="1:55" ht="12" hidden="1" thickBot="1">
      <c r="A557" s="522" t="s">
        <v>1361</v>
      </c>
      <c r="B557" s="522" t="s">
        <v>332</v>
      </c>
      <c r="C557" s="522" t="s">
        <v>1026</v>
      </c>
      <c r="D557" s="533" t="s">
        <v>1035</v>
      </c>
      <c r="E557" s="524">
        <v>14638</v>
      </c>
      <c r="F557" s="526"/>
      <c r="G557" s="525">
        <v>1965.1</v>
      </c>
      <c r="H557" s="526"/>
      <c r="I557" s="526"/>
      <c r="J557" s="526"/>
      <c r="K557" s="526"/>
      <c r="L557" s="526"/>
      <c r="M557" s="525">
        <v>31.03</v>
      </c>
      <c r="N557" s="525">
        <v>24.38</v>
      </c>
      <c r="O557" s="526"/>
      <c r="P557" s="526"/>
      <c r="Q557" s="525">
        <v>0</v>
      </c>
      <c r="R557" s="525">
        <v>2020.51</v>
      </c>
      <c r="S557" s="527">
        <f t="shared" ref="S557:S570" si="72">G557+H557+I557</f>
        <v>1965.1</v>
      </c>
      <c r="T557" s="528">
        <f t="shared" ref="T557:T570" si="73">J557+K557</f>
        <v>0</v>
      </c>
      <c r="U557" s="527">
        <f t="shared" ref="U557:U570" si="74">N557+O557</f>
        <v>24.38</v>
      </c>
      <c r="W557" s="326">
        <f t="shared" si="70"/>
        <v>2020.51</v>
      </c>
      <c r="X557" s="261">
        <f t="shared" si="71"/>
        <v>0</v>
      </c>
      <c r="Y557" s="546"/>
      <c r="Z557" s="1016">
        <f t="shared" si="69"/>
        <v>1965.1</v>
      </c>
      <c r="AA557" s="58"/>
      <c r="AB557" s="58"/>
      <c r="AC557" s="58"/>
      <c r="AD557" s="58"/>
      <c r="AE557" s="58"/>
      <c r="AF557" s="58"/>
      <c r="AG557" s="58"/>
      <c r="AH557" s="58"/>
      <c r="AI557" s="58"/>
      <c r="AJ557" s="58"/>
      <c r="AK557" s="58"/>
      <c r="AL557" s="58"/>
      <c r="AM557" s="58"/>
      <c r="AN557" s="58"/>
      <c r="AO557" s="58"/>
      <c r="AP557" s="58"/>
      <c r="AQ557" s="546"/>
      <c r="AR557" s="546"/>
      <c r="AS557" s="546"/>
      <c r="AT557" s="546"/>
      <c r="AU557" s="546"/>
      <c r="AV557" s="546"/>
      <c r="AW557" s="546"/>
      <c r="AX557" s="546"/>
      <c r="AY557" s="546"/>
      <c r="AZ557" s="546"/>
      <c r="BA557" s="546"/>
      <c r="BB557" s="546"/>
      <c r="BC557" s="546"/>
    </row>
    <row r="558" spans="1:55" ht="12" hidden="1" thickBot="1">
      <c r="A558" s="522" t="s">
        <v>1361</v>
      </c>
      <c r="B558" s="522" t="s">
        <v>334</v>
      </c>
      <c r="C558" s="522" t="s">
        <v>1027</v>
      </c>
      <c r="D558" s="533" t="s">
        <v>1035</v>
      </c>
      <c r="E558" s="530">
        <v>8108</v>
      </c>
      <c r="F558" s="532"/>
      <c r="G558" s="531">
        <v>4766.16</v>
      </c>
      <c r="H558" s="532"/>
      <c r="I558" s="532"/>
      <c r="J558" s="532"/>
      <c r="K558" s="532"/>
      <c r="L558" s="532"/>
      <c r="M558" s="531">
        <v>18.809999999999999</v>
      </c>
      <c r="N558" s="531">
        <v>61.73</v>
      </c>
      <c r="O558" s="532"/>
      <c r="P558" s="532"/>
      <c r="Q558" s="532">
        <v>0</v>
      </c>
      <c r="R558" s="531">
        <v>4846.7</v>
      </c>
      <c r="S558" s="527">
        <f t="shared" si="72"/>
        <v>4766.16</v>
      </c>
      <c r="T558" s="528">
        <f t="shared" si="73"/>
        <v>0</v>
      </c>
      <c r="U558" s="527">
        <f t="shared" si="74"/>
        <v>61.73</v>
      </c>
      <c r="W558" s="326">
        <f t="shared" si="70"/>
        <v>4846.7</v>
      </c>
      <c r="X558" s="261">
        <f t="shared" si="71"/>
        <v>0</v>
      </c>
      <c r="Y558" s="546"/>
      <c r="Z558" s="1016">
        <f t="shared" si="69"/>
        <v>4766.16</v>
      </c>
      <c r="AA558" s="58"/>
      <c r="AB558" s="58"/>
      <c r="AC558" s="58"/>
      <c r="AD558" s="58"/>
      <c r="AE558" s="58"/>
      <c r="AF558" s="58"/>
      <c r="AG558" s="58"/>
      <c r="AH558" s="58"/>
      <c r="AI558" s="58"/>
      <c r="AJ558" s="58"/>
      <c r="AK558" s="58"/>
      <c r="AL558" s="58"/>
      <c r="AM558" s="58"/>
      <c r="AN558" s="58"/>
      <c r="AO558" s="58"/>
      <c r="AP558" s="58"/>
      <c r="AQ558" s="546"/>
      <c r="AR558" s="546"/>
      <c r="AS558" s="546"/>
      <c r="AT558" s="546"/>
      <c r="AU558" s="546"/>
      <c r="AV558" s="546"/>
      <c r="AW558" s="546"/>
      <c r="AX558" s="546"/>
      <c r="AY558" s="546"/>
      <c r="AZ558" s="546"/>
      <c r="BA558" s="546"/>
      <c r="BB558" s="546"/>
      <c r="BC558" s="546"/>
    </row>
    <row r="559" spans="1:55" ht="12" hidden="1" thickBot="1">
      <c r="A559" s="522" t="s">
        <v>1361</v>
      </c>
      <c r="B559" s="522" t="s">
        <v>366</v>
      </c>
      <c r="C559" s="522" t="s">
        <v>1028</v>
      </c>
      <c r="D559" s="533" t="s">
        <v>1035</v>
      </c>
      <c r="E559" s="524">
        <v>68106</v>
      </c>
      <c r="F559" s="526"/>
      <c r="G559" s="525">
        <v>21408.84</v>
      </c>
      <c r="H559" s="526"/>
      <c r="I559" s="526"/>
      <c r="J559" s="526"/>
      <c r="K559" s="526"/>
      <c r="L559" s="526"/>
      <c r="M559" s="525">
        <v>145.09</v>
      </c>
      <c r="N559" s="525">
        <v>263.81</v>
      </c>
      <c r="O559" s="526"/>
      <c r="P559" s="526"/>
      <c r="Q559" s="525">
        <v>0</v>
      </c>
      <c r="R559" s="525">
        <v>21817.74</v>
      </c>
      <c r="S559" s="527">
        <f t="shared" si="72"/>
        <v>21408.84</v>
      </c>
      <c r="T559" s="528">
        <f t="shared" si="73"/>
        <v>0</v>
      </c>
      <c r="U559" s="527">
        <f t="shared" si="74"/>
        <v>263.81</v>
      </c>
      <c r="W559" s="326">
        <f t="shared" si="70"/>
        <v>21817.74</v>
      </c>
      <c r="X559" s="261">
        <f t="shared" si="71"/>
        <v>0</v>
      </c>
      <c r="Y559" s="546"/>
      <c r="Z559" s="1016">
        <f t="shared" si="69"/>
        <v>21408.84</v>
      </c>
      <c r="AA559" s="58"/>
      <c r="AB559" s="58"/>
      <c r="AC559" s="58"/>
      <c r="AD559" s="58"/>
      <c r="AE559" s="58"/>
      <c r="AF559" s="58"/>
      <c r="AG559" s="58"/>
      <c r="AH559" s="58"/>
      <c r="AI559" s="58"/>
      <c r="AJ559" s="58"/>
      <c r="AK559" s="58"/>
      <c r="AL559" s="58"/>
      <c r="AM559" s="58"/>
      <c r="AN559" s="58"/>
      <c r="AO559" s="58"/>
      <c r="AP559" s="58"/>
      <c r="AQ559" s="546"/>
      <c r="AR559" s="546"/>
      <c r="AS559" s="546"/>
      <c r="AT559" s="546"/>
      <c r="AU559" s="546"/>
      <c r="AV559" s="546"/>
      <c r="AW559" s="546"/>
      <c r="AX559" s="546"/>
      <c r="AY559" s="546"/>
      <c r="AZ559" s="546"/>
      <c r="BA559" s="546"/>
      <c r="BB559" s="546"/>
      <c r="BC559" s="546"/>
    </row>
    <row r="560" spans="1:55" ht="12" hidden="1" thickBot="1">
      <c r="A560" s="522" t="s">
        <v>1361</v>
      </c>
      <c r="B560" s="522" t="s">
        <v>329</v>
      </c>
      <c r="C560" s="522" t="s">
        <v>1029</v>
      </c>
      <c r="D560" s="533" t="s">
        <v>1035</v>
      </c>
      <c r="E560" s="530">
        <v>52698</v>
      </c>
      <c r="F560" s="532"/>
      <c r="G560" s="531">
        <v>9077.5400000000009</v>
      </c>
      <c r="H560" s="532"/>
      <c r="I560" s="532"/>
      <c r="J560" s="532"/>
      <c r="K560" s="532"/>
      <c r="L560" s="532"/>
      <c r="M560" s="531">
        <v>115.14</v>
      </c>
      <c r="N560" s="531">
        <v>114.35</v>
      </c>
      <c r="O560" s="532"/>
      <c r="P560" s="532"/>
      <c r="Q560" s="531">
        <v>0</v>
      </c>
      <c r="R560" s="531">
        <v>9307.0300000000007</v>
      </c>
      <c r="S560" s="527">
        <f t="shared" si="72"/>
        <v>9077.5400000000009</v>
      </c>
      <c r="T560" s="528">
        <f t="shared" si="73"/>
        <v>0</v>
      </c>
      <c r="U560" s="527">
        <f t="shared" si="74"/>
        <v>114.35</v>
      </c>
      <c r="W560" s="326">
        <f t="shared" si="70"/>
        <v>9307.0300000000007</v>
      </c>
      <c r="X560" s="261">
        <f t="shared" si="71"/>
        <v>0</v>
      </c>
      <c r="Y560" s="546"/>
      <c r="Z560" s="1016">
        <f t="shared" si="69"/>
        <v>9077.5400000000009</v>
      </c>
      <c r="AA560" s="58"/>
      <c r="AB560" s="58"/>
      <c r="AC560" s="58"/>
      <c r="AD560" s="58"/>
      <c r="AE560" s="58"/>
      <c r="AF560" s="58"/>
      <c r="AG560" s="58"/>
      <c r="AH560" s="58"/>
      <c r="AI560" s="58"/>
      <c r="AJ560" s="58"/>
      <c r="AK560" s="58"/>
      <c r="AL560" s="58"/>
      <c r="AM560" s="58"/>
      <c r="AN560" s="58"/>
      <c r="AO560" s="58"/>
      <c r="AP560" s="58"/>
      <c r="AQ560" s="546"/>
      <c r="AR560" s="546"/>
      <c r="AS560" s="546"/>
      <c r="AT560" s="546"/>
      <c r="AU560" s="546"/>
      <c r="AV560" s="546"/>
      <c r="AW560" s="546"/>
      <c r="AX560" s="546"/>
      <c r="AY560" s="546"/>
      <c r="AZ560" s="546"/>
      <c r="BA560" s="546"/>
      <c r="BB560" s="546"/>
      <c r="BC560" s="546"/>
    </row>
    <row r="561" spans="1:55" ht="12" hidden="1" thickBot="1">
      <c r="A561" s="522" t="s">
        <v>1361</v>
      </c>
      <c r="B561" s="522" t="s">
        <v>683</v>
      </c>
      <c r="C561" s="522" t="s">
        <v>1047</v>
      </c>
      <c r="D561" s="533" t="s">
        <v>1035</v>
      </c>
      <c r="E561" s="524">
        <v>369</v>
      </c>
      <c r="F561" s="526"/>
      <c r="G561" s="525">
        <v>153.5</v>
      </c>
      <c r="H561" s="526"/>
      <c r="I561" s="526"/>
      <c r="J561" s="526"/>
      <c r="K561" s="526"/>
      <c r="L561" s="526"/>
      <c r="M561" s="525">
        <v>0.78</v>
      </c>
      <c r="N561" s="525">
        <v>1.89</v>
      </c>
      <c r="O561" s="526"/>
      <c r="P561" s="526"/>
      <c r="Q561" s="525"/>
      <c r="R561" s="525">
        <v>156.16999999999999</v>
      </c>
      <c r="S561" s="527">
        <f t="shared" si="72"/>
        <v>153.5</v>
      </c>
      <c r="T561" s="528">
        <f t="shared" si="73"/>
        <v>0</v>
      </c>
      <c r="U561" s="527">
        <f t="shared" si="74"/>
        <v>1.89</v>
      </c>
      <c r="W561" s="326">
        <f t="shared" si="70"/>
        <v>156.16999999999999</v>
      </c>
      <c r="X561" s="261">
        <f t="shared" si="71"/>
        <v>0</v>
      </c>
      <c r="Y561" s="546"/>
      <c r="Z561" s="1016">
        <f t="shared" si="69"/>
        <v>153.5</v>
      </c>
      <c r="AA561" s="58"/>
      <c r="AB561" s="58"/>
      <c r="AC561" s="58"/>
      <c r="AD561" s="58"/>
      <c r="AE561" s="58"/>
      <c r="AF561" s="58"/>
      <c r="AG561" s="58"/>
      <c r="AH561" s="58"/>
      <c r="AI561" s="58"/>
      <c r="AJ561" s="58"/>
      <c r="AK561" s="58"/>
      <c r="AL561" s="58"/>
      <c r="AM561" s="58"/>
      <c r="AN561" s="58"/>
      <c r="AO561" s="58"/>
      <c r="AP561" s="58"/>
      <c r="AQ561" s="546"/>
      <c r="AR561" s="546"/>
      <c r="AS561" s="546"/>
      <c r="AT561" s="546"/>
      <c r="AU561" s="546"/>
      <c r="AV561" s="546"/>
      <c r="AW561" s="546"/>
      <c r="AX561" s="546"/>
      <c r="AY561" s="546"/>
      <c r="AZ561" s="546"/>
      <c r="BA561" s="546"/>
      <c r="BB561" s="546"/>
      <c r="BC561" s="546"/>
    </row>
    <row r="562" spans="1:55" ht="12" hidden="1" thickBot="1">
      <c r="A562" s="522" t="s">
        <v>1361</v>
      </c>
      <c r="B562" s="522" t="s">
        <v>463</v>
      </c>
      <c r="C562" s="522" t="s">
        <v>1030</v>
      </c>
      <c r="D562" s="533" t="s">
        <v>1035</v>
      </c>
      <c r="E562" s="530">
        <v>573</v>
      </c>
      <c r="F562" s="532"/>
      <c r="G562" s="531">
        <v>212.64</v>
      </c>
      <c r="H562" s="532"/>
      <c r="I562" s="532"/>
      <c r="J562" s="532"/>
      <c r="K562" s="532"/>
      <c r="L562" s="532"/>
      <c r="M562" s="531">
        <v>3.38</v>
      </c>
      <c r="N562" s="531">
        <v>-2.46</v>
      </c>
      <c r="O562" s="532"/>
      <c r="P562" s="532"/>
      <c r="Q562" s="531"/>
      <c r="R562" s="531">
        <v>213.56</v>
      </c>
      <c r="S562" s="527">
        <f t="shared" si="72"/>
        <v>212.64</v>
      </c>
      <c r="T562" s="528">
        <f t="shared" si="73"/>
        <v>0</v>
      </c>
      <c r="U562" s="527">
        <f t="shared" si="74"/>
        <v>-2.46</v>
      </c>
      <c r="W562" s="326">
        <f t="shared" si="70"/>
        <v>213.55999999999997</v>
      </c>
      <c r="X562" s="261">
        <f t="shared" si="71"/>
        <v>0</v>
      </c>
      <c r="Y562" s="546"/>
      <c r="Z562" s="1016">
        <f t="shared" si="69"/>
        <v>212.64</v>
      </c>
      <c r="AA562" s="58"/>
      <c r="AB562" s="58"/>
      <c r="AC562" s="58"/>
      <c r="AD562" s="58"/>
      <c r="AE562" s="58"/>
      <c r="AF562" s="58"/>
      <c r="AG562" s="58"/>
      <c r="AH562" s="58"/>
      <c r="AI562" s="58"/>
      <c r="AJ562" s="58"/>
      <c r="AK562" s="58"/>
      <c r="AL562" s="58"/>
      <c r="AM562" s="58"/>
      <c r="AN562" s="58"/>
      <c r="AO562" s="58"/>
      <c r="AP562" s="58"/>
      <c r="AQ562" s="546"/>
      <c r="AR562" s="546"/>
      <c r="AS562" s="546"/>
      <c r="AT562" s="546"/>
      <c r="AU562" s="546"/>
      <c r="AV562" s="546"/>
      <c r="AW562" s="546"/>
      <c r="AX562" s="546"/>
      <c r="AY562" s="546"/>
      <c r="AZ562" s="546"/>
      <c r="BA562" s="546"/>
      <c r="BB562" s="546"/>
      <c r="BC562" s="546"/>
    </row>
    <row r="563" spans="1:55" ht="12" hidden="1" thickBot="1">
      <c r="A563" s="522" t="s">
        <v>1361</v>
      </c>
      <c r="B563" s="522" t="s">
        <v>653</v>
      </c>
      <c r="C563" s="522" t="s">
        <v>1031</v>
      </c>
      <c r="D563" s="533" t="s">
        <v>1035</v>
      </c>
      <c r="E563" s="524">
        <v>3606</v>
      </c>
      <c r="F563" s="526"/>
      <c r="G563" s="525">
        <v>515.76</v>
      </c>
      <c r="H563" s="526"/>
      <c r="I563" s="526"/>
      <c r="J563" s="526"/>
      <c r="K563" s="526"/>
      <c r="L563" s="526"/>
      <c r="M563" s="525">
        <v>7.82</v>
      </c>
      <c r="N563" s="525">
        <v>6.48</v>
      </c>
      <c r="O563" s="526"/>
      <c r="P563" s="526"/>
      <c r="Q563" s="526"/>
      <c r="R563" s="525">
        <v>530.05999999999995</v>
      </c>
      <c r="S563" s="527">
        <f t="shared" si="72"/>
        <v>515.76</v>
      </c>
      <c r="T563" s="528">
        <f t="shared" si="73"/>
        <v>0</v>
      </c>
      <c r="U563" s="527">
        <f t="shared" si="74"/>
        <v>6.48</v>
      </c>
      <c r="W563" s="326">
        <f t="shared" si="70"/>
        <v>530.06000000000006</v>
      </c>
      <c r="X563" s="261">
        <f t="shared" si="71"/>
        <v>0</v>
      </c>
      <c r="Y563" s="546"/>
      <c r="Z563" s="1016">
        <f t="shared" si="69"/>
        <v>515.76</v>
      </c>
      <c r="AA563" s="58"/>
      <c r="AB563" s="58"/>
      <c r="AC563" s="58"/>
      <c r="AD563" s="58"/>
      <c r="AE563" s="58"/>
      <c r="AF563" s="58"/>
      <c r="AG563" s="58"/>
      <c r="AH563" s="58"/>
      <c r="AI563" s="58"/>
      <c r="AJ563" s="58"/>
      <c r="AK563" s="58"/>
      <c r="AL563" s="58"/>
      <c r="AM563" s="58"/>
      <c r="AN563" s="58"/>
      <c r="AO563" s="58"/>
      <c r="AP563" s="58"/>
      <c r="AQ563" s="546"/>
      <c r="AR563" s="546"/>
      <c r="AS563" s="546"/>
      <c r="AT563" s="546"/>
      <c r="AU563" s="546"/>
      <c r="AV563" s="546"/>
      <c r="AW563" s="546"/>
      <c r="AX563" s="546"/>
      <c r="AY563" s="546"/>
      <c r="AZ563" s="546"/>
      <c r="BA563" s="546"/>
      <c r="BB563" s="546"/>
      <c r="BC563" s="546"/>
    </row>
    <row r="564" spans="1:55" ht="12" hidden="1" thickBot="1">
      <c r="A564" s="522" t="s">
        <v>1361</v>
      </c>
      <c r="B564" s="522" t="s">
        <v>445</v>
      </c>
      <c r="C564" s="522" t="s">
        <v>444</v>
      </c>
      <c r="D564" s="523"/>
      <c r="E564" s="530"/>
      <c r="F564" s="532"/>
      <c r="G564" s="531"/>
      <c r="H564" s="532"/>
      <c r="I564" s="532"/>
      <c r="J564" s="532"/>
      <c r="K564" s="532"/>
      <c r="L564" s="532"/>
      <c r="M564" s="531"/>
      <c r="N564" s="531"/>
      <c r="O564" s="532"/>
      <c r="P564" s="532"/>
      <c r="Q564" s="532"/>
      <c r="R564" s="531">
        <v>121.42</v>
      </c>
      <c r="S564" s="527">
        <f t="shared" si="72"/>
        <v>0</v>
      </c>
      <c r="T564" s="528">
        <f t="shared" si="73"/>
        <v>0</v>
      </c>
      <c r="U564" s="527">
        <f t="shared" si="74"/>
        <v>0</v>
      </c>
      <c r="W564" s="326">
        <f t="shared" si="70"/>
        <v>0</v>
      </c>
      <c r="X564" s="261">
        <f t="shared" si="71"/>
        <v>-121.42</v>
      </c>
      <c r="Y564" s="546"/>
      <c r="Z564" s="1016">
        <f t="shared" si="69"/>
        <v>0</v>
      </c>
      <c r="AA564" s="58"/>
      <c r="AB564" s="58"/>
      <c r="AC564" s="58"/>
      <c r="AD564" s="58"/>
      <c r="AE564" s="58"/>
      <c r="AF564" s="58"/>
      <c r="AG564" s="58"/>
      <c r="AH564" s="58"/>
      <c r="AI564" s="58"/>
      <c r="AJ564" s="58"/>
      <c r="AK564" s="58"/>
      <c r="AL564" s="58"/>
      <c r="AM564" s="58"/>
      <c r="AN564" s="58"/>
      <c r="AO564" s="58"/>
      <c r="AP564" s="58"/>
      <c r="AQ564" s="546"/>
      <c r="AR564" s="546"/>
      <c r="AS564" s="546"/>
      <c r="AT564" s="546"/>
      <c r="AU564" s="546"/>
      <c r="AV564" s="546"/>
      <c r="AW564" s="546"/>
      <c r="AX564" s="546"/>
      <c r="AY564" s="546"/>
      <c r="AZ564" s="546"/>
      <c r="BA564" s="546"/>
      <c r="BB564" s="546"/>
      <c r="BC564" s="546"/>
    </row>
    <row r="565" spans="1:55" ht="12" hidden="1" thickBot="1">
      <c r="A565" s="522" t="s">
        <v>1361</v>
      </c>
      <c r="B565" s="522" t="s">
        <v>474</v>
      </c>
      <c r="C565" s="522" t="s">
        <v>473</v>
      </c>
      <c r="D565" s="523"/>
      <c r="E565" s="524"/>
      <c r="F565" s="526"/>
      <c r="G565" s="525"/>
      <c r="H565" s="526"/>
      <c r="I565" s="526"/>
      <c r="J565" s="526"/>
      <c r="K565" s="526"/>
      <c r="L565" s="526"/>
      <c r="M565" s="525"/>
      <c r="N565" s="525"/>
      <c r="O565" s="526"/>
      <c r="P565" s="526"/>
      <c r="Q565" s="526"/>
      <c r="R565" s="525">
        <v>85292.25</v>
      </c>
      <c r="S565" s="527">
        <f t="shared" si="72"/>
        <v>0</v>
      </c>
      <c r="T565" s="528">
        <f t="shared" si="73"/>
        <v>0</v>
      </c>
      <c r="U565" s="527">
        <f t="shared" si="74"/>
        <v>0</v>
      </c>
      <c r="W565" s="326">
        <f t="shared" si="70"/>
        <v>0</v>
      </c>
      <c r="X565" s="261">
        <f t="shared" si="71"/>
        <v>-85292.25</v>
      </c>
      <c r="Y565" s="546"/>
      <c r="Z565" s="1016">
        <f t="shared" si="69"/>
        <v>0</v>
      </c>
      <c r="AA565" s="58"/>
      <c r="AB565" s="58"/>
      <c r="AC565" s="58"/>
      <c r="AD565" s="58"/>
      <c r="AE565" s="58"/>
      <c r="AF565" s="58"/>
      <c r="AG565" s="58"/>
      <c r="AH565" s="58"/>
      <c r="AI565" s="58"/>
      <c r="AJ565" s="58"/>
      <c r="AK565" s="58"/>
      <c r="AL565" s="58"/>
      <c r="AM565" s="58"/>
      <c r="AN565" s="58"/>
      <c r="AO565" s="58"/>
      <c r="AP565" s="58"/>
      <c r="AQ565" s="546"/>
      <c r="AR565" s="546"/>
      <c r="AS565" s="546"/>
      <c r="AT565" s="546"/>
      <c r="AU565" s="546"/>
      <c r="AV565" s="546"/>
      <c r="AW565" s="546"/>
      <c r="AX565" s="546"/>
      <c r="AY565" s="546"/>
      <c r="AZ565" s="546"/>
      <c r="BA565" s="546"/>
      <c r="BB565" s="546"/>
      <c r="BC565" s="546"/>
    </row>
    <row r="566" spans="1:55" ht="12" hidden="1" thickBot="1">
      <c r="A566" s="522" t="s">
        <v>1361</v>
      </c>
      <c r="B566" s="522" t="s">
        <v>476</v>
      </c>
      <c r="C566" s="522" t="s">
        <v>475</v>
      </c>
      <c r="D566" s="523"/>
      <c r="E566" s="532"/>
      <c r="F566" s="532"/>
      <c r="G566" s="532"/>
      <c r="H566" s="532"/>
      <c r="I566" s="532"/>
      <c r="J566" s="532"/>
      <c r="K566" s="532"/>
      <c r="L566" s="532"/>
      <c r="M566" s="532"/>
      <c r="N566" s="532"/>
      <c r="O566" s="532"/>
      <c r="P566" s="532"/>
      <c r="Q566" s="532"/>
      <c r="R566" s="531">
        <v>9336.5</v>
      </c>
      <c r="S566" s="527">
        <f t="shared" si="72"/>
        <v>0</v>
      </c>
      <c r="T566" s="528">
        <f t="shared" si="73"/>
        <v>0</v>
      </c>
      <c r="U566" s="527">
        <f t="shared" si="74"/>
        <v>0</v>
      </c>
      <c r="W566" s="326">
        <f t="shared" si="70"/>
        <v>0</v>
      </c>
      <c r="X566" s="261">
        <f t="shared" si="71"/>
        <v>-9336.5</v>
      </c>
      <c r="Y566" s="546"/>
      <c r="Z566" s="1016">
        <f t="shared" si="69"/>
        <v>0</v>
      </c>
      <c r="AA566" s="58"/>
      <c r="AB566" s="58"/>
      <c r="AC566" s="58"/>
      <c r="AD566" s="58"/>
      <c r="AE566" s="58"/>
      <c r="AF566" s="58"/>
      <c r="AG566" s="58"/>
      <c r="AH566" s="58"/>
      <c r="AI566" s="58"/>
      <c r="AJ566" s="58"/>
      <c r="AK566" s="58"/>
      <c r="AL566" s="58"/>
      <c r="AM566" s="58"/>
      <c r="AN566" s="58"/>
      <c r="AO566" s="58"/>
      <c r="AP566" s="58"/>
      <c r="AQ566" s="546"/>
      <c r="AR566" s="546"/>
      <c r="AS566" s="546"/>
      <c r="AT566" s="546"/>
      <c r="AU566" s="546"/>
      <c r="AV566" s="546"/>
      <c r="AW566" s="546"/>
      <c r="AX566" s="546"/>
      <c r="AY566" s="546"/>
      <c r="AZ566" s="546"/>
      <c r="BA566" s="546"/>
      <c r="BB566" s="546"/>
      <c r="BC566" s="546"/>
    </row>
    <row r="567" spans="1:55" ht="12" hidden="1" thickBot="1">
      <c r="A567" s="522" t="s">
        <v>1361</v>
      </c>
      <c r="B567" s="522" t="s">
        <v>443</v>
      </c>
      <c r="C567" s="522" t="s">
        <v>442</v>
      </c>
      <c r="D567" s="523"/>
      <c r="E567" s="526"/>
      <c r="F567" s="526">
        <v>27869</v>
      </c>
      <c r="G567" s="526"/>
      <c r="H567" s="526"/>
      <c r="I567" s="526"/>
      <c r="J567" s="526"/>
      <c r="K567" s="526"/>
      <c r="L567" s="526"/>
      <c r="M567" s="526"/>
      <c r="N567" s="526"/>
      <c r="O567" s="526"/>
      <c r="P567" s="526"/>
      <c r="Q567" s="526"/>
      <c r="R567" s="525">
        <v>27869</v>
      </c>
      <c r="S567" s="527">
        <f t="shared" si="72"/>
        <v>0</v>
      </c>
      <c r="T567" s="528">
        <f t="shared" si="73"/>
        <v>0</v>
      </c>
      <c r="U567" s="527">
        <f t="shared" si="74"/>
        <v>0</v>
      </c>
      <c r="W567" s="326">
        <f t="shared" si="70"/>
        <v>27869</v>
      </c>
      <c r="X567" s="261">
        <f t="shared" si="71"/>
        <v>0</v>
      </c>
      <c r="Y567" s="546"/>
      <c r="Z567" s="1016">
        <f t="shared" si="69"/>
        <v>27869</v>
      </c>
      <c r="AA567" s="58"/>
      <c r="AB567" s="58"/>
      <c r="AC567" s="58"/>
      <c r="AD567" s="58"/>
      <c r="AE567" s="58"/>
      <c r="AF567" s="58"/>
      <c r="AG567" s="58"/>
      <c r="AH567" s="58"/>
      <c r="AI567" s="58"/>
      <c r="AJ567" s="58"/>
      <c r="AK567" s="58"/>
      <c r="AL567" s="58"/>
      <c r="AM567" s="58"/>
      <c r="AN567" s="58"/>
      <c r="AO567" s="58"/>
      <c r="AP567" s="58"/>
      <c r="AQ567" s="546"/>
      <c r="AR567" s="546"/>
      <c r="AS567" s="546"/>
      <c r="AT567" s="546"/>
      <c r="AU567" s="546"/>
      <c r="AV567" s="546"/>
      <c r="AW567" s="546"/>
      <c r="AX567" s="546"/>
      <c r="AY567" s="546"/>
      <c r="AZ567" s="546"/>
      <c r="BA567" s="546"/>
      <c r="BB567" s="546"/>
      <c r="BC567" s="546"/>
    </row>
    <row r="568" spans="1:55" ht="12" hidden="1" thickBot="1">
      <c r="A568" s="522" t="s">
        <v>1361</v>
      </c>
      <c r="B568" s="522" t="s">
        <v>710</v>
      </c>
      <c r="C568" s="522" t="s">
        <v>711</v>
      </c>
      <c r="D568" s="523"/>
      <c r="E568" s="532"/>
      <c r="F568" s="532"/>
      <c r="G568" s="532"/>
      <c r="H568" s="532"/>
      <c r="I568" s="532"/>
      <c r="J568" s="532"/>
      <c r="K568" s="532"/>
      <c r="L568" s="532"/>
      <c r="M568" s="532"/>
      <c r="N568" s="532"/>
      <c r="O568" s="532"/>
      <c r="P568" s="532"/>
      <c r="Q568" s="532"/>
      <c r="R568" s="531">
        <v>31590.38</v>
      </c>
      <c r="S568" s="527">
        <f t="shared" si="72"/>
        <v>0</v>
      </c>
      <c r="T568" s="528">
        <f t="shared" si="73"/>
        <v>0</v>
      </c>
      <c r="U568" s="527">
        <f t="shared" si="74"/>
        <v>0</v>
      </c>
      <c r="W568" s="326">
        <f t="shared" si="70"/>
        <v>0</v>
      </c>
      <c r="X568" s="261">
        <f t="shared" si="71"/>
        <v>-31590.38</v>
      </c>
      <c r="Y568" s="546"/>
      <c r="Z568" s="1016">
        <f t="shared" si="69"/>
        <v>0</v>
      </c>
      <c r="AA568" s="58"/>
      <c r="AB568" s="58"/>
      <c r="AC568" s="58"/>
      <c r="AD568" s="58"/>
      <c r="AE568" s="58"/>
      <c r="AF568" s="58"/>
      <c r="AG568" s="58"/>
      <c r="AH568" s="58"/>
      <c r="AI568" s="58"/>
      <c r="AJ568" s="58"/>
      <c r="AK568" s="58"/>
      <c r="AL568" s="58"/>
      <c r="AM568" s="58"/>
      <c r="AN568" s="58"/>
      <c r="AO568" s="58"/>
      <c r="AP568" s="58"/>
      <c r="AQ568" s="546"/>
      <c r="AR568" s="546"/>
      <c r="AS568" s="546"/>
      <c r="AT568" s="546"/>
      <c r="AU568" s="546"/>
      <c r="AV568" s="546"/>
      <c r="AW568" s="546"/>
      <c r="AX568" s="546"/>
      <c r="AY568" s="546"/>
      <c r="AZ568" s="546"/>
      <c r="BA568" s="546"/>
      <c r="BB568" s="546"/>
      <c r="BC568" s="546"/>
    </row>
    <row r="569" spans="1:55" ht="12" hidden="1" thickBot="1">
      <c r="A569" s="522" t="s">
        <v>1361</v>
      </c>
      <c r="B569" s="522" t="s">
        <v>1048</v>
      </c>
      <c r="C569" s="522" t="s">
        <v>1049</v>
      </c>
      <c r="D569" s="523"/>
      <c r="E569" s="526"/>
      <c r="F569" s="525"/>
      <c r="G569" s="526"/>
      <c r="H569" s="526"/>
      <c r="I569" s="526"/>
      <c r="J569" s="526"/>
      <c r="K569" s="526"/>
      <c r="L569" s="526"/>
      <c r="M569" s="526"/>
      <c r="N569" s="526"/>
      <c r="O569" s="526"/>
      <c r="P569" s="526"/>
      <c r="Q569" s="526"/>
      <c r="R569" s="525">
        <v>0</v>
      </c>
      <c r="S569" s="527">
        <f t="shared" si="72"/>
        <v>0</v>
      </c>
      <c r="T569" s="528">
        <f t="shared" si="73"/>
        <v>0</v>
      </c>
      <c r="U569" s="527">
        <f t="shared" si="74"/>
        <v>0</v>
      </c>
      <c r="W569" s="326">
        <f t="shared" si="70"/>
        <v>0</v>
      </c>
      <c r="X569" s="261">
        <f t="shared" si="71"/>
        <v>0</v>
      </c>
      <c r="Y569" s="546"/>
      <c r="Z569" s="1016">
        <f t="shared" si="69"/>
        <v>0</v>
      </c>
      <c r="AA569" s="58"/>
      <c r="AB569" s="58"/>
      <c r="AC569" s="58"/>
      <c r="AD569" s="58"/>
      <c r="AE569" s="58"/>
      <c r="AF569" s="58"/>
      <c r="AG569" s="58"/>
      <c r="AH569" s="58"/>
      <c r="AI569" s="58"/>
      <c r="AJ569" s="58"/>
      <c r="AK569" s="58"/>
      <c r="AL569" s="58"/>
      <c r="AM569" s="58"/>
      <c r="AN569" s="58"/>
      <c r="AO569" s="58"/>
      <c r="AP569" s="58"/>
      <c r="AQ569" s="546"/>
      <c r="AR569" s="546"/>
      <c r="AS569" s="546"/>
      <c r="AT569" s="546"/>
      <c r="AU569" s="546"/>
      <c r="AV569" s="546"/>
      <c r="AW569" s="546"/>
      <c r="AX569" s="546"/>
      <c r="AY569" s="546"/>
      <c r="AZ569" s="546"/>
      <c r="BA569" s="546"/>
      <c r="BB569" s="546"/>
      <c r="BC569" s="546"/>
    </row>
    <row r="570" spans="1:55" ht="12" hidden="1" thickBot="1">
      <c r="A570" s="522" t="s">
        <v>1361</v>
      </c>
      <c r="B570" s="543" t="s">
        <v>9</v>
      </c>
      <c r="C570" s="544"/>
      <c r="D570" s="548"/>
      <c r="E570" s="539">
        <v>1561436042</v>
      </c>
      <c r="F570" s="540">
        <v>7176129.1600000001</v>
      </c>
      <c r="G570" s="540">
        <v>40949776.079999998</v>
      </c>
      <c r="H570" s="540">
        <v>40349665.659999996</v>
      </c>
      <c r="I570" s="540">
        <v>2019209.49</v>
      </c>
      <c r="J570" s="540">
        <v>1770959.84</v>
      </c>
      <c r="K570" s="540">
        <v>23037957.539999999</v>
      </c>
      <c r="L570" s="540">
        <v>2420266.0699999998</v>
      </c>
      <c r="M570" s="540">
        <v>4080628.54</v>
      </c>
      <c r="N570" s="540">
        <v>526610.09</v>
      </c>
      <c r="O570" s="540">
        <v>844149.08</v>
      </c>
      <c r="P570" s="540">
        <v>-998581.23</v>
      </c>
      <c r="Q570" s="540">
        <v>0</v>
      </c>
      <c r="R570" s="540">
        <v>122747374.23999999</v>
      </c>
      <c r="S570" s="527">
        <f t="shared" si="72"/>
        <v>83318651.229999989</v>
      </c>
      <c r="T570" s="528">
        <f t="shared" si="73"/>
        <v>24808917.379999999</v>
      </c>
      <c r="U570" s="527">
        <f t="shared" si="74"/>
        <v>1370759.17</v>
      </c>
      <c r="W570" s="326">
        <f t="shared" si="70"/>
        <v>122176770.31999998</v>
      </c>
      <c r="X570" s="261">
        <f t="shared" si="71"/>
        <v>-570603.92000001669</v>
      </c>
      <c r="Y570" s="546"/>
      <c r="Z570" s="1016">
        <f t="shared" si="69"/>
        <v>115303697.76999998</v>
      </c>
      <c r="AA570" s="58"/>
      <c r="AB570" s="58"/>
      <c r="AC570" s="58"/>
      <c r="AD570" s="58"/>
      <c r="AE570" s="58"/>
      <c r="AF570" s="58"/>
      <c r="AG570" s="58"/>
      <c r="AH570" s="58"/>
      <c r="AI570" s="58"/>
      <c r="AJ570" s="58"/>
      <c r="AK570" s="58"/>
      <c r="AL570" s="58"/>
      <c r="AM570" s="58"/>
      <c r="AN570" s="58"/>
      <c r="AO570" s="58"/>
      <c r="AP570" s="58"/>
      <c r="AQ570" s="546"/>
    </row>
    <row r="571" spans="1:55" ht="12" hidden="1" thickBot="1">
      <c r="A571" s="522" t="s">
        <v>1362</v>
      </c>
      <c r="B571" s="522" t="s">
        <v>440</v>
      </c>
      <c r="C571" s="522" t="s">
        <v>460</v>
      </c>
      <c r="D571" s="545" t="s">
        <v>760</v>
      </c>
      <c r="E571" s="524">
        <v>3610</v>
      </c>
      <c r="F571" s="525">
        <v>25.5</v>
      </c>
      <c r="G571" s="525">
        <v>245.67</v>
      </c>
      <c r="H571" s="526"/>
      <c r="I571" s="526"/>
      <c r="J571" s="526"/>
      <c r="K571" s="526"/>
      <c r="L571" s="526"/>
      <c r="M571" s="526"/>
      <c r="N571" s="526"/>
      <c r="O571" s="526"/>
      <c r="P571" s="526"/>
      <c r="Q571" s="526"/>
      <c r="R571" s="525">
        <v>271.17</v>
      </c>
      <c r="S571" s="527">
        <f t="shared" ref="S571:S589" si="75">G571+H571+I571</f>
        <v>245.67</v>
      </c>
      <c r="T571" s="528">
        <f t="shared" ref="T571:T589" si="76">J571+K571</f>
        <v>0</v>
      </c>
      <c r="U571" s="527">
        <f t="shared" ref="U571:U634" si="77">N571+O571</f>
        <v>0</v>
      </c>
      <c r="W571" s="326">
        <f t="shared" ref="W571:W634" si="78">SUM(F571:Q571)</f>
        <v>271.16999999999996</v>
      </c>
      <c r="X571" s="261">
        <f t="shared" ref="X571:X584" si="79">W571-R571</f>
        <v>0</v>
      </c>
      <c r="Y571" s="546"/>
      <c r="Z571" s="1016">
        <f t="shared" si="69"/>
        <v>271.16999999999996</v>
      </c>
    </row>
    <row r="572" spans="1:55" ht="12" hidden="1" thickBot="1">
      <c r="A572" s="522" t="s">
        <v>1362</v>
      </c>
      <c r="B572" s="522" t="s">
        <v>441</v>
      </c>
      <c r="C572" s="522" t="s">
        <v>461</v>
      </c>
      <c r="D572" s="523" t="s">
        <v>760</v>
      </c>
      <c r="E572" s="530">
        <v>712</v>
      </c>
      <c r="F572" s="531">
        <v>8.5</v>
      </c>
      <c r="G572" s="531">
        <v>48.45</v>
      </c>
      <c r="H572" s="532"/>
      <c r="I572" s="532"/>
      <c r="J572" s="532"/>
      <c r="K572" s="532"/>
      <c r="L572" s="532"/>
      <c r="M572" s="532"/>
      <c r="N572" s="532"/>
      <c r="O572" s="532"/>
      <c r="P572" s="532"/>
      <c r="Q572" s="532"/>
      <c r="R572" s="531">
        <v>56.95</v>
      </c>
      <c r="S572" s="527">
        <f t="shared" si="75"/>
        <v>48.45</v>
      </c>
      <c r="T572" s="528">
        <f t="shared" si="76"/>
        <v>0</v>
      </c>
      <c r="U572" s="527">
        <f t="shared" si="77"/>
        <v>0</v>
      </c>
      <c r="W572" s="326">
        <f t="shared" si="78"/>
        <v>56.95</v>
      </c>
      <c r="X572" s="261">
        <f t="shared" si="79"/>
        <v>0</v>
      </c>
      <c r="Y572" s="546"/>
      <c r="Z572" s="1016">
        <f t="shared" si="69"/>
        <v>56.95</v>
      </c>
    </row>
    <row r="573" spans="1:55" ht="12" hidden="1" thickBot="1">
      <c r="A573" s="522" t="s">
        <v>1362</v>
      </c>
      <c r="B573" s="522" t="s">
        <v>449</v>
      </c>
      <c r="C573" s="522" t="s">
        <v>448</v>
      </c>
      <c r="D573" s="523" t="s">
        <v>1051</v>
      </c>
      <c r="E573" s="524">
        <v>122</v>
      </c>
      <c r="F573" s="526"/>
      <c r="G573" s="525">
        <v>19.04</v>
      </c>
      <c r="H573" s="526"/>
      <c r="I573" s="526"/>
      <c r="J573" s="526"/>
      <c r="K573" s="526"/>
      <c r="L573" s="526"/>
      <c r="M573" s="526"/>
      <c r="N573" s="526"/>
      <c r="O573" s="526"/>
      <c r="P573" s="526"/>
      <c r="Q573" s="526"/>
      <c r="R573" s="525">
        <v>19.04</v>
      </c>
      <c r="S573" s="527">
        <f t="shared" si="75"/>
        <v>19.04</v>
      </c>
      <c r="T573" s="528">
        <f t="shared" si="76"/>
        <v>0</v>
      </c>
      <c r="U573" s="527">
        <f t="shared" si="77"/>
        <v>0</v>
      </c>
      <c r="W573" s="326">
        <f t="shared" si="78"/>
        <v>19.04</v>
      </c>
      <c r="X573" s="261">
        <f t="shared" si="79"/>
        <v>0</v>
      </c>
      <c r="Y573" s="546"/>
      <c r="Z573" s="1016">
        <f t="shared" si="69"/>
        <v>19.04</v>
      </c>
    </row>
    <row r="574" spans="1:55" ht="12" hidden="1" thickBot="1">
      <c r="A574" s="522" t="s">
        <v>1362</v>
      </c>
      <c r="B574" s="522" t="s">
        <v>447</v>
      </c>
      <c r="C574" s="522" t="s">
        <v>446</v>
      </c>
      <c r="D574" s="523" t="s">
        <v>1051</v>
      </c>
      <c r="E574" s="530">
        <v>35</v>
      </c>
      <c r="F574" s="532"/>
      <c r="G574" s="531">
        <v>6.9</v>
      </c>
      <c r="H574" s="532"/>
      <c r="I574" s="532"/>
      <c r="J574" s="532"/>
      <c r="K574" s="532"/>
      <c r="L574" s="532"/>
      <c r="M574" s="532"/>
      <c r="N574" s="532"/>
      <c r="O574" s="532"/>
      <c r="P574" s="532"/>
      <c r="Q574" s="532"/>
      <c r="R574" s="531">
        <v>6.9</v>
      </c>
      <c r="S574" s="527">
        <f t="shared" si="75"/>
        <v>6.9</v>
      </c>
      <c r="T574" s="528">
        <f t="shared" si="76"/>
        <v>0</v>
      </c>
      <c r="U574" s="527">
        <f t="shared" si="77"/>
        <v>0</v>
      </c>
      <c r="W574" s="326">
        <f t="shared" si="78"/>
        <v>6.9</v>
      </c>
      <c r="X574" s="261">
        <f t="shared" si="79"/>
        <v>0</v>
      </c>
      <c r="Y574" s="546"/>
      <c r="Z574" s="1016">
        <f t="shared" si="69"/>
        <v>6.9</v>
      </c>
    </row>
    <row r="575" spans="1:55" ht="12" hidden="1" thickBot="1">
      <c r="A575" s="522" t="s">
        <v>1362</v>
      </c>
      <c r="B575" s="522" t="s">
        <v>942</v>
      </c>
      <c r="C575" s="522" t="s">
        <v>943</v>
      </c>
      <c r="D575" s="523"/>
      <c r="E575" s="526"/>
      <c r="F575" s="526"/>
      <c r="G575" s="526"/>
      <c r="H575" s="526"/>
      <c r="I575" s="526"/>
      <c r="J575" s="526"/>
      <c r="K575" s="526"/>
      <c r="L575" s="526"/>
      <c r="M575" s="526"/>
      <c r="N575" s="526"/>
      <c r="O575" s="526"/>
      <c r="P575" s="526"/>
      <c r="Q575" s="526"/>
      <c r="R575" s="526"/>
      <c r="S575" s="527">
        <f t="shared" si="75"/>
        <v>0</v>
      </c>
      <c r="T575" s="528">
        <f t="shared" si="76"/>
        <v>0</v>
      </c>
      <c r="U575" s="527">
        <f t="shared" si="77"/>
        <v>0</v>
      </c>
      <c r="W575" s="326">
        <f t="shared" si="78"/>
        <v>0</v>
      </c>
      <c r="X575" s="261">
        <f t="shared" si="79"/>
        <v>0</v>
      </c>
      <c r="Y575" s="546"/>
      <c r="Z575" s="1016">
        <f t="shared" si="69"/>
        <v>0</v>
      </c>
    </row>
    <row r="576" spans="1:55" ht="12" hidden="1" thickBot="1">
      <c r="A576" s="522" t="s">
        <v>1362</v>
      </c>
      <c r="B576" s="522" t="s">
        <v>168</v>
      </c>
      <c r="C576" s="522" t="s">
        <v>58</v>
      </c>
      <c r="D576" s="523" t="s">
        <v>19</v>
      </c>
      <c r="E576" s="530">
        <v>130974212</v>
      </c>
      <c r="F576" s="531">
        <v>23250</v>
      </c>
      <c r="G576" s="531">
        <v>971828.66</v>
      </c>
      <c r="H576" s="531">
        <v>3787774.21</v>
      </c>
      <c r="I576" s="532"/>
      <c r="J576" s="531">
        <v>207571.73</v>
      </c>
      <c r="K576" s="531">
        <v>2130246.29</v>
      </c>
      <c r="L576" s="531">
        <v>0</v>
      </c>
      <c r="M576" s="531">
        <v>467577.93</v>
      </c>
      <c r="N576" s="531">
        <v>0</v>
      </c>
      <c r="O576" s="531">
        <v>126631.73</v>
      </c>
      <c r="P576" s="532"/>
      <c r="Q576" s="532"/>
      <c r="R576" s="531">
        <v>7714880.5499999998</v>
      </c>
      <c r="S576" s="527">
        <f t="shared" si="75"/>
        <v>4759602.87</v>
      </c>
      <c r="T576" s="528">
        <f t="shared" si="76"/>
        <v>2337818.02</v>
      </c>
      <c r="U576" s="527">
        <f t="shared" si="77"/>
        <v>126631.73</v>
      </c>
      <c r="W576" s="326">
        <f t="shared" si="78"/>
        <v>7714880.5500000007</v>
      </c>
      <c r="X576" s="261">
        <f t="shared" si="79"/>
        <v>0</v>
      </c>
      <c r="Y576" s="546"/>
      <c r="Z576" s="1016">
        <f t="shared" si="69"/>
        <v>7120670.8900000006</v>
      </c>
    </row>
    <row r="577" spans="1:26" ht="12" hidden="1" thickBot="1">
      <c r="A577" s="522" t="s">
        <v>1362</v>
      </c>
      <c r="B577" s="522" t="s">
        <v>169</v>
      </c>
      <c r="C577" s="522" t="s">
        <v>196</v>
      </c>
      <c r="D577" s="523" t="s">
        <v>26</v>
      </c>
      <c r="E577" s="524">
        <v>3773412</v>
      </c>
      <c r="F577" s="525">
        <v>28741.33</v>
      </c>
      <c r="G577" s="525">
        <v>25281.83</v>
      </c>
      <c r="H577" s="525">
        <v>109127.12</v>
      </c>
      <c r="I577" s="526"/>
      <c r="J577" s="525">
        <v>15889.31</v>
      </c>
      <c r="K577" s="525">
        <v>207915.07</v>
      </c>
      <c r="L577" s="525">
        <v>4308.25</v>
      </c>
      <c r="M577" s="525">
        <v>13351.27</v>
      </c>
      <c r="N577" s="525">
        <v>0</v>
      </c>
      <c r="O577" s="525">
        <v>10579.66</v>
      </c>
      <c r="P577" s="526"/>
      <c r="Q577" s="526"/>
      <c r="R577" s="525">
        <v>415193.84</v>
      </c>
      <c r="S577" s="527">
        <f t="shared" si="75"/>
        <v>134408.95000000001</v>
      </c>
      <c r="T577" s="528">
        <f t="shared" si="76"/>
        <v>223804.38</v>
      </c>
      <c r="U577" s="527">
        <f t="shared" si="77"/>
        <v>10579.66</v>
      </c>
      <c r="W577" s="326">
        <f t="shared" si="78"/>
        <v>415193.84</v>
      </c>
      <c r="X577" s="261">
        <f t="shared" si="79"/>
        <v>0</v>
      </c>
      <c r="Y577" s="546"/>
      <c r="Z577" s="1016">
        <f t="shared" ref="Z577:Z640" si="80">SUM(F577:K577)</f>
        <v>386954.66000000003</v>
      </c>
    </row>
    <row r="578" spans="1:26" ht="12" hidden="1" thickBot="1">
      <c r="A578" s="522" t="s">
        <v>1362</v>
      </c>
      <c r="B578" s="522" t="s">
        <v>170</v>
      </c>
      <c r="C578" s="522" t="s">
        <v>197</v>
      </c>
      <c r="D578" s="523" t="s">
        <v>25</v>
      </c>
      <c r="E578" s="530">
        <v>131600041</v>
      </c>
      <c r="F578" s="531">
        <v>435123.01</v>
      </c>
      <c r="G578" s="531">
        <v>884358.71</v>
      </c>
      <c r="H578" s="531">
        <v>3805866.69</v>
      </c>
      <c r="I578" s="532"/>
      <c r="J578" s="531">
        <v>464943.74</v>
      </c>
      <c r="K578" s="531">
        <v>6069530.9699999997</v>
      </c>
      <c r="L578" s="531">
        <v>171778.66</v>
      </c>
      <c r="M578" s="531">
        <v>459689.01</v>
      </c>
      <c r="N578" s="531">
        <v>-0.72</v>
      </c>
      <c r="O578" s="531">
        <v>298057.99</v>
      </c>
      <c r="P578" s="532"/>
      <c r="Q578" s="532">
        <v>0</v>
      </c>
      <c r="R578" s="531">
        <v>12589348.060000001</v>
      </c>
      <c r="S578" s="527">
        <f t="shared" si="75"/>
        <v>4690225.4000000004</v>
      </c>
      <c r="T578" s="528">
        <f t="shared" si="76"/>
        <v>6534474.71</v>
      </c>
      <c r="U578" s="527">
        <f t="shared" si="77"/>
        <v>298057.27</v>
      </c>
      <c r="W578" s="326">
        <f t="shared" si="78"/>
        <v>12589348.060000001</v>
      </c>
      <c r="X578" s="261">
        <f t="shared" si="79"/>
        <v>0</v>
      </c>
      <c r="Y578" s="546"/>
      <c r="Z578" s="1016">
        <f t="shared" si="80"/>
        <v>11659823.120000001</v>
      </c>
    </row>
    <row r="579" spans="1:26" ht="12" hidden="1" thickBot="1">
      <c r="A579" s="522" t="s">
        <v>1362</v>
      </c>
      <c r="B579" s="522" t="s">
        <v>171</v>
      </c>
      <c r="C579" s="522" t="s">
        <v>198</v>
      </c>
      <c r="D579" s="542" t="s">
        <v>221</v>
      </c>
      <c r="E579" s="524">
        <v>242154160</v>
      </c>
      <c r="F579" s="525">
        <v>15600</v>
      </c>
      <c r="G579" s="525">
        <v>2114005.83</v>
      </c>
      <c r="H579" s="525">
        <v>7003098.3099999996</v>
      </c>
      <c r="I579" s="526"/>
      <c r="J579" s="525">
        <v>375119.15</v>
      </c>
      <c r="K579" s="525">
        <v>3787315.21</v>
      </c>
      <c r="L579" s="525">
        <v>58861.77</v>
      </c>
      <c r="M579" s="525">
        <v>766500.86</v>
      </c>
      <c r="N579" s="525">
        <v>0</v>
      </c>
      <c r="O579" s="525">
        <v>210865.51</v>
      </c>
      <c r="P579" s="526"/>
      <c r="Q579" s="526"/>
      <c r="R579" s="525">
        <v>14331366.640000001</v>
      </c>
      <c r="S579" s="527">
        <f t="shared" si="75"/>
        <v>9117104.1400000006</v>
      </c>
      <c r="T579" s="528">
        <f t="shared" si="76"/>
        <v>4162434.36</v>
      </c>
      <c r="U579" s="527">
        <f t="shared" si="77"/>
        <v>210865.51</v>
      </c>
      <c r="W579" s="326">
        <f t="shared" si="78"/>
        <v>14331366.639999999</v>
      </c>
      <c r="X579" s="261">
        <f t="shared" si="79"/>
        <v>0</v>
      </c>
      <c r="Y579" s="546"/>
      <c r="Z579" s="1016">
        <f t="shared" si="80"/>
        <v>13295138.5</v>
      </c>
    </row>
    <row r="580" spans="1:26" ht="12" hidden="1" thickBot="1">
      <c r="A580" s="522" t="s">
        <v>1362</v>
      </c>
      <c r="B580" s="522" t="s">
        <v>172</v>
      </c>
      <c r="C580" s="522" t="s">
        <v>199</v>
      </c>
      <c r="D580" s="523" t="s">
        <v>26</v>
      </c>
      <c r="E580" s="530">
        <v>19948394</v>
      </c>
      <c r="F580" s="531">
        <v>12531.93</v>
      </c>
      <c r="G580" s="531">
        <v>133654.24</v>
      </c>
      <c r="H580" s="531">
        <v>576907.59</v>
      </c>
      <c r="I580" s="532"/>
      <c r="J580" s="531">
        <v>51284.82</v>
      </c>
      <c r="K580" s="531">
        <v>673378.02</v>
      </c>
      <c r="L580" s="531">
        <v>15993.13</v>
      </c>
      <c r="M580" s="531">
        <v>70271.72</v>
      </c>
      <c r="N580" s="531">
        <v>0</v>
      </c>
      <c r="O580" s="531">
        <v>32459.95</v>
      </c>
      <c r="P580" s="532"/>
      <c r="Q580" s="532"/>
      <c r="R580" s="531">
        <v>1566481.4</v>
      </c>
      <c r="S580" s="527">
        <f t="shared" si="75"/>
        <v>710561.83</v>
      </c>
      <c r="T580" s="528">
        <f t="shared" si="76"/>
        <v>724662.84</v>
      </c>
      <c r="U580" s="527">
        <f t="shared" si="77"/>
        <v>32459.95</v>
      </c>
      <c r="W580" s="326">
        <f t="shared" si="78"/>
        <v>1566481.4</v>
      </c>
      <c r="X580" s="261">
        <f t="shared" si="79"/>
        <v>0</v>
      </c>
      <c r="Y580" s="546"/>
      <c r="Z580" s="1016">
        <f t="shared" si="80"/>
        <v>1447756.6</v>
      </c>
    </row>
    <row r="581" spans="1:26" ht="12" hidden="1" thickBot="1">
      <c r="A581" s="522" t="s">
        <v>1362</v>
      </c>
      <c r="B581" s="522" t="s">
        <v>173</v>
      </c>
      <c r="C581" s="522" t="s">
        <v>200</v>
      </c>
      <c r="D581" s="535" t="s">
        <v>25</v>
      </c>
      <c r="E581" s="524">
        <v>58274936</v>
      </c>
      <c r="F581" s="525">
        <v>35490.54</v>
      </c>
      <c r="G581" s="525">
        <v>391607.61</v>
      </c>
      <c r="H581" s="525">
        <v>1685311.11</v>
      </c>
      <c r="I581" s="526"/>
      <c r="J581" s="525">
        <v>171710.87</v>
      </c>
      <c r="K581" s="525">
        <v>2244596.5299999998</v>
      </c>
      <c r="L581" s="525">
        <v>47317.46</v>
      </c>
      <c r="M581" s="525">
        <v>204609.42</v>
      </c>
      <c r="N581" s="525">
        <v>0</v>
      </c>
      <c r="O581" s="525">
        <v>107716.05</v>
      </c>
      <c r="P581" s="526"/>
      <c r="Q581" s="525"/>
      <c r="R581" s="525">
        <v>4888359.59</v>
      </c>
      <c r="S581" s="527">
        <f t="shared" si="75"/>
        <v>2076918.7200000002</v>
      </c>
      <c r="T581" s="528">
        <f t="shared" si="76"/>
        <v>2416307.4</v>
      </c>
      <c r="U581" s="527">
        <f t="shared" si="77"/>
        <v>107716.05</v>
      </c>
      <c r="W581" s="326">
        <f t="shared" si="78"/>
        <v>4888359.59</v>
      </c>
      <c r="X581" s="261">
        <f t="shared" si="79"/>
        <v>0</v>
      </c>
      <c r="Y581" s="546"/>
      <c r="Z581" s="1016">
        <f t="shared" si="80"/>
        <v>4528716.66</v>
      </c>
    </row>
    <row r="582" spans="1:26" ht="12" hidden="1" thickBot="1">
      <c r="A582" s="522" t="s">
        <v>1362</v>
      </c>
      <c r="B582" s="522" t="s">
        <v>174</v>
      </c>
      <c r="C582" s="522" t="s">
        <v>201</v>
      </c>
      <c r="D582" s="523" t="s">
        <v>221</v>
      </c>
      <c r="E582" s="530">
        <v>100192153</v>
      </c>
      <c r="F582" s="531">
        <v>47424.83</v>
      </c>
      <c r="G582" s="531">
        <v>874677.55</v>
      </c>
      <c r="H582" s="531">
        <v>2897557.06</v>
      </c>
      <c r="I582" s="532"/>
      <c r="J582" s="531">
        <v>200976.21</v>
      </c>
      <c r="K582" s="531">
        <v>2042421.17</v>
      </c>
      <c r="L582" s="531">
        <v>34399.67</v>
      </c>
      <c r="M582" s="531">
        <v>348386.84</v>
      </c>
      <c r="N582" s="531">
        <v>0</v>
      </c>
      <c r="O582" s="531">
        <v>117238.85</v>
      </c>
      <c r="P582" s="532"/>
      <c r="Q582" s="532"/>
      <c r="R582" s="531">
        <v>6563082.1799999997</v>
      </c>
      <c r="S582" s="527">
        <f t="shared" si="75"/>
        <v>3772234.6100000003</v>
      </c>
      <c r="T582" s="528">
        <f t="shared" si="76"/>
        <v>2243397.38</v>
      </c>
      <c r="U582" s="527">
        <f t="shared" si="77"/>
        <v>117238.85</v>
      </c>
      <c r="W582" s="326">
        <f t="shared" si="78"/>
        <v>6563082.1799999997</v>
      </c>
      <c r="X582" s="261">
        <f t="shared" si="79"/>
        <v>0</v>
      </c>
      <c r="Y582" s="546"/>
      <c r="Z582" s="1016">
        <f t="shared" si="80"/>
        <v>6063056.8200000003</v>
      </c>
    </row>
    <row r="583" spans="1:26" ht="12" hidden="1" thickBot="1">
      <c r="A583" s="522" t="s">
        <v>1362</v>
      </c>
      <c r="B583" s="522" t="s">
        <v>175</v>
      </c>
      <c r="C583" s="522" t="s">
        <v>202</v>
      </c>
      <c r="D583" s="523" t="s">
        <v>220</v>
      </c>
      <c r="E583" s="524">
        <v>100848428</v>
      </c>
      <c r="F583" s="525">
        <v>86853.34</v>
      </c>
      <c r="G583" s="525">
        <v>888474.66</v>
      </c>
      <c r="H583" s="525">
        <v>2916536.58</v>
      </c>
      <c r="I583" s="526"/>
      <c r="J583" s="525">
        <v>248135.47</v>
      </c>
      <c r="K583" s="525">
        <v>2541854.79</v>
      </c>
      <c r="L583" s="525">
        <v>78124.67</v>
      </c>
      <c r="M583" s="525">
        <v>348165.93</v>
      </c>
      <c r="N583" s="525">
        <v>0</v>
      </c>
      <c r="O583" s="525">
        <v>140093.10999999999</v>
      </c>
      <c r="P583" s="526"/>
      <c r="Q583" s="525"/>
      <c r="R583" s="525">
        <v>7248238.5499999998</v>
      </c>
      <c r="S583" s="527">
        <f t="shared" si="75"/>
        <v>3805011.24</v>
      </c>
      <c r="T583" s="528">
        <f t="shared" si="76"/>
        <v>2789990.2600000002</v>
      </c>
      <c r="U583" s="527">
        <f t="shared" si="77"/>
        <v>140093.10999999999</v>
      </c>
      <c r="W583" s="326">
        <f t="shared" si="78"/>
        <v>7248238.5499999998</v>
      </c>
      <c r="X583" s="261">
        <f t="shared" si="79"/>
        <v>0</v>
      </c>
      <c r="Y583" s="546"/>
      <c r="Z583" s="1016">
        <f t="shared" si="80"/>
        <v>6681854.8399999999</v>
      </c>
    </row>
    <row r="584" spans="1:26" ht="12" hidden="1" thickBot="1">
      <c r="A584" s="522" t="s">
        <v>1362</v>
      </c>
      <c r="B584" s="522" t="s">
        <v>176</v>
      </c>
      <c r="C584" s="522" t="s">
        <v>203</v>
      </c>
      <c r="D584" s="523" t="s">
        <v>25</v>
      </c>
      <c r="E584" s="530">
        <v>25360</v>
      </c>
      <c r="F584" s="531">
        <v>90</v>
      </c>
      <c r="G584" s="531">
        <v>170.42</v>
      </c>
      <c r="H584" s="531">
        <v>733.41</v>
      </c>
      <c r="I584" s="532"/>
      <c r="J584" s="531">
        <v>108</v>
      </c>
      <c r="K584" s="531">
        <v>1422</v>
      </c>
      <c r="L584" s="531">
        <v>34.74</v>
      </c>
      <c r="M584" s="531">
        <v>90.54</v>
      </c>
      <c r="N584" s="531">
        <v>0</v>
      </c>
      <c r="O584" s="531">
        <v>69.36</v>
      </c>
      <c r="P584" s="532"/>
      <c r="Q584" s="532"/>
      <c r="R584" s="531">
        <v>2718.47</v>
      </c>
      <c r="S584" s="527">
        <f t="shared" si="75"/>
        <v>903.82999999999993</v>
      </c>
      <c r="T584" s="528">
        <f t="shared" si="76"/>
        <v>1530</v>
      </c>
      <c r="U584" s="527">
        <f t="shared" si="77"/>
        <v>69.36</v>
      </c>
      <c r="W584" s="326">
        <f t="shared" si="78"/>
        <v>2718.47</v>
      </c>
      <c r="X584" s="261">
        <f t="shared" si="79"/>
        <v>0</v>
      </c>
      <c r="Y584" s="546"/>
      <c r="Z584" s="1016">
        <f t="shared" si="80"/>
        <v>2523.83</v>
      </c>
    </row>
    <row r="585" spans="1:26" ht="12" hidden="1" thickBot="1">
      <c r="A585" s="522" t="s">
        <v>1362</v>
      </c>
      <c r="B585" s="522" t="s">
        <v>944</v>
      </c>
      <c r="C585" s="522" t="s">
        <v>943</v>
      </c>
      <c r="D585" s="542"/>
      <c r="E585" s="526"/>
      <c r="F585" s="526"/>
      <c r="G585" s="526"/>
      <c r="H585" s="526"/>
      <c r="I585" s="526"/>
      <c r="J585" s="526"/>
      <c r="K585" s="526"/>
      <c r="L585" s="526"/>
      <c r="M585" s="526"/>
      <c r="N585" s="526"/>
      <c r="O585" s="526"/>
      <c r="P585" s="526"/>
      <c r="Q585" s="526"/>
      <c r="R585" s="526"/>
      <c r="S585" s="527">
        <f t="shared" si="75"/>
        <v>0</v>
      </c>
      <c r="T585" s="528">
        <f t="shared" si="76"/>
        <v>0</v>
      </c>
      <c r="U585" s="527">
        <f t="shared" si="77"/>
        <v>0</v>
      </c>
      <c r="W585" s="326">
        <f t="shared" si="78"/>
        <v>0</v>
      </c>
      <c r="X585" s="261">
        <f t="shared" ref="X585:X634" si="81">W585-R585</f>
        <v>0</v>
      </c>
      <c r="Y585" s="546"/>
      <c r="Z585" s="1016">
        <f t="shared" si="80"/>
        <v>0</v>
      </c>
    </row>
    <row r="586" spans="1:26" ht="12" hidden="1" thickBot="1">
      <c r="A586" s="522" t="s">
        <v>1362</v>
      </c>
      <c r="B586" s="522" t="s">
        <v>177</v>
      </c>
      <c r="C586" s="522" t="s">
        <v>494</v>
      </c>
      <c r="D586" s="522" t="s">
        <v>224</v>
      </c>
      <c r="E586" s="530">
        <v>55154602</v>
      </c>
      <c r="F586" s="531">
        <v>1304055.55</v>
      </c>
      <c r="G586" s="531">
        <v>3233696.21</v>
      </c>
      <c r="H586" s="531">
        <v>1595179.07</v>
      </c>
      <c r="I586" s="531">
        <v>259649.04</v>
      </c>
      <c r="J586" s="532"/>
      <c r="K586" s="531">
        <v>0</v>
      </c>
      <c r="L586" s="531">
        <v>161367.62</v>
      </c>
      <c r="M586" s="531">
        <v>193332.21</v>
      </c>
      <c r="N586" s="531">
        <v>-38.229999999999997</v>
      </c>
      <c r="O586" s="531">
        <v>184415.33</v>
      </c>
      <c r="P586" s="532"/>
      <c r="Q586" s="531">
        <v>0</v>
      </c>
      <c r="R586" s="531">
        <v>6931656.7999999998</v>
      </c>
      <c r="S586" s="527">
        <f t="shared" si="75"/>
        <v>5088524.32</v>
      </c>
      <c r="T586" s="528">
        <f t="shared" si="76"/>
        <v>0</v>
      </c>
      <c r="U586" s="527">
        <f t="shared" si="77"/>
        <v>184377.09999999998</v>
      </c>
      <c r="W586" s="326">
        <f t="shared" si="78"/>
        <v>6931656.7999999998</v>
      </c>
      <c r="X586" s="261">
        <f t="shared" si="81"/>
        <v>0</v>
      </c>
      <c r="Y586" s="546"/>
      <c r="Z586" s="1016">
        <f t="shared" si="80"/>
        <v>6392579.8700000001</v>
      </c>
    </row>
    <row r="587" spans="1:26" ht="12" hidden="1" thickBot="1">
      <c r="A587" s="522" t="s">
        <v>1362</v>
      </c>
      <c r="B587" s="522" t="s">
        <v>178</v>
      </c>
      <c r="C587" s="522" t="s">
        <v>1352</v>
      </c>
      <c r="D587" s="542" t="s">
        <v>224</v>
      </c>
      <c r="E587" s="524">
        <v>10785</v>
      </c>
      <c r="F587" s="525">
        <v>1220</v>
      </c>
      <c r="G587" s="525">
        <v>632.22</v>
      </c>
      <c r="H587" s="525">
        <v>311.91000000000003</v>
      </c>
      <c r="I587" s="525">
        <v>50.81</v>
      </c>
      <c r="J587" s="526"/>
      <c r="K587" s="526"/>
      <c r="L587" s="525">
        <v>32.39</v>
      </c>
      <c r="M587" s="525">
        <v>36.01</v>
      </c>
      <c r="N587" s="525">
        <v>0</v>
      </c>
      <c r="O587" s="525">
        <v>69.27</v>
      </c>
      <c r="P587" s="526"/>
      <c r="Q587" s="526"/>
      <c r="R587" s="525">
        <v>2352.61</v>
      </c>
      <c r="S587" s="527">
        <f t="shared" si="75"/>
        <v>994.94</v>
      </c>
      <c r="T587" s="528">
        <f t="shared" si="76"/>
        <v>0</v>
      </c>
      <c r="U587" s="527">
        <f t="shared" si="77"/>
        <v>69.27</v>
      </c>
      <c r="W587" s="326">
        <f t="shared" si="78"/>
        <v>2352.61</v>
      </c>
      <c r="X587" s="261">
        <f t="shared" si="81"/>
        <v>0</v>
      </c>
      <c r="Y587" s="546"/>
      <c r="Z587" s="1016">
        <f t="shared" si="80"/>
        <v>2214.94</v>
      </c>
    </row>
    <row r="588" spans="1:26" ht="12" hidden="1" thickBot="1">
      <c r="A588" s="522" t="s">
        <v>1362</v>
      </c>
      <c r="B588" s="522" t="s">
        <v>179</v>
      </c>
      <c r="C588" s="522" t="s">
        <v>64</v>
      </c>
      <c r="D588" s="523" t="s">
        <v>18</v>
      </c>
      <c r="E588" s="530">
        <v>77641848</v>
      </c>
      <c r="F588" s="531">
        <v>598760.28</v>
      </c>
      <c r="G588" s="531">
        <v>4551368.83</v>
      </c>
      <c r="H588" s="531">
        <v>2245401.81</v>
      </c>
      <c r="I588" s="531">
        <v>365682.97</v>
      </c>
      <c r="J588" s="532"/>
      <c r="K588" s="532"/>
      <c r="L588" s="531">
        <v>215386.72</v>
      </c>
      <c r="M588" s="531">
        <v>272025.24</v>
      </c>
      <c r="N588" s="531">
        <v>0</v>
      </c>
      <c r="O588" s="531">
        <v>213387.63</v>
      </c>
      <c r="P588" s="532"/>
      <c r="Q588" s="531">
        <v>0</v>
      </c>
      <c r="R588" s="531">
        <v>8462013.4800000004</v>
      </c>
      <c r="S588" s="527">
        <f t="shared" si="75"/>
        <v>7162453.6100000003</v>
      </c>
      <c r="T588" s="528">
        <f t="shared" si="76"/>
        <v>0</v>
      </c>
      <c r="U588" s="527">
        <f t="shared" si="77"/>
        <v>213387.63</v>
      </c>
      <c r="W588" s="326">
        <f t="shared" si="78"/>
        <v>8462013.4800000004</v>
      </c>
      <c r="X588" s="261">
        <f t="shared" si="81"/>
        <v>0</v>
      </c>
      <c r="Y588" s="546"/>
      <c r="Z588" s="1016">
        <f t="shared" si="80"/>
        <v>7761213.8899999997</v>
      </c>
    </row>
    <row r="589" spans="1:26" ht="12" hidden="1" thickBot="1">
      <c r="A589" s="522" t="s">
        <v>1362</v>
      </c>
      <c r="B589" s="522" t="s">
        <v>180</v>
      </c>
      <c r="C589" s="522" t="s">
        <v>204</v>
      </c>
      <c r="D589" s="536" t="s">
        <v>219</v>
      </c>
      <c r="E589" s="524">
        <v>428919</v>
      </c>
      <c r="F589" s="525">
        <v>6666</v>
      </c>
      <c r="G589" s="525">
        <v>18156.080000000002</v>
      </c>
      <c r="H589" s="525">
        <v>12404.36</v>
      </c>
      <c r="I589" s="525">
        <v>1351.15</v>
      </c>
      <c r="J589" s="526"/>
      <c r="K589" s="526"/>
      <c r="L589" s="525">
        <v>527.57000000000005</v>
      </c>
      <c r="M589" s="525">
        <v>1354.62</v>
      </c>
      <c r="N589" s="525">
        <v>782.23</v>
      </c>
      <c r="O589" s="526"/>
      <c r="P589" s="526"/>
      <c r="Q589" s="526"/>
      <c r="R589" s="525">
        <v>41242.01</v>
      </c>
      <c r="S589" s="527">
        <f t="shared" si="75"/>
        <v>31911.590000000004</v>
      </c>
      <c r="T589" s="528">
        <f t="shared" si="76"/>
        <v>0</v>
      </c>
      <c r="U589" s="527">
        <f t="shared" si="77"/>
        <v>782.23</v>
      </c>
      <c r="W589" s="326">
        <f t="shared" si="78"/>
        <v>41242.010000000009</v>
      </c>
      <c r="X589" s="261">
        <f t="shared" si="81"/>
        <v>0</v>
      </c>
      <c r="Y589" s="546"/>
      <c r="Z589" s="1016">
        <f t="shared" si="80"/>
        <v>38577.590000000004</v>
      </c>
    </row>
    <row r="590" spans="1:26" ht="12" hidden="1" thickBot="1">
      <c r="A590" s="522" t="s">
        <v>1362</v>
      </c>
      <c r="B590" s="522" t="s">
        <v>181</v>
      </c>
      <c r="C590" s="522" t="s">
        <v>205</v>
      </c>
      <c r="D590" s="536" t="s">
        <v>219</v>
      </c>
      <c r="E590" s="530">
        <v>900</v>
      </c>
      <c r="F590" s="531">
        <v>140</v>
      </c>
      <c r="G590" s="531">
        <v>38.090000000000003</v>
      </c>
      <c r="H590" s="531">
        <v>26.03</v>
      </c>
      <c r="I590" s="531">
        <v>2.84</v>
      </c>
      <c r="J590" s="532"/>
      <c r="K590" s="532"/>
      <c r="L590" s="531">
        <v>1.1100000000000001</v>
      </c>
      <c r="M590" s="531">
        <v>3.21</v>
      </c>
      <c r="N590" s="531">
        <v>4.24</v>
      </c>
      <c r="O590" s="532"/>
      <c r="P590" s="532"/>
      <c r="Q590" s="532"/>
      <c r="R590" s="531">
        <v>215.52</v>
      </c>
      <c r="S590" s="527">
        <f>G590+H590+I590</f>
        <v>66.960000000000008</v>
      </c>
      <c r="T590" s="528">
        <f>J590+K590</f>
        <v>0</v>
      </c>
      <c r="U590" s="527">
        <f t="shared" si="77"/>
        <v>4.24</v>
      </c>
      <c r="W590" s="326">
        <f t="shared" si="78"/>
        <v>215.52000000000004</v>
      </c>
      <c r="X590" s="261"/>
      <c r="Y590" s="546"/>
      <c r="Z590" s="1016">
        <f t="shared" si="80"/>
        <v>206.96</v>
      </c>
    </row>
    <row r="591" spans="1:26" ht="12" hidden="1" thickBot="1">
      <c r="A591" s="522" t="s">
        <v>1362</v>
      </c>
      <c r="B591" s="522" t="s">
        <v>182</v>
      </c>
      <c r="C591" s="522" t="s">
        <v>206</v>
      </c>
      <c r="D591" s="533" t="s">
        <v>228</v>
      </c>
      <c r="E591" s="524">
        <v>353566</v>
      </c>
      <c r="F591" s="525">
        <v>2345</v>
      </c>
      <c r="G591" s="525">
        <v>14966.46</v>
      </c>
      <c r="H591" s="525">
        <v>10225.120000000001</v>
      </c>
      <c r="I591" s="525">
        <v>1113.7</v>
      </c>
      <c r="J591" s="526"/>
      <c r="K591" s="526"/>
      <c r="L591" s="525">
        <v>434.89</v>
      </c>
      <c r="M591" s="525">
        <v>1232.3800000000001</v>
      </c>
      <c r="N591" s="525">
        <v>646.05999999999995</v>
      </c>
      <c r="O591" s="526"/>
      <c r="P591" s="526"/>
      <c r="Q591" s="526"/>
      <c r="R591" s="525">
        <v>30963.61</v>
      </c>
      <c r="S591" s="527">
        <f>G591+H591+I591</f>
        <v>26305.280000000002</v>
      </c>
      <c r="T591" s="528">
        <f>J591+K591</f>
        <v>0</v>
      </c>
      <c r="U591" s="527">
        <f t="shared" si="77"/>
        <v>646.05999999999995</v>
      </c>
      <c r="W591" s="326">
        <f t="shared" si="78"/>
        <v>30963.610000000004</v>
      </c>
      <c r="X591" s="261"/>
      <c r="Y591" s="546"/>
      <c r="Z591" s="1016">
        <f t="shared" si="80"/>
        <v>28650.280000000002</v>
      </c>
    </row>
    <row r="592" spans="1:26" ht="12" hidden="1" thickBot="1">
      <c r="A592" s="522" t="s">
        <v>1362</v>
      </c>
      <c r="B592" s="522" t="s">
        <v>183</v>
      </c>
      <c r="C592" s="522" t="s">
        <v>207</v>
      </c>
      <c r="D592" s="535" t="s">
        <v>228</v>
      </c>
      <c r="E592" s="530">
        <v>244540</v>
      </c>
      <c r="F592" s="531">
        <v>140</v>
      </c>
      <c r="G592" s="531">
        <v>10351.379999999999</v>
      </c>
      <c r="H592" s="531">
        <v>7072.09</v>
      </c>
      <c r="I592" s="531">
        <v>770.3</v>
      </c>
      <c r="J592" s="532"/>
      <c r="K592" s="532"/>
      <c r="L592" s="531">
        <v>300.77999999999997</v>
      </c>
      <c r="M592" s="531">
        <v>747.29</v>
      </c>
      <c r="N592" s="531">
        <v>358.74</v>
      </c>
      <c r="O592" s="532"/>
      <c r="P592" s="532"/>
      <c r="Q592" s="532"/>
      <c r="R592" s="531">
        <v>19740.580000000002</v>
      </c>
      <c r="S592" s="527">
        <f t="shared" ref="S592:S598" si="82">G592+H592+I592</f>
        <v>18193.77</v>
      </c>
      <c r="T592" s="528">
        <f t="shared" ref="T592:T598" si="83">J592+K592</f>
        <v>0</v>
      </c>
      <c r="U592" s="527">
        <f t="shared" si="77"/>
        <v>358.74</v>
      </c>
      <c r="W592" s="326">
        <f t="shared" si="78"/>
        <v>19740.580000000002</v>
      </c>
      <c r="X592" s="261">
        <f t="shared" si="81"/>
        <v>0</v>
      </c>
      <c r="Y592" s="546"/>
      <c r="Z592" s="1016">
        <f t="shared" si="80"/>
        <v>18333.77</v>
      </c>
    </row>
    <row r="593" spans="1:26" ht="12" hidden="1" thickBot="1">
      <c r="A593" s="522" t="s">
        <v>1362</v>
      </c>
      <c r="B593" s="522" t="s">
        <v>720</v>
      </c>
      <c r="C593" s="522" t="s">
        <v>723</v>
      </c>
      <c r="D593" s="535" t="s">
        <v>228</v>
      </c>
      <c r="E593" s="524">
        <v>2129140</v>
      </c>
      <c r="F593" s="525">
        <v>3360</v>
      </c>
      <c r="G593" s="525">
        <v>90126.46</v>
      </c>
      <c r="H593" s="525">
        <v>61574.74</v>
      </c>
      <c r="I593" s="525">
        <v>6706.79</v>
      </c>
      <c r="J593" s="526"/>
      <c r="K593" s="526"/>
      <c r="L593" s="525">
        <v>2618.89</v>
      </c>
      <c r="M593" s="525">
        <v>6984.13</v>
      </c>
      <c r="N593" s="525">
        <v>3425.71</v>
      </c>
      <c r="O593" s="526"/>
      <c r="P593" s="526"/>
      <c r="Q593" s="526"/>
      <c r="R593" s="525">
        <v>174796.72</v>
      </c>
      <c r="S593" s="527">
        <f t="shared" si="82"/>
        <v>158407.99000000002</v>
      </c>
      <c r="T593" s="528">
        <f t="shared" si="83"/>
        <v>0</v>
      </c>
      <c r="U593" s="527">
        <f t="shared" si="77"/>
        <v>3425.71</v>
      </c>
      <c r="W593" s="326">
        <f t="shared" si="78"/>
        <v>174796.72000000003</v>
      </c>
      <c r="X593" s="261">
        <f t="shared" si="81"/>
        <v>0</v>
      </c>
      <c r="Y593" s="546"/>
      <c r="Z593" s="1016">
        <f t="shared" si="80"/>
        <v>161767.99000000002</v>
      </c>
    </row>
    <row r="594" spans="1:26" ht="12" hidden="1" thickBot="1">
      <c r="A594" s="522" t="s">
        <v>1362</v>
      </c>
      <c r="B594" s="522" t="s">
        <v>721</v>
      </c>
      <c r="C594" s="522" t="s">
        <v>724</v>
      </c>
      <c r="D594" s="535" t="s">
        <v>219</v>
      </c>
      <c r="E594" s="530">
        <v>45091</v>
      </c>
      <c r="F594" s="531">
        <v>380</v>
      </c>
      <c r="G594" s="531">
        <v>1908.7</v>
      </c>
      <c r="H594" s="531">
        <v>1304.03</v>
      </c>
      <c r="I594" s="531">
        <v>142.06</v>
      </c>
      <c r="J594" s="532"/>
      <c r="K594" s="532"/>
      <c r="L594" s="531">
        <v>55.46</v>
      </c>
      <c r="M594" s="531">
        <v>134.54</v>
      </c>
      <c r="N594" s="531">
        <v>71.010000000000005</v>
      </c>
      <c r="O594" s="532"/>
      <c r="P594" s="532"/>
      <c r="Q594" s="532"/>
      <c r="R594" s="531">
        <v>3995.8</v>
      </c>
      <c r="S594" s="527">
        <f t="shared" si="82"/>
        <v>3354.79</v>
      </c>
      <c r="T594" s="528">
        <f t="shared" si="83"/>
        <v>0</v>
      </c>
      <c r="U594" s="527">
        <f t="shared" si="77"/>
        <v>71.010000000000005</v>
      </c>
      <c r="W594" s="326">
        <f t="shared" si="78"/>
        <v>3995.7999999999997</v>
      </c>
      <c r="X594" s="261">
        <f t="shared" si="81"/>
        <v>0</v>
      </c>
      <c r="Y594" s="546"/>
      <c r="Z594" s="1016">
        <f t="shared" si="80"/>
        <v>3734.7899999999995</v>
      </c>
    </row>
    <row r="595" spans="1:26" ht="12" hidden="1" thickBot="1">
      <c r="A595" s="522" t="s">
        <v>1362</v>
      </c>
      <c r="B595" s="522" t="s">
        <v>722</v>
      </c>
      <c r="C595" s="522" t="s">
        <v>725</v>
      </c>
      <c r="D595" s="523" t="s">
        <v>228</v>
      </c>
      <c r="E595" s="524">
        <v>8359304</v>
      </c>
      <c r="F595" s="525">
        <v>3465</v>
      </c>
      <c r="G595" s="525">
        <v>353849.33</v>
      </c>
      <c r="H595" s="525">
        <v>241751.04000000001</v>
      </c>
      <c r="I595" s="525">
        <v>26331.88</v>
      </c>
      <c r="J595" s="526"/>
      <c r="K595" s="526"/>
      <c r="L595" s="525">
        <v>10281.93</v>
      </c>
      <c r="M595" s="525">
        <v>27037.7</v>
      </c>
      <c r="N595" s="525">
        <v>13046.75</v>
      </c>
      <c r="O595" s="526"/>
      <c r="P595" s="526"/>
      <c r="Q595" s="526"/>
      <c r="R595" s="525">
        <v>675763.63</v>
      </c>
      <c r="S595" s="527">
        <f t="shared" si="82"/>
        <v>621932.25</v>
      </c>
      <c r="T595" s="528">
        <f t="shared" si="83"/>
        <v>0</v>
      </c>
      <c r="U595" s="527">
        <f t="shared" si="77"/>
        <v>13046.75</v>
      </c>
      <c r="W595" s="326">
        <f t="shared" si="78"/>
        <v>675763.63</v>
      </c>
      <c r="X595" s="261">
        <f t="shared" si="81"/>
        <v>0</v>
      </c>
      <c r="Y595" s="546"/>
      <c r="Z595" s="1016">
        <f t="shared" si="80"/>
        <v>625397.25</v>
      </c>
    </row>
    <row r="596" spans="1:26" ht="12" thickBot="1">
      <c r="A596" s="522" t="s">
        <v>1362</v>
      </c>
      <c r="B596" s="522" t="s">
        <v>233</v>
      </c>
      <c r="C596" s="522" t="s">
        <v>651</v>
      </c>
      <c r="D596" s="542" t="s">
        <v>20</v>
      </c>
      <c r="E596" s="530">
        <v>9255</v>
      </c>
      <c r="F596" s="532"/>
      <c r="G596" s="531">
        <v>293.67</v>
      </c>
      <c r="H596" s="531">
        <v>267.64999999999998</v>
      </c>
      <c r="I596" s="531">
        <v>29.15</v>
      </c>
      <c r="J596" s="532"/>
      <c r="K596" s="532"/>
      <c r="L596" s="532"/>
      <c r="M596" s="531">
        <v>33.04</v>
      </c>
      <c r="N596" s="531">
        <v>13.65</v>
      </c>
      <c r="O596" s="532"/>
      <c r="P596" s="532"/>
      <c r="Q596" s="532"/>
      <c r="R596" s="531">
        <v>637.16</v>
      </c>
      <c r="S596" s="527">
        <f t="shared" si="82"/>
        <v>590.46999999999991</v>
      </c>
      <c r="T596" s="528">
        <f t="shared" si="83"/>
        <v>0</v>
      </c>
      <c r="U596" s="527">
        <f t="shared" si="77"/>
        <v>13.65</v>
      </c>
      <c r="W596" s="326">
        <f t="shared" si="78"/>
        <v>637.15999999999985</v>
      </c>
      <c r="X596" s="261">
        <f t="shared" si="81"/>
        <v>0</v>
      </c>
      <c r="Y596" s="546"/>
      <c r="Z596" s="1016">
        <f t="shared" si="80"/>
        <v>590.46999999999991</v>
      </c>
    </row>
    <row r="597" spans="1:26" ht="12" hidden="1" thickBot="1">
      <c r="A597" s="522" t="s">
        <v>1362</v>
      </c>
      <c r="B597" s="522" t="s">
        <v>232</v>
      </c>
      <c r="C597" s="522" t="s">
        <v>651</v>
      </c>
      <c r="D597" s="542" t="s">
        <v>20</v>
      </c>
      <c r="E597" s="524">
        <v>3338</v>
      </c>
      <c r="F597" s="526"/>
      <c r="G597" s="525">
        <v>105.92</v>
      </c>
      <c r="H597" s="525">
        <v>96.53</v>
      </c>
      <c r="I597" s="525">
        <v>10.51</v>
      </c>
      <c r="J597" s="526"/>
      <c r="K597" s="526"/>
      <c r="L597" s="526"/>
      <c r="M597" s="525">
        <v>7.08</v>
      </c>
      <c r="N597" s="525">
        <v>2.68</v>
      </c>
      <c r="O597" s="526"/>
      <c r="P597" s="526"/>
      <c r="Q597" s="526"/>
      <c r="R597" s="525">
        <v>222.72</v>
      </c>
      <c r="S597" s="527">
        <f t="shared" si="82"/>
        <v>212.95999999999998</v>
      </c>
      <c r="T597" s="528">
        <f t="shared" si="83"/>
        <v>0</v>
      </c>
      <c r="U597" s="527">
        <f t="shared" si="77"/>
        <v>2.68</v>
      </c>
      <c r="W597" s="326">
        <f t="shared" si="78"/>
        <v>222.72</v>
      </c>
      <c r="X597" s="261">
        <f t="shared" si="81"/>
        <v>0</v>
      </c>
      <c r="Y597" s="546"/>
      <c r="Z597" s="1016">
        <f t="shared" si="80"/>
        <v>212.95999999999998</v>
      </c>
    </row>
    <row r="598" spans="1:26" ht="12" thickBot="1">
      <c r="A598" s="522" t="s">
        <v>1362</v>
      </c>
      <c r="B598" s="522" t="s">
        <v>184</v>
      </c>
      <c r="C598" s="522" t="s">
        <v>59</v>
      </c>
      <c r="D598" s="523" t="s">
        <v>21</v>
      </c>
      <c r="E598" s="530">
        <v>89696</v>
      </c>
      <c r="F598" s="531">
        <v>1545.38</v>
      </c>
      <c r="G598" s="531">
        <v>4279.54</v>
      </c>
      <c r="H598" s="531">
        <v>2594.08</v>
      </c>
      <c r="I598" s="531">
        <v>282.41000000000003</v>
      </c>
      <c r="J598" s="532"/>
      <c r="K598" s="532"/>
      <c r="L598" s="532"/>
      <c r="M598" s="531">
        <v>246.27</v>
      </c>
      <c r="N598" s="531">
        <v>146.36000000000001</v>
      </c>
      <c r="O598" s="532"/>
      <c r="P598" s="532"/>
      <c r="Q598" s="532"/>
      <c r="R598" s="531">
        <v>9094.0400000000009</v>
      </c>
      <c r="S598" s="527">
        <f t="shared" si="82"/>
        <v>7156.03</v>
      </c>
      <c r="T598" s="528">
        <f t="shared" si="83"/>
        <v>0</v>
      </c>
      <c r="U598" s="527">
        <f t="shared" si="77"/>
        <v>146.36000000000001</v>
      </c>
      <c r="W598" s="326">
        <f t="shared" si="78"/>
        <v>9094.0400000000009</v>
      </c>
      <c r="X598" s="261"/>
      <c r="Y598" s="546"/>
      <c r="Z598" s="1016">
        <f t="shared" si="80"/>
        <v>8701.41</v>
      </c>
    </row>
    <row r="599" spans="1:26" ht="12" hidden="1" thickBot="1">
      <c r="A599" s="522" t="s">
        <v>1362</v>
      </c>
      <c r="B599" s="522" t="s">
        <v>652</v>
      </c>
      <c r="C599" s="522" t="s">
        <v>676</v>
      </c>
      <c r="D599" s="523" t="s">
        <v>21</v>
      </c>
      <c r="E599" s="524">
        <v>14416</v>
      </c>
      <c r="F599" s="525">
        <v>884</v>
      </c>
      <c r="G599" s="525">
        <v>688.16</v>
      </c>
      <c r="H599" s="525">
        <v>416.16</v>
      </c>
      <c r="I599" s="525">
        <v>46.24</v>
      </c>
      <c r="J599" s="526"/>
      <c r="K599" s="526"/>
      <c r="L599" s="526"/>
      <c r="M599" s="525">
        <v>51.68</v>
      </c>
      <c r="N599" s="525">
        <v>46.24</v>
      </c>
      <c r="O599" s="526"/>
      <c r="P599" s="526"/>
      <c r="Q599" s="526"/>
      <c r="R599" s="525">
        <v>2132.48</v>
      </c>
      <c r="S599" s="527">
        <f t="shared" ref="S599:S614" si="84">G599+H599+I599</f>
        <v>1150.56</v>
      </c>
      <c r="T599" s="528">
        <f t="shared" ref="T599:T614" si="85">J599+K599</f>
        <v>0</v>
      </c>
      <c r="U599" s="527">
        <f t="shared" si="77"/>
        <v>46.24</v>
      </c>
      <c r="W599" s="326">
        <f t="shared" si="78"/>
        <v>2132.4799999999996</v>
      </c>
      <c r="X599" s="261">
        <f t="shared" si="81"/>
        <v>0</v>
      </c>
      <c r="Y599" s="546"/>
      <c r="Z599" s="1016">
        <f t="shared" si="80"/>
        <v>2034.56</v>
      </c>
    </row>
    <row r="600" spans="1:26" ht="12" hidden="1" thickBot="1">
      <c r="A600" s="522" t="s">
        <v>1362</v>
      </c>
      <c r="B600" s="522" t="s">
        <v>728</v>
      </c>
      <c r="C600" s="522" t="s">
        <v>726</v>
      </c>
      <c r="D600" s="523" t="s">
        <v>727</v>
      </c>
      <c r="E600" s="532"/>
      <c r="F600" s="532"/>
      <c r="G600" s="532"/>
      <c r="H600" s="532"/>
      <c r="I600" s="532"/>
      <c r="J600" s="532"/>
      <c r="K600" s="532"/>
      <c r="L600" s="532"/>
      <c r="M600" s="532"/>
      <c r="N600" s="532"/>
      <c r="O600" s="532"/>
      <c r="P600" s="532"/>
      <c r="Q600" s="532"/>
      <c r="R600" s="531">
        <v>0</v>
      </c>
      <c r="S600" s="527">
        <f t="shared" si="84"/>
        <v>0</v>
      </c>
      <c r="T600" s="528">
        <f t="shared" si="85"/>
        <v>0</v>
      </c>
      <c r="U600" s="527">
        <f t="shared" si="77"/>
        <v>0</v>
      </c>
      <c r="W600" s="326">
        <f t="shared" si="78"/>
        <v>0</v>
      </c>
      <c r="X600" s="261">
        <f t="shared" si="81"/>
        <v>0</v>
      </c>
      <c r="Y600" s="546"/>
      <c r="Z600" s="1016">
        <f t="shared" si="80"/>
        <v>0</v>
      </c>
    </row>
    <row r="601" spans="1:26" ht="12" hidden="1" thickBot="1">
      <c r="A601" s="522" t="s">
        <v>1362</v>
      </c>
      <c r="B601" s="522" t="s">
        <v>1043</v>
      </c>
      <c r="C601" s="522" t="s">
        <v>1044</v>
      </c>
      <c r="D601" s="523" t="s">
        <v>1052</v>
      </c>
      <c r="E601" s="526"/>
      <c r="F601" s="526"/>
      <c r="G601" s="526"/>
      <c r="H601" s="526"/>
      <c r="I601" s="526"/>
      <c r="J601" s="526"/>
      <c r="K601" s="526"/>
      <c r="L601" s="526"/>
      <c r="M601" s="526"/>
      <c r="N601" s="526"/>
      <c r="O601" s="526"/>
      <c r="P601" s="526"/>
      <c r="Q601" s="526"/>
      <c r="R601" s="525">
        <v>0</v>
      </c>
      <c r="S601" s="527">
        <f t="shared" si="84"/>
        <v>0</v>
      </c>
      <c r="T601" s="528">
        <f t="shared" si="85"/>
        <v>0</v>
      </c>
      <c r="U601" s="527">
        <f t="shared" si="77"/>
        <v>0</v>
      </c>
      <c r="W601" s="326">
        <f t="shared" si="78"/>
        <v>0</v>
      </c>
      <c r="X601" s="261"/>
      <c r="Y601" s="546"/>
      <c r="Z601" s="1016">
        <f t="shared" si="80"/>
        <v>0</v>
      </c>
    </row>
    <row r="602" spans="1:26" ht="12" hidden="1" thickBot="1">
      <c r="A602" s="522" t="s">
        <v>1362</v>
      </c>
      <c r="B602" s="522" t="s">
        <v>185</v>
      </c>
      <c r="C602" s="522" t="s">
        <v>1353</v>
      </c>
      <c r="D602" s="533" t="s">
        <v>224</v>
      </c>
      <c r="E602" s="530">
        <v>3336</v>
      </c>
      <c r="F602" s="531">
        <v>149.33000000000001</v>
      </c>
      <c r="G602" s="531">
        <v>195.56</v>
      </c>
      <c r="H602" s="531">
        <v>96.48</v>
      </c>
      <c r="I602" s="531">
        <v>15.7</v>
      </c>
      <c r="J602" s="532"/>
      <c r="K602" s="532"/>
      <c r="L602" s="531">
        <v>10.02</v>
      </c>
      <c r="M602" s="531">
        <v>11.91</v>
      </c>
      <c r="N602" s="531">
        <v>0</v>
      </c>
      <c r="O602" s="531">
        <v>14.09</v>
      </c>
      <c r="P602" s="532"/>
      <c r="Q602" s="532"/>
      <c r="R602" s="531">
        <v>493.09</v>
      </c>
      <c r="S602" s="527">
        <f t="shared" si="84"/>
        <v>307.74</v>
      </c>
      <c r="T602" s="528">
        <f t="shared" si="85"/>
        <v>0</v>
      </c>
      <c r="U602" s="527">
        <f t="shared" si="77"/>
        <v>14.09</v>
      </c>
      <c r="W602" s="326">
        <f t="shared" si="78"/>
        <v>493.09</v>
      </c>
      <c r="X602" s="261"/>
      <c r="Y602" s="546"/>
      <c r="Z602" s="1016">
        <f t="shared" si="80"/>
        <v>457.07</v>
      </c>
    </row>
    <row r="603" spans="1:26" ht="12" hidden="1" thickBot="1">
      <c r="A603" s="522" t="s">
        <v>1362</v>
      </c>
      <c r="B603" s="522" t="s">
        <v>186</v>
      </c>
      <c r="C603" s="522" t="s">
        <v>1354</v>
      </c>
      <c r="D603" s="533" t="s">
        <v>18</v>
      </c>
      <c r="E603" s="524">
        <v>10160</v>
      </c>
      <c r="F603" s="525">
        <v>70</v>
      </c>
      <c r="G603" s="525">
        <v>595.57000000000005</v>
      </c>
      <c r="H603" s="525">
        <v>293.83</v>
      </c>
      <c r="I603" s="525">
        <v>47.86</v>
      </c>
      <c r="J603" s="526"/>
      <c r="K603" s="526"/>
      <c r="L603" s="525">
        <v>4.8</v>
      </c>
      <c r="M603" s="525">
        <v>36.270000000000003</v>
      </c>
      <c r="N603" s="525">
        <v>0</v>
      </c>
      <c r="O603" s="525">
        <v>27.29</v>
      </c>
      <c r="P603" s="526"/>
      <c r="Q603" s="526"/>
      <c r="R603" s="525">
        <v>1075.6199999999999</v>
      </c>
      <c r="S603" s="527">
        <f t="shared" si="84"/>
        <v>937.2600000000001</v>
      </c>
      <c r="T603" s="528">
        <f t="shared" si="85"/>
        <v>0</v>
      </c>
      <c r="U603" s="527">
        <f t="shared" si="77"/>
        <v>27.29</v>
      </c>
      <c r="W603" s="326">
        <f t="shared" si="78"/>
        <v>1075.6200000000001</v>
      </c>
      <c r="X603" s="261">
        <f t="shared" si="81"/>
        <v>0</v>
      </c>
      <c r="Y603" s="546"/>
      <c r="Z603" s="1016">
        <f t="shared" si="80"/>
        <v>1007.2600000000001</v>
      </c>
    </row>
    <row r="604" spans="1:26" ht="12" hidden="1" thickBot="1">
      <c r="A604" s="522" t="s">
        <v>1362</v>
      </c>
      <c r="B604" s="522" t="s">
        <v>750</v>
      </c>
      <c r="C604" s="522" t="s">
        <v>748</v>
      </c>
      <c r="D604" s="542" t="s">
        <v>749</v>
      </c>
      <c r="E604" s="532"/>
      <c r="F604" s="532"/>
      <c r="G604" s="532"/>
      <c r="H604" s="532"/>
      <c r="I604" s="532"/>
      <c r="J604" s="532"/>
      <c r="K604" s="532"/>
      <c r="L604" s="532"/>
      <c r="M604" s="532"/>
      <c r="N604" s="532"/>
      <c r="O604" s="532"/>
      <c r="P604" s="532"/>
      <c r="Q604" s="532"/>
      <c r="R604" s="532"/>
      <c r="S604" s="527">
        <f t="shared" si="84"/>
        <v>0</v>
      </c>
      <c r="T604" s="528">
        <f t="shared" si="85"/>
        <v>0</v>
      </c>
      <c r="U604" s="527">
        <f t="shared" si="77"/>
        <v>0</v>
      </c>
      <c r="W604" s="326">
        <f t="shared" si="78"/>
        <v>0</v>
      </c>
      <c r="X604" s="261">
        <f t="shared" si="81"/>
        <v>0</v>
      </c>
      <c r="Y604" s="546"/>
      <c r="Z604" s="1016">
        <f t="shared" si="80"/>
        <v>0</v>
      </c>
    </row>
    <row r="605" spans="1:26" ht="12" hidden="1" thickBot="1">
      <c r="A605" s="522" t="s">
        <v>1362</v>
      </c>
      <c r="B605" s="522" t="s">
        <v>187</v>
      </c>
      <c r="C605" s="522" t="s">
        <v>457</v>
      </c>
      <c r="D605" s="542" t="s">
        <v>78</v>
      </c>
      <c r="E605" s="526"/>
      <c r="F605" s="526"/>
      <c r="G605" s="526"/>
      <c r="H605" s="526"/>
      <c r="I605" s="526"/>
      <c r="J605" s="526"/>
      <c r="K605" s="526"/>
      <c r="L605" s="526"/>
      <c r="M605" s="526"/>
      <c r="N605" s="526"/>
      <c r="O605" s="526"/>
      <c r="P605" s="525">
        <v>-1007646.75</v>
      </c>
      <c r="Q605" s="526"/>
      <c r="R605" s="525">
        <v>-1007646.75</v>
      </c>
      <c r="S605" s="527">
        <f t="shared" si="84"/>
        <v>0</v>
      </c>
      <c r="T605" s="528">
        <f t="shared" si="85"/>
        <v>0</v>
      </c>
      <c r="U605" s="527">
        <f t="shared" si="77"/>
        <v>0</v>
      </c>
      <c r="W605" s="326">
        <f t="shared" si="78"/>
        <v>-1007646.75</v>
      </c>
      <c r="X605" s="261">
        <f t="shared" si="81"/>
        <v>0</v>
      </c>
      <c r="Y605" s="546"/>
      <c r="Z605" s="1016">
        <f t="shared" si="80"/>
        <v>0</v>
      </c>
    </row>
    <row r="606" spans="1:26" ht="12" hidden="1" thickBot="1">
      <c r="A606" s="522" t="s">
        <v>1362</v>
      </c>
      <c r="B606" s="522" t="s">
        <v>188</v>
      </c>
      <c r="C606" s="522" t="s">
        <v>458</v>
      </c>
      <c r="D606" s="542" t="s">
        <v>78</v>
      </c>
      <c r="E606" s="532"/>
      <c r="F606" s="532"/>
      <c r="G606" s="532"/>
      <c r="H606" s="532"/>
      <c r="I606" s="532"/>
      <c r="J606" s="532"/>
      <c r="K606" s="532"/>
      <c r="L606" s="532"/>
      <c r="M606" s="532"/>
      <c r="N606" s="532"/>
      <c r="O606" s="532"/>
      <c r="P606" s="531">
        <v>-29673.38</v>
      </c>
      <c r="Q606" s="532"/>
      <c r="R606" s="531">
        <v>-29673.38</v>
      </c>
      <c r="S606" s="527">
        <f t="shared" si="84"/>
        <v>0</v>
      </c>
      <c r="T606" s="528">
        <f t="shared" si="85"/>
        <v>0</v>
      </c>
      <c r="U606" s="527">
        <f t="shared" si="77"/>
        <v>0</v>
      </c>
      <c r="W606" s="326">
        <f t="shared" si="78"/>
        <v>-29673.38</v>
      </c>
      <c r="X606" s="261">
        <f t="shared" si="81"/>
        <v>0</v>
      </c>
      <c r="Y606" s="546"/>
      <c r="Z606" s="1016">
        <f t="shared" si="80"/>
        <v>0</v>
      </c>
    </row>
    <row r="607" spans="1:26" ht="12" hidden="1" thickBot="1">
      <c r="A607" s="522" t="s">
        <v>1362</v>
      </c>
      <c r="B607" s="522" t="s">
        <v>1358</v>
      </c>
      <c r="C607" s="522" t="s">
        <v>1359</v>
      </c>
      <c r="D607" s="542" t="s">
        <v>78</v>
      </c>
      <c r="E607" s="526"/>
      <c r="F607" s="526"/>
      <c r="G607" s="526"/>
      <c r="H607" s="526"/>
      <c r="I607" s="526"/>
      <c r="J607" s="526"/>
      <c r="K607" s="526"/>
      <c r="L607" s="526"/>
      <c r="M607" s="526"/>
      <c r="N607" s="526"/>
      <c r="O607" s="526"/>
      <c r="P607" s="525">
        <v>-25585.08</v>
      </c>
      <c r="Q607" s="526"/>
      <c r="R607" s="525">
        <v>-25585.08</v>
      </c>
      <c r="S607" s="527">
        <f t="shared" si="84"/>
        <v>0</v>
      </c>
      <c r="T607" s="528">
        <f t="shared" si="85"/>
        <v>0</v>
      </c>
      <c r="U607" s="527">
        <f t="shared" si="77"/>
        <v>0</v>
      </c>
      <c r="W607" s="326">
        <f t="shared" si="78"/>
        <v>-25585.08</v>
      </c>
      <c r="X607" s="261"/>
      <c r="Y607" s="546"/>
      <c r="Z607" s="1016">
        <f t="shared" si="80"/>
        <v>0</v>
      </c>
    </row>
    <row r="608" spans="1:26" ht="12" hidden="1" thickBot="1">
      <c r="A608" s="522" t="s">
        <v>1362</v>
      </c>
      <c r="B608" s="522" t="s">
        <v>1045</v>
      </c>
      <c r="C608" s="522" t="s">
        <v>1046</v>
      </c>
      <c r="D608" s="542"/>
      <c r="E608" s="532"/>
      <c r="F608" s="532"/>
      <c r="G608" s="532"/>
      <c r="H608" s="532"/>
      <c r="I608" s="532"/>
      <c r="J608" s="532"/>
      <c r="K608" s="532"/>
      <c r="L608" s="532"/>
      <c r="M608" s="532"/>
      <c r="N608" s="532"/>
      <c r="O608" s="532"/>
      <c r="P608" s="532">
        <v>-8800</v>
      </c>
      <c r="Q608" s="532"/>
      <c r="R608" s="532">
        <v>-8800</v>
      </c>
      <c r="S608" s="527">
        <f t="shared" si="84"/>
        <v>0</v>
      </c>
      <c r="T608" s="528">
        <f t="shared" si="85"/>
        <v>0</v>
      </c>
      <c r="U608" s="527">
        <f t="shared" si="77"/>
        <v>0</v>
      </c>
      <c r="W608" s="326">
        <f t="shared" si="78"/>
        <v>-8800</v>
      </c>
      <c r="X608" s="261">
        <f t="shared" si="81"/>
        <v>0</v>
      </c>
      <c r="Y608" s="546"/>
      <c r="Z608" s="1016">
        <f t="shared" si="80"/>
        <v>0</v>
      </c>
    </row>
    <row r="609" spans="1:26" ht="12" hidden="1" thickBot="1">
      <c r="A609" s="522" t="s">
        <v>1362</v>
      </c>
      <c r="B609" s="522" t="s">
        <v>945</v>
      </c>
      <c r="C609" s="522" t="s">
        <v>946</v>
      </c>
      <c r="D609" s="542"/>
      <c r="E609" s="526"/>
      <c r="F609" s="526"/>
      <c r="G609" s="526"/>
      <c r="H609" s="526"/>
      <c r="I609" s="526"/>
      <c r="J609" s="526"/>
      <c r="K609" s="526"/>
      <c r="L609" s="526"/>
      <c r="M609" s="526"/>
      <c r="N609" s="526"/>
      <c r="O609" s="526"/>
      <c r="P609" s="526"/>
      <c r="Q609" s="526"/>
      <c r="R609" s="526"/>
      <c r="S609" s="527">
        <f t="shared" si="84"/>
        <v>0</v>
      </c>
      <c r="T609" s="528">
        <f t="shared" si="85"/>
        <v>0</v>
      </c>
      <c r="U609" s="527">
        <f t="shared" si="77"/>
        <v>0</v>
      </c>
      <c r="W609" s="326">
        <f t="shared" si="78"/>
        <v>0</v>
      </c>
      <c r="X609" s="261">
        <f t="shared" si="81"/>
        <v>0</v>
      </c>
      <c r="Y609" s="546"/>
      <c r="Z609" s="1016">
        <f t="shared" si="80"/>
        <v>0</v>
      </c>
    </row>
    <row r="610" spans="1:26" ht="12" hidden="1" thickBot="1">
      <c r="A610" s="522" t="s">
        <v>1362</v>
      </c>
      <c r="B610" s="522" t="s">
        <v>947</v>
      </c>
      <c r="C610" s="522" t="s">
        <v>948</v>
      </c>
      <c r="D610" s="542" t="s">
        <v>28</v>
      </c>
      <c r="E610" s="530"/>
      <c r="F610" s="531"/>
      <c r="G610" s="531"/>
      <c r="H610" s="531"/>
      <c r="I610" s="532"/>
      <c r="J610" s="531"/>
      <c r="K610" s="531"/>
      <c r="L610" s="532"/>
      <c r="M610" s="531"/>
      <c r="N610" s="531"/>
      <c r="O610" s="531"/>
      <c r="P610" s="532"/>
      <c r="Q610" s="532"/>
      <c r="R610" s="531"/>
      <c r="S610" s="527">
        <f t="shared" si="84"/>
        <v>0</v>
      </c>
      <c r="T610" s="528">
        <f t="shared" si="85"/>
        <v>0</v>
      </c>
      <c r="U610" s="527">
        <f t="shared" si="77"/>
        <v>0</v>
      </c>
      <c r="W610" s="326">
        <f t="shared" si="78"/>
        <v>0</v>
      </c>
      <c r="X610" s="261">
        <f t="shared" si="81"/>
        <v>0</v>
      </c>
      <c r="Y610" s="546"/>
      <c r="Z610" s="1016">
        <f t="shared" si="80"/>
        <v>0</v>
      </c>
    </row>
    <row r="611" spans="1:26" ht="12" hidden="1" thickBot="1">
      <c r="A611" s="522" t="s">
        <v>1362</v>
      </c>
      <c r="B611" s="522" t="s">
        <v>189</v>
      </c>
      <c r="C611" s="522" t="s">
        <v>208</v>
      </c>
      <c r="D611" s="533" t="s">
        <v>675</v>
      </c>
      <c r="E611" s="524">
        <v>47520000</v>
      </c>
      <c r="F611" s="526">
        <v>750</v>
      </c>
      <c r="G611" s="525">
        <v>175348.8</v>
      </c>
      <c r="H611" s="526">
        <v>1374278.4</v>
      </c>
      <c r="I611" s="526"/>
      <c r="J611" s="526">
        <v>57074.32</v>
      </c>
      <c r="K611" s="525">
        <v>764519.55</v>
      </c>
      <c r="L611" s="526"/>
      <c r="M611" s="525">
        <v>169646.4</v>
      </c>
      <c r="N611" s="526">
        <v>0</v>
      </c>
      <c r="O611" s="526">
        <v>37912.32</v>
      </c>
      <c r="P611" s="526"/>
      <c r="Q611" s="526"/>
      <c r="R611" s="525">
        <v>2579529.79</v>
      </c>
      <c r="S611" s="527">
        <f t="shared" si="84"/>
        <v>1549627.2</v>
      </c>
      <c r="T611" s="528">
        <f t="shared" si="85"/>
        <v>821593.87</v>
      </c>
      <c r="U611" s="527">
        <f t="shared" si="77"/>
        <v>37912.32</v>
      </c>
      <c r="W611" s="326">
        <f t="shared" si="78"/>
        <v>2579529.79</v>
      </c>
      <c r="X611" s="261">
        <f t="shared" si="81"/>
        <v>0</v>
      </c>
      <c r="Y611" s="546"/>
      <c r="Z611" s="1016">
        <f t="shared" si="80"/>
        <v>2371971.0700000003</v>
      </c>
    </row>
    <row r="612" spans="1:26" ht="12" hidden="1" thickBot="1">
      <c r="A612" s="522" t="s">
        <v>1362</v>
      </c>
      <c r="B612" s="522" t="s">
        <v>209</v>
      </c>
      <c r="C612" s="522" t="s">
        <v>210</v>
      </c>
      <c r="D612" s="533" t="s">
        <v>459</v>
      </c>
      <c r="E612" s="530">
        <v>40618400</v>
      </c>
      <c r="F612" s="532"/>
      <c r="G612" s="531">
        <v>1223498.68</v>
      </c>
      <c r="H612" s="532"/>
      <c r="I612" s="532"/>
      <c r="J612" s="532"/>
      <c r="K612" s="531">
        <v>977495.85</v>
      </c>
      <c r="L612" s="532"/>
      <c r="M612" s="531">
        <v>321291.53999999998</v>
      </c>
      <c r="N612" s="532"/>
      <c r="O612" s="532"/>
      <c r="P612" s="532"/>
      <c r="Q612" s="532"/>
      <c r="R612" s="531">
        <v>2624809.9900000002</v>
      </c>
      <c r="S612" s="527">
        <f t="shared" si="84"/>
        <v>1223498.68</v>
      </c>
      <c r="T612" s="528">
        <f t="shared" si="85"/>
        <v>977495.85</v>
      </c>
      <c r="U612" s="527">
        <f t="shared" si="77"/>
        <v>0</v>
      </c>
      <c r="W612" s="326">
        <f t="shared" si="78"/>
        <v>2522286.0699999998</v>
      </c>
      <c r="X612" s="261">
        <f t="shared" si="81"/>
        <v>-102523.92000000039</v>
      </c>
      <c r="Y612" s="546"/>
      <c r="Z612" s="1016">
        <f t="shared" si="80"/>
        <v>2200994.5299999998</v>
      </c>
    </row>
    <row r="613" spans="1:26" ht="12" hidden="1" thickBot="1">
      <c r="A613" s="522" t="s">
        <v>1362</v>
      </c>
      <c r="B613" s="522" t="s">
        <v>211</v>
      </c>
      <c r="C613" s="522" t="s">
        <v>212</v>
      </c>
      <c r="D613" s="542" t="s">
        <v>459</v>
      </c>
      <c r="E613" s="524">
        <v>84130837</v>
      </c>
      <c r="F613" s="526"/>
      <c r="G613" s="525">
        <v>2529894.48</v>
      </c>
      <c r="H613" s="526"/>
      <c r="I613" s="526"/>
      <c r="J613" s="526"/>
      <c r="K613" s="525">
        <v>2244820.81</v>
      </c>
      <c r="L613" s="526"/>
      <c r="M613" s="525">
        <v>659585.76</v>
      </c>
      <c r="N613" s="526"/>
      <c r="O613" s="526"/>
      <c r="P613" s="526"/>
      <c r="Q613" s="526"/>
      <c r="R613" s="525">
        <v>5681109.8099999996</v>
      </c>
      <c r="S613" s="527">
        <f t="shared" si="84"/>
        <v>2529894.48</v>
      </c>
      <c r="T613" s="528">
        <f t="shared" si="85"/>
        <v>2244820.81</v>
      </c>
      <c r="U613" s="527">
        <f t="shared" si="77"/>
        <v>0</v>
      </c>
      <c r="W613" s="326">
        <f t="shared" si="78"/>
        <v>5434301.0499999998</v>
      </c>
      <c r="X613" s="261"/>
      <c r="Y613" s="546"/>
      <c r="Z613" s="1016">
        <f t="shared" si="80"/>
        <v>4774715.29</v>
      </c>
    </row>
    <row r="614" spans="1:26" ht="12" hidden="1" thickBot="1">
      <c r="A614" s="522" t="s">
        <v>1362</v>
      </c>
      <c r="B614" s="522" t="s">
        <v>213</v>
      </c>
      <c r="C614" s="522" t="s">
        <v>214</v>
      </c>
      <c r="D614" s="523"/>
      <c r="E614" s="532">
        <v>3624683</v>
      </c>
      <c r="F614" s="532"/>
      <c r="G614" s="532">
        <v>108997.56</v>
      </c>
      <c r="H614" s="532"/>
      <c r="I614" s="532"/>
      <c r="J614" s="532"/>
      <c r="K614" s="532">
        <v>35447.660000000003</v>
      </c>
      <c r="L614" s="532"/>
      <c r="M614" s="532">
        <v>28417.51</v>
      </c>
      <c r="N614" s="532"/>
      <c r="O614" s="532"/>
      <c r="P614" s="532"/>
      <c r="Q614" s="532"/>
      <c r="R614" s="532">
        <v>186374.3</v>
      </c>
      <c r="S614" s="527">
        <f t="shared" si="84"/>
        <v>108997.56</v>
      </c>
      <c r="T614" s="528">
        <f t="shared" si="85"/>
        <v>35447.660000000003</v>
      </c>
      <c r="U614" s="527">
        <f t="shared" si="77"/>
        <v>0</v>
      </c>
      <c r="W614" s="326">
        <f t="shared" si="78"/>
        <v>172862.73</v>
      </c>
      <c r="X614" s="261"/>
      <c r="Y614" s="546"/>
      <c r="Z614" s="1016">
        <f t="shared" si="80"/>
        <v>144445.22</v>
      </c>
    </row>
    <row r="615" spans="1:26" ht="12" hidden="1" thickBot="1">
      <c r="A615" s="522" t="s">
        <v>1362</v>
      </c>
      <c r="B615" s="522" t="s">
        <v>949</v>
      </c>
      <c r="C615" s="522" t="s">
        <v>943</v>
      </c>
      <c r="D615" s="523" t="s">
        <v>15</v>
      </c>
      <c r="E615" s="524"/>
      <c r="F615" s="525"/>
      <c r="G615" s="525"/>
      <c r="H615" s="525"/>
      <c r="I615" s="525"/>
      <c r="J615" s="526"/>
      <c r="K615" s="526"/>
      <c r="L615" s="525"/>
      <c r="M615" s="525"/>
      <c r="N615" s="525"/>
      <c r="O615" s="526"/>
      <c r="P615" s="526"/>
      <c r="Q615" s="525"/>
      <c r="R615" s="525"/>
      <c r="S615" s="527">
        <f t="shared" ref="S615:S646" si="86">G615+H615+I615</f>
        <v>0</v>
      </c>
      <c r="T615" s="528">
        <f t="shared" ref="T615:T646" si="87">J615+K615</f>
        <v>0</v>
      </c>
      <c r="U615" s="527">
        <f t="shared" si="77"/>
        <v>0</v>
      </c>
      <c r="W615" s="326">
        <f t="shared" si="78"/>
        <v>0</v>
      </c>
      <c r="X615" s="261">
        <f t="shared" si="81"/>
        <v>0</v>
      </c>
      <c r="Y615" s="546"/>
      <c r="Z615" s="1016">
        <f t="shared" si="80"/>
        <v>0</v>
      </c>
    </row>
    <row r="616" spans="1:26" ht="12" hidden="1" thickBot="1">
      <c r="A616" s="522" t="s">
        <v>1362</v>
      </c>
      <c r="B616" s="522" t="s">
        <v>190</v>
      </c>
      <c r="C616" s="522" t="s">
        <v>111</v>
      </c>
      <c r="D616" s="533" t="s">
        <v>15</v>
      </c>
      <c r="E616" s="530">
        <v>175043396</v>
      </c>
      <c r="F616" s="531">
        <v>2451000.14</v>
      </c>
      <c r="G616" s="531">
        <v>7941323.5</v>
      </c>
      <c r="H616" s="531">
        <v>5062155.6500000004</v>
      </c>
      <c r="I616" s="531">
        <v>551495.36</v>
      </c>
      <c r="J616" s="532"/>
      <c r="K616" s="532"/>
      <c r="L616" s="531">
        <v>689596.62</v>
      </c>
      <c r="M616" s="531">
        <v>624516.57999999996</v>
      </c>
      <c r="N616" s="531">
        <v>379200.91</v>
      </c>
      <c r="O616" s="532"/>
      <c r="P616" s="532"/>
      <c r="Q616" s="532">
        <v>0</v>
      </c>
      <c r="R616" s="531">
        <v>17699288.760000002</v>
      </c>
      <c r="S616" s="527">
        <f t="shared" si="86"/>
        <v>13554974.51</v>
      </c>
      <c r="T616" s="528">
        <f t="shared" si="87"/>
        <v>0</v>
      </c>
      <c r="U616" s="527">
        <f t="shared" si="77"/>
        <v>379200.91</v>
      </c>
      <c r="W616" s="326">
        <f t="shared" si="78"/>
        <v>17699288.759999998</v>
      </c>
      <c r="X616" s="261">
        <f t="shared" si="81"/>
        <v>0</v>
      </c>
      <c r="Y616" s="546"/>
      <c r="Z616" s="1016">
        <f t="shared" si="80"/>
        <v>16005974.65</v>
      </c>
    </row>
    <row r="617" spans="1:26" ht="12" hidden="1" thickBot="1">
      <c r="A617" s="522" t="s">
        <v>1362</v>
      </c>
      <c r="B617" s="522" t="s">
        <v>191</v>
      </c>
      <c r="C617" s="522" t="s">
        <v>215</v>
      </c>
      <c r="D617" s="533" t="s">
        <v>15</v>
      </c>
      <c r="E617" s="524">
        <v>176531151</v>
      </c>
      <c r="F617" s="525">
        <v>2079789.08</v>
      </c>
      <c r="G617" s="525">
        <v>8009230.9800000004</v>
      </c>
      <c r="H617" s="525">
        <v>5105300.66</v>
      </c>
      <c r="I617" s="525">
        <v>556096.41</v>
      </c>
      <c r="J617" s="526"/>
      <c r="K617" s="526"/>
      <c r="L617" s="525">
        <v>695562.89</v>
      </c>
      <c r="M617" s="525">
        <v>629855.61</v>
      </c>
      <c r="N617" s="525">
        <v>373618.77</v>
      </c>
      <c r="O617" s="526"/>
      <c r="P617" s="526"/>
      <c r="Q617" s="526">
        <v>0</v>
      </c>
      <c r="R617" s="525">
        <v>17449454.399999999</v>
      </c>
      <c r="S617" s="527">
        <f t="shared" si="86"/>
        <v>13670628.050000001</v>
      </c>
      <c r="T617" s="528">
        <f t="shared" si="87"/>
        <v>0</v>
      </c>
      <c r="U617" s="527">
        <f t="shared" si="77"/>
        <v>373618.77</v>
      </c>
      <c r="W617" s="326">
        <f t="shared" si="78"/>
        <v>17449454.400000002</v>
      </c>
      <c r="X617" s="261">
        <f t="shared" si="81"/>
        <v>0</v>
      </c>
      <c r="Y617" s="546"/>
      <c r="Z617" s="1016">
        <f t="shared" si="80"/>
        <v>15750417.130000001</v>
      </c>
    </row>
    <row r="618" spans="1:26" ht="12" hidden="1" thickBot="1">
      <c r="A618" s="522" t="s">
        <v>1362</v>
      </c>
      <c r="B618" s="522" t="s">
        <v>192</v>
      </c>
      <c r="C618" s="522" t="s">
        <v>216</v>
      </c>
      <c r="D618" s="533" t="s">
        <v>15</v>
      </c>
      <c r="E618" s="530">
        <v>403406</v>
      </c>
      <c r="F618" s="531">
        <v>2612.25</v>
      </c>
      <c r="G618" s="531">
        <v>18302.580000000002</v>
      </c>
      <c r="H618" s="531">
        <v>11666.5</v>
      </c>
      <c r="I618" s="531">
        <v>1270.72</v>
      </c>
      <c r="J618" s="532"/>
      <c r="K618" s="532"/>
      <c r="L618" s="531">
        <v>1589.33</v>
      </c>
      <c r="M618" s="531">
        <v>1426.09</v>
      </c>
      <c r="N618" s="531">
        <v>799.49</v>
      </c>
      <c r="O618" s="532"/>
      <c r="P618" s="532"/>
      <c r="Q618" s="532"/>
      <c r="R618" s="531">
        <v>37666.959999999999</v>
      </c>
      <c r="S618" s="527">
        <f t="shared" si="86"/>
        <v>31239.800000000003</v>
      </c>
      <c r="T618" s="528">
        <f t="shared" si="87"/>
        <v>0</v>
      </c>
      <c r="U618" s="527">
        <f t="shared" si="77"/>
        <v>799.49</v>
      </c>
      <c r="W618" s="326">
        <f t="shared" si="78"/>
        <v>37666.959999999999</v>
      </c>
      <c r="X618" s="261">
        <f t="shared" si="81"/>
        <v>0</v>
      </c>
      <c r="Y618" s="546"/>
      <c r="Z618" s="1016">
        <f t="shared" si="80"/>
        <v>33852.050000000003</v>
      </c>
    </row>
    <row r="619" spans="1:26" ht="12" hidden="1" thickBot="1">
      <c r="A619" s="522" t="s">
        <v>1362</v>
      </c>
      <c r="B619" s="522" t="s">
        <v>477</v>
      </c>
      <c r="C619" s="522" t="s">
        <v>1263</v>
      </c>
      <c r="D619" s="542" t="s">
        <v>807</v>
      </c>
      <c r="E619" s="524">
        <v>3953</v>
      </c>
      <c r="F619" s="525">
        <v>53.75</v>
      </c>
      <c r="G619" s="525">
        <v>153</v>
      </c>
      <c r="H619" s="525">
        <v>114.31</v>
      </c>
      <c r="I619" s="525">
        <v>12.46</v>
      </c>
      <c r="J619" s="526"/>
      <c r="K619" s="526"/>
      <c r="L619" s="525">
        <v>15.58</v>
      </c>
      <c r="M619" s="525">
        <v>14.11</v>
      </c>
      <c r="N619" s="525">
        <v>7.94</v>
      </c>
      <c r="O619" s="526"/>
      <c r="P619" s="526"/>
      <c r="Q619" s="526"/>
      <c r="R619" s="525">
        <v>371.15</v>
      </c>
      <c r="S619" s="527">
        <f t="shared" si="86"/>
        <v>279.77</v>
      </c>
      <c r="T619" s="528">
        <f t="shared" si="87"/>
        <v>0</v>
      </c>
      <c r="U619" s="527">
        <f t="shared" si="77"/>
        <v>7.94</v>
      </c>
      <c r="W619" s="326">
        <f t="shared" si="78"/>
        <v>371.15</v>
      </c>
      <c r="X619" s="261">
        <f t="shared" si="81"/>
        <v>0</v>
      </c>
      <c r="Y619" s="546"/>
      <c r="Z619" s="1016">
        <f t="shared" si="80"/>
        <v>333.52</v>
      </c>
    </row>
    <row r="620" spans="1:26" ht="12" hidden="1" thickBot="1">
      <c r="A620" s="522" t="s">
        <v>1362</v>
      </c>
      <c r="B620" s="522" t="s">
        <v>193</v>
      </c>
      <c r="C620" s="522" t="s">
        <v>217</v>
      </c>
      <c r="D620" s="533" t="s">
        <v>15</v>
      </c>
      <c r="E620" s="530">
        <v>61280</v>
      </c>
      <c r="F620" s="531">
        <v>548.25</v>
      </c>
      <c r="G620" s="531">
        <v>2780.23</v>
      </c>
      <c r="H620" s="531">
        <v>1772.22</v>
      </c>
      <c r="I620" s="531">
        <v>193.05</v>
      </c>
      <c r="J620" s="532"/>
      <c r="K620" s="532"/>
      <c r="L620" s="531">
        <v>241.44</v>
      </c>
      <c r="M620" s="531">
        <v>211.25</v>
      </c>
      <c r="N620" s="531">
        <v>121.43</v>
      </c>
      <c r="O620" s="532"/>
      <c r="P620" s="532"/>
      <c r="Q620" s="532"/>
      <c r="R620" s="531">
        <v>5867.87</v>
      </c>
      <c r="S620" s="527">
        <f t="shared" si="86"/>
        <v>4745.5</v>
      </c>
      <c r="T620" s="528">
        <f t="shared" si="87"/>
        <v>0</v>
      </c>
      <c r="U620" s="527">
        <f t="shared" si="77"/>
        <v>121.43</v>
      </c>
      <c r="W620" s="326">
        <f t="shared" si="78"/>
        <v>5867.87</v>
      </c>
      <c r="X620" s="261">
        <f t="shared" si="81"/>
        <v>0</v>
      </c>
      <c r="Y620" s="546"/>
      <c r="Z620" s="1016">
        <f t="shared" si="80"/>
        <v>5293.75</v>
      </c>
    </row>
    <row r="621" spans="1:26" ht="12" hidden="1" thickBot="1">
      <c r="A621" s="522" t="s">
        <v>1362</v>
      </c>
      <c r="B621" s="522" t="s">
        <v>194</v>
      </c>
      <c r="C621" s="522" t="s">
        <v>218</v>
      </c>
      <c r="D621" s="533" t="s">
        <v>15</v>
      </c>
      <c r="E621" s="526">
        <v>33790</v>
      </c>
      <c r="F621" s="526">
        <v>561.51</v>
      </c>
      <c r="G621" s="526">
        <v>1533.02</v>
      </c>
      <c r="H621" s="526">
        <v>977.21</v>
      </c>
      <c r="I621" s="526">
        <v>106.43</v>
      </c>
      <c r="J621" s="526"/>
      <c r="K621" s="526"/>
      <c r="L621" s="526">
        <v>133.12</v>
      </c>
      <c r="M621" s="526">
        <v>120.61</v>
      </c>
      <c r="N621" s="526">
        <v>75.23</v>
      </c>
      <c r="O621" s="526"/>
      <c r="P621" s="526"/>
      <c r="Q621" s="526"/>
      <c r="R621" s="526">
        <v>3507.13</v>
      </c>
      <c r="S621" s="527">
        <f t="shared" si="86"/>
        <v>2616.66</v>
      </c>
      <c r="T621" s="528">
        <f t="shared" si="87"/>
        <v>0</v>
      </c>
      <c r="U621" s="527">
        <f t="shared" si="77"/>
        <v>75.23</v>
      </c>
      <c r="W621" s="326">
        <f t="shared" si="78"/>
        <v>3507.1299999999997</v>
      </c>
      <c r="X621" s="261">
        <f t="shared" si="81"/>
        <v>0</v>
      </c>
      <c r="Y621" s="546"/>
      <c r="Z621" s="1016">
        <f t="shared" si="80"/>
        <v>3178.1699999999996</v>
      </c>
    </row>
    <row r="622" spans="1:26" ht="12" hidden="1" thickBot="1">
      <c r="A622" s="522" t="s">
        <v>1362</v>
      </c>
      <c r="B622" s="522" t="s">
        <v>950</v>
      </c>
      <c r="C622" s="522" t="s">
        <v>951</v>
      </c>
      <c r="D622" s="523" t="s">
        <v>1035</v>
      </c>
      <c r="E622" s="530"/>
      <c r="F622" s="532"/>
      <c r="G622" s="531"/>
      <c r="H622" s="532"/>
      <c r="I622" s="532"/>
      <c r="J622" s="532"/>
      <c r="K622" s="532"/>
      <c r="L622" s="532"/>
      <c r="M622" s="531"/>
      <c r="N622" s="531"/>
      <c r="O622" s="532"/>
      <c r="P622" s="532"/>
      <c r="Q622" s="531"/>
      <c r="R622" s="531"/>
      <c r="S622" s="527">
        <f t="shared" si="86"/>
        <v>0</v>
      </c>
      <c r="T622" s="528">
        <f t="shared" si="87"/>
        <v>0</v>
      </c>
      <c r="U622" s="527">
        <f t="shared" si="77"/>
        <v>0</v>
      </c>
      <c r="W622" s="326">
        <f t="shared" si="78"/>
        <v>0</v>
      </c>
      <c r="X622" s="261">
        <f t="shared" si="81"/>
        <v>0</v>
      </c>
      <c r="Y622" s="546"/>
      <c r="Z622" s="1016">
        <f t="shared" si="80"/>
        <v>0</v>
      </c>
    </row>
    <row r="623" spans="1:26" ht="12" hidden="1" thickBot="1">
      <c r="A623" s="522" t="s">
        <v>1362</v>
      </c>
      <c r="B623" s="522" t="s">
        <v>339</v>
      </c>
      <c r="C623" s="522" t="s">
        <v>952</v>
      </c>
      <c r="D623" s="523" t="s">
        <v>1035</v>
      </c>
      <c r="E623" s="524">
        <v>9961</v>
      </c>
      <c r="F623" s="526"/>
      <c r="G623" s="525">
        <v>9848.74</v>
      </c>
      <c r="H623" s="526"/>
      <c r="I623" s="526"/>
      <c r="J623" s="526"/>
      <c r="K623" s="526"/>
      <c r="L623" s="526"/>
      <c r="M623" s="525">
        <v>21.42</v>
      </c>
      <c r="N623" s="525">
        <v>122.57</v>
      </c>
      <c r="O623" s="526"/>
      <c r="P623" s="526"/>
      <c r="Q623" s="525">
        <v>0</v>
      </c>
      <c r="R623" s="525">
        <v>9992.73</v>
      </c>
      <c r="S623" s="527">
        <f t="shared" si="86"/>
        <v>9848.74</v>
      </c>
      <c r="T623" s="528">
        <f t="shared" si="87"/>
        <v>0</v>
      </c>
      <c r="U623" s="527">
        <f t="shared" si="77"/>
        <v>122.57</v>
      </c>
      <c r="W623" s="326">
        <f t="shared" si="78"/>
        <v>9992.73</v>
      </c>
      <c r="X623" s="261">
        <f t="shared" si="81"/>
        <v>0</v>
      </c>
      <c r="Y623" s="546"/>
      <c r="Z623" s="1016">
        <f t="shared" si="80"/>
        <v>9848.74</v>
      </c>
    </row>
    <row r="624" spans="1:26" ht="12" hidden="1" thickBot="1">
      <c r="A624" s="522" t="s">
        <v>1362</v>
      </c>
      <c r="B624" s="522" t="s">
        <v>344</v>
      </c>
      <c r="C624" s="522" t="s">
        <v>953</v>
      </c>
      <c r="D624" s="523" t="s">
        <v>1035</v>
      </c>
      <c r="E624" s="530">
        <v>1427</v>
      </c>
      <c r="F624" s="532"/>
      <c r="G624" s="531">
        <v>2079</v>
      </c>
      <c r="H624" s="532"/>
      <c r="I624" s="532"/>
      <c r="J624" s="532"/>
      <c r="K624" s="532"/>
      <c r="L624" s="532"/>
      <c r="M624" s="531">
        <v>3.04</v>
      </c>
      <c r="N624" s="531">
        <v>25.38</v>
      </c>
      <c r="O624" s="532"/>
      <c r="P624" s="532"/>
      <c r="Q624" s="531">
        <v>0</v>
      </c>
      <c r="R624" s="531">
        <v>2107.42</v>
      </c>
      <c r="S624" s="527">
        <f t="shared" si="86"/>
        <v>2079</v>
      </c>
      <c r="T624" s="528">
        <f t="shared" si="87"/>
        <v>0</v>
      </c>
      <c r="U624" s="527">
        <f t="shared" si="77"/>
        <v>25.38</v>
      </c>
      <c r="W624" s="326">
        <f t="shared" si="78"/>
        <v>2107.42</v>
      </c>
      <c r="X624" s="261">
        <f t="shared" si="81"/>
        <v>0</v>
      </c>
      <c r="Y624" s="546"/>
      <c r="Z624" s="1016">
        <f t="shared" si="80"/>
        <v>2079</v>
      </c>
    </row>
    <row r="625" spans="1:26" ht="12" hidden="1" thickBot="1">
      <c r="A625" s="522" t="s">
        <v>1362</v>
      </c>
      <c r="B625" s="522" t="s">
        <v>347</v>
      </c>
      <c r="C625" s="522" t="s">
        <v>954</v>
      </c>
      <c r="D625" s="523" t="s">
        <v>1035</v>
      </c>
      <c r="E625" s="524">
        <v>1982</v>
      </c>
      <c r="F625" s="526"/>
      <c r="G625" s="525">
        <v>2570.54</v>
      </c>
      <c r="H625" s="526"/>
      <c r="I625" s="526"/>
      <c r="J625" s="526"/>
      <c r="K625" s="526"/>
      <c r="L625" s="526"/>
      <c r="M625" s="525">
        <v>4.2</v>
      </c>
      <c r="N625" s="525">
        <v>31.41</v>
      </c>
      <c r="O625" s="526"/>
      <c r="P625" s="526"/>
      <c r="Q625" s="525">
        <v>0</v>
      </c>
      <c r="R625" s="525">
        <v>2606.15</v>
      </c>
      <c r="S625" s="527">
        <f t="shared" si="86"/>
        <v>2570.54</v>
      </c>
      <c r="T625" s="528">
        <f t="shared" si="87"/>
        <v>0</v>
      </c>
      <c r="U625" s="527">
        <f t="shared" si="77"/>
        <v>31.41</v>
      </c>
      <c r="W625" s="326">
        <f t="shared" si="78"/>
        <v>2606.1499999999996</v>
      </c>
      <c r="X625" s="261">
        <f t="shared" si="81"/>
        <v>0</v>
      </c>
      <c r="Y625" s="546"/>
      <c r="Z625" s="1016">
        <f t="shared" si="80"/>
        <v>2570.54</v>
      </c>
    </row>
    <row r="626" spans="1:26" ht="12" hidden="1" thickBot="1">
      <c r="A626" s="522" t="s">
        <v>1362</v>
      </c>
      <c r="B626" s="522" t="s">
        <v>348</v>
      </c>
      <c r="C626" s="522" t="s">
        <v>955</v>
      </c>
      <c r="D626" s="523" t="s">
        <v>1035</v>
      </c>
      <c r="E626" s="530">
        <v>295</v>
      </c>
      <c r="F626" s="532"/>
      <c r="G626" s="531">
        <v>308.75</v>
      </c>
      <c r="H626" s="532"/>
      <c r="I626" s="532"/>
      <c r="J626" s="532"/>
      <c r="K626" s="532"/>
      <c r="L626" s="532"/>
      <c r="M626" s="531">
        <v>0.63</v>
      </c>
      <c r="N626" s="531">
        <v>3.77</v>
      </c>
      <c r="O626" s="532"/>
      <c r="P626" s="532"/>
      <c r="Q626" s="531">
        <v>0</v>
      </c>
      <c r="R626" s="531">
        <v>313.14999999999998</v>
      </c>
      <c r="S626" s="527">
        <f t="shared" si="86"/>
        <v>308.75</v>
      </c>
      <c r="T626" s="528">
        <f t="shared" si="87"/>
        <v>0</v>
      </c>
      <c r="U626" s="527">
        <f t="shared" si="77"/>
        <v>3.77</v>
      </c>
      <c r="W626" s="326">
        <f t="shared" si="78"/>
        <v>313.14999999999998</v>
      </c>
      <c r="X626" s="261">
        <f t="shared" si="81"/>
        <v>0</v>
      </c>
      <c r="Y626" s="546"/>
      <c r="Z626" s="1016">
        <f t="shared" si="80"/>
        <v>308.75</v>
      </c>
    </row>
    <row r="627" spans="1:26" ht="12" hidden="1" thickBot="1">
      <c r="A627" s="522" t="s">
        <v>1362</v>
      </c>
      <c r="B627" s="522" t="s">
        <v>349</v>
      </c>
      <c r="C627" s="522" t="s">
        <v>956</v>
      </c>
      <c r="D627" s="523" t="s">
        <v>1035</v>
      </c>
      <c r="E627" s="524">
        <v>59</v>
      </c>
      <c r="F627" s="526"/>
      <c r="G627" s="525">
        <v>63.11</v>
      </c>
      <c r="H627" s="526"/>
      <c r="I627" s="526"/>
      <c r="J627" s="526"/>
      <c r="K627" s="526"/>
      <c r="L627" s="526"/>
      <c r="M627" s="525">
        <v>0.13</v>
      </c>
      <c r="N627" s="525">
        <v>0.77</v>
      </c>
      <c r="O627" s="526"/>
      <c r="P627" s="526"/>
      <c r="Q627" s="525">
        <v>0</v>
      </c>
      <c r="R627" s="525">
        <v>64.010000000000005</v>
      </c>
      <c r="S627" s="527">
        <f t="shared" si="86"/>
        <v>63.11</v>
      </c>
      <c r="T627" s="528">
        <f t="shared" si="87"/>
        <v>0</v>
      </c>
      <c r="U627" s="527">
        <f t="shared" si="77"/>
        <v>0.77</v>
      </c>
      <c r="W627" s="326">
        <f t="shared" si="78"/>
        <v>64.010000000000005</v>
      </c>
      <c r="X627" s="261">
        <f t="shared" si="81"/>
        <v>0</v>
      </c>
      <c r="Y627" s="546"/>
      <c r="Z627" s="1016">
        <f t="shared" si="80"/>
        <v>63.11</v>
      </c>
    </row>
    <row r="628" spans="1:26" ht="12" hidden="1" thickBot="1">
      <c r="A628" s="522" t="s">
        <v>1362</v>
      </c>
      <c r="B628" s="522" t="s">
        <v>351</v>
      </c>
      <c r="C628" s="522" t="s">
        <v>957</v>
      </c>
      <c r="D628" s="523" t="s">
        <v>1035</v>
      </c>
      <c r="E628" s="530">
        <v>292</v>
      </c>
      <c r="F628" s="532"/>
      <c r="G628" s="531">
        <v>404.7</v>
      </c>
      <c r="H628" s="532"/>
      <c r="I628" s="532"/>
      <c r="J628" s="532"/>
      <c r="K628" s="532"/>
      <c r="L628" s="532"/>
      <c r="M628" s="531">
        <v>0.62</v>
      </c>
      <c r="N628" s="531">
        <v>4.95</v>
      </c>
      <c r="O628" s="532"/>
      <c r="P628" s="532"/>
      <c r="Q628" s="531">
        <v>0</v>
      </c>
      <c r="R628" s="531">
        <v>410.27</v>
      </c>
      <c r="S628" s="527">
        <f t="shared" si="86"/>
        <v>404.7</v>
      </c>
      <c r="T628" s="528">
        <f t="shared" si="87"/>
        <v>0</v>
      </c>
      <c r="U628" s="527">
        <f t="shared" si="77"/>
        <v>4.95</v>
      </c>
      <c r="W628" s="326">
        <f t="shared" si="78"/>
        <v>410.27</v>
      </c>
      <c r="X628" s="261">
        <f t="shared" si="81"/>
        <v>0</v>
      </c>
      <c r="Y628" s="546"/>
      <c r="Z628" s="1016">
        <f t="shared" si="80"/>
        <v>404.7</v>
      </c>
    </row>
    <row r="629" spans="1:26" ht="12" hidden="1" thickBot="1">
      <c r="A629" s="522" t="s">
        <v>1362</v>
      </c>
      <c r="B629" s="522" t="s">
        <v>352</v>
      </c>
      <c r="C629" s="522" t="s">
        <v>958</v>
      </c>
      <c r="D629" s="523" t="s">
        <v>1035</v>
      </c>
      <c r="E629" s="524">
        <v>528</v>
      </c>
      <c r="F629" s="526"/>
      <c r="G629" s="525">
        <v>710.73</v>
      </c>
      <c r="H629" s="526"/>
      <c r="I629" s="526"/>
      <c r="J629" s="526"/>
      <c r="K629" s="526"/>
      <c r="L629" s="526"/>
      <c r="M629" s="525">
        <v>1.1200000000000001</v>
      </c>
      <c r="N629" s="525">
        <v>8.68</v>
      </c>
      <c r="O629" s="526"/>
      <c r="P629" s="526"/>
      <c r="Q629" s="525">
        <v>0</v>
      </c>
      <c r="R629" s="525">
        <v>720.53</v>
      </c>
      <c r="S629" s="527">
        <f t="shared" si="86"/>
        <v>710.73</v>
      </c>
      <c r="T629" s="528">
        <f t="shared" si="87"/>
        <v>0</v>
      </c>
      <c r="U629" s="527">
        <f t="shared" si="77"/>
        <v>8.68</v>
      </c>
      <c r="W629" s="326">
        <f t="shared" si="78"/>
        <v>720.53</v>
      </c>
      <c r="X629" s="261">
        <f t="shared" si="81"/>
        <v>0</v>
      </c>
      <c r="Y629" s="546"/>
      <c r="Z629" s="1016">
        <f t="shared" si="80"/>
        <v>710.73</v>
      </c>
    </row>
    <row r="630" spans="1:26" ht="12" hidden="1" thickBot="1">
      <c r="A630" s="522" t="s">
        <v>1362</v>
      </c>
      <c r="B630" s="522" t="s">
        <v>354</v>
      </c>
      <c r="C630" s="522" t="s">
        <v>959</v>
      </c>
      <c r="D630" s="523" t="s">
        <v>1035</v>
      </c>
      <c r="E630" s="530">
        <v>1420</v>
      </c>
      <c r="F630" s="532"/>
      <c r="G630" s="531">
        <v>1530.75</v>
      </c>
      <c r="H630" s="532"/>
      <c r="I630" s="532"/>
      <c r="J630" s="532"/>
      <c r="K630" s="532"/>
      <c r="L630" s="532"/>
      <c r="M630" s="531">
        <v>3.02</v>
      </c>
      <c r="N630" s="531">
        <v>18.71</v>
      </c>
      <c r="O630" s="532"/>
      <c r="P630" s="532"/>
      <c r="Q630" s="531">
        <v>0</v>
      </c>
      <c r="R630" s="531">
        <v>1552.48</v>
      </c>
      <c r="S630" s="527">
        <f t="shared" si="86"/>
        <v>1530.75</v>
      </c>
      <c r="T630" s="528">
        <f t="shared" si="87"/>
        <v>0</v>
      </c>
      <c r="U630" s="527">
        <f t="shared" si="77"/>
        <v>18.71</v>
      </c>
      <c r="W630" s="326">
        <f t="shared" si="78"/>
        <v>1552.48</v>
      </c>
      <c r="X630" s="261">
        <f t="shared" si="81"/>
        <v>0</v>
      </c>
      <c r="Y630" s="546"/>
      <c r="Z630" s="1016">
        <f t="shared" si="80"/>
        <v>1530.75</v>
      </c>
    </row>
    <row r="631" spans="1:26" ht="12" hidden="1" thickBot="1">
      <c r="A631" s="522" t="s">
        <v>1362</v>
      </c>
      <c r="B631" s="522" t="s">
        <v>355</v>
      </c>
      <c r="C631" s="522" t="s">
        <v>960</v>
      </c>
      <c r="D631" s="523" t="s">
        <v>1035</v>
      </c>
      <c r="E631" s="524">
        <v>59</v>
      </c>
      <c r="F631" s="526"/>
      <c r="G631" s="525">
        <v>56.69</v>
      </c>
      <c r="H631" s="526"/>
      <c r="I631" s="526"/>
      <c r="J631" s="526"/>
      <c r="K631" s="526"/>
      <c r="L631" s="526"/>
      <c r="M631" s="525">
        <v>0.13</v>
      </c>
      <c r="N631" s="525">
        <v>0.69</v>
      </c>
      <c r="O631" s="526"/>
      <c r="P631" s="526"/>
      <c r="Q631" s="525">
        <v>0</v>
      </c>
      <c r="R631" s="525">
        <v>57.51</v>
      </c>
      <c r="S631" s="527">
        <f t="shared" si="86"/>
        <v>56.69</v>
      </c>
      <c r="T631" s="528">
        <f t="shared" si="87"/>
        <v>0</v>
      </c>
      <c r="U631" s="527">
        <f t="shared" si="77"/>
        <v>0.69</v>
      </c>
      <c r="W631" s="326">
        <f t="shared" si="78"/>
        <v>57.51</v>
      </c>
      <c r="X631" s="261">
        <f t="shared" si="81"/>
        <v>0</v>
      </c>
      <c r="Y631" s="546"/>
      <c r="Z631" s="1016">
        <f t="shared" si="80"/>
        <v>56.69</v>
      </c>
    </row>
    <row r="632" spans="1:26" ht="12" hidden="1" thickBot="1">
      <c r="A632" s="522" t="s">
        <v>1362</v>
      </c>
      <c r="B632" s="522" t="s">
        <v>341</v>
      </c>
      <c r="C632" s="522" t="s">
        <v>961</v>
      </c>
      <c r="D632" s="523" t="s">
        <v>1035</v>
      </c>
      <c r="E632" s="530">
        <v>860</v>
      </c>
      <c r="F632" s="532"/>
      <c r="G632" s="531">
        <v>1117.8</v>
      </c>
      <c r="H632" s="532"/>
      <c r="I632" s="532"/>
      <c r="J632" s="532"/>
      <c r="K632" s="532"/>
      <c r="L632" s="532"/>
      <c r="M632" s="531">
        <v>1.97</v>
      </c>
      <c r="N632" s="531">
        <v>15.11</v>
      </c>
      <c r="O632" s="532"/>
      <c r="P632" s="532"/>
      <c r="Q632" s="531">
        <v>0</v>
      </c>
      <c r="R632" s="531">
        <v>1134.8800000000001</v>
      </c>
      <c r="S632" s="527">
        <f t="shared" si="86"/>
        <v>1117.8</v>
      </c>
      <c r="T632" s="528">
        <f t="shared" si="87"/>
        <v>0</v>
      </c>
      <c r="U632" s="527">
        <f t="shared" si="77"/>
        <v>15.11</v>
      </c>
      <c r="W632" s="326">
        <f t="shared" si="78"/>
        <v>1134.8799999999999</v>
      </c>
      <c r="X632" s="261">
        <f t="shared" si="81"/>
        <v>0</v>
      </c>
      <c r="Y632" s="546"/>
      <c r="Z632" s="1016">
        <f t="shared" si="80"/>
        <v>1117.8</v>
      </c>
    </row>
    <row r="633" spans="1:26" ht="12" hidden="1" thickBot="1">
      <c r="A633" s="522" t="s">
        <v>1362</v>
      </c>
      <c r="B633" s="522" t="s">
        <v>350</v>
      </c>
      <c r="C633" s="522" t="s">
        <v>962</v>
      </c>
      <c r="D633" s="523" t="s">
        <v>1035</v>
      </c>
      <c r="E633" s="524">
        <v>59</v>
      </c>
      <c r="F633" s="526"/>
      <c r="G633" s="525">
        <v>82.3</v>
      </c>
      <c r="H633" s="526"/>
      <c r="I633" s="526"/>
      <c r="J633" s="526"/>
      <c r="K633" s="526"/>
      <c r="L633" s="526"/>
      <c r="M633" s="525">
        <v>0.13</v>
      </c>
      <c r="N633" s="525">
        <v>1.01</v>
      </c>
      <c r="O633" s="526"/>
      <c r="P633" s="526"/>
      <c r="Q633" s="525">
        <v>0</v>
      </c>
      <c r="R633" s="525">
        <v>83.44</v>
      </c>
      <c r="S633" s="527">
        <f t="shared" si="86"/>
        <v>82.3</v>
      </c>
      <c r="T633" s="528">
        <f t="shared" si="87"/>
        <v>0</v>
      </c>
      <c r="U633" s="527">
        <f t="shared" si="77"/>
        <v>1.01</v>
      </c>
      <c r="W633" s="326">
        <f t="shared" si="78"/>
        <v>83.44</v>
      </c>
      <c r="X633" s="261">
        <f t="shared" si="81"/>
        <v>0</v>
      </c>
      <c r="Y633" s="546"/>
      <c r="Z633" s="1016">
        <f t="shared" si="80"/>
        <v>82.3</v>
      </c>
    </row>
    <row r="634" spans="1:26" ht="12" hidden="1" thickBot="1">
      <c r="A634" s="522" t="s">
        <v>1362</v>
      </c>
      <c r="B634" s="522" t="s">
        <v>342</v>
      </c>
      <c r="C634" s="522" t="s">
        <v>963</v>
      </c>
      <c r="D634" s="523" t="s">
        <v>1035</v>
      </c>
      <c r="E634" s="530">
        <v>1112</v>
      </c>
      <c r="F634" s="532"/>
      <c r="G634" s="531">
        <v>1490.4</v>
      </c>
      <c r="H634" s="532"/>
      <c r="I634" s="532"/>
      <c r="J634" s="532"/>
      <c r="K634" s="532"/>
      <c r="L634" s="532"/>
      <c r="M634" s="531">
        <v>2.36</v>
      </c>
      <c r="N634" s="531">
        <v>18.21</v>
      </c>
      <c r="O634" s="532"/>
      <c r="P634" s="532"/>
      <c r="Q634" s="531">
        <v>0</v>
      </c>
      <c r="R634" s="531">
        <v>1510.97</v>
      </c>
      <c r="S634" s="527">
        <f t="shared" si="86"/>
        <v>1490.4</v>
      </c>
      <c r="T634" s="528">
        <f t="shared" si="87"/>
        <v>0</v>
      </c>
      <c r="U634" s="527">
        <f t="shared" si="77"/>
        <v>18.21</v>
      </c>
      <c r="W634" s="326">
        <f t="shared" si="78"/>
        <v>1510.97</v>
      </c>
      <c r="X634" s="261">
        <f t="shared" si="81"/>
        <v>0</v>
      </c>
      <c r="Y634" s="546"/>
      <c r="Z634" s="1016">
        <f t="shared" si="80"/>
        <v>1490.4</v>
      </c>
    </row>
    <row r="635" spans="1:26" ht="12" hidden="1" thickBot="1">
      <c r="A635" s="522" t="s">
        <v>1362</v>
      </c>
      <c r="B635" s="522" t="s">
        <v>346</v>
      </c>
      <c r="C635" s="522" t="s">
        <v>964</v>
      </c>
      <c r="D635" s="523" t="s">
        <v>1035</v>
      </c>
      <c r="E635" s="524">
        <v>229</v>
      </c>
      <c r="F635" s="526"/>
      <c r="G635" s="525">
        <v>303.52</v>
      </c>
      <c r="H635" s="526"/>
      <c r="I635" s="526"/>
      <c r="J635" s="526"/>
      <c r="K635" s="526"/>
      <c r="L635" s="526"/>
      <c r="M635" s="525">
        <v>0.49</v>
      </c>
      <c r="N635" s="525">
        <v>3.7</v>
      </c>
      <c r="O635" s="526"/>
      <c r="P635" s="526"/>
      <c r="Q635" s="525">
        <v>0</v>
      </c>
      <c r="R635" s="525">
        <v>307.70999999999998</v>
      </c>
      <c r="S635" s="527">
        <f t="shared" si="86"/>
        <v>303.52</v>
      </c>
      <c r="T635" s="528">
        <f t="shared" si="87"/>
        <v>0</v>
      </c>
      <c r="U635" s="527">
        <f t="shared" ref="U635:U698" si="88">N635+O635</f>
        <v>3.7</v>
      </c>
      <c r="W635" s="326">
        <f t="shared" ref="W635:W698" si="89">SUM(F635:Q635)</f>
        <v>307.70999999999998</v>
      </c>
      <c r="X635" s="261">
        <f t="shared" ref="X635:X658" si="90">W635-R635</f>
        <v>0</v>
      </c>
      <c r="Y635" s="546"/>
      <c r="Z635" s="1016">
        <f t="shared" si="80"/>
        <v>303.52</v>
      </c>
    </row>
    <row r="636" spans="1:26" ht="12" hidden="1" thickBot="1">
      <c r="A636" s="522" t="s">
        <v>1362</v>
      </c>
      <c r="B636" s="522" t="s">
        <v>353</v>
      </c>
      <c r="C636" s="522" t="s">
        <v>965</v>
      </c>
      <c r="D636" s="523" t="s">
        <v>1035</v>
      </c>
      <c r="E636" s="530">
        <v>167</v>
      </c>
      <c r="F636" s="532"/>
      <c r="G636" s="531">
        <v>236.91</v>
      </c>
      <c r="H636" s="532"/>
      <c r="I636" s="532"/>
      <c r="J636" s="532"/>
      <c r="K636" s="532"/>
      <c r="L636" s="532"/>
      <c r="M636" s="531">
        <v>0.36</v>
      </c>
      <c r="N636" s="531">
        <v>2.89</v>
      </c>
      <c r="O636" s="532"/>
      <c r="P636" s="532"/>
      <c r="Q636" s="531">
        <v>0</v>
      </c>
      <c r="R636" s="531">
        <v>240.16</v>
      </c>
      <c r="S636" s="527">
        <f t="shared" si="86"/>
        <v>236.91</v>
      </c>
      <c r="T636" s="528">
        <f t="shared" si="87"/>
        <v>0</v>
      </c>
      <c r="U636" s="527">
        <f t="shared" si="88"/>
        <v>2.89</v>
      </c>
      <c r="W636" s="326">
        <f t="shared" si="89"/>
        <v>240.16</v>
      </c>
      <c r="X636" s="261">
        <f t="shared" si="90"/>
        <v>0</v>
      </c>
      <c r="Y636" s="546"/>
      <c r="Z636" s="1016">
        <f t="shared" si="80"/>
        <v>236.91</v>
      </c>
    </row>
    <row r="637" spans="1:26" ht="12" hidden="1" thickBot="1">
      <c r="A637" s="522" t="s">
        <v>1362</v>
      </c>
      <c r="B637" s="522" t="s">
        <v>345</v>
      </c>
      <c r="C637" s="522" t="s">
        <v>966</v>
      </c>
      <c r="D637" s="523" t="s">
        <v>1035</v>
      </c>
      <c r="E637" s="524">
        <v>111</v>
      </c>
      <c r="F637" s="526"/>
      <c r="G637" s="525">
        <v>154.52000000000001</v>
      </c>
      <c r="H637" s="526"/>
      <c r="I637" s="526"/>
      <c r="J637" s="526"/>
      <c r="K637" s="526"/>
      <c r="L637" s="526"/>
      <c r="M637" s="525">
        <v>0.24</v>
      </c>
      <c r="N637" s="525">
        <v>1.89</v>
      </c>
      <c r="O637" s="526"/>
      <c r="P637" s="526"/>
      <c r="Q637" s="525">
        <v>0</v>
      </c>
      <c r="R637" s="525">
        <v>156.65</v>
      </c>
      <c r="S637" s="527">
        <f t="shared" si="86"/>
        <v>154.52000000000001</v>
      </c>
      <c r="T637" s="528">
        <f t="shared" si="87"/>
        <v>0</v>
      </c>
      <c r="U637" s="527">
        <f t="shared" si="88"/>
        <v>1.89</v>
      </c>
      <c r="W637" s="326">
        <f t="shared" si="89"/>
        <v>156.65</v>
      </c>
      <c r="X637" s="261">
        <f t="shared" si="90"/>
        <v>0</v>
      </c>
      <c r="Y637" s="546"/>
      <c r="Z637" s="1016">
        <f t="shared" si="80"/>
        <v>154.52000000000001</v>
      </c>
    </row>
    <row r="638" spans="1:26" ht="12" hidden="1" thickBot="1">
      <c r="A638" s="522" t="s">
        <v>1362</v>
      </c>
      <c r="B638" s="522" t="s">
        <v>343</v>
      </c>
      <c r="C638" s="522" t="s">
        <v>967</v>
      </c>
      <c r="D638" s="523" t="s">
        <v>1035</v>
      </c>
      <c r="E638" s="530">
        <v>2869</v>
      </c>
      <c r="F638" s="532"/>
      <c r="G638" s="531">
        <v>3273.69</v>
      </c>
      <c r="H638" s="532"/>
      <c r="I638" s="532"/>
      <c r="J638" s="532"/>
      <c r="K638" s="532"/>
      <c r="L638" s="532"/>
      <c r="M638" s="531">
        <v>6.09</v>
      </c>
      <c r="N638" s="531">
        <v>40.020000000000003</v>
      </c>
      <c r="O638" s="532"/>
      <c r="P638" s="532"/>
      <c r="Q638" s="532">
        <v>0</v>
      </c>
      <c r="R638" s="531">
        <v>3319.8</v>
      </c>
      <c r="S638" s="527">
        <f t="shared" si="86"/>
        <v>3273.69</v>
      </c>
      <c r="T638" s="528">
        <f t="shared" si="87"/>
        <v>0</v>
      </c>
      <c r="U638" s="527">
        <f t="shared" si="88"/>
        <v>40.020000000000003</v>
      </c>
      <c r="W638" s="326">
        <f t="shared" si="89"/>
        <v>3319.8</v>
      </c>
      <c r="X638" s="261">
        <f t="shared" si="90"/>
        <v>0</v>
      </c>
      <c r="Y638" s="546"/>
      <c r="Z638" s="1016">
        <f t="shared" si="80"/>
        <v>3273.69</v>
      </c>
    </row>
    <row r="639" spans="1:26" ht="12" hidden="1" thickBot="1">
      <c r="A639" s="522" t="s">
        <v>1362</v>
      </c>
      <c r="B639" s="522" t="s">
        <v>472</v>
      </c>
      <c r="C639" s="522" t="s">
        <v>968</v>
      </c>
      <c r="D639" s="523" t="s">
        <v>1035</v>
      </c>
      <c r="E639" s="524">
        <v>111</v>
      </c>
      <c r="F639" s="526"/>
      <c r="G639" s="525">
        <v>151.80000000000001</v>
      </c>
      <c r="H639" s="526"/>
      <c r="I639" s="526"/>
      <c r="J639" s="526"/>
      <c r="K639" s="526"/>
      <c r="L639" s="526"/>
      <c r="M639" s="525">
        <v>0.24</v>
      </c>
      <c r="N639" s="525">
        <v>1.85</v>
      </c>
      <c r="O639" s="526"/>
      <c r="P639" s="526"/>
      <c r="Q639" s="525"/>
      <c r="R639" s="525">
        <v>153.88999999999999</v>
      </c>
      <c r="S639" s="527">
        <f t="shared" si="86"/>
        <v>151.80000000000001</v>
      </c>
      <c r="T639" s="528">
        <f t="shared" si="87"/>
        <v>0</v>
      </c>
      <c r="U639" s="527">
        <f t="shared" si="88"/>
        <v>1.85</v>
      </c>
      <c r="W639" s="326">
        <f t="shared" si="89"/>
        <v>153.89000000000001</v>
      </c>
      <c r="X639" s="261">
        <f t="shared" si="90"/>
        <v>0</v>
      </c>
      <c r="Y639" s="546"/>
      <c r="Z639" s="1016">
        <f t="shared" si="80"/>
        <v>151.80000000000001</v>
      </c>
    </row>
    <row r="640" spans="1:26" ht="12" hidden="1" thickBot="1">
      <c r="A640" s="522" t="s">
        <v>1362</v>
      </c>
      <c r="B640" s="522" t="s">
        <v>382</v>
      </c>
      <c r="C640" s="522" t="s">
        <v>969</v>
      </c>
      <c r="D640" s="533" t="s">
        <v>1035</v>
      </c>
      <c r="E640" s="530">
        <v>1267</v>
      </c>
      <c r="F640" s="532"/>
      <c r="G640" s="531">
        <v>772.72</v>
      </c>
      <c r="H640" s="532"/>
      <c r="I640" s="532"/>
      <c r="J640" s="532"/>
      <c r="K640" s="532"/>
      <c r="L640" s="532"/>
      <c r="M640" s="531">
        <v>4.05</v>
      </c>
      <c r="N640" s="531">
        <v>15.27</v>
      </c>
      <c r="O640" s="532"/>
      <c r="P640" s="532"/>
      <c r="Q640" s="531">
        <v>0</v>
      </c>
      <c r="R640" s="531">
        <v>792.04</v>
      </c>
      <c r="S640" s="527">
        <f t="shared" si="86"/>
        <v>772.72</v>
      </c>
      <c r="T640" s="528">
        <f t="shared" si="87"/>
        <v>0</v>
      </c>
      <c r="U640" s="527">
        <f t="shared" si="88"/>
        <v>15.27</v>
      </c>
      <c r="W640" s="326">
        <f t="shared" si="89"/>
        <v>792.04</v>
      </c>
      <c r="X640" s="261">
        <f t="shared" si="90"/>
        <v>0</v>
      </c>
      <c r="Y640" s="546"/>
      <c r="Z640" s="1016">
        <f t="shared" si="80"/>
        <v>772.72</v>
      </c>
    </row>
    <row r="641" spans="1:26" ht="12" hidden="1" thickBot="1">
      <c r="A641" s="522" t="s">
        <v>1362</v>
      </c>
      <c r="B641" s="522" t="s">
        <v>402</v>
      </c>
      <c r="C641" s="522" t="s">
        <v>970</v>
      </c>
      <c r="D641" s="533" t="s">
        <v>1036</v>
      </c>
      <c r="E641" s="524">
        <v>424496</v>
      </c>
      <c r="F641" s="526"/>
      <c r="G641" s="525">
        <v>74592.94</v>
      </c>
      <c r="H641" s="526"/>
      <c r="I641" s="526"/>
      <c r="J641" s="526"/>
      <c r="K641" s="526"/>
      <c r="L641" s="526"/>
      <c r="M641" s="525">
        <v>1510.18</v>
      </c>
      <c r="N641" s="525">
        <v>1658.45</v>
      </c>
      <c r="O641" s="526"/>
      <c r="P641" s="526"/>
      <c r="Q641" s="525">
        <v>0</v>
      </c>
      <c r="R641" s="525">
        <v>77761.570000000007</v>
      </c>
      <c r="S641" s="527">
        <f t="shared" si="86"/>
        <v>74592.94</v>
      </c>
      <c r="T641" s="528">
        <f t="shared" si="87"/>
        <v>0</v>
      </c>
      <c r="U641" s="527">
        <f t="shared" si="88"/>
        <v>1658.45</v>
      </c>
      <c r="W641" s="326">
        <f t="shared" si="89"/>
        <v>77761.569999999992</v>
      </c>
      <c r="X641" s="261">
        <f t="shared" si="90"/>
        <v>0</v>
      </c>
      <c r="Y641" s="546"/>
      <c r="Z641" s="1016">
        <f t="shared" ref="Z641:Z704" si="91">SUM(F641:K641)</f>
        <v>74592.94</v>
      </c>
    </row>
    <row r="642" spans="1:26" ht="12" hidden="1" thickBot="1">
      <c r="A642" s="522" t="s">
        <v>1362</v>
      </c>
      <c r="B642" s="522" t="s">
        <v>398</v>
      </c>
      <c r="C642" s="522" t="s">
        <v>971</v>
      </c>
      <c r="D642" s="533" t="s">
        <v>1036</v>
      </c>
      <c r="E642" s="530">
        <v>19685</v>
      </c>
      <c r="F642" s="532"/>
      <c r="G642" s="531">
        <v>1651.11</v>
      </c>
      <c r="H642" s="532"/>
      <c r="I642" s="532"/>
      <c r="J642" s="532"/>
      <c r="K642" s="532"/>
      <c r="L642" s="532"/>
      <c r="M642" s="531">
        <v>65</v>
      </c>
      <c r="N642" s="531">
        <v>34.840000000000003</v>
      </c>
      <c r="O642" s="532"/>
      <c r="P642" s="532"/>
      <c r="Q642" s="531">
        <v>0</v>
      </c>
      <c r="R642" s="531">
        <v>1750.95</v>
      </c>
      <c r="S642" s="527">
        <f t="shared" si="86"/>
        <v>1651.11</v>
      </c>
      <c r="T642" s="528">
        <f t="shared" si="87"/>
        <v>0</v>
      </c>
      <c r="U642" s="527">
        <f t="shared" si="88"/>
        <v>34.840000000000003</v>
      </c>
      <c r="W642" s="326">
        <f t="shared" si="89"/>
        <v>1750.9499999999998</v>
      </c>
      <c r="X642" s="261">
        <f t="shared" si="90"/>
        <v>0</v>
      </c>
      <c r="Y642" s="546"/>
      <c r="Z642" s="1016">
        <f t="shared" si="91"/>
        <v>1651.11</v>
      </c>
    </row>
    <row r="643" spans="1:26" ht="12" hidden="1" thickBot="1">
      <c r="A643" s="522" t="s">
        <v>1362</v>
      </c>
      <c r="B643" s="522" t="s">
        <v>376</v>
      </c>
      <c r="C643" s="522" t="s">
        <v>972</v>
      </c>
      <c r="D643" s="533" t="s">
        <v>1036</v>
      </c>
      <c r="E643" s="524">
        <v>4220</v>
      </c>
      <c r="F643" s="526"/>
      <c r="G643" s="525">
        <v>4862.3999999999996</v>
      </c>
      <c r="H643" s="526"/>
      <c r="I643" s="526"/>
      <c r="J643" s="526"/>
      <c r="K643" s="526"/>
      <c r="L643" s="526"/>
      <c r="M643" s="525">
        <v>15.05</v>
      </c>
      <c r="N643" s="525">
        <v>106.81</v>
      </c>
      <c r="O643" s="526"/>
      <c r="P643" s="526"/>
      <c r="Q643" s="525">
        <v>0</v>
      </c>
      <c r="R643" s="525">
        <v>4984.26</v>
      </c>
      <c r="S643" s="527">
        <f t="shared" si="86"/>
        <v>4862.3999999999996</v>
      </c>
      <c r="T643" s="528">
        <f t="shared" si="87"/>
        <v>0</v>
      </c>
      <c r="U643" s="527">
        <f t="shared" si="88"/>
        <v>106.81</v>
      </c>
      <c r="W643" s="326">
        <f t="shared" si="89"/>
        <v>4984.26</v>
      </c>
      <c r="X643" s="261">
        <f t="shared" si="90"/>
        <v>0</v>
      </c>
      <c r="Y643" s="546"/>
      <c r="Z643" s="1016">
        <f t="shared" si="91"/>
        <v>4862.3999999999996</v>
      </c>
    </row>
    <row r="644" spans="1:26" ht="12" hidden="1" thickBot="1">
      <c r="A644" s="522" t="s">
        <v>1362</v>
      </c>
      <c r="B644" s="522" t="s">
        <v>384</v>
      </c>
      <c r="C644" s="522" t="s">
        <v>973</v>
      </c>
      <c r="D644" s="533" t="s">
        <v>1035</v>
      </c>
      <c r="E644" s="530">
        <v>3617</v>
      </c>
      <c r="F644" s="532"/>
      <c r="G644" s="531">
        <v>3207</v>
      </c>
      <c r="H644" s="532"/>
      <c r="I644" s="532"/>
      <c r="J644" s="532"/>
      <c r="K644" s="532"/>
      <c r="L644" s="532"/>
      <c r="M644" s="531">
        <v>12.92</v>
      </c>
      <c r="N644" s="531">
        <v>70.510000000000005</v>
      </c>
      <c r="O644" s="532"/>
      <c r="P644" s="532"/>
      <c r="Q644" s="531">
        <v>0</v>
      </c>
      <c r="R644" s="531">
        <v>3290.43</v>
      </c>
      <c r="S644" s="527">
        <f t="shared" si="86"/>
        <v>3207</v>
      </c>
      <c r="T644" s="528">
        <f t="shared" si="87"/>
        <v>0</v>
      </c>
      <c r="U644" s="527">
        <f t="shared" si="88"/>
        <v>70.510000000000005</v>
      </c>
      <c r="W644" s="326">
        <f t="shared" si="89"/>
        <v>3290.4300000000003</v>
      </c>
      <c r="X644" s="261">
        <f t="shared" si="90"/>
        <v>0</v>
      </c>
      <c r="Y644" s="546"/>
      <c r="Z644" s="1016">
        <f t="shared" si="91"/>
        <v>3207</v>
      </c>
    </row>
    <row r="645" spans="1:26" ht="12" hidden="1" thickBot="1">
      <c r="A645" s="522" t="s">
        <v>1362</v>
      </c>
      <c r="B645" s="522" t="s">
        <v>386</v>
      </c>
      <c r="C645" s="522" t="s">
        <v>974</v>
      </c>
      <c r="D645" s="533" t="s">
        <v>1036</v>
      </c>
      <c r="E645" s="524">
        <v>697</v>
      </c>
      <c r="F645" s="526"/>
      <c r="G645" s="525">
        <v>863.52</v>
      </c>
      <c r="H645" s="526"/>
      <c r="I645" s="526"/>
      <c r="J645" s="526"/>
      <c r="K645" s="526"/>
      <c r="L645" s="526"/>
      <c r="M645" s="525">
        <v>2.4900000000000002</v>
      </c>
      <c r="N645" s="525">
        <v>18.97</v>
      </c>
      <c r="O645" s="526"/>
      <c r="P645" s="526"/>
      <c r="Q645" s="525">
        <v>0</v>
      </c>
      <c r="R645" s="525">
        <v>884.98</v>
      </c>
      <c r="S645" s="527">
        <f t="shared" si="86"/>
        <v>863.52</v>
      </c>
      <c r="T645" s="528">
        <f t="shared" si="87"/>
        <v>0</v>
      </c>
      <c r="U645" s="527">
        <f t="shared" si="88"/>
        <v>18.97</v>
      </c>
      <c r="W645" s="326">
        <f t="shared" si="89"/>
        <v>884.98</v>
      </c>
      <c r="X645" s="261">
        <f t="shared" si="90"/>
        <v>0</v>
      </c>
      <c r="Y645" s="546"/>
      <c r="Z645" s="1016">
        <f t="shared" si="91"/>
        <v>863.52</v>
      </c>
    </row>
    <row r="646" spans="1:26" ht="12" hidden="1" thickBot="1">
      <c r="A646" s="522" t="s">
        <v>1362</v>
      </c>
      <c r="B646" s="522" t="s">
        <v>409</v>
      </c>
      <c r="C646" s="522" t="s">
        <v>975</v>
      </c>
      <c r="D646" s="533" t="s">
        <v>1036</v>
      </c>
      <c r="E646" s="530">
        <v>3357</v>
      </c>
      <c r="F646" s="532"/>
      <c r="G646" s="531">
        <v>2997.12</v>
      </c>
      <c r="H646" s="532"/>
      <c r="I646" s="532"/>
      <c r="J646" s="532"/>
      <c r="K646" s="532"/>
      <c r="L646" s="532"/>
      <c r="M646" s="531">
        <v>11.99</v>
      </c>
      <c r="N646" s="531">
        <v>65.89</v>
      </c>
      <c r="O646" s="532"/>
      <c r="P646" s="532"/>
      <c r="Q646" s="531">
        <v>0</v>
      </c>
      <c r="R646" s="531">
        <v>3075</v>
      </c>
      <c r="S646" s="527">
        <f t="shared" si="86"/>
        <v>2997.12</v>
      </c>
      <c r="T646" s="528">
        <f t="shared" si="87"/>
        <v>0</v>
      </c>
      <c r="U646" s="527">
        <f t="shared" si="88"/>
        <v>65.89</v>
      </c>
      <c r="W646" s="326">
        <f t="shared" si="89"/>
        <v>3074.9999999999995</v>
      </c>
      <c r="X646" s="261">
        <f t="shared" si="90"/>
        <v>0</v>
      </c>
      <c r="Y646" s="546"/>
      <c r="Z646" s="1016">
        <f t="shared" si="91"/>
        <v>2997.12</v>
      </c>
    </row>
    <row r="647" spans="1:26" ht="12" hidden="1" thickBot="1">
      <c r="A647" s="522" t="s">
        <v>1362</v>
      </c>
      <c r="B647" s="522" t="s">
        <v>387</v>
      </c>
      <c r="C647" s="522" t="s">
        <v>976</v>
      </c>
      <c r="D647" s="533" t="s">
        <v>1035</v>
      </c>
      <c r="E647" s="524">
        <v>566</v>
      </c>
      <c r="F647" s="526"/>
      <c r="G647" s="525">
        <v>647.64</v>
      </c>
      <c r="H647" s="526"/>
      <c r="I647" s="526"/>
      <c r="J647" s="526"/>
      <c r="K647" s="526"/>
      <c r="L647" s="526"/>
      <c r="M647" s="525">
        <v>1.2</v>
      </c>
      <c r="N647" s="525">
        <v>7.92</v>
      </c>
      <c r="O647" s="526"/>
      <c r="P647" s="526"/>
      <c r="Q647" s="525">
        <v>0</v>
      </c>
      <c r="R647" s="525">
        <v>656.76</v>
      </c>
      <c r="S647" s="527">
        <f t="shared" ref="S647:S678" si="92">G647+H647+I647</f>
        <v>647.64</v>
      </c>
      <c r="T647" s="528">
        <f t="shared" ref="T647:T678" si="93">J647+K647</f>
        <v>0</v>
      </c>
      <c r="U647" s="527">
        <f t="shared" si="88"/>
        <v>7.92</v>
      </c>
      <c r="W647" s="326">
        <f t="shared" si="89"/>
        <v>656.76</v>
      </c>
      <c r="X647" s="261">
        <f t="shared" si="90"/>
        <v>0</v>
      </c>
      <c r="Y647" s="546"/>
      <c r="Z647" s="1016">
        <f t="shared" si="91"/>
        <v>647.64</v>
      </c>
    </row>
    <row r="648" spans="1:26" ht="12" hidden="1" thickBot="1">
      <c r="A648" s="522" t="s">
        <v>1362</v>
      </c>
      <c r="B648" s="522" t="s">
        <v>410</v>
      </c>
      <c r="C648" s="522" t="s">
        <v>977</v>
      </c>
      <c r="D648" s="533" t="s">
        <v>1035</v>
      </c>
      <c r="E648" s="530">
        <v>380</v>
      </c>
      <c r="F648" s="532"/>
      <c r="G648" s="531">
        <v>312.2</v>
      </c>
      <c r="H648" s="532"/>
      <c r="I648" s="532"/>
      <c r="J648" s="532"/>
      <c r="K648" s="532"/>
      <c r="L648" s="532"/>
      <c r="M648" s="531">
        <v>0.81</v>
      </c>
      <c r="N648" s="531">
        <v>3.82</v>
      </c>
      <c r="O648" s="532"/>
      <c r="P648" s="532"/>
      <c r="Q648" s="531">
        <v>0</v>
      </c>
      <c r="R648" s="531">
        <v>316.83</v>
      </c>
      <c r="S648" s="527">
        <f t="shared" si="92"/>
        <v>312.2</v>
      </c>
      <c r="T648" s="528">
        <f t="shared" si="93"/>
        <v>0</v>
      </c>
      <c r="U648" s="527">
        <f t="shared" si="88"/>
        <v>3.82</v>
      </c>
      <c r="W648" s="326">
        <f t="shared" si="89"/>
        <v>316.83</v>
      </c>
      <c r="X648" s="261">
        <f t="shared" si="90"/>
        <v>0</v>
      </c>
      <c r="Y648" s="546"/>
      <c r="Z648" s="1016">
        <f t="shared" si="91"/>
        <v>312.2</v>
      </c>
    </row>
    <row r="649" spans="1:26" ht="12" hidden="1" thickBot="1">
      <c r="A649" s="522" t="s">
        <v>1362</v>
      </c>
      <c r="B649" s="522" t="s">
        <v>405</v>
      </c>
      <c r="C649" s="522" t="s">
        <v>978</v>
      </c>
      <c r="D649" s="533" t="s">
        <v>1035</v>
      </c>
      <c r="E649" s="524">
        <v>16149</v>
      </c>
      <c r="F649" s="526"/>
      <c r="G649" s="525">
        <v>7118.85</v>
      </c>
      <c r="H649" s="526"/>
      <c r="I649" s="526"/>
      <c r="J649" s="526"/>
      <c r="K649" s="526"/>
      <c r="L649" s="526"/>
      <c r="M649" s="525">
        <v>51.08</v>
      </c>
      <c r="N649" s="525">
        <v>139.12</v>
      </c>
      <c r="O649" s="526"/>
      <c r="P649" s="526"/>
      <c r="Q649" s="525">
        <v>0</v>
      </c>
      <c r="R649" s="525">
        <v>7309.05</v>
      </c>
      <c r="S649" s="527">
        <f t="shared" si="92"/>
        <v>7118.85</v>
      </c>
      <c r="T649" s="528">
        <f t="shared" si="93"/>
        <v>0</v>
      </c>
      <c r="U649" s="527">
        <f t="shared" si="88"/>
        <v>139.12</v>
      </c>
      <c r="W649" s="326">
        <f t="shared" si="89"/>
        <v>7309.05</v>
      </c>
      <c r="X649" s="261">
        <f t="shared" si="90"/>
        <v>0</v>
      </c>
      <c r="Y649" s="546"/>
      <c r="Z649" s="1016">
        <f t="shared" si="91"/>
        <v>7118.85</v>
      </c>
    </row>
    <row r="650" spans="1:26" ht="12" hidden="1" thickBot="1">
      <c r="A650" s="522" t="s">
        <v>1362</v>
      </c>
      <c r="B650" s="522" t="s">
        <v>326</v>
      </c>
      <c r="C650" s="522" t="s">
        <v>979</v>
      </c>
      <c r="D650" s="533" t="s">
        <v>1036</v>
      </c>
      <c r="E650" s="530">
        <v>152</v>
      </c>
      <c r="F650" s="532"/>
      <c r="G650" s="531">
        <v>16.95</v>
      </c>
      <c r="H650" s="532"/>
      <c r="I650" s="532"/>
      <c r="J650" s="532"/>
      <c r="K650" s="532"/>
      <c r="L650" s="532"/>
      <c r="M650" s="531">
        <v>0.41</v>
      </c>
      <c r="N650" s="531">
        <v>0.28999999999999998</v>
      </c>
      <c r="O650" s="532"/>
      <c r="P650" s="532"/>
      <c r="Q650" s="531">
        <v>0</v>
      </c>
      <c r="R650" s="531">
        <v>17.649999999999999</v>
      </c>
      <c r="S650" s="527">
        <f t="shared" si="92"/>
        <v>16.95</v>
      </c>
      <c r="T650" s="528">
        <f t="shared" si="93"/>
        <v>0</v>
      </c>
      <c r="U650" s="527">
        <f t="shared" si="88"/>
        <v>0.28999999999999998</v>
      </c>
      <c r="W650" s="326">
        <f t="shared" si="89"/>
        <v>17.649999999999999</v>
      </c>
      <c r="X650" s="261">
        <f t="shared" si="90"/>
        <v>0</v>
      </c>
      <c r="Y650" s="546"/>
      <c r="Z650" s="1016">
        <f t="shared" si="91"/>
        <v>16.95</v>
      </c>
    </row>
    <row r="651" spans="1:26" ht="12" hidden="1" thickBot="1">
      <c r="A651" s="522" t="s">
        <v>1362</v>
      </c>
      <c r="B651" s="522" t="s">
        <v>356</v>
      </c>
      <c r="C651" s="522" t="s">
        <v>980</v>
      </c>
      <c r="D651" s="533" t="s">
        <v>1036</v>
      </c>
      <c r="E651" s="524">
        <v>39662</v>
      </c>
      <c r="F651" s="526"/>
      <c r="G651" s="525">
        <v>3054.81</v>
      </c>
      <c r="H651" s="526"/>
      <c r="I651" s="526"/>
      <c r="J651" s="526"/>
      <c r="K651" s="526"/>
      <c r="L651" s="526"/>
      <c r="M651" s="525">
        <v>126.38</v>
      </c>
      <c r="N651" s="525">
        <v>62.06</v>
      </c>
      <c r="O651" s="526"/>
      <c r="P651" s="526"/>
      <c r="Q651" s="525">
        <v>0</v>
      </c>
      <c r="R651" s="525">
        <v>3243.25</v>
      </c>
      <c r="S651" s="527">
        <f t="shared" si="92"/>
        <v>3054.81</v>
      </c>
      <c r="T651" s="528">
        <f t="shared" si="93"/>
        <v>0</v>
      </c>
      <c r="U651" s="527">
        <f t="shared" si="88"/>
        <v>62.06</v>
      </c>
      <c r="W651" s="326">
        <f t="shared" si="89"/>
        <v>3243.25</v>
      </c>
      <c r="X651" s="261">
        <f t="shared" si="90"/>
        <v>0</v>
      </c>
      <c r="Y651" s="546"/>
      <c r="Z651" s="1016">
        <f t="shared" si="91"/>
        <v>3054.81</v>
      </c>
    </row>
    <row r="652" spans="1:26" ht="12" hidden="1" thickBot="1">
      <c r="A652" s="522" t="s">
        <v>1362</v>
      </c>
      <c r="B652" s="522" t="s">
        <v>374</v>
      </c>
      <c r="C652" s="522" t="s">
        <v>981</v>
      </c>
      <c r="D652" s="533" t="s">
        <v>1036</v>
      </c>
      <c r="E652" s="530">
        <v>4825</v>
      </c>
      <c r="F652" s="532"/>
      <c r="G652" s="531">
        <v>318.66000000000003</v>
      </c>
      <c r="H652" s="532"/>
      <c r="I652" s="532"/>
      <c r="J652" s="532"/>
      <c r="K652" s="532"/>
      <c r="L652" s="532"/>
      <c r="M652" s="531">
        <v>13.04</v>
      </c>
      <c r="N652" s="531">
        <v>5.45</v>
      </c>
      <c r="O652" s="532"/>
      <c r="P652" s="532"/>
      <c r="Q652" s="531">
        <v>0</v>
      </c>
      <c r="R652" s="531">
        <v>337.15</v>
      </c>
      <c r="S652" s="527">
        <f t="shared" si="92"/>
        <v>318.66000000000003</v>
      </c>
      <c r="T652" s="528">
        <f t="shared" si="93"/>
        <v>0</v>
      </c>
      <c r="U652" s="527">
        <f t="shared" si="88"/>
        <v>5.45</v>
      </c>
      <c r="W652" s="326">
        <f t="shared" si="89"/>
        <v>337.15000000000003</v>
      </c>
      <c r="X652" s="261">
        <f t="shared" si="90"/>
        <v>0</v>
      </c>
      <c r="Y652" s="546"/>
      <c r="Z652" s="1016">
        <f t="shared" si="91"/>
        <v>318.66000000000003</v>
      </c>
    </row>
    <row r="653" spans="1:26" ht="12" hidden="1" thickBot="1">
      <c r="A653" s="522" t="s">
        <v>1362</v>
      </c>
      <c r="B653" s="522" t="s">
        <v>399</v>
      </c>
      <c r="C653" s="522" t="s">
        <v>982</v>
      </c>
      <c r="D653" s="533" t="s">
        <v>1036</v>
      </c>
      <c r="E653" s="524">
        <v>279</v>
      </c>
      <c r="F653" s="526"/>
      <c r="G653" s="525">
        <v>18.12</v>
      </c>
      <c r="H653" s="526"/>
      <c r="I653" s="526"/>
      <c r="J653" s="526"/>
      <c r="K653" s="526"/>
      <c r="L653" s="526"/>
      <c r="M653" s="525">
        <v>0.99</v>
      </c>
      <c r="N653" s="525">
        <v>0.42</v>
      </c>
      <c r="O653" s="526"/>
      <c r="P653" s="526"/>
      <c r="Q653" s="525">
        <v>0</v>
      </c>
      <c r="R653" s="525">
        <v>19.53</v>
      </c>
      <c r="S653" s="527">
        <f t="shared" si="92"/>
        <v>18.12</v>
      </c>
      <c r="T653" s="528">
        <f t="shared" si="93"/>
        <v>0</v>
      </c>
      <c r="U653" s="527">
        <f t="shared" si="88"/>
        <v>0.42</v>
      </c>
      <c r="W653" s="326">
        <f t="shared" si="89"/>
        <v>19.53</v>
      </c>
      <c r="X653" s="261">
        <f t="shared" si="90"/>
        <v>0</v>
      </c>
      <c r="Y653" s="546"/>
      <c r="Z653" s="1016">
        <f t="shared" si="91"/>
        <v>18.12</v>
      </c>
    </row>
    <row r="654" spans="1:26" ht="12" hidden="1" thickBot="1">
      <c r="A654" s="522" t="s">
        <v>1362</v>
      </c>
      <c r="B654" s="522" t="s">
        <v>391</v>
      </c>
      <c r="C654" s="522" t="s">
        <v>983</v>
      </c>
      <c r="D654" s="533" t="s">
        <v>1036</v>
      </c>
      <c r="E654" s="530">
        <v>4106</v>
      </c>
      <c r="F654" s="532"/>
      <c r="G654" s="531">
        <v>1256.53</v>
      </c>
      <c r="H654" s="532"/>
      <c r="I654" s="532"/>
      <c r="J654" s="532"/>
      <c r="K654" s="532"/>
      <c r="L654" s="532"/>
      <c r="M654" s="531">
        <v>14.75</v>
      </c>
      <c r="N654" s="531">
        <v>27.08</v>
      </c>
      <c r="O654" s="532"/>
      <c r="P654" s="532"/>
      <c r="Q654" s="531">
        <v>0</v>
      </c>
      <c r="R654" s="531">
        <v>1298.3599999999999</v>
      </c>
      <c r="S654" s="527">
        <f t="shared" si="92"/>
        <v>1256.53</v>
      </c>
      <c r="T654" s="528">
        <f t="shared" si="93"/>
        <v>0</v>
      </c>
      <c r="U654" s="527">
        <f t="shared" si="88"/>
        <v>27.08</v>
      </c>
      <c r="W654" s="326">
        <f t="shared" si="89"/>
        <v>1298.3599999999999</v>
      </c>
      <c r="X654" s="261">
        <f t="shared" si="90"/>
        <v>0</v>
      </c>
      <c r="Y654" s="546"/>
      <c r="Z654" s="1016">
        <f t="shared" si="91"/>
        <v>1256.53</v>
      </c>
    </row>
    <row r="655" spans="1:26" ht="12" hidden="1" thickBot="1">
      <c r="A655" s="522" t="s">
        <v>1362</v>
      </c>
      <c r="B655" s="522" t="s">
        <v>416</v>
      </c>
      <c r="C655" s="522" t="s">
        <v>984</v>
      </c>
      <c r="D655" s="533" t="s">
        <v>1035</v>
      </c>
      <c r="E655" s="524">
        <v>1236726</v>
      </c>
      <c r="F655" s="526"/>
      <c r="G655" s="525">
        <v>285222.11</v>
      </c>
      <c r="H655" s="526"/>
      <c r="I655" s="526"/>
      <c r="J655" s="526"/>
      <c r="K655" s="526"/>
      <c r="L655" s="526"/>
      <c r="M655" s="525">
        <v>4341.84</v>
      </c>
      <c r="N655" s="525">
        <v>6192.89</v>
      </c>
      <c r="O655" s="526"/>
      <c r="P655" s="526"/>
      <c r="Q655" s="525">
        <v>0</v>
      </c>
      <c r="R655" s="525">
        <v>295756.84000000003</v>
      </c>
      <c r="S655" s="527">
        <f t="shared" si="92"/>
        <v>285222.11</v>
      </c>
      <c r="T655" s="528">
        <f t="shared" si="93"/>
        <v>0</v>
      </c>
      <c r="U655" s="527">
        <f t="shared" si="88"/>
        <v>6192.89</v>
      </c>
      <c r="W655" s="326">
        <f t="shared" si="89"/>
        <v>295756.84000000003</v>
      </c>
      <c r="X655" s="261">
        <f t="shared" si="90"/>
        <v>0</v>
      </c>
      <c r="Y655" s="546"/>
      <c r="Z655" s="1016">
        <f t="shared" si="91"/>
        <v>285222.11</v>
      </c>
    </row>
    <row r="656" spans="1:26" ht="12" hidden="1" thickBot="1">
      <c r="A656" s="522" t="s">
        <v>1362</v>
      </c>
      <c r="B656" s="522" t="s">
        <v>407</v>
      </c>
      <c r="C656" s="522" t="s">
        <v>985</v>
      </c>
      <c r="D656" s="533" t="s">
        <v>1035</v>
      </c>
      <c r="E656" s="530">
        <v>40922</v>
      </c>
      <c r="F656" s="532"/>
      <c r="G656" s="531">
        <v>26004</v>
      </c>
      <c r="H656" s="532"/>
      <c r="I656" s="532"/>
      <c r="J656" s="532"/>
      <c r="K656" s="532"/>
      <c r="L656" s="532"/>
      <c r="M656" s="531">
        <v>134.83000000000001</v>
      </c>
      <c r="N656" s="531">
        <v>528.04</v>
      </c>
      <c r="O656" s="532"/>
      <c r="P656" s="532"/>
      <c r="Q656" s="531">
        <v>0</v>
      </c>
      <c r="R656" s="531">
        <v>26666.87</v>
      </c>
      <c r="S656" s="527">
        <f t="shared" si="92"/>
        <v>26004</v>
      </c>
      <c r="T656" s="528">
        <f t="shared" si="93"/>
        <v>0</v>
      </c>
      <c r="U656" s="527">
        <f t="shared" si="88"/>
        <v>528.04</v>
      </c>
      <c r="W656" s="326">
        <f t="shared" si="89"/>
        <v>26666.870000000003</v>
      </c>
      <c r="X656" s="261">
        <f t="shared" si="90"/>
        <v>0</v>
      </c>
      <c r="Y656" s="546"/>
      <c r="Z656" s="1016">
        <f t="shared" si="91"/>
        <v>26004</v>
      </c>
    </row>
    <row r="657" spans="1:26" ht="12" hidden="1" thickBot="1">
      <c r="A657" s="522" t="s">
        <v>1362</v>
      </c>
      <c r="B657" s="522" t="s">
        <v>373</v>
      </c>
      <c r="C657" s="522" t="s">
        <v>986</v>
      </c>
      <c r="D657" s="533" t="s">
        <v>1036</v>
      </c>
      <c r="E657" s="524">
        <v>327</v>
      </c>
      <c r="F657" s="526"/>
      <c r="G657" s="525">
        <v>23.22</v>
      </c>
      <c r="H657" s="526"/>
      <c r="I657" s="526"/>
      <c r="J657" s="526"/>
      <c r="K657" s="526"/>
      <c r="L657" s="526"/>
      <c r="M657" s="525">
        <v>0.69</v>
      </c>
      <c r="N657" s="525">
        <v>0.28999999999999998</v>
      </c>
      <c r="O657" s="526"/>
      <c r="P657" s="526"/>
      <c r="Q657" s="525">
        <v>0</v>
      </c>
      <c r="R657" s="525">
        <v>24.2</v>
      </c>
      <c r="S657" s="527">
        <f t="shared" si="92"/>
        <v>23.22</v>
      </c>
      <c r="T657" s="528">
        <f t="shared" si="93"/>
        <v>0</v>
      </c>
      <c r="U657" s="527">
        <f t="shared" si="88"/>
        <v>0.28999999999999998</v>
      </c>
      <c r="W657" s="326">
        <f t="shared" si="89"/>
        <v>24.2</v>
      </c>
      <c r="X657" s="261">
        <f t="shared" si="90"/>
        <v>0</v>
      </c>
      <c r="Y657" s="546"/>
      <c r="Z657" s="1016">
        <f t="shared" si="91"/>
        <v>23.22</v>
      </c>
    </row>
    <row r="658" spans="1:26" ht="12" hidden="1" thickBot="1">
      <c r="A658" s="522" t="s">
        <v>1362</v>
      </c>
      <c r="B658" s="522" t="s">
        <v>375</v>
      </c>
      <c r="C658" s="522" t="s">
        <v>987</v>
      </c>
      <c r="D658" s="533" t="s">
        <v>1036</v>
      </c>
      <c r="E658" s="530">
        <v>34</v>
      </c>
      <c r="F658" s="532"/>
      <c r="G658" s="531">
        <v>27.22</v>
      </c>
      <c r="H658" s="532"/>
      <c r="I658" s="532"/>
      <c r="J658" s="532"/>
      <c r="K658" s="532"/>
      <c r="L658" s="532"/>
      <c r="M658" s="531">
        <v>0.12</v>
      </c>
      <c r="N658" s="531">
        <v>0.6</v>
      </c>
      <c r="O658" s="532"/>
      <c r="P658" s="532"/>
      <c r="Q658" s="531">
        <v>0</v>
      </c>
      <c r="R658" s="531">
        <v>27.94</v>
      </c>
      <c r="S658" s="527">
        <f t="shared" si="92"/>
        <v>27.22</v>
      </c>
      <c r="T658" s="528">
        <f t="shared" si="93"/>
        <v>0</v>
      </c>
      <c r="U658" s="527">
        <f t="shared" si="88"/>
        <v>0.6</v>
      </c>
      <c r="W658" s="326">
        <f t="shared" si="89"/>
        <v>27.94</v>
      </c>
      <c r="X658" s="261">
        <f t="shared" si="90"/>
        <v>0</v>
      </c>
      <c r="Y658" s="546"/>
      <c r="Z658" s="1016">
        <f t="shared" si="91"/>
        <v>27.22</v>
      </c>
    </row>
    <row r="659" spans="1:26" ht="12" hidden="1" thickBot="1">
      <c r="A659" s="522" t="s">
        <v>1362</v>
      </c>
      <c r="B659" s="522" t="s">
        <v>401</v>
      </c>
      <c r="C659" s="522" t="s">
        <v>988</v>
      </c>
      <c r="D659" s="533" t="s">
        <v>1036</v>
      </c>
      <c r="E659" s="524">
        <v>66536</v>
      </c>
      <c r="F659" s="526"/>
      <c r="G659" s="525">
        <v>10324.799999999999</v>
      </c>
      <c r="H659" s="526"/>
      <c r="I659" s="526"/>
      <c r="J659" s="526"/>
      <c r="K659" s="526"/>
      <c r="L659" s="526"/>
      <c r="M659" s="525">
        <v>217.84</v>
      </c>
      <c r="N659" s="525">
        <v>212.01</v>
      </c>
      <c r="O659" s="526"/>
      <c r="P659" s="526"/>
      <c r="Q659" s="525">
        <v>0</v>
      </c>
      <c r="R659" s="525">
        <v>10754.65</v>
      </c>
      <c r="S659" s="527">
        <f t="shared" si="92"/>
        <v>10324.799999999999</v>
      </c>
      <c r="T659" s="528">
        <f t="shared" si="93"/>
        <v>0</v>
      </c>
      <c r="U659" s="527">
        <f t="shared" si="88"/>
        <v>212.01</v>
      </c>
      <c r="W659" s="326">
        <f t="shared" si="89"/>
        <v>10754.65</v>
      </c>
      <c r="X659" s="261">
        <f t="shared" ref="X659:X676" si="94">W659-R659</f>
        <v>0</v>
      </c>
      <c r="Y659" s="546"/>
      <c r="Z659" s="1016">
        <f t="shared" si="91"/>
        <v>10324.799999999999</v>
      </c>
    </row>
    <row r="660" spans="1:26" ht="12" hidden="1" thickBot="1">
      <c r="A660" s="522" t="s">
        <v>1362</v>
      </c>
      <c r="B660" s="522" t="s">
        <v>328</v>
      </c>
      <c r="C660" s="522" t="s">
        <v>989</v>
      </c>
      <c r="D660" s="533" t="s">
        <v>1036</v>
      </c>
      <c r="E660" s="530">
        <v>66765</v>
      </c>
      <c r="F660" s="532"/>
      <c r="G660" s="531">
        <v>8364.34</v>
      </c>
      <c r="H660" s="532"/>
      <c r="I660" s="532"/>
      <c r="J660" s="532"/>
      <c r="K660" s="532"/>
      <c r="L660" s="532"/>
      <c r="M660" s="531">
        <v>145.25</v>
      </c>
      <c r="N660" s="531">
        <v>107.2</v>
      </c>
      <c r="O660" s="532"/>
      <c r="P660" s="532"/>
      <c r="Q660" s="531">
        <v>0</v>
      </c>
      <c r="R660" s="531">
        <v>8616.7900000000009</v>
      </c>
      <c r="S660" s="527">
        <f t="shared" si="92"/>
        <v>8364.34</v>
      </c>
      <c r="T660" s="528">
        <f t="shared" si="93"/>
        <v>0</v>
      </c>
      <c r="U660" s="527">
        <f t="shared" si="88"/>
        <v>107.2</v>
      </c>
      <c r="W660" s="326">
        <f t="shared" si="89"/>
        <v>8616.7900000000009</v>
      </c>
      <c r="X660" s="261">
        <f t="shared" si="94"/>
        <v>0</v>
      </c>
      <c r="Y660" s="546"/>
      <c r="Z660" s="1016">
        <f t="shared" si="91"/>
        <v>8364.34</v>
      </c>
    </row>
    <row r="661" spans="1:26" ht="12" hidden="1" thickBot="1">
      <c r="A661" s="522" t="s">
        <v>1362</v>
      </c>
      <c r="B661" s="522" t="s">
        <v>437</v>
      </c>
      <c r="C661" s="522" t="s">
        <v>990</v>
      </c>
      <c r="D661" s="533" t="s">
        <v>1036</v>
      </c>
      <c r="E661" s="524">
        <v>202882</v>
      </c>
      <c r="F661" s="526"/>
      <c r="G661" s="525">
        <v>18874.169999999998</v>
      </c>
      <c r="H661" s="526"/>
      <c r="I661" s="526"/>
      <c r="J661" s="526"/>
      <c r="K661" s="526"/>
      <c r="L661" s="526"/>
      <c r="M661" s="525">
        <v>601.08000000000004</v>
      </c>
      <c r="N661" s="525">
        <v>350.88</v>
      </c>
      <c r="O661" s="526"/>
      <c r="P661" s="526"/>
      <c r="Q661" s="525">
        <v>0</v>
      </c>
      <c r="R661" s="525">
        <v>19826.13</v>
      </c>
      <c r="S661" s="527">
        <f t="shared" si="92"/>
        <v>18874.169999999998</v>
      </c>
      <c r="T661" s="528">
        <f t="shared" si="93"/>
        <v>0</v>
      </c>
      <c r="U661" s="527">
        <f t="shared" si="88"/>
        <v>350.88</v>
      </c>
      <c r="W661" s="326">
        <f t="shared" si="89"/>
        <v>19826.13</v>
      </c>
      <c r="X661" s="261">
        <f t="shared" si="94"/>
        <v>0</v>
      </c>
      <c r="Y661" s="546"/>
      <c r="Z661" s="1016">
        <f t="shared" si="91"/>
        <v>18874.169999999998</v>
      </c>
    </row>
    <row r="662" spans="1:26" ht="12" hidden="1" thickBot="1">
      <c r="A662" s="522" t="s">
        <v>1362</v>
      </c>
      <c r="B662" s="522" t="s">
        <v>338</v>
      </c>
      <c r="C662" s="522" t="s">
        <v>991</v>
      </c>
      <c r="D662" s="533" t="s">
        <v>1035</v>
      </c>
      <c r="E662" s="530">
        <v>29418</v>
      </c>
      <c r="F662" s="532"/>
      <c r="G662" s="531">
        <v>9539.89</v>
      </c>
      <c r="H662" s="532"/>
      <c r="I662" s="532"/>
      <c r="J662" s="532"/>
      <c r="K662" s="532"/>
      <c r="L662" s="532"/>
      <c r="M662" s="531">
        <v>103.44</v>
      </c>
      <c r="N662" s="531">
        <v>209.22</v>
      </c>
      <c r="O662" s="532"/>
      <c r="P662" s="532"/>
      <c r="Q662" s="531">
        <v>0</v>
      </c>
      <c r="R662" s="531">
        <v>9852.5499999999993</v>
      </c>
      <c r="S662" s="527">
        <f t="shared" si="92"/>
        <v>9539.89</v>
      </c>
      <c r="T662" s="528">
        <f t="shared" si="93"/>
        <v>0</v>
      </c>
      <c r="U662" s="527">
        <f t="shared" si="88"/>
        <v>209.22</v>
      </c>
      <c r="W662" s="326">
        <f t="shared" si="89"/>
        <v>9852.5499999999993</v>
      </c>
      <c r="X662" s="261">
        <f t="shared" si="94"/>
        <v>0</v>
      </c>
      <c r="Y662" s="546"/>
      <c r="Z662" s="1016">
        <f t="shared" si="91"/>
        <v>9539.89</v>
      </c>
    </row>
    <row r="663" spans="1:26" ht="12" hidden="1" thickBot="1">
      <c r="A663" s="522" t="s">
        <v>1362</v>
      </c>
      <c r="B663" s="522" t="s">
        <v>370</v>
      </c>
      <c r="C663" s="522" t="s">
        <v>992</v>
      </c>
      <c r="D663" s="533" t="s">
        <v>1035</v>
      </c>
      <c r="E663" s="524">
        <v>532466</v>
      </c>
      <c r="F663" s="526"/>
      <c r="G663" s="525">
        <v>104938.45</v>
      </c>
      <c r="H663" s="526"/>
      <c r="I663" s="526"/>
      <c r="J663" s="526"/>
      <c r="K663" s="526"/>
      <c r="L663" s="526"/>
      <c r="M663" s="525">
        <v>1869.12</v>
      </c>
      <c r="N663" s="525">
        <v>2296.8000000000002</v>
      </c>
      <c r="O663" s="526"/>
      <c r="P663" s="526"/>
      <c r="Q663" s="525">
        <v>0</v>
      </c>
      <c r="R663" s="525">
        <v>109104.37</v>
      </c>
      <c r="S663" s="527">
        <f t="shared" si="92"/>
        <v>104938.45</v>
      </c>
      <c r="T663" s="528">
        <f t="shared" si="93"/>
        <v>0</v>
      </c>
      <c r="U663" s="527">
        <f t="shared" si="88"/>
        <v>2296.8000000000002</v>
      </c>
      <c r="W663" s="326">
        <f t="shared" si="89"/>
        <v>109104.37</v>
      </c>
      <c r="X663" s="261">
        <f t="shared" si="94"/>
        <v>0</v>
      </c>
      <c r="Y663" s="546"/>
      <c r="Z663" s="1016">
        <f t="shared" si="91"/>
        <v>104938.45</v>
      </c>
    </row>
    <row r="664" spans="1:26" ht="12" hidden="1" thickBot="1">
      <c r="A664" s="522" t="s">
        <v>1362</v>
      </c>
      <c r="B664" s="522" t="s">
        <v>333</v>
      </c>
      <c r="C664" s="522" t="s">
        <v>993</v>
      </c>
      <c r="D664" s="533" t="s">
        <v>1035</v>
      </c>
      <c r="E664" s="530">
        <v>325327</v>
      </c>
      <c r="F664" s="532"/>
      <c r="G664" s="531">
        <v>43845.88</v>
      </c>
      <c r="H664" s="532"/>
      <c r="I664" s="532"/>
      <c r="J664" s="532"/>
      <c r="K664" s="532"/>
      <c r="L664" s="532"/>
      <c r="M664" s="531">
        <v>1149</v>
      </c>
      <c r="N664" s="531">
        <v>974.48</v>
      </c>
      <c r="O664" s="532"/>
      <c r="P664" s="532"/>
      <c r="Q664" s="531">
        <v>0</v>
      </c>
      <c r="R664" s="531">
        <v>45969.36</v>
      </c>
      <c r="S664" s="527">
        <f t="shared" si="92"/>
        <v>43845.88</v>
      </c>
      <c r="T664" s="528">
        <f t="shared" si="93"/>
        <v>0</v>
      </c>
      <c r="U664" s="527">
        <f t="shared" si="88"/>
        <v>974.48</v>
      </c>
      <c r="W664" s="326">
        <f t="shared" si="89"/>
        <v>45969.36</v>
      </c>
      <c r="X664" s="261">
        <f t="shared" si="94"/>
        <v>0</v>
      </c>
      <c r="Y664" s="546"/>
      <c r="Z664" s="1016">
        <f t="shared" si="91"/>
        <v>43845.88</v>
      </c>
    </row>
    <row r="665" spans="1:26" ht="12" hidden="1" thickBot="1">
      <c r="A665" s="522" t="s">
        <v>1362</v>
      </c>
      <c r="B665" s="522" t="s">
        <v>336</v>
      </c>
      <c r="C665" s="522" t="s">
        <v>994</v>
      </c>
      <c r="D665" s="533" t="s">
        <v>1036</v>
      </c>
      <c r="E665" s="524">
        <v>6671</v>
      </c>
      <c r="F665" s="526"/>
      <c r="G665" s="525">
        <v>2804.34</v>
      </c>
      <c r="H665" s="526"/>
      <c r="I665" s="526"/>
      <c r="J665" s="526"/>
      <c r="K665" s="526"/>
      <c r="L665" s="526"/>
      <c r="M665" s="525">
        <v>23.2</v>
      </c>
      <c r="N665" s="525">
        <v>60.12</v>
      </c>
      <c r="O665" s="526"/>
      <c r="P665" s="526"/>
      <c r="Q665" s="525">
        <v>0</v>
      </c>
      <c r="R665" s="525">
        <v>2887.66</v>
      </c>
      <c r="S665" s="527">
        <f t="shared" si="92"/>
        <v>2804.34</v>
      </c>
      <c r="T665" s="528">
        <f t="shared" si="93"/>
        <v>0</v>
      </c>
      <c r="U665" s="527">
        <f t="shared" si="88"/>
        <v>60.12</v>
      </c>
      <c r="W665" s="326">
        <f t="shared" si="89"/>
        <v>2887.66</v>
      </c>
      <c r="X665" s="261">
        <f t="shared" si="94"/>
        <v>0</v>
      </c>
      <c r="Y665" s="546"/>
      <c r="Z665" s="1016">
        <f t="shared" si="91"/>
        <v>2804.34</v>
      </c>
    </row>
    <row r="666" spans="1:26" ht="12" hidden="1" thickBot="1">
      <c r="A666" s="522" t="s">
        <v>1362</v>
      </c>
      <c r="B666" s="522" t="s">
        <v>368</v>
      </c>
      <c r="C666" s="522" t="s">
        <v>995</v>
      </c>
      <c r="D666" s="533" t="s">
        <v>1036</v>
      </c>
      <c r="E666" s="530">
        <v>108538</v>
      </c>
      <c r="F666" s="532"/>
      <c r="G666" s="531">
        <v>25959.66</v>
      </c>
      <c r="H666" s="532"/>
      <c r="I666" s="532"/>
      <c r="J666" s="532"/>
      <c r="K666" s="532"/>
      <c r="L666" s="532"/>
      <c r="M666" s="531">
        <v>379.79</v>
      </c>
      <c r="N666" s="531">
        <v>565.58000000000004</v>
      </c>
      <c r="O666" s="532"/>
      <c r="P666" s="532"/>
      <c r="Q666" s="531">
        <v>0</v>
      </c>
      <c r="R666" s="531">
        <v>26905.03</v>
      </c>
      <c r="S666" s="527">
        <f t="shared" si="92"/>
        <v>25959.66</v>
      </c>
      <c r="T666" s="528">
        <f t="shared" si="93"/>
        <v>0</v>
      </c>
      <c r="U666" s="527">
        <f t="shared" si="88"/>
        <v>565.58000000000004</v>
      </c>
      <c r="W666" s="326">
        <f t="shared" si="89"/>
        <v>26905.030000000002</v>
      </c>
      <c r="X666" s="261">
        <f t="shared" si="94"/>
        <v>0</v>
      </c>
      <c r="Y666" s="546"/>
      <c r="Z666" s="1016">
        <f t="shared" si="91"/>
        <v>25959.66</v>
      </c>
    </row>
    <row r="667" spans="1:26" ht="12" hidden="1" thickBot="1">
      <c r="A667" s="522" t="s">
        <v>1362</v>
      </c>
      <c r="B667" s="522" t="s">
        <v>400</v>
      </c>
      <c r="C667" s="522" t="s">
        <v>996</v>
      </c>
      <c r="D667" s="533" t="s">
        <v>1036</v>
      </c>
      <c r="E667" s="524">
        <v>8667</v>
      </c>
      <c r="F667" s="526"/>
      <c r="G667" s="525">
        <v>1661.8</v>
      </c>
      <c r="H667" s="526"/>
      <c r="I667" s="526"/>
      <c r="J667" s="526"/>
      <c r="K667" s="526"/>
      <c r="L667" s="526"/>
      <c r="M667" s="525">
        <v>29.04</v>
      </c>
      <c r="N667" s="525">
        <v>34.81</v>
      </c>
      <c r="O667" s="526"/>
      <c r="P667" s="526"/>
      <c r="Q667" s="525">
        <v>0</v>
      </c>
      <c r="R667" s="525">
        <v>1725.65</v>
      </c>
      <c r="S667" s="527">
        <f t="shared" si="92"/>
        <v>1661.8</v>
      </c>
      <c r="T667" s="528">
        <f t="shared" si="93"/>
        <v>0</v>
      </c>
      <c r="U667" s="527">
        <f t="shared" si="88"/>
        <v>34.81</v>
      </c>
      <c r="W667" s="326">
        <f t="shared" si="89"/>
        <v>1725.6499999999999</v>
      </c>
      <c r="X667" s="261">
        <f t="shared" si="94"/>
        <v>0</v>
      </c>
      <c r="Y667" s="546"/>
      <c r="Z667" s="1016">
        <f t="shared" si="91"/>
        <v>1661.8</v>
      </c>
    </row>
    <row r="668" spans="1:26" ht="12" hidden="1" thickBot="1">
      <c r="A668" s="522" t="s">
        <v>1362</v>
      </c>
      <c r="B668" s="522" t="s">
        <v>327</v>
      </c>
      <c r="C668" s="522" t="s">
        <v>997</v>
      </c>
      <c r="D668" s="533" t="s">
        <v>1036</v>
      </c>
      <c r="E668" s="530">
        <v>41184</v>
      </c>
      <c r="F668" s="532"/>
      <c r="G668" s="531">
        <v>6052.08</v>
      </c>
      <c r="H668" s="532"/>
      <c r="I668" s="532"/>
      <c r="J668" s="532"/>
      <c r="K668" s="532"/>
      <c r="L668" s="532"/>
      <c r="M668" s="531">
        <v>87.44</v>
      </c>
      <c r="N668" s="531">
        <v>75.040000000000006</v>
      </c>
      <c r="O668" s="532"/>
      <c r="P668" s="532"/>
      <c r="Q668" s="531">
        <v>0</v>
      </c>
      <c r="R668" s="531">
        <v>6214.56</v>
      </c>
      <c r="S668" s="527">
        <f t="shared" si="92"/>
        <v>6052.08</v>
      </c>
      <c r="T668" s="528">
        <f t="shared" si="93"/>
        <v>0</v>
      </c>
      <c r="U668" s="527">
        <f t="shared" si="88"/>
        <v>75.040000000000006</v>
      </c>
      <c r="W668" s="326">
        <f t="shared" si="89"/>
        <v>6214.5599999999995</v>
      </c>
      <c r="X668" s="261">
        <f t="shared" si="94"/>
        <v>0</v>
      </c>
      <c r="Y668" s="546"/>
      <c r="Z668" s="1016">
        <f t="shared" si="91"/>
        <v>6052.08</v>
      </c>
    </row>
    <row r="669" spans="1:26" ht="12" hidden="1" thickBot="1">
      <c r="A669" s="522" t="s">
        <v>1362</v>
      </c>
      <c r="B669" s="522" t="s">
        <v>357</v>
      </c>
      <c r="C669" s="522" t="s">
        <v>998</v>
      </c>
      <c r="D669" s="533" t="s">
        <v>1036</v>
      </c>
      <c r="E669" s="524">
        <v>203596</v>
      </c>
      <c r="F669" s="526"/>
      <c r="G669" s="525">
        <v>22185.22</v>
      </c>
      <c r="H669" s="526"/>
      <c r="I669" s="526"/>
      <c r="J669" s="526"/>
      <c r="K669" s="526"/>
      <c r="L669" s="526"/>
      <c r="M669" s="525">
        <v>521.57000000000005</v>
      </c>
      <c r="N669" s="525">
        <v>347.61</v>
      </c>
      <c r="O669" s="526"/>
      <c r="P669" s="526"/>
      <c r="Q669" s="525">
        <v>0</v>
      </c>
      <c r="R669" s="525">
        <v>23054.400000000001</v>
      </c>
      <c r="S669" s="527">
        <f t="shared" si="92"/>
        <v>22185.22</v>
      </c>
      <c r="T669" s="528">
        <f t="shared" si="93"/>
        <v>0</v>
      </c>
      <c r="U669" s="527">
        <f t="shared" si="88"/>
        <v>347.61</v>
      </c>
      <c r="W669" s="326">
        <f t="shared" si="89"/>
        <v>23054.400000000001</v>
      </c>
      <c r="X669" s="261">
        <f t="shared" si="94"/>
        <v>0</v>
      </c>
      <c r="Y669" s="546"/>
      <c r="Z669" s="1016">
        <f t="shared" si="91"/>
        <v>22185.22</v>
      </c>
    </row>
    <row r="670" spans="1:26" ht="12" hidden="1" thickBot="1">
      <c r="A670" s="522" t="s">
        <v>1362</v>
      </c>
      <c r="B670" s="522" t="s">
        <v>331</v>
      </c>
      <c r="C670" s="522" t="s">
        <v>999</v>
      </c>
      <c r="D670" s="533" t="s">
        <v>1036</v>
      </c>
      <c r="E670" s="530">
        <v>69200</v>
      </c>
      <c r="F670" s="532"/>
      <c r="G670" s="531">
        <v>10407.44</v>
      </c>
      <c r="H670" s="532"/>
      <c r="I670" s="532"/>
      <c r="J670" s="532"/>
      <c r="K670" s="532"/>
      <c r="L670" s="532"/>
      <c r="M670" s="531">
        <v>245.12</v>
      </c>
      <c r="N670" s="531">
        <v>231.67</v>
      </c>
      <c r="O670" s="532"/>
      <c r="P670" s="532"/>
      <c r="Q670" s="531">
        <v>0</v>
      </c>
      <c r="R670" s="531">
        <v>10884.23</v>
      </c>
      <c r="S670" s="527">
        <f t="shared" si="92"/>
        <v>10407.44</v>
      </c>
      <c r="T670" s="528">
        <f t="shared" si="93"/>
        <v>0</v>
      </c>
      <c r="U670" s="527">
        <f t="shared" si="88"/>
        <v>231.67</v>
      </c>
      <c r="W670" s="326">
        <f t="shared" si="89"/>
        <v>10884.230000000001</v>
      </c>
      <c r="X670" s="261">
        <f t="shared" si="94"/>
        <v>0</v>
      </c>
      <c r="Y670" s="546"/>
      <c r="Z670" s="1016">
        <f t="shared" si="91"/>
        <v>10407.44</v>
      </c>
    </row>
    <row r="671" spans="1:26" ht="12" hidden="1" thickBot="1">
      <c r="A671" s="522" t="s">
        <v>1362</v>
      </c>
      <c r="B671" s="522" t="s">
        <v>335</v>
      </c>
      <c r="C671" s="522" t="s">
        <v>1000</v>
      </c>
      <c r="D671" s="533" t="s">
        <v>1036</v>
      </c>
      <c r="E671" s="524">
        <v>1151</v>
      </c>
      <c r="F671" s="526"/>
      <c r="G671" s="525">
        <v>705.9</v>
      </c>
      <c r="H671" s="526"/>
      <c r="I671" s="526"/>
      <c r="J671" s="526"/>
      <c r="K671" s="526"/>
      <c r="L671" s="526"/>
      <c r="M671" s="525">
        <v>3.38</v>
      </c>
      <c r="N671" s="525">
        <v>12.62</v>
      </c>
      <c r="O671" s="526"/>
      <c r="P671" s="526"/>
      <c r="Q671" s="525">
        <v>0</v>
      </c>
      <c r="R671" s="525">
        <v>721.9</v>
      </c>
      <c r="S671" s="527">
        <f t="shared" si="92"/>
        <v>705.9</v>
      </c>
      <c r="T671" s="528">
        <f t="shared" si="93"/>
        <v>0</v>
      </c>
      <c r="U671" s="527">
        <f t="shared" si="88"/>
        <v>12.62</v>
      </c>
      <c r="W671" s="326">
        <f t="shared" si="89"/>
        <v>721.9</v>
      </c>
      <c r="X671" s="261">
        <f t="shared" si="94"/>
        <v>0</v>
      </c>
      <c r="Y671" s="546"/>
      <c r="Z671" s="1016">
        <f t="shared" si="91"/>
        <v>705.9</v>
      </c>
    </row>
    <row r="672" spans="1:26" ht="12" hidden="1" thickBot="1">
      <c r="A672" s="522" t="s">
        <v>1362</v>
      </c>
      <c r="B672" s="522" t="s">
        <v>372</v>
      </c>
      <c r="C672" s="522" t="s">
        <v>1001</v>
      </c>
      <c r="D672" s="533" t="s">
        <v>1036</v>
      </c>
      <c r="E672" s="530">
        <v>124739</v>
      </c>
      <c r="F672" s="532"/>
      <c r="G672" s="531">
        <v>52220.94</v>
      </c>
      <c r="H672" s="532"/>
      <c r="I672" s="532"/>
      <c r="J672" s="532"/>
      <c r="K672" s="532"/>
      <c r="L672" s="532"/>
      <c r="M672" s="531">
        <v>392.27</v>
      </c>
      <c r="N672" s="531">
        <v>1009.33</v>
      </c>
      <c r="O672" s="532"/>
      <c r="P672" s="532"/>
      <c r="Q672" s="531">
        <v>0</v>
      </c>
      <c r="R672" s="531">
        <v>53622.54</v>
      </c>
      <c r="S672" s="527">
        <f t="shared" si="92"/>
        <v>52220.94</v>
      </c>
      <c r="T672" s="528">
        <f t="shared" si="93"/>
        <v>0</v>
      </c>
      <c r="U672" s="527">
        <f t="shared" si="88"/>
        <v>1009.33</v>
      </c>
      <c r="W672" s="326">
        <f t="shared" si="89"/>
        <v>53622.54</v>
      </c>
      <c r="X672" s="261">
        <f t="shared" si="94"/>
        <v>0</v>
      </c>
      <c r="Y672" s="546"/>
      <c r="Z672" s="1016">
        <f t="shared" si="91"/>
        <v>52220.94</v>
      </c>
    </row>
    <row r="673" spans="1:26" ht="12" hidden="1" thickBot="1">
      <c r="A673" s="522" t="s">
        <v>1362</v>
      </c>
      <c r="B673" s="522" t="s">
        <v>381</v>
      </c>
      <c r="C673" s="522" t="s">
        <v>1002</v>
      </c>
      <c r="D673" s="533" t="s">
        <v>1035</v>
      </c>
      <c r="E673" s="524">
        <v>223648</v>
      </c>
      <c r="F673" s="526"/>
      <c r="G673" s="525">
        <v>76651.97</v>
      </c>
      <c r="H673" s="526"/>
      <c r="I673" s="526"/>
      <c r="J673" s="526"/>
      <c r="K673" s="526"/>
      <c r="L673" s="526"/>
      <c r="M673" s="525">
        <v>647.91999999999996</v>
      </c>
      <c r="N673" s="525">
        <v>1356.7</v>
      </c>
      <c r="O673" s="526"/>
      <c r="P673" s="526"/>
      <c r="Q673" s="525">
        <v>0</v>
      </c>
      <c r="R673" s="525">
        <v>78656.59</v>
      </c>
      <c r="S673" s="527">
        <f t="shared" si="92"/>
        <v>76651.97</v>
      </c>
      <c r="T673" s="528">
        <f t="shared" si="93"/>
        <v>0</v>
      </c>
      <c r="U673" s="527">
        <f t="shared" si="88"/>
        <v>1356.7</v>
      </c>
      <c r="W673" s="326">
        <f t="shared" si="89"/>
        <v>78656.59</v>
      </c>
      <c r="X673" s="261">
        <f t="shared" si="94"/>
        <v>0</v>
      </c>
      <c r="Y673" s="546"/>
      <c r="Z673" s="1016">
        <f t="shared" si="91"/>
        <v>76651.97</v>
      </c>
    </row>
    <row r="674" spans="1:26" ht="12" hidden="1" thickBot="1">
      <c r="A674" s="522" t="s">
        <v>1362</v>
      </c>
      <c r="B674" s="522" t="s">
        <v>404</v>
      </c>
      <c r="C674" s="522" t="s">
        <v>1003</v>
      </c>
      <c r="D674" s="533" t="s">
        <v>1035</v>
      </c>
      <c r="E674" s="530">
        <v>693781</v>
      </c>
      <c r="F674" s="532"/>
      <c r="G674" s="531">
        <v>182480.28</v>
      </c>
      <c r="H674" s="532"/>
      <c r="I674" s="532"/>
      <c r="J674" s="532"/>
      <c r="K674" s="532"/>
      <c r="L674" s="532"/>
      <c r="M674" s="531">
        <v>2274.92</v>
      </c>
      <c r="N674" s="531">
        <v>3712.41</v>
      </c>
      <c r="O674" s="532"/>
      <c r="P674" s="532"/>
      <c r="Q674" s="531">
        <v>0</v>
      </c>
      <c r="R674" s="531">
        <v>188467.61</v>
      </c>
      <c r="S674" s="527">
        <f t="shared" si="92"/>
        <v>182480.28</v>
      </c>
      <c r="T674" s="528">
        <f t="shared" si="93"/>
        <v>0</v>
      </c>
      <c r="U674" s="527">
        <f t="shared" si="88"/>
        <v>3712.41</v>
      </c>
      <c r="W674" s="326">
        <f t="shared" si="89"/>
        <v>188467.61000000002</v>
      </c>
      <c r="X674" s="261">
        <f t="shared" si="94"/>
        <v>0</v>
      </c>
      <c r="Y674" s="546"/>
      <c r="Z674" s="1016">
        <f t="shared" si="91"/>
        <v>182480.28</v>
      </c>
    </row>
    <row r="675" spans="1:26" ht="12" hidden="1" thickBot="1">
      <c r="A675" s="522" t="s">
        <v>1362</v>
      </c>
      <c r="B675" s="522" t="s">
        <v>361</v>
      </c>
      <c r="C675" s="522" t="s">
        <v>1004</v>
      </c>
      <c r="D675" s="533" t="s">
        <v>1035</v>
      </c>
      <c r="E675" s="524">
        <v>549134</v>
      </c>
      <c r="F675" s="526"/>
      <c r="G675" s="525">
        <v>108590</v>
      </c>
      <c r="H675" s="526"/>
      <c r="I675" s="526"/>
      <c r="J675" s="526"/>
      <c r="K675" s="526"/>
      <c r="L675" s="526"/>
      <c r="M675" s="525">
        <v>1776.95</v>
      </c>
      <c r="N675" s="525">
        <v>2185.8200000000002</v>
      </c>
      <c r="O675" s="526"/>
      <c r="P675" s="526"/>
      <c r="Q675" s="525">
        <v>0</v>
      </c>
      <c r="R675" s="525">
        <v>112552.77</v>
      </c>
      <c r="S675" s="527">
        <f t="shared" si="92"/>
        <v>108590</v>
      </c>
      <c r="T675" s="528">
        <f t="shared" si="93"/>
        <v>0</v>
      </c>
      <c r="U675" s="527">
        <f t="shared" si="88"/>
        <v>2185.8200000000002</v>
      </c>
      <c r="W675" s="326">
        <f t="shared" si="89"/>
        <v>112552.77</v>
      </c>
      <c r="X675" s="261">
        <f t="shared" si="94"/>
        <v>0</v>
      </c>
      <c r="Y675" s="546"/>
      <c r="Z675" s="1016">
        <f t="shared" si="91"/>
        <v>108590</v>
      </c>
    </row>
    <row r="676" spans="1:26" ht="12" hidden="1" thickBot="1">
      <c r="A676" s="522" t="s">
        <v>1362</v>
      </c>
      <c r="B676" s="522" t="s">
        <v>393</v>
      </c>
      <c r="C676" s="522" t="s">
        <v>1005</v>
      </c>
      <c r="D676" s="533" t="s">
        <v>1035</v>
      </c>
      <c r="E676" s="530">
        <v>390816</v>
      </c>
      <c r="F676" s="532"/>
      <c r="G676" s="531">
        <v>64172.78</v>
      </c>
      <c r="H676" s="532"/>
      <c r="I676" s="532"/>
      <c r="J676" s="532"/>
      <c r="K676" s="532"/>
      <c r="L676" s="532"/>
      <c r="M676" s="531">
        <v>1322.78</v>
      </c>
      <c r="N676" s="531">
        <v>1357.91</v>
      </c>
      <c r="O676" s="532"/>
      <c r="P676" s="532"/>
      <c r="Q676" s="531">
        <v>0</v>
      </c>
      <c r="R676" s="531">
        <v>66853.47</v>
      </c>
      <c r="S676" s="527">
        <f t="shared" si="92"/>
        <v>64172.78</v>
      </c>
      <c r="T676" s="528">
        <f t="shared" si="93"/>
        <v>0</v>
      </c>
      <c r="U676" s="527">
        <f t="shared" si="88"/>
        <v>1357.91</v>
      </c>
      <c r="W676" s="326">
        <f t="shared" si="89"/>
        <v>66853.47</v>
      </c>
      <c r="X676" s="261">
        <f t="shared" si="94"/>
        <v>0</v>
      </c>
      <c r="Y676" s="546"/>
      <c r="Z676" s="1016">
        <f t="shared" si="91"/>
        <v>64172.78</v>
      </c>
    </row>
    <row r="677" spans="1:26" ht="12" hidden="1" thickBot="1">
      <c r="A677" s="522" t="s">
        <v>1362</v>
      </c>
      <c r="B677" s="522" t="s">
        <v>1356</v>
      </c>
      <c r="C677" s="522" t="s">
        <v>1357</v>
      </c>
      <c r="D677" s="533" t="s">
        <v>756</v>
      </c>
      <c r="E677" s="524">
        <v>386</v>
      </c>
      <c r="F677" s="526"/>
      <c r="G677" s="525"/>
      <c r="H677" s="526"/>
      <c r="I677" s="526"/>
      <c r="J677" s="526"/>
      <c r="K677" s="526"/>
      <c r="L677" s="526"/>
      <c r="M677" s="525"/>
      <c r="N677" s="525"/>
      <c r="O677" s="526"/>
      <c r="P677" s="526"/>
      <c r="Q677" s="525"/>
      <c r="R677" s="525"/>
      <c r="S677" s="527">
        <f t="shared" si="92"/>
        <v>0</v>
      </c>
      <c r="T677" s="528">
        <f t="shared" si="93"/>
        <v>0</v>
      </c>
      <c r="U677" s="527">
        <f t="shared" si="88"/>
        <v>0</v>
      </c>
      <c r="W677" s="326">
        <f t="shared" si="89"/>
        <v>0</v>
      </c>
      <c r="X677" s="261">
        <f t="shared" ref="X677:X697" si="95">W677-R677</f>
        <v>0</v>
      </c>
      <c r="Y677" s="546"/>
      <c r="Z677" s="1016">
        <f t="shared" si="91"/>
        <v>0</v>
      </c>
    </row>
    <row r="678" spans="1:26" ht="12" hidden="1" thickBot="1">
      <c r="A678" s="522" t="s">
        <v>1362</v>
      </c>
      <c r="B678" s="522" t="s">
        <v>379</v>
      </c>
      <c r="C678" s="522" t="s">
        <v>1006</v>
      </c>
      <c r="D678" s="533" t="s">
        <v>1036</v>
      </c>
      <c r="E678" s="530">
        <v>15497</v>
      </c>
      <c r="F678" s="532"/>
      <c r="G678" s="531">
        <v>8235.36</v>
      </c>
      <c r="H678" s="532"/>
      <c r="I678" s="532"/>
      <c r="J678" s="532"/>
      <c r="K678" s="532"/>
      <c r="L678" s="532"/>
      <c r="M678" s="531">
        <v>49.67</v>
      </c>
      <c r="N678" s="531">
        <v>162.46</v>
      </c>
      <c r="O678" s="532"/>
      <c r="P678" s="532"/>
      <c r="Q678" s="531">
        <v>0</v>
      </c>
      <c r="R678" s="531">
        <v>8447.49</v>
      </c>
      <c r="S678" s="527">
        <f t="shared" si="92"/>
        <v>8235.36</v>
      </c>
      <c r="T678" s="528">
        <f t="shared" si="93"/>
        <v>0</v>
      </c>
      <c r="U678" s="527">
        <f t="shared" si="88"/>
        <v>162.46</v>
      </c>
      <c r="W678" s="326">
        <f t="shared" si="89"/>
        <v>8447.49</v>
      </c>
      <c r="X678" s="261">
        <f t="shared" si="95"/>
        <v>0</v>
      </c>
      <c r="Y678" s="546"/>
      <c r="Z678" s="1016">
        <f t="shared" si="91"/>
        <v>8235.36</v>
      </c>
    </row>
    <row r="679" spans="1:26" ht="12" hidden="1" thickBot="1">
      <c r="A679" s="522" t="s">
        <v>1362</v>
      </c>
      <c r="B679" s="522" t="s">
        <v>389</v>
      </c>
      <c r="C679" s="522" t="s">
        <v>1007</v>
      </c>
      <c r="D679" s="533" t="s">
        <v>1035</v>
      </c>
      <c r="E679" s="524">
        <v>33707</v>
      </c>
      <c r="F679" s="526"/>
      <c r="G679" s="525">
        <v>14669.46</v>
      </c>
      <c r="H679" s="526"/>
      <c r="I679" s="526"/>
      <c r="J679" s="526"/>
      <c r="K679" s="526"/>
      <c r="L679" s="526"/>
      <c r="M679" s="525">
        <v>107.57</v>
      </c>
      <c r="N679" s="525">
        <v>288.99</v>
      </c>
      <c r="O679" s="526"/>
      <c r="P679" s="526"/>
      <c r="Q679" s="525">
        <v>0</v>
      </c>
      <c r="R679" s="525">
        <v>15066.02</v>
      </c>
      <c r="S679" s="527">
        <f t="shared" ref="S679:S710" si="96">G679+H679+I679</f>
        <v>14669.46</v>
      </c>
      <c r="T679" s="528">
        <f t="shared" ref="T679:T710" si="97">J679+K679</f>
        <v>0</v>
      </c>
      <c r="U679" s="527">
        <f t="shared" si="88"/>
        <v>288.99</v>
      </c>
      <c r="W679" s="326">
        <f t="shared" si="89"/>
        <v>15066.019999999999</v>
      </c>
      <c r="X679" s="261">
        <f t="shared" si="95"/>
        <v>0</v>
      </c>
      <c r="Y679" s="546"/>
      <c r="Z679" s="1016">
        <f t="shared" si="91"/>
        <v>14669.46</v>
      </c>
    </row>
    <row r="680" spans="1:26" ht="12" hidden="1" thickBot="1">
      <c r="A680" s="522" t="s">
        <v>1362</v>
      </c>
      <c r="B680" s="522" t="s">
        <v>412</v>
      </c>
      <c r="C680" s="522" t="s">
        <v>1008</v>
      </c>
      <c r="D680" s="533" t="s">
        <v>1035</v>
      </c>
      <c r="E680" s="530">
        <v>139149</v>
      </c>
      <c r="F680" s="532"/>
      <c r="G680" s="531">
        <v>44917.89</v>
      </c>
      <c r="H680" s="532"/>
      <c r="I680" s="532"/>
      <c r="J680" s="532"/>
      <c r="K680" s="532"/>
      <c r="L680" s="532"/>
      <c r="M680" s="531">
        <v>483.04</v>
      </c>
      <c r="N680" s="531">
        <v>967.93</v>
      </c>
      <c r="O680" s="532"/>
      <c r="P680" s="532"/>
      <c r="Q680" s="531">
        <v>0</v>
      </c>
      <c r="R680" s="531">
        <v>46368.86</v>
      </c>
      <c r="S680" s="527">
        <f t="shared" si="96"/>
        <v>44917.89</v>
      </c>
      <c r="T680" s="528">
        <f t="shared" si="97"/>
        <v>0</v>
      </c>
      <c r="U680" s="527">
        <f t="shared" si="88"/>
        <v>967.93</v>
      </c>
      <c r="W680" s="326">
        <f t="shared" si="89"/>
        <v>46368.86</v>
      </c>
      <c r="X680" s="261">
        <f t="shared" si="95"/>
        <v>0</v>
      </c>
      <c r="Y680" s="546"/>
      <c r="Z680" s="1016">
        <f t="shared" si="91"/>
        <v>44917.89</v>
      </c>
    </row>
    <row r="681" spans="1:26" ht="12" hidden="1" thickBot="1">
      <c r="A681" s="522" t="s">
        <v>1362</v>
      </c>
      <c r="B681" s="522" t="s">
        <v>367</v>
      </c>
      <c r="C681" s="522" t="s">
        <v>1009</v>
      </c>
      <c r="D681" s="533" t="s">
        <v>1036</v>
      </c>
      <c r="E681" s="524">
        <v>30191</v>
      </c>
      <c r="F681" s="526"/>
      <c r="G681" s="525">
        <v>9731.4</v>
      </c>
      <c r="H681" s="526"/>
      <c r="I681" s="526"/>
      <c r="J681" s="526"/>
      <c r="K681" s="526"/>
      <c r="L681" s="526"/>
      <c r="M681" s="525">
        <v>105.74</v>
      </c>
      <c r="N681" s="525">
        <v>211.18</v>
      </c>
      <c r="O681" s="526"/>
      <c r="P681" s="526"/>
      <c r="Q681" s="525">
        <v>0</v>
      </c>
      <c r="R681" s="525">
        <v>10048.32</v>
      </c>
      <c r="S681" s="527">
        <f t="shared" si="96"/>
        <v>9731.4</v>
      </c>
      <c r="T681" s="528">
        <f t="shared" si="97"/>
        <v>0</v>
      </c>
      <c r="U681" s="527">
        <f t="shared" si="88"/>
        <v>211.18</v>
      </c>
      <c r="W681" s="326">
        <f t="shared" si="89"/>
        <v>10048.32</v>
      </c>
      <c r="X681" s="261">
        <f t="shared" si="95"/>
        <v>0</v>
      </c>
      <c r="Y681" s="546"/>
      <c r="Z681" s="1016">
        <f t="shared" si="91"/>
        <v>9731.4</v>
      </c>
    </row>
    <row r="682" spans="1:26" ht="12" hidden="1" thickBot="1">
      <c r="A682" s="522" t="s">
        <v>1362</v>
      </c>
      <c r="B682" s="522" t="s">
        <v>330</v>
      </c>
      <c r="C682" s="522" t="s">
        <v>1010</v>
      </c>
      <c r="D682" s="533" t="s">
        <v>1036</v>
      </c>
      <c r="E682" s="530">
        <v>18805</v>
      </c>
      <c r="F682" s="532"/>
      <c r="G682" s="531">
        <v>3370.25</v>
      </c>
      <c r="H682" s="532"/>
      <c r="I682" s="532"/>
      <c r="J682" s="532"/>
      <c r="K682" s="532"/>
      <c r="L682" s="532"/>
      <c r="M682" s="531">
        <v>67.14</v>
      </c>
      <c r="N682" s="531">
        <v>75.27</v>
      </c>
      <c r="O682" s="532"/>
      <c r="P682" s="532"/>
      <c r="Q682" s="531">
        <v>0</v>
      </c>
      <c r="R682" s="531">
        <v>3512.66</v>
      </c>
      <c r="S682" s="527">
        <f t="shared" si="96"/>
        <v>3370.25</v>
      </c>
      <c r="T682" s="528">
        <f t="shared" si="97"/>
        <v>0</v>
      </c>
      <c r="U682" s="527">
        <f t="shared" si="88"/>
        <v>75.27</v>
      </c>
      <c r="W682" s="326">
        <f t="shared" si="89"/>
        <v>3512.66</v>
      </c>
      <c r="X682" s="261">
        <f t="shared" si="95"/>
        <v>0</v>
      </c>
      <c r="Y682" s="546"/>
      <c r="Z682" s="1016">
        <f t="shared" si="91"/>
        <v>3370.25</v>
      </c>
    </row>
    <row r="683" spans="1:26" ht="12" hidden="1" thickBot="1">
      <c r="A683" s="522" t="s">
        <v>1362</v>
      </c>
      <c r="B683" s="522" t="s">
        <v>371</v>
      </c>
      <c r="C683" s="522" t="s">
        <v>1011</v>
      </c>
      <c r="D683" s="533" t="s">
        <v>1036</v>
      </c>
      <c r="E683" s="524">
        <v>67777</v>
      </c>
      <c r="F683" s="526"/>
      <c r="G683" s="525">
        <v>38456.339999999997</v>
      </c>
      <c r="H683" s="526"/>
      <c r="I683" s="526"/>
      <c r="J683" s="526"/>
      <c r="K683" s="526"/>
      <c r="L683" s="526"/>
      <c r="M683" s="525">
        <v>143.81</v>
      </c>
      <c r="N683" s="525">
        <v>471.44</v>
      </c>
      <c r="O683" s="526"/>
      <c r="P683" s="526"/>
      <c r="Q683" s="525">
        <v>0</v>
      </c>
      <c r="R683" s="525">
        <v>39071.589999999997</v>
      </c>
      <c r="S683" s="527">
        <f t="shared" si="96"/>
        <v>38456.339999999997</v>
      </c>
      <c r="T683" s="528">
        <f t="shared" si="97"/>
        <v>0</v>
      </c>
      <c r="U683" s="527">
        <f t="shared" si="88"/>
        <v>471.44</v>
      </c>
      <c r="W683" s="326">
        <f t="shared" si="89"/>
        <v>39071.589999999997</v>
      </c>
      <c r="X683" s="261">
        <f t="shared" si="95"/>
        <v>0</v>
      </c>
      <c r="Y683" s="546"/>
      <c r="Z683" s="1016">
        <f t="shared" si="91"/>
        <v>38456.339999999997</v>
      </c>
    </row>
    <row r="684" spans="1:26" ht="12" hidden="1" thickBot="1">
      <c r="A684" s="522" t="s">
        <v>1362</v>
      </c>
      <c r="B684" s="522" t="s">
        <v>380</v>
      </c>
      <c r="C684" s="522" t="s">
        <v>1012</v>
      </c>
      <c r="D684" s="533" t="s">
        <v>1035</v>
      </c>
      <c r="E684" s="530">
        <v>223370</v>
      </c>
      <c r="F684" s="532"/>
      <c r="G684" s="531">
        <v>101395.6</v>
      </c>
      <c r="H684" s="532"/>
      <c r="I684" s="532"/>
      <c r="J684" s="532"/>
      <c r="K684" s="532"/>
      <c r="L684" s="532"/>
      <c r="M684" s="531">
        <v>476.78</v>
      </c>
      <c r="N684" s="531">
        <v>1253.05</v>
      </c>
      <c r="O684" s="532"/>
      <c r="P684" s="532"/>
      <c r="Q684" s="531">
        <v>0</v>
      </c>
      <c r="R684" s="531">
        <v>103125.43</v>
      </c>
      <c r="S684" s="527">
        <f t="shared" si="96"/>
        <v>101395.6</v>
      </c>
      <c r="T684" s="528">
        <f t="shared" si="97"/>
        <v>0</v>
      </c>
      <c r="U684" s="527">
        <f t="shared" si="88"/>
        <v>1253.05</v>
      </c>
      <c r="W684" s="326">
        <f t="shared" si="89"/>
        <v>103125.43000000001</v>
      </c>
      <c r="X684" s="261">
        <f t="shared" si="95"/>
        <v>0</v>
      </c>
      <c r="Y684" s="546"/>
      <c r="Z684" s="1016">
        <f t="shared" si="91"/>
        <v>101395.6</v>
      </c>
    </row>
    <row r="685" spans="1:26" ht="12" hidden="1" thickBot="1">
      <c r="A685" s="522" t="s">
        <v>1362</v>
      </c>
      <c r="B685" s="522" t="s">
        <v>403</v>
      </c>
      <c r="C685" s="522" t="s">
        <v>1013</v>
      </c>
      <c r="D685" s="533" t="s">
        <v>1035</v>
      </c>
      <c r="E685" s="524">
        <v>118945</v>
      </c>
      <c r="F685" s="526"/>
      <c r="G685" s="525">
        <v>41522.339999999997</v>
      </c>
      <c r="H685" s="526"/>
      <c r="I685" s="526"/>
      <c r="J685" s="526"/>
      <c r="K685" s="526"/>
      <c r="L685" s="526"/>
      <c r="M685" s="525">
        <v>316.35000000000002</v>
      </c>
      <c r="N685" s="525">
        <v>668.55</v>
      </c>
      <c r="O685" s="526"/>
      <c r="P685" s="526"/>
      <c r="Q685" s="525">
        <v>0</v>
      </c>
      <c r="R685" s="525">
        <v>42507.24</v>
      </c>
      <c r="S685" s="527">
        <f t="shared" si="96"/>
        <v>41522.339999999997</v>
      </c>
      <c r="T685" s="528">
        <f t="shared" si="97"/>
        <v>0</v>
      </c>
      <c r="U685" s="527">
        <f t="shared" si="88"/>
        <v>668.55</v>
      </c>
      <c r="W685" s="326">
        <f t="shared" si="89"/>
        <v>42507.24</v>
      </c>
      <c r="X685" s="261">
        <f t="shared" si="95"/>
        <v>0</v>
      </c>
      <c r="Y685" s="546"/>
      <c r="Z685" s="1016">
        <f t="shared" si="91"/>
        <v>41522.339999999997</v>
      </c>
    </row>
    <row r="686" spans="1:26" ht="12" hidden="1" thickBot="1">
      <c r="A686" s="522" t="s">
        <v>1362</v>
      </c>
      <c r="B686" s="522" t="s">
        <v>360</v>
      </c>
      <c r="C686" s="522" t="s">
        <v>1014</v>
      </c>
      <c r="D686" s="533" t="s">
        <v>1035</v>
      </c>
      <c r="E686" s="530">
        <v>378907</v>
      </c>
      <c r="F686" s="532"/>
      <c r="G686" s="531">
        <v>90056.12</v>
      </c>
      <c r="H686" s="532"/>
      <c r="I686" s="532"/>
      <c r="J686" s="532"/>
      <c r="K686" s="532"/>
      <c r="L686" s="532"/>
      <c r="M686" s="531">
        <v>1011.61</v>
      </c>
      <c r="N686" s="531">
        <v>1458.23</v>
      </c>
      <c r="O686" s="532"/>
      <c r="P686" s="532"/>
      <c r="Q686" s="531">
        <v>0</v>
      </c>
      <c r="R686" s="531">
        <v>92525.96</v>
      </c>
      <c r="S686" s="527">
        <f t="shared" si="96"/>
        <v>90056.12</v>
      </c>
      <c r="T686" s="528">
        <f t="shared" si="97"/>
        <v>0</v>
      </c>
      <c r="U686" s="527">
        <f t="shared" si="88"/>
        <v>1458.23</v>
      </c>
      <c r="W686" s="326">
        <f t="shared" si="89"/>
        <v>92525.959999999992</v>
      </c>
      <c r="X686" s="261">
        <f t="shared" si="95"/>
        <v>0</v>
      </c>
      <c r="Y686" s="546"/>
      <c r="Z686" s="1016">
        <f t="shared" si="91"/>
        <v>90056.12</v>
      </c>
    </row>
    <row r="687" spans="1:26" ht="12" hidden="1" thickBot="1">
      <c r="A687" s="522" t="s">
        <v>1362</v>
      </c>
      <c r="B687" s="522" t="s">
        <v>392</v>
      </c>
      <c r="C687" s="522" t="s">
        <v>1015</v>
      </c>
      <c r="D687" s="533" t="s">
        <v>1035</v>
      </c>
      <c r="E687" s="524">
        <v>74515</v>
      </c>
      <c r="F687" s="526"/>
      <c r="G687" s="525">
        <v>12596.9</v>
      </c>
      <c r="H687" s="526"/>
      <c r="I687" s="526"/>
      <c r="J687" s="526"/>
      <c r="K687" s="526"/>
      <c r="L687" s="526"/>
      <c r="M687" s="525">
        <v>198.01</v>
      </c>
      <c r="N687" s="525">
        <v>204.3</v>
      </c>
      <c r="O687" s="526"/>
      <c r="P687" s="526"/>
      <c r="Q687" s="525">
        <v>0</v>
      </c>
      <c r="R687" s="525">
        <v>12999.21</v>
      </c>
      <c r="S687" s="527">
        <f t="shared" si="96"/>
        <v>12596.9</v>
      </c>
      <c r="T687" s="528">
        <f t="shared" si="97"/>
        <v>0</v>
      </c>
      <c r="U687" s="527">
        <f t="shared" si="88"/>
        <v>204.3</v>
      </c>
      <c r="W687" s="326">
        <f t="shared" si="89"/>
        <v>12999.21</v>
      </c>
      <c r="X687" s="261">
        <f t="shared" si="95"/>
        <v>0</v>
      </c>
      <c r="Y687" s="546"/>
      <c r="Z687" s="1016">
        <f t="shared" si="91"/>
        <v>12596.9</v>
      </c>
    </row>
    <row r="688" spans="1:26" ht="12" hidden="1" thickBot="1">
      <c r="A688" s="522" t="s">
        <v>1362</v>
      </c>
      <c r="B688" s="522" t="s">
        <v>390</v>
      </c>
      <c r="C688" s="522" t="s">
        <v>1016</v>
      </c>
      <c r="D688" s="533" t="s">
        <v>1035</v>
      </c>
      <c r="E688" s="530">
        <v>116639</v>
      </c>
      <c r="F688" s="532"/>
      <c r="G688" s="531">
        <v>76620.61</v>
      </c>
      <c r="H688" s="532"/>
      <c r="I688" s="532"/>
      <c r="J688" s="532"/>
      <c r="K688" s="532"/>
      <c r="L688" s="532"/>
      <c r="M688" s="531">
        <v>247.97</v>
      </c>
      <c r="N688" s="531">
        <v>941.08</v>
      </c>
      <c r="O688" s="532"/>
      <c r="P688" s="532"/>
      <c r="Q688" s="531">
        <v>0</v>
      </c>
      <c r="R688" s="531">
        <v>77809.66</v>
      </c>
      <c r="S688" s="527">
        <f t="shared" si="96"/>
        <v>76620.61</v>
      </c>
      <c r="T688" s="528">
        <f t="shared" si="97"/>
        <v>0</v>
      </c>
      <c r="U688" s="527">
        <f t="shared" si="88"/>
        <v>941.08</v>
      </c>
      <c r="W688" s="326">
        <f t="shared" si="89"/>
        <v>77809.66</v>
      </c>
      <c r="X688" s="261">
        <f t="shared" si="95"/>
        <v>0</v>
      </c>
      <c r="Y688" s="546"/>
      <c r="Z688" s="1016">
        <f t="shared" si="91"/>
        <v>76620.61</v>
      </c>
    </row>
    <row r="689" spans="1:26" ht="12.75" hidden="1" customHeight="1" thickBot="1">
      <c r="A689" s="522" t="s">
        <v>1362</v>
      </c>
      <c r="B689" s="522" t="s">
        <v>414</v>
      </c>
      <c r="C689" s="522" t="s">
        <v>1017</v>
      </c>
      <c r="D689" s="533" t="s">
        <v>1035</v>
      </c>
      <c r="E689" s="524">
        <v>37197</v>
      </c>
      <c r="F689" s="526"/>
      <c r="G689" s="525">
        <v>22060.44</v>
      </c>
      <c r="H689" s="526"/>
      <c r="I689" s="526"/>
      <c r="J689" s="526"/>
      <c r="K689" s="526"/>
      <c r="L689" s="526"/>
      <c r="M689" s="525">
        <v>104.36</v>
      </c>
      <c r="N689" s="525">
        <v>374.77</v>
      </c>
      <c r="O689" s="526"/>
      <c r="P689" s="526"/>
      <c r="Q689" s="525">
        <v>0</v>
      </c>
      <c r="R689" s="525">
        <v>22539.57</v>
      </c>
      <c r="S689" s="527">
        <f t="shared" si="96"/>
        <v>22060.44</v>
      </c>
      <c r="T689" s="528">
        <f t="shared" si="97"/>
        <v>0</v>
      </c>
      <c r="U689" s="527">
        <f t="shared" si="88"/>
        <v>374.77</v>
      </c>
      <c r="W689" s="326">
        <f t="shared" si="89"/>
        <v>22539.57</v>
      </c>
      <c r="X689" s="261">
        <f t="shared" si="95"/>
        <v>0</v>
      </c>
      <c r="Y689" s="546"/>
      <c r="Z689" s="1016">
        <f t="shared" si="91"/>
        <v>22060.44</v>
      </c>
    </row>
    <row r="690" spans="1:26" ht="12" hidden="1" thickBot="1">
      <c r="A690" s="522" t="s">
        <v>1362</v>
      </c>
      <c r="B690" s="522" t="s">
        <v>364</v>
      </c>
      <c r="C690" s="522" t="s">
        <v>1018</v>
      </c>
      <c r="D690" s="533" t="s">
        <v>1035</v>
      </c>
      <c r="E690" s="530">
        <v>102574</v>
      </c>
      <c r="F690" s="532"/>
      <c r="G690" s="531">
        <v>37853.800000000003</v>
      </c>
      <c r="H690" s="532"/>
      <c r="I690" s="532"/>
      <c r="J690" s="532"/>
      <c r="K690" s="532"/>
      <c r="L690" s="532"/>
      <c r="M690" s="531">
        <v>301.06</v>
      </c>
      <c r="N690" s="531">
        <v>678.3</v>
      </c>
      <c r="O690" s="532"/>
      <c r="P690" s="532"/>
      <c r="Q690" s="531">
        <v>0</v>
      </c>
      <c r="R690" s="531">
        <v>38833.160000000003</v>
      </c>
      <c r="S690" s="527">
        <f t="shared" si="96"/>
        <v>37853.800000000003</v>
      </c>
      <c r="T690" s="528">
        <f t="shared" si="97"/>
        <v>0</v>
      </c>
      <c r="U690" s="527">
        <f t="shared" si="88"/>
        <v>678.3</v>
      </c>
      <c r="W690" s="326">
        <f t="shared" si="89"/>
        <v>38833.160000000003</v>
      </c>
      <c r="X690" s="261">
        <f t="shared" si="95"/>
        <v>0</v>
      </c>
      <c r="Y690" s="546"/>
      <c r="Z690" s="1016">
        <f t="shared" si="91"/>
        <v>37853.800000000003</v>
      </c>
    </row>
    <row r="691" spans="1:26" ht="12" hidden="1" thickBot="1">
      <c r="A691" s="522" t="s">
        <v>1362</v>
      </c>
      <c r="B691" s="522" t="s">
        <v>396</v>
      </c>
      <c r="C691" s="522" t="s">
        <v>1019</v>
      </c>
      <c r="D691" s="533" t="s">
        <v>1035</v>
      </c>
      <c r="E691" s="524">
        <v>131393</v>
      </c>
      <c r="F691" s="526"/>
      <c r="G691" s="525">
        <v>31377.89</v>
      </c>
      <c r="H691" s="526"/>
      <c r="I691" s="526"/>
      <c r="J691" s="526"/>
      <c r="K691" s="526"/>
      <c r="L691" s="526"/>
      <c r="M691" s="525">
        <v>443.36</v>
      </c>
      <c r="N691" s="525">
        <v>657.72</v>
      </c>
      <c r="O691" s="526"/>
      <c r="P691" s="526"/>
      <c r="Q691" s="525">
        <v>0</v>
      </c>
      <c r="R691" s="525">
        <v>32478.97</v>
      </c>
      <c r="S691" s="527">
        <f t="shared" si="96"/>
        <v>31377.89</v>
      </c>
      <c r="T691" s="528">
        <f t="shared" si="97"/>
        <v>0</v>
      </c>
      <c r="U691" s="527">
        <f t="shared" si="88"/>
        <v>657.72</v>
      </c>
      <c r="W691" s="326">
        <f t="shared" si="89"/>
        <v>32478.97</v>
      </c>
      <c r="X691" s="261">
        <f t="shared" si="95"/>
        <v>0</v>
      </c>
      <c r="Y691" s="546"/>
      <c r="Z691" s="1016">
        <f t="shared" si="91"/>
        <v>31377.89</v>
      </c>
    </row>
    <row r="692" spans="1:26" ht="12" hidden="1" thickBot="1">
      <c r="A692" s="522" t="s">
        <v>1362</v>
      </c>
      <c r="B692" s="522" t="s">
        <v>415</v>
      </c>
      <c r="C692" s="522" t="s">
        <v>1020</v>
      </c>
      <c r="D692" s="533" t="s">
        <v>1035</v>
      </c>
      <c r="E692" s="530">
        <v>377034</v>
      </c>
      <c r="F692" s="532"/>
      <c r="G692" s="531">
        <v>99785.89</v>
      </c>
      <c r="H692" s="532"/>
      <c r="I692" s="532"/>
      <c r="J692" s="532"/>
      <c r="K692" s="532"/>
      <c r="L692" s="532"/>
      <c r="M692" s="531">
        <v>1320.7</v>
      </c>
      <c r="N692" s="531">
        <v>2205.5500000000002</v>
      </c>
      <c r="O692" s="532"/>
      <c r="P692" s="532"/>
      <c r="Q692" s="531">
        <v>0</v>
      </c>
      <c r="R692" s="531">
        <v>103312.14</v>
      </c>
      <c r="S692" s="527">
        <f t="shared" si="96"/>
        <v>99785.89</v>
      </c>
      <c r="T692" s="528">
        <f t="shared" si="97"/>
        <v>0</v>
      </c>
      <c r="U692" s="527">
        <f t="shared" si="88"/>
        <v>2205.5500000000002</v>
      </c>
      <c r="W692" s="326">
        <f t="shared" si="89"/>
        <v>103312.14</v>
      </c>
      <c r="X692" s="261">
        <f t="shared" si="95"/>
        <v>0</v>
      </c>
      <c r="Y692" s="546"/>
      <c r="Z692" s="1016">
        <f t="shared" si="91"/>
        <v>99785.89</v>
      </c>
    </row>
    <row r="693" spans="1:26" ht="12" hidden="1" thickBot="1">
      <c r="A693" s="522" t="s">
        <v>1362</v>
      </c>
      <c r="B693" s="522" t="s">
        <v>365</v>
      </c>
      <c r="C693" s="522" t="s">
        <v>1021</v>
      </c>
      <c r="D693" s="533" t="s">
        <v>1035</v>
      </c>
      <c r="E693" s="524">
        <v>467243</v>
      </c>
      <c r="F693" s="526"/>
      <c r="G693" s="525">
        <v>90121.58</v>
      </c>
      <c r="H693" s="526"/>
      <c r="I693" s="526"/>
      <c r="J693" s="526"/>
      <c r="K693" s="526"/>
      <c r="L693" s="526"/>
      <c r="M693" s="525">
        <v>1643.81</v>
      </c>
      <c r="N693" s="525">
        <v>1964.71</v>
      </c>
      <c r="O693" s="526"/>
      <c r="P693" s="526"/>
      <c r="Q693" s="525">
        <v>0</v>
      </c>
      <c r="R693" s="525">
        <v>93730.1</v>
      </c>
      <c r="S693" s="527">
        <f t="shared" si="96"/>
        <v>90121.58</v>
      </c>
      <c r="T693" s="528">
        <f t="shared" si="97"/>
        <v>0</v>
      </c>
      <c r="U693" s="527">
        <f t="shared" si="88"/>
        <v>1964.71</v>
      </c>
      <c r="W693" s="326">
        <f t="shared" si="89"/>
        <v>93730.1</v>
      </c>
      <c r="X693" s="261">
        <f t="shared" si="95"/>
        <v>0</v>
      </c>
      <c r="Y693" s="546"/>
      <c r="Z693" s="1016">
        <f t="shared" si="91"/>
        <v>90121.58</v>
      </c>
    </row>
    <row r="694" spans="1:26" ht="12" hidden="1" thickBot="1">
      <c r="A694" s="522" t="s">
        <v>1362</v>
      </c>
      <c r="B694" s="522" t="s">
        <v>397</v>
      </c>
      <c r="C694" s="522" t="s">
        <v>1022</v>
      </c>
      <c r="D694" s="533" t="s">
        <v>1035</v>
      </c>
      <c r="E694" s="530">
        <v>1154025</v>
      </c>
      <c r="F694" s="532"/>
      <c r="G694" s="531">
        <v>162434.04</v>
      </c>
      <c r="H694" s="532"/>
      <c r="I694" s="532"/>
      <c r="J694" s="532"/>
      <c r="K694" s="532"/>
      <c r="L694" s="532"/>
      <c r="M694" s="531">
        <v>4008.48</v>
      </c>
      <c r="N694" s="531">
        <v>3552.23</v>
      </c>
      <c r="O694" s="532"/>
      <c r="P694" s="532"/>
      <c r="Q694" s="531">
        <v>0</v>
      </c>
      <c r="R694" s="531">
        <v>169994.75</v>
      </c>
      <c r="S694" s="527">
        <f t="shared" si="96"/>
        <v>162434.04</v>
      </c>
      <c r="T694" s="528">
        <f t="shared" si="97"/>
        <v>0</v>
      </c>
      <c r="U694" s="527">
        <f t="shared" si="88"/>
        <v>3552.23</v>
      </c>
      <c r="W694" s="326">
        <f t="shared" si="89"/>
        <v>169994.75000000003</v>
      </c>
      <c r="X694" s="261">
        <f t="shared" si="95"/>
        <v>0</v>
      </c>
      <c r="Y694" s="546"/>
      <c r="Z694" s="1016">
        <f t="shared" si="91"/>
        <v>162434.04</v>
      </c>
    </row>
    <row r="695" spans="1:26" ht="12" hidden="1" thickBot="1">
      <c r="A695" s="522" t="s">
        <v>1362</v>
      </c>
      <c r="B695" s="522" t="s">
        <v>337</v>
      </c>
      <c r="C695" s="522" t="s">
        <v>1023</v>
      </c>
      <c r="D695" s="533" t="s">
        <v>1035</v>
      </c>
      <c r="E695" s="524">
        <v>2608</v>
      </c>
      <c r="F695" s="526"/>
      <c r="G695" s="525">
        <v>897.26</v>
      </c>
      <c r="H695" s="526"/>
      <c r="I695" s="526"/>
      <c r="J695" s="526"/>
      <c r="K695" s="526"/>
      <c r="L695" s="526"/>
      <c r="M695" s="525">
        <v>9.24</v>
      </c>
      <c r="N695" s="525">
        <v>19.68</v>
      </c>
      <c r="O695" s="526"/>
      <c r="P695" s="526"/>
      <c r="Q695" s="525">
        <v>0</v>
      </c>
      <c r="R695" s="525">
        <v>926.18</v>
      </c>
      <c r="S695" s="527">
        <f t="shared" si="96"/>
        <v>897.26</v>
      </c>
      <c r="T695" s="528">
        <f t="shared" si="97"/>
        <v>0</v>
      </c>
      <c r="U695" s="527">
        <f t="shared" si="88"/>
        <v>19.68</v>
      </c>
      <c r="W695" s="326">
        <f t="shared" si="89"/>
        <v>926.18</v>
      </c>
      <c r="X695" s="261">
        <f t="shared" si="95"/>
        <v>0</v>
      </c>
      <c r="Y695" s="546"/>
      <c r="Z695" s="1016">
        <f t="shared" si="91"/>
        <v>897.26</v>
      </c>
    </row>
    <row r="696" spans="1:26" ht="12" hidden="1" thickBot="1">
      <c r="A696" s="522" t="s">
        <v>1362</v>
      </c>
      <c r="B696" s="522" t="s">
        <v>369</v>
      </c>
      <c r="C696" s="522" t="s">
        <v>1024</v>
      </c>
      <c r="D696" s="533" t="s">
        <v>1035</v>
      </c>
      <c r="E696" s="530">
        <v>30423</v>
      </c>
      <c r="F696" s="532"/>
      <c r="G696" s="531">
        <v>6469.35</v>
      </c>
      <c r="H696" s="532"/>
      <c r="I696" s="532"/>
      <c r="J696" s="532"/>
      <c r="K696" s="532"/>
      <c r="L696" s="532"/>
      <c r="M696" s="531">
        <v>107.23</v>
      </c>
      <c r="N696" s="531">
        <v>142.16</v>
      </c>
      <c r="O696" s="532"/>
      <c r="P696" s="532"/>
      <c r="Q696" s="531">
        <v>0</v>
      </c>
      <c r="R696" s="531">
        <v>6718.74</v>
      </c>
      <c r="S696" s="527">
        <f t="shared" si="96"/>
        <v>6469.35</v>
      </c>
      <c r="T696" s="528">
        <f t="shared" si="97"/>
        <v>0</v>
      </c>
      <c r="U696" s="527">
        <f t="shared" si="88"/>
        <v>142.16</v>
      </c>
      <c r="W696" s="326">
        <f t="shared" si="89"/>
        <v>6718.74</v>
      </c>
      <c r="X696" s="261">
        <f t="shared" si="95"/>
        <v>0</v>
      </c>
      <c r="Y696" s="546"/>
      <c r="Z696" s="1016">
        <f t="shared" si="91"/>
        <v>6469.35</v>
      </c>
    </row>
    <row r="697" spans="1:26" ht="12" hidden="1" thickBot="1">
      <c r="A697" s="522" t="s">
        <v>1362</v>
      </c>
      <c r="B697" s="522" t="s">
        <v>715</v>
      </c>
      <c r="C697" s="522" t="s">
        <v>1025</v>
      </c>
      <c r="D697" s="533" t="s">
        <v>1035</v>
      </c>
      <c r="E697" s="524">
        <v>45</v>
      </c>
      <c r="F697" s="526"/>
      <c r="G697" s="525">
        <v>30.74</v>
      </c>
      <c r="H697" s="526"/>
      <c r="I697" s="526"/>
      <c r="J697" s="526"/>
      <c r="K697" s="526"/>
      <c r="L697" s="526"/>
      <c r="M697" s="525">
        <v>0.16</v>
      </c>
      <c r="N697" s="525">
        <v>0.68</v>
      </c>
      <c r="O697" s="526"/>
      <c r="P697" s="526"/>
      <c r="Q697" s="526"/>
      <c r="R697" s="525">
        <v>31.58</v>
      </c>
      <c r="S697" s="527">
        <f t="shared" si="96"/>
        <v>30.74</v>
      </c>
      <c r="T697" s="528">
        <f t="shared" si="97"/>
        <v>0</v>
      </c>
      <c r="U697" s="527">
        <f t="shared" si="88"/>
        <v>0.68</v>
      </c>
      <c r="W697" s="326">
        <f t="shared" si="89"/>
        <v>31.58</v>
      </c>
      <c r="X697" s="261">
        <f t="shared" si="95"/>
        <v>0</v>
      </c>
      <c r="Y697" s="546"/>
      <c r="Z697" s="1016">
        <f t="shared" si="91"/>
        <v>30.74</v>
      </c>
    </row>
    <row r="698" spans="1:26" ht="12" hidden="1" thickBot="1">
      <c r="A698" s="522" t="s">
        <v>1362</v>
      </c>
      <c r="B698" s="522" t="s">
        <v>332</v>
      </c>
      <c r="C698" s="522" t="s">
        <v>1026</v>
      </c>
      <c r="D698" s="533" t="s">
        <v>1035</v>
      </c>
      <c r="E698" s="530">
        <v>13934</v>
      </c>
      <c r="F698" s="532"/>
      <c r="G698" s="531">
        <v>1965.1</v>
      </c>
      <c r="H698" s="532"/>
      <c r="I698" s="532"/>
      <c r="J698" s="532"/>
      <c r="K698" s="532"/>
      <c r="L698" s="532"/>
      <c r="M698" s="531">
        <v>49.73</v>
      </c>
      <c r="N698" s="531">
        <v>44.12</v>
      </c>
      <c r="O698" s="532"/>
      <c r="P698" s="532"/>
      <c r="Q698" s="531">
        <v>0</v>
      </c>
      <c r="R698" s="531">
        <v>2058.9499999999998</v>
      </c>
      <c r="S698" s="527">
        <f t="shared" si="96"/>
        <v>1965.1</v>
      </c>
      <c r="T698" s="528">
        <f t="shared" si="97"/>
        <v>0</v>
      </c>
      <c r="U698" s="527">
        <f t="shared" si="88"/>
        <v>44.12</v>
      </c>
      <c r="W698" s="326">
        <f t="shared" si="89"/>
        <v>2058.9499999999998</v>
      </c>
      <c r="X698" s="261">
        <f t="shared" ref="X698:X711" si="98">W698-R698</f>
        <v>0</v>
      </c>
      <c r="Y698" s="546"/>
      <c r="Z698" s="1016">
        <f t="shared" si="91"/>
        <v>1965.1</v>
      </c>
    </row>
    <row r="699" spans="1:26" ht="12" hidden="1" thickBot="1">
      <c r="A699" s="522" t="s">
        <v>1362</v>
      </c>
      <c r="B699" s="522" t="s">
        <v>334</v>
      </c>
      <c r="C699" s="522" t="s">
        <v>1027</v>
      </c>
      <c r="D699" s="533" t="s">
        <v>1035</v>
      </c>
      <c r="E699" s="524">
        <v>7629</v>
      </c>
      <c r="F699" s="526"/>
      <c r="G699" s="525">
        <v>4766.16</v>
      </c>
      <c r="H699" s="526"/>
      <c r="I699" s="526"/>
      <c r="J699" s="526"/>
      <c r="K699" s="526"/>
      <c r="L699" s="526"/>
      <c r="M699" s="525">
        <v>25.07</v>
      </c>
      <c r="N699" s="525">
        <v>96.37</v>
      </c>
      <c r="O699" s="526"/>
      <c r="P699" s="526"/>
      <c r="Q699" s="525">
        <v>0</v>
      </c>
      <c r="R699" s="525">
        <v>4887.6000000000004</v>
      </c>
      <c r="S699" s="527">
        <f t="shared" si="96"/>
        <v>4766.16</v>
      </c>
      <c r="T699" s="528">
        <f t="shared" si="97"/>
        <v>0</v>
      </c>
      <c r="U699" s="527">
        <f t="shared" ref="U699:U711" si="99">N699+O699</f>
        <v>96.37</v>
      </c>
      <c r="W699" s="326">
        <f t="shared" ref="W699:W760" si="100">SUM(F699:Q699)</f>
        <v>4887.5999999999995</v>
      </c>
      <c r="X699" s="261">
        <f t="shared" si="98"/>
        <v>0</v>
      </c>
      <c r="Y699" s="546"/>
      <c r="Z699" s="1016">
        <f t="shared" si="91"/>
        <v>4766.16</v>
      </c>
    </row>
    <row r="700" spans="1:26" ht="12" hidden="1" thickBot="1">
      <c r="A700" s="522" t="s">
        <v>1362</v>
      </c>
      <c r="B700" s="522" t="s">
        <v>366</v>
      </c>
      <c r="C700" s="522" t="s">
        <v>1028</v>
      </c>
      <c r="D700" s="533" t="s">
        <v>1035</v>
      </c>
      <c r="E700" s="530">
        <v>63234</v>
      </c>
      <c r="F700" s="532"/>
      <c r="G700" s="531">
        <v>21513.040000000001</v>
      </c>
      <c r="H700" s="532"/>
      <c r="I700" s="532"/>
      <c r="J700" s="532"/>
      <c r="K700" s="532"/>
      <c r="L700" s="532"/>
      <c r="M700" s="531">
        <v>224.81</v>
      </c>
      <c r="N700" s="531">
        <v>473.95</v>
      </c>
      <c r="O700" s="532"/>
      <c r="P700" s="532"/>
      <c r="Q700" s="531">
        <v>0</v>
      </c>
      <c r="R700" s="531">
        <v>22211.8</v>
      </c>
      <c r="S700" s="527">
        <f t="shared" si="96"/>
        <v>21513.040000000001</v>
      </c>
      <c r="T700" s="528">
        <f t="shared" si="97"/>
        <v>0</v>
      </c>
      <c r="U700" s="527">
        <f t="shared" si="99"/>
        <v>473.95</v>
      </c>
      <c r="W700" s="326">
        <f t="shared" si="100"/>
        <v>22211.800000000003</v>
      </c>
      <c r="X700" s="261">
        <f t="shared" si="98"/>
        <v>0</v>
      </c>
      <c r="Y700" s="546"/>
      <c r="Z700" s="1016">
        <f t="shared" si="91"/>
        <v>21513.040000000001</v>
      </c>
    </row>
    <row r="701" spans="1:26" ht="12" hidden="1" thickBot="1">
      <c r="A701" s="522" t="s">
        <v>1362</v>
      </c>
      <c r="B701" s="522" t="s">
        <v>329</v>
      </c>
      <c r="C701" s="522" t="s">
        <v>1029</v>
      </c>
      <c r="D701" s="533" t="s">
        <v>1035</v>
      </c>
      <c r="E701" s="524">
        <v>48358</v>
      </c>
      <c r="F701" s="526"/>
      <c r="G701" s="525">
        <v>9022.86</v>
      </c>
      <c r="H701" s="526"/>
      <c r="I701" s="526"/>
      <c r="J701" s="526"/>
      <c r="K701" s="526"/>
      <c r="L701" s="526"/>
      <c r="M701" s="525">
        <v>168.27</v>
      </c>
      <c r="N701" s="525">
        <v>196.14</v>
      </c>
      <c r="O701" s="526"/>
      <c r="P701" s="526"/>
      <c r="Q701" s="525">
        <v>0</v>
      </c>
      <c r="R701" s="525">
        <v>9387.27</v>
      </c>
      <c r="S701" s="527">
        <f t="shared" si="96"/>
        <v>9022.86</v>
      </c>
      <c r="T701" s="528">
        <f t="shared" si="97"/>
        <v>0</v>
      </c>
      <c r="U701" s="527">
        <f t="shared" si="99"/>
        <v>196.14</v>
      </c>
      <c r="W701" s="326">
        <f t="shared" si="100"/>
        <v>9387.27</v>
      </c>
      <c r="X701" s="261">
        <f t="shared" si="98"/>
        <v>0</v>
      </c>
      <c r="Y701" s="546"/>
      <c r="Z701" s="1016">
        <f t="shared" si="91"/>
        <v>9022.86</v>
      </c>
    </row>
    <row r="702" spans="1:26" ht="12" hidden="1" thickBot="1">
      <c r="A702" s="522" t="s">
        <v>1362</v>
      </c>
      <c r="B702" s="522" t="s">
        <v>683</v>
      </c>
      <c r="C702" s="522" t="s">
        <v>1047</v>
      </c>
      <c r="D702" s="533" t="s">
        <v>1035</v>
      </c>
      <c r="E702" s="530">
        <v>325</v>
      </c>
      <c r="F702" s="532"/>
      <c r="G702" s="531">
        <v>153.5</v>
      </c>
      <c r="H702" s="532"/>
      <c r="I702" s="532"/>
      <c r="J702" s="532"/>
      <c r="K702" s="532"/>
      <c r="L702" s="532"/>
      <c r="M702" s="531">
        <v>1.1499999999999999</v>
      </c>
      <c r="N702" s="531">
        <v>3.39</v>
      </c>
      <c r="O702" s="532"/>
      <c r="P702" s="532"/>
      <c r="Q702" s="532"/>
      <c r="R702" s="531">
        <v>158.04</v>
      </c>
      <c r="S702" s="527">
        <f t="shared" si="96"/>
        <v>153.5</v>
      </c>
      <c r="T702" s="528">
        <f t="shared" si="97"/>
        <v>0</v>
      </c>
      <c r="U702" s="527">
        <f t="shared" si="99"/>
        <v>3.39</v>
      </c>
      <c r="W702" s="326">
        <f t="shared" si="100"/>
        <v>158.04</v>
      </c>
      <c r="X702" s="261">
        <f t="shared" si="98"/>
        <v>0</v>
      </c>
      <c r="Y702" s="546"/>
      <c r="Z702" s="1016">
        <f t="shared" si="91"/>
        <v>153.5</v>
      </c>
    </row>
    <row r="703" spans="1:26" ht="12" hidden="1" thickBot="1">
      <c r="A703" s="522" t="s">
        <v>1362</v>
      </c>
      <c r="B703" s="522" t="s">
        <v>463</v>
      </c>
      <c r="C703" s="522" t="s">
        <v>1030</v>
      </c>
      <c r="D703" s="533" t="s">
        <v>1035</v>
      </c>
      <c r="E703" s="524">
        <v>1763</v>
      </c>
      <c r="F703" s="526"/>
      <c r="G703" s="525">
        <v>425.28</v>
      </c>
      <c r="H703" s="526"/>
      <c r="I703" s="526"/>
      <c r="J703" s="526"/>
      <c r="K703" s="526"/>
      <c r="L703" s="526"/>
      <c r="M703" s="525">
        <v>6.31</v>
      </c>
      <c r="N703" s="525">
        <v>9.4499999999999993</v>
      </c>
      <c r="O703" s="526"/>
      <c r="P703" s="526"/>
      <c r="Q703" s="526"/>
      <c r="R703" s="525">
        <v>441.04</v>
      </c>
      <c r="S703" s="527">
        <f t="shared" si="96"/>
        <v>425.28</v>
      </c>
      <c r="T703" s="528">
        <f t="shared" si="97"/>
        <v>0</v>
      </c>
      <c r="U703" s="527">
        <f t="shared" si="99"/>
        <v>9.4499999999999993</v>
      </c>
      <c r="W703" s="326">
        <f t="shared" si="100"/>
        <v>441.03999999999996</v>
      </c>
      <c r="X703" s="261">
        <f t="shared" si="98"/>
        <v>0</v>
      </c>
      <c r="Y703" s="546"/>
      <c r="Z703" s="1016">
        <f t="shared" si="91"/>
        <v>425.28</v>
      </c>
    </row>
    <row r="704" spans="1:26" ht="12" hidden="1" thickBot="1">
      <c r="A704" s="522" t="s">
        <v>1362</v>
      </c>
      <c r="B704" s="522" t="s">
        <v>653</v>
      </c>
      <c r="C704" s="522" t="s">
        <v>1031</v>
      </c>
      <c r="D704" s="533" t="s">
        <v>1035</v>
      </c>
      <c r="E704" s="530">
        <v>3265</v>
      </c>
      <c r="F704" s="532"/>
      <c r="G704" s="531">
        <v>515.76</v>
      </c>
      <c r="H704" s="532"/>
      <c r="I704" s="532"/>
      <c r="J704" s="532"/>
      <c r="K704" s="532"/>
      <c r="L704" s="532"/>
      <c r="M704" s="531">
        <v>11.44</v>
      </c>
      <c r="N704" s="531">
        <v>11.34</v>
      </c>
      <c r="O704" s="532"/>
      <c r="P704" s="532"/>
      <c r="Q704" s="532"/>
      <c r="R704" s="531">
        <v>538.54</v>
      </c>
      <c r="S704" s="527">
        <f t="shared" si="96"/>
        <v>515.76</v>
      </c>
      <c r="T704" s="528">
        <f t="shared" si="97"/>
        <v>0</v>
      </c>
      <c r="U704" s="527">
        <f t="shared" si="99"/>
        <v>11.34</v>
      </c>
      <c r="W704" s="326">
        <f t="shared" si="100"/>
        <v>538.54000000000008</v>
      </c>
      <c r="X704" s="261">
        <f t="shared" si="98"/>
        <v>0</v>
      </c>
      <c r="Y704" s="546"/>
      <c r="Z704" s="1016">
        <f t="shared" si="91"/>
        <v>515.76</v>
      </c>
    </row>
    <row r="705" spans="1:26" ht="12" hidden="1" thickBot="1">
      <c r="A705" s="522" t="s">
        <v>1362</v>
      </c>
      <c r="B705" s="522" t="s">
        <v>445</v>
      </c>
      <c r="C705" s="522" t="s">
        <v>444</v>
      </c>
      <c r="D705" s="523"/>
      <c r="E705" s="526"/>
      <c r="F705" s="526"/>
      <c r="G705" s="526"/>
      <c r="H705" s="526"/>
      <c r="I705" s="526"/>
      <c r="J705" s="526"/>
      <c r="K705" s="526"/>
      <c r="L705" s="526"/>
      <c r="M705" s="526"/>
      <c r="N705" s="526"/>
      <c r="O705" s="526"/>
      <c r="P705" s="526"/>
      <c r="Q705" s="526"/>
      <c r="R705" s="525">
        <v>121.42</v>
      </c>
      <c r="S705" s="527">
        <f t="shared" si="96"/>
        <v>0</v>
      </c>
      <c r="T705" s="528">
        <f t="shared" si="97"/>
        <v>0</v>
      </c>
      <c r="U705" s="527">
        <f t="shared" si="99"/>
        <v>0</v>
      </c>
      <c r="W705" s="326">
        <f t="shared" si="100"/>
        <v>0</v>
      </c>
      <c r="X705" s="261">
        <f t="shared" si="98"/>
        <v>-121.42</v>
      </c>
      <c r="Y705" s="546"/>
      <c r="Z705" s="1016">
        <f t="shared" ref="Z705:Z768" si="101">SUM(F705:K705)</f>
        <v>0</v>
      </c>
    </row>
    <row r="706" spans="1:26" ht="12" hidden="1" thickBot="1">
      <c r="A706" s="522" t="s">
        <v>1362</v>
      </c>
      <c r="B706" s="522" t="s">
        <v>474</v>
      </c>
      <c r="C706" s="522" t="s">
        <v>473</v>
      </c>
      <c r="D706" s="523"/>
      <c r="E706" s="532"/>
      <c r="F706" s="532"/>
      <c r="G706" s="532"/>
      <c r="H706" s="532"/>
      <c r="I706" s="532"/>
      <c r="J706" s="532"/>
      <c r="K706" s="532"/>
      <c r="L706" s="532"/>
      <c r="M706" s="532"/>
      <c r="N706" s="532"/>
      <c r="O706" s="532"/>
      <c r="P706" s="532"/>
      <c r="Q706" s="532"/>
      <c r="R706" s="531">
        <v>80364.73</v>
      </c>
      <c r="S706" s="527">
        <f t="shared" si="96"/>
        <v>0</v>
      </c>
      <c r="T706" s="528">
        <f t="shared" si="97"/>
        <v>0</v>
      </c>
      <c r="U706" s="527">
        <f t="shared" si="99"/>
        <v>0</v>
      </c>
      <c r="W706" s="326">
        <f t="shared" si="100"/>
        <v>0</v>
      </c>
      <c r="X706" s="261">
        <f t="shared" si="98"/>
        <v>-80364.73</v>
      </c>
      <c r="Y706" s="546"/>
      <c r="Z706" s="1016">
        <f t="shared" si="101"/>
        <v>0</v>
      </c>
    </row>
    <row r="707" spans="1:26" ht="12" hidden="1" thickBot="1">
      <c r="A707" s="522" t="s">
        <v>1362</v>
      </c>
      <c r="B707" s="522" t="s">
        <v>476</v>
      </c>
      <c r="C707" s="522" t="s">
        <v>475</v>
      </c>
      <c r="D707" s="523"/>
      <c r="E707" s="526"/>
      <c r="F707" s="526"/>
      <c r="G707" s="526"/>
      <c r="H707" s="526"/>
      <c r="I707" s="526"/>
      <c r="J707" s="526"/>
      <c r="K707" s="526"/>
      <c r="L707" s="526"/>
      <c r="M707" s="526"/>
      <c r="N707" s="526"/>
      <c r="O707" s="526"/>
      <c r="P707" s="526"/>
      <c r="Q707" s="526"/>
      <c r="R707" s="525">
        <v>9344.3700000000008</v>
      </c>
      <c r="S707" s="527">
        <f t="shared" si="96"/>
        <v>0</v>
      </c>
      <c r="T707" s="528">
        <f t="shared" si="97"/>
        <v>0</v>
      </c>
      <c r="U707" s="527">
        <f t="shared" si="99"/>
        <v>0</v>
      </c>
      <c r="W707" s="326">
        <f t="shared" si="100"/>
        <v>0</v>
      </c>
      <c r="X707" s="261">
        <f t="shared" si="98"/>
        <v>-9344.3700000000008</v>
      </c>
      <c r="Y707" s="546"/>
      <c r="Z707" s="1016">
        <f t="shared" si="101"/>
        <v>0</v>
      </c>
    </row>
    <row r="708" spans="1:26" ht="12" hidden="1" thickBot="1">
      <c r="A708" s="522" t="s">
        <v>1362</v>
      </c>
      <c r="B708" s="522" t="s">
        <v>443</v>
      </c>
      <c r="C708" s="522" t="s">
        <v>442</v>
      </c>
      <c r="D708" s="523"/>
      <c r="E708" s="532"/>
      <c r="F708" s="531">
        <v>30071.07</v>
      </c>
      <c r="G708" s="532"/>
      <c r="H708" s="532"/>
      <c r="I708" s="532"/>
      <c r="J708" s="532"/>
      <c r="K708" s="532"/>
      <c r="L708" s="532"/>
      <c r="M708" s="532"/>
      <c r="N708" s="532"/>
      <c r="O708" s="532"/>
      <c r="P708" s="532"/>
      <c r="Q708" s="532"/>
      <c r="R708" s="531">
        <v>30071.07</v>
      </c>
      <c r="S708" s="527">
        <f t="shared" si="96"/>
        <v>0</v>
      </c>
      <c r="T708" s="528">
        <f t="shared" si="97"/>
        <v>0</v>
      </c>
      <c r="U708" s="527">
        <f t="shared" si="99"/>
        <v>0</v>
      </c>
      <c r="W708" s="326">
        <f t="shared" si="100"/>
        <v>30071.07</v>
      </c>
      <c r="X708" s="261">
        <f t="shared" si="98"/>
        <v>0</v>
      </c>
      <c r="Y708" s="546"/>
      <c r="Z708" s="1016">
        <f t="shared" si="101"/>
        <v>30071.07</v>
      </c>
    </row>
    <row r="709" spans="1:26" ht="12" hidden="1" thickBot="1">
      <c r="A709" s="522" t="s">
        <v>1362</v>
      </c>
      <c r="B709" s="522" t="s">
        <v>710</v>
      </c>
      <c r="C709" s="522" t="s">
        <v>711</v>
      </c>
      <c r="D709" s="523"/>
      <c r="E709" s="526"/>
      <c r="F709" s="526"/>
      <c r="G709" s="526"/>
      <c r="H709" s="526"/>
      <c r="I709" s="526"/>
      <c r="J709" s="526"/>
      <c r="K709" s="526"/>
      <c r="L709" s="526"/>
      <c r="M709" s="526"/>
      <c r="N709" s="526"/>
      <c r="O709" s="526"/>
      <c r="P709" s="526"/>
      <c r="Q709" s="526"/>
      <c r="R709" s="525">
        <v>31761.16</v>
      </c>
      <c r="S709" s="527">
        <f t="shared" si="96"/>
        <v>0</v>
      </c>
      <c r="T709" s="528">
        <f t="shared" si="97"/>
        <v>0</v>
      </c>
      <c r="U709" s="527">
        <f t="shared" si="99"/>
        <v>0</v>
      </c>
      <c r="W709" s="326">
        <f t="shared" si="100"/>
        <v>0</v>
      </c>
      <c r="X709" s="261">
        <f t="shared" si="98"/>
        <v>-31761.16</v>
      </c>
      <c r="Z709" s="1016">
        <f t="shared" si="101"/>
        <v>0</v>
      </c>
    </row>
    <row r="710" spans="1:26" ht="12" hidden="1" thickBot="1">
      <c r="A710" s="522" t="s">
        <v>1362</v>
      </c>
      <c r="B710" s="522" t="s">
        <v>1048</v>
      </c>
      <c r="C710" s="522" t="s">
        <v>1049</v>
      </c>
      <c r="D710" s="523"/>
      <c r="E710" s="532"/>
      <c r="F710" s="532"/>
      <c r="G710" s="532"/>
      <c r="H710" s="532"/>
      <c r="I710" s="532"/>
      <c r="J710" s="532"/>
      <c r="K710" s="532"/>
      <c r="L710" s="532"/>
      <c r="M710" s="532"/>
      <c r="N710" s="532"/>
      <c r="O710" s="532"/>
      <c r="P710" s="532"/>
      <c r="Q710" s="532"/>
      <c r="R710" s="531">
        <v>0</v>
      </c>
      <c r="S710" s="527">
        <f t="shared" si="96"/>
        <v>0</v>
      </c>
      <c r="T710" s="528">
        <f t="shared" si="97"/>
        <v>0</v>
      </c>
      <c r="U710" s="527">
        <f t="shared" si="99"/>
        <v>0</v>
      </c>
      <c r="W710" s="326">
        <f t="shared" si="100"/>
        <v>0</v>
      </c>
      <c r="X710" s="261">
        <f t="shared" si="98"/>
        <v>0</v>
      </c>
      <c r="Z710" s="1016">
        <f t="shared" si="101"/>
        <v>0</v>
      </c>
    </row>
    <row r="711" spans="1:26" ht="12" hidden="1" thickBot="1">
      <c r="A711" s="522" t="s">
        <v>1362</v>
      </c>
      <c r="B711" s="543" t="s">
        <v>9</v>
      </c>
      <c r="C711" s="544"/>
      <c r="D711" s="544"/>
      <c r="E711" s="539">
        <v>1469391832</v>
      </c>
      <c r="F711" s="540">
        <v>7173705.5700000003</v>
      </c>
      <c r="G711" s="540">
        <v>36694790.549999997</v>
      </c>
      <c r="H711" s="540">
        <v>38518191.960000001</v>
      </c>
      <c r="I711" s="540">
        <v>1771407.84</v>
      </c>
      <c r="J711" s="540">
        <v>1792813.62</v>
      </c>
      <c r="K711" s="540">
        <v>23720963.920000002</v>
      </c>
      <c r="L711" s="540">
        <v>2188979.5099999998</v>
      </c>
      <c r="M711" s="540">
        <v>5646779.5499999998</v>
      </c>
      <c r="N711" s="540">
        <v>813802.07</v>
      </c>
      <c r="O711" s="540">
        <v>1479538.14</v>
      </c>
      <c r="P711" s="540">
        <v>-1071705.21</v>
      </c>
      <c r="Q711" s="540">
        <v>0</v>
      </c>
      <c r="R711" s="540">
        <v>119213039.27</v>
      </c>
      <c r="S711" s="527">
        <f>G711+H711+I711</f>
        <v>76984390.349999994</v>
      </c>
      <c r="T711" s="528">
        <f>J711+K711</f>
        <v>25513777.540000003</v>
      </c>
      <c r="U711" s="527">
        <f t="shared" si="99"/>
        <v>2293340.21</v>
      </c>
      <c r="W711" s="326">
        <f t="shared" si="100"/>
        <v>118729267.52000001</v>
      </c>
      <c r="X711" s="261">
        <f t="shared" si="98"/>
        <v>-483771.7499999851</v>
      </c>
      <c r="Z711" s="1016">
        <f t="shared" si="101"/>
        <v>109671873.46000001</v>
      </c>
    </row>
    <row r="712" spans="1:26" ht="12" hidden="1" thickBot="1">
      <c r="A712" s="522" t="s">
        <v>1363</v>
      </c>
      <c r="B712" s="522" t="s">
        <v>440</v>
      </c>
      <c r="C712" s="522" t="s">
        <v>460</v>
      </c>
      <c r="D712" s="522"/>
      <c r="E712" s="566">
        <v>3486</v>
      </c>
      <c r="F712" s="576">
        <v>25.5</v>
      </c>
      <c r="G712" s="576">
        <v>237.23</v>
      </c>
      <c r="H712" s="567"/>
      <c r="I712" s="567"/>
      <c r="J712" s="567"/>
      <c r="K712" s="567"/>
      <c r="L712" s="567"/>
      <c r="M712" s="567"/>
      <c r="N712" s="567"/>
      <c r="O712" s="567"/>
      <c r="P712" s="567"/>
      <c r="Q712" s="567"/>
      <c r="R712" s="576">
        <v>262.73</v>
      </c>
      <c r="S712" s="527">
        <f t="shared" ref="S712:S775" si="102">G712+H712+I712</f>
        <v>237.23</v>
      </c>
      <c r="T712" s="528">
        <f t="shared" ref="T712:T775" si="103">J712+K712</f>
        <v>0</v>
      </c>
      <c r="U712" s="527">
        <f t="shared" ref="U712:U775" si="104">N712+O712</f>
        <v>0</v>
      </c>
      <c r="W712" s="326">
        <f t="shared" si="100"/>
        <v>262.73</v>
      </c>
      <c r="X712" s="261">
        <f t="shared" ref="X712:X775" si="105">W712-R712</f>
        <v>0</v>
      </c>
      <c r="Z712" s="1016">
        <f t="shared" si="101"/>
        <v>262.73</v>
      </c>
    </row>
    <row r="713" spans="1:26" ht="12" hidden="1" thickBot="1">
      <c r="A713" s="522" t="s">
        <v>1363</v>
      </c>
      <c r="B713" s="522" t="s">
        <v>441</v>
      </c>
      <c r="C713" s="522" t="s">
        <v>461</v>
      </c>
      <c r="D713" s="522"/>
      <c r="E713" s="570">
        <v>760</v>
      </c>
      <c r="F713" s="574">
        <v>8.5</v>
      </c>
      <c r="G713" s="574">
        <v>51.72</v>
      </c>
      <c r="H713" s="571"/>
      <c r="I713" s="571"/>
      <c r="J713" s="571"/>
      <c r="K713" s="571"/>
      <c r="L713" s="571"/>
      <c r="M713" s="571"/>
      <c r="N713" s="571"/>
      <c r="O713" s="571"/>
      <c r="P713" s="571"/>
      <c r="Q713" s="571"/>
      <c r="R713" s="574">
        <v>60.22</v>
      </c>
      <c r="S713" s="527">
        <f t="shared" si="102"/>
        <v>51.72</v>
      </c>
      <c r="T713" s="528">
        <f t="shared" si="103"/>
        <v>0</v>
      </c>
      <c r="U713" s="527">
        <f t="shared" si="104"/>
        <v>0</v>
      </c>
      <c r="W713" s="326">
        <f t="shared" si="100"/>
        <v>60.22</v>
      </c>
      <c r="X713" s="261">
        <f t="shared" si="105"/>
        <v>0</v>
      </c>
      <c r="Z713" s="1016">
        <f t="shared" si="101"/>
        <v>60.22</v>
      </c>
    </row>
    <row r="714" spans="1:26" ht="12" hidden="1" thickBot="1">
      <c r="A714" s="522" t="s">
        <v>1363</v>
      </c>
      <c r="B714" s="522" t="s">
        <v>449</v>
      </c>
      <c r="C714" s="522" t="s">
        <v>448</v>
      </c>
      <c r="D714" s="522"/>
      <c r="E714" s="566">
        <v>104</v>
      </c>
      <c r="F714" s="567"/>
      <c r="G714" s="576">
        <v>19.04</v>
      </c>
      <c r="H714" s="567"/>
      <c r="I714" s="567"/>
      <c r="J714" s="567"/>
      <c r="K714" s="567"/>
      <c r="L714" s="567"/>
      <c r="M714" s="567"/>
      <c r="N714" s="567"/>
      <c r="O714" s="567"/>
      <c r="P714" s="567"/>
      <c r="Q714" s="567"/>
      <c r="R714" s="576">
        <v>19.04</v>
      </c>
      <c r="S714" s="527">
        <f t="shared" si="102"/>
        <v>19.04</v>
      </c>
      <c r="T714" s="528">
        <f t="shared" si="103"/>
        <v>0</v>
      </c>
      <c r="U714" s="527">
        <f t="shared" si="104"/>
        <v>0</v>
      </c>
      <c r="W714" s="326">
        <f t="shared" si="100"/>
        <v>19.04</v>
      </c>
      <c r="X714" s="261">
        <f t="shared" si="105"/>
        <v>0</v>
      </c>
      <c r="Z714" s="1016">
        <f t="shared" si="101"/>
        <v>19.04</v>
      </c>
    </row>
    <row r="715" spans="1:26" ht="12" hidden="1" thickBot="1">
      <c r="A715" s="522" t="s">
        <v>1363</v>
      </c>
      <c r="B715" s="522" t="s">
        <v>447</v>
      </c>
      <c r="C715" s="522" t="s">
        <v>446</v>
      </c>
      <c r="D715" s="522"/>
      <c r="E715" s="570">
        <v>29</v>
      </c>
      <c r="F715" s="571"/>
      <c r="G715" s="574">
        <v>6.9</v>
      </c>
      <c r="H715" s="571"/>
      <c r="I715" s="571"/>
      <c r="J715" s="571"/>
      <c r="K715" s="571"/>
      <c r="L715" s="571"/>
      <c r="M715" s="571"/>
      <c r="N715" s="571"/>
      <c r="O715" s="571"/>
      <c r="P715" s="571"/>
      <c r="Q715" s="571"/>
      <c r="R715" s="574">
        <v>6.9</v>
      </c>
      <c r="S715" s="527">
        <f t="shared" si="102"/>
        <v>6.9</v>
      </c>
      <c r="T715" s="528">
        <f t="shared" si="103"/>
        <v>0</v>
      </c>
      <c r="U715" s="527">
        <f t="shared" si="104"/>
        <v>0</v>
      </c>
      <c r="W715" s="326">
        <f t="shared" si="100"/>
        <v>6.9</v>
      </c>
      <c r="X715" s="261">
        <f t="shared" si="105"/>
        <v>0</v>
      </c>
      <c r="Z715" s="1016">
        <f t="shared" si="101"/>
        <v>6.9</v>
      </c>
    </row>
    <row r="716" spans="1:26" ht="12" hidden="1" thickBot="1">
      <c r="A716" s="522" t="s">
        <v>1363</v>
      </c>
      <c r="B716" s="522" t="s">
        <v>942</v>
      </c>
      <c r="C716" s="522" t="s">
        <v>943</v>
      </c>
      <c r="D716" s="522"/>
      <c r="E716" s="567"/>
      <c r="F716" s="567"/>
      <c r="G716" s="567"/>
      <c r="H716" s="567"/>
      <c r="I716" s="567"/>
      <c r="J716" s="567"/>
      <c r="K716" s="567"/>
      <c r="L716" s="567"/>
      <c r="M716" s="567"/>
      <c r="N716" s="567"/>
      <c r="O716" s="567"/>
      <c r="P716" s="567"/>
      <c r="Q716" s="567"/>
      <c r="R716" s="567"/>
      <c r="S716" s="527">
        <f t="shared" si="102"/>
        <v>0</v>
      </c>
      <c r="T716" s="528">
        <f t="shared" si="103"/>
        <v>0</v>
      </c>
      <c r="U716" s="527">
        <f t="shared" si="104"/>
        <v>0</v>
      </c>
      <c r="W716" s="326">
        <f t="shared" si="100"/>
        <v>0</v>
      </c>
      <c r="X716" s="261">
        <f t="shared" si="105"/>
        <v>0</v>
      </c>
      <c r="Z716" s="1016">
        <f t="shared" si="101"/>
        <v>0</v>
      </c>
    </row>
    <row r="717" spans="1:26" ht="12" hidden="1" thickBot="1">
      <c r="A717" s="522" t="s">
        <v>1363</v>
      </c>
      <c r="B717" s="522" t="s">
        <v>168</v>
      </c>
      <c r="C717" s="522" t="s">
        <v>58</v>
      </c>
      <c r="D717" s="523" t="s">
        <v>19</v>
      </c>
      <c r="E717" s="570">
        <v>133910524</v>
      </c>
      <c r="F717" s="574">
        <v>24000</v>
      </c>
      <c r="G717" s="574">
        <v>993616.1</v>
      </c>
      <c r="H717" s="574">
        <v>3872692.35</v>
      </c>
      <c r="I717" s="571"/>
      <c r="J717" s="574">
        <v>215503.16</v>
      </c>
      <c r="K717" s="574">
        <v>2209489.39</v>
      </c>
      <c r="L717" s="574">
        <v>0</v>
      </c>
      <c r="M717" s="574">
        <v>660142.5</v>
      </c>
      <c r="N717" s="574">
        <v>0</v>
      </c>
      <c r="O717" s="574">
        <v>177275.17</v>
      </c>
      <c r="P717" s="571"/>
      <c r="Q717" s="571"/>
      <c r="R717" s="574">
        <v>8152718.6699999999</v>
      </c>
      <c r="S717" s="527">
        <f t="shared" si="102"/>
        <v>4866308.45</v>
      </c>
      <c r="T717" s="528">
        <f t="shared" si="103"/>
        <v>2424992.5500000003</v>
      </c>
      <c r="U717" s="527">
        <f t="shared" si="104"/>
        <v>177275.17</v>
      </c>
      <c r="W717" s="326">
        <f t="shared" si="100"/>
        <v>8152718.6699999999</v>
      </c>
      <c r="X717" s="261">
        <f t="shared" si="105"/>
        <v>0</v>
      </c>
      <c r="Z717" s="1016">
        <f t="shared" si="101"/>
        <v>7315301</v>
      </c>
    </row>
    <row r="718" spans="1:26" ht="12" hidden="1" thickBot="1">
      <c r="A718" s="522" t="s">
        <v>1363</v>
      </c>
      <c r="B718" s="522" t="s">
        <v>169</v>
      </c>
      <c r="C718" s="522" t="s">
        <v>196</v>
      </c>
      <c r="D718" s="523" t="s">
        <v>26</v>
      </c>
      <c r="E718" s="566">
        <v>4570312</v>
      </c>
      <c r="F718" s="576">
        <v>28152</v>
      </c>
      <c r="G718" s="576">
        <v>30621.119999999999</v>
      </c>
      <c r="H718" s="576">
        <v>132173.35999999999</v>
      </c>
      <c r="I718" s="567"/>
      <c r="J718" s="576">
        <v>17115.41</v>
      </c>
      <c r="K718" s="576">
        <v>225036.38</v>
      </c>
      <c r="L718" s="576">
        <v>5430.59</v>
      </c>
      <c r="M718" s="576">
        <v>22657.98</v>
      </c>
      <c r="N718" s="576">
        <v>0</v>
      </c>
      <c r="O718" s="576">
        <v>15841.32</v>
      </c>
      <c r="P718" s="567"/>
      <c r="Q718" s="567"/>
      <c r="R718" s="576">
        <v>477028.16</v>
      </c>
      <c r="S718" s="527">
        <f t="shared" si="102"/>
        <v>162794.47999999998</v>
      </c>
      <c r="T718" s="528">
        <f t="shared" si="103"/>
        <v>242151.79</v>
      </c>
      <c r="U718" s="527">
        <f t="shared" si="104"/>
        <v>15841.32</v>
      </c>
      <c r="W718" s="326">
        <f t="shared" si="100"/>
        <v>477028.16000000003</v>
      </c>
      <c r="X718" s="261">
        <f t="shared" si="105"/>
        <v>0</v>
      </c>
      <c r="Z718" s="1016">
        <f t="shared" si="101"/>
        <v>433098.27</v>
      </c>
    </row>
    <row r="719" spans="1:26" ht="12" hidden="1" thickBot="1">
      <c r="A719" s="522" t="s">
        <v>1363</v>
      </c>
      <c r="B719" s="522" t="s">
        <v>170</v>
      </c>
      <c r="C719" s="522" t="s">
        <v>197</v>
      </c>
      <c r="D719" s="523" t="s">
        <v>25</v>
      </c>
      <c r="E719" s="570">
        <v>148883695</v>
      </c>
      <c r="F719" s="574">
        <v>433991.66</v>
      </c>
      <c r="G719" s="574">
        <v>1000498.88</v>
      </c>
      <c r="H719" s="574">
        <v>4305715.8099999996</v>
      </c>
      <c r="I719" s="571"/>
      <c r="J719" s="574">
        <v>479164.82</v>
      </c>
      <c r="K719" s="574">
        <v>6309492</v>
      </c>
      <c r="L719" s="574">
        <v>194605.49</v>
      </c>
      <c r="M719" s="574">
        <v>729694.57</v>
      </c>
      <c r="N719" s="574">
        <v>31.01</v>
      </c>
      <c r="O719" s="574">
        <v>430269.32</v>
      </c>
      <c r="P719" s="571"/>
      <c r="Q719" s="571"/>
      <c r="R719" s="574">
        <v>13883463.560000001</v>
      </c>
      <c r="S719" s="527">
        <f t="shared" si="102"/>
        <v>5306214.6899999995</v>
      </c>
      <c r="T719" s="528">
        <f t="shared" si="103"/>
        <v>6788656.8200000003</v>
      </c>
      <c r="U719" s="527">
        <f t="shared" si="104"/>
        <v>430300.33</v>
      </c>
      <c r="W719" s="326">
        <f t="shared" si="100"/>
        <v>13883463.560000001</v>
      </c>
      <c r="X719" s="261">
        <f t="shared" si="105"/>
        <v>0</v>
      </c>
      <c r="Z719" s="1016">
        <f t="shared" si="101"/>
        <v>12528863.17</v>
      </c>
    </row>
    <row r="720" spans="1:26" ht="12" hidden="1" thickBot="1">
      <c r="A720" s="522" t="s">
        <v>1363</v>
      </c>
      <c r="B720" s="522" t="s">
        <v>171</v>
      </c>
      <c r="C720" s="522" t="s">
        <v>198</v>
      </c>
      <c r="D720" s="542" t="s">
        <v>221</v>
      </c>
      <c r="E720" s="566">
        <v>258255428</v>
      </c>
      <c r="F720" s="576">
        <v>16200</v>
      </c>
      <c r="G720" s="576">
        <v>2254569.9</v>
      </c>
      <c r="H720" s="576">
        <v>7468746.9800000004</v>
      </c>
      <c r="I720" s="567"/>
      <c r="J720" s="576">
        <v>393677.02</v>
      </c>
      <c r="K720" s="576">
        <v>3981418.34</v>
      </c>
      <c r="L720" s="576">
        <v>63642.54</v>
      </c>
      <c r="M720" s="576">
        <v>1174837.7</v>
      </c>
      <c r="N720" s="576">
        <v>0</v>
      </c>
      <c r="O720" s="576">
        <v>319033.45</v>
      </c>
      <c r="P720" s="567"/>
      <c r="Q720" s="567"/>
      <c r="R720" s="576">
        <v>15672125.93</v>
      </c>
      <c r="S720" s="527">
        <f t="shared" si="102"/>
        <v>9723316.8800000008</v>
      </c>
      <c r="T720" s="528">
        <f t="shared" si="103"/>
        <v>4375095.3599999994</v>
      </c>
      <c r="U720" s="527">
        <f t="shared" si="104"/>
        <v>319033.45</v>
      </c>
      <c r="W720" s="326">
        <f t="shared" si="100"/>
        <v>15672125.929999998</v>
      </c>
      <c r="X720" s="261">
        <f t="shared" si="105"/>
        <v>0</v>
      </c>
      <c r="Z720" s="1016">
        <f t="shared" si="101"/>
        <v>14114612.24</v>
      </c>
    </row>
    <row r="721" spans="1:26" ht="12" hidden="1" thickBot="1">
      <c r="A721" s="522" t="s">
        <v>1363</v>
      </c>
      <c r="B721" s="522" t="s">
        <v>172</v>
      </c>
      <c r="C721" s="522" t="s">
        <v>199</v>
      </c>
      <c r="D721" s="523" t="s">
        <v>26</v>
      </c>
      <c r="E721" s="570">
        <v>23110040</v>
      </c>
      <c r="F721" s="574">
        <v>13163.67</v>
      </c>
      <c r="G721" s="574">
        <v>154837.26999999999</v>
      </c>
      <c r="H721" s="574">
        <v>668342.31999999995</v>
      </c>
      <c r="I721" s="571"/>
      <c r="J721" s="574">
        <v>59448.55</v>
      </c>
      <c r="K721" s="574">
        <v>782451.22</v>
      </c>
      <c r="L721" s="574">
        <v>18850.419999999998</v>
      </c>
      <c r="M721" s="574">
        <v>111619.31</v>
      </c>
      <c r="N721" s="574">
        <v>0</v>
      </c>
      <c r="O721" s="574">
        <v>51863.08</v>
      </c>
      <c r="P721" s="571"/>
      <c r="Q721" s="571"/>
      <c r="R721" s="574">
        <v>1860575.84</v>
      </c>
      <c r="S721" s="527">
        <f t="shared" si="102"/>
        <v>823179.59</v>
      </c>
      <c r="T721" s="528">
        <f t="shared" si="103"/>
        <v>841899.77</v>
      </c>
      <c r="U721" s="527">
        <f t="shared" si="104"/>
        <v>51863.08</v>
      </c>
      <c r="W721" s="326">
        <f t="shared" si="100"/>
        <v>1860575.84</v>
      </c>
      <c r="X721" s="261">
        <f t="shared" si="105"/>
        <v>0</v>
      </c>
      <c r="Z721" s="1016">
        <f t="shared" si="101"/>
        <v>1678243.03</v>
      </c>
    </row>
    <row r="722" spans="1:26" ht="12" hidden="1" thickBot="1">
      <c r="A722" s="522" t="s">
        <v>1363</v>
      </c>
      <c r="B722" s="522" t="s">
        <v>173</v>
      </c>
      <c r="C722" s="522" t="s">
        <v>200</v>
      </c>
      <c r="D722" s="535" t="s">
        <v>25</v>
      </c>
      <c r="E722" s="566">
        <v>60748792</v>
      </c>
      <c r="F722" s="576">
        <v>34735.870000000003</v>
      </c>
      <c r="G722" s="576">
        <v>408231.78</v>
      </c>
      <c r="H722" s="576">
        <v>1756855.17</v>
      </c>
      <c r="I722" s="567"/>
      <c r="J722" s="576">
        <v>168520.6</v>
      </c>
      <c r="K722" s="576">
        <v>2219187.0699999998</v>
      </c>
      <c r="L722" s="576">
        <v>50940.480000000003</v>
      </c>
      <c r="M722" s="576">
        <v>298801.51</v>
      </c>
      <c r="N722" s="576">
        <v>0</v>
      </c>
      <c r="O722" s="576">
        <v>147734.59</v>
      </c>
      <c r="P722" s="567"/>
      <c r="Q722" s="567"/>
      <c r="R722" s="576">
        <v>5085007.07</v>
      </c>
      <c r="S722" s="527">
        <f t="shared" si="102"/>
        <v>2165086.9500000002</v>
      </c>
      <c r="T722" s="528">
        <f t="shared" si="103"/>
        <v>2387707.67</v>
      </c>
      <c r="U722" s="527">
        <f t="shared" si="104"/>
        <v>147734.59</v>
      </c>
      <c r="W722" s="326">
        <f t="shared" si="100"/>
        <v>5085007.07</v>
      </c>
      <c r="X722" s="261">
        <f t="shared" si="105"/>
        <v>0</v>
      </c>
      <c r="Z722" s="1016">
        <f t="shared" si="101"/>
        <v>4587530.49</v>
      </c>
    </row>
    <row r="723" spans="1:26" ht="12" hidden="1" thickBot="1">
      <c r="A723" s="522" t="s">
        <v>1363</v>
      </c>
      <c r="B723" s="522" t="s">
        <v>174</v>
      </c>
      <c r="C723" s="522" t="s">
        <v>201</v>
      </c>
      <c r="D723" s="523" t="s">
        <v>221</v>
      </c>
      <c r="E723" s="570">
        <v>106841640</v>
      </c>
      <c r="F723" s="574">
        <v>46560</v>
      </c>
      <c r="G723" s="574">
        <v>932727.53</v>
      </c>
      <c r="H723" s="574">
        <v>3089860.24</v>
      </c>
      <c r="I723" s="571"/>
      <c r="J723" s="574">
        <v>205011.72</v>
      </c>
      <c r="K723" s="574">
        <v>2088875.35</v>
      </c>
      <c r="L723" s="574">
        <v>37453.599999999999</v>
      </c>
      <c r="M723" s="574">
        <v>520315.37</v>
      </c>
      <c r="N723" s="574">
        <v>0</v>
      </c>
      <c r="O723" s="574">
        <v>167643.62</v>
      </c>
      <c r="P723" s="571"/>
      <c r="Q723" s="571"/>
      <c r="R723" s="574">
        <v>7088447.4299999997</v>
      </c>
      <c r="S723" s="527">
        <f t="shared" si="102"/>
        <v>4022587.7700000005</v>
      </c>
      <c r="T723" s="528">
        <f t="shared" si="103"/>
        <v>2293887.0700000003</v>
      </c>
      <c r="U723" s="527">
        <f t="shared" si="104"/>
        <v>167643.62</v>
      </c>
      <c r="W723" s="326">
        <f t="shared" si="100"/>
        <v>7088447.4299999997</v>
      </c>
      <c r="X723" s="261">
        <f t="shared" si="105"/>
        <v>0</v>
      </c>
      <c r="Z723" s="1016">
        <f t="shared" si="101"/>
        <v>6363034.8399999999</v>
      </c>
    </row>
    <row r="724" spans="1:26" ht="12" hidden="1" thickBot="1">
      <c r="A724" s="522" t="s">
        <v>1363</v>
      </c>
      <c r="B724" s="522" t="s">
        <v>175</v>
      </c>
      <c r="C724" s="522" t="s">
        <v>202</v>
      </c>
      <c r="D724" s="523" t="s">
        <v>220</v>
      </c>
      <c r="E724" s="566">
        <v>114521799</v>
      </c>
      <c r="F724" s="576">
        <v>91888.33</v>
      </c>
      <c r="G724" s="576">
        <v>1008937.16</v>
      </c>
      <c r="H724" s="576">
        <v>3311970.41</v>
      </c>
      <c r="I724" s="567"/>
      <c r="J724" s="576">
        <v>268123.65999999997</v>
      </c>
      <c r="K724" s="576">
        <v>2744807.69</v>
      </c>
      <c r="L724" s="576">
        <v>90860.2</v>
      </c>
      <c r="M724" s="576">
        <v>555064.85</v>
      </c>
      <c r="N724" s="576">
        <v>0</v>
      </c>
      <c r="O724" s="576">
        <v>212318.99</v>
      </c>
      <c r="P724" s="567"/>
      <c r="Q724" s="567"/>
      <c r="R724" s="576">
        <v>8283971.29</v>
      </c>
      <c r="S724" s="527">
        <f t="shared" si="102"/>
        <v>4320907.57</v>
      </c>
      <c r="T724" s="528">
        <f t="shared" si="103"/>
        <v>3012931.35</v>
      </c>
      <c r="U724" s="527">
        <f t="shared" si="104"/>
        <v>212318.99</v>
      </c>
      <c r="W724" s="326">
        <f t="shared" si="100"/>
        <v>8283971.29</v>
      </c>
      <c r="X724" s="261">
        <f t="shared" si="105"/>
        <v>0</v>
      </c>
      <c r="Z724" s="1016">
        <f t="shared" si="101"/>
        <v>7425727.25</v>
      </c>
    </row>
    <row r="725" spans="1:26" ht="12" hidden="1" thickBot="1">
      <c r="A725" s="522" t="s">
        <v>1363</v>
      </c>
      <c r="B725" s="522" t="s">
        <v>176</v>
      </c>
      <c r="C725" s="522" t="s">
        <v>203</v>
      </c>
      <c r="D725" s="523" t="s">
        <v>25</v>
      </c>
      <c r="E725" s="570">
        <v>31680</v>
      </c>
      <c r="F725" s="574">
        <v>90</v>
      </c>
      <c r="G725" s="574">
        <v>212.89</v>
      </c>
      <c r="H725" s="574">
        <v>916.19</v>
      </c>
      <c r="I725" s="571"/>
      <c r="J725" s="574">
        <v>108</v>
      </c>
      <c r="K725" s="574">
        <v>1422</v>
      </c>
      <c r="L725" s="574">
        <v>43.4</v>
      </c>
      <c r="M725" s="574">
        <v>157.44999999999999</v>
      </c>
      <c r="N725" s="574">
        <v>0</v>
      </c>
      <c r="O725" s="574">
        <v>97.38</v>
      </c>
      <c r="P725" s="571"/>
      <c r="Q725" s="571"/>
      <c r="R725" s="574">
        <v>3047.31</v>
      </c>
      <c r="S725" s="527">
        <f t="shared" si="102"/>
        <v>1129.08</v>
      </c>
      <c r="T725" s="528">
        <f t="shared" si="103"/>
        <v>1530</v>
      </c>
      <c r="U725" s="527">
        <f t="shared" si="104"/>
        <v>97.38</v>
      </c>
      <c r="W725" s="326">
        <f t="shared" si="100"/>
        <v>3047.31</v>
      </c>
      <c r="X725" s="261">
        <f t="shared" si="105"/>
        <v>0</v>
      </c>
      <c r="Z725" s="1016">
        <f t="shared" si="101"/>
        <v>2749.08</v>
      </c>
    </row>
    <row r="726" spans="1:26" ht="12" hidden="1" thickBot="1">
      <c r="A726" s="522" t="s">
        <v>1363</v>
      </c>
      <c r="B726" s="522" t="s">
        <v>944</v>
      </c>
      <c r="C726" s="522" t="s">
        <v>943</v>
      </c>
      <c r="D726" s="522"/>
      <c r="E726" s="567"/>
      <c r="F726" s="567"/>
      <c r="G726" s="567"/>
      <c r="H726" s="567"/>
      <c r="I726" s="567"/>
      <c r="J726" s="567"/>
      <c r="K726" s="567"/>
      <c r="L726" s="567"/>
      <c r="M726" s="567"/>
      <c r="N726" s="567"/>
      <c r="O726" s="567"/>
      <c r="P726" s="567"/>
      <c r="Q726" s="567"/>
      <c r="R726" s="567"/>
      <c r="S726" s="527">
        <f t="shared" si="102"/>
        <v>0</v>
      </c>
      <c r="T726" s="528">
        <f t="shared" si="103"/>
        <v>0</v>
      </c>
      <c r="U726" s="527">
        <f t="shared" si="104"/>
        <v>0</v>
      </c>
      <c r="W726" s="326">
        <f t="shared" si="100"/>
        <v>0</v>
      </c>
      <c r="X726" s="261">
        <f t="shared" si="105"/>
        <v>0</v>
      </c>
      <c r="Z726" s="1016">
        <f t="shared" si="101"/>
        <v>0</v>
      </c>
    </row>
    <row r="727" spans="1:26" ht="12" hidden="1" thickBot="1">
      <c r="A727" s="522" t="s">
        <v>1363</v>
      </c>
      <c r="B727" s="522" t="s">
        <v>177</v>
      </c>
      <c r="C727" s="522" t="s">
        <v>494</v>
      </c>
      <c r="D727" s="522" t="s">
        <v>224</v>
      </c>
      <c r="E727" s="570">
        <v>59244758</v>
      </c>
      <c r="F727" s="574">
        <v>1283296.24</v>
      </c>
      <c r="G727" s="574">
        <v>3472936.52</v>
      </c>
      <c r="H727" s="574">
        <v>1713360.9</v>
      </c>
      <c r="I727" s="574">
        <v>279041.33</v>
      </c>
      <c r="J727" s="571"/>
      <c r="K727" s="571"/>
      <c r="L727" s="574">
        <v>173861</v>
      </c>
      <c r="M727" s="574">
        <v>290937.03000000003</v>
      </c>
      <c r="N727" s="574">
        <v>0.01</v>
      </c>
      <c r="O727" s="574">
        <v>267899.76</v>
      </c>
      <c r="P727" s="571"/>
      <c r="Q727" s="574">
        <v>0</v>
      </c>
      <c r="R727" s="574">
        <v>7481332.79</v>
      </c>
      <c r="S727" s="527">
        <f t="shared" si="102"/>
        <v>5465338.75</v>
      </c>
      <c r="T727" s="528">
        <f t="shared" si="103"/>
        <v>0</v>
      </c>
      <c r="U727" s="527">
        <f t="shared" si="104"/>
        <v>267899.77</v>
      </c>
      <c r="W727" s="326">
        <f t="shared" si="100"/>
        <v>7481332.79</v>
      </c>
      <c r="X727" s="261">
        <f t="shared" si="105"/>
        <v>0</v>
      </c>
      <c r="Z727" s="1016">
        <f t="shared" si="101"/>
        <v>6748634.9900000002</v>
      </c>
    </row>
    <row r="728" spans="1:26" ht="12" hidden="1" thickBot="1">
      <c r="A728" s="522" t="s">
        <v>1363</v>
      </c>
      <c r="B728" s="522" t="s">
        <v>178</v>
      </c>
      <c r="C728" s="522" t="s">
        <v>1352</v>
      </c>
      <c r="D728" s="542" t="s">
        <v>224</v>
      </c>
      <c r="E728" s="566">
        <v>10785</v>
      </c>
      <c r="F728" s="576">
        <v>1220</v>
      </c>
      <c r="G728" s="576">
        <v>632.22</v>
      </c>
      <c r="H728" s="576">
        <v>311.91000000000003</v>
      </c>
      <c r="I728" s="576">
        <v>50.81</v>
      </c>
      <c r="J728" s="567"/>
      <c r="K728" s="567"/>
      <c r="L728" s="576">
        <v>32.39</v>
      </c>
      <c r="M728" s="576">
        <v>51.21</v>
      </c>
      <c r="N728" s="576">
        <v>0</v>
      </c>
      <c r="O728" s="576">
        <v>96.91</v>
      </c>
      <c r="P728" s="567"/>
      <c r="Q728" s="567"/>
      <c r="R728" s="576">
        <v>2395.4499999999998</v>
      </c>
      <c r="S728" s="527">
        <f t="shared" si="102"/>
        <v>994.94</v>
      </c>
      <c r="T728" s="528">
        <f t="shared" si="103"/>
        <v>0</v>
      </c>
      <c r="U728" s="527">
        <f t="shared" si="104"/>
        <v>96.91</v>
      </c>
      <c r="W728" s="326">
        <f t="shared" si="100"/>
        <v>2395.4499999999998</v>
      </c>
      <c r="X728" s="261">
        <f t="shared" si="105"/>
        <v>0</v>
      </c>
      <c r="Z728" s="1016">
        <f t="shared" si="101"/>
        <v>2214.94</v>
      </c>
    </row>
    <row r="729" spans="1:26" ht="12" hidden="1" thickBot="1">
      <c r="A729" s="522" t="s">
        <v>1363</v>
      </c>
      <c r="B729" s="522" t="s">
        <v>179</v>
      </c>
      <c r="C729" s="522" t="s">
        <v>64</v>
      </c>
      <c r="D729" s="523" t="s">
        <v>18</v>
      </c>
      <c r="E729" s="570">
        <v>90852791</v>
      </c>
      <c r="F729" s="574">
        <v>643073.79</v>
      </c>
      <c r="G729" s="574">
        <v>5325793.4400000004</v>
      </c>
      <c r="H729" s="574">
        <v>2627463.88</v>
      </c>
      <c r="I729" s="574">
        <v>427916.35</v>
      </c>
      <c r="J729" s="571"/>
      <c r="K729" s="571"/>
      <c r="L729" s="574">
        <v>250414.98</v>
      </c>
      <c r="M729" s="574">
        <v>447281.72</v>
      </c>
      <c r="N729" s="574">
        <v>-68.88</v>
      </c>
      <c r="O729" s="574">
        <v>341865.22</v>
      </c>
      <c r="P729" s="571"/>
      <c r="Q729" s="574">
        <v>0</v>
      </c>
      <c r="R729" s="574">
        <v>10063740.5</v>
      </c>
      <c r="S729" s="527">
        <f t="shared" si="102"/>
        <v>8381173.6699999999</v>
      </c>
      <c r="T729" s="528">
        <f t="shared" si="103"/>
        <v>0</v>
      </c>
      <c r="U729" s="527">
        <f t="shared" si="104"/>
        <v>341796.33999999997</v>
      </c>
      <c r="W729" s="326">
        <f t="shared" si="100"/>
        <v>10063740.5</v>
      </c>
      <c r="X729" s="261">
        <f t="shared" si="105"/>
        <v>0</v>
      </c>
      <c r="Z729" s="1016">
        <f t="shared" si="101"/>
        <v>9024247.459999999</v>
      </c>
    </row>
    <row r="730" spans="1:26" ht="12" hidden="1" thickBot="1">
      <c r="A730" s="522" t="s">
        <v>1363</v>
      </c>
      <c r="B730" s="522" t="s">
        <v>180</v>
      </c>
      <c r="C730" s="522" t="s">
        <v>204</v>
      </c>
      <c r="D730" s="536" t="s">
        <v>219</v>
      </c>
      <c r="E730" s="566">
        <v>381270</v>
      </c>
      <c r="F730" s="576">
        <v>6717.29</v>
      </c>
      <c r="G730" s="576">
        <v>16139</v>
      </c>
      <c r="H730" s="576">
        <v>11026.36</v>
      </c>
      <c r="I730" s="576">
        <v>1201.01</v>
      </c>
      <c r="J730" s="567"/>
      <c r="K730" s="567"/>
      <c r="L730" s="576">
        <v>468.89</v>
      </c>
      <c r="M730" s="576">
        <v>1763.14</v>
      </c>
      <c r="N730" s="576">
        <v>1045</v>
      </c>
      <c r="O730" s="567"/>
      <c r="P730" s="567"/>
      <c r="Q730" s="567"/>
      <c r="R730" s="576">
        <v>38360.69</v>
      </c>
      <c r="S730" s="527">
        <f t="shared" si="102"/>
        <v>28366.37</v>
      </c>
      <c r="T730" s="528">
        <f t="shared" si="103"/>
        <v>0</v>
      </c>
      <c r="U730" s="527">
        <f t="shared" si="104"/>
        <v>1045</v>
      </c>
      <c r="W730" s="326">
        <f t="shared" si="100"/>
        <v>38360.69</v>
      </c>
      <c r="X730" s="261">
        <f t="shared" si="105"/>
        <v>0</v>
      </c>
      <c r="Z730" s="1016">
        <f t="shared" si="101"/>
        <v>35083.660000000003</v>
      </c>
    </row>
    <row r="731" spans="1:26" ht="12" hidden="1" thickBot="1">
      <c r="A731" s="522" t="s">
        <v>1363</v>
      </c>
      <c r="B731" s="522" t="s">
        <v>181</v>
      </c>
      <c r="C731" s="522" t="s">
        <v>205</v>
      </c>
      <c r="D731" s="536" t="s">
        <v>219</v>
      </c>
      <c r="E731" s="570">
        <v>480</v>
      </c>
      <c r="F731" s="574">
        <v>100</v>
      </c>
      <c r="G731" s="574">
        <v>20.32</v>
      </c>
      <c r="H731" s="574">
        <v>13.88</v>
      </c>
      <c r="I731" s="574">
        <v>1.51</v>
      </c>
      <c r="J731" s="571"/>
      <c r="K731" s="571"/>
      <c r="L731" s="574">
        <v>0.59</v>
      </c>
      <c r="M731" s="574">
        <v>2.39</v>
      </c>
      <c r="N731" s="574">
        <v>4</v>
      </c>
      <c r="O731" s="571"/>
      <c r="P731" s="571"/>
      <c r="Q731" s="571"/>
      <c r="R731" s="574">
        <v>142.69</v>
      </c>
      <c r="S731" s="527">
        <f t="shared" si="102"/>
        <v>35.71</v>
      </c>
      <c r="T731" s="528">
        <f t="shared" si="103"/>
        <v>0</v>
      </c>
      <c r="U731" s="527">
        <f t="shared" si="104"/>
        <v>4</v>
      </c>
      <c r="W731" s="326">
        <f t="shared" si="100"/>
        <v>142.68999999999997</v>
      </c>
      <c r="X731" s="261">
        <f t="shared" si="105"/>
        <v>0</v>
      </c>
      <c r="Z731" s="1016">
        <f t="shared" si="101"/>
        <v>135.70999999999998</v>
      </c>
    </row>
    <row r="732" spans="1:26" ht="12" hidden="1" thickBot="1">
      <c r="A732" s="522" t="s">
        <v>1363</v>
      </c>
      <c r="B732" s="522" t="s">
        <v>182</v>
      </c>
      <c r="C732" s="522" t="s">
        <v>206</v>
      </c>
      <c r="D732" s="533" t="s">
        <v>228</v>
      </c>
      <c r="E732" s="566">
        <v>312915</v>
      </c>
      <c r="F732" s="576">
        <v>2380</v>
      </c>
      <c r="G732" s="576">
        <v>13245.7</v>
      </c>
      <c r="H732" s="576">
        <v>9049.5</v>
      </c>
      <c r="I732" s="576">
        <v>985.66</v>
      </c>
      <c r="J732" s="567"/>
      <c r="K732" s="567"/>
      <c r="L732" s="576">
        <v>384.84</v>
      </c>
      <c r="M732" s="576">
        <v>1536.3</v>
      </c>
      <c r="N732" s="576">
        <v>813.95</v>
      </c>
      <c r="O732" s="567"/>
      <c r="P732" s="567"/>
      <c r="Q732" s="567"/>
      <c r="R732" s="576">
        <v>28395.95</v>
      </c>
      <c r="S732" s="527">
        <f t="shared" si="102"/>
        <v>23280.86</v>
      </c>
      <c r="T732" s="528">
        <f t="shared" si="103"/>
        <v>0</v>
      </c>
      <c r="U732" s="527">
        <f t="shared" si="104"/>
        <v>813.95</v>
      </c>
      <c r="W732" s="326">
        <f t="shared" si="100"/>
        <v>28395.95</v>
      </c>
      <c r="X732" s="261">
        <f t="shared" si="105"/>
        <v>0</v>
      </c>
      <c r="Z732" s="1016">
        <f t="shared" si="101"/>
        <v>25660.86</v>
      </c>
    </row>
    <row r="733" spans="1:26" ht="12" hidden="1" thickBot="1">
      <c r="A733" s="522" t="s">
        <v>1363</v>
      </c>
      <c r="B733" s="522" t="s">
        <v>183</v>
      </c>
      <c r="C733" s="522" t="s">
        <v>207</v>
      </c>
      <c r="D733" s="535" t="s">
        <v>228</v>
      </c>
      <c r="E733" s="570">
        <v>222820</v>
      </c>
      <c r="F733" s="574">
        <v>140</v>
      </c>
      <c r="G733" s="574">
        <v>9431.9699999999993</v>
      </c>
      <c r="H733" s="574">
        <v>6443.95</v>
      </c>
      <c r="I733" s="574">
        <v>701.89</v>
      </c>
      <c r="J733" s="571"/>
      <c r="K733" s="571"/>
      <c r="L733" s="574">
        <v>274.07</v>
      </c>
      <c r="M733" s="574">
        <v>998.63</v>
      </c>
      <c r="N733" s="574">
        <v>488.41</v>
      </c>
      <c r="O733" s="571"/>
      <c r="P733" s="571"/>
      <c r="Q733" s="571"/>
      <c r="R733" s="574">
        <v>18478.919999999998</v>
      </c>
      <c r="S733" s="527">
        <f t="shared" si="102"/>
        <v>16577.809999999998</v>
      </c>
      <c r="T733" s="528">
        <f t="shared" si="103"/>
        <v>0</v>
      </c>
      <c r="U733" s="527">
        <f t="shared" si="104"/>
        <v>488.41</v>
      </c>
      <c r="W733" s="326">
        <f t="shared" si="100"/>
        <v>18478.919999999998</v>
      </c>
      <c r="X733" s="261">
        <f t="shared" si="105"/>
        <v>0</v>
      </c>
      <c r="Z733" s="1016">
        <f t="shared" si="101"/>
        <v>16717.809999999998</v>
      </c>
    </row>
    <row r="734" spans="1:26" ht="12" hidden="1" thickBot="1">
      <c r="A734" s="522" t="s">
        <v>1363</v>
      </c>
      <c r="B734" s="522" t="s">
        <v>720</v>
      </c>
      <c r="C734" s="522" t="s">
        <v>723</v>
      </c>
      <c r="D734" s="535" t="s">
        <v>228</v>
      </c>
      <c r="E734" s="566">
        <v>2077714</v>
      </c>
      <c r="F734" s="576">
        <v>3360</v>
      </c>
      <c r="G734" s="576">
        <v>87949.72</v>
      </c>
      <c r="H734" s="576">
        <v>60087.37</v>
      </c>
      <c r="I734" s="576">
        <v>6544.9</v>
      </c>
      <c r="J734" s="567"/>
      <c r="K734" s="567"/>
      <c r="L734" s="576">
        <v>2555.63</v>
      </c>
      <c r="M734" s="576">
        <v>9763.24</v>
      </c>
      <c r="N734" s="576">
        <v>4830.7</v>
      </c>
      <c r="O734" s="567"/>
      <c r="P734" s="567"/>
      <c r="Q734" s="567"/>
      <c r="R734" s="576">
        <v>175091.56</v>
      </c>
      <c r="S734" s="527">
        <f t="shared" si="102"/>
        <v>154581.99</v>
      </c>
      <c r="T734" s="528">
        <f t="shared" si="103"/>
        <v>0</v>
      </c>
      <c r="U734" s="527">
        <f t="shared" si="104"/>
        <v>4830.7</v>
      </c>
      <c r="W734" s="326">
        <f t="shared" si="100"/>
        <v>175091.56</v>
      </c>
      <c r="X734" s="261">
        <f t="shared" si="105"/>
        <v>0</v>
      </c>
      <c r="Z734" s="1016">
        <f t="shared" si="101"/>
        <v>157941.99</v>
      </c>
    </row>
    <row r="735" spans="1:26" ht="12" hidden="1" thickBot="1">
      <c r="A735" s="522" t="s">
        <v>1363</v>
      </c>
      <c r="B735" s="522" t="s">
        <v>721</v>
      </c>
      <c r="C735" s="522" t="s">
        <v>724</v>
      </c>
      <c r="D735" s="535" t="s">
        <v>219</v>
      </c>
      <c r="E735" s="570">
        <v>43228</v>
      </c>
      <c r="F735" s="574">
        <v>380</v>
      </c>
      <c r="G735" s="574">
        <v>1829.82</v>
      </c>
      <c r="H735" s="574">
        <v>1250.17</v>
      </c>
      <c r="I735" s="574">
        <v>136.18</v>
      </c>
      <c r="J735" s="571"/>
      <c r="K735" s="571"/>
      <c r="L735" s="574">
        <v>53.17</v>
      </c>
      <c r="M735" s="574">
        <v>191.91</v>
      </c>
      <c r="N735" s="574">
        <v>103.52</v>
      </c>
      <c r="O735" s="571"/>
      <c r="P735" s="571"/>
      <c r="Q735" s="571"/>
      <c r="R735" s="574">
        <v>3944.77</v>
      </c>
      <c r="S735" s="527">
        <f t="shared" si="102"/>
        <v>3216.1699999999996</v>
      </c>
      <c r="T735" s="528">
        <f t="shared" si="103"/>
        <v>0</v>
      </c>
      <c r="U735" s="527">
        <f t="shared" si="104"/>
        <v>103.52</v>
      </c>
      <c r="W735" s="326">
        <f t="shared" si="100"/>
        <v>3944.7699999999995</v>
      </c>
      <c r="X735" s="261">
        <f t="shared" si="105"/>
        <v>0</v>
      </c>
      <c r="Z735" s="1016">
        <f t="shared" si="101"/>
        <v>3596.1699999999996</v>
      </c>
    </row>
    <row r="736" spans="1:26" ht="12" hidden="1" thickBot="1">
      <c r="A736" s="522" t="s">
        <v>1363</v>
      </c>
      <c r="B736" s="522" t="s">
        <v>722</v>
      </c>
      <c r="C736" s="522" t="s">
        <v>725</v>
      </c>
      <c r="D736" s="523" t="s">
        <v>228</v>
      </c>
      <c r="E736" s="566">
        <v>8310128</v>
      </c>
      <c r="F736" s="576">
        <v>3465</v>
      </c>
      <c r="G736" s="576">
        <v>351767.67</v>
      </c>
      <c r="H736" s="576">
        <v>240328.93</v>
      </c>
      <c r="I736" s="576">
        <v>26176.880000000001</v>
      </c>
      <c r="J736" s="567"/>
      <c r="K736" s="567"/>
      <c r="L736" s="576">
        <v>10221.43</v>
      </c>
      <c r="M736" s="576">
        <v>38491.199999999997</v>
      </c>
      <c r="N736" s="576">
        <v>18768.22</v>
      </c>
      <c r="O736" s="567"/>
      <c r="P736" s="567"/>
      <c r="Q736" s="567"/>
      <c r="R736" s="576">
        <v>689219.33</v>
      </c>
      <c r="S736" s="527">
        <f t="shared" si="102"/>
        <v>618273.48</v>
      </c>
      <c r="T736" s="528">
        <f t="shared" si="103"/>
        <v>0</v>
      </c>
      <c r="U736" s="527">
        <f t="shared" si="104"/>
        <v>18768.22</v>
      </c>
      <c r="W736" s="326">
        <f t="shared" si="100"/>
        <v>689219.33</v>
      </c>
      <c r="X736" s="261">
        <f t="shared" si="105"/>
        <v>0</v>
      </c>
      <c r="Z736" s="1016">
        <f t="shared" si="101"/>
        <v>621738.48</v>
      </c>
    </row>
    <row r="737" spans="1:26" ht="12" thickBot="1">
      <c r="A737" s="522" t="s">
        <v>1363</v>
      </c>
      <c r="B737" s="522" t="s">
        <v>233</v>
      </c>
      <c r="C737" s="522" t="s">
        <v>651</v>
      </c>
      <c r="D737" s="522" t="s">
        <v>20</v>
      </c>
      <c r="E737" s="570">
        <v>9877</v>
      </c>
      <c r="F737" s="571"/>
      <c r="G737" s="574">
        <v>313.39999999999998</v>
      </c>
      <c r="H737" s="574">
        <v>285.64</v>
      </c>
      <c r="I737" s="574">
        <v>31.11</v>
      </c>
      <c r="J737" s="571"/>
      <c r="K737" s="571"/>
      <c r="L737" s="571"/>
      <c r="M737" s="574">
        <v>49.09</v>
      </c>
      <c r="N737" s="574">
        <v>20.309999999999999</v>
      </c>
      <c r="O737" s="571"/>
      <c r="P737" s="571"/>
      <c r="Q737" s="571"/>
      <c r="R737" s="574">
        <v>699.55</v>
      </c>
      <c r="S737" s="527">
        <f t="shared" si="102"/>
        <v>630.15</v>
      </c>
      <c r="T737" s="528">
        <f t="shared" si="103"/>
        <v>0</v>
      </c>
      <c r="U737" s="527">
        <f t="shared" si="104"/>
        <v>20.309999999999999</v>
      </c>
      <c r="W737" s="326">
        <f t="shared" si="100"/>
        <v>699.55</v>
      </c>
      <c r="X737" s="261">
        <f t="shared" si="105"/>
        <v>0</v>
      </c>
      <c r="Z737" s="1016">
        <f t="shared" si="101"/>
        <v>630.15</v>
      </c>
    </row>
    <row r="738" spans="1:26" ht="12" hidden="1" thickBot="1">
      <c r="A738" s="522" t="s">
        <v>1363</v>
      </c>
      <c r="B738" s="522" t="s">
        <v>232</v>
      </c>
      <c r="C738" s="522" t="s">
        <v>651</v>
      </c>
      <c r="D738" s="522" t="s">
        <v>20</v>
      </c>
      <c r="E738" s="566">
        <v>2716</v>
      </c>
      <c r="F738" s="567"/>
      <c r="G738" s="576">
        <v>86.17</v>
      </c>
      <c r="H738" s="576">
        <v>78.55</v>
      </c>
      <c r="I738" s="576">
        <v>8.56</v>
      </c>
      <c r="J738" s="567"/>
      <c r="K738" s="567"/>
      <c r="L738" s="567"/>
      <c r="M738" s="576">
        <v>9.6999999999999993</v>
      </c>
      <c r="N738" s="576">
        <v>4.01</v>
      </c>
      <c r="O738" s="567"/>
      <c r="P738" s="567"/>
      <c r="Q738" s="567"/>
      <c r="R738" s="576">
        <v>186.99</v>
      </c>
      <c r="S738" s="527">
        <f t="shared" si="102"/>
        <v>173.28</v>
      </c>
      <c r="T738" s="528">
        <f t="shared" si="103"/>
        <v>0</v>
      </c>
      <c r="U738" s="527">
        <f t="shared" si="104"/>
        <v>4.01</v>
      </c>
      <c r="W738" s="326">
        <f t="shared" si="100"/>
        <v>186.98999999999998</v>
      </c>
      <c r="X738" s="261">
        <f t="shared" si="105"/>
        <v>0</v>
      </c>
      <c r="Z738" s="1016">
        <f t="shared" si="101"/>
        <v>173.28</v>
      </c>
    </row>
    <row r="739" spans="1:26" ht="12" thickBot="1">
      <c r="A739" s="522" t="s">
        <v>1363</v>
      </c>
      <c r="B739" s="522" t="s">
        <v>184</v>
      </c>
      <c r="C739" s="522" t="s">
        <v>59</v>
      </c>
      <c r="D739" s="523" t="s">
        <v>21</v>
      </c>
      <c r="E739" s="570">
        <v>91300</v>
      </c>
      <c r="F739" s="574">
        <v>1552.08</v>
      </c>
      <c r="G739" s="574">
        <v>4355.76</v>
      </c>
      <c r="H739" s="574">
        <v>2640.49</v>
      </c>
      <c r="I739" s="574">
        <v>287.69</v>
      </c>
      <c r="J739" s="571"/>
      <c r="K739" s="571"/>
      <c r="L739" s="571"/>
      <c r="M739" s="574">
        <v>383.3</v>
      </c>
      <c r="N739" s="574">
        <v>234.47</v>
      </c>
      <c r="O739" s="571"/>
      <c r="P739" s="571"/>
      <c r="Q739" s="571"/>
      <c r="R739" s="574">
        <v>9453.7900000000009</v>
      </c>
      <c r="S739" s="527">
        <f t="shared" si="102"/>
        <v>7283.94</v>
      </c>
      <c r="T739" s="528">
        <f t="shared" si="103"/>
        <v>0</v>
      </c>
      <c r="U739" s="527">
        <f t="shared" si="104"/>
        <v>234.47</v>
      </c>
      <c r="W739" s="326">
        <f t="shared" si="100"/>
        <v>9453.7899999999991</v>
      </c>
      <c r="X739" s="261">
        <f t="shared" si="105"/>
        <v>0</v>
      </c>
      <c r="Z739" s="1016">
        <f t="shared" si="101"/>
        <v>8836.02</v>
      </c>
    </row>
    <row r="740" spans="1:26" ht="12" hidden="1" thickBot="1">
      <c r="A740" s="522" t="s">
        <v>1363</v>
      </c>
      <c r="B740" s="522" t="s">
        <v>652</v>
      </c>
      <c r="C740" s="522" t="s">
        <v>676</v>
      </c>
      <c r="D740" s="523" t="s">
        <v>21</v>
      </c>
      <c r="E740" s="566">
        <v>14416</v>
      </c>
      <c r="F740" s="576">
        <v>884</v>
      </c>
      <c r="G740" s="576">
        <v>688.16</v>
      </c>
      <c r="H740" s="576">
        <v>416.16</v>
      </c>
      <c r="I740" s="576">
        <v>46.24</v>
      </c>
      <c r="J740" s="567"/>
      <c r="K740" s="567"/>
      <c r="L740" s="567"/>
      <c r="M740" s="576">
        <v>70.72</v>
      </c>
      <c r="N740" s="576">
        <v>62.56</v>
      </c>
      <c r="O740" s="567"/>
      <c r="P740" s="567"/>
      <c r="Q740" s="567"/>
      <c r="R740" s="576">
        <v>2167.84</v>
      </c>
      <c r="S740" s="527">
        <f t="shared" si="102"/>
        <v>1150.56</v>
      </c>
      <c r="T740" s="528">
        <f t="shared" si="103"/>
        <v>0</v>
      </c>
      <c r="U740" s="527">
        <f t="shared" si="104"/>
        <v>62.56</v>
      </c>
      <c r="W740" s="326">
        <f t="shared" si="100"/>
        <v>2167.8399999999997</v>
      </c>
      <c r="X740" s="261">
        <f t="shared" si="105"/>
        <v>0</v>
      </c>
      <c r="Z740" s="1016">
        <f t="shared" si="101"/>
        <v>2034.56</v>
      </c>
    </row>
    <row r="741" spans="1:26" ht="12" hidden="1" thickBot="1">
      <c r="A741" s="522" t="s">
        <v>1363</v>
      </c>
      <c r="B741" s="522" t="s">
        <v>728</v>
      </c>
      <c r="C741" s="522" t="s">
        <v>726</v>
      </c>
      <c r="D741" s="523" t="s">
        <v>727</v>
      </c>
      <c r="E741" s="571"/>
      <c r="F741" s="571"/>
      <c r="G741" s="571"/>
      <c r="H741" s="571"/>
      <c r="I741" s="571"/>
      <c r="J741" s="571"/>
      <c r="K741" s="571"/>
      <c r="L741" s="571"/>
      <c r="M741" s="571"/>
      <c r="N741" s="571"/>
      <c r="O741" s="571"/>
      <c r="P741" s="571"/>
      <c r="Q741" s="571"/>
      <c r="R741" s="574">
        <v>0</v>
      </c>
      <c r="S741" s="527">
        <f t="shared" si="102"/>
        <v>0</v>
      </c>
      <c r="T741" s="528">
        <f t="shared" si="103"/>
        <v>0</v>
      </c>
      <c r="U741" s="527">
        <f t="shared" si="104"/>
        <v>0</v>
      </c>
      <c r="W741" s="326">
        <f t="shared" si="100"/>
        <v>0</v>
      </c>
      <c r="X741" s="261">
        <f t="shared" si="105"/>
        <v>0</v>
      </c>
      <c r="Z741" s="1016">
        <f t="shared" si="101"/>
        <v>0</v>
      </c>
    </row>
    <row r="742" spans="1:26" ht="12" hidden="1" thickBot="1">
      <c r="A742" s="522" t="s">
        <v>1363</v>
      </c>
      <c r="B742" s="522" t="s">
        <v>1043</v>
      </c>
      <c r="C742" s="522" t="s">
        <v>1044</v>
      </c>
      <c r="D742" s="523" t="s">
        <v>1052</v>
      </c>
      <c r="E742" s="567"/>
      <c r="F742" s="567"/>
      <c r="G742" s="567"/>
      <c r="H742" s="567"/>
      <c r="I742" s="567"/>
      <c r="J742" s="567"/>
      <c r="K742" s="567"/>
      <c r="L742" s="567"/>
      <c r="M742" s="567"/>
      <c r="N742" s="567"/>
      <c r="O742" s="567"/>
      <c r="P742" s="567"/>
      <c r="Q742" s="567"/>
      <c r="R742" s="576">
        <v>0</v>
      </c>
      <c r="S742" s="527">
        <f t="shared" si="102"/>
        <v>0</v>
      </c>
      <c r="T742" s="528">
        <f t="shared" si="103"/>
        <v>0</v>
      </c>
      <c r="U742" s="527">
        <f t="shared" si="104"/>
        <v>0</v>
      </c>
      <c r="W742" s="326">
        <f t="shared" si="100"/>
        <v>0</v>
      </c>
      <c r="X742" s="261">
        <f t="shared" si="105"/>
        <v>0</v>
      </c>
      <c r="Z742" s="1016">
        <f t="shared" si="101"/>
        <v>0</v>
      </c>
    </row>
    <row r="743" spans="1:26" ht="12" hidden="1" thickBot="1">
      <c r="A743" s="522" t="s">
        <v>1363</v>
      </c>
      <c r="B743" s="522" t="s">
        <v>185</v>
      </c>
      <c r="C743" s="522" t="s">
        <v>1353</v>
      </c>
      <c r="D743" s="523" t="s">
        <v>224</v>
      </c>
      <c r="E743" s="570">
        <v>5304</v>
      </c>
      <c r="F743" s="574">
        <v>187.52</v>
      </c>
      <c r="G743" s="574">
        <v>310.94</v>
      </c>
      <c r="H743" s="574">
        <v>153.38999999999999</v>
      </c>
      <c r="I743" s="574">
        <v>24.97</v>
      </c>
      <c r="J743" s="571"/>
      <c r="K743" s="571"/>
      <c r="L743" s="574">
        <v>15.9</v>
      </c>
      <c r="M743" s="574">
        <v>26.36</v>
      </c>
      <c r="N743" s="574">
        <v>0</v>
      </c>
      <c r="O743" s="574">
        <v>28</v>
      </c>
      <c r="P743" s="571"/>
      <c r="Q743" s="571"/>
      <c r="R743" s="574">
        <v>747.08</v>
      </c>
      <c r="S743" s="527">
        <f t="shared" si="102"/>
        <v>489.29999999999995</v>
      </c>
      <c r="T743" s="528">
        <f t="shared" si="103"/>
        <v>0</v>
      </c>
      <c r="U743" s="527">
        <f t="shared" si="104"/>
        <v>28</v>
      </c>
      <c r="W743" s="326">
        <f t="shared" si="100"/>
        <v>747.08</v>
      </c>
      <c r="X743" s="261">
        <f t="shared" si="105"/>
        <v>0</v>
      </c>
      <c r="Z743" s="1016">
        <f t="shared" si="101"/>
        <v>676.82</v>
      </c>
    </row>
    <row r="744" spans="1:26" ht="12" hidden="1" thickBot="1">
      <c r="A744" s="522" t="s">
        <v>1363</v>
      </c>
      <c r="B744" s="522" t="s">
        <v>186</v>
      </c>
      <c r="C744" s="522" t="s">
        <v>1354</v>
      </c>
      <c r="D744" s="523" t="s">
        <v>18</v>
      </c>
      <c r="E744" s="566">
        <v>11560</v>
      </c>
      <c r="F744" s="576">
        <v>70</v>
      </c>
      <c r="G744" s="576">
        <v>677.64</v>
      </c>
      <c r="H744" s="576">
        <v>334.32</v>
      </c>
      <c r="I744" s="576">
        <v>54.45</v>
      </c>
      <c r="J744" s="567"/>
      <c r="K744" s="567"/>
      <c r="L744" s="576">
        <v>7.68</v>
      </c>
      <c r="M744" s="576">
        <v>57.45</v>
      </c>
      <c r="N744" s="576">
        <v>0</v>
      </c>
      <c r="O744" s="576">
        <v>42.03</v>
      </c>
      <c r="P744" s="567"/>
      <c r="Q744" s="567"/>
      <c r="R744" s="576">
        <v>1243.57</v>
      </c>
      <c r="S744" s="527">
        <f t="shared" si="102"/>
        <v>1066.4100000000001</v>
      </c>
      <c r="T744" s="528">
        <f t="shared" si="103"/>
        <v>0</v>
      </c>
      <c r="U744" s="527">
        <f t="shared" si="104"/>
        <v>42.03</v>
      </c>
      <c r="W744" s="326">
        <f t="shared" si="100"/>
        <v>1243.5700000000002</v>
      </c>
      <c r="X744" s="261">
        <f t="shared" si="105"/>
        <v>0</v>
      </c>
      <c r="Z744" s="1016">
        <f t="shared" si="101"/>
        <v>1136.4100000000001</v>
      </c>
    </row>
    <row r="745" spans="1:26" ht="12" hidden="1" thickBot="1">
      <c r="A745" s="522" t="s">
        <v>1363</v>
      </c>
      <c r="B745" s="522" t="s">
        <v>750</v>
      </c>
      <c r="C745" s="522" t="s">
        <v>748</v>
      </c>
      <c r="D745" s="522"/>
      <c r="E745" s="571"/>
      <c r="F745" s="571"/>
      <c r="G745" s="571"/>
      <c r="H745" s="571"/>
      <c r="I745" s="571"/>
      <c r="J745" s="571"/>
      <c r="K745" s="571"/>
      <c r="L745" s="571"/>
      <c r="M745" s="571"/>
      <c r="N745" s="571"/>
      <c r="O745" s="571"/>
      <c r="P745" s="571"/>
      <c r="Q745" s="571"/>
      <c r="R745" s="571"/>
      <c r="S745" s="527">
        <f t="shared" si="102"/>
        <v>0</v>
      </c>
      <c r="T745" s="528">
        <f t="shared" si="103"/>
        <v>0</v>
      </c>
      <c r="U745" s="527">
        <f t="shared" si="104"/>
        <v>0</v>
      </c>
      <c r="W745" s="326">
        <f t="shared" si="100"/>
        <v>0</v>
      </c>
      <c r="X745" s="261">
        <f t="shared" si="105"/>
        <v>0</v>
      </c>
      <c r="Z745" s="1016">
        <f t="shared" si="101"/>
        <v>0</v>
      </c>
    </row>
    <row r="746" spans="1:26" ht="12" hidden="1" thickBot="1">
      <c r="A746" s="522" t="s">
        <v>1363</v>
      </c>
      <c r="B746" s="522" t="s">
        <v>187</v>
      </c>
      <c r="C746" s="522" t="s">
        <v>457</v>
      </c>
      <c r="D746" s="542" t="s">
        <v>78</v>
      </c>
      <c r="E746" s="567"/>
      <c r="F746" s="567"/>
      <c r="G746" s="567"/>
      <c r="H746" s="567"/>
      <c r="I746" s="567"/>
      <c r="J746" s="567"/>
      <c r="K746" s="567"/>
      <c r="L746" s="567"/>
      <c r="M746" s="567"/>
      <c r="N746" s="567"/>
      <c r="O746" s="567"/>
      <c r="P746" s="576">
        <v>-997368.28</v>
      </c>
      <c r="Q746" s="567"/>
      <c r="R746" s="576">
        <v>-997368.28</v>
      </c>
      <c r="S746" s="527">
        <f t="shared" si="102"/>
        <v>0</v>
      </c>
      <c r="T746" s="528">
        <f t="shared" si="103"/>
        <v>0</v>
      </c>
      <c r="U746" s="527">
        <f t="shared" si="104"/>
        <v>0</v>
      </c>
      <c r="W746" s="326">
        <f t="shared" si="100"/>
        <v>-997368.28</v>
      </c>
      <c r="X746" s="261">
        <f t="shared" si="105"/>
        <v>0</v>
      </c>
      <c r="Z746" s="1016">
        <f t="shared" si="101"/>
        <v>0</v>
      </c>
    </row>
    <row r="747" spans="1:26" ht="12" hidden="1" thickBot="1">
      <c r="A747" s="522" t="s">
        <v>1363</v>
      </c>
      <c r="B747" s="522" t="s">
        <v>188</v>
      </c>
      <c r="C747" s="522" t="s">
        <v>458</v>
      </c>
      <c r="D747" s="522"/>
      <c r="E747" s="571"/>
      <c r="F747" s="571"/>
      <c r="G747" s="571"/>
      <c r="H747" s="571"/>
      <c r="I747" s="571"/>
      <c r="J747" s="571"/>
      <c r="K747" s="571"/>
      <c r="L747" s="571"/>
      <c r="M747" s="571"/>
      <c r="N747" s="571"/>
      <c r="O747" s="571"/>
      <c r="P747" s="574">
        <v>-32950.339999999997</v>
      </c>
      <c r="Q747" s="571"/>
      <c r="R747" s="574">
        <v>-32950.339999999997</v>
      </c>
      <c r="S747" s="527">
        <f t="shared" si="102"/>
        <v>0</v>
      </c>
      <c r="T747" s="528">
        <f t="shared" si="103"/>
        <v>0</v>
      </c>
      <c r="U747" s="527">
        <f t="shared" si="104"/>
        <v>0</v>
      </c>
      <c r="W747" s="326">
        <f t="shared" si="100"/>
        <v>-32950.339999999997</v>
      </c>
      <c r="X747" s="261">
        <f t="shared" si="105"/>
        <v>0</v>
      </c>
      <c r="Z747" s="1016">
        <f t="shared" si="101"/>
        <v>0</v>
      </c>
    </row>
    <row r="748" spans="1:26" ht="12" hidden="1" thickBot="1">
      <c r="A748" s="522" t="s">
        <v>1363</v>
      </c>
      <c r="B748" s="522" t="s">
        <v>1364</v>
      </c>
      <c r="C748" s="522" t="s">
        <v>1365</v>
      </c>
      <c r="D748" s="522"/>
      <c r="E748" s="567"/>
      <c r="F748" s="567"/>
      <c r="G748" s="567"/>
      <c r="H748" s="567"/>
      <c r="I748" s="567"/>
      <c r="J748" s="567"/>
      <c r="K748" s="567"/>
      <c r="L748" s="567"/>
      <c r="M748" s="567"/>
      <c r="N748" s="567"/>
      <c r="O748" s="567"/>
      <c r="P748" s="576">
        <v>-27298.85</v>
      </c>
      <c r="Q748" s="567"/>
      <c r="R748" s="576">
        <v>-27298.85</v>
      </c>
      <c r="S748" s="527">
        <f t="shared" si="102"/>
        <v>0</v>
      </c>
      <c r="T748" s="528">
        <f t="shared" si="103"/>
        <v>0</v>
      </c>
      <c r="U748" s="527">
        <f t="shared" si="104"/>
        <v>0</v>
      </c>
      <c r="W748" s="326">
        <f t="shared" si="100"/>
        <v>-27298.85</v>
      </c>
      <c r="X748" s="261">
        <f t="shared" si="105"/>
        <v>0</v>
      </c>
      <c r="Z748" s="1016">
        <f t="shared" si="101"/>
        <v>0</v>
      </c>
    </row>
    <row r="749" spans="1:26" ht="12" hidden="1" thickBot="1">
      <c r="A749" s="522" t="s">
        <v>1363</v>
      </c>
      <c r="B749" s="522" t="s">
        <v>1358</v>
      </c>
      <c r="C749" s="522" t="s">
        <v>1359</v>
      </c>
      <c r="D749" s="522"/>
      <c r="E749" s="571"/>
      <c r="F749" s="571"/>
      <c r="G749" s="571"/>
      <c r="H749" s="571"/>
      <c r="I749" s="571"/>
      <c r="J749" s="571"/>
      <c r="K749" s="571"/>
      <c r="L749" s="571"/>
      <c r="M749" s="571"/>
      <c r="N749" s="571"/>
      <c r="O749" s="571"/>
      <c r="P749" s="574">
        <v>-25058.75</v>
      </c>
      <c r="Q749" s="571"/>
      <c r="R749" s="574">
        <v>-25058.75</v>
      </c>
      <c r="S749" s="527">
        <f t="shared" si="102"/>
        <v>0</v>
      </c>
      <c r="T749" s="528">
        <f t="shared" si="103"/>
        <v>0</v>
      </c>
      <c r="U749" s="527">
        <f t="shared" si="104"/>
        <v>0</v>
      </c>
      <c r="W749" s="326">
        <f t="shared" si="100"/>
        <v>-25058.75</v>
      </c>
      <c r="X749" s="261">
        <f t="shared" si="105"/>
        <v>0</v>
      </c>
      <c r="Z749" s="1016">
        <f t="shared" si="101"/>
        <v>0</v>
      </c>
    </row>
    <row r="750" spans="1:26" ht="12" hidden="1" thickBot="1">
      <c r="A750" s="522" t="s">
        <v>1363</v>
      </c>
      <c r="B750" s="522" t="s">
        <v>1045</v>
      </c>
      <c r="C750" s="522" t="s">
        <v>1046</v>
      </c>
      <c r="D750" s="522"/>
      <c r="E750" s="567"/>
      <c r="F750" s="567"/>
      <c r="G750" s="567"/>
      <c r="H750" s="567"/>
      <c r="I750" s="567"/>
      <c r="J750" s="567"/>
      <c r="K750" s="567"/>
      <c r="L750" s="567"/>
      <c r="M750" s="567"/>
      <c r="N750" s="567"/>
      <c r="O750" s="567"/>
      <c r="P750" s="576">
        <v>-8800</v>
      </c>
      <c r="Q750" s="567"/>
      <c r="R750" s="576">
        <v>-8800</v>
      </c>
      <c r="S750" s="527">
        <f t="shared" si="102"/>
        <v>0</v>
      </c>
      <c r="T750" s="528">
        <f t="shared" si="103"/>
        <v>0</v>
      </c>
      <c r="U750" s="527">
        <f t="shared" si="104"/>
        <v>0</v>
      </c>
      <c r="W750" s="326">
        <f t="shared" si="100"/>
        <v>-8800</v>
      </c>
      <c r="X750" s="261">
        <f t="shared" si="105"/>
        <v>0</v>
      </c>
      <c r="Z750" s="1016">
        <f t="shared" si="101"/>
        <v>0</v>
      </c>
    </row>
    <row r="751" spans="1:26" ht="12" hidden="1" thickBot="1">
      <c r="A751" s="522" t="s">
        <v>1363</v>
      </c>
      <c r="B751" s="522" t="s">
        <v>945</v>
      </c>
      <c r="C751" s="522" t="s">
        <v>946</v>
      </c>
      <c r="D751" s="522"/>
      <c r="E751" s="571"/>
      <c r="F751" s="571"/>
      <c r="G751" s="571"/>
      <c r="H751" s="571"/>
      <c r="I751" s="571"/>
      <c r="J751" s="571"/>
      <c r="K751" s="571"/>
      <c r="L751" s="571"/>
      <c r="M751" s="571"/>
      <c r="N751" s="571"/>
      <c r="O751" s="571"/>
      <c r="P751" s="571"/>
      <c r="Q751" s="571"/>
      <c r="R751" s="571"/>
      <c r="S751" s="527">
        <f t="shared" si="102"/>
        <v>0</v>
      </c>
      <c r="T751" s="528">
        <f t="shared" si="103"/>
        <v>0</v>
      </c>
      <c r="U751" s="527">
        <f t="shared" si="104"/>
        <v>0</v>
      </c>
      <c r="W751" s="326">
        <f t="shared" si="100"/>
        <v>0</v>
      </c>
      <c r="X751" s="261">
        <f t="shared" si="105"/>
        <v>0</v>
      </c>
      <c r="Z751" s="1016">
        <f t="shared" si="101"/>
        <v>0</v>
      </c>
    </row>
    <row r="752" spans="1:26" ht="12" hidden="1" thickBot="1">
      <c r="A752" s="522" t="s">
        <v>1363</v>
      </c>
      <c r="B752" s="522" t="s">
        <v>947</v>
      </c>
      <c r="C752" s="522" t="s">
        <v>948</v>
      </c>
      <c r="D752" s="522"/>
      <c r="E752" s="567"/>
      <c r="F752" s="567"/>
      <c r="G752" s="567"/>
      <c r="H752" s="567"/>
      <c r="I752" s="567"/>
      <c r="J752" s="567"/>
      <c r="K752" s="567"/>
      <c r="L752" s="567"/>
      <c r="M752" s="567"/>
      <c r="N752" s="567"/>
      <c r="O752" s="567"/>
      <c r="P752" s="567"/>
      <c r="Q752" s="567"/>
      <c r="R752" s="567"/>
      <c r="S752" s="527">
        <f t="shared" si="102"/>
        <v>0</v>
      </c>
      <c r="T752" s="528">
        <f t="shared" si="103"/>
        <v>0</v>
      </c>
      <c r="U752" s="527">
        <f t="shared" si="104"/>
        <v>0</v>
      </c>
      <c r="W752" s="326">
        <f t="shared" si="100"/>
        <v>0</v>
      </c>
      <c r="X752" s="261">
        <f t="shared" si="105"/>
        <v>0</v>
      </c>
      <c r="Z752" s="1016">
        <f t="shared" si="101"/>
        <v>0</v>
      </c>
    </row>
    <row r="753" spans="1:26" ht="12" hidden="1" thickBot="1">
      <c r="A753" s="522" t="s">
        <v>1363</v>
      </c>
      <c r="B753" s="522" t="s">
        <v>189</v>
      </c>
      <c r="C753" s="522" t="s">
        <v>208</v>
      </c>
      <c r="D753" s="533" t="s">
        <v>675</v>
      </c>
      <c r="E753" s="570">
        <v>48168000</v>
      </c>
      <c r="F753" s="574">
        <v>750</v>
      </c>
      <c r="G753" s="574">
        <v>177739.92</v>
      </c>
      <c r="H753" s="574">
        <v>1393018.56</v>
      </c>
      <c r="I753" s="571"/>
      <c r="J753" s="574">
        <v>58548.95</v>
      </c>
      <c r="K753" s="574">
        <v>799635.08</v>
      </c>
      <c r="L753" s="571"/>
      <c r="M753" s="574">
        <v>239394.96</v>
      </c>
      <c r="N753" s="574">
        <v>0</v>
      </c>
      <c r="O753" s="574">
        <v>53803.38</v>
      </c>
      <c r="P753" s="571"/>
      <c r="Q753" s="571"/>
      <c r="R753" s="574">
        <v>2722890.85</v>
      </c>
      <c r="S753" s="527">
        <f t="shared" si="102"/>
        <v>1570758.48</v>
      </c>
      <c r="T753" s="528">
        <f t="shared" si="103"/>
        <v>858184.02999999991</v>
      </c>
      <c r="U753" s="527">
        <f t="shared" si="104"/>
        <v>53803.38</v>
      </c>
      <c r="W753" s="326">
        <f t="shared" si="100"/>
        <v>2722890.8499999996</v>
      </c>
      <c r="X753" s="261">
        <f t="shared" si="105"/>
        <v>0</v>
      </c>
      <c r="Z753" s="1016">
        <f t="shared" si="101"/>
        <v>2429692.5099999998</v>
      </c>
    </row>
    <row r="754" spans="1:26" ht="12" hidden="1" thickBot="1">
      <c r="A754" s="522" t="s">
        <v>1363</v>
      </c>
      <c r="B754" s="522" t="s">
        <v>209</v>
      </c>
      <c r="C754" s="522" t="s">
        <v>210</v>
      </c>
      <c r="D754" s="522"/>
      <c r="E754" s="566">
        <v>47347200</v>
      </c>
      <c r="F754" s="567"/>
      <c r="G754" s="576">
        <v>1501813.94</v>
      </c>
      <c r="H754" s="567"/>
      <c r="I754" s="567"/>
      <c r="J754" s="567"/>
      <c r="K754" s="576">
        <v>1281115.3500000001</v>
      </c>
      <c r="L754" s="567"/>
      <c r="M754" s="576">
        <v>172817.28</v>
      </c>
      <c r="N754" s="567"/>
      <c r="O754" s="567"/>
      <c r="P754" s="567"/>
      <c r="Q754" s="567"/>
      <c r="R754" s="576">
        <v>3101202.71</v>
      </c>
      <c r="S754" s="527">
        <f t="shared" si="102"/>
        <v>1501813.94</v>
      </c>
      <c r="T754" s="528">
        <f t="shared" si="103"/>
        <v>1281115.3500000001</v>
      </c>
      <c r="U754" s="527">
        <f t="shared" si="104"/>
        <v>0</v>
      </c>
      <c r="W754" s="326">
        <f t="shared" si="100"/>
        <v>2955746.57</v>
      </c>
      <c r="X754" s="261">
        <f t="shared" si="105"/>
        <v>-145456.14000000013</v>
      </c>
      <c r="Z754" s="1016">
        <f t="shared" si="101"/>
        <v>2782929.29</v>
      </c>
    </row>
    <row r="755" spans="1:26" ht="12" hidden="1" thickBot="1">
      <c r="A755" s="522" t="s">
        <v>1363</v>
      </c>
      <c r="B755" s="522" t="s">
        <v>211</v>
      </c>
      <c r="C755" s="522" t="s">
        <v>212</v>
      </c>
      <c r="D755" s="522"/>
      <c r="E755" s="570">
        <v>94802327</v>
      </c>
      <c r="F755" s="571"/>
      <c r="G755" s="574">
        <v>3003650.57</v>
      </c>
      <c r="H755" s="571"/>
      <c r="I755" s="571"/>
      <c r="J755" s="571"/>
      <c r="K755" s="574">
        <v>2619536.11</v>
      </c>
      <c r="L755" s="571"/>
      <c r="M755" s="574">
        <v>343184.43</v>
      </c>
      <c r="N755" s="571"/>
      <c r="O755" s="571"/>
      <c r="P755" s="571"/>
      <c r="Q755" s="571"/>
      <c r="R755" s="574">
        <v>6255512.4100000001</v>
      </c>
      <c r="S755" s="527">
        <f t="shared" si="102"/>
        <v>3003650.57</v>
      </c>
      <c r="T755" s="528">
        <f t="shared" si="103"/>
        <v>2619536.11</v>
      </c>
      <c r="U755" s="527">
        <f t="shared" si="104"/>
        <v>0</v>
      </c>
      <c r="W755" s="326">
        <f t="shared" si="100"/>
        <v>5966371.1099999994</v>
      </c>
      <c r="X755" s="261">
        <f t="shared" si="105"/>
        <v>-289141.30000000075</v>
      </c>
      <c r="Z755" s="1016">
        <f t="shared" si="101"/>
        <v>5623186.6799999997</v>
      </c>
    </row>
    <row r="756" spans="1:26" ht="12" hidden="1" thickBot="1">
      <c r="A756" s="522" t="s">
        <v>1363</v>
      </c>
      <c r="B756" s="522" t="s">
        <v>213</v>
      </c>
      <c r="C756" s="522" t="s">
        <v>214</v>
      </c>
      <c r="D756" s="522"/>
      <c r="E756" s="566">
        <v>4346551</v>
      </c>
      <c r="F756" s="567"/>
      <c r="G756" s="576">
        <v>137713.07999999999</v>
      </c>
      <c r="H756" s="567"/>
      <c r="I756" s="567"/>
      <c r="J756" s="567"/>
      <c r="K756" s="576">
        <v>57588.68</v>
      </c>
      <c r="L756" s="567"/>
      <c r="M756" s="576">
        <v>15734.51</v>
      </c>
      <c r="N756" s="567"/>
      <c r="O756" s="567"/>
      <c r="P756" s="567"/>
      <c r="Q756" s="567"/>
      <c r="R756" s="576">
        <v>226050.14</v>
      </c>
      <c r="S756" s="527">
        <f t="shared" si="102"/>
        <v>137713.07999999999</v>
      </c>
      <c r="T756" s="528">
        <f t="shared" si="103"/>
        <v>57588.68</v>
      </c>
      <c r="U756" s="527">
        <f t="shared" si="104"/>
        <v>0</v>
      </c>
      <c r="W756" s="326">
        <f t="shared" si="100"/>
        <v>211036.27</v>
      </c>
      <c r="X756" s="261">
        <f t="shared" si="105"/>
        <v>-15013.870000000024</v>
      </c>
      <c r="Z756" s="1016">
        <f t="shared" si="101"/>
        <v>195301.75999999998</v>
      </c>
    </row>
    <row r="757" spans="1:26" ht="12" hidden="1" thickBot="1">
      <c r="A757" s="522" t="s">
        <v>1363</v>
      </c>
      <c r="B757" s="522" t="s">
        <v>949</v>
      </c>
      <c r="C757" s="522" t="s">
        <v>943</v>
      </c>
      <c r="D757" s="522"/>
      <c r="E757" s="571"/>
      <c r="F757" s="571"/>
      <c r="G757" s="571"/>
      <c r="H757" s="571"/>
      <c r="I757" s="571"/>
      <c r="J757" s="571"/>
      <c r="K757" s="571"/>
      <c r="L757" s="571"/>
      <c r="M757" s="571"/>
      <c r="N757" s="571"/>
      <c r="O757" s="571"/>
      <c r="P757" s="571"/>
      <c r="Q757" s="571"/>
      <c r="R757" s="571"/>
      <c r="S757" s="527">
        <f t="shared" si="102"/>
        <v>0</v>
      </c>
      <c r="T757" s="528">
        <f t="shared" si="103"/>
        <v>0</v>
      </c>
      <c r="U757" s="527">
        <f t="shared" si="104"/>
        <v>0</v>
      </c>
      <c r="W757" s="326">
        <f t="shared" si="100"/>
        <v>0</v>
      </c>
      <c r="X757" s="261">
        <f t="shared" si="105"/>
        <v>0</v>
      </c>
      <c r="Z757" s="1016">
        <f t="shared" si="101"/>
        <v>0</v>
      </c>
    </row>
    <row r="758" spans="1:26" ht="12" hidden="1" thickBot="1">
      <c r="A758" s="522" t="s">
        <v>1363</v>
      </c>
      <c r="B758" s="522" t="s">
        <v>190</v>
      </c>
      <c r="C758" s="522" t="s">
        <v>111</v>
      </c>
      <c r="D758" s="533" t="s">
        <v>15</v>
      </c>
      <c r="E758" s="566">
        <v>234384000</v>
      </c>
      <c r="F758" s="576">
        <v>2451933.9900000002</v>
      </c>
      <c r="G758" s="576">
        <v>10633990.16</v>
      </c>
      <c r="H758" s="576">
        <v>6778390.0800000001</v>
      </c>
      <c r="I758" s="576">
        <v>738310.65</v>
      </c>
      <c r="J758" s="567"/>
      <c r="K758" s="567"/>
      <c r="L758" s="576">
        <v>923469.63</v>
      </c>
      <c r="M758" s="576">
        <v>1164610.43</v>
      </c>
      <c r="N758" s="576">
        <v>678310.37</v>
      </c>
      <c r="O758" s="567"/>
      <c r="P758" s="567"/>
      <c r="Q758" s="567"/>
      <c r="R758" s="576">
        <v>23369015.309999999</v>
      </c>
      <c r="S758" s="527">
        <f t="shared" si="102"/>
        <v>18150690.890000001</v>
      </c>
      <c r="T758" s="528">
        <f t="shared" si="103"/>
        <v>0</v>
      </c>
      <c r="U758" s="527">
        <f t="shared" si="104"/>
        <v>678310.37</v>
      </c>
      <c r="W758" s="326">
        <f t="shared" si="100"/>
        <v>23369015.309999999</v>
      </c>
      <c r="X758" s="261">
        <f t="shared" si="105"/>
        <v>0</v>
      </c>
      <c r="Z758" s="1016">
        <f t="shared" si="101"/>
        <v>20602624.879999999</v>
      </c>
    </row>
    <row r="759" spans="1:26" ht="12" hidden="1" thickBot="1">
      <c r="A759" s="522" t="s">
        <v>1363</v>
      </c>
      <c r="B759" s="522" t="s">
        <v>191</v>
      </c>
      <c r="C759" s="522" t="s">
        <v>215</v>
      </c>
      <c r="D759" s="533" t="s">
        <v>15</v>
      </c>
      <c r="E759" s="570">
        <v>204298851</v>
      </c>
      <c r="F759" s="574">
        <v>2080114.31</v>
      </c>
      <c r="G759" s="574">
        <v>9269029.8599999994</v>
      </c>
      <c r="H759" s="574">
        <v>5908327.1799999997</v>
      </c>
      <c r="I759" s="574">
        <v>643545.74</v>
      </c>
      <c r="J759" s="571"/>
      <c r="K759" s="571"/>
      <c r="L759" s="574">
        <v>804939</v>
      </c>
      <c r="M759" s="574">
        <v>1014887.3</v>
      </c>
      <c r="N759" s="574">
        <v>589373.76</v>
      </c>
      <c r="O759" s="571"/>
      <c r="P759" s="571"/>
      <c r="Q759" s="574">
        <v>0</v>
      </c>
      <c r="R759" s="574">
        <v>20310217.149999999</v>
      </c>
      <c r="S759" s="527">
        <f t="shared" si="102"/>
        <v>15820902.779999999</v>
      </c>
      <c r="T759" s="528">
        <f t="shared" si="103"/>
        <v>0</v>
      </c>
      <c r="U759" s="527">
        <f t="shared" si="104"/>
        <v>589373.76</v>
      </c>
      <c r="W759" s="326">
        <f t="shared" si="100"/>
        <v>20310217.150000002</v>
      </c>
      <c r="X759" s="261">
        <f t="shared" si="105"/>
        <v>0</v>
      </c>
      <c r="Z759" s="1016">
        <f t="shared" si="101"/>
        <v>17901017.09</v>
      </c>
    </row>
    <row r="760" spans="1:26" ht="12" hidden="1" thickBot="1">
      <c r="A760" s="522" t="s">
        <v>1363</v>
      </c>
      <c r="B760" s="522" t="s">
        <v>192</v>
      </c>
      <c r="C760" s="522" t="s">
        <v>216</v>
      </c>
      <c r="D760" s="533" t="s">
        <v>15</v>
      </c>
      <c r="E760" s="566">
        <v>545440</v>
      </c>
      <c r="F760" s="576">
        <v>2637.56</v>
      </c>
      <c r="G760" s="576">
        <v>24746.62</v>
      </c>
      <c r="H760" s="576">
        <v>15774.12</v>
      </c>
      <c r="I760" s="576">
        <v>1718.09</v>
      </c>
      <c r="J760" s="567"/>
      <c r="K760" s="567"/>
      <c r="L760" s="576">
        <v>2148.25</v>
      </c>
      <c r="M760" s="576">
        <v>2630.64</v>
      </c>
      <c r="N760" s="576">
        <v>1451.36</v>
      </c>
      <c r="O760" s="567"/>
      <c r="P760" s="567"/>
      <c r="Q760" s="567"/>
      <c r="R760" s="576">
        <v>51106.64</v>
      </c>
      <c r="S760" s="527">
        <f t="shared" si="102"/>
        <v>42238.829999999994</v>
      </c>
      <c r="T760" s="528">
        <f t="shared" si="103"/>
        <v>0</v>
      </c>
      <c r="U760" s="527">
        <f t="shared" si="104"/>
        <v>1451.36</v>
      </c>
      <c r="W760" s="326">
        <f t="shared" si="100"/>
        <v>51106.64</v>
      </c>
      <c r="X760" s="261">
        <f t="shared" si="105"/>
        <v>0</v>
      </c>
      <c r="Z760" s="1016">
        <f t="shared" si="101"/>
        <v>44876.39</v>
      </c>
    </row>
    <row r="761" spans="1:26" ht="12" hidden="1" thickBot="1">
      <c r="A761" s="522" t="s">
        <v>1363</v>
      </c>
      <c r="B761" s="522" t="s">
        <v>477</v>
      </c>
      <c r="C761" s="522" t="s">
        <v>1263</v>
      </c>
      <c r="D761" s="542" t="s">
        <v>807</v>
      </c>
      <c r="E761" s="570">
        <v>5189</v>
      </c>
      <c r="F761" s="574">
        <v>53.75</v>
      </c>
      <c r="G761" s="574">
        <v>198.72</v>
      </c>
      <c r="H761" s="574">
        <v>150.07</v>
      </c>
      <c r="I761" s="574">
        <v>16.34</v>
      </c>
      <c r="J761" s="571"/>
      <c r="K761" s="571"/>
      <c r="L761" s="574">
        <v>20.43</v>
      </c>
      <c r="M761" s="574">
        <v>25.8</v>
      </c>
      <c r="N761" s="574">
        <v>13.92</v>
      </c>
      <c r="O761" s="571"/>
      <c r="P761" s="571"/>
      <c r="Q761" s="571"/>
      <c r="R761" s="574">
        <v>479.03</v>
      </c>
      <c r="S761" s="527">
        <f t="shared" si="102"/>
        <v>365.12999999999994</v>
      </c>
      <c r="T761" s="528">
        <f t="shared" si="103"/>
        <v>0</v>
      </c>
      <c r="U761" s="527">
        <f t="shared" si="104"/>
        <v>13.92</v>
      </c>
      <c r="W761" s="326">
        <f t="shared" ref="W761:W824" si="106">SUM(F761:Q761)</f>
        <v>479.03</v>
      </c>
      <c r="X761" s="261">
        <f t="shared" si="105"/>
        <v>0</v>
      </c>
      <c r="Z761" s="1016">
        <f t="shared" si="101"/>
        <v>418.87999999999994</v>
      </c>
    </row>
    <row r="762" spans="1:26" ht="12" hidden="1" thickBot="1">
      <c r="A762" s="522" t="s">
        <v>1363</v>
      </c>
      <c r="B762" s="522" t="s">
        <v>193</v>
      </c>
      <c r="C762" s="522" t="s">
        <v>217</v>
      </c>
      <c r="D762" s="533" t="s">
        <v>15</v>
      </c>
      <c r="E762" s="566">
        <v>70898</v>
      </c>
      <c r="F762" s="576">
        <v>537.5</v>
      </c>
      <c r="G762" s="576">
        <v>3216.61</v>
      </c>
      <c r="H762" s="576">
        <v>2050.38</v>
      </c>
      <c r="I762" s="576">
        <v>223.37</v>
      </c>
      <c r="J762" s="567"/>
      <c r="K762" s="567"/>
      <c r="L762" s="576">
        <v>279.35000000000002</v>
      </c>
      <c r="M762" s="576">
        <v>348.02</v>
      </c>
      <c r="N762" s="576">
        <v>196.79</v>
      </c>
      <c r="O762" s="567"/>
      <c r="P762" s="567"/>
      <c r="Q762" s="567"/>
      <c r="R762" s="576">
        <v>6852.02</v>
      </c>
      <c r="S762" s="527">
        <f t="shared" si="102"/>
        <v>5490.36</v>
      </c>
      <c r="T762" s="528">
        <f t="shared" si="103"/>
        <v>0</v>
      </c>
      <c r="U762" s="527">
        <f t="shared" si="104"/>
        <v>196.79</v>
      </c>
      <c r="W762" s="326">
        <f t="shared" si="106"/>
        <v>6852.0199999999995</v>
      </c>
      <c r="X762" s="261">
        <f t="shared" si="105"/>
        <v>0</v>
      </c>
      <c r="Z762" s="1016">
        <f t="shared" si="101"/>
        <v>6027.86</v>
      </c>
    </row>
    <row r="763" spans="1:26" ht="12" hidden="1" thickBot="1">
      <c r="A763" s="522" t="s">
        <v>1363</v>
      </c>
      <c r="B763" s="522" t="s">
        <v>194</v>
      </c>
      <c r="C763" s="522" t="s">
        <v>218</v>
      </c>
      <c r="D763" s="533" t="s">
        <v>15</v>
      </c>
      <c r="E763" s="570">
        <v>41147</v>
      </c>
      <c r="F763" s="574">
        <v>559</v>
      </c>
      <c r="G763" s="574">
        <v>1866.8</v>
      </c>
      <c r="H763" s="574">
        <v>1190</v>
      </c>
      <c r="I763" s="574">
        <v>129.62</v>
      </c>
      <c r="J763" s="571"/>
      <c r="K763" s="571"/>
      <c r="L763" s="574">
        <v>162.11000000000001</v>
      </c>
      <c r="M763" s="574">
        <v>204.48</v>
      </c>
      <c r="N763" s="574">
        <v>122.93</v>
      </c>
      <c r="O763" s="571"/>
      <c r="P763" s="571"/>
      <c r="Q763" s="571"/>
      <c r="R763" s="574">
        <v>4234.9399999999996</v>
      </c>
      <c r="S763" s="527">
        <f t="shared" si="102"/>
        <v>3186.42</v>
      </c>
      <c r="T763" s="528">
        <f t="shared" si="103"/>
        <v>0</v>
      </c>
      <c r="U763" s="527">
        <f t="shared" si="104"/>
        <v>122.93</v>
      </c>
      <c r="W763" s="326">
        <f t="shared" si="106"/>
        <v>4234.9400000000005</v>
      </c>
      <c r="X763" s="261">
        <f t="shared" si="105"/>
        <v>0</v>
      </c>
      <c r="Z763" s="1016">
        <f t="shared" si="101"/>
        <v>3745.42</v>
      </c>
    </row>
    <row r="764" spans="1:26" ht="12" hidden="1" thickBot="1">
      <c r="A764" s="522" t="s">
        <v>1363</v>
      </c>
      <c r="B764" s="522" t="s">
        <v>950</v>
      </c>
      <c r="C764" s="522" t="s">
        <v>951</v>
      </c>
      <c r="D764" s="522"/>
      <c r="E764" s="567"/>
      <c r="F764" s="567"/>
      <c r="G764" s="567"/>
      <c r="H764" s="567"/>
      <c r="I764" s="567"/>
      <c r="J764" s="567"/>
      <c r="K764" s="567"/>
      <c r="L764" s="567"/>
      <c r="M764" s="567"/>
      <c r="N764" s="567"/>
      <c r="O764" s="567"/>
      <c r="P764" s="567"/>
      <c r="Q764" s="567"/>
      <c r="R764" s="567"/>
      <c r="S764" s="527">
        <f t="shared" si="102"/>
        <v>0</v>
      </c>
      <c r="T764" s="528">
        <f t="shared" si="103"/>
        <v>0</v>
      </c>
      <c r="U764" s="527">
        <f t="shared" si="104"/>
        <v>0</v>
      </c>
      <c r="W764" s="326">
        <f t="shared" si="106"/>
        <v>0</v>
      </c>
      <c r="X764" s="261">
        <f t="shared" si="105"/>
        <v>0</v>
      </c>
      <c r="Z764" s="1016">
        <f t="shared" si="101"/>
        <v>0</v>
      </c>
    </row>
    <row r="765" spans="1:26" ht="12" hidden="1" thickBot="1">
      <c r="A765" s="522" t="s">
        <v>1363</v>
      </c>
      <c r="B765" s="522" t="s">
        <v>339</v>
      </c>
      <c r="C765" s="522" t="s">
        <v>952</v>
      </c>
      <c r="D765" s="523" t="s">
        <v>1035</v>
      </c>
      <c r="E765" s="570">
        <v>9125</v>
      </c>
      <c r="F765" s="571"/>
      <c r="G765" s="574">
        <v>9848.74</v>
      </c>
      <c r="H765" s="571"/>
      <c r="I765" s="571"/>
      <c r="J765" s="571"/>
      <c r="K765" s="571"/>
      <c r="L765" s="571"/>
      <c r="M765" s="574">
        <v>32.85</v>
      </c>
      <c r="N765" s="574">
        <v>218.18</v>
      </c>
      <c r="O765" s="571"/>
      <c r="P765" s="571"/>
      <c r="Q765" s="574">
        <v>0</v>
      </c>
      <c r="R765" s="574">
        <v>10099.77</v>
      </c>
      <c r="S765" s="527">
        <f t="shared" si="102"/>
        <v>9848.74</v>
      </c>
      <c r="T765" s="528">
        <f t="shared" si="103"/>
        <v>0</v>
      </c>
      <c r="U765" s="527">
        <f t="shared" si="104"/>
        <v>218.18</v>
      </c>
      <c r="W765" s="326">
        <f t="shared" si="106"/>
        <v>10099.77</v>
      </c>
      <c r="X765" s="261">
        <f t="shared" si="105"/>
        <v>0</v>
      </c>
      <c r="Z765" s="1016">
        <f t="shared" si="101"/>
        <v>9848.74</v>
      </c>
    </row>
    <row r="766" spans="1:26" ht="12" hidden="1" thickBot="1">
      <c r="A766" s="522" t="s">
        <v>1363</v>
      </c>
      <c r="B766" s="522" t="s">
        <v>344</v>
      </c>
      <c r="C766" s="522" t="s">
        <v>953</v>
      </c>
      <c r="D766" s="523" t="s">
        <v>1035</v>
      </c>
      <c r="E766" s="566">
        <v>1265</v>
      </c>
      <c r="F766" s="567"/>
      <c r="G766" s="576">
        <v>2079</v>
      </c>
      <c r="H766" s="567"/>
      <c r="I766" s="567"/>
      <c r="J766" s="567"/>
      <c r="K766" s="567"/>
      <c r="L766" s="567"/>
      <c r="M766" s="576">
        <v>4.5199999999999996</v>
      </c>
      <c r="N766" s="576">
        <v>45.63</v>
      </c>
      <c r="O766" s="567"/>
      <c r="P766" s="567"/>
      <c r="Q766" s="576">
        <v>0</v>
      </c>
      <c r="R766" s="576">
        <v>2129.15</v>
      </c>
      <c r="S766" s="527">
        <f t="shared" si="102"/>
        <v>2079</v>
      </c>
      <c r="T766" s="528">
        <f t="shared" si="103"/>
        <v>0</v>
      </c>
      <c r="U766" s="527">
        <f t="shared" si="104"/>
        <v>45.63</v>
      </c>
      <c r="W766" s="326">
        <f t="shared" si="106"/>
        <v>2129.15</v>
      </c>
      <c r="X766" s="261">
        <f t="shared" si="105"/>
        <v>0</v>
      </c>
      <c r="Z766" s="1016">
        <f t="shared" si="101"/>
        <v>2079</v>
      </c>
    </row>
    <row r="767" spans="1:26" ht="12" hidden="1" thickBot="1">
      <c r="A767" s="522" t="s">
        <v>1363</v>
      </c>
      <c r="B767" s="522" t="s">
        <v>347</v>
      </c>
      <c r="C767" s="522" t="s">
        <v>954</v>
      </c>
      <c r="D767" s="523" t="s">
        <v>1035</v>
      </c>
      <c r="E767" s="570">
        <v>1780</v>
      </c>
      <c r="F767" s="571"/>
      <c r="G767" s="574">
        <v>2570.54</v>
      </c>
      <c r="H767" s="571"/>
      <c r="I767" s="571"/>
      <c r="J767" s="571"/>
      <c r="K767" s="571"/>
      <c r="L767" s="571"/>
      <c r="M767" s="574">
        <v>6.35</v>
      </c>
      <c r="N767" s="574">
        <v>56.44</v>
      </c>
      <c r="O767" s="571"/>
      <c r="P767" s="571"/>
      <c r="Q767" s="574">
        <v>0</v>
      </c>
      <c r="R767" s="574">
        <v>2633.33</v>
      </c>
      <c r="S767" s="527">
        <f t="shared" si="102"/>
        <v>2570.54</v>
      </c>
      <c r="T767" s="528">
        <f t="shared" si="103"/>
        <v>0</v>
      </c>
      <c r="U767" s="527">
        <f t="shared" si="104"/>
        <v>56.44</v>
      </c>
      <c r="W767" s="326">
        <f t="shared" si="106"/>
        <v>2633.33</v>
      </c>
      <c r="X767" s="261">
        <f t="shared" si="105"/>
        <v>0</v>
      </c>
      <c r="Z767" s="1016">
        <f t="shared" si="101"/>
        <v>2570.54</v>
      </c>
    </row>
    <row r="768" spans="1:26" ht="12" hidden="1" thickBot="1">
      <c r="A768" s="522" t="s">
        <v>1363</v>
      </c>
      <c r="B768" s="522" t="s">
        <v>348</v>
      </c>
      <c r="C768" s="522" t="s">
        <v>955</v>
      </c>
      <c r="D768" s="523" t="s">
        <v>1035</v>
      </c>
      <c r="E768" s="566">
        <v>248</v>
      </c>
      <c r="F768" s="567"/>
      <c r="G768" s="576">
        <v>308.75</v>
      </c>
      <c r="H768" s="567"/>
      <c r="I768" s="567"/>
      <c r="J768" s="567"/>
      <c r="K768" s="567"/>
      <c r="L768" s="567"/>
      <c r="M768" s="576">
        <v>0.89</v>
      </c>
      <c r="N768" s="576">
        <v>6.78</v>
      </c>
      <c r="O768" s="567"/>
      <c r="P768" s="567"/>
      <c r="Q768" s="576">
        <v>0</v>
      </c>
      <c r="R768" s="576">
        <v>316.42</v>
      </c>
      <c r="S768" s="527">
        <f t="shared" si="102"/>
        <v>308.75</v>
      </c>
      <c r="T768" s="528">
        <f t="shared" si="103"/>
        <v>0</v>
      </c>
      <c r="U768" s="527">
        <f t="shared" si="104"/>
        <v>6.78</v>
      </c>
      <c r="W768" s="326">
        <f t="shared" si="106"/>
        <v>316.41999999999996</v>
      </c>
      <c r="X768" s="261">
        <f t="shared" si="105"/>
        <v>0</v>
      </c>
      <c r="Z768" s="1016">
        <f t="shared" si="101"/>
        <v>308.75</v>
      </c>
    </row>
    <row r="769" spans="1:26" ht="12" hidden="1" thickBot="1">
      <c r="A769" s="522" t="s">
        <v>1363</v>
      </c>
      <c r="B769" s="522" t="s">
        <v>349</v>
      </c>
      <c r="C769" s="522" t="s">
        <v>956</v>
      </c>
      <c r="D769" s="523" t="s">
        <v>1035</v>
      </c>
      <c r="E769" s="570">
        <v>50</v>
      </c>
      <c r="F769" s="571"/>
      <c r="G769" s="574">
        <v>63.11</v>
      </c>
      <c r="H769" s="571"/>
      <c r="I769" s="571"/>
      <c r="J769" s="571"/>
      <c r="K769" s="571"/>
      <c r="L769" s="571"/>
      <c r="M769" s="574">
        <v>0.18</v>
      </c>
      <c r="N769" s="574">
        <v>1.39</v>
      </c>
      <c r="O769" s="571"/>
      <c r="P769" s="571"/>
      <c r="Q769" s="574">
        <v>0</v>
      </c>
      <c r="R769" s="574">
        <v>64.680000000000007</v>
      </c>
      <c r="S769" s="527">
        <f t="shared" si="102"/>
        <v>63.11</v>
      </c>
      <c r="T769" s="528">
        <f t="shared" si="103"/>
        <v>0</v>
      </c>
      <c r="U769" s="527">
        <f t="shared" si="104"/>
        <v>1.39</v>
      </c>
      <c r="W769" s="326">
        <f t="shared" si="106"/>
        <v>64.679999999999993</v>
      </c>
      <c r="X769" s="261">
        <f t="shared" si="105"/>
        <v>0</v>
      </c>
      <c r="Z769" s="1016">
        <f t="shared" ref="Z769:Z832" si="107">SUM(F769:K769)</f>
        <v>63.11</v>
      </c>
    </row>
    <row r="770" spans="1:26" ht="12" hidden="1" thickBot="1">
      <c r="A770" s="522" t="s">
        <v>1363</v>
      </c>
      <c r="B770" s="522" t="s">
        <v>351</v>
      </c>
      <c r="C770" s="522" t="s">
        <v>957</v>
      </c>
      <c r="D770" s="523" t="s">
        <v>1035</v>
      </c>
      <c r="E770" s="566">
        <v>250</v>
      </c>
      <c r="F770" s="567"/>
      <c r="G770" s="576">
        <v>404.7</v>
      </c>
      <c r="H770" s="567"/>
      <c r="I770" s="567"/>
      <c r="J770" s="567"/>
      <c r="K770" s="567"/>
      <c r="L770" s="567"/>
      <c r="M770" s="576">
        <v>0.9</v>
      </c>
      <c r="N770" s="576">
        <v>8.89</v>
      </c>
      <c r="O770" s="567"/>
      <c r="P770" s="567"/>
      <c r="Q770" s="576">
        <v>0</v>
      </c>
      <c r="R770" s="576">
        <v>414.49</v>
      </c>
      <c r="S770" s="527">
        <f t="shared" si="102"/>
        <v>404.7</v>
      </c>
      <c r="T770" s="528">
        <f t="shared" si="103"/>
        <v>0</v>
      </c>
      <c r="U770" s="527">
        <f t="shared" si="104"/>
        <v>8.89</v>
      </c>
      <c r="W770" s="326">
        <f t="shared" si="106"/>
        <v>414.48999999999995</v>
      </c>
      <c r="X770" s="261">
        <f t="shared" si="105"/>
        <v>0</v>
      </c>
      <c r="Z770" s="1016">
        <f t="shared" si="107"/>
        <v>404.7</v>
      </c>
    </row>
    <row r="771" spans="1:26" ht="12" hidden="1" thickBot="1">
      <c r="A771" s="522" t="s">
        <v>1363</v>
      </c>
      <c r="B771" s="522" t="s">
        <v>352</v>
      </c>
      <c r="C771" s="522" t="s">
        <v>958</v>
      </c>
      <c r="D771" s="523" t="s">
        <v>1035</v>
      </c>
      <c r="E771" s="570">
        <v>449</v>
      </c>
      <c r="F771" s="571"/>
      <c r="G771" s="574">
        <v>710.73</v>
      </c>
      <c r="H771" s="571"/>
      <c r="I771" s="571"/>
      <c r="J771" s="571"/>
      <c r="K771" s="571"/>
      <c r="L771" s="571"/>
      <c r="M771" s="574">
        <v>1.61</v>
      </c>
      <c r="N771" s="574">
        <v>15.6</v>
      </c>
      <c r="O771" s="571"/>
      <c r="P771" s="571"/>
      <c r="Q771" s="574">
        <v>0</v>
      </c>
      <c r="R771" s="574">
        <v>727.94</v>
      </c>
      <c r="S771" s="527">
        <f t="shared" si="102"/>
        <v>710.73</v>
      </c>
      <c r="T771" s="528">
        <f t="shared" si="103"/>
        <v>0</v>
      </c>
      <c r="U771" s="527">
        <f t="shared" si="104"/>
        <v>15.6</v>
      </c>
      <c r="W771" s="326">
        <f t="shared" si="106"/>
        <v>727.94</v>
      </c>
      <c r="X771" s="261">
        <f t="shared" si="105"/>
        <v>0</v>
      </c>
      <c r="Z771" s="1016">
        <f t="shared" si="107"/>
        <v>710.73</v>
      </c>
    </row>
    <row r="772" spans="1:26" ht="12" hidden="1" thickBot="1">
      <c r="A772" s="522" t="s">
        <v>1363</v>
      </c>
      <c r="B772" s="522" t="s">
        <v>354</v>
      </c>
      <c r="C772" s="522" t="s">
        <v>959</v>
      </c>
      <c r="D772" s="523" t="s">
        <v>1035</v>
      </c>
      <c r="E772" s="566">
        <v>1296</v>
      </c>
      <c r="F772" s="567"/>
      <c r="G772" s="576">
        <v>1530.75</v>
      </c>
      <c r="H772" s="567"/>
      <c r="I772" s="567"/>
      <c r="J772" s="567"/>
      <c r="K772" s="567"/>
      <c r="L772" s="567"/>
      <c r="M772" s="576">
        <v>4.63</v>
      </c>
      <c r="N772" s="576">
        <v>33.619999999999997</v>
      </c>
      <c r="O772" s="567"/>
      <c r="P772" s="567"/>
      <c r="Q772" s="576">
        <v>0</v>
      </c>
      <c r="R772" s="576">
        <v>1569</v>
      </c>
      <c r="S772" s="527">
        <f t="shared" si="102"/>
        <v>1530.75</v>
      </c>
      <c r="T772" s="528">
        <f t="shared" si="103"/>
        <v>0</v>
      </c>
      <c r="U772" s="527">
        <f t="shared" si="104"/>
        <v>33.619999999999997</v>
      </c>
      <c r="W772" s="326">
        <f t="shared" si="106"/>
        <v>1569</v>
      </c>
      <c r="X772" s="261">
        <f t="shared" si="105"/>
        <v>0</v>
      </c>
      <c r="Z772" s="1016">
        <f t="shared" si="107"/>
        <v>1530.75</v>
      </c>
    </row>
    <row r="773" spans="1:26" ht="12" hidden="1" thickBot="1">
      <c r="A773" s="522" t="s">
        <v>1363</v>
      </c>
      <c r="B773" s="522" t="s">
        <v>355</v>
      </c>
      <c r="C773" s="522" t="s">
        <v>960</v>
      </c>
      <c r="D773" s="523" t="s">
        <v>1035</v>
      </c>
      <c r="E773" s="570">
        <v>50</v>
      </c>
      <c r="F773" s="571"/>
      <c r="G773" s="574">
        <v>56.69</v>
      </c>
      <c r="H773" s="571"/>
      <c r="I773" s="571"/>
      <c r="J773" s="571"/>
      <c r="K773" s="571"/>
      <c r="L773" s="571"/>
      <c r="M773" s="574">
        <v>0.18</v>
      </c>
      <c r="N773" s="574">
        <v>1.25</v>
      </c>
      <c r="O773" s="571"/>
      <c r="P773" s="571"/>
      <c r="Q773" s="574">
        <v>0</v>
      </c>
      <c r="R773" s="574">
        <v>58.12</v>
      </c>
      <c r="S773" s="527">
        <f t="shared" si="102"/>
        <v>56.69</v>
      </c>
      <c r="T773" s="528">
        <f t="shared" si="103"/>
        <v>0</v>
      </c>
      <c r="U773" s="527">
        <f t="shared" si="104"/>
        <v>1.25</v>
      </c>
      <c r="W773" s="326">
        <f t="shared" si="106"/>
        <v>58.12</v>
      </c>
      <c r="X773" s="261">
        <f t="shared" si="105"/>
        <v>0</v>
      </c>
      <c r="Z773" s="1016">
        <f t="shared" si="107"/>
        <v>56.69</v>
      </c>
    </row>
    <row r="774" spans="1:26" ht="12" hidden="1" thickBot="1">
      <c r="A774" s="522" t="s">
        <v>1363</v>
      </c>
      <c r="B774" s="522" t="s">
        <v>341</v>
      </c>
      <c r="C774" s="522" t="s">
        <v>961</v>
      </c>
      <c r="D774" s="523" t="s">
        <v>1035</v>
      </c>
      <c r="E774" s="566">
        <v>753</v>
      </c>
      <c r="F774" s="567"/>
      <c r="G774" s="576">
        <v>1117.8</v>
      </c>
      <c r="H774" s="567"/>
      <c r="I774" s="567"/>
      <c r="J774" s="567"/>
      <c r="K774" s="567"/>
      <c r="L774" s="567"/>
      <c r="M774" s="576">
        <v>2.83</v>
      </c>
      <c r="N774" s="576">
        <v>25.74</v>
      </c>
      <c r="O774" s="567"/>
      <c r="P774" s="567"/>
      <c r="Q774" s="576">
        <v>0</v>
      </c>
      <c r="R774" s="576">
        <v>1146.3699999999999</v>
      </c>
      <c r="S774" s="527">
        <f t="shared" si="102"/>
        <v>1117.8</v>
      </c>
      <c r="T774" s="528">
        <f t="shared" si="103"/>
        <v>0</v>
      </c>
      <c r="U774" s="527">
        <f t="shared" si="104"/>
        <v>25.74</v>
      </c>
      <c r="W774" s="326">
        <f t="shared" si="106"/>
        <v>1146.3699999999999</v>
      </c>
      <c r="X774" s="261">
        <f t="shared" si="105"/>
        <v>0</v>
      </c>
      <c r="Z774" s="1016">
        <f t="shared" si="107"/>
        <v>1117.8</v>
      </c>
    </row>
    <row r="775" spans="1:26" ht="12" hidden="1" thickBot="1">
      <c r="A775" s="522" t="s">
        <v>1363</v>
      </c>
      <c r="B775" s="522" t="s">
        <v>350</v>
      </c>
      <c r="C775" s="522" t="s">
        <v>962</v>
      </c>
      <c r="D775" s="523" t="s">
        <v>1035</v>
      </c>
      <c r="E775" s="570">
        <v>50</v>
      </c>
      <c r="F775" s="571"/>
      <c r="G775" s="574">
        <v>82.3</v>
      </c>
      <c r="H775" s="571"/>
      <c r="I775" s="571"/>
      <c r="J775" s="571"/>
      <c r="K775" s="571"/>
      <c r="L775" s="571"/>
      <c r="M775" s="574">
        <v>0.18</v>
      </c>
      <c r="N775" s="574">
        <v>1.81</v>
      </c>
      <c r="O775" s="571"/>
      <c r="P775" s="571"/>
      <c r="Q775" s="574">
        <v>0</v>
      </c>
      <c r="R775" s="574">
        <v>84.29</v>
      </c>
      <c r="S775" s="527">
        <f t="shared" si="102"/>
        <v>82.3</v>
      </c>
      <c r="T775" s="528">
        <f t="shared" si="103"/>
        <v>0</v>
      </c>
      <c r="U775" s="527">
        <f t="shared" si="104"/>
        <v>1.81</v>
      </c>
      <c r="W775" s="326">
        <f t="shared" si="106"/>
        <v>84.29</v>
      </c>
      <c r="X775" s="261">
        <f t="shared" si="105"/>
        <v>0</v>
      </c>
      <c r="Z775" s="1016">
        <f t="shared" si="107"/>
        <v>82.3</v>
      </c>
    </row>
    <row r="776" spans="1:26" ht="12" hidden="1" thickBot="1">
      <c r="A776" s="522" t="s">
        <v>1363</v>
      </c>
      <c r="B776" s="522" t="s">
        <v>342</v>
      </c>
      <c r="C776" s="522" t="s">
        <v>963</v>
      </c>
      <c r="D776" s="523" t="s">
        <v>1035</v>
      </c>
      <c r="E776" s="566">
        <v>1037</v>
      </c>
      <c r="F776" s="567"/>
      <c r="G776" s="576">
        <v>1490.4</v>
      </c>
      <c r="H776" s="567"/>
      <c r="I776" s="567"/>
      <c r="J776" s="567"/>
      <c r="K776" s="567"/>
      <c r="L776" s="567"/>
      <c r="M776" s="576">
        <v>3.7</v>
      </c>
      <c r="N776" s="576">
        <v>32.72</v>
      </c>
      <c r="O776" s="567"/>
      <c r="P776" s="567"/>
      <c r="Q776" s="576">
        <v>0</v>
      </c>
      <c r="R776" s="576">
        <v>1526.82</v>
      </c>
      <c r="S776" s="527">
        <f t="shared" ref="S776:S839" si="108">G776+H776+I776</f>
        <v>1490.4</v>
      </c>
      <c r="T776" s="528">
        <f t="shared" ref="T776:T839" si="109">J776+K776</f>
        <v>0</v>
      </c>
      <c r="U776" s="527">
        <f t="shared" ref="U776:U839" si="110">N776+O776</f>
        <v>32.72</v>
      </c>
      <c r="W776" s="326">
        <f t="shared" si="106"/>
        <v>1526.8200000000002</v>
      </c>
      <c r="X776" s="261">
        <f t="shared" ref="X776:X839" si="111">W776-R776</f>
        <v>0</v>
      </c>
      <c r="Z776" s="1016">
        <f t="shared" si="107"/>
        <v>1490.4</v>
      </c>
    </row>
    <row r="777" spans="1:26" ht="12" hidden="1" thickBot="1">
      <c r="A777" s="522" t="s">
        <v>1363</v>
      </c>
      <c r="B777" s="522" t="s">
        <v>346</v>
      </c>
      <c r="C777" s="522" t="s">
        <v>964</v>
      </c>
      <c r="D777" s="523" t="s">
        <v>1035</v>
      </c>
      <c r="E777" s="570">
        <v>203</v>
      </c>
      <c r="F777" s="571"/>
      <c r="G777" s="574">
        <v>303.52</v>
      </c>
      <c r="H777" s="571"/>
      <c r="I777" s="571"/>
      <c r="J777" s="571"/>
      <c r="K777" s="571"/>
      <c r="L777" s="571"/>
      <c r="M777" s="574">
        <v>0.72</v>
      </c>
      <c r="N777" s="574">
        <v>6.66</v>
      </c>
      <c r="O777" s="571"/>
      <c r="P777" s="571"/>
      <c r="Q777" s="574">
        <v>0</v>
      </c>
      <c r="R777" s="574">
        <v>310.89999999999998</v>
      </c>
      <c r="S777" s="527">
        <f t="shared" si="108"/>
        <v>303.52</v>
      </c>
      <c r="T777" s="528">
        <f t="shared" si="109"/>
        <v>0</v>
      </c>
      <c r="U777" s="527">
        <f t="shared" si="110"/>
        <v>6.66</v>
      </c>
      <c r="W777" s="326">
        <f t="shared" si="106"/>
        <v>310.90000000000003</v>
      </c>
      <c r="X777" s="261">
        <f t="shared" si="111"/>
        <v>0</v>
      </c>
      <c r="Z777" s="1016">
        <f t="shared" si="107"/>
        <v>303.52</v>
      </c>
    </row>
    <row r="778" spans="1:26" ht="12" hidden="1" thickBot="1">
      <c r="A778" s="522" t="s">
        <v>1363</v>
      </c>
      <c r="B778" s="522" t="s">
        <v>353</v>
      </c>
      <c r="C778" s="522" t="s">
        <v>965</v>
      </c>
      <c r="D778" s="523" t="s">
        <v>1035</v>
      </c>
      <c r="E778" s="566">
        <v>156</v>
      </c>
      <c r="F778" s="567"/>
      <c r="G778" s="576">
        <v>236.91</v>
      </c>
      <c r="H778" s="567"/>
      <c r="I778" s="567"/>
      <c r="J778" s="567"/>
      <c r="K778" s="567"/>
      <c r="L778" s="567"/>
      <c r="M778" s="576">
        <v>0.56000000000000005</v>
      </c>
      <c r="N778" s="576">
        <v>5.2</v>
      </c>
      <c r="O778" s="567"/>
      <c r="P778" s="567"/>
      <c r="Q778" s="576">
        <v>0</v>
      </c>
      <c r="R778" s="576">
        <v>242.67</v>
      </c>
      <c r="S778" s="527">
        <f t="shared" si="108"/>
        <v>236.91</v>
      </c>
      <c r="T778" s="528">
        <f t="shared" si="109"/>
        <v>0</v>
      </c>
      <c r="U778" s="527">
        <f t="shared" si="110"/>
        <v>5.2</v>
      </c>
      <c r="W778" s="326">
        <f t="shared" si="106"/>
        <v>242.67</v>
      </c>
      <c r="X778" s="261">
        <f t="shared" si="111"/>
        <v>0</v>
      </c>
      <c r="Z778" s="1016">
        <f t="shared" si="107"/>
        <v>236.91</v>
      </c>
    </row>
    <row r="779" spans="1:26" ht="12" hidden="1" thickBot="1">
      <c r="A779" s="522" t="s">
        <v>1363</v>
      </c>
      <c r="B779" s="522" t="s">
        <v>345</v>
      </c>
      <c r="C779" s="522" t="s">
        <v>966</v>
      </c>
      <c r="D779" s="523" t="s">
        <v>1035</v>
      </c>
      <c r="E779" s="570">
        <v>104</v>
      </c>
      <c r="F779" s="571"/>
      <c r="G779" s="574">
        <v>154.52000000000001</v>
      </c>
      <c r="H779" s="571"/>
      <c r="I779" s="571"/>
      <c r="J779" s="571"/>
      <c r="K779" s="571"/>
      <c r="L779" s="571"/>
      <c r="M779" s="574">
        <v>0.37</v>
      </c>
      <c r="N779" s="574">
        <v>3.39</v>
      </c>
      <c r="O779" s="571"/>
      <c r="P779" s="571"/>
      <c r="Q779" s="574">
        <v>0</v>
      </c>
      <c r="R779" s="574">
        <v>158.28</v>
      </c>
      <c r="S779" s="527">
        <f t="shared" si="108"/>
        <v>154.52000000000001</v>
      </c>
      <c r="T779" s="528">
        <f t="shared" si="109"/>
        <v>0</v>
      </c>
      <c r="U779" s="527">
        <f t="shared" si="110"/>
        <v>3.39</v>
      </c>
      <c r="W779" s="326">
        <f t="shared" si="106"/>
        <v>158.28</v>
      </c>
      <c r="X779" s="261">
        <f t="shared" si="111"/>
        <v>0</v>
      </c>
      <c r="Z779" s="1016">
        <f t="shared" si="107"/>
        <v>154.52000000000001</v>
      </c>
    </row>
    <row r="780" spans="1:26" ht="12" hidden="1" thickBot="1">
      <c r="A780" s="522" t="s">
        <v>1363</v>
      </c>
      <c r="B780" s="522" t="s">
        <v>343</v>
      </c>
      <c r="C780" s="522" t="s">
        <v>967</v>
      </c>
      <c r="D780" s="523" t="s">
        <v>1035</v>
      </c>
      <c r="E780" s="566">
        <v>2622</v>
      </c>
      <c r="F780" s="567"/>
      <c r="G780" s="576">
        <v>3273.69</v>
      </c>
      <c r="H780" s="567"/>
      <c r="I780" s="567"/>
      <c r="J780" s="567"/>
      <c r="K780" s="567"/>
      <c r="L780" s="567"/>
      <c r="M780" s="576">
        <v>9.36</v>
      </c>
      <c r="N780" s="576">
        <v>71.91</v>
      </c>
      <c r="O780" s="567"/>
      <c r="P780" s="567"/>
      <c r="Q780" s="576">
        <v>0</v>
      </c>
      <c r="R780" s="576">
        <v>3354.96</v>
      </c>
      <c r="S780" s="527">
        <f t="shared" si="108"/>
        <v>3273.69</v>
      </c>
      <c r="T780" s="528">
        <f t="shared" si="109"/>
        <v>0</v>
      </c>
      <c r="U780" s="527">
        <f t="shared" si="110"/>
        <v>71.91</v>
      </c>
      <c r="W780" s="326">
        <f t="shared" si="106"/>
        <v>3354.96</v>
      </c>
      <c r="X780" s="261">
        <f t="shared" si="111"/>
        <v>0</v>
      </c>
      <c r="Z780" s="1016">
        <f t="shared" si="107"/>
        <v>3273.69</v>
      </c>
    </row>
    <row r="781" spans="1:26" ht="12" hidden="1" thickBot="1">
      <c r="A781" s="522" t="s">
        <v>1363</v>
      </c>
      <c r="B781" s="522" t="s">
        <v>472</v>
      </c>
      <c r="C781" s="522" t="s">
        <v>968</v>
      </c>
      <c r="D781" s="523" t="s">
        <v>1035</v>
      </c>
      <c r="E781" s="570">
        <v>97</v>
      </c>
      <c r="F781" s="571"/>
      <c r="G781" s="574">
        <v>151.80000000000001</v>
      </c>
      <c r="H781" s="571"/>
      <c r="I781" s="571"/>
      <c r="J781" s="571"/>
      <c r="K781" s="571"/>
      <c r="L781" s="571"/>
      <c r="M781" s="574">
        <v>0.35</v>
      </c>
      <c r="N781" s="574">
        <v>3.33</v>
      </c>
      <c r="O781" s="571"/>
      <c r="P781" s="571"/>
      <c r="Q781" s="571"/>
      <c r="R781" s="574">
        <v>155.47999999999999</v>
      </c>
      <c r="S781" s="527">
        <f t="shared" si="108"/>
        <v>151.80000000000001</v>
      </c>
      <c r="T781" s="528">
        <f t="shared" si="109"/>
        <v>0</v>
      </c>
      <c r="U781" s="527">
        <f t="shared" si="110"/>
        <v>3.33</v>
      </c>
      <c r="W781" s="326">
        <f t="shared" si="106"/>
        <v>155.48000000000002</v>
      </c>
      <c r="X781" s="261">
        <f t="shared" si="111"/>
        <v>0</v>
      </c>
      <c r="Z781" s="1016">
        <f t="shared" si="107"/>
        <v>151.80000000000001</v>
      </c>
    </row>
    <row r="782" spans="1:26" ht="12" hidden="1" thickBot="1">
      <c r="A782" s="522" t="s">
        <v>1363</v>
      </c>
      <c r="B782" s="522" t="s">
        <v>382</v>
      </c>
      <c r="C782" s="522" t="s">
        <v>969</v>
      </c>
      <c r="D782" s="533" t="s">
        <v>1035</v>
      </c>
      <c r="E782" s="566">
        <v>1185</v>
      </c>
      <c r="F782" s="567"/>
      <c r="G782" s="576">
        <v>772.72</v>
      </c>
      <c r="H782" s="567"/>
      <c r="I782" s="567"/>
      <c r="J782" s="567"/>
      <c r="K782" s="567"/>
      <c r="L782" s="567"/>
      <c r="M782" s="576">
        <v>5.52</v>
      </c>
      <c r="N782" s="576">
        <v>21.84</v>
      </c>
      <c r="O782" s="567"/>
      <c r="P782" s="567"/>
      <c r="Q782" s="576">
        <v>0</v>
      </c>
      <c r="R782" s="576">
        <v>800.08</v>
      </c>
      <c r="S782" s="527">
        <f t="shared" si="108"/>
        <v>772.72</v>
      </c>
      <c r="T782" s="528">
        <f t="shared" si="109"/>
        <v>0</v>
      </c>
      <c r="U782" s="527">
        <f t="shared" si="110"/>
        <v>21.84</v>
      </c>
      <c r="W782" s="326">
        <f t="shared" si="106"/>
        <v>800.08</v>
      </c>
      <c r="X782" s="261">
        <f t="shared" si="111"/>
        <v>0</v>
      </c>
      <c r="Z782" s="1016">
        <f t="shared" si="107"/>
        <v>772.72</v>
      </c>
    </row>
    <row r="783" spans="1:26" ht="12" hidden="1" thickBot="1">
      <c r="A783" s="522" t="s">
        <v>1363</v>
      </c>
      <c r="B783" s="522" t="s">
        <v>402</v>
      </c>
      <c r="C783" s="522" t="s">
        <v>970</v>
      </c>
      <c r="D783" s="533" t="s">
        <v>1036</v>
      </c>
      <c r="E783" s="570">
        <v>397531</v>
      </c>
      <c r="F783" s="571"/>
      <c r="G783" s="574">
        <v>74898.91</v>
      </c>
      <c r="H783" s="571"/>
      <c r="I783" s="571"/>
      <c r="J783" s="571"/>
      <c r="K783" s="571"/>
      <c r="L783" s="571"/>
      <c r="M783" s="574">
        <v>1966.27</v>
      </c>
      <c r="N783" s="574">
        <v>2267.2800000000002</v>
      </c>
      <c r="O783" s="571"/>
      <c r="P783" s="571"/>
      <c r="Q783" s="574">
        <v>0</v>
      </c>
      <c r="R783" s="574">
        <v>79132.460000000006</v>
      </c>
      <c r="S783" s="527">
        <f t="shared" si="108"/>
        <v>74898.91</v>
      </c>
      <c r="T783" s="528">
        <f t="shared" si="109"/>
        <v>0</v>
      </c>
      <c r="U783" s="527">
        <f t="shared" si="110"/>
        <v>2267.2800000000002</v>
      </c>
      <c r="W783" s="326">
        <f t="shared" si="106"/>
        <v>79132.460000000006</v>
      </c>
      <c r="X783" s="261">
        <f t="shared" si="111"/>
        <v>0</v>
      </c>
      <c r="Z783" s="1016">
        <f t="shared" si="107"/>
        <v>74898.91</v>
      </c>
    </row>
    <row r="784" spans="1:26" ht="12" hidden="1" thickBot="1">
      <c r="A784" s="522" t="s">
        <v>1363</v>
      </c>
      <c r="B784" s="522" t="s">
        <v>398</v>
      </c>
      <c r="C784" s="522" t="s">
        <v>971</v>
      </c>
      <c r="D784" s="533" t="s">
        <v>1036</v>
      </c>
      <c r="E784" s="566">
        <v>18054</v>
      </c>
      <c r="F784" s="567"/>
      <c r="G784" s="576">
        <v>1649.6</v>
      </c>
      <c r="H784" s="567"/>
      <c r="I784" s="567"/>
      <c r="J784" s="567"/>
      <c r="K784" s="567"/>
      <c r="L784" s="567"/>
      <c r="M784" s="576">
        <v>85.34</v>
      </c>
      <c r="N784" s="576">
        <v>49.57</v>
      </c>
      <c r="O784" s="567"/>
      <c r="P784" s="567"/>
      <c r="Q784" s="576">
        <v>0</v>
      </c>
      <c r="R784" s="576">
        <v>1784.51</v>
      </c>
      <c r="S784" s="527">
        <f t="shared" si="108"/>
        <v>1649.6</v>
      </c>
      <c r="T784" s="528">
        <f t="shared" si="109"/>
        <v>0</v>
      </c>
      <c r="U784" s="527">
        <f t="shared" si="110"/>
        <v>49.57</v>
      </c>
      <c r="W784" s="326">
        <f t="shared" si="106"/>
        <v>1784.5099999999998</v>
      </c>
      <c r="X784" s="261">
        <f t="shared" si="111"/>
        <v>0</v>
      </c>
      <c r="Z784" s="1016">
        <f t="shared" si="107"/>
        <v>1649.6</v>
      </c>
    </row>
    <row r="785" spans="1:26" ht="12" hidden="1" thickBot="1">
      <c r="A785" s="522" t="s">
        <v>1363</v>
      </c>
      <c r="B785" s="522" t="s">
        <v>376</v>
      </c>
      <c r="C785" s="522" t="s">
        <v>972</v>
      </c>
      <c r="D785" s="533" t="s">
        <v>1036</v>
      </c>
      <c r="E785" s="570">
        <v>4041</v>
      </c>
      <c r="F785" s="571"/>
      <c r="G785" s="574">
        <v>4862.3999999999996</v>
      </c>
      <c r="H785" s="571"/>
      <c r="I785" s="571"/>
      <c r="J785" s="571"/>
      <c r="K785" s="571"/>
      <c r="L785" s="571"/>
      <c r="M785" s="574">
        <v>20.079999999999998</v>
      </c>
      <c r="N785" s="574">
        <v>145.99</v>
      </c>
      <c r="O785" s="571"/>
      <c r="P785" s="571"/>
      <c r="Q785" s="574">
        <v>0</v>
      </c>
      <c r="R785" s="574">
        <v>5028.47</v>
      </c>
      <c r="S785" s="527">
        <f t="shared" si="108"/>
        <v>4862.3999999999996</v>
      </c>
      <c r="T785" s="528">
        <f t="shared" si="109"/>
        <v>0</v>
      </c>
      <c r="U785" s="527">
        <f t="shared" si="110"/>
        <v>145.99</v>
      </c>
      <c r="W785" s="326">
        <f t="shared" si="106"/>
        <v>5028.4699999999993</v>
      </c>
      <c r="X785" s="261">
        <f t="shared" si="111"/>
        <v>0</v>
      </c>
      <c r="Z785" s="1016">
        <f t="shared" si="107"/>
        <v>4862.3999999999996</v>
      </c>
    </row>
    <row r="786" spans="1:26" ht="12" hidden="1" thickBot="1">
      <c r="A786" s="522" t="s">
        <v>1363</v>
      </c>
      <c r="B786" s="522" t="s">
        <v>384</v>
      </c>
      <c r="C786" s="522" t="s">
        <v>973</v>
      </c>
      <c r="D786" s="533" t="s">
        <v>1035</v>
      </c>
      <c r="E786" s="566">
        <v>3441</v>
      </c>
      <c r="F786" s="567"/>
      <c r="G786" s="576">
        <v>3207</v>
      </c>
      <c r="H786" s="567"/>
      <c r="I786" s="567"/>
      <c r="J786" s="567"/>
      <c r="K786" s="567"/>
      <c r="L786" s="567"/>
      <c r="M786" s="576">
        <v>17.100000000000001</v>
      </c>
      <c r="N786" s="576">
        <v>96.39</v>
      </c>
      <c r="O786" s="567"/>
      <c r="P786" s="567"/>
      <c r="Q786" s="576">
        <v>0</v>
      </c>
      <c r="R786" s="576">
        <v>3320.49</v>
      </c>
      <c r="S786" s="527">
        <f t="shared" si="108"/>
        <v>3207</v>
      </c>
      <c r="T786" s="528">
        <f t="shared" si="109"/>
        <v>0</v>
      </c>
      <c r="U786" s="527">
        <f t="shared" si="110"/>
        <v>96.39</v>
      </c>
      <c r="W786" s="326">
        <f t="shared" si="106"/>
        <v>3320.49</v>
      </c>
      <c r="X786" s="261">
        <f t="shared" si="111"/>
        <v>0</v>
      </c>
      <c r="Z786" s="1016">
        <f t="shared" si="107"/>
        <v>3207</v>
      </c>
    </row>
    <row r="787" spans="1:26" ht="12" hidden="1" thickBot="1">
      <c r="A787" s="522" t="s">
        <v>1363</v>
      </c>
      <c r="B787" s="522" t="s">
        <v>386</v>
      </c>
      <c r="C787" s="522" t="s">
        <v>974</v>
      </c>
      <c r="D787" s="533" t="s">
        <v>1036</v>
      </c>
      <c r="E787" s="570">
        <v>672</v>
      </c>
      <c r="F787" s="571"/>
      <c r="G787" s="574">
        <v>863.52</v>
      </c>
      <c r="H787" s="571"/>
      <c r="I787" s="571"/>
      <c r="J787" s="571"/>
      <c r="K787" s="571"/>
      <c r="L787" s="571"/>
      <c r="M787" s="574">
        <v>3.34</v>
      </c>
      <c r="N787" s="574">
        <v>25.92</v>
      </c>
      <c r="O787" s="571"/>
      <c r="P787" s="571"/>
      <c r="Q787" s="574">
        <v>0</v>
      </c>
      <c r="R787" s="574">
        <v>892.78</v>
      </c>
      <c r="S787" s="527">
        <f t="shared" si="108"/>
        <v>863.52</v>
      </c>
      <c r="T787" s="528">
        <f t="shared" si="109"/>
        <v>0</v>
      </c>
      <c r="U787" s="527">
        <f t="shared" si="110"/>
        <v>25.92</v>
      </c>
      <c r="W787" s="326">
        <f t="shared" si="106"/>
        <v>892.78</v>
      </c>
      <c r="X787" s="261">
        <f t="shared" si="111"/>
        <v>0</v>
      </c>
      <c r="Z787" s="1016">
        <f t="shared" si="107"/>
        <v>863.52</v>
      </c>
    </row>
    <row r="788" spans="1:26" ht="12" hidden="1" thickBot="1">
      <c r="A788" s="522" t="s">
        <v>1363</v>
      </c>
      <c r="B788" s="522" t="s">
        <v>409</v>
      </c>
      <c r="C788" s="522" t="s">
        <v>975</v>
      </c>
      <c r="D788" s="533" t="s">
        <v>1036</v>
      </c>
      <c r="E788" s="566">
        <v>3113</v>
      </c>
      <c r="F788" s="567"/>
      <c r="G788" s="576">
        <v>2997.12</v>
      </c>
      <c r="H788" s="567"/>
      <c r="I788" s="567"/>
      <c r="J788" s="567"/>
      <c r="K788" s="567"/>
      <c r="L788" s="567"/>
      <c r="M788" s="576">
        <v>15.48</v>
      </c>
      <c r="N788" s="576">
        <v>90.07</v>
      </c>
      <c r="O788" s="567"/>
      <c r="P788" s="567"/>
      <c r="Q788" s="576">
        <v>0</v>
      </c>
      <c r="R788" s="576">
        <v>3102.67</v>
      </c>
      <c r="S788" s="527">
        <f t="shared" si="108"/>
        <v>2997.12</v>
      </c>
      <c r="T788" s="528">
        <f t="shared" si="109"/>
        <v>0</v>
      </c>
      <c r="U788" s="527">
        <f t="shared" si="110"/>
        <v>90.07</v>
      </c>
      <c r="W788" s="326">
        <f t="shared" si="106"/>
        <v>3102.67</v>
      </c>
      <c r="X788" s="261">
        <f t="shared" si="111"/>
        <v>0</v>
      </c>
      <c r="Z788" s="1016">
        <f t="shared" si="107"/>
        <v>2997.12</v>
      </c>
    </row>
    <row r="789" spans="1:26" ht="12" hidden="1" thickBot="1">
      <c r="A789" s="522" t="s">
        <v>1363</v>
      </c>
      <c r="B789" s="522" t="s">
        <v>387</v>
      </c>
      <c r="C789" s="522" t="s">
        <v>976</v>
      </c>
      <c r="D789" s="533" t="s">
        <v>1035</v>
      </c>
      <c r="E789" s="570">
        <v>476</v>
      </c>
      <c r="F789" s="571"/>
      <c r="G789" s="574">
        <v>647.64</v>
      </c>
      <c r="H789" s="571"/>
      <c r="I789" s="571"/>
      <c r="J789" s="571"/>
      <c r="K789" s="571"/>
      <c r="L789" s="571"/>
      <c r="M789" s="574">
        <v>1.7</v>
      </c>
      <c r="N789" s="574">
        <v>14.22</v>
      </c>
      <c r="O789" s="571"/>
      <c r="P789" s="571"/>
      <c r="Q789" s="574">
        <v>0</v>
      </c>
      <c r="R789" s="574">
        <v>663.56</v>
      </c>
      <c r="S789" s="527">
        <f t="shared" si="108"/>
        <v>647.64</v>
      </c>
      <c r="T789" s="528">
        <f t="shared" si="109"/>
        <v>0</v>
      </c>
      <c r="U789" s="527">
        <f t="shared" si="110"/>
        <v>14.22</v>
      </c>
      <c r="W789" s="326">
        <f t="shared" si="106"/>
        <v>663.56000000000006</v>
      </c>
      <c r="X789" s="261">
        <f t="shared" si="111"/>
        <v>0</v>
      </c>
      <c r="Z789" s="1016">
        <f t="shared" si="107"/>
        <v>647.64</v>
      </c>
    </row>
    <row r="790" spans="1:26" ht="12" hidden="1" thickBot="1">
      <c r="A790" s="522" t="s">
        <v>1363</v>
      </c>
      <c r="B790" s="522" t="s">
        <v>410</v>
      </c>
      <c r="C790" s="522" t="s">
        <v>977</v>
      </c>
      <c r="D790" s="533" t="s">
        <v>1035</v>
      </c>
      <c r="E790" s="566">
        <v>319</v>
      </c>
      <c r="F790" s="567"/>
      <c r="G790" s="576">
        <v>312.2</v>
      </c>
      <c r="H790" s="567"/>
      <c r="I790" s="567"/>
      <c r="J790" s="567"/>
      <c r="K790" s="567"/>
      <c r="L790" s="567"/>
      <c r="M790" s="576">
        <v>1.1399999999999999</v>
      </c>
      <c r="N790" s="576">
        <v>6.86</v>
      </c>
      <c r="O790" s="567"/>
      <c r="P790" s="567"/>
      <c r="Q790" s="576">
        <v>0</v>
      </c>
      <c r="R790" s="576">
        <v>320.2</v>
      </c>
      <c r="S790" s="527">
        <f t="shared" si="108"/>
        <v>312.2</v>
      </c>
      <c r="T790" s="528">
        <f t="shared" si="109"/>
        <v>0</v>
      </c>
      <c r="U790" s="527">
        <f t="shared" si="110"/>
        <v>6.86</v>
      </c>
      <c r="W790" s="326">
        <f t="shared" si="106"/>
        <v>320.2</v>
      </c>
      <c r="X790" s="261">
        <f t="shared" si="111"/>
        <v>0</v>
      </c>
      <c r="Z790" s="1016">
        <f t="shared" si="107"/>
        <v>312.2</v>
      </c>
    </row>
    <row r="791" spans="1:26" ht="12" hidden="1" thickBot="1">
      <c r="A791" s="522" t="s">
        <v>1363</v>
      </c>
      <c r="B791" s="522" t="s">
        <v>405</v>
      </c>
      <c r="C791" s="522" t="s">
        <v>978</v>
      </c>
      <c r="D791" s="533" t="s">
        <v>1035</v>
      </c>
      <c r="E791" s="570">
        <v>20804</v>
      </c>
      <c r="F791" s="571"/>
      <c r="G791" s="574">
        <v>9523.2000000000007</v>
      </c>
      <c r="H791" s="571"/>
      <c r="I791" s="571"/>
      <c r="J791" s="571"/>
      <c r="K791" s="571"/>
      <c r="L791" s="571"/>
      <c r="M791" s="574">
        <v>97.87</v>
      </c>
      <c r="N791" s="574">
        <v>272.70999999999998</v>
      </c>
      <c r="O791" s="571"/>
      <c r="P791" s="571"/>
      <c r="Q791" s="574">
        <v>0</v>
      </c>
      <c r="R791" s="574">
        <v>9893.7800000000007</v>
      </c>
      <c r="S791" s="527">
        <f t="shared" si="108"/>
        <v>9523.2000000000007</v>
      </c>
      <c r="T791" s="528">
        <f t="shared" si="109"/>
        <v>0</v>
      </c>
      <c r="U791" s="527">
        <f t="shared" si="110"/>
        <v>272.70999999999998</v>
      </c>
      <c r="W791" s="326">
        <f t="shared" si="106"/>
        <v>9893.7800000000007</v>
      </c>
      <c r="X791" s="261">
        <f t="shared" si="111"/>
        <v>0</v>
      </c>
      <c r="Z791" s="1016">
        <f t="shared" si="107"/>
        <v>9523.2000000000007</v>
      </c>
    </row>
    <row r="792" spans="1:26" ht="12" hidden="1" thickBot="1">
      <c r="A792" s="522" t="s">
        <v>1363</v>
      </c>
      <c r="B792" s="522" t="s">
        <v>326</v>
      </c>
      <c r="C792" s="522" t="s">
        <v>979</v>
      </c>
      <c r="D792" s="533" t="s">
        <v>1036</v>
      </c>
      <c r="E792" s="566">
        <v>144</v>
      </c>
      <c r="F792" s="567"/>
      <c r="G792" s="576">
        <v>16.95</v>
      </c>
      <c r="H792" s="567"/>
      <c r="I792" s="567"/>
      <c r="J792" s="567"/>
      <c r="K792" s="567"/>
      <c r="L792" s="567"/>
      <c r="M792" s="576">
        <v>0.57999999999999996</v>
      </c>
      <c r="N792" s="576">
        <v>0.45</v>
      </c>
      <c r="O792" s="567"/>
      <c r="P792" s="567"/>
      <c r="Q792" s="576">
        <v>0</v>
      </c>
      <c r="R792" s="576">
        <v>17.98</v>
      </c>
      <c r="S792" s="527">
        <f t="shared" si="108"/>
        <v>16.95</v>
      </c>
      <c r="T792" s="528">
        <f t="shared" si="109"/>
        <v>0</v>
      </c>
      <c r="U792" s="527">
        <f t="shared" si="110"/>
        <v>0.45</v>
      </c>
      <c r="W792" s="326">
        <f t="shared" si="106"/>
        <v>17.979999999999997</v>
      </c>
      <c r="X792" s="261">
        <f t="shared" si="111"/>
        <v>0</v>
      </c>
      <c r="Z792" s="1016">
        <f t="shared" si="107"/>
        <v>16.95</v>
      </c>
    </row>
    <row r="793" spans="1:26" ht="12" hidden="1" thickBot="1">
      <c r="A793" s="522" t="s">
        <v>1363</v>
      </c>
      <c r="B793" s="522" t="s">
        <v>356</v>
      </c>
      <c r="C793" s="522" t="s">
        <v>980</v>
      </c>
      <c r="D793" s="533" t="s">
        <v>1036</v>
      </c>
      <c r="E793" s="570">
        <v>37585</v>
      </c>
      <c r="F793" s="571"/>
      <c r="G793" s="574">
        <v>3041.26</v>
      </c>
      <c r="H793" s="571"/>
      <c r="I793" s="571"/>
      <c r="J793" s="571"/>
      <c r="K793" s="571"/>
      <c r="L793" s="571"/>
      <c r="M793" s="574">
        <v>173.02</v>
      </c>
      <c r="N793" s="574">
        <v>89.72</v>
      </c>
      <c r="O793" s="571"/>
      <c r="P793" s="571"/>
      <c r="Q793" s="574">
        <v>0</v>
      </c>
      <c r="R793" s="574">
        <v>3304</v>
      </c>
      <c r="S793" s="527">
        <f t="shared" si="108"/>
        <v>3041.26</v>
      </c>
      <c r="T793" s="528">
        <f t="shared" si="109"/>
        <v>0</v>
      </c>
      <c r="U793" s="527">
        <f t="shared" si="110"/>
        <v>89.72</v>
      </c>
      <c r="W793" s="326">
        <f t="shared" si="106"/>
        <v>3304</v>
      </c>
      <c r="X793" s="261">
        <f t="shared" si="111"/>
        <v>0</v>
      </c>
      <c r="Z793" s="1016">
        <f t="shared" si="107"/>
        <v>3041.26</v>
      </c>
    </row>
    <row r="794" spans="1:26" ht="12" hidden="1" thickBot="1">
      <c r="A794" s="522" t="s">
        <v>1363</v>
      </c>
      <c r="B794" s="522" t="s">
        <v>374</v>
      </c>
      <c r="C794" s="522" t="s">
        <v>981</v>
      </c>
      <c r="D794" s="533" t="s">
        <v>1036</v>
      </c>
      <c r="E794" s="566">
        <v>4264</v>
      </c>
      <c r="F794" s="567"/>
      <c r="G794" s="576">
        <v>318.19</v>
      </c>
      <c r="H794" s="567"/>
      <c r="I794" s="567"/>
      <c r="J794" s="567"/>
      <c r="K794" s="567"/>
      <c r="L794" s="567"/>
      <c r="M794" s="576">
        <v>17.760000000000002</v>
      </c>
      <c r="N794" s="576">
        <v>8.5299999999999994</v>
      </c>
      <c r="O794" s="567"/>
      <c r="P794" s="567"/>
      <c r="Q794" s="576">
        <v>0</v>
      </c>
      <c r="R794" s="576">
        <v>344.48</v>
      </c>
      <c r="S794" s="527">
        <f t="shared" si="108"/>
        <v>318.19</v>
      </c>
      <c r="T794" s="528">
        <f t="shared" si="109"/>
        <v>0</v>
      </c>
      <c r="U794" s="527">
        <f t="shared" si="110"/>
        <v>8.5299999999999994</v>
      </c>
      <c r="W794" s="326">
        <f t="shared" si="106"/>
        <v>344.47999999999996</v>
      </c>
      <c r="X794" s="261">
        <f t="shared" si="111"/>
        <v>0</v>
      </c>
      <c r="Z794" s="1016">
        <f t="shared" si="107"/>
        <v>318.19</v>
      </c>
    </row>
    <row r="795" spans="1:26" ht="12" hidden="1" thickBot="1">
      <c r="A795" s="522" t="s">
        <v>1363</v>
      </c>
      <c r="B795" s="522" t="s">
        <v>399</v>
      </c>
      <c r="C795" s="522" t="s">
        <v>982</v>
      </c>
      <c r="D795" s="533" t="s">
        <v>1036</v>
      </c>
      <c r="E795" s="570">
        <v>239</v>
      </c>
      <c r="F795" s="571"/>
      <c r="G795" s="574">
        <v>18.12</v>
      </c>
      <c r="H795" s="571"/>
      <c r="I795" s="571"/>
      <c r="J795" s="571"/>
      <c r="K795" s="571"/>
      <c r="L795" s="571"/>
      <c r="M795" s="574">
        <v>1.19</v>
      </c>
      <c r="N795" s="574">
        <v>0.57999999999999996</v>
      </c>
      <c r="O795" s="571"/>
      <c r="P795" s="571"/>
      <c r="Q795" s="574">
        <v>0</v>
      </c>
      <c r="R795" s="574">
        <v>19.89</v>
      </c>
      <c r="S795" s="527">
        <f t="shared" si="108"/>
        <v>18.12</v>
      </c>
      <c r="T795" s="528">
        <f t="shared" si="109"/>
        <v>0</v>
      </c>
      <c r="U795" s="527">
        <f t="shared" si="110"/>
        <v>0.57999999999999996</v>
      </c>
      <c r="W795" s="326">
        <f t="shared" si="106"/>
        <v>19.89</v>
      </c>
      <c r="X795" s="261">
        <f t="shared" si="111"/>
        <v>0</v>
      </c>
      <c r="Z795" s="1016">
        <f t="shared" si="107"/>
        <v>18.12</v>
      </c>
    </row>
    <row r="796" spans="1:26" ht="12" hidden="1" thickBot="1">
      <c r="A796" s="522" t="s">
        <v>1363</v>
      </c>
      <c r="B796" s="522" t="s">
        <v>391</v>
      </c>
      <c r="C796" s="522" t="s">
        <v>983</v>
      </c>
      <c r="D796" s="533" t="s">
        <v>1036</v>
      </c>
      <c r="E796" s="566">
        <v>3824</v>
      </c>
      <c r="F796" s="567"/>
      <c r="G796" s="576">
        <v>1273.48</v>
      </c>
      <c r="H796" s="567"/>
      <c r="I796" s="567"/>
      <c r="J796" s="567"/>
      <c r="K796" s="567"/>
      <c r="L796" s="567"/>
      <c r="M796" s="576">
        <v>18.809999999999999</v>
      </c>
      <c r="N796" s="576">
        <v>39.299999999999997</v>
      </c>
      <c r="O796" s="567"/>
      <c r="P796" s="567"/>
      <c r="Q796" s="576">
        <v>0</v>
      </c>
      <c r="R796" s="576">
        <v>1331.59</v>
      </c>
      <c r="S796" s="527">
        <f t="shared" si="108"/>
        <v>1273.48</v>
      </c>
      <c r="T796" s="528">
        <f t="shared" si="109"/>
        <v>0</v>
      </c>
      <c r="U796" s="527">
        <f t="shared" si="110"/>
        <v>39.299999999999997</v>
      </c>
      <c r="W796" s="326">
        <f t="shared" si="106"/>
        <v>1331.59</v>
      </c>
      <c r="X796" s="261">
        <f t="shared" si="111"/>
        <v>0</v>
      </c>
      <c r="Z796" s="1016">
        <f t="shared" si="107"/>
        <v>1273.48</v>
      </c>
    </row>
    <row r="797" spans="1:26" ht="12" hidden="1" thickBot="1">
      <c r="A797" s="522" t="s">
        <v>1363</v>
      </c>
      <c r="B797" s="522" t="s">
        <v>416</v>
      </c>
      <c r="C797" s="522" t="s">
        <v>984</v>
      </c>
      <c r="D797" s="533" t="s">
        <v>1035</v>
      </c>
      <c r="E797" s="570">
        <v>1151916</v>
      </c>
      <c r="F797" s="571"/>
      <c r="G797" s="574">
        <v>285245.71000000002</v>
      </c>
      <c r="H797" s="571"/>
      <c r="I797" s="571"/>
      <c r="J797" s="571"/>
      <c r="K797" s="571"/>
      <c r="L797" s="571"/>
      <c r="M797" s="574">
        <v>5617.02</v>
      </c>
      <c r="N797" s="574">
        <v>8713.24</v>
      </c>
      <c r="O797" s="571"/>
      <c r="P797" s="571"/>
      <c r="Q797" s="574">
        <v>0</v>
      </c>
      <c r="R797" s="574">
        <v>299575.96999999997</v>
      </c>
      <c r="S797" s="527">
        <f t="shared" si="108"/>
        <v>285245.71000000002</v>
      </c>
      <c r="T797" s="528">
        <f t="shared" si="109"/>
        <v>0</v>
      </c>
      <c r="U797" s="527">
        <f t="shared" si="110"/>
        <v>8713.24</v>
      </c>
      <c r="W797" s="326">
        <f t="shared" si="106"/>
        <v>299575.97000000003</v>
      </c>
      <c r="X797" s="261">
        <f t="shared" si="111"/>
        <v>0</v>
      </c>
      <c r="Z797" s="1016">
        <f t="shared" si="107"/>
        <v>285245.71000000002</v>
      </c>
    </row>
    <row r="798" spans="1:26" ht="12" hidden="1" thickBot="1">
      <c r="A798" s="522" t="s">
        <v>1363</v>
      </c>
      <c r="B798" s="522" t="s">
        <v>407</v>
      </c>
      <c r="C798" s="522" t="s">
        <v>985</v>
      </c>
      <c r="D798" s="533" t="s">
        <v>1035</v>
      </c>
      <c r="E798" s="566">
        <v>37577</v>
      </c>
      <c r="F798" s="567"/>
      <c r="G798" s="576">
        <v>25806</v>
      </c>
      <c r="H798" s="567"/>
      <c r="I798" s="567"/>
      <c r="J798" s="567"/>
      <c r="K798" s="567"/>
      <c r="L798" s="567"/>
      <c r="M798" s="576">
        <v>177.34</v>
      </c>
      <c r="N798" s="576">
        <v>741.26</v>
      </c>
      <c r="O798" s="567"/>
      <c r="P798" s="567"/>
      <c r="Q798" s="576">
        <v>0</v>
      </c>
      <c r="R798" s="576">
        <v>26724.6</v>
      </c>
      <c r="S798" s="527">
        <f t="shared" si="108"/>
        <v>25806</v>
      </c>
      <c r="T798" s="528">
        <f t="shared" si="109"/>
        <v>0</v>
      </c>
      <c r="U798" s="527">
        <f t="shared" si="110"/>
        <v>741.26</v>
      </c>
      <c r="W798" s="326">
        <f t="shared" si="106"/>
        <v>26724.6</v>
      </c>
      <c r="X798" s="261">
        <f t="shared" si="111"/>
        <v>0</v>
      </c>
      <c r="Z798" s="1016">
        <f t="shared" si="107"/>
        <v>25806</v>
      </c>
    </row>
    <row r="799" spans="1:26" ht="12" hidden="1" thickBot="1">
      <c r="A799" s="522" t="s">
        <v>1363</v>
      </c>
      <c r="B799" s="522" t="s">
        <v>373</v>
      </c>
      <c r="C799" s="522" t="s">
        <v>986</v>
      </c>
      <c r="D799" s="533" t="s">
        <v>1036</v>
      </c>
      <c r="E799" s="570">
        <v>258</v>
      </c>
      <c r="F799" s="571"/>
      <c r="G799" s="574">
        <v>22.42</v>
      </c>
      <c r="H799" s="571"/>
      <c r="I799" s="571"/>
      <c r="J799" s="571"/>
      <c r="K799" s="571"/>
      <c r="L799" s="571"/>
      <c r="M799" s="574">
        <v>0.92</v>
      </c>
      <c r="N799" s="574">
        <v>0.51</v>
      </c>
      <c r="O799" s="571"/>
      <c r="P799" s="571"/>
      <c r="Q799" s="574">
        <v>0</v>
      </c>
      <c r="R799" s="574">
        <v>23.85</v>
      </c>
      <c r="S799" s="527">
        <f t="shared" si="108"/>
        <v>22.42</v>
      </c>
      <c r="T799" s="528">
        <f t="shared" si="109"/>
        <v>0</v>
      </c>
      <c r="U799" s="527">
        <f t="shared" si="110"/>
        <v>0.51</v>
      </c>
      <c r="W799" s="326">
        <f t="shared" si="106"/>
        <v>23.850000000000005</v>
      </c>
      <c r="X799" s="261">
        <f t="shared" si="111"/>
        <v>0</v>
      </c>
      <c r="Z799" s="1016">
        <f t="shared" si="107"/>
        <v>22.42</v>
      </c>
    </row>
    <row r="800" spans="1:26" ht="12" hidden="1" thickBot="1">
      <c r="A800" s="522" t="s">
        <v>1363</v>
      </c>
      <c r="B800" s="522" t="s">
        <v>375</v>
      </c>
      <c r="C800" s="522" t="s">
        <v>987</v>
      </c>
      <c r="D800" s="533" t="s">
        <v>1036</v>
      </c>
      <c r="E800" s="566">
        <v>33</v>
      </c>
      <c r="F800" s="567"/>
      <c r="G800" s="576">
        <v>27.22</v>
      </c>
      <c r="H800" s="567"/>
      <c r="I800" s="567"/>
      <c r="J800" s="567"/>
      <c r="K800" s="567"/>
      <c r="L800" s="567"/>
      <c r="M800" s="576">
        <v>0.16</v>
      </c>
      <c r="N800" s="576">
        <v>0.82</v>
      </c>
      <c r="O800" s="567"/>
      <c r="P800" s="567"/>
      <c r="Q800" s="576">
        <v>0</v>
      </c>
      <c r="R800" s="576">
        <v>28.2</v>
      </c>
      <c r="S800" s="527">
        <f t="shared" si="108"/>
        <v>27.22</v>
      </c>
      <c r="T800" s="528">
        <f t="shared" si="109"/>
        <v>0</v>
      </c>
      <c r="U800" s="527">
        <f t="shared" si="110"/>
        <v>0.82</v>
      </c>
      <c r="W800" s="326">
        <f t="shared" si="106"/>
        <v>28.2</v>
      </c>
      <c r="X800" s="261">
        <f t="shared" si="111"/>
        <v>0</v>
      </c>
      <c r="Z800" s="1016">
        <f t="shared" si="107"/>
        <v>27.22</v>
      </c>
    </row>
    <row r="801" spans="1:26" ht="12" hidden="1" thickBot="1">
      <c r="A801" s="522" t="s">
        <v>1363</v>
      </c>
      <c r="B801" s="522" t="s">
        <v>401</v>
      </c>
      <c r="C801" s="522" t="s">
        <v>988</v>
      </c>
      <c r="D801" s="533" t="s">
        <v>1036</v>
      </c>
      <c r="E801" s="570">
        <v>61894</v>
      </c>
      <c r="F801" s="571"/>
      <c r="G801" s="574">
        <v>10353.15</v>
      </c>
      <c r="H801" s="571"/>
      <c r="I801" s="571"/>
      <c r="J801" s="571"/>
      <c r="K801" s="571"/>
      <c r="L801" s="571"/>
      <c r="M801" s="574">
        <v>291.85000000000002</v>
      </c>
      <c r="N801" s="574">
        <v>302.73</v>
      </c>
      <c r="O801" s="571"/>
      <c r="P801" s="571"/>
      <c r="Q801" s="574">
        <v>0</v>
      </c>
      <c r="R801" s="574">
        <v>10947.73</v>
      </c>
      <c r="S801" s="527">
        <f t="shared" si="108"/>
        <v>10353.15</v>
      </c>
      <c r="T801" s="528">
        <f t="shared" si="109"/>
        <v>0</v>
      </c>
      <c r="U801" s="527">
        <f t="shared" si="110"/>
        <v>302.73</v>
      </c>
      <c r="W801" s="326">
        <f t="shared" si="106"/>
        <v>10947.73</v>
      </c>
      <c r="X801" s="261">
        <f t="shared" si="111"/>
        <v>0</v>
      </c>
      <c r="Z801" s="1016">
        <f t="shared" si="107"/>
        <v>10353.15</v>
      </c>
    </row>
    <row r="802" spans="1:26" ht="12" hidden="1" thickBot="1">
      <c r="A802" s="522" t="s">
        <v>1363</v>
      </c>
      <c r="B802" s="522" t="s">
        <v>328</v>
      </c>
      <c r="C802" s="522" t="s">
        <v>989</v>
      </c>
      <c r="D802" s="533" t="s">
        <v>1036</v>
      </c>
      <c r="E802" s="566">
        <v>56270</v>
      </c>
      <c r="F802" s="567"/>
      <c r="G802" s="576">
        <v>8048.52</v>
      </c>
      <c r="H802" s="567"/>
      <c r="I802" s="567"/>
      <c r="J802" s="567"/>
      <c r="K802" s="567"/>
      <c r="L802" s="567"/>
      <c r="M802" s="576">
        <v>204.35</v>
      </c>
      <c r="N802" s="576">
        <v>183.54</v>
      </c>
      <c r="O802" s="567"/>
      <c r="P802" s="567"/>
      <c r="Q802" s="576">
        <v>0</v>
      </c>
      <c r="R802" s="576">
        <v>8436.41</v>
      </c>
      <c r="S802" s="527">
        <f t="shared" si="108"/>
        <v>8048.52</v>
      </c>
      <c r="T802" s="528">
        <f t="shared" si="109"/>
        <v>0</v>
      </c>
      <c r="U802" s="527">
        <f t="shared" si="110"/>
        <v>183.54</v>
      </c>
      <c r="W802" s="326">
        <f t="shared" si="106"/>
        <v>8436.4100000000017</v>
      </c>
      <c r="X802" s="261">
        <f t="shared" si="111"/>
        <v>0</v>
      </c>
      <c r="Z802" s="1016">
        <f t="shared" si="107"/>
        <v>8048.52</v>
      </c>
    </row>
    <row r="803" spans="1:26" ht="12" hidden="1" thickBot="1">
      <c r="A803" s="522" t="s">
        <v>1363</v>
      </c>
      <c r="B803" s="522" t="s">
        <v>437</v>
      </c>
      <c r="C803" s="522" t="s">
        <v>990</v>
      </c>
      <c r="D803" s="533" t="s">
        <v>1036</v>
      </c>
      <c r="E803" s="570">
        <v>182292</v>
      </c>
      <c r="F803" s="571"/>
      <c r="G803" s="574">
        <v>18950.8</v>
      </c>
      <c r="H803" s="571"/>
      <c r="I803" s="571"/>
      <c r="J803" s="571"/>
      <c r="K803" s="571"/>
      <c r="L803" s="571"/>
      <c r="M803" s="574">
        <v>804</v>
      </c>
      <c r="N803" s="574">
        <v>527.70000000000005</v>
      </c>
      <c r="O803" s="571"/>
      <c r="P803" s="571"/>
      <c r="Q803" s="574">
        <v>0</v>
      </c>
      <c r="R803" s="574">
        <v>20282.5</v>
      </c>
      <c r="S803" s="527">
        <f t="shared" si="108"/>
        <v>18950.8</v>
      </c>
      <c r="T803" s="528">
        <f t="shared" si="109"/>
        <v>0</v>
      </c>
      <c r="U803" s="527">
        <f t="shared" si="110"/>
        <v>527.70000000000005</v>
      </c>
      <c r="W803" s="326">
        <f t="shared" si="106"/>
        <v>20282.5</v>
      </c>
      <c r="X803" s="261">
        <f t="shared" si="111"/>
        <v>0</v>
      </c>
      <c r="Z803" s="1016">
        <f t="shared" si="107"/>
        <v>18950.8</v>
      </c>
    </row>
    <row r="804" spans="1:26" ht="12" hidden="1" thickBot="1">
      <c r="A804" s="522" t="s">
        <v>1363</v>
      </c>
      <c r="B804" s="522" t="s">
        <v>338</v>
      </c>
      <c r="C804" s="522" t="s">
        <v>991</v>
      </c>
      <c r="D804" s="533" t="s">
        <v>1035</v>
      </c>
      <c r="E804" s="566">
        <v>27252</v>
      </c>
      <c r="F804" s="567"/>
      <c r="G804" s="576">
        <v>9520.0300000000007</v>
      </c>
      <c r="H804" s="567"/>
      <c r="I804" s="567"/>
      <c r="J804" s="567"/>
      <c r="K804" s="567"/>
      <c r="L804" s="567"/>
      <c r="M804" s="576">
        <v>133.78</v>
      </c>
      <c r="N804" s="576">
        <v>285.27</v>
      </c>
      <c r="O804" s="567"/>
      <c r="P804" s="567"/>
      <c r="Q804" s="576">
        <v>0</v>
      </c>
      <c r="R804" s="576">
        <v>9939.08</v>
      </c>
      <c r="S804" s="527">
        <f t="shared" si="108"/>
        <v>9520.0300000000007</v>
      </c>
      <c r="T804" s="528">
        <f t="shared" si="109"/>
        <v>0</v>
      </c>
      <c r="U804" s="527">
        <f t="shared" si="110"/>
        <v>285.27</v>
      </c>
      <c r="W804" s="326">
        <f t="shared" si="106"/>
        <v>9939.0800000000017</v>
      </c>
      <c r="X804" s="261">
        <f t="shared" si="111"/>
        <v>0</v>
      </c>
      <c r="Z804" s="1016">
        <f t="shared" si="107"/>
        <v>9520.0300000000007</v>
      </c>
    </row>
    <row r="805" spans="1:26" ht="12" hidden="1" thickBot="1">
      <c r="A805" s="522" t="s">
        <v>1363</v>
      </c>
      <c r="B805" s="522" t="s">
        <v>370</v>
      </c>
      <c r="C805" s="522" t="s">
        <v>992</v>
      </c>
      <c r="D805" s="533" t="s">
        <v>1035</v>
      </c>
      <c r="E805" s="570">
        <v>492479</v>
      </c>
      <c r="F805" s="571"/>
      <c r="G805" s="574">
        <v>104649.61</v>
      </c>
      <c r="H805" s="571"/>
      <c r="I805" s="571"/>
      <c r="J805" s="571"/>
      <c r="K805" s="571"/>
      <c r="L805" s="571"/>
      <c r="M805" s="574">
        <v>2418.4499999999998</v>
      </c>
      <c r="N805" s="574">
        <v>3170.91</v>
      </c>
      <c r="O805" s="571"/>
      <c r="P805" s="571"/>
      <c r="Q805" s="574">
        <v>0</v>
      </c>
      <c r="R805" s="574">
        <v>110238.97</v>
      </c>
      <c r="S805" s="527">
        <f t="shared" si="108"/>
        <v>104649.61</v>
      </c>
      <c r="T805" s="528">
        <f t="shared" si="109"/>
        <v>0</v>
      </c>
      <c r="U805" s="527">
        <f t="shared" si="110"/>
        <v>3170.91</v>
      </c>
      <c r="W805" s="326">
        <f t="shared" si="106"/>
        <v>110238.97</v>
      </c>
      <c r="X805" s="261">
        <f t="shared" si="111"/>
        <v>0</v>
      </c>
      <c r="Z805" s="1016">
        <f t="shared" si="107"/>
        <v>104649.61</v>
      </c>
    </row>
    <row r="806" spans="1:26" ht="12" hidden="1" thickBot="1">
      <c r="A806" s="522" t="s">
        <v>1363</v>
      </c>
      <c r="B806" s="522" t="s">
        <v>333</v>
      </c>
      <c r="C806" s="522" t="s">
        <v>993</v>
      </c>
      <c r="D806" s="533" t="s">
        <v>1035</v>
      </c>
      <c r="E806" s="566">
        <v>304174</v>
      </c>
      <c r="F806" s="567"/>
      <c r="G806" s="576">
        <v>44012.41</v>
      </c>
      <c r="H806" s="567"/>
      <c r="I806" s="567"/>
      <c r="J806" s="567"/>
      <c r="K806" s="567"/>
      <c r="L806" s="567"/>
      <c r="M806" s="576">
        <v>1501.37</v>
      </c>
      <c r="N806" s="576">
        <v>1352.21</v>
      </c>
      <c r="O806" s="567"/>
      <c r="P806" s="567"/>
      <c r="Q806" s="576">
        <v>0</v>
      </c>
      <c r="R806" s="576">
        <v>46865.99</v>
      </c>
      <c r="S806" s="527">
        <f t="shared" si="108"/>
        <v>44012.41</v>
      </c>
      <c r="T806" s="528">
        <f t="shared" si="109"/>
        <v>0</v>
      </c>
      <c r="U806" s="527">
        <f t="shared" si="110"/>
        <v>1352.21</v>
      </c>
      <c r="W806" s="326">
        <f t="shared" si="106"/>
        <v>46865.990000000005</v>
      </c>
      <c r="X806" s="261">
        <f t="shared" si="111"/>
        <v>0</v>
      </c>
      <c r="Z806" s="1016">
        <f t="shared" si="107"/>
        <v>44012.41</v>
      </c>
    </row>
    <row r="807" spans="1:26" ht="12" hidden="1" thickBot="1">
      <c r="A807" s="522" t="s">
        <v>1363</v>
      </c>
      <c r="B807" s="522" t="s">
        <v>336</v>
      </c>
      <c r="C807" s="522" t="s">
        <v>994</v>
      </c>
      <c r="D807" s="533" t="s">
        <v>1036</v>
      </c>
      <c r="E807" s="570">
        <v>6119</v>
      </c>
      <c r="F807" s="571"/>
      <c r="G807" s="574">
        <v>2797.5</v>
      </c>
      <c r="H807" s="571"/>
      <c r="I807" s="571"/>
      <c r="J807" s="571"/>
      <c r="K807" s="571"/>
      <c r="L807" s="571"/>
      <c r="M807" s="574">
        <v>29.78</v>
      </c>
      <c r="N807" s="574">
        <v>82.88</v>
      </c>
      <c r="O807" s="571"/>
      <c r="P807" s="571"/>
      <c r="Q807" s="574">
        <v>0</v>
      </c>
      <c r="R807" s="574">
        <v>2910.16</v>
      </c>
      <c r="S807" s="527">
        <f t="shared" si="108"/>
        <v>2797.5</v>
      </c>
      <c r="T807" s="528">
        <f t="shared" si="109"/>
        <v>0</v>
      </c>
      <c r="U807" s="527">
        <f t="shared" si="110"/>
        <v>82.88</v>
      </c>
      <c r="W807" s="326">
        <f t="shared" si="106"/>
        <v>2910.1600000000003</v>
      </c>
      <c r="X807" s="261">
        <f t="shared" si="111"/>
        <v>0</v>
      </c>
      <c r="Z807" s="1016">
        <f t="shared" si="107"/>
        <v>2797.5</v>
      </c>
    </row>
    <row r="808" spans="1:26" ht="12" hidden="1" thickBot="1">
      <c r="A808" s="522" t="s">
        <v>1363</v>
      </c>
      <c r="B808" s="522" t="s">
        <v>368</v>
      </c>
      <c r="C808" s="522" t="s">
        <v>995</v>
      </c>
      <c r="D808" s="533" t="s">
        <v>1036</v>
      </c>
      <c r="E808" s="566">
        <v>97919</v>
      </c>
      <c r="F808" s="567"/>
      <c r="G808" s="576">
        <v>25180.16</v>
      </c>
      <c r="H808" s="567"/>
      <c r="I808" s="567"/>
      <c r="J808" s="567"/>
      <c r="K808" s="567"/>
      <c r="L808" s="567"/>
      <c r="M808" s="576">
        <v>481.99</v>
      </c>
      <c r="N808" s="576">
        <v>761.54</v>
      </c>
      <c r="O808" s="567"/>
      <c r="P808" s="567"/>
      <c r="Q808" s="576">
        <v>0</v>
      </c>
      <c r="R808" s="576">
        <v>26423.69</v>
      </c>
      <c r="S808" s="527">
        <f t="shared" si="108"/>
        <v>25180.16</v>
      </c>
      <c r="T808" s="528">
        <f t="shared" si="109"/>
        <v>0</v>
      </c>
      <c r="U808" s="527">
        <f t="shared" si="110"/>
        <v>761.54</v>
      </c>
      <c r="W808" s="326">
        <f t="shared" si="106"/>
        <v>26423.690000000002</v>
      </c>
      <c r="X808" s="261">
        <f t="shared" si="111"/>
        <v>0</v>
      </c>
      <c r="Z808" s="1016">
        <f t="shared" si="107"/>
        <v>25180.16</v>
      </c>
    </row>
    <row r="809" spans="1:26" ht="12" hidden="1" thickBot="1">
      <c r="A809" s="522" t="s">
        <v>1363</v>
      </c>
      <c r="B809" s="522" t="s">
        <v>400</v>
      </c>
      <c r="C809" s="522" t="s">
        <v>996</v>
      </c>
      <c r="D809" s="533" t="s">
        <v>1036</v>
      </c>
      <c r="E809" s="570">
        <v>9161</v>
      </c>
      <c r="F809" s="571"/>
      <c r="G809" s="574">
        <v>1843.41</v>
      </c>
      <c r="H809" s="571"/>
      <c r="I809" s="571"/>
      <c r="J809" s="571"/>
      <c r="K809" s="571"/>
      <c r="L809" s="571"/>
      <c r="M809" s="574">
        <v>44.04</v>
      </c>
      <c r="N809" s="574">
        <v>54.59</v>
      </c>
      <c r="O809" s="571"/>
      <c r="P809" s="571"/>
      <c r="Q809" s="574">
        <v>0</v>
      </c>
      <c r="R809" s="574">
        <v>1942.04</v>
      </c>
      <c r="S809" s="527">
        <f t="shared" si="108"/>
        <v>1843.41</v>
      </c>
      <c r="T809" s="528">
        <f t="shared" si="109"/>
        <v>0</v>
      </c>
      <c r="U809" s="527">
        <f t="shared" si="110"/>
        <v>54.59</v>
      </c>
      <c r="W809" s="326">
        <f t="shared" si="106"/>
        <v>1942.04</v>
      </c>
      <c r="X809" s="261">
        <f t="shared" si="111"/>
        <v>0</v>
      </c>
      <c r="Z809" s="1016">
        <f t="shared" si="107"/>
        <v>1843.41</v>
      </c>
    </row>
    <row r="810" spans="1:26" ht="12" hidden="1" thickBot="1">
      <c r="A810" s="522" t="s">
        <v>1363</v>
      </c>
      <c r="B810" s="522" t="s">
        <v>327</v>
      </c>
      <c r="C810" s="522" t="s">
        <v>997</v>
      </c>
      <c r="D810" s="533" t="s">
        <v>1036</v>
      </c>
      <c r="E810" s="566">
        <v>35797</v>
      </c>
      <c r="F810" s="567"/>
      <c r="G810" s="576">
        <v>6052.08</v>
      </c>
      <c r="H810" s="567"/>
      <c r="I810" s="567"/>
      <c r="J810" s="567"/>
      <c r="K810" s="567"/>
      <c r="L810" s="567"/>
      <c r="M810" s="576">
        <v>127.9</v>
      </c>
      <c r="N810" s="576">
        <v>135.44999999999999</v>
      </c>
      <c r="O810" s="567"/>
      <c r="P810" s="567"/>
      <c r="Q810" s="576">
        <v>0</v>
      </c>
      <c r="R810" s="576">
        <v>6315.43</v>
      </c>
      <c r="S810" s="527">
        <f t="shared" si="108"/>
        <v>6052.08</v>
      </c>
      <c r="T810" s="528">
        <f t="shared" si="109"/>
        <v>0</v>
      </c>
      <c r="U810" s="527">
        <f t="shared" si="110"/>
        <v>135.44999999999999</v>
      </c>
      <c r="W810" s="326">
        <f t="shared" si="106"/>
        <v>6315.4299999999994</v>
      </c>
      <c r="X810" s="261">
        <f t="shared" si="111"/>
        <v>0</v>
      </c>
      <c r="Z810" s="1016">
        <f t="shared" si="107"/>
        <v>6052.08</v>
      </c>
    </row>
    <row r="811" spans="1:26" ht="12" hidden="1" thickBot="1">
      <c r="A811" s="522" t="s">
        <v>1363</v>
      </c>
      <c r="B811" s="522" t="s">
        <v>357</v>
      </c>
      <c r="C811" s="522" t="s">
        <v>998</v>
      </c>
      <c r="D811" s="533" t="s">
        <v>1036</v>
      </c>
      <c r="E811" s="570">
        <v>178050</v>
      </c>
      <c r="F811" s="571"/>
      <c r="G811" s="574">
        <v>21964.02</v>
      </c>
      <c r="H811" s="571"/>
      <c r="I811" s="571"/>
      <c r="J811" s="571"/>
      <c r="K811" s="571"/>
      <c r="L811" s="571"/>
      <c r="M811" s="574">
        <v>713.65</v>
      </c>
      <c r="N811" s="574">
        <v>553.97</v>
      </c>
      <c r="O811" s="571"/>
      <c r="P811" s="571"/>
      <c r="Q811" s="574">
        <v>0</v>
      </c>
      <c r="R811" s="574">
        <v>23231.64</v>
      </c>
      <c r="S811" s="527">
        <f t="shared" si="108"/>
        <v>21964.02</v>
      </c>
      <c r="T811" s="528">
        <f t="shared" si="109"/>
        <v>0</v>
      </c>
      <c r="U811" s="527">
        <f t="shared" si="110"/>
        <v>553.97</v>
      </c>
      <c r="W811" s="326">
        <f t="shared" si="106"/>
        <v>23231.640000000003</v>
      </c>
      <c r="X811" s="261">
        <f t="shared" si="111"/>
        <v>0</v>
      </c>
      <c r="Z811" s="1016">
        <f t="shared" si="107"/>
        <v>21964.02</v>
      </c>
    </row>
    <row r="812" spans="1:26" ht="12" hidden="1" thickBot="1">
      <c r="A812" s="522" t="s">
        <v>1363</v>
      </c>
      <c r="B812" s="522" t="s">
        <v>331</v>
      </c>
      <c r="C812" s="522" t="s">
        <v>999</v>
      </c>
      <c r="D812" s="533" t="s">
        <v>1036</v>
      </c>
      <c r="E812" s="566">
        <v>66115</v>
      </c>
      <c r="F812" s="567"/>
      <c r="G812" s="576">
        <v>10532.08</v>
      </c>
      <c r="H812" s="567"/>
      <c r="I812" s="567"/>
      <c r="J812" s="567"/>
      <c r="K812" s="567"/>
      <c r="L812" s="567"/>
      <c r="M812" s="576">
        <v>326.17</v>
      </c>
      <c r="N812" s="576">
        <v>322.33999999999997</v>
      </c>
      <c r="O812" s="567"/>
      <c r="P812" s="567"/>
      <c r="Q812" s="576">
        <v>0</v>
      </c>
      <c r="R812" s="576">
        <v>11180.59</v>
      </c>
      <c r="S812" s="527">
        <f t="shared" si="108"/>
        <v>10532.08</v>
      </c>
      <c r="T812" s="528">
        <f t="shared" si="109"/>
        <v>0</v>
      </c>
      <c r="U812" s="527">
        <f t="shared" si="110"/>
        <v>322.33999999999997</v>
      </c>
      <c r="W812" s="326">
        <f t="shared" si="106"/>
        <v>11180.59</v>
      </c>
      <c r="X812" s="261">
        <f t="shared" si="111"/>
        <v>0</v>
      </c>
      <c r="Z812" s="1016">
        <f t="shared" si="107"/>
        <v>10532.08</v>
      </c>
    </row>
    <row r="813" spans="1:26" ht="12" hidden="1" thickBot="1">
      <c r="A813" s="522" t="s">
        <v>1363</v>
      </c>
      <c r="B813" s="522" t="s">
        <v>335</v>
      </c>
      <c r="C813" s="522" t="s">
        <v>1000</v>
      </c>
      <c r="D813" s="533" t="s">
        <v>1036</v>
      </c>
      <c r="E813" s="570">
        <v>1118</v>
      </c>
      <c r="F813" s="571"/>
      <c r="G813" s="574">
        <v>705.9</v>
      </c>
      <c r="H813" s="571"/>
      <c r="I813" s="571"/>
      <c r="J813" s="571"/>
      <c r="K813" s="571"/>
      <c r="L813" s="571"/>
      <c r="M813" s="574">
        <v>4.8499999999999996</v>
      </c>
      <c r="N813" s="574">
        <v>18.850000000000001</v>
      </c>
      <c r="O813" s="571"/>
      <c r="P813" s="571"/>
      <c r="Q813" s="574">
        <v>0</v>
      </c>
      <c r="R813" s="574">
        <v>729.6</v>
      </c>
      <c r="S813" s="527">
        <f t="shared" si="108"/>
        <v>705.9</v>
      </c>
      <c r="T813" s="528">
        <f t="shared" si="109"/>
        <v>0</v>
      </c>
      <c r="U813" s="527">
        <f t="shared" si="110"/>
        <v>18.850000000000001</v>
      </c>
      <c r="W813" s="326">
        <f t="shared" si="106"/>
        <v>729.6</v>
      </c>
      <c r="X813" s="261">
        <f t="shared" si="111"/>
        <v>0</v>
      </c>
      <c r="Z813" s="1016">
        <f t="shared" si="107"/>
        <v>705.9</v>
      </c>
    </row>
    <row r="814" spans="1:26" ht="12" hidden="1" thickBot="1">
      <c r="A814" s="522" t="s">
        <v>1363</v>
      </c>
      <c r="B814" s="522" t="s">
        <v>372</v>
      </c>
      <c r="C814" s="522" t="s">
        <v>1001</v>
      </c>
      <c r="D814" s="533" t="s">
        <v>1036</v>
      </c>
      <c r="E814" s="566">
        <v>113244</v>
      </c>
      <c r="F814" s="567"/>
      <c r="G814" s="576">
        <v>52252.2</v>
      </c>
      <c r="H814" s="567"/>
      <c r="I814" s="567"/>
      <c r="J814" s="567"/>
      <c r="K814" s="567"/>
      <c r="L814" s="567"/>
      <c r="M814" s="576">
        <v>518.41</v>
      </c>
      <c r="N814" s="576">
        <v>1460.24</v>
      </c>
      <c r="O814" s="567"/>
      <c r="P814" s="567"/>
      <c r="Q814" s="576">
        <v>0</v>
      </c>
      <c r="R814" s="576">
        <v>54230.85</v>
      </c>
      <c r="S814" s="527">
        <f t="shared" si="108"/>
        <v>52252.2</v>
      </c>
      <c r="T814" s="528">
        <f t="shared" si="109"/>
        <v>0</v>
      </c>
      <c r="U814" s="527">
        <f t="shared" si="110"/>
        <v>1460.24</v>
      </c>
      <c r="W814" s="326">
        <f t="shared" si="106"/>
        <v>54230.85</v>
      </c>
      <c r="X814" s="261">
        <f t="shared" si="111"/>
        <v>0</v>
      </c>
      <c r="Z814" s="1016">
        <f t="shared" si="107"/>
        <v>52252.2</v>
      </c>
    </row>
    <row r="815" spans="1:26" ht="12" hidden="1" thickBot="1">
      <c r="A815" s="522" t="s">
        <v>1363</v>
      </c>
      <c r="B815" s="522" t="s">
        <v>381</v>
      </c>
      <c r="C815" s="522" t="s">
        <v>1002</v>
      </c>
      <c r="D815" s="533" t="s">
        <v>1035</v>
      </c>
      <c r="E815" s="570">
        <v>199542</v>
      </c>
      <c r="F815" s="571"/>
      <c r="G815" s="574">
        <v>75765.14</v>
      </c>
      <c r="H815" s="571"/>
      <c r="I815" s="571"/>
      <c r="J815" s="571"/>
      <c r="K815" s="571"/>
      <c r="L815" s="571"/>
      <c r="M815" s="574">
        <v>867.57</v>
      </c>
      <c r="N815" s="574">
        <v>2016.82</v>
      </c>
      <c r="O815" s="571"/>
      <c r="P815" s="571"/>
      <c r="Q815" s="574">
        <v>0</v>
      </c>
      <c r="R815" s="574">
        <v>78649.53</v>
      </c>
      <c r="S815" s="527">
        <f t="shared" si="108"/>
        <v>75765.14</v>
      </c>
      <c r="T815" s="528">
        <f t="shared" si="109"/>
        <v>0</v>
      </c>
      <c r="U815" s="527">
        <f t="shared" si="110"/>
        <v>2016.82</v>
      </c>
      <c r="W815" s="326">
        <f t="shared" si="106"/>
        <v>78649.530000000013</v>
      </c>
      <c r="X815" s="261">
        <f t="shared" si="111"/>
        <v>0</v>
      </c>
      <c r="Z815" s="1016">
        <f t="shared" si="107"/>
        <v>75765.14</v>
      </c>
    </row>
    <row r="816" spans="1:26" ht="12" hidden="1" thickBot="1">
      <c r="A816" s="522" t="s">
        <v>1363</v>
      </c>
      <c r="B816" s="522" t="s">
        <v>404</v>
      </c>
      <c r="C816" s="522" t="s">
        <v>1003</v>
      </c>
      <c r="D816" s="533" t="s">
        <v>1035</v>
      </c>
      <c r="E816" s="566">
        <v>675986</v>
      </c>
      <c r="F816" s="567"/>
      <c r="G816" s="576">
        <v>192772.9</v>
      </c>
      <c r="H816" s="567"/>
      <c r="I816" s="567"/>
      <c r="J816" s="567"/>
      <c r="K816" s="567"/>
      <c r="L816" s="567"/>
      <c r="M816" s="576">
        <v>3095.88</v>
      </c>
      <c r="N816" s="576">
        <v>5424.42</v>
      </c>
      <c r="O816" s="567"/>
      <c r="P816" s="567"/>
      <c r="Q816" s="576">
        <v>0</v>
      </c>
      <c r="R816" s="576">
        <v>201293.2</v>
      </c>
      <c r="S816" s="527">
        <f t="shared" si="108"/>
        <v>192772.9</v>
      </c>
      <c r="T816" s="528">
        <f t="shared" si="109"/>
        <v>0</v>
      </c>
      <c r="U816" s="527">
        <f t="shared" si="110"/>
        <v>5424.42</v>
      </c>
      <c r="W816" s="326">
        <f t="shared" si="106"/>
        <v>201293.2</v>
      </c>
      <c r="X816" s="261">
        <f t="shared" si="111"/>
        <v>0</v>
      </c>
      <c r="Z816" s="1016">
        <f t="shared" si="107"/>
        <v>192772.9</v>
      </c>
    </row>
    <row r="817" spans="1:26" ht="12" hidden="1" thickBot="1">
      <c r="A817" s="522" t="s">
        <v>1363</v>
      </c>
      <c r="B817" s="522" t="s">
        <v>361</v>
      </c>
      <c r="C817" s="522" t="s">
        <v>1004</v>
      </c>
      <c r="D817" s="533" t="s">
        <v>1035</v>
      </c>
      <c r="E817" s="570">
        <v>502539</v>
      </c>
      <c r="F817" s="571"/>
      <c r="G817" s="574">
        <v>107939</v>
      </c>
      <c r="H817" s="571"/>
      <c r="I817" s="571"/>
      <c r="J817" s="571"/>
      <c r="K817" s="571"/>
      <c r="L817" s="571"/>
      <c r="M817" s="574">
        <v>2343.5</v>
      </c>
      <c r="N817" s="574">
        <v>3109.04</v>
      </c>
      <c r="O817" s="571"/>
      <c r="P817" s="571"/>
      <c r="Q817" s="574">
        <v>0</v>
      </c>
      <c r="R817" s="574">
        <v>113391.54</v>
      </c>
      <c r="S817" s="527">
        <f t="shared" si="108"/>
        <v>107939</v>
      </c>
      <c r="T817" s="528">
        <f t="shared" si="109"/>
        <v>0</v>
      </c>
      <c r="U817" s="527">
        <f t="shared" si="110"/>
        <v>3109.04</v>
      </c>
      <c r="W817" s="326">
        <f t="shared" si="106"/>
        <v>113391.54</v>
      </c>
      <c r="X817" s="261">
        <f t="shared" si="111"/>
        <v>0</v>
      </c>
      <c r="Z817" s="1016">
        <f t="shared" si="107"/>
        <v>107939</v>
      </c>
    </row>
    <row r="818" spans="1:26" ht="12" hidden="1" thickBot="1">
      <c r="A818" s="522" t="s">
        <v>1363</v>
      </c>
      <c r="B818" s="522" t="s">
        <v>393</v>
      </c>
      <c r="C818" s="522" t="s">
        <v>1005</v>
      </c>
      <c r="D818" s="533" t="s">
        <v>1035</v>
      </c>
      <c r="E818" s="566">
        <v>361038</v>
      </c>
      <c r="F818" s="567"/>
      <c r="G818" s="576">
        <v>63998.44</v>
      </c>
      <c r="H818" s="567"/>
      <c r="I818" s="567"/>
      <c r="J818" s="567"/>
      <c r="K818" s="567"/>
      <c r="L818" s="567"/>
      <c r="M818" s="576">
        <v>1732.52</v>
      </c>
      <c r="N818" s="576">
        <v>1900.65</v>
      </c>
      <c r="O818" s="567"/>
      <c r="P818" s="567"/>
      <c r="Q818" s="576">
        <v>0</v>
      </c>
      <c r="R818" s="576">
        <v>67631.61</v>
      </c>
      <c r="S818" s="527">
        <f t="shared" si="108"/>
        <v>63998.44</v>
      </c>
      <c r="T818" s="528">
        <f t="shared" si="109"/>
        <v>0</v>
      </c>
      <c r="U818" s="527">
        <f t="shared" si="110"/>
        <v>1900.65</v>
      </c>
      <c r="W818" s="326">
        <f t="shared" si="106"/>
        <v>67631.61</v>
      </c>
      <c r="X818" s="261">
        <f t="shared" si="111"/>
        <v>0</v>
      </c>
      <c r="Z818" s="1016">
        <f t="shared" si="107"/>
        <v>63998.44</v>
      </c>
    </row>
    <row r="819" spans="1:26" ht="12" hidden="1" thickBot="1">
      <c r="A819" s="522" t="s">
        <v>1363</v>
      </c>
      <c r="B819" s="522" t="s">
        <v>1356</v>
      </c>
      <c r="C819" s="522" t="s">
        <v>1357</v>
      </c>
      <c r="D819" s="533" t="s">
        <v>756</v>
      </c>
      <c r="E819" s="570">
        <v>352</v>
      </c>
      <c r="F819" s="571"/>
      <c r="G819" s="571"/>
      <c r="H819" s="571"/>
      <c r="I819" s="571"/>
      <c r="J819" s="571"/>
      <c r="K819" s="571"/>
      <c r="L819" s="571"/>
      <c r="M819" s="571"/>
      <c r="N819" s="571"/>
      <c r="O819" s="571"/>
      <c r="P819" s="571"/>
      <c r="Q819" s="571"/>
      <c r="R819" s="571"/>
      <c r="S819" s="527">
        <f t="shared" si="108"/>
        <v>0</v>
      </c>
      <c r="T819" s="528">
        <f t="shared" si="109"/>
        <v>0</v>
      </c>
      <c r="U819" s="527">
        <f t="shared" si="110"/>
        <v>0</v>
      </c>
      <c r="W819" s="326">
        <f t="shared" si="106"/>
        <v>0</v>
      </c>
      <c r="X819" s="261">
        <f t="shared" si="111"/>
        <v>0</v>
      </c>
      <c r="Z819" s="1016">
        <f t="shared" si="107"/>
        <v>0</v>
      </c>
    </row>
    <row r="820" spans="1:26" ht="12" hidden="1" thickBot="1">
      <c r="A820" s="522" t="s">
        <v>1363</v>
      </c>
      <c r="B820" s="522" t="s">
        <v>379</v>
      </c>
      <c r="C820" s="522" t="s">
        <v>1006</v>
      </c>
      <c r="D820" s="533" t="s">
        <v>1036</v>
      </c>
      <c r="E820" s="566">
        <v>14462</v>
      </c>
      <c r="F820" s="567"/>
      <c r="G820" s="576">
        <v>8252.68</v>
      </c>
      <c r="H820" s="567"/>
      <c r="I820" s="567"/>
      <c r="J820" s="567"/>
      <c r="K820" s="567"/>
      <c r="L820" s="567"/>
      <c r="M820" s="576">
        <v>67.180000000000007</v>
      </c>
      <c r="N820" s="576">
        <v>233.12</v>
      </c>
      <c r="O820" s="567"/>
      <c r="P820" s="567"/>
      <c r="Q820" s="576">
        <v>0</v>
      </c>
      <c r="R820" s="576">
        <v>8552.98</v>
      </c>
      <c r="S820" s="527">
        <f t="shared" si="108"/>
        <v>8252.68</v>
      </c>
      <c r="T820" s="528">
        <f t="shared" si="109"/>
        <v>0</v>
      </c>
      <c r="U820" s="527">
        <f t="shared" si="110"/>
        <v>233.12</v>
      </c>
      <c r="W820" s="326">
        <f t="shared" si="106"/>
        <v>8552.9800000000014</v>
      </c>
      <c r="X820" s="261">
        <f t="shared" si="111"/>
        <v>0</v>
      </c>
      <c r="Z820" s="1016">
        <f t="shared" si="107"/>
        <v>8252.68</v>
      </c>
    </row>
    <row r="821" spans="1:26" ht="12" hidden="1" thickBot="1">
      <c r="A821" s="522" t="s">
        <v>1363</v>
      </c>
      <c r="B821" s="522" t="s">
        <v>389</v>
      </c>
      <c r="C821" s="522" t="s">
        <v>1007</v>
      </c>
      <c r="D821" s="533" t="s">
        <v>1035</v>
      </c>
      <c r="E821" s="570">
        <v>31452</v>
      </c>
      <c r="F821" s="571"/>
      <c r="G821" s="574">
        <v>14679.51</v>
      </c>
      <c r="H821" s="571"/>
      <c r="I821" s="571"/>
      <c r="J821" s="571"/>
      <c r="K821" s="571"/>
      <c r="L821" s="571"/>
      <c r="M821" s="574">
        <v>145.41</v>
      </c>
      <c r="N821" s="574">
        <v>414.68</v>
      </c>
      <c r="O821" s="571"/>
      <c r="P821" s="571"/>
      <c r="Q821" s="574">
        <v>0</v>
      </c>
      <c r="R821" s="574">
        <v>15239.6</v>
      </c>
      <c r="S821" s="527">
        <f t="shared" si="108"/>
        <v>14679.51</v>
      </c>
      <c r="T821" s="528">
        <f t="shared" si="109"/>
        <v>0</v>
      </c>
      <c r="U821" s="527">
        <f t="shared" si="110"/>
        <v>414.68</v>
      </c>
      <c r="W821" s="326">
        <f t="shared" si="106"/>
        <v>15239.6</v>
      </c>
      <c r="X821" s="261">
        <f t="shared" si="111"/>
        <v>0</v>
      </c>
      <c r="Z821" s="1016">
        <f t="shared" si="107"/>
        <v>14679.51</v>
      </c>
    </row>
    <row r="822" spans="1:26" ht="12" hidden="1" thickBot="1">
      <c r="A822" s="522" t="s">
        <v>1363</v>
      </c>
      <c r="B822" s="522" t="s">
        <v>412</v>
      </c>
      <c r="C822" s="522" t="s">
        <v>1008</v>
      </c>
      <c r="D822" s="533" t="s">
        <v>1035</v>
      </c>
      <c r="E822" s="566">
        <v>128481</v>
      </c>
      <c r="F822" s="567"/>
      <c r="G822" s="576">
        <v>44959.93</v>
      </c>
      <c r="H822" s="567"/>
      <c r="I822" s="567"/>
      <c r="J822" s="567"/>
      <c r="K822" s="567"/>
      <c r="L822" s="567"/>
      <c r="M822" s="576">
        <v>627.15</v>
      </c>
      <c r="N822" s="576">
        <v>1341.29</v>
      </c>
      <c r="O822" s="567"/>
      <c r="P822" s="567"/>
      <c r="Q822" s="576">
        <v>0</v>
      </c>
      <c r="R822" s="576">
        <v>46928.37</v>
      </c>
      <c r="S822" s="527">
        <f t="shared" si="108"/>
        <v>44959.93</v>
      </c>
      <c r="T822" s="528">
        <f t="shared" si="109"/>
        <v>0</v>
      </c>
      <c r="U822" s="527">
        <f t="shared" si="110"/>
        <v>1341.29</v>
      </c>
      <c r="W822" s="326">
        <f t="shared" si="106"/>
        <v>46928.37</v>
      </c>
      <c r="X822" s="261">
        <f t="shared" si="111"/>
        <v>0</v>
      </c>
      <c r="Z822" s="1016">
        <f t="shared" si="107"/>
        <v>44959.93</v>
      </c>
    </row>
    <row r="823" spans="1:26" ht="12" hidden="1" thickBot="1">
      <c r="A823" s="522" t="s">
        <v>1363</v>
      </c>
      <c r="B823" s="522" t="s">
        <v>367</v>
      </c>
      <c r="C823" s="522" t="s">
        <v>1009</v>
      </c>
      <c r="D823" s="533" t="s">
        <v>1036</v>
      </c>
      <c r="E823" s="570">
        <v>28022</v>
      </c>
      <c r="F823" s="571"/>
      <c r="G823" s="574">
        <v>9736.92</v>
      </c>
      <c r="H823" s="571"/>
      <c r="I823" s="571"/>
      <c r="J823" s="571"/>
      <c r="K823" s="571"/>
      <c r="L823" s="571"/>
      <c r="M823" s="574">
        <v>137.38999999999999</v>
      </c>
      <c r="N823" s="574">
        <v>291.7</v>
      </c>
      <c r="O823" s="571"/>
      <c r="P823" s="571"/>
      <c r="Q823" s="574">
        <v>0</v>
      </c>
      <c r="R823" s="574">
        <v>10166.01</v>
      </c>
      <c r="S823" s="527">
        <f t="shared" si="108"/>
        <v>9736.92</v>
      </c>
      <c r="T823" s="528">
        <f t="shared" si="109"/>
        <v>0</v>
      </c>
      <c r="U823" s="527">
        <f t="shared" si="110"/>
        <v>291.7</v>
      </c>
      <c r="W823" s="326">
        <f t="shared" si="106"/>
        <v>10166.01</v>
      </c>
      <c r="X823" s="261">
        <f t="shared" si="111"/>
        <v>0</v>
      </c>
      <c r="Z823" s="1016">
        <f t="shared" si="107"/>
        <v>9736.92</v>
      </c>
    </row>
    <row r="824" spans="1:26" ht="12" hidden="1" thickBot="1">
      <c r="A824" s="522" t="s">
        <v>1363</v>
      </c>
      <c r="B824" s="522" t="s">
        <v>330</v>
      </c>
      <c r="C824" s="522" t="s">
        <v>1010</v>
      </c>
      <c r="D824" s="533" t="s">
        <v>1036</v>
      </c>
      <c r="E824" s="566">
        <v>17537</v>
      </c>
      <c r="F824" s="567"/>
      <c r="G824" s="576">
        <v>3370.25</v>
      </c>
      <c r="H824" s="567"/>
      <c r="I824" s="567"/>
      <c r="J824" s="567"/>
      <c r="K824" s="567"/>
      <c r="L824" s="567"/>
      <c r="M824" s="576">
        <v>87.17</v>
      </c>
      <c r="N824" s="576">
        <v>103.39</v>
      </c>
      <c r="O824" s="567"/>
      <c r="P824" s="567"/>
      <c r="Q824" s="576">
        <v>0</v>
      </c>
      <c r="R824" s="576">
        <v>3560.81</v>
      </c>
      <c r="S824" s="527">
        <f t="shared" si="108"/>
        <v>3370.25</v>
      </c>
      <c r="T824" s="528">
        <f t="shared" si="109"/>
        <v>0</v>
      </c>
      <c r="U824" s="527">
        <f t="shared" si="110"/>
        <v>103.39</v>
      </c>
      <c r="W824" s="326">
        <f t="shared" si="106"/>
        <v>3560.81</v>
      </c>
      <c r="X824" s="261">
        <f t="shared" si="111"/>
        <v>0</v>
      </c>
      <c r="Z824" s="1016">
        <f t="shared" si="107"/>
        <v>3370.25</v>
      </c>
    </row>
    <row r="825" spans="1:26" ht="12" hidden="1" thickBot="1">
      <c r="A825" s="522" t="s">
        <v>1363</v>
      </c>
      <c r="B825" s="522" t="s">
        <v>371</v>
      </c>
      <c r="C825" s="522" t="s">
        <v>1011</v>
      </c>
      <c r="D825" s="533" t="s">
        <v>1036</v>
      </c>
      <c r="E825" s="570">
        <v>59109</v>
      </c>
      <c r="F825" s="571"/>
      <c r="G825" s="574">
        <v>38456.339999999997</v>
      </c>
      <c r="H825" s="571"/>
      <c r="I825" s="571"/>
      <c r="J825" s="571"/>
      <c r="K825" s="571"/>
      <c r="L825" s="571"/>
      <c r="M825" s="574">
        <v>211.13</v>
      </c>
      <c r="N825" s="574">
        <v>847.24</v>
      </c>
      <c r="O825" s="571"/>
      <c r="P825" s="571"/>
      <c r="Q825" s="574">
        <v>0</v>
      </c>
      <c r="R825" s="574">
        <v>39514.71</v>
      </c>
      <c r="S825" s="527">
        <f t="shared" si="108"/>
        <v>38456.339999999997</v>
      </c>
      <c r="T825" s="528">
        <f t="shared" si="109"/>
        <v>0</v>
      </c>
      <c r="U825" s="527">
        <f t="shared" si="110"/>
        <v>847.24</v>
      </c>
      <c r="W825" s="326">
        <f t="shared" ref="W825:W855" si="112">SUM(F825:Q825)</f>
        <v>39514.709999999992</v>
      </c>
      <c r="X825" s="261">
        <f t="shared" si="111"/>
        <v>0</v>
      </c>
      <c r="Z825" s="1016">
        <f t="shared" si="107"/>
        <v>38456.339999999997</v>
      </c>
    </row>
    <row r="826" spans="1:26" ht="12" hidden="1" thickBot="1">
      <c r="A826" s="522" t="s">
        <v>1363</v>
      </c>
      <c r="B826" s="522" t="s">
        <v>380</v>
      </c>
      <c r="C826" s="522" t="s">
        <v>1012</v>
      </c>
      <c r="D826" s="533" t="s">
        <v>1035</v>
      </c>
      <c r="E826" s="566">
        <v>195755</v>
      </c>
      <c r="F826" s="567"/>
      <c r="G826" s="576">
        <v>101811.6</v>
      </c>
      <c r="H826" s="567"/>
      <c r="I826" s="567"/>
      <c r="J826" s="567"/>
      <c r="K826" s="567"/>
      <c r="L826" s="567"/>
      <c r="M826" s="576">
        <v>701.34</v>
      </c>
      <c r="N826" s="576">
        <v>2252.5300000000002</v>
      </c>
      <c r="O826" s="567"/>
      <c r="P826" s="567"/>
      <c r="Q826" s="576">
        <v>0</v>
      </c>
      <c r="R826" s="576">
        <v>104765.47</v>
      </c>
      <c r="S826" s="527">
        <f t="shared" si="108"/>
        <v>101811.6</v>
      </c>
      <c r="T826" s="528">
        <f t="shared" si="109"/>
        <v>0</v>
      </c>
      <c r="U826" s="527">
        <f t="shared" si="110"/>
        <v>2252.5300000000002</v>
      </c>
      <c r="W826" s="326">
        <f t="shared" si="112"/>
        <v>104765.47</v>
      </c>
      <c r="X826" s="261">
        <f t="shared" si="111"/>
        <v>0</v>
      </c>
      <c r="Z826" s="1016">
        <f t="shared" si="107"/>
        <v>101811.6</v>
      </c>
    </row>
    <row r="827" spans="1:26" ht="12" hidden="1" thickBot="1">
      <c r="A827" s="522" t="s">
        <v>1363</v>
      </c>
      <c r="B827" s="522" t="s">
        <v>403</v>
      </c>
      <c r="C827" s="522" t="s">
        <v>1013</v>
      </c>
      <c r="D827" s="533" t="s">
        <v>1035</v>
      </c>
      <c r="E827" s="570">
        <v>106302</v>
      </c>
      <c r="F827" s="571"/>
      <c r="G827" s="574">
        <v>41476.879999999997</v>
      </c>
      <c r="H827" s="571"/>
      <c r="I827" s="571"/>
      <c r="J827" s="571"/>
      <c r="K827" s="571"/>
      <c r="L827" s="571"/>
      <c r="M827" s="574">
        <v>437.26</v>
      </c>
      <c r="N827" s="574">
        <v>1048.74</v>
      </c>
      <c r="O827" s="571"/>
      <c r="P827" s="571"/>
      <c r="Q827" s="574">
        <v>0</v>
      </c>
      <c r="R827" s="574">
        <v>42962.879999999997</v>
      </c>
      <c r="S827" s="527">
        <f t="shared" si="108"/>
        <v>41476.879999999997</v>
      </c>
      <c r="T827" s="528">
        <f t="shared" si="109"/>
        <v>0</v>
      </c>
      <c r="U827" s="527">
        <f t="shared" si="110"/>
        <v>1048.74</v>
      </c>
      <c r="W827" s="326">
        <f t="shared" si="112"/>
        <v>42962.879999999997</v>
      </c>
      <c r="X827" s="261">
        <f t="shared" si="111"/>
        <v>0</v>
      </c>
      <c r="Z827" s="1016">
        <f t="shared" si="107"/>
        <v>41476.879999999997</v>
      </c>
    </row>
    <row r="828" spans="1:26" ht="12" hidden="1" thickBot="1">
      <c r="A828" s="522" t="s">
        <v>1363</v>
      </c>
      <c r="B828" s="522" t="s">
        <v>360</v>
      </c>
      <c r="C828" s="522" t="s">
        <v>1014</v>
      </c>
      <c r="D828" s="533" t="s">
        <v>1035</v>
      </c>
      <c r="E828" s="566">
        <v>340071</v>
      </c>
      <c r="F828" s="567"/>
      <c r="G828" s="576">
        <v>90427.41</v>
      </c>
      <c r="H828" s="567"/>
      <c r="I828" s="567"/>
      <c r="J828" s="567"/>
      <c r="K828" s="567"/>
      <c r="L828" s="567"/>
      <c r="M828" s="576">
        <v>1403.04</v>
      </c>
      <c r="N828" s="576">
        <v>2301.6799999999998</v>
      </c>
      <c r="O828" s="567"/>
      <c r="P828" s="567"/>
      <c r="Q828" s="576">
        <v>0</v>
      </c>
      <c r="R828" s="576">
        <v>94132.13</v>
      </c>
      <c r="S828" s="527">
        <f t="shared" si="108"/>
        <v>90427.41</v>
      </c>
      <c r="T828" s="528">
        <f t="shared" si="109"/>
        <v>0</v>
      </c>
      <c r="U828" s="527">
        <f t="shared" si="110"/>
        <v>2301.6799999999998</v>
      </c>
      <c r="W828" s="326">
        <f t="shared" si="112"/>
        <v>94132.12999999999</v>
      </c>
      <c r="X828" s="261">
        <f t="shared" si="111"/>
        <v>0</v>
      </c>
      <c r="Z828" s="1016">
        <f t="shared" si="107"/>
        <v>90427.41</v>
      </c>
    </row>
    <row r="829" spans="1:26" ht="12" hidden="1" thickBot="1">
      <c r="A829" s="522" t="s">
        <v>1363</v>
      </c>
      <c r="B829" s="522" t="s">
        <v>392</v>
      </c>
      <c r="C829" s="522" t="s">
        <v>1015</v>
      </c>
      <c r="D829" s="533" t="s">
        <v>1035</v>
      </c>
      <c r="E829" s="570">
        <v>65574</v>
      </c>
      <c r="F829" s="571"/>
      <c r="G829" s="574">
        <v>12415.56</v>
      </c>
      <c r="H829" s="571"/>
      <c r="I829" s="571"/>
      <c r="J829" s="571"/>
      <c r="K829" s="571"/>
      <c r="L829" s="571"/>
      <c r="M829" s="574">
        <v>269.58</v>
      </c>
      <c r="N829" s="574">
        <v>316.36</v>
      </c>
      <c r="O829" s="571"/>
      <c r="P829" s="571"/>
      <c r="Q829" s="574">
        <v>0</v>
      </c>
      <c r="R829" s="574">
        <v>13001.5</v>
      </c>
      <c r="S829" s="527">
        <f t="shared" si="108"/>
        <v>12415.56</v>
      </c>
      <c r="T829" s="528">
        <f t="shared" si="109"/>
        <v>0</v>
      </c>
      <c r="U829" s="527">
        <f t="shared" si="110"/>
        <v>316.36</v>
      </c>
      <c r="W829" s="326">
        <f t="shared" si="112"/>
        <v>13001.5</v>
      </c>
      <c r="X829" s="261">
        <f t="shared" si="111"/>
        <v>0</v>
      </c>
      <c r="Z829" s="1016">
        <f t="shared" si="107"/>
        <v>12415.56</v>
      </c>
    </row>
    <row r="830" spans="1:26" ht="12" hidden="1" thickBot="1">
      <c r="A830" s="522" t="s">
        <v>1363</v>
      </c>
      <c r="B830" s="522" t="s">
        <v>390</v>
      </c>
      <c r="C830" s="522" t="s">
        <v>1016</v>
      </c>
      <c r="D830" s="533" t="s">
        <v>1035</v>
      </c>
      <c r="E830" s="566">
        <v>101832</v>
      </c>
      <c r="F830" s="567"/>
      <c r="G830" s="576">
        <v>76612.77</v>
      </c>
      <c r="H830" s="567"/>
      <c r="I830" s="567"/>
      <c r="J830" s="567"/>
      <c r="K830" s="567"/>
      <c r="L830" s="567"/>
      <c r="M830" s="576">
        <v>364.18</v>
      </c>
      <c r="N830" s="576">
        <v>1688.51</v>
      </c>
      <c r="O830" s="567"/>
      <c r="P830" s="567"/>
      <c r="Q830" s="576">
        <v>0</v>
      </c>
      <c r="R830" s="576">
        <v>78665.460000000006</v>
      </c>
      <c r="S830" s="527">
        <f t="shared" si="108"/>
        <v>76612.77</v>
      </c>
      <c r="T830" s="528">
        <f t="shared" si="109"/>
        <v>0</v>
      </c>
      <c r="U830" s="527">
        <f t="shared" si="110"/>
        <v>1688.51</v>
      </c>
      <c r="W830" s="326">
        <f t="shared" si="112"/>
        <v>78665.459999999992</v>
      </c>
      <c r="X830" s="261">
        <f t="shared" si="111"/>
        <v>0</v>
      </c>
      <c r="Z830" s="1016">
        <f t="shared" si="107"/>
        <v>76612.77</v>
      </c>
    </row>
    <row r="831" spans="1:26" ht="12" hidden="1" thickBot="1">
      <c r="A831" s="522" t="s">
        <v>1363</v>
      </c>
      <c r="B831" s="522" t="s">
        <v>414</v>
      </c>
      <c r="C831" s="522" t="s">
        <v>1017</v>
      </c>
      <c r="D831" s="533" t="s">
        <v>1035</v>
      </c>
      <c r="E831" s="570">
        <v>33657</v>
      </c>
      <c r="F831" s="571"/>
      <c r="G831" s="574">
        <v>22060.44</v>
      </c>
      <c r="H831" s="571"/>
      <c r="I831" s="571"/>
      <c r="J831" s="571"/>
      <c r="K831" s="571"/>
      <c r="L831" s="571"/>
      <c r="M831" s="574">
        <v>143.13</v>
      </c>
      <c r="N831" s="574">
        <v>572.49</v>
      </c>
      <c r="O831" s="571"/>
      <c r="P831" s="571"/>
      <c r="Q831" s="574">
        <v>0</v>
      </c>
      <c r="R831" s="574">
        <v>22776.06</v>
      </c>
      <c r="S831" s="527">
        <f t="shared" si="108"/>
        <v>22060.44</v>
      </c>
      <c r="T831" s="528">
        <f t="shared" si="109"/>
        <v>0</v>
      </c>
      <c r="U831" s="527">
        <f t="shared" si="110"/>
        <v>572.49</v>
      </c>
      <c r="W831" s="326">
        <f t="shared" si="112"/>
        <v>22776.06</v>
      </c>
      <c r="X831" s="261">
        <f t="shared" si="111"/>
        <v>0</v>
      </c>
      <c r="Z831" s="1016">
        <f t="shared" si="107"/>
        <v>22060.44</v>
      </c>
    </row>
    <row r="832" spans="1:26" ht="12" hidden="1" thickBot="1">
      <c r="A832" s="522" t="s">
        <v>1363</v>
      </c>
      <c r="B832" s="522" t="s">
        <v>364</v>
      </c>
      <c r="C832" s="522" t="s">
        <v>1018</v>
      </c>
      <c r="D832" s="533" t="s">
        <v>1035</v>
      </c>
      <c r="E832" s="566">
        <v>92710</v>
      </c>
      <c r="F832" s="567"/>
      <c r="G832" s="576">
        <v>37792.019999999997</v>
      </c>
      <c r="H832" s="567"/>
      <c r="I832" s="567"/>
      <c r="J832" s="567"/>
      <c r="K832" s="567"/>
      <c r="L832" s="567"/>
      <c r="M832" s="576">
        <v>405.99</v>
      </c>
      <c r="N832" s="576">
        <v>1012.47</v>
      </c>
      <c r="O832" s="567"/>
      <c r="P832" s="567"/>
      <c r="Q832" s="576">
        <v>0</v>
      </c>
      <c r="R832" s="576">
        <v>39210.480000000003</v>
      </c>
      <c r="S832" s="527">
        <f t="shared" si="108"/>
        <v>37792.019999999997</v>
      </c>
      <c r="T832" s="528">
        <f t="shared" si="109"/>
        <v>0</v>
      </c>
      <c r="U832" s="527">
        <f t="shared" si="110"/>
        <v>1012.47</v>
      </c>
      <c r="W832" s="326">
        <f t="shared" si="112"/>
        <v>39210.479999999996</v>
      </c>
      <c r="X832" s="261">
        <f t="shared" si="111"/>
        <v>0</v>
      </c>
      <c r="Z832" s="1016">
        <f t="shared" si="107"/>
        <v>37792.019999999997</v>
      </c>
    </row>
    <row r="833" spans="1:26" ht="12" hidden="1" thickBot="1">
      <c r="A833" s="522" t="s">
        <v>1363</v>
      </c>
      <c r="B833" s="522" t="s">
        <v>396</v>
      </c>
      <c r="C833" s="522" t="s">
        <v>1019</v>
      </c>
      <c r="D833" s="533" t="s">
        <v>1035</v>
      </c>
      <c r="E833" s="570">
        <v>120887</v>
      </c>
      <c r="F833" s="571"/>
      <c r="G833" s="574">
        <v>31181.38</v>
      </c>
      <c r="H833" s="571"/>
      <c r="I833" s="571"/>
      <c r="J833" s="571"/>
      <c r="K833" s="571"/>
      <c r="L833" s="571"/>
      <c r="M833" s="574">
        <v>579.66</v>
      </c>
      <c r="N833" s="574">
        <v>918.43</v>
      </c>
      <c r="O833" s="571"/>
      <c r="P833" s="571"/>
      <c r="Q833" s="574">
        <v>0</v>
      </c>
      <c r="R833" s="574">
        <v>32679.47</v>
      </c>
      <c r="S833" s="527">
        <f t="shared" si="108"/>
        <v>31181.38</v>
      </c>
      <c r="T833" s="528">
        <f t="shared" si="109"/>
        <v>0</v>
      </c>
      <c r="U833" s="527">
        <f t="shared" si="110"/>
        <v>918.43</v>
      </c>
      <c r="W833" s="326">
        <f t="shared" si="112"/>
        <v>32679.47</v>
      </c>
      <c r="X833" s="261">
        <f t="shared" si="111"/>
        <v>0</v>
      </c>
      <c r="Z833" s="1016">
        <f t="shared" ref="Z833:Z896" si="113">SUM(F833:K833)</f>
        <v>31181.38</v>
      </c>
    </row>
    <row r="834" spans="1:26" ht="12" hidden="1" thickBot="1">
      <c r="A834" s="522" t="s">
        <v>1363</v>
      </c>
      <c r="B834" s="522" t="s">
        <v>415</v>
      </c>
      <c r="C834" s="522" t="s">
        <v>1020</v>
      </c>
      <c r="D834" s="533" t="s">
        <v>1035</v>
      </c>
      <c r="E834" s="566">
        <v>350850</v>
      </c>
      <c r="F834" s="567"/>
      <c r="G834" s="576">
        <v>99813.72</v>
      </c>
      <c r="H834" s="567"/>
      <c r="I834" s="567"/>
      <c r="J834" s="567"/>
      <c r="K834" s="567"/>
      <c r="L834" s="567"/>
      <c r="M834" s="576">
        <v>1709.32</v>
      </c>
      <c r="N834" s="576">
        <v>2996.25</v>
      </c>
      <c r="O834" s="567"/>
      <c r="P834" s="567"/>
      <c r="Q834" s="576">
        <v>0</v>
      </c>
      <c r="R834" s="576">
        <v>104519.29</v>
      </c>
      <c r="S834" s="527">
        <f t="shared" si="108"/>
        <v>99813.72</v>
      </c>
      <c r="T834" s="528">
        <f t="shared" si="109"/>
        <v>0</v>
      </c>
      <c r="U834" s="527">
        <f t="shared" si="110"/>
        <v>2996.25</v>
      </c>
      <c r="W834" s="326">
        <f t="shared" si="112"/>
        <v>104519.29000000001</v>
      </c>
      <c r="X834" s="261">
        <f t="shared" si="111"/>
        <v>0</v>
      </c>
      <c r="Z834" s="1016">
        <f t="shared" si="113"/>
        <v>99813.72</v>
      </c>
    </row>
    <row r="835" spans="1:26" ht="12" hidden="1" thickBot="1">
      <c r="A835" s="522" t="s">
        <v>1363</v>
      </c>
      <c r="B835" s="522" t="s">
        <v>365</v>
      </c>
      <c r="C835" s="522" t="s">
        <v>1021</v>
      </c>
      <c r="D835" s="533" t="s">
        <v>1035</v>
      </c>
      <c r="E835" s="570">
        <v>433016</v>
      </c>
      <c r="F835" s="571"/>
      <c r="G835" s="574">
        <v>90055.37</v>
      </c>
      <c r="H835" s="571"/>
      <c r="I835" s="571"/>
      <c r="J835" s="571"/>
      <c r="K835" s="571"/>
      <c r="L835" s="571"/>
      <c r="M835" s="574">
        <v>2127.34</v>
      </c>
      <c r="N835" s="574">
        <v>2736.51</v>
      </c>
      <c r="O835" s="571"/>
      <c r="P835" s="571"/>
      <c r="Q835" s="574">
        <v>0</v>
      </c>
      <c r="R835" s="574">
        <v>94919.22</v>
      </c>
      <c r="S835" s="527">
        <f t="shared" si="108"/>
        <v>90055.37</v>
      </c>
      <c r="T835" s="528">
        <f t="shared" si="109"/>
        <v>0</v>
      </c>
      <c r="U835" s="527">
        <f t="shared" si="110"/>
        <v>2736.51</v>
      </c>
      <c r="W835" s="326">
        <f t="shared" si="112"/>
        <v>94919.219999999987</v>
      </c>
      <c r="X835" s="261">
        <f t="shared" si="111"/>
        <v>0</v>
      </c>
      <c r="Z835" s="1016">
        <f t="shared" si="113"/>
        <v>90055.37</v>
      </c>
    </row>
    <row r="836" spans="1:26" ht="12" hidden="1" thickBot="1">
      <c r="A836" s="522" t="s">
        <v>1363</v>
      </c>
      <c r="B836" s="522" t="s">
        <v>397</v>
      </c>
      <c r="C836" s="522" t="s">
        <v>1022</v>
      </c>
      <c r="D836" s="533" t="s">
        <v>1035</v>
      </c>
      <c r="E836" s="566">
        <v>1073293</v>
      </c>
      <c r="F836" s="567"/>
      <c r="G836" s="576">
        <v>162860.66</v>
      </c>
      <c r="H836" s="567"/>
      <c r="I836" s="567"/>
      <c r="J836" s="567"/>
      <c r="K836" s="567"/>
      <c r="L836" s="567"/>
      <c r="M836" s="576">
        <v>5234.46</v>
      </c>
      <c r="N836" s="576">
        <v>4942.6499999999996</v>
      </c>
      <c r="O836" s="567"/>
      <c r="P836" s="567"/>
      <c r="Q836" s="576">
        <v>0</v>
      </c>
      <c r="R836" s="576">
        <v>173037.77</v>
      </c>
      <c r="S836" s="527">
        <f t="shared" si="108"/>
        <v>162860.66</v>
      </c>
      <c r="T836" s="528">
        <f t="shared" si="109"/>
        <v>0</v>
      </c>
      <c r="U836" s="527">
        <f t="shared" si="110"/>
        <v>4942.6499999999996</v>
      </c>
      <c r="W836" s="326">
        <f t="shared" si="112"/>
        <v>173037.77</v>
      </c>
      <c r="X836" s="261">
        <f t="shared" si="111"/>
        <v>0</v>
      </c>
      <c r="Z836" s="1016">
        <f t="shared" si="113"/>
        <v>162860.66</v>
      </c>
    </row>
    <row r="837" spans="1:26" ht="12" hidden="1" thickBot="1">
      <c r="A837" s="522" t="s">
        <v>1363</v>
      </c>
      <c r="B837" s="522" t="s">
        <v>337</v>
      </c>
      <c r="C837" s="522" t="s">
        <v>1023</v>
      </c>
      <c r="D837" s="533" t="s">
        <v>1035</v>
      </c>
      <c r="E837" s="570">
        <v>2307</v>
      </c>
      <c r="F837" s="571"/>
      <c r="G837" s="574">
        <v>897.26</v>
      </c>
      <c r="H837" s="571"/>
      <c r="I837" s="571"/>
      <c r="J837" s="571"/>
      <c r="K837" s="571"/>
      <c r="L837" s="571"/>
      <c r="M837" s="574">
        <v>11.41</v>
      </c>
      <c r="N837" s="574">
        <v>27.05</v>
      </c>
      <c r="O837" s="571"/>
      <c r="P837" s="571"/>
      <c r="Q837" s="574">
        <v>0</v>
      </c>
      <c r="R837" s="574">
        <v>935.72</v>
      </c>
      <c r="S837" s="527">
        <f t="shared" si="108"/>
        <v>897.26</v>
      </c>
      <c r="T837" s="528">
        <f t="shared" si="109"/>
        <v>0</v>
      </c>
      <c r="U837" s="527">
        <f t="shared" si="110"/>
        <v>27.05</v>
      </c>
      <c r="W837" s="326">
        <f t="shared" si="112"/>
        <v>935.71999999999991</v>
      </c>
      <c r="X837" s="261">
        <f t="shared" si="111"/>
        <v>0</v>
      </c>
      <c r="Z837" s="1016">
        <f t="shared" si="113"/>
        <v>897.26</v>
      </c>
    </row>
    <row r="838" spans="1:26" ht="12" hidden="1" thickBot="1">
      <c r="A838" s="522" t="s">
        <v>1363</v>
      </c>
      <c r="B838" s="522" t="s">
        <v>369</v>
      </c>
      <c r="C838" s="522" t="s">
        <v>1024</v>
      </c>
      <c r="D838" s="533" t="s">
        <v>1035</v>
      </c>
      <c r="E838" s="566">
        <v>32617</v>
      </c>
      <c r="F838" s="567"/>
      <c r="G838" s="576">
        <v>7357.52</v>
      </c>
      <c r="H838" s="567"/>
      <c r="I838" s="567"/>
      <c r="J838" s="567"/>
      <c r="K838" s="567"/>
      <c r="L838" s="567"/>
      <c r="M838" s="576">
        <v>160.04</v>
      </c>
      <c r="N838" s="576">
        <v>222.14</v>
      </c>
      <c r="O838" s="567"/>
      <c r="P838" s="567"/>
      <c r="Q838" s="576">
        <v>0</v>
      </c>
      <c r="R838" s="576">
        <v>7739.7</v>
      </c>
      <c r="S838" s="527">
        <f t="shared" si="108"/>
        <v>7357.52</v>
      </c>
      <c r="T838" s="528">
        <f t="shared" si="109"/>
        <v>0</v>
      </c>
      <c r="U838" s="527">
        <f t="shared" si="110"/>
        <v>222.14</v>
      </c>
      <c r="W838" s="326">
        <f t="shared" si="112"/>
        <v>7739.7000000000007</v>
      </c>
      <c r="X838" s="261">
        <f t="shared" si="111"/>
        <v>0</v>
      </c>
      <c r="Z838" s="1016">
        <f t="shared" si="113"/>
        <v>7357.52</v>
      </c>
    </row>
    <row r="839" spans="1:26" ht="12" hidden="1" thickBot="1">
      <c r="A839" s="522" t="s">
        <v>1363</v>
      </c>
      <c r="B839" s="522" t="s">
        <v>715</v>
      </c>
      <c r="C839" s="522" t="s">
        <v>1025</v>
      </c>
      <c r="D839" s="533" t="s">
        <v>1035</v>
      </c>
      <c r="E839" s="570">
        <v>46</v>
      </c>
      <c r="F839" s="571"/>
      <c r="G839" s="574">
        <v>30.74</v>
      </c>
      <c r="H839" s="571"/>
      <c r="I839" s="571"/>
      <c r="J839" s="571"/>
      <c r="K839" s="571"/>
      <c r="L839" s="571"/>
      <c r="M839" s="574">
        <v>0.23</v>
      </c>
      <c r="N839" s="574">
        <v>0.93</v>
      </c>
      <c r="O839" s="571"/>
      <c r="P839" s="571"/>
      <c r="Q839" s="571"/>
      <c r="R839" s="574">
        <v>31.9</v>
      </c>
      <c r="S839" s="527">
        <f t="shared" si="108"/>
        <v>30.74</v>
      </c>
      <c r="T839" s="528">
        <f t="shared" si="109"/>
        <v>0</v>
      </c>
      <c r="U839" s="527">
        <f t="shared" si="110"/>
        <v>0.93</v>
      </c>
      <c r="W839" s="326">
        <f t="shared" si="112"/>
        <v>31.9</v>
      </c>
      <c r="X839" s="261">
        <f t="shared" si="111"/>
        <v>0</v>
      </c>
      <c r="Z839" s="1016">
        <f t="shared" si="113"/>
        <v>30.74</v>
      </c>
    </row>
    <row r="840" spans="1:26" ht="12" hidden="1" thickBot="1">
      <c r="A840" s="522" t="s">
        <v>1363</v>
      </c>
      <c r="B840" s="522" t="s">
        <v>332</v>
      </c>
      <c r="C840" s="522" t="s">
        <v>1026</v>
      </c>
      <c r="D840" s="533" t="s">
        <v>1035</v>
      </c>
      <c r="E840" s="566">
        <v>12619</v>
      </c>
      <c r="F840" s="567"/>
      <c r="G840" s="576">
        <v>1965.1</v>
      </c>
      <c r="H840" s="567"/>
      <c r="I840" s="567"/>
      <c r="J840" s="567"/>
      <c r="K840" s="567"/>
      <c r="L840" s="567"/>
      <c r="M840" s="576">
        <v>62.71</v>
      </c>
      <c r="N840" s="576">
        <v>60.64</v>
      </c>
      <c r="O840" s="567"/>
      <c r="P840" s="567"/>
      <c r="Q840" s="576">
        <v>0</v>
      </c>
      <c r="R840" s="576">
        <v>2088.4499999999998</v>
      </c>
      <c r="S840" s="527">
        <f t="shared" ref="S840:S855" si="114">G840+H840+I840</f>
        <v>1965.1</v>
      </c>
      <c r="T840" s="528">
        <f t="shared" ref="T840:T855" si="115">J840+K840</f>
        <v>0</v>
      </c>
      <c r="U840" s="527">
        <f t="shared" ref="U840:U855" si="116">N840+O840</f>
        <v>60.64</v>
      </c>
      <c r="W840" s="326">
        <f t="shared" si="112"/>
        <v>2088.4499999999998</v>
      </c>
      <c r="X840" s="261">
        <f t="shared" ref="X840:X855" si="117">W840-R840</f>
        <v>0</v>
      </c>
      <c r="Z840" s="1016">
        <f t="shared" si="113"/>
        <v>1965.1</v>
      </c>
    </row>
    <row r="841" spans="1:26" ht="12" hidden="1" thickBot="1">
      <c r="A841" s="522" t="s">
        <v>1363</v>
      </c>
      <c r="B841" s="522" t="s">
        <v>334</v>
      </c>
      <c r="C841" s="522" t="s">
        <v>1027</v>
      </c>
      <c r="D841" s="533" t="s">
        <v>1035</v>
      </c>
      <c r="E841" s="570">
        <v>6887</v>
      </c>
      <c r="F841" s="571"/>
      <c r="G841" s="574">
        <v>4766.16</v>
      </c>
      <c r="H841" s="571"/>
      <c r="I841" s="571"/>
      <c r="J841" s="571"/>
      <c r="K841" s="571"/>
      <c r="L841" s="571"/>
      <c r="M841" s="574">
        <v>32.39</v>
      </c>
      <c r="N841" s="574">
        <v>136.38</v>
      </c>
      <c r="O841" s="571"/>
      <c r="P841" s="571"/>
      <c r="Q841" s="574">
        <v>0</v>
      </c>
      <c r="R841" s="574">
        <v>4934.93</v>
      </c>
      <c r="S841" s="527">
        <f t="shared" si="114"/>
        <v>4766.16</v>
      </c>
      <c r="T841" s="528">
        <f t="shared" si="115"/>
        <v>0</v>
      </c>
      <c r="U841" s="527">
        <f t="shared" si="116"/>
        <v>136.38</v>
      </c>
      <c r="W841" s="326">
        <f t="shared" si="112"/>
        <v>4934.93</v>
      </c>
      <c r="X841" s="261">
        <f t="shared" si="117"/>
        <v>0</v>
      </c>
      <c r="Z841" s="1016">
        <f t="shared" si="113"/>
        <v>4766.16</v>
      </c>
    </row>
    <row r="842" spans="1:26" ht="12" hidden="1" thickBot="1">
      <c r="A842" s="522" t="s">
        <v>1363</v>
      </c>
      <c r="B842" s="522" t="s">
        <v>366</v>
      </c>
      <c r="C842" s="522" t="s">
        <v>1028</v>
      </c>
      <c r="D842" s="533" t="s">
        <v>1035</v>
      </c>
      <c r="E842" s="566">
        <v>61681</v>
      </c>
      <c r="F842" s="567"/>
      <c r="G842" s="576">
        <v>22422.400000000001</v>
      </c>
      <c r="H842" s="567"/>
      <c r="I842" s="567"/>
      <c r="J842" s="567"/>
      <c r="K842" s="567"/>
      <c r="L842" s="567"/>
      <c r="M842" s="576">
        <v>304.88</v>
      </c>
      <c r="N842" s="576">
        <v>676.16</v>
      </c>
      <c r="O842" s="567"/>
      <c r="P842" s="567"/>
      <c r="Q842" s="576">
        <v>0</v>
      </c>
      <c r="R842" s="576">
        <v>23403.439999999999</v>
      </c>
      <c r="S842" s="527">
        <f t="shared" si="114"/>
        <v>22422.400000000001</v>
      </c>
      <c r="T842" s="528">
        <f t="shared" si="115"/>
        <v>0</v>
      </c>
      <c r="U842" s="527">
        <f t="shared" si="116"/>
        <v>676.16</v>
      </c>
      <c r="W842" s="326">
        <f t="shared" si="112"/>
        <v>23403.440000000002</v>
      </c>
      <c r="X842" s="261">
        <f t="shared" si="117"/>
        <v>0</v>
      </c>
      <c r="Z842" s="1016">
        <f t="shared" si="113"/>
        <v>22422.400000000001</v>
      </c>
    </row>
    <row r="843" spans="1:26" ht="12" hidden="1" thickBot="1">
      <c r="A843" s="522" t="s">
        <v>1363</v>
      </c>
      <c r="B843" s="522" t="s">
        <v>329</v>
      </c>
      <c r="C843" s="522" t="s">
        <v>1029</v>
      </c>
      <c r="D843" s="533" t="s">
        <v>1035</v>
      </c>
      <c r="E843" s="570">
        <v>45473</v>
      </c>
      <c r="F843" s="571"/>
      <c r="G843" s="574">
        <v>9022.86</v>
      </c>
      <c r="H843" s="571"/>
      <c r="I843" s="571"/>
      <c r="J843" s="571"/>
      <c r="K843" s="571"/>
      <c r="L843" s="571"/>
      <c r="M843" s="574">
        <v>222.07</v>
      </c>
      <c r="N843" s="574">
        <v>272.11</v>
      </c>
      <c r="O843" s="571"/>
      <c r="P843" s="571"/>
      <c r="Q843" s="574">
        <v>0</v>
      </c>
      <c r="R843" s="574">
        <v>9517.0400000000009</v>
      </c>
      <c r="S843" s="527">
        <f t="shared" si="114"/>
        <v>9022.86</v>
      </c>
      <c r="T843" s="528">
        <f t="shared" si="115"/>
        <v>0</v>
      </c>
      <c r="U843" s="527">
        <f t="shared" si="116"/>
        <v>272.11</v>
      </c>
      <c r="W843" s="326">
        <f t="shared" si="112"/>
        <v>9517.0400000000009</v>
      </c>
      <c r="X843" s="261">
        <f t="shared" si="117"/>
        <v>0</v>
      </c>
      <c r="Z843" s="1016">
        <f t="shared" si="113"/>
        <v>9022.86</v>
      </c>
    </row>
    <row r="844" spans="1:26" ht="12" hidden="1" thickBot="1">
      <c r="A844" s="522" t="s">
        <v>1363</v>
      </c>
      <c r="B844" s="522" t="s">
        <v>683</v>
      </c>
      <c r="C844" s="522" t="s">
        <v>1047</v>
      </c>
      <c r="D844" s="533" t="s">
        <v>1035</v>
      </c>
      <c r="E844" s="566">
        <v>323</v>
      </c>
      <c r="F844" s="567"/>
      <c r="G844" s="576">
        <v>153.5</v>
      </c>
      <c r="H844" s="567"/>
      <c r="I844" s="567"/>
      <c r="J844" s="567"/>
      <c r="K844" s="567"/>
      <c r="L844" s="567"/>
      <c r="M844" s="576">
        <v>1.6</v>
      </c>
      <c r="N844" s="576">
        <v>4.6399999999999997</v>
      </c>
      <c r="O844" s="567"/>
      <c r="P844" s="567"/>
      <c r="Q844" s="567"/>
      <c r="R844" s="576">
        <v>159.74</v>
      </c>
      <c r="S844" s="527">
        <f t="shared" si="114"/>
        <v>153.5</v>
      </c>
      <c r="T844" s="528">
        <f t="shared" si="115"/>
        <v>0</v>
      </c>
      <c r="U844" s="527">
        <f t="shared" si="116"/>
        <v>4.6399999999999997</v>
      </c>
      <c r="W844" s="326">
        <f t="shared" si="112"/>
        <v>159.73999999999998</v>
      </c>
      <c r="X844" s="261">
        <f t="shared" si="117"/>
        <v>0</v>
      </c>
      <c r="Z844" s="1016">
        <f t="shared" si="113"/>
        <v>153.5</v>
      </c>
    </row>
    <row r="845" spans="1:26" ht="12" hidden="1" thickBot="1">
      <c r="A845" s="522" t="s">
        <v>1363</v>
      </c>
      <c r="B845" s="522" t="s">
        <v>463</v>
      </c>
      <c r="C845" s="522" t="s">
        <v>1030</v>
      </c>
      <c r="D845" s="533" t="s">
        <v>1035</v>
      </c>
      <c r="E845" s="570">
        <v>3994</v>
      </c>
      <c r="F845" s="571"/>
      <c r="G845" s="574">
        <v>967.51</v>
      </c>
      <c r="H845" s="571"/>
      <c r="I845" s="571"/>
      <c r="J845" s="571"/>
      <c r="K845" s="571"/>
      <c r="L845" s="571"/>
      <c r="M845" s="574">
        <v>19.86</v>
      </c>
      <c r="N845" s="574">
        <v>29.53</v>
      </c>
      <c r="O845" s="571"/>
      <c r="P845" s="571"/>
      <c r="Q845" s="571"/>
      <c r="R845" s="574">
        <v>1016.9</v>
      </c>
      <c r="S845" s="527">
        <f t="shared" si="114"/>
        <v>967.51</v>
      </c>
      <c r="T845" s="528">
        <f t="shared" si="115"/>
        <v>0</v>
      </c>
      <c r="U845" s="527">
        <f t="shared" si="116"/>
        <v>29.53</v>
      </c>
      <c r="W845" s="326">
        <f t="shared" si="112"/>
        <v>1016.9</v>
      </c>
      <c r="X845" s="261">
        <f t="shared" si="117"/>
        <v>0</v>
      </c>
      <c r="Z845" s="1016">
        <f t="shared" si="113"/>
        <v>967.51</v>
      </c>
    </row>
    <row r="846" spans="1:26" ht="12" hidden="1" thickBot="1">
      <c r="A846" s="522" t="s">
        <v>1363</v>
      </c>
      <c r="B846" s="522" t="s">
        <v>653</v>
      </c>
      <c r="C846" s="522" t="s">
        <v>1031</v>
      </c>
      <c r="D846" s="533" t="s">
        <v>1035</v>
      </c>
      <c r="E846" s="566">
        <v>3193</v>
      </c>
      <c r="F846" s="567"/>
      <c r="G846" s="576">
        <v>515.76</v>
      </c>
      <c r="H846" s="567"/>
      <c r="I846" s="567"/>
      <c r="J846" s="567"/>
      <c r="K846" s="567"/>
      <c r="L846" s="567"/>
      <c r="M846" s="576">
        <v>15.68</v>
      </c>
      <c r="N846" s="576">
        <v>15.71</v>
      </c>
      <c r="O846" s="567"/>
      <c r="P846" s="567"/>
      <c r="Q846" s="567"/>
      <c r="R846" s="576">
        <v>547.15</v>
      </c>
      <c r="S846" s="527">
        <f t="shared" si="114"/>
        <v>515.76</v>
      </c>
      <c r="T846" s="528">
        <f t="shared" si="115"/>
        <v>0</v>
      </c>
      <c r="U846" s="527">
        <f t="shared" si="116"/>
        <v>15.71</v>
      </c>
      <c r="W846" s="326">
        <f t="shared" si="112"/>
        <v>547.15</v>
      </c>
      <c r="X846" s="261">
        <f t="shared" si="117"/>
        <v>0</v>
      </c>
      <c r="Z846" s="1016">
        <f t="shared" si="113"/>
        <v>515.76</v>
      </c>
    </row>
    <row r="847" spans="1:26" ht="12" hidden="1" thickBot="1">
      <c r="A847" s="522" t="s">
        <v>1363</v>
      </c>
      <c r="B847" s="522" t="s">
        <v>445</v>
      </c>
      <c r="C847" s="522" t="s">
        <v>444</v>
      </c>
      <c r="D847" s="522"/>
      <c r="E847" s="571"/>
      <c r="F847" s="571"/>
      <c r="G847" s="571"/>
      <c r="H847" s="571"/>
      <c r="I847" s="571"/>
      <c r="J847" s="571"/>
      <c r="K847" s="571"/>
      <c r="L847" s="571"/>
      <c r="M847" s="571"/>
      <c r="N847" s="571"/>
      <c r="O847" s="571"/>
      <c r="P847" s="571"/>
      <c r="Q847" s="571"/>
      <c r="R847" s="574">
        <v>99.52</v>
      </c>
      <c r="S847" s="527">
        <f t="shared" si="114"/>
        <v>0</v>
      </c>
      <c r="T847" s="528">
        <f t="shared" si="115"/>
        <v>0</v>
      </c>
      <c r="U847" s="527">
        <f t="shared" si="116"/>
        <v>0</v>
      </c>
      <c r="W847" s="326">
        <f t="shared" si="112"/>
        <v>0</v>
      </c>
      <c r="X847" s="261">
        <f t="shared" si="117"/>
        <v>-99.52</v>
      </c>
      <c r="Z847" s="1016">
        <f t="shared" si="113"/>
        <v>0</v>
      </c>
    </row>
    <row r="848" spans="1:26" ht="12" hidden="1" thickBot="1">
      <c r="A848" s="522" t="s">
        <v>1363</v>
      </c>
      <c r="B848" s="522" t="s">
        <v>474</v>
      </c>
      <c r="C848" s="522" t="s">
        <v>473</v>
      </c>
      <c r="D848" s="522"/>
      <c r="E848" s="567"/>
      <c r="F848" s="567"/>
      <c r="G848" s="567"/>
      <c r="H848" s="567"/>
      <c r="I848" s="567"/>
      <c r="J848" s="567"/>
      <c r="K848" s="567"/>
      <c r="L848" s="567"/>
      <c r="M848" s="567"/>
      <c r="N848" s="567"/>
      <c r="O848" s="567"/>
      <c r="P848" s="567"/>
      <c r="Q848" s="567"/>
      <c r="R848" s="576">
        <v>83756.509999999995</v>
      </c>
      <c r="S848" s="527">
        <f t="shared" si="114"/>
        <v>0</v>
      </c>
      <c r="T848" s="528">
        <f t="shared" si="115"/>
        <v>0</v>
      </c>
      <c r="U848" s="527">
        <f t="shared" si="116"/>
        <v>0</v>
      </c>
      <c r="W848" s="326">
        <f t="shared" si="112"/>
        <v>0</v>
      </c>
      <c r="X848" s="261">
        <f t="shared" si="117"/>
        <v>-83756.509999999995</v>
      </c>
      <c r="Z848" s="1016">
        <f t="shared" si="113"/>
        <v>0</v>
      </c>
    </row>
    <row r="849" spans="1:26" ht="12" hidden="1" thickBot="1">
      <c r="A849" s="522" t="s">
        <v>1363</v>
      </c>
      <c r="B849" s="522" t="s">
        <v>476</v>
      </c>
      <c r="C849" s="522" t="s">
        <v>475</v>
      </c>
      <c r="D849" s="522"/>
      <c r="E849" s="571"/>
      <c r="F849" s="571"/>
      <c r="G849" s="571"/>
      <c r="H849" s="571"/>
      <c r="I849" s="571"/>
      <c r="J849" s="571"/>
      <c r="K849" s="571"/>
      <c r="L849" s="571"/>
      <c r="M849" s="571"/>
      <c r="N849" s="571"/>
      <c r="O849" s="571"/>
      <c r="P849" s="571"/>
      <c r="Q849" s="571"/>
      <c r="R849" s="574">
        <v>9347.67</v>
      </c>
      <c r="S849" s="527">
        <f t="shared" si="114"/>
        <v>0</v>
      </c>
      <c r="T849" s="528">
        <f t="shared" si="115"/>
        <v>0</v>
      </c>
      <c r="U849" s="527">
        <f t="shared" si="116"/>
        <v>0</v>
      </c>
      <c r="W849" s="326">
        <f t="shared" si="112"/>
        <v>0</v>
      </c>
      <c r="X849" s="261">
        <f t="shared" si="117"/>
        <v>-9347.67</v>
      </c>
      <c r="Z849" s="1016">
        <f t="shared" si="113"/>
        <v>0</v>
      </c>
    </row>
    <row r="850" spans="1:26" ht="12" hidden="1" thickBot="1">
      <c r="A850" s="522" t="s">
        <v>1363</v>
      </c>
      <c r="B850" s="522" t="s">
        <v>443</v>
      </c>
      <c r="C850" s="522" t="s">
        <v>442</v>
      </c>
      <c r="D850" s="522"/>
      <c r="E850" s="567"/>
      <c r="F850" s="576">
        <v>36126.76</v>
      </c>
      <c r="G850" s="567"/>
      <c r="H850" s="567"/>
      <c r="I850" s="567"/>
      <c r="J850" s="567"/>
      <c r="K850" s="567"/>
      <c r="L850" s="567"/>
      <c r="M850" s="567"/>
      <c r="N850" s="567"/>
      <c r="O850" s="567"/>
      <c r="P850" s="567"/>
      <c r="Q850" s="567"/>
      <c r="R850" s="576">
        <v>36126.76</v>
      </c>
      <c r="S850" s="527">
        <f t="shared" si="114"/>
        <v>0</v>
      </c>
      <c r="T850" s="528">
        <f t="shared" si="115"/>
        <v>0</v>
      </c>
      <c r="U850" s="527">
        <f t="shared" si="116"/>
        <v>0</v>
      </c>
      <c r="W850" s="326">
        <f t="shared" si="112"/>
        <v>36126.76</v>
      </c>
      <c r="X850" s="261">
        <f t="shared" si="117"/>
        <v>0</v>
      </c>
      <c r="Z850" s="1016">
        <f t="shared" si="113"/>
        <v>36126.76</v>
      </c>
    </row>
    <row r="851" spans="1:26" ht="12" hidden="1" thickBot="1">
      <c r="A851" s="522" t="s">
        <v>1363</v>
      </c>
      <c r="B851" s="522" t="s">
        <v>710</v>
      </c>
      <c r="C851" s="522" t="s">
        <v>711</v>
      </c>
      <c r="D851" s="522"/>
      <c r="E851" s="571"/>
      <c r="F851" s="571"/>
      <c r="G851" s="571"/>
      <c r="H851" s="571"/>
      <c r="I851" s="571"/>
      <c r="J851" s="571"/>
      <c r="K851" s="571"/>
      <c r="L851" s="571"/>
      <c r="M851" s="571"/>
      <c r="N851" s="571"/>
      <c r="O851" s="571"/>
      <c r="P851" s="571"/>
      <c r="Q851" s="571"/>
      <c r="R851" s="574">
        <v>31845.41</v>
      </c>
      <c r="S851" s="527">
        <f t="shared" si="114"/>
        <v>0</v>
      </c>
      <c r="T851" s="528">
        <f t="shared" si="115"/>
        <v>0</v>
      </c>
      <c r="U851" s="527">
        <f t="shared" si="116"/>
        <v>0</v>
      </c>
      <c r="W851" s="326">
        <f t="shared" si="112"/>
        <v>0</v>
      </c>
      <c r="X851" s="261">
        <f t="shared" si="117"/>
        <v>-31845.41</v>
      </c>
      <c r="Z851" s="1016">
        <f t="shared" si="113"/>
        <v>0</v>
      </c>
    </row>
    <row r="852" spans="1:26" ht="12" hidden="1" thickBot="1">
      <c r="A852" s="522" t="s">
        <v>1363</v>
      </c>
      <c r="B852" s="522" t="s">
        <v>1048</v>
      </c>
      <c r="C852" s="522" t="s">
        <v>1049</v>
      </c>
      <c r="D852" s="538"/>
      <c r="E852" s="567"/>
      <c r="F852" s="567"/>
      <c r="G852" s="567"/>
      <c r="H852" s="567"/>
      <c r="I852" s="567"/>
      <c r="J852" s="567"/>
      <c r="K852" s="567"/>
      <c r="L852" s="567"/>
      <c r="M852" s="567"/>
      <c r="N852" s="567"/>
      <c r="O852" s="567"/>
      <c r="P852" s="567"/>
      <c r="Q852" s="567"/>
      <c r="R852" s="576">
        <v>0</v>
      </c>
      <c r="S852" s="527">
        <f t="shared" si="114"/>
        <v>0</v>
      </c>
      <c r="T852" s="528">
        <f t="shared" si="115"/>
        <v>0</v>
      </c>
      <c r="U852" s="527">
        <f t="shared" si="116"/>
        <v>0</v>
      </c>
      <c r="W852" s="326">
        <f t="shared" si="112"/>
        <v>0</v>
      </c>
      <c r="X852" s="261">
        <f t="shared" si="117"/>
        <v>0</v>
      </c>
      <c r="Z852" s="1016">
        <f t="shared" si="113"/>
        <v>0</v>
      </c>
    </row>
    <row r="853" spans="1:26" ht="12" hidden="1" thickBot="1">
      <c r="A853" s="522" t="s">
        <v>1363</v>
      </c>
      <c r="B853" s="522" t="s">
        <v>1366</v>
      </c>
      <c r="C853" s="522" t="s">
        <v>1367</v>
      </c>
      <c r="D853" s="522" t="s">
        <v>224</v>
      </c>
      <c r="E853" s="570">
        <v>0</v>
      </c>
      <c r="F853" s="574">
        <v>0</v>
      </c>
      <c r="G853" s="574">
        <v>0</v>
      </c>
      <c r="H853" s="574">
        <v>0</v>
      </c>
      <c r="I853" s="571"/>
      <c r="J853" s="571"/>
      <c r="K853" s="571"/>
      <c r="L853" s="571"/>
      <c r="M853" s="571"/>
      <c r="N853" s="571"/>
      <c r="O853" s="571"/>
      <c r="P853" s="571"/>
      <c r="Q853" s="571"/>
      <c r="R853" s="574">
        <v>0</v>
      </c>
      <c r="S853" s="527">
        <f t="shared" si="114"/>
        <v>0</v>
      </c>
      <c r="T853" s="528">
        <f t="shared" si="115"/>
        <v>0</v>
      </c>
      <c r="U853" s="527">
        <f t="shared" si="116"/>
        <v>0</v>
      </c>
      <c r="W853" s="326">
        <f t="shared" si="112"/>
        <v>0</v>
      </c>
      <c r="X853" s="261">
        <f t="shared" si="117"/>
        <v>0</v>
      </c>
      <c r="Z853" s="1016">
        <f t="shared" si="113"/>
        <v>0</v>
      </c>
    </row>
    <row r="854" spans="1:26" ht="12" hidden="1" thickBot="1">
      <c r="A854" s="522" t="s">
        <v>1363</v>
      </c>
      <c r="B854" s="522" t="s">
        <v>1368</v>
      </c>
      <c r="C854" s="522" t="s">
        <v>1369</v>
      </c>
      <c r="D854" s="522"/>
      <c r="E854" s="566">
        <v>0</v>
      </c>
      <c r="F854" s="567"/>
      <c r="G854" s="576">
        <v>0</v>
      </c>
      <c r="H854" s="567"/>
      <c r="I854" s="567"/>
      <c r="J854" s="567"/>
      <c r="K854" s="567"/>
      <c r="L854" s="567"/>
      <c r="M854" s="576">
        <v>0</v>
      </c>
      <c r="N854" s="567"/>
      <c r="O854" s="567"/>
      <c r="P854" s="567"/>
      <c r="Q854" s="576">
        <v>0</v>
      </c>
      <c r="R854" s="576">
        <v>0</v>
      </c>
      <c r="S854" s="527">
        <f t="shared" si="114"/>
        <v>0</v>
      </c>
      <c r="T854" s="528">
        <f t="shared" si="115"/>
        <v>0</v>
      </c>
      <c r="U854" s="527">
        <f t="shared" si="116"/>
        <v>0</v>
      </c>
      <c r="W854" s="326">
        <f t="shared" si="112"/>
        <v>0</v>
      </c>
      <c r="X854" s="261">
        <f t="shared" si="117"/>
        <v>0</v>
      </c>
      <c r="Z854" s="1016">
        <f t="shared" si="113"/>
        <v>0</v>
      </c>
    </row>
    <row r="855" spans="1:26" ht="12" hidden="1" thickBot="1">
      <c r="A855" s="522" t="s">
        <v>1363</v>
      </c>
      <c r="B855" s="543" t="s">
        <v>9</v>
      </c>
      <c r="C855" s="544"/>
      <c r="D855" s="544"/>
      <c r="E855" s="578">
        <v>1654918456</v>
      </c>
      <c r="F855" s="579">
        <v>7208354.3200000003</v>
      </c>
      <c r="G855" s="579">
        <v>42955999.460000001</v>
      </c>
      <c r="H855" s="579">
        <v>43379418.619999997</v>
      </c>
      <c r="I855" s="579">
        <v>2127153.35</v>
      </c>
      <c r="J855" s="579">
        <v>1865221.89</v>
      </c>
      <c r="K855" s="579">
        <v>25320054.66</v>
      </c>
      <c r="L855" s="579">
        <v>2631136.06</v>
      </c>
      <c r="M855" s="579">
        <v>7858154.96</v>
      </c>
      <c r="N855" s="579">
        <v>1356056.7</v>
      </c>
      <c r="O855" s="579">
        <v>2185812.2200000002</v>
      </c>
      <c r="P855" s="579">
        <v>-1091476.22</v>
      </c>
      <c r="Q855" s="579">
        <v>0</v>
      </c>
      <c r="R855" s="579">
        <v>136369801.62</v>
      </c>
      <c r="S855" s="527">
        <f t="shared" si="114"/>
        <v>88462571.429999992</v>
      </c>
      <c r="T855" s="528">
        <f t="shared" si="115"/>
        <v>27185276.550000001</v>
      </c>
      <c r="U855" s="527">
        <f t="shared" si="116"/>
        <v>3541868.92</v>
      </c>
      <c r="W855" s="326">
        <f t="shared" si="112"/>
        <v>135795886.01999998</v>
      </c>
      <c r="X855" s="261">
        <f t="shared" si="117"/>
        <v>-573915.60000002384</v>
      </c>
      <c r="Z855" s="1016">
        <f t="shared" si="113"/>
        <v>122856202.3</v>
      </c>
    </row>
    <row r="856" spans="1:26" s="836" customFormat="1" ht="12.75" hidden="1" thickBot="1">
      <c r="A856" s="522" t="s">
        <v>1424</v>
      </c>
      <c r="B856" s="522" t="s">
        <v>440</v>
      </c>
      <c r="C856" s="522" t="s">
        <v>460</v>
      </c>
      <c r="D856" s="522"/>
      <c r="E856" s="524">
        <v>4703</v>
      </c>
      <c r="F856" s="525">
        <v>25.5</v>
      </c>
      <c r="G856" s="525">
        <v>320.04000000000002</v>
      </c>
      <c r="H856" s="526"/>
      <c r="I856" s="526"/>
      <c r="J856" s="526"/>
      <c r="K856" s="526"/>
      <c r="L856" s="526"/>
      <c r="M856" s="526"/>
      <c r="N856" s="526"/>
      <c r="O856" s="526"/>
      <c r="P856" s="526"/>
      <c r="Q856" s="526"/>
      <c r="R856" s="525">
        <v>345.54</v>
      </c>
      <c r="S856" s="527">
        <f t="shared" ref="S856:S919" si="118">G856+H856+I856</f>
        <v>320.04000000000002</v>
      </c>
      <c r="T856" s="528">
        <f t="shared" ref="T856:T919" si="119">J856+K856</f>
        <v>0</v>
      </c>
      <c r="U856" s="527">
        <f t="shared" ref="U856:U919" si="120">N856+O856</f>
        <v>0</v>
      </c>
      <c r="V856" s="529"/>
      <c r="W856" s="326">
        <f t="shared" ref="W856:W919" si="121">SUM(F856:Q856)</f>
        <v>345.54</v>
      </c>
      <c r="X856" s="261">
        <f t="shared" ref="X856:X919" si="122">W856-R856</f>
        <v>0</v>
      </c>
      <c r="Z856" s="1016">
        <f t="shared" si="113"/>
        <v>345.54</v>
      </c>
    </row>
    <row r="857" spans="1:26" s="836" customFormat="1" ht="12.75" hidden="1" thickBot="1">
      <c r="A857" s="522" t="s">
        <v>1424</v>
      </c>
      <c r="B857" s="522" t="s">
        <v>441</v>
      </c>
      <c r="C857" s="522" t="s">
        <v>461</v>
      </c>
      <c r="D857" s="522"/>
      <c r="E857" s="530">
        <v>892</v>
      </c>
      <c r="F857" s="531">
        <v>8.5</v>
      </c>
      <c r="G857" s="531">
        <v>60.7</v>
      </c>
      <c r="H857" s="532"/>
      <c r="I857" s="532"/>
      <c r="J857" s="532"/>
      <c r="K857" s="532"/>
      <c r="L857" s="532"/>
      <c r="M857" s="532"/>
      <c r="N857" s="532"/>
      <c r="O857" s="532"/>
      <c r="P857" s="532"/>
      <c r="Q857" s="532"/>
      <c r="R857" s="531">
        <v>69.2</v>
      </c>
      <c r="S857" s="527">
        <f t="shared" si="118"/>
        <v>60.7</v>
      </c>
      <c r="T857" s="528">
        <f t="shared" si="119"/>
        <v>0</v>
      </c>
      <c r="U857" s="527">
        <f t="shared" si="120"/>
        <v>0</v>
      </c>
      <c r="V857" s="529"/>
      <c r="W857" s="326">
        <f t="shared" si="121"/>
        <v>69.2</v>
      </c>
      <c r="X857" s="261">
        <f t="shared" si="122"/>
        <v>0</v>
      </c>
      <c r="Z857" s="1016">
        <f t="shared" si="113"/>
        <v>69.2</v>
      </c>
    </row>
    <row r="858" spans="1:26" s="836" customFormat="1" ht="12.75" hidden="1" thickBot="1">
      <c r="A858" s="522" t="s">
        <v>1424</v>
      </c>
      <c r="B858" s="522" t="s">
        <v>449</v>
      </c>
      <c r="C858" s="522" t="s">
        <v>448</v>
      </c>
      <c r="D858" s="522"/>
      <c r="E858" s="524">
        <v>108</v>
      </c>
      <c r="F858" s="526"/>
      <c r="G858" s="525">
        <v>19.04</v>
      </c>
      <c r="H858" s="526"/>
      <c r="I858" s="526"/>
      <c r="J858" s="526"/>
      <c r="K858" s="526"/>
      <c r="L858" s="526"/>
      <c r="M858" s="526"/>
      <c r="N858" s="526"/>
      <c r="O858" s="526"/>
      <c r="P858" s="526"/>
      <c r="Q858" s="526"/>
      <c r="R858" s="525">
        <v>19.04</v>
      </c>
      <c r="S858" s="527">
        <f t="shared" si="118"/>
        <v>19.04</v>
      </c>
      <c r="T858" s="528">
        <f t="shared" si="119"/>
        <v>0</v>
      </c>
      <c r="U858" s="527">
        <f t="shared" si="120"/>
        <v>0</v>
      </c>
      <c r="V858" s="529"/>
      <c r="W858" s="326">
        <f t="shared" si="121"/>
        <v>19.04</v>
      </c>
      <c r="X858" s="261">
        <f t="shared" si="122"/>
        <v>0</v>
      </c>
      <c r="Z858" s="1016">
        <f t="shared" si="113"/>
        <v>19.04</v>
      </c>
    </row>
    <row r="859" spans="1:26" s="836" customFormat="1" ht="12.75" hidden="1" thickBot="1">
      <c r="A859" s="522" t="s">
        <v>1424</v>
      </c>
      <c r="B859" s="522" t="s">
        <v>447</v>
      </c>
      <c r="C859" s="522" t="s">
        <v>446</v>
      </c>
      <c r="D859" s="522"/>
      <c r="E859" s="530">
        <v>31</v>
      </c>
      <c r="F859" s="532"/>
      <c r="G859" s="531">
        <v>6.9</v>
      </c>
      <c r="H859" s="532"/>
      <c r="I859" s="532"/>
      <c r="J859" s="532"/>
      <c r="K859" s="532"/>
      <c r="L859" s="532"/>
      <c r="M859" s="532"/>
      <c r="N859" s="532"/>
      <c r="O859" s="532"/>
      <c r="P859" s="532"/>
      <c r="Q859" s="532"/>
      <c r="R859" s="531">
        <v>6.9</v>
      </c>
      <c r="S859" s="527">
        <f t="shared" si="118"/>
        <v>6.9</v>
      </c>
      <c r="T859" s="528">
        <f t="shared" si="119"/>
        <v>0</v>
      </c>
      <c r="U859" s="527">
        <f t="shared" si="120"/>
        <v>0</v>
      </c>
      <c r="V859" s="529"/>
      <c r="W859" s="326">
        <f t="shared" si="121"/>
        <v>6.9</v>
      </c>
      <c r="X859" s="261">
        <f t="shared" si="122"/>
        <v>0</v>
      </c>
      <c r="Z859" s="1016">
        <f t="shared" si="113"/>
        <v>6.9</v>
      </c>
    </row>
    <row r="860" spans="1:26" s="836" customFormat="1" ht="12.75" hidden="1" thickBot="1">
      <c r="A860" s="522" t="s">
        <v>1424</v>
      </c>
      <c r="B860" s="522" t="s">
        <v>942</v>
      </c>
      <c r="C860" s="522" t="s">
        <v>943</v>
      </c>
      <c r="D860" s="522"/>
      <c r="E860" s="526"/>
      <c r="F860" s="526"/>
      <c r="G860" s="526"/>
      <c r="H860" s="526"/>
      <c r="I860" s="526"/>
      <c r="J860" s="526"/>
      <c r="K860" s="526"/>
      <c r="L860" s="526"/>
      <c r="M860" s="526"/>
      <c r="N860" s="526"/>
      <c r="O860" s="526"/>
      <c r="P860" s="526"/>
      <c r="Q860" s="526"/>
      <c r="R860" s="526"/>
      <c r="S860" s="527">
        <f t="shared" si="118"/>
        <v>0</v>
      </c>
      <c r="T860" s="528">
        <f t="shared" si="119"/>
        <v>0</v>
      </c>
      <c r="U860" s="527">
        <f t="shared" si="120"/>
        <v>0</v>
      </c>
      <c r="V860" s="529"/>
      <c r="W860" s="326">
        <f t="shared" si="121"/>
        <v>0</v>
      </c>
      <c r="X860" s="261">
        <f t="shared" si="122"/>
        <v>0</v>
      </c>
      <c r="Z860" s="1016">
        <f t="shared" si="113"/>
        <v>0</v>
      </c>
    </row>
    <row r="861" spans="1:26" s="836" customFormat="1" ht="12.75" hidden="1" thickBot="1">
      <c r="A861" s="522" t="s">
        <v>1424</v>
      </c>
      <c r="B861" s="522" t="s">
        <v>168</v>
      </c>
      <c r="C861" s="522" t="s">
        <v>58</v>
      </c>
      <c r="D861" s="523" t="s">
        <v>19</v>
      </c>
      <c r="E861" s="530">
        <v>123501495</v>
      </c>
      <c r="F861" s="531">
        <v>24750</v>
      </c>
      <c r="G861" s="531">
        <v>916381.09</v>
      </c>
      <c r="H861" s="531">
        <v>3571663.24</v>
      </c>
      <c r="I861" s="532"/>
      <c r="J861" s="531">
        <v>215759.33</v>
      </c>
      <c r="K861" s="531">
        <v>2216287.7599999998</v>
      </c>
      <c r="L861" s="531">
        <v>0</v>
      </c>
      <c r="M861" s="531">
        <v>316216.61</v>
      </c>
      <c r="N861" s="531">
        <v>0</v>
      </c>
      <c r="O861" s="531">
        <v>195290.03</v>
      </c>
      <c r="P861" s="532"/>
      <c r="Q861" s="532"/>
      <c r="R861" s="531">
        <v>7456348.0599999996</v>
      </c>
      <c r="S861" s="527">
        <f t="shared" si="118"/>
        <v>4488044.33</v>
      </c>
      <c r="T861" s="528">
        <f t="shared" si="119"/>
        <v>2432047.09</v>
      </c>
      <c r="U861" s="527">
        <f t="shared" si="120"/>
        <v>195290.03</v>
      </c>
      <c r="V861" s="529"/>
      <c r="W861" s="326">
        <f t="shared" si="121"/>
        <v>7456348.0600000005</v>
      </c>
      <c r="X861" s="261">
        <f t="shared" si="122"/>
        <v>0</v>
      </c>
      <c r="Z861" s="1016">
        <f t="shared" si="113"/>
        <v>6944841.4199999999</v>
      </c>
    </row>
    <row r="862" spans="1:26" s="836" customFormat="1" ht="12.75" hidden="1" thickBot="1">
      <c r="A862" s="522" t="s">
        <v>1424</v>
      </c>
      <c r="B862" s="522" t="s">
        <v>169</v>
      </c>
      <c r="C862" s="522" t="s">
        <v>196</v>
      </c>
      <c r="D862" s="523" t="s">
        <v>26</v>
      </c>
      <c r="E862" s="524">
        <v>5416412</v>
      </c>
      <c r="F862" s="525">
        <v>28900</v>
      </c>
      <c r="G862" s="525">
        <v>36289.97</v>
      </c>
      <c r="H862" s="525">
        <v>156642.63</v>
      </c>
      <c r="I862" s="526"/>
      <c r="J862" s="525">
        <v>18535.88</v>
      </c>
      <c r="K862" s="525">
        <v>243713.19</v>
      </c>
      <c r="L862" s="525">
        <v>6539.85</v>
      </c>
      <c r="M862" s="525">
        <v>14009.55</v>
      </c>
      <c r="N862" s="525">
        <v>0</v>
      </c>
      <c r="O862" s="525">
        <v>19285.73</v>
      </c>
      <c r="P862" s="526"/>
      <c r="Q862" s="526"/>
      <c r="R862" s="525">
        <v>523916.79999999999</v>
      </c>
      <c r="S862" s="527">
        <f t="shared" si="118"/>
        <v>192932.6</v>
      </c>
      <c r="T862" s="528">
        <f t="shared" si="119"/>
        <v>262249.07</v>
      </c>
      <c r="U862" s="527">
        <f t="shared" si="120"/>
        <v>19285.73</v>
      </c>
      <c r="V862" s="529"/>
      <c r="W862" s="326">
        <f t="shared" si="121"/>
        <v>523916.79999999999</v>
      </c>
      <c r="X862" s="261">
        <f t="shared" si="122"/>
        <v>0</v>
      </c>
      <c r="Z862" s="1016">
        <f t="shared" si="113"/>
        <v>484081.67000000004</v>
      </c>
    </row>
    <row r="863" spans="1:26" s="836" customFormat="1" ht="12.75" hidden="1" thickBot="1">
      <c r="A863" s="522" t="s">
        <v>1424</v>
      </c>
      <c r="B863" s="522" t="s">
        <v>170</v>
      </c>
      <c r="C863" s="522" t="s">
        <v>197</v>
      </c>
      <c r="D863" s="523" t="s">
        <v>25</v>
      </c>
      <c r="E863" s="530">
        <v>157324850</v>
      </c>
      <c r="F863" s="531">
        <v>427091.13</v>
      </c>
      <c r="G863" s="531">
        <v>1057222.93</v>
      </c>
      <c r="H863" s="531">
        <v>4549835.18</v>
      </c>
      <c r="I863" s="532"/>
      <c r="J863" s="531">
        <v>484531.55</v>
      </c>
      <c r="K863" s="531">
        <v>6379770.5300000003</v>
      </c>
      <c r="L863" s="531">
        <v>205935.17</v>
      </c>
      <c r="M863" s="531">
        <v>420948.33</v>
      </c>
      <c r="N863" s="531">
        <v>-31.01</v>
      </c>
      <c r="O863" s="531">
        <v>492654.94</v>
      </c>
      <c r="P863" s="532"/>
      <c r="Q863" s="532"/>
      <c r="R863" s="531">
        <v>14017958.75</v>
      </c>
      <c r="S863" s="527">
        <f t="shared" si="118"/>
        <v>5607058.1099999994</v>
      </c>
      <c r="T863" s="528">
        <f t="shared" si="119"/>
        <v>6864302.0800000001</v>
      </c>
      <c r="U863" s="527">
        <f t="shared" si="120"/>
        <v>492623.93</v>
      </c>
      <c r="V863" s="529"/>
      <c r="W863" s="326">
        <f t="shared" si="121"/>
        <v>14017958.75</v>
      </c>
      <c r="X863" s="261">
        <f t="shared" si="122"/>
        <v>0</v>
      </c>
      <c r="Z863" s="1016">
        <f t="shared" si="113"/>
        <v>12898451.32</v>
      </c>
    </row>
    <row r="864" spans="1:26" s="836" customFormat="1" ht="12.75" hidden="1" thickBot="1">
      <c r="A864" s="522" t="s">
        <v>1424</v>
      </c>
      <c r="B864" s="522" t="s">
        <v>171</v>
      </c>
      <c r="C864" s="522" t="s">
        <v>198</v>
      </c>
      <c r="D864" s="542" t="s">
        <v>221</v>
      </c>
      <c r="E864" s="524">
        <v>300636951</v>
      </c>
      <c r="F864" s="525">
        <v>17100</v>
      </c>
      <c r="G864" s="525">
        <v>2624560.62</v>
      </c>
      <c r="H864" s="525">
        <v>8694420.5899999999</v>
      </c>
      <c r="I864" s="526"/>
      <c r="J864" s="525">
        <v>476339.51</v>
      </c>
      <c r="K864" s="525">
        <v>4824063.28</v>
      </c>
      <c r="L864" s="525">
        <v>67588.11</v>
      </c>
      <c r="M864" s="525">
        <v>980794.96</v>
      </c>
      <c r="N864" s="525">
        <v>0</v>
      </c>
      <c r="O864" s="525">
        <v>449790.47</v>
      </c>
      <c r="P864" s="526"/>
      <c r="Q864" s="526"/>
      <c r="R864" s="525">
        <v>18134657.539999999</v>
      </c>
      <c r="S864" s="527">
        <f t="shared" si="118"/>
        <v>11318981.210000001</v>
      </c>
      <c r="T864" s="528">
        <f t="shared" si="119"/>
        <v>5300402.79</v>
      </c>
      <c r="U864" s="527">
        <f t="shared" si="120"/>
        <v>449790.47</v>
      </c>
      <c r="V864" s="529"/>
      <c r="W864" s="326">
        <f t="shared" si="121"/>
        <v>18134657.539999999</v>
      </c>
      <c r="X864" s="261">
        <f t="shared" si="122"/>
        <v>0</v>
      </c>
      <c r="Z864" s="1016">
        <f t="shared" si="113"/>
        <v>16636484</v>
      </c>
    </row>
    <row r="865" spans="1:26" s="836" customFormat="1" ht="12.75" hidden="1" thickBot="1">
      <c r="A865" s="522" t="s">
        <v>1424</v>
      </c>
      <c r="B865" s="522" t="s">
        <v>172</v>
      </c>
      <c r="C865" s="522" t="s">
        <v>199</v>
      </c>
      <c r="D865" s="523" t="s">
        <v>26</v>
      </c>
      <c r="E865" s="530">
        <v>19965688</v>
      </c>
      <c r="F865" s="531">
        <v>11489.57</v>
      </c>
      <c r="G865" s="531">
        <v>133770.1</v>
      </c>
      <c r="H865" s="531">
        <v>577407.72</v>
      </c>
      <c r="I865" s="532"/>
      <c r="J865" s="531">
        <v>49733.120000000003</v>
      </c>
      <c r="K865" s="531">
        <v>654710.98</v>
      </c>
      <c r="L865" s="531">
        <v>16639.88</v>
      </c>
      <c r="M865" s="531">
        <v>54567.24</v>
      </c>
      <c r="N865" s="531">
        <v>0</v>
      </c>
      <c r="O865" s="531">
        <v>49773.24</v>
      </c>
      <c r="P865" s="532"/>
      <c r="Q865" s="532"/>
      <c r="R865" s="531">
        <v>1548091.85</v>
      </c>
      <c r="S865" s="527">
        <f t="shared" si="118"/>
        <v>711177.82</v>
      </c>
      <c r="T865" s="528">
        <f t="shared" si="119"/>
        <v>704444.1</v>
      </c>
      <c r="U865" s="527">
        <f t="shared" si="120"/>
        <v>49773.24</v>
      </c>
      <c r="V865" s="529"/>
      <c r="W865" s="326">
        <f t="shared" si="121"/>
        <v>1548091.8499999999</v>
      </c>
      <c r="X865" s="261">
        <f t="shared" si="122"/>
        <v>0</v>
      </c>
      <c r="Z865" s="1016">
        <f t="shared" si="113"/>
        <v>1427111.49</v>
      </c>
    </row>
    <row r="866" spans="1:26" s="836" customFormat="1" ht="12.75" hidden="1" thickBot="1">
      <c r="A866" s="522" t="s">
        <v>1424</v>
      </c>
      <c r="B866" s="522" t="s">
        <v>173</v>
      </c>
      <c r="C866" s="522" t="s">
        <v>200</v>
      </c>
      <c r="D866" s="535" t="s">
        <v>25</v>
      </c>
      <c r="E866" s="524">
        <v>59633358</v>
      </c>
      <c r="F866" s="525">
        <v>33643.050000000003</v>
      </c>
      <c r="G866" s="525">
        <v>400602.16</v>
      </c>
      <c r="H866" s="525">
        <v>1723547.09</v>
      </c>
      <c r="I866" s="526"/>
      <c r="J866" s="525">
        <v>152793.59</v>
      </c>
      <c r="K866" s="525">
        <v>2047501.07</v>
      </c>
      <c r="L866" s="525">
        <v>50241.26</v>
      </c>
      <c r="M866" s="525">
        <v>158438.25</v>
      </c>
      <c r="N866" s="525">
        <v>0</v>
      </c>
      <c r="O866" s="525">
        <v>154894.49</v>
      </c>
      <c r="P866" s="526"/>
      <c r="Q866" s="526"/>
      <c r="R866" s="525">
        <v>4721660.96</v>
      </c>
      <c r="S866" s="527">
        <f t="shared" si="118"/>
        <v>2124149.25</v>
      </c>
      <c r="T866" s="528">
        <f t="shared" si="119"/>
        <v>2200294.66</v>
      </c>
      <c r="U866" s="527">
        <f t="shared" si="120"/>
        <v>154894.49</v>
      </c>
      <c r="V866" s="529"/>
      <c r="W866" s="326">
        <f t="shared" si="121"/>
        <v>4721660.96</v>
      </c>
      <c r="X866" s="261">
        <f t="shared" si="122"/>
        <v>0</v>
      </c>
      <c r="Z866" s="1016">
        <f t="shared" si="113"/>
        <v>4358086.96</v>
      </c>
    </row>
    <row r="867" spans="1:26" s="836" customFormat="1" ht="12.75" hidden="1" thickBot="1">
      <c r="A867" s="522" t="s">
        <v>1424</v>
      </c>
      <c r="B867" s="522" t="s">
        <v>174</v>
      </c>
      <c r="C867" s="522" t="s">
        <v>201</v>
      </c>
      <c r="D867" s="523" t="s">
        <v>221</v>
      </c>
      <c r="E867" s="530">
        <v>116046769</v>
      </c>
      <c r="F867" s="531">
        <v>50824.29</v>
      </c>
      <c r="G867" s="531">
        <v>1013088.38</v>
      </c>
      <c r="H867" s="531">
        <v>3356072.52</v>
      </c>
      <c r="I867" s="532"/>
      <c r="J867" s="531">
        <v>226884.95</v>
      </c>
      <c r="K867" s="531">
        <v>2308973.41</v>
      </c>
      <c r="L867" s="531">
        <v>45814.1</v>
      </c>
      <c r="M867" s="531">
        <v>316165.44</v>
      </c>
      <c r="N867" s="531">
        <v>0</v>
      </c>
      <c r="O867" s="531">
        <v>208475.07</v>
      </c>
      <c r="P867" s="532"/>
      <c r="Q867" s="532"/>
      <c r="R867" s="531">
        <v>7526298.1600000001</v>
      </c>
      <c r="S867" s="527">
        <f t="shared" si="118"/>
        <v>4369160.9000000004</v>
      </c>
      <c r="T867" s="528">
        <f t="shared" si="119"/>
        <v>2535858.3600000003</v>
      </c>
      <c r="U867" s="527">
        <f t="shared" si="120"/>
        <v>208475.07</v>
      </c>
      <c r="V867" s="529"/>
      <c r="W867" s="326">
        <f t="shared" si="121"/>
        <v>7526298.1600000001</v>
      </c>
      <c r="X867" s="261">
        <f t="shared" si="122"/>
        <v>0</v>
      </c>
      <c r="Z867" s="1016">
        <f t="shared" si="113"/>
        <v>6955843.5499999998</v>
      </c>
    </row>
    <row r="868" spans="1:26" s="836" customFormat="1" ht="12.75" hidden="1" thickBot="1">
      <c r="A868" s="522" t="s">
        <v>1424</v>
      </c>
      <c r="B868" s="522" t="s">
        <v>175</v>
      </c>
      <c r="C868" s="522" t="s">
        <v>202</v>
      </c>
      <c r="D868" s="523" t="s">
        <v>220</v>
      </c>
      <c r="E868" s="524">
        <v>124772908</v>
      </c>
      <c r="F868" s="525">
        <v>95953.54</v>
      </c>
      <c r="G868" s="525">
        <v>1099249.51</v>
      </c>
      <c r="H868" s="525">
        <v>3608432.5</v>
      </c>
      <c r="I868" s="526"/>
      <c r="J868" s="525">
        <v>287432.11</v>
      </c>
      <c r="K868" s="525">
        <v>2942959.82</v>
      </c>
      <c r="L868" s="525">
        <v>98252.91</v>
      </c>
      <c r="M868" s="525">
        <v>343332.3</v>
      </c>
      <c r="N868" s="525">
        <v>0</v>
      </c>
      <c r="O868" s="525">
        <v>259219.87</v>
      </c>
      <c r="P868" s="526"/>
      <c r="Q868" s="526"/>
      <c r="R868" s="525">
        <v>8734832.5600000005</v>
      </c>
      <c r="S868" s="527">
        <f t="shared" si="118"/>
        <v>4707682.01</v>
      </c>
      <c r="T868" s="528">
        <f t="shared" si="119"/>
        <v>3230391.9299999997</v>
      </c>
      <c r="U868" s="527">
        <f t="shared" si="120"/>
        <v>259219.87</v>
      </c>
      <c r="V868" s="529"/>
      <c r="W868" s="326">
        <f t="shared" si="121"/>
        <v>8734832.5600000005</v>
      </c>
      <c r="X868" s="261">
        <f t="shared" si="122"/>
        <v>0</v>
      </c>
      <c r="Z868" s="1016">
        <f t="shared" si="113"/>
        <v>8034027.4800000004</v>
      </c>
    </row>
    <row r="869" spans="1:26" s="836" customFormat="1" ht="12.75" hidden="1" thickBot="1">
      <c r="A869" s="522" t="s">
        <v>1424</v>
      </c>
      <c r="B869" s="522" t="s">
        <v>176</v>
      </c>
      <c r="C869" s="522" t="s">
        <v>203</v>
      </c>
      <c r="D869" s="522" t="s">
        <v>25</v>
      </c>
      <c r="E869" s="530">
        <v>33680</v>
      </c>
      <c r="F869" s="531">
        <v>90</v>
      </c>
      <c r="G869" s="531">
        <v>226.33</v>
      </c>
      <c r="H869" s="531">
        <v>974.03</v>
      </c>
      <c r="I869" s="532"/>
      <c r="J869" s="531">
        <v>108</v>
      </c>
      <c r="K869" s="531">
        <v>1422</v>
      </c>
      <c r="L869" s="531">
        <v>46.14</v>
      </c>
      <c r="M869" s="531">
        <v>86.22</v>
      </c>
      <c r="N869" s="531">
        <v>0</v>
      </c>
      <c r="O869" s="531">
        <v>109.57</v>
      </c>
      <c r="P869" s="532"/>
      <c r="Q869" s="532"/>
      <c r="R869" s="531">
        <v>3062.29</v>
      </c>
      <c r="S869" s="527">
        <f t="shared" si="118"/>
        <v>1200.3599999999999</v>
      </c>
      <c r="T869" s="528">
        <f t="shared" si="119"/>
        <v>1530</v>
      </c>
      <c r="U869" s="527">
        <f t="shared" si="120"/>
        <v>109.57</v>
      </c>
      <c r="V869" s="529"/>
      <c r="W869" s="326">
        <f t="shared" si="121"/>
        <v>3062.29</v>
      </c>
      <c r="X869" s="261">
        <f t="shared" si="122"/>
        <v>0</v>
      </c>
      <c r="Z869" s="1016">
        <f t="shared" si="113"/>
        <v>2820.36</v>
      </c>
    </row>
    <row r="870" spans="1:26" s="836" customFormat="1" ht="12.75" hidden="1" thickBot="1">
      <c r="A870" s="522" t="s">
        <v>1424</v>
      </c>
      <c r="B870" s="522" t="s">
        <v>944</v>
      </c>
      <c r="C870" s="522" t="s">
        <v>943</v>
      </c>
      <c r="D870" s="522"/>
      <c r="E870" s="526"/>
      <c r="F870" s="526"/>
      <c r="G870" s="526"/>
      <c r="H870" s="526"/>
      <c r="I870" s="526"/>
      <c r="J870" s="526"/>
      <c r="K870" s="526"/>
      <c r="L870" s="526"/>
      <c r="M870" s="526"/>
      <c r="N870" s="526"/>
      <c r="O870" s="526"/>
      <c r="P870" s="526"/>
      <c r="Q870" s="526"/>
      <c r="R870" s="526"/>
      <c r="S870" s="527">
        <f t="shared" si="118"/>
        <v>0</v>
      </c>
      <c r="T870" s="528">
        <f t="shared" si="119"/>
        <v>0</v>
      </c>
      <c r="U870" s="527">
        <f t="shared" si="120"/>
        <v>0</v>
      </c>
      <c r="V870" s="529"/>
      <c r="W870" s="326">
        <f t="shared" si="121"/>
        <v>0</v>
      </c>
      <c r="X870" s="261">
        <f t="shared" si="122"/>
        <v>0</v>
      </c>
      <c r="Z870" s="1016">
        <f t="shared" si="113"/>
        <v>0</v>
      </c>
    </row>
    <row r="871" spans="1:26" s="836" customFormat="1" ht="12.75" hidden="1" thickBot="1">
      <c r="A871" s="522" t="s">
        <v>1424</v>
      </c>
      <c r="B871" s="522" t="s">
        <v>177</v>
      </c>
      <c r="C871" s="522" t="s">
        <v>494</v>
      </c>
      <c r="D871" s="522" t="s">
        <v>224</v>
      </c>
      <c r="E871" s="530">
        <v>66109772</v>
      </c>
      <c r="F871" s="531">
        <v>1292009.06</v>
      </c>
      <c r="G871" s="531">
        <v>3875363.79</v>
      </c>
      <c r="H871" s="531">
        <v>1911898.91</v>
      </c>
      <c r="I871" s="531">
        <v>311388.59999999998</v>
      </c>
      <c r="J871" s="532"/>
      <c r="K871" s="532"/>
      <c r="L871" s="531">
        <v>195287.45</v>
      </c>
      <c r="M871" s="531">
        <v>175473.96</v>
      </c>
      <c r="N871" s="531">
        <v>-1.23</v>
      </c>
      <c r="O871" s="531">
        <v>326957.95</v>
      </c>
      <c r="P871" s="532"/>
      <c r="Q871" s="532"/>
      <c r="R871" s="531">
        <v>8088378.4900000002</v>
      </c>
      <c r="S871" s="527">
        <f t="shared" si="118"/>
        <v>6098651.2999999998</v>
      </c>
      <c r="T871" s="528">
        <f t="shared" si="119"/>
        <v>0</v>
      </c>
      <c r="U871" s="527">
        <f t="shared" si="120"/>
        <v>326956.72000000003</v>
      </c>
      <c r="V871" s="529"/>
      <c r="W871" s="326">
        <f t="shared" si="121"/>
        <v>8088378.4899999993</v>
      </c>
      <c r="X871" s="261">
        <f t="shared" si="122"/>
        <v>0</v>
      </c>
      <c r="Z871" s="1016">
        <f t="shared" si="113"/>
        <v>7390660.3599999994</v>
      </c>
    </row>
    <row r="872" spans="1:26" s="836" customFormat="1" ht="12.75" hidden="1" thickBot="1">
      <c r="A872" s="522" t="s">
        <v>1424</v>
      </c>
      <c r="B872" s="522" t="s">
        <v>178</v>
      </c>
      <c r="C872" s="522" t="s">
        <v>1352</v>
      </c>
      <c r="D872" s="522" t="s">
        <v>224</v>
      </c>
      <c r="E872" s="524">
        <v>10885</v>
      </c>
      <c r="F872" s="525">
        <v>1240</v>
      </c>
      <c r="G872" s="525">
        <v>638.09</v>
      </c>
      <c r="H872" s="525">
        <v>314.8</v>
      </c>
      <c r="I872" s="525">
        <v>51.28</v>
      </c>
      <c r="J872" s="526"/>
      <c r="K872" s="526"/>
      <c r="L872" s="525">
        <v>32.69</v>
      </c>
      <c r="M872" s="525">
        <v>32</v>
      </c>
      <c r="N872" s="525">
        <v>0</v>
      </c>
      <c r="O872" s="525">
        <v>112.1</v>
      </c>
      <c r="P872" s="526"/>
      <c r="Q872" s="526"/>
      <c r="R872" s="525">
        <v>2420.96</v>
      </c>
      <c r="S872" s="527">
        <f t="shared" si="118"/>
        <v>1004.1700000000001</v>
      </c>
      <c r="T872" s="528">
        <f t="shared" si="119"/>
        <v>0</v>
      </c>
      <c r="U872" s="527">
        <f t="shared" si="120"/>
        <v>112.1</v>
      </c>
      <c r="V872" s="529"/>
      <c r="W872" s="326">
        <f t="shared" si="121"/>
        <v>2420.9600000000005</v>
      </c>
      <c r="X872" s="261">
        <f t="shared" si="122"/>
        <v>0</v>
      </c>
      <c r="Z872" s="1016">
        <f t="shared" si="113"/>
        <v>2244.1700000000005</v>
      </c>
    </row>
    <row r="873" spans="1:26" s="836" customFormat="1" ht="12.75" hidden="1" thickBot="1">
      <c r="A873" s="522" t="s">
        <v>1424</v>
      </c>
      <c r="B873" s="522" t="s">
        <v>179</v>
      </c>
      <c r="C873" s="522" t="s">
        <v>64</v>
      </c>
      <c r="D873" s="523" t="s">
        <v>18</v>
      </c>
      <c r="E873" s="530">
        <v>99447216</v>
      </c>
      <c r="F873" s="531">
        <v>647593.03</v>
      </c>
      <c r="G873" s="531">
        <v>5829599.2800000003</v>
      </c>
      <c r="H873" s="531">
        <v>2876013.6</v>
      </c>
      <c r="I873" s="531">
        <v>468396.7</v>
      </c>
      <c r="J873" s="532"/>
      <c r="K873" s="532"/>
      <c r="L873" s="531">
        <v>279289.58</v>
      </c>
      <c r="M873" s="531">
        <v>262983.51</v>
      </c>
      <c r="N873" s="531">
        <v>0</v>
      </c>
      <c r="O873" s="531">
        <v>416795.63</v>
      </c>
      <c r="P873" s="532"/>
      <c r="Q873" s="532"/>
      <c r="R873" s="531">
        <v>10780671.33</v>
      </c>
      <c r="S873" s="527">
        <f t="shared" si="118"/>
        <v>9174009.5800000001</v>
      </c>
      <c r="T873" s="528">
        <f t="shared" si="119"/>
        <v>0</v>
      </c>
      <c r="U873" s="527">
        <f t="shared" si="120"/>
        <v>416795.63</v>
      </c>
      <c r="V873" s="529"/>
      <c r="W873" s="326">
        <f t="shared" si="121"/>
        <v>10780671.33</v>
      </c>
      <c r="X873" s="261">
        <f t="shared" si="122"/>
        <v>0</v>
      </c>
      <c r="Z873" s="1016">
        <f t="shared" si="113"/>
        <v>9821602.6099999994</v>
      </c>
    </row>
    <row r="874" spans="1:26" s="836" customFormat="1" ht="12.75" hidden="1" thickBot="1">
      <c r="A874" s="522" t="s">
        <v>1424</v>
      </c>
      <c r="B874" s="522" t="s">
        <v>180</v>
      </c>
      <c r="C874" s="522" t="s">
        <v>204</v>
      </c>
      <c r="D874" s="536" t="s">
        <v>219</v>
      </c>
      <c r="E874" s="524">
        <v>370960</v>
      </c>
      <c r="F874" s="525">
        <v>6911.13</v>
      </c>
      <c r="G874" s="525">
        <v>15702.79</v>
      </c>
      <c r="H874" s="525">
        <v>10728.19</v>
      </c>
      <c r="I874" s="525">
        <v>1168.46</v>
      </c>
      <c r="J874" s="526"/>
      <c r="K874" s="526"/>
      <c r="L874" s="525">
        <v>456.2</v>
      </c>
      <c r="M874" s="525">
        <v>1133.47</v>
      </c>
      <c r="N874" s="525">
        <v>1177.17</v>
      </c>
      <c r="O874" s="526"/>
      <c r="P874" s="526"/>
      <c r="Q874" s="526"/>
      <c r="R874" s="525">
        <v>37277.410000000003</v>
      </c>
      <c r="S874" s="527">
        <f t="shared" si="118"/>
        <v>27599.440000000002</v>
      </c>
      <c r="T874" s="528">
        <f t="shared" si="119"/>
        <v>0</v>
      </c>
      <c r="U874" s="527">
        <f t="shared" si="120"/>
        <v>1177.17</v>
      </c>
      <c r="V874" s="529"/>
      <c r="W874" s="326">
        <f t="shared" si="121"/>
        <v>37277.409999999996</v>
      </c>
      <c r="X874" s="261">
        <f t="shared" si="122"/>
        <v>0</v>
      </c>
      <c r="Z874" s="1016">
        <f t="shared" si="113"/>
        <v>34510.57</v>
      </c>
    </row>
    <row r="875" spans="1:26" s="836" customFormat="1" ht="12.75" hidden="1" thickBot="1">
      <c r="A875" s="522" t="s">
        <v>1424</v>
      </c>
      <c r="B875" s="522" t="s">
        <v>181</v>
      </c>
      <c r="C875" s="522" t="s">
        <v>205</v>
      </c>
      <c r="D875" s="536" t="s">
        <v>219</v>
      </c>
      <c r="E875" s="530">
        <v>360</v>
      </c>
      <c r="F875" s="531">
        <v>160</v>
      </c>
      <c r="G875" s="531">
        <v>15.22</v>
      </c>
      <c r="H875" s="531">
        <v>10.42</v>
      </c>
      <c r="I875" s="531">
        <v>1.1399999999999999</v>
      </c>
      <c r="J875" s="532"/>
      <c r="K875" s="532"/>
      <c r="L875" s="531">
        <v>0.44</v>
      </c>
      <c r="M875" s="531">
        <v>1.35</v>
      </c>
      <c r="N875" s="531">
        <v>6.11</v>
      </c>
      <c r="O875" s="532"/>
      <c r="P875" s="532"/>
      <c r="Q875" s="532"/>
      <c r="R875" s="531">
        <v>194.68</v>
      </c>
      <c r="S875" s="527">
        <f t="shared" si="118"/>
        <v>26.78</v>
      </c>
      <c r="T875" s="528">
        <f t="shared" si="119"/>
        <v>0</v>
      </c>
      <c r="U875" s="527">
        <f t="shared" si="120"/>
        <v>6.11</v>
      </c>
      <c r="V875" s="529"/>
      <c r="W875" s="326">
        <f t="shared" si="121"/>
        <v>194.67999999999998</v>
      </c>
      <c r="X875" s="261">
        <f t="shared" si="122"/>
        <v>0</v>
      </c>
      <c r="Z875" s="1016">
        <f t="shared" si="113"/>
        <v>186.77999999999997</v>
      </c>
    </row>
    <row r="876" spans="1:26" s="836" customFormat="1" ht="12.75" hidden="1" thickBot="1">
      <c r="A876" s="522" t="s">
        <v>1424</v>
      </c>
      <c r="B876" s="522" t="s">
        <v>182</v>
      </c>
      <c r="C876" s="522" t="s">
        <v>206</v>
      </c>
      <c r="D876" s="533" t="s">
        <v>228</v>
      </c>
      <c r="E876" s="524">
        <v>293238</v>
      </c>
      <c r="F876" s="525">
        <v>2380</v>
      </c>
      <c r="G876" s="525">
        <v>12412.84</v>
      </c>
      <c r="H876" s="525">
        <v>8480.41</v>
      </c>
      <c r="I876" s="525">
        <v>923.67</v>
      </c>
      <c r="J876" s="526"/>
      <c r="K876" s="526"/>
      <c r="L876" s="525">
        <v>360.68</v>
      </c>
      <c r="M876" s="525">
        <v>791.92</v>
      </c>
      <c r="N876" s="525">
        <v>838.51</v>
      </c>
      <c r="O876" s="526"/>
      <c r="P876" s="526"/>
      <c r="Q876" s="526"/>
      <c r="R876" s="525">
        <v>26188.03</v>
      </c>
      <c r="S876" s="527">
        <f t="shared" si="118"/>
        <v>21816.92</v>
      </c>
      <c r="T876" s="528">
        <f t="shared" si="119"/>
        <v>0</v>
      </c>
      <c r="U876" s="527">
        <f t="shared" si="120"/>
        <v>838.51</v>
      </c>
      <c r="V876" s="529"/>
      <c r="W876" s="326">
        <f t="shared" si="121"/>
        <v>26188.029999999995</v>
      </c>
      <c r="X876" s="261">
        <f t="shared" si="122"/>
        <v>0</v>
      </c>
      <c r="Z876" s="1016">
        <f t="shared" si="113"/>
        <v>24196.92</v>
      </c>
    </row>
    <row r="877" spans="1:26" s="836" customFormat="1" ht="12.75" hidden="1" thickBot="1">
      <c r="A877" s="522" t="s">
        <v>1424</v>
      </c>
      <c r="B877" s="522" t="s">
        <v>183</v>
      </c>
      <c r="C877" s="522" t="s">
        <v>207</v>
      </c>
      <c r="D877" s="535" t="s">
        <v>228</v>
      </c>
      <c r="E877" s="530">
        <v>219600</v>
      </c>
      <c r="F877" s="531">
        <v>140</v>
      </c>
      <c r="G877" s="531">
        <v>9295.67</v>
      </c>
      <c r="H877" s="531">
        <v>6350.83</v>
      </c>
      <c r="I877" s="531">
        <v>691.74</v>
      </c>
      <c r="J877" s="532"/>
      <c r="K877" s="532"/>
      <c r="L877" s="531">
        <v>270.11</v>
      </c>
      <c r="M877" s="531">
        <v>766.06</v>
      </c>
      <c r="N877" s="531">
        <v>559.94000000000005</v>
      </c>
      <c r="O877" s="532"/>
      <c r="P877" s="532"/>
      <c r="Q877" s="532"/>
      <c r="R877" s="531">
        <v>18074.349999999999</v>
      </c>
      <c r="S877" s="527">
        <f t="shared" si="118"/>
        <v>16338.24</v>
      </c>
      <c r="T877" s="528">
        <f t="shared" si="119"/>
        <v>0</v>
      </c>
      <c r="U877" s="527">
        <f t="shared" si="120"/>
        <v>559.94000000000005</v>
      </c>
      <c r="V877" s="529"/>
      <c r="W877" s="326">
        <f t="shared" si="121"/>
        <v>18074.350000000002</v>
      </c>
      <c r="X877" s="261">
        <f t="shared" si="122"/>
        <v>0</v>
      </c>
      <c r="Z877" s="1016">
        <f t="shared" si="113"/>
        <v>16478.240000000002</v>
      </c>
    </row>
    <row r="878" spans="1:26" s="836" customFormat="1" ht="12.75" hidden="1" thickBot="1">
      <c r="A878" s="522" t="s">
        <v>1424</v>
      </c>
      <c r="B878" s="522" t="s">
        <v>720</v>
      </c>
      <c r="C878" s="522" t="s">
        <v>723</v>
      </c>
      <c r="D878" s="535" t="s">
        <v>228</v>
      </c>
      <c r="E878" s="524">
        <v>1853513</v>
      </c>
      <c r="F878" s="525">
        <v>3465</v>
      </c>
      <c r="G878" s="525">
        <v>78459.149999999994</v>
      </c>
      <c r="H878" s="525">
        <v>53603.64</v>
      </c>
      <c r="I878" s="525">
        <v>5838.58</v>
      </c>
      <c r="J878" s="526"/>
      <c r="K878" s="526"/>
      <c r="L878" s="525">
        <v>2279.84</v>
      </c>
      <c r="M878" s="525">
        <v>5609.99</v>
      </c>
      <c r="N878" s="525">
        <v>4869.6099999999997</v>
      </c>
      <c r="O878" s="526"/>
      <c r="P878" s="526"/>
      <c r="Q878" s="526"/>
      <c r="R878" s="525">
        <v>154125.81</v>
      </c>
      <c r="S878" s="527">
        <f t="shared" si="118"/>
        <v>137901.36999999997</v>
      </c>
      <c r="T878" s="528">
        <f t="shared" si="119"/>
        <v>0</v>
      </c>
      <c r="U878" s="527">
        <f t="shared" si="120"/>
        <v>4869.6099999999997</v>
      </c>
      <c r="V878" s="529"/>
      <c r="W878" s="326">
        <f t="shared" si="121"/>
        <v>154125.80999999994</v>
      </c>
      <c r="X878" s="261">
        <f t="shared" si="122"/>
        <v>0</v>
      </c>
      <c r="Z878" s="1016">
        <f t="shared" si="113"/>
        <v>141366.36999999997</v>
      </c>
    </row>
    <row r="879" spans="1:26" s="836" customFormat="1" ht="12.75" hidden="1" thickBot="1">
      <c r="A879" s="522" t="s">
        <v>1424</v>
      </c>
      <c r="B879" s="522" t="s">
        <v>721</v>
      </c>
      <c r="C879" s="522" t="s">
        <v>724</v>
      </c>
      <c r="D879" s="535" t="s">
        <v>219</v>
      </c>
      <c r="E879" s="530">
        <v>39934</v>
      </c>
      <c r="F879" s="531">
        <v>380</v>
      </c>
      <c r="G879" s="531">
        <v>1690.39</v>
      </c>
      <c r="H879" s="531">
        <v>1154.9000000000001</v>
      </c>
      <c r="I879" s="531">
        <v>125.8</v>
      </c>
      <c r="J879" s="532"/>
      <c r="K879" s="532"/>
      <c r="L879" s="531">
        <v>49.12</v>
      </c>
      <c r="M879" s="531">
        <v>132.51</v>
      </c>
      <c r="N879" s="531">
        <v>113.8</v>
      </c>
      <c r="O879" s="532"/>
      <c r="P879" s="532"/>
      <c r="Q879" s="532"/>
      <c r="R879" s="531">
        <v>3646.52</v>
      </c>
      <c r="S879" s="527">
        <f t="shared" si="118"/>
        <v>2971.09</v>
      </c>
      <c r="T879" s="528">
        <f t="shared" si="119"/>
        <v>0</v>
      </c>
      <c r="U879" s="527">
        <f t="shared" si="120"/>
        <v>113.8</v>
      </c>
      <c r="V879" s="529"/>
      <c r="W879" s="326">
        <f t="shared" si="121"/>
        <v>3646.5200000000004</v>
      </c>
      <c r="X879" s="261">
        <f t="shared" si="122"/>
        <v>0</v>
      </c>
      <c r="Z879" s="1016">
        <f t="shared" si="113"/>
        <v>3351.0900000000006</v>
      </c>
    </row>
    <row r="880" spans="1:26" s="836" customFormat="1" ht="12.75" hidden="1" thickBot="1">
      <c r="A880" s="522" t="s">
        <v>1424</v>
      </c>
      <c r="B880" s="522" t="s">
        <v>722</v>
      </c>
      <c r="C880" s="522" t="s">
        <v>725</v>
      </c>
      <c r="D880" s="523" t="s">
        <v>228</v>
      </c>
      <c r="E880" s="524">
        <v>7160624</v>
      </c>
      <c r="F880" s="525">
        <v>3500</v>
      </c>
      <c r="G880" s="525">
        <v>303109.13</v>
      </c>
      <c r="H880" s="525">
        <v>207085.27</v>
      </c>
      <c r="I880" s="525">
        <v>22556</v>
      </c>
      <c r="J880" s="526"/>
      <c r="K880" s="526"/>
      <c r="L880" s="525">
        <v>8807.57</v>
      </c>
      <c r="M880" s="525">
        <v>23155.13</v>
      </c>
      <c r="N880" s="525">
        <v>18370.21</v>
      </c>
      <c r="O880" s="526"/>
      <c r="P880" s="526"/>
      <c r="Q880" s="526"/>
      <c r="R880" s="525">
        <v>586583.31000000006</v>
      </c>
      <c r="S880" s="527">
        <f t="shared" si="118"/>
        <v>532750.4</v>
      </c>
      <c r="T880" s="528">
        <f t="shared" si="119"/>
        <v>0</v>
      </c>
      <c r="U880" s="527">
        <f t="shared" si="120"/>
        <v>18370.21</v>
      </c>
      <c r="V880" s="529"/>
      <c r="W880" s="326">
        <f t="shared" si="121"/>
        <v>586583.30999999994</v>
      </c>
      <c r="X880" s="261">
        <f t="shared" si="122"/>
        <v>0</v>
      </c>
      <c r="Z880" s="1016">
        <f t="shared" si="113"/>
        <v>536250.4</v>
      </c>
    </row>
    <row r="881" spans="1:26" s="836" customFormat="1" ht="12.75" thickBot="1">
      <c r="A881" s="522" t="s">
        <v>1424</v>
      </c>
      <c r="B881" s="522" t="s">
        <v>233</v>
      </c>
      <c r="C881" s="522" t="s">
        <v>651</v>
      </c>
      <c r="D881" s="522" t="s">
        <v>20</v>
      </c>
      <c r="E881" s="530">
        <v>10809</v>
      </c>
      <c r="F881" s="532"/>
      <c r="G881" s="531">
        <v>342.96</v>
      </c>
      <c r="H881" s="531">
        <v>312.60000000000002</v>
      </c>
      <c r="I881" s="531">
        <v>34.049999999999997</v>
      </c>
      <c r="J881" s="532"/>
      <c r="K881" s="532"/>
      <c r="L881" s="532"/>
      <c r="M881" s="531">
        <v>27.67</v>
      </c>
      <c r="N881" s="531">
        <v>23.89</v>
      </c>
      <c r="O881" s="532"/>
      <c r="P881" s="532"/>
      <c r="Q881" s="532"/>
      <c r="R881" s="531">
        <v>741.17</v>
      </c>
      <c r="S881" s="527">
        <f t="shared" si="118"/>
        <v>689.6099999999999</v>
      </c>
      <c r="T881" s="528">
        <f t="shared" si="119"/>
        <v>0</v>
      </c>
      <c r="U881" s="527">
        <f t="shared" si="120"/>
        <v>23.89</v>
      </c>
      <c r="V881" s="529"/>
      <c r="W881" s="326">
        <f t="shared" si="121"/>
        <v>741.16999999999985</v>
      </c>
      <c r="X881" s="261">
        <f t="shared" si="122"/>
        <v>0</v>
      </c>
      <c r="Z881" s="1016">
        <f t="shared" si="113"/>
        <v>689.6099999999999</v>
      </c>
    </row>
    <row r="882" spans="1:26" s="836" customFormat="1" ht="12.75" hidden="1" thickBot="1">
      <c r="A882" s="522" t="s">
        <v>1424</v>
      </c>
      <c r="B882" s="522" t="s">
        <v>232</v>
      </c>
      <c r="C882" s="522" t="s">
        <v>651</v>
      </c>
      <c r="D882" s="522" t="s">
        <v>20</v>
      </c>
      <c r="E882" s="524">
        <v>2625</v>
      </c>
      <c r="F882" s="526"/>
      <c r="G882" s="525">
        <v>83.29</v>
      </c>
      <c r="H882" s="525">
        <v>75.92</v>
      </c>
      <c r="I882" s="525">
        <v>8.27</v>
      </c>
      <c r="J882" s="526"/>
      <c r="K882" s="526"/>
      <c r="L882" s="526"/>
      <c r="M882" s="525">
        <v>13.05</v>
      </c>
      <c r="N882" s="525">
        <v>5.4</v>
      </c>
      <c r="O882" s="526"/>
      <c r="P882" s="526"/>
      <c r="Q882" s="526"/>
      <c r="R882" s="525">
        <v>185.93</v>
      </c>
      <c r="S882" s="527">
        <f t="shared" si="118"/>
        <v>167.48000000000002</v>
      </c>
      <c r="T882" s="528">
        <f t="shared" si="119"/>
        <v>0</v>
      </c>
      <c r="U882" s="527">
        <f t="shared" si="120"/>
        <v>5.4</v>
      </c>
      <c r="V882" s="529"/>
      <c r="W882" s="326">
        <f t="shared" si="121"/>
        <v>185.93000000000004</v>
      </c>
      <c r="X882" s="261">
        <f t="shared" si="122"/>
        <v>0</v>
      </c>
      <c r="Z882" s="1016">
        <f t="shared" si="113"/>
        <v>167.48000000000002</v>
      </c>
    </row>
    <row r="883" spans="1:26" s="836" customFormat="1" ht="12.75" thickBot="1">
      <c r="A883" s="522" t="s">
        <v>1424</v>
      </c>
      <c r="B883" s="522" t="s">
        <v>184</v>
      </c>
      <c r="C883" s="522" t="s">
        <v>59</v>
      </c>
      <c r="D883" s="522" t="s">
        <v>21</v>
      </c>
      <c r="E883" s="530">
        <v>90764</v>
      </c>
      <c r="F883" s="531">
        <v>1553.5</v>
      </c>
      <c r="G883" s="531">
        <v>4330.3</v>
      </c>
      <c r="H883" s="531">
        <v>2625</v>
      </c>
      <c r="I883" s="531">
        <v>285.87</v>
      </c>
      <c r="J883" s="532"/>
      <c r="K883" s="532"/>
      <c r="L883" s="532"/>
      <c r="M883" s="531">
        <v>356.31</v>
      </c>
      <c r="N883" s="531">
        <v>286.61</v>
      </c>
      <c r="O883" s="532"/>
      <c r="P883" s="532"/>
      <c r="Q883" s="532"/>
      <c r="R883" s="531">
        <v>9437.59</v>
      </c>
      <c r="S883" s="527">
        <f t="shared" si="118"/>
        <v>7241.17</v>
      </c>
      <c r="T883" s="528">
        <f t="shared" si="119"/>
        <v>0</v>
      </c>
      <c r="U883" s="527">
        <f t="shared" si="120"/>
        <v>286.61</v>
      </c>
      <c r="V883" s="529"/>
      <c r="W883" s="326">
        <f t="shared" si="121"/>
        <v>9437.59</v>
      </c>
      <c r="X883" s="261">
        <f t="shared" si="122"/>
        <v>0</v>
      </c>
      <c r="Z883" s="1016">
        <f t="shared" si="113"/>
        <v>8794.67</v>
      </c>
    </row>
    <row r="884" spans="1:26" s="836" customFormat="1" ht="12.75" hidden="1" thickBot="1">
      <c r="A884" s="522" t="s">
        <v>1424</v>
      </c>
      <c r="B884" s="522" t="s">
        <v>652</v>
      </c>
      <c r="C884" s="522" t="s">
        <v>676</v>
      </c>
      <c r="D884" s="522" t="s">
        <v>21</v>
      </c>
      <c r="E884" s="524">
        <v>14416</v>
      </c>
      <c r="F884" s="525">
        <v>884</v>
      </c>
      <c r="G884" s="525">
        <v>688.16</v>
      </c>
      <c r="H884" s="525">
        <v>416.16</v>
      </c>
      <c r="I884" s="525">
        <v>46.24</v>
      </c>
      <c r="J884" s="526"/>
      <c r="K884" s="526"/>
      <c r="L884" s="526"/>
      <c r="M884" s="525">
        <v>38.08</v>
      </c>
      <c r="N884" s="525">
        <v>68</v>
      </c>
      <c r="O884" s="526"/>
      <c r="P884" s="526"/>
      <c r="Q884" s="526"/>
      <c r="R884" s="525">
        <v>2140.64</v>
      </c>
      <c r="S884" s="527">
        <f t="shared" si="118"/>
        <v>1150.56</v>
      </c>
      <c r="T884" s="528">
        <f t="shared" si="119"/>
        <v>0</v>
      </c>
      <c r="U884" s="527">
        <f t="shared" si="120"/>
        <v>68</v>
      </c>
      <c r="V884" s="529"/>
      <c r="W884" s="326">
        <f t="shared" si="121"/>
        <v>2140.64</v>
      </c>
      <c r="X884" s="261">
        <f t="shared" si="122"/>
        <v>0</v>
      </c>
      <c r="Z884" s="1016">
        <f t="shared" si="113"/>
        <v>2034.56</v>
      </c>
    </row>
    <row r="885" spans="1:26" s="836" customFormat="1" ht="12.75" hidden="1" thickBot="1">
      <c r="A885" s="522" t="s">
        <v>1424</v>
      </c>
      <c r="B885" s="522" t="s">
        <v>728</v>
      </c>
      <c r="C885" s="522" t="s">
        <v>726</v>
      </c>
      <c r="D885" s="523" t="s">
        <v>727</v>
      </c>
      <c r="E885" s="532"/>
      <c r="F885" s="532"/>
      <c r="G885" s="532"/>
      <c r="H885" s="532"/>
      <c r="I885" s="532"/>
      <c r="J885" s="532"/>
      <c r="K885" s="532"/>
      <c r="L885" s="532"/>
      <c r="M885" s="532"/>
      <c r="N885" s="532"/>
      <c r="O885" s="532"/>
      <c r="P885" s="532"/>
      <c r="Q885" s="532"/>
      <c r="R885" s="531">
        <v>0</v>
      </c>
      <c r="S885" s="527">
        <f t="shared" si="118"/>
        <v>0</v>
      </c>
      <c r="T885" s="528">
        <f t="shared" si="119"/>
        <v>0</v>
      </c>
      <c r="U885" s="527">
        <f t="shared" si="120"/>
        <v>0</v>
      </c>
      <c r="V885" s="529"/>
      <c r="W885" s="326">
        <f t="shared" si="121"/>
        <v>0</v>
      </c>
      <c r="X885" s="261">
        <f t="shared" si="122"/>
        <v>0</v>
      </c>
      <c r="Z885" s="1016">
        <f t="shared" si="113"/>
        <v>0</v>
      </c>
    </row>
    <row r="886" spans="1:26" s="836" customFormat="1" ht="12.75" hidden="1" thickBot="1">
      <c r="A886" s="522" t="s">
        <v>1424</v>
      </c>
      <c r="B886" s="522" t="s">
        <v>1043</v>
      </c>
      <c r="C886" s="522" t="s">
        <v>1044</v>
      </c>
      <c r="D886" s="522" t="s">
        <v>1052</v>
      </c>
      <c r="E886" s="526"/>
      <c r="F886" s="526"/>
      <c r="G886" s="526"/>
      <c r="H886" s="526"/>
      <c r="I886" s="526"/>
      <c r="J886" s="526"/>
      <c r="K886" s="526"/>
      <c r="L886" s="526"/>
      <c r="M886" s="526"/>
      <c r="N886" s="526"/>
      <c r="O886" s="526"/>
      <c r="P886" s="526"/>
      <c r="Q886" s="526"/>
      <c r="R886" s="525">
        <v>0</v>
      </c>
      <c r="S886" s="527">
        <f t="shared" si="118"/>
        <v>0</v>
      </c>
      <c r="T886" s="528">
        <f t="shared" si="119"/>
        <v>0</v>
      </c>
      <c r="U886" s="527">
        <f t="shared" si="120"/>
        <v>0</v>
      </c>
      <c r="V886" s="529"/>
      <c r="W886" s="326">
        <f t="shared" si="121"/>
        <v>0</v>
      </c>
      <c r="X886" s="261">
        <f t="shared" si="122"/>
        <v>0</v>
      </c>
      <c r="Z886" s="1016">
        <f t="shared" si="113"/>
        <v>0</v>
      </c>
    </row>
    <row r="887" spans="1:26" s="836" customFormat="1" ht="12.75" hidden="1" thickBot="1">
      <c r="A887" s="522" t="s">
        <v>1424</v>
      </c>
      <c r="B887" s="522" t="s">
        <v>185</v>
      </c>
      <c r="C887" s="522" t="s">
        <v>1353</v>
      </c>
      <c r="D887" s="522" t="s">
        <v>224</v>
      </c>
      <c r="E887" s="530">
        <v>5823</v>
      </c>
      <c r="F887" s="531">
        <v>200</v>
      </c>
      <c r="G887" s="531">
        <v>341.35</v>
      </c>
      <c r="H887" s="531">
        <v>168.4</v>
      </c>
      <c r="I887" s="531">
        <v>27.42</v>
      </c>
      <c r="J887" s="532"/>
      <c r="K887" s="532"/>
      <c r="L887" s="531">
        <v>17.47</v>
      </c>
      <c r="M887" s="531">
        <v>14.89</v>
      </c>
      <c r="N887" s="531">
        <v>0</v>
      </c>
      <c r="O887" s="531">
        <v>33.950000000000003</v>
      </c>
      <c r="P887" s="532"/>
      <c r="Q887" s="532"/>
      <c r="R887" s="531">
        <v>803.48</v>
      </c>
      <c r="S887" s="527">
        <f t="shared" si="118"/>
        <v>537.16999999999996</v>
      </c>
      <c r="T887" s="528">
        <f t="shared" si="119"/>
        <v>0</v>
      </c>
      <c r="U887" s="527">
        <f t="shared" si="120"/>
        <v>33.950000000000003</v>
      </c>
      <c r="V887" s="529"/>
      <c r="W887" s="326">
        <f t="shared" si="121"/>
        <v>803.48</v>
      </c>
      <c r="X887" s="261">
        <f t="shared" si="122"/>
        <v>0</v>
      </c>
      <c r="Z887" s="1016">
        <f t="shared" si="113"/>
        <v>737.17</v>
      </c>
    </row>
    <row r="888" spans="1:26" s="836" customFormat="1" ht="12.75" hidden="1" thickBot="1">
      <c r="A888" s="522" t="s">
        <v>1424</v>
      </c>
      <c r="B888" s="522" t="s">
        <v>186</v>
      </c>
      <c r="C888" s="522" t="s">
        <v>1354</v>
      </c>
      <c r="D888" s="522" t="s">
        <v>18</v>
      </c>
      <c r="E888" s="524">
        <v>11880</v>
      </c>
      <c r="F888" s="525">
        <v>70</v>
      </c>
      <c r="G888" s="525">
        <v>696.4</v>
      </c>
      <c r="H888" s="525">
        <v>343.57</v>
      </c>
      <c r="I888" s="525">
        <v>55.96</v>
      </c>
      <c r="J888" s="526"/>
      <c r="K888" s="526"/>
      <c r="L888" s="525">
        <v>9.1199999999999992</v>
      </c>
      <c r="M888" s="525">
        <v>30.41</v>
      </c>
      <c r="N888" s="525">
        <v>0</v>
      </c>
      <c r="O888" s="525">
        <v>48.14</v>
      </c>
      <c r="P888" s="526"/>
      <c r="Q888" s="526"/>
      <c r="R888" s="525">
        <v>1253.5999999999999</v>
      </c>
      <c r="S888" s="527">
        <f t="shared" si="118"/>
        <v>1095.93</v>
      </c>
      <c r="T888" s="528">
        <f t="shared" si="119"/>
        <v>0</v>
      </c>
      <c r="U888" s="527">
        <f t="shared" si="120"/>
        <v>48.14</v>
      </c>
      <c r="V888" s="529"/>
      <c r="W888" s="326">
        <f t="shared" si="121"/>
        <v>1253.6000000000001</v>
      </c>
      <c r="X888" s="261">
        <f t="shared" si="122"/>
        <v>0</v>
      </c>
      <c r="Z888" s="1016">
        <f t="shared" si="113"/>
        <v>1165.93</v>
      </c>
    </row>
    <row r="889" spans="1:26" s="836" customFormat="1" ht="12.75" hidden="1" thickBot="1">
      <c r="A889" s="522" t="s">
        <v>1424</v>
      </c>
      <c r="B889" s="522" t="s">
        <v>750</v>
      </c>
      <c r="C889" s="522" t="s">
        <v>748</v>
      </c>
      <c r="D889" s="522"/>
      <c r="E889" s="532"/>
      <c r="F889" s="532"/>
      <c r="G889" s="532"/>
      <c r="H889" s="532"/>
      <c r="I889" s="532"/>
      <c r="J889" s="532"/>
      <c r="K889" s="532"/>
      <c r="L889" s="532"/>
      <c r="M889" s="532"/>
      <c r="N889" s="532"/>
      <c r="O889" s="532"/>
      <c r="P889" s="532"/>
      <c r="Q889" s="532"/>
      <c r="R889" s="532"/>
      <c r="S889" s="527">
        <f t="shared" si="118"/>
        <v>0</v>
      </c>
      <c r="T889" s="528">
        <f t="shared" si="119"/>
        <v>0</v>
      </c>
      <c r="U889" s="527">
        <f t="shared" si="120"/>
        <v>0</v>
      </c>
      <c r="V889" s="529"/>
      <c r="W889" s="326">
        <f t="shared" si="121"/>
        <v>0</v>
      </c>
      <c r="X889" s="261">
        <f t="shared" si="122"/>
        <v>0</v>
      </c>
      <c r="Z889" s="1016">
        <f t="shared" si="113"/>
        <v>0</v>
      </c>
    </row>
    <row r="890" spans="1:26" s="836" customFormat="1" ht="12.75" hidden="1" thickBot="1">
      <c r="A890" s="522" t="s">
        <v>1424</v>
      </c>
      <c r="B890" s="522" t="s">
        <v>187</v>
      </c>
      <c r="C890" s="522" t="s">
        <v>457</v>
      </c>
      <c r="D890" s="542" t="s">
        <v>78</v>
      </c>
      <c r="E890" s="526"/>
      <c r="F890" s="526"/>
      <c r="G890" s="526"/>
      <c r="H890" s="526"/>
      <c r="I890" s="526"/>
      <c r="J890" s="526"/>
      <c r="K890" s="526"/>
      <c r="L890" s="526"/>
      <c r="M890" s="526"/>
      <c r="N890" s="526"/>
      <c r="O890" s="526"/>
      <c r="P890" s="525">
        <v>-977006.02</v>
      </c>
      <c r="Q890" s="526"/>
      <c r="R890" s="525">
        <v>-977006.02</v>
      </c>
      <c r="S890" s="527">
        <f t="shared" si="118"/>
        <v>0</v>
      </c>
      <c r="T890" s="528">
        <f t="shared" si="119"/>
        <v>0</v>
      </c>
      <c r="U890" s="527">
        <f t="shared" si="120"/>
        <v>0</v>
      </c>
      <c r="V890" s="529"/>
      <c r="W890" s="326">
        <f t="shared" si="121"/>
        <v>-977006.02</v>
      </c>
      <c r="X890" s="261">
        <f t="shared" si="122"/>
        <v>0</v>
      </c>
      <c r="Z890" s="1016">
        <f t="shared" si="113"/>
        <v>0</v>
      </c>
    </row>
    <row r="891" spans="1:26" s="836" customFormat="1" ht="12.75" hidden="1" thickBot="1">
      <c r="A891" s="522" t="s">
        <v>1424</v>
      </c>
      <c r="B891" s="522" t="s">
        <v>188</v>
      </c>
      <c r="C891" s="522" t="s">
        <v>458</v>
      </c>
      <c r="D891" s="522"/>
      <c r="E891" s="532"/>
      <c r="F891" s="532"/>
      <c r="G891" s="532"/>
      <c r="H891" s="532"/>
      <c r="I891" s="532"/>
      <c r="J891" s="532"/>
      <c r="K891" s="532"/>
      <c r="L891" s="532"/>
      <c r="M891" s="532"/>
      <c r="N891" s="532"/>
      <c r="O891" s="532"/>
      <c r="P891" s="531">
        <v>-33499.18</v>
      </c>
      <c r="Q891" s="532"/>
      <c r="R891" s="531">
        <v>-33499.18</v>
      </c>
      <c r="S891" s="527">
        <f t="shared" si="118"/>
        <v>0</v>
      </c>
      <c r="T891" s="528">
        <f t="shared" si="119"/>
        <v>0</v>
      </c>
      <c r="U891" s="527">
        <f t="shared" si="120"/>
        <v>0</v>
      </c>
      <c r="V891" s="529"/>
      <c r="W891" s="326">
        <f t="shared" si="121"/>
        <v>-33499.18</v>
      </c>
      <c r="X891" s="261">
        <f t="shared" si="122"/>
        <v>0</v>
      </c>
      <c r="Z891" s="1016">
        <f t="shared" si="113"/>
        <v>0</v>
      </c>
    </row>
    <row r="892" spans="1:26" s="836" customFormat="1" ht="12.75" hidden="1" thickBot="1">
      <c r="A892" s="522" t="s">
        <v>1424</v>
      </c>
      <c r="B892" s="522" t="s">
        <v>1364</v>
      </c>
      <c r="C892" s="522" t="s">
        <v>1365</v>
      </c>
      <c r="D892" s="522"/>
      <c r="E892" s="526"/>
      <c r="F892" s="526"/>
      <c r="G892" s="526"/>
      <c r="H892" s="526"/>
      <c r="I892" s="526"/>
      <c r="J892" s="526"/>
      <c r="K892" s="526"/>
      <c r="L892" s="526"/>
      <c r="M892" s="526"/>
      <c r="N892" s="526"/>
      <c r="O892" s="526"/>
      <c r="P892" s="525">
        <v>-26359.99</v>
      </c>
      <c r="Q892" s="526"/>
      <c r="R892" s="525">
        <v>-26359.99</v>
      </c>
      <c r="S892" s="527">
        <f t="shared" si="118"/>
        <v>0</v>
      </c>
      <c r="T892" s="528">
        <f t="shared" si="119"/>
        <v>0</v>
      </c>
      <c r="U892" s="527">
        <f t="shared" si="120"/>
        <v>0</v>
      </c>
      <c r="V892" s="529"/>
      <c r="W892" s="326">
        <f t="shared" si="121"/>
        <v>-26359.99</v>
      </c>
      <c r="X892" s="261">
        <f t="shared" si="122"/>
        <v>0</v>
      </c>
      <c r="Z892" s="1016">
        <f t="shared" si="113"/>
        <v>0</v>
      </c>
    </row>
    <row r="893" spans="1:26" s="836" customFormat="1" ht="12.75" hidden="1" thickBot="1">
      <c r="A893" s="522" t="s">
        <v>1424</v>
      </c>
      <c r="B893" s="522" t="s">
        <v>1358</v>
      </c>
      <c r="C893" s="522" t="s">
        <v>1359</v>
      </c>
      <c r="D893" s="522"/>
      <c r="E893" s="532"/>
      <c r="F893" s="532"/>
      <c r="G893" s="532"/>
      <c r="H893" s="532"/>
      <c r="I893" s="532"/>
      <c r="J893" s="532"/>
      <c r="K893" s="532"/>
      <c r="L893" s="532"/>
      <c r="M893" s="532"/>
      <c r="N893" s="532"/>
      <c r="O893" s="532"/>
      <c r="P893" s="531">
        <v>-28805.3</v>
      </c>
      <c r="Q893" s="532"/>
      <c r="R893" s="531">
        <v>-28805.3</v>
      </c>
      <c r="S893" s="527">
        <f t="shared" si="118"/>
        <v>0</v>
      </c>
      <c r="T893" s="528">
        <f t="shared" si="119"/>
        <v>0</v>
      </c>
      <c r="U893" s="527">
        <f t="shared" si="120"/>
        <v>0</v>
      </c>
      <c r="V893" s="529"/>
      <c r="W893" s="326">
        <f t="shared" si="121"/>
        <v>-28805.3</v>
      </c>
      <c r="X893" s="261">
        <f t="shared" si="122"/>
        <v>0</v>
      </c>
      <c r="Z893" s="1016">
        <f t="shared" si="113"/>
        <v>0</v>
      </c>
    </row>
    <row r="894" spans="1:26" s="836" customFormat="1" ht="12.75" hidden="1" thickBot="1">
      <c r="A894" s="522" t="s">
        <v>1424</v>
      </c>
      <c r="B894" s="522" t="s">
        <v>1045</v>
      </c>
      <c r="C894" s="522" t="s">
        <v>1046</v>
      </c>
      <c r="D894" s="522"/>
      <c r="E894" s="526"/>
      <c r="F894" s="526"/>
      <c r="G894" s="526"/>
      <c r="H894" s="526"/>
      <c r="I894" s="526"/>
      <c r="J894" s="526"/>
      <c r="K894" s="526"/>
      <c r="L894" s="526"/>
      <c r="M894" s="526"/>
      <c r="N894" s="526"/>
      <c r="O894" s="526"/>
      <c r="P894" s="525">
        <v>-8800</v>
      </c>
      <c r="Q894" s="526"/>
      <c r="R894" s="525">
        <v>-8800</v>
      </c>
      <c r="S894" s="527">
        <f t="shared" si="118"/>
        <v>0</v>
      </c>
      <c r="T894" s="528">
        <f t="shared" si="119"/>
        <v>0</v>
      </c>
      <c r="U894" s="527">
        <f t="shared" si="120"/>
        <v>0</v>
      </c>
      <c r="V894" s="529"/>
      <c r="W894" s="326">
        <f t="shared" si="121"/>
        <v>-8800</v>
      </c>
      <c r="X894" s="261">
        <f t="shared" si="122"/>
        <v>0</v>
      </c>
      <c r="Z894" s="1016">
        <f t="shared" si="113"/>
        <v>0</v>
      </c>
    </row>
    <row r="895" spans="1:26" s="836" customFormat="1" ht="12.75" hidden="1" thickBot="1">
      <c r="A895" s="522" t="s">
        <v>1424</v>
      </c>
      <c r="B895" s="522" t="s">
        <v>945</v>
      </c>
      <c r="C895" s="522" t="s">
        <v>946</v>
      </c>
      <c r="D895" s="522"/>
      <c r="E895" s="532"/>
      <c r="F895" s="532"/>
      <c r="G895" s="532"/>
      <c r="H895" s="532"/>
      <c r="I895" s="532"/>
      <c r="J895" s="532"/>
      <c r="K895" s="532"/>
      <c r="L895" s="532"/>
      <c r="M895" s="532"/>
      <c r="N895" s="532"/>
      <c r="O895" s="532"/>
      <c r="P895" s="532"/>
      <c r="Q895" s="532"/>
      <c r="R895" s="532"/>
      <c r="S895" s="527">
        <f t="shared" si="118"/>
        <v>0</v>
      </c>
      <c r="T895" s="528">
        <f t="shared" si="119"/>
        <v>0</v>
      </c>
      <c r="U895" s="527">
        <f t="shared" si="120"/>
        <v>0</v>
      </c>
      <c r="V895" s="529"/>
      <c r="W895" s="326">
        <f t="shared" si="121"/>
        <v>0</v>
      </c>
      <c r="X895" s="261">
        <f t="shared" si="122"/>
        <v>0</v>
      </c>
      <c r="Z895" s="1016">
        <f t="shared" si="113"/>
        <v>0</v>
      </c>
    </row>
    <row r="896" spans="1:26" s="836" customFormat="1" ht="12.75" hidden="1" thickBot="1">
      <c r="A896" s="522" t="s">
        <v>1424</v>
      </c>
      <c r="B896" s="522" t="s">
        <v>947</v>
      </c>
      <c r="C896" s="522" t="s">
        <v>948</v>
      </c>
      <c r="D896" s="522"/>
      <c r="E896" s="526"/>
      <c r="F896" s="526"/>
      <c r="G896" s="526"/>
      <c r="H896" s="526"/>
      <c r="I896" s="526"/>
      <c r="J896" s="526"/>
      <c r="K896" s="526"/>
      <c r="L896" s="526"/>
      <c r="M896" s="526"/>
      <c r="N896" s="526"/>
      <c r="O896" s="526"/>
      <c r="P896" s="526"/>
      <c r="Q896" s="526"/>
      <c r="R896" s="526"/>
      <c r="S896" s="527">
        <f t="shared" si="118"/>
        <v>0</v>
      </c>
      <c r="T896" s="528">
        <f t="shared" si="119"/>
        <v>0</v>
      </c>
      <c r="U896" s="527">
        <f t="shared" si="120"/>
        <v>0</v>
      </c>
      <c r="V896" s="529"/>
      <c r="W896" s="326">
        <f t="shared" si="121"/>
        <v>0</v>
      </c>
      <c r="X896" s="261">
        <f t="shared" si="122"/>
        <v>0</v>
      </c>
      <c r="Z896" s="1016">
        <f t="shared" si="113"/>
        <v>0</v>
      </c>
    </row>
    <row r="897" spans="1:26" s="836" customFormat="1" ht="12.75" hidden="1" thickBot="1">
      <c r="A897" s="522" t="s">
        <v>1424</v>
      </c>
      <c r="B897" s="522" t="s">
        <v>189</v>
      </c>
      <c r="C897" s="522" t="s">
        <v>208</v>
      </c>
      <c r="D897" s="533" t="s">
        <v>675</v>
      </c>
      <c r="E897" s="530">
        <v>42552000</v>
      </c>
      <c r="F897" s="531">
        <v>750</v>
      </c>
      <c r="G897" s="531">
        <v>157016.88</v>
      </c>
      <c r="H897" s="531">
        <v>1230603.8400000001</v>
      </c>
      <c r="I897" s="532"/>
      <c r="J897" s="531">
        <v>55830.41</v>
      </c>
      <c r="K897" s="531">
        <v>751277.19</v>
      </c>
      <c r="L897" s="532"/>
      <c r="M897" s="531">
        <v>108933.12</v>
      </c>
      <c r="N897" s="531">
        <v>0</v>
      </c>
      <c r="O897" s="531">
        <v>55866.23</v>
      </c>
      <c r="P897" s="532"/>
      <c r="Q897" s="532"/>
      <c r="R897" s="531">
        <v>2360277.67</v>
      </c>
      <c r="S897" s="527">
        <f t="shared" si="118"/>
        <v>1387620.7200000002</v>
      </c>
      <c r="T897" s="528">
        <f t="shared" si="119"/>
        <v>807107.6</v>
      </c>
      <c r="U897" s="527">
        <f t="shared" si="120"/>
        <v>55866.23</v>
      </c>
      <c r="V897" s="529"/>
      <c r="W897" s="326">
        <f t="shared" si="121"/>
        <v>2360277.6700000004</v>
      </c>
      <c r="X897" s="261">
        <f t="shared" si="122"/>
        <v>0</v>
      </c>
      <c r="Z897" s="1016">
        <f t="shared" ref="Z897:Z961" si="123">SUM(F897:K897)</f>
        <v>2195478.3200000003</v>
      </c>
    </row>
    <row r="898" spans="1:26" s="836" customFormat="1" ht="12.75" hidden="1" thickBot="1">
      <c r="A898" s="522" t="s">
        <v>1424</v>
      </c>
      <c r="B898" s="522" t="s">
        <v>209</v>
      </c>
      <c r="C898" s="522" t="s">
        <v>210</v>
      </c>
      <c r="D898" s="522"/>
      <c r="E898" s="524">
        <v>53095200</v>
      </c>
      <c r="F898" s="526"/>
      <c r="G898" s="525">
        <v>1684167.12</v>
      </c>
      <c r="H898" s="526"/>
      <c r="I898" s="526"/>
      <c r="J898" s="526"/>
      <c r="K898" s="525">
        <v>1444008.24</v>
      </c>
      <c r="L898" s="526"/>
      <c r="M898" s="525">
        <v>92385.64</v>
      </c>
      <c r="N898" s="526"/>
      <c r="O898" s="526"/>
      <c r="P898" s="526"/>
      <c r="Q898" s="526"/>
      <c r="R898" s="525">
        <v>3385498.34</v>
      </c>
      <c r="S898" s="527">
        <f t="shared" si="118"/>
        <v>1684167.12</v>
      </c>
      <c r="T898" s="528">
        <f t="shared" si="119"/>
        <v>1444008.24</v>
      </c>
      <c r="U898" s="527">
        <f t="shared" si="120"/>
        <v>0</v>
      </c>
      <c r="V898" s="529"/>
      <c r="W898" s="326">
        <f t="shared" si="121"/>
        <v>3220561.0000000005</v>
      </c>
      <c r="X898" s="261">
        <f t="shared" si="122"/>
        <v>-164937.33999999939</v>
      </c>
      <c r="Z898" s="1016">
        <f t="shared" si="123"/>
        <v>3128175.3600000003</v>
      </c>
    </row>
    <row r="899" spans="1:26" s="836" customFormat="1" ht="12.75" hidden="1" thickBot="1">
      <c r="A899" s="522" t="s">
        <v>1424</v>
      </c>
      <c r="B899" s="522" t="s">
        <v>211</v>
      </c>
      <c r="C899" s="522" t="s">
        <v>212</v>
      </c>
      <c r="D899" s="522"/>
      <c r="E899" s="530">
        <v>107962188</v>
      </c>
      <c r="F899" s="532"/>
      <c r="G899" s="531">
        <v>3420598.39</v>
      </c>
      <c r="H899" s="532"/>
      <c r="I899" s="532"/>
      <c r="J899" s="532"/>
      <c r="K899" s="531">
        <v>2969463.24</v>
      </c>
      <c r="L899" s="532"/>
      <c r="M899" s="531">
        <v>185694.96</v>
      </c>
      <c r="N899" s="532"/>
      <c r="O899" s="532"/>
      <c r="P899" s="532"/>
      <c r="Q899" s="532"/>
      <c r="R899" s="531">
        <v>6898669.3899999997</v>
      </c>
      <c r="S899" s="527">
        <f t="shared" si="118"/>
        <v>3420598.39</v>
      </c>
      <c r="T899" s="528">
        <f t="shared" si="119"/>
        <v>2969463.24</v>
      </c>
      <c r="U899" s="527">
        <f t="shared" si="120"/>
        <v>0</v>
      </c>
      <c r="V899" s="529"/>
      <c r="W899" s="326">
        <f t="shared" si="121"/>
        <v>6575756.5900000008</v>
      </c>
      <c r="X899" s="261">
        <f t="shared" si="122"/>
        <v>-322912.79999999888</v>
      </c>
      <c r="Z899" s="1016">
        <f t="shared" si="123"/>
        <v>6390061.6300000008</v>
      </c>
    </row>
    <row r="900" spans="1:26" s="836" customFormat="1" ht="12.75" hidden="1" thickBot="1">
      <c r="A900" s="522" t="s">
        <v>1424</v>
      </c>
      <c r="B900" s="522" t="s">
        <v>213</v>
      </c>
      <c r="C900" s="522" t="s">
        <v>1425</v>
      </c>
      <c r="D900" s="522"/>
      <c r="E900" s="524">
        <v>5287512</v>
      </c>
      <c r="F900" s="526"/>
      <c r="G900" s="525">
        <v>167525.82999999999</v>
      </c>
      <c r="H900" s="526"/>
      <c r="I900" s="526"/>
      <c r="J900" s="526"/>
      <c r="K900" s="525">
        <v>86643.46</v>
      </c>
      <c r="L900" s="526"/>
      <c r="M900" s="525">
        <v>9094.52</v>
      </c>
      <c r="N900" s="526"/>
      <c r="O900" s="526"/>
      <c r="P900" s="526"/>
      <c r="Q900" s="526"/>
      <c r="R900" s="525">
        <v>281175.57</v>
      </c>
      <c r="S900" s="527">
        <f t="shared" si="118"/>
        <v>167525.82999999999</v>
      </c>
      <c r="T900" s="528">
        <f t="shared" si="119"/>
        <v>86643.46</v>
      </c>
      <c r="U900" s="527">
        <f t="shared" si="120"/>
        <v>0</v>
      </c>
      <c r="V900" s="529"/>
      <c r="W900" s="326">
        <f t="shared" si="121"/>
        <v>263263.81</v>
      </c>
      <c r="X900" s="261">
        <f t="shared" si="122"/>
        <v>-17911.760000000009</v>
      </c>
      <c r="Z900" s="1016">
        <f t="shared" si="123"/>
        <v>254169.28999999998</v>
      </c>
    </row>
    <row r="901" spans="1:26" s="836" customFormat="1" ht="12.75" hidden="1" thickBot="1">
      <c r="A901" s="522" t="s">
        <v>1424</v>
      </c>
      <c r="B901" s="522" t="s">
        <v>949</v>
      </c>
      <c r="C901" s="522" t="s">
        <v>943</v>
      </c>
      <c r="D901" s="522"/>
      <c r="E901" s="532"/>
      <c r="F901" s="532"/>
      <c r="G901" s="532"/>
      <c r="H901" s="532"/>
      <c r="I901" s="532"/>
      <c r="J901" s="532"/>
      <c r="K901" s="532"/>
      <c r="L901" s="532"/>
      <c r="M901" s="532"/>
      <c r="N901" s="532"/>
      <c r="O901" s="532"/>
      <c r="P901" s="532"/>
      <c r="Q901" s="532"/>
      <c r="R901" s="532"/>
      <c r="S901" s="527">
        <f t="shared" si="118"/>
        <v>0</v>
      </c>
      <c r="T901" s="528">
        <f t="shared" si="119"/>
        <v>0</v>
      </c>
      <c r="U901" s="527">
        <f t="shared" si="120"/>
        <v>0</v>
      </c>
      <c r="V901" s="529"/>
      <c r="W901" s="326">
        <f t="shared" si="121"/>
        <v>0</v>
      </c>
      <c r="X901" s="261">
        <f t="shared" si="122"/>
        <v>0</v>
      </c>
      <c r="Z901" s="1016">
        <f t="shared" si="123"/>
        <v>0</v>
      </c>
    </row>
    <row r="902" spans="1:26" s="836" customFormat="1" ht="12.75" hidden="1" thickBot="1">
      <c r="A902" s="522" t="s">
        <v>1424</v>
      </c>
      <c r="B902" s="522" t="s">
        <v>190</v>
      </c>
      <c r="C902" s="522" t="s">
        <v>111</v>
      </c>
      <c r="D902" s="533" t="s">
        <v>15</v>
      </c>
      <c r="E902" s="524">
        <v>284511549</v>
      </c>
      <c r="F902" s="525">
        <v>2460225.0099999998</v>
      </c>
      <c r="G902" s="525">
        <v>12908281.609999999</v>
      </c>
      <c r="H902" s="525">
        <v>8228076.5</v>
      </c>
      <c r="I902" s="525">
        <v>896204.17</v>
      </c>
      <c r="J902" s="526"/>
      <c r="K902" s="526"/>
      <c r="L902" s="525">
        <v>1120972.8799999999</v>
      </c>
      <c r="M902" s="525">
        <v>729020.05</v>
      </c>
      <c r="N902" s="525">
        <v>877116.23</v>
      </c>
      <c r="O902" s="526"/>
      <c r="P902" s="526"/>
      <c r="Q902" s="526"/>
      <c r="R902" s="525">
        <v>27219896.449999999</v>
      </c>
      <c r="S902" s="527">
        <f t="shared" si="118"/>
        <v>22032562.280000001</v>
      </c>
      <c r="T902" s="528">
        <f t="shared" si="119"/>
        <v>0</v>
      </c>
      <c r="U902" s="527">
        <f t="shared" si="120"/>
        <v>877116.23</v>
      </c>
      <c r="V902" s="529"/>
      <c r="W902" s="326">
        <f t="shared" si="121"/>
        <v>27219896.449999999</v>
      </c>
      <c r="X902" s="261">
        <f t="shared" si="122"/>
        <v>0</v>
      </c>
      <c r="Z902" s="1016">
        <f t="shared" si="123"/>
        <v>24492787.289999999</v>
      </c>
    </row>
    <row r="903" spans="1:26" s="836" customFormat="1" ht="12.75" hidden="1" thickBot="1">
      <c r="A903" s="522" t="s">
        <v>1424</v>
      </c>
      <c r="B903" s="522" t="s">
        <v>191</v>
      </c>
      <c r="C903" s="522" t="s">
        <v>215</v>
      </c>
      <c r="D903" s="533" t="s">
        <v>15</v>
      </c>
      <c r="E903" s="530">
        <v>233586553</v>
      </c>
      <c r="F903" s="531">
        <v>2084033.16</v>
      </c>
      <c r="G903" s="531">
        <v>10597809.66</v>
      </c>
      <c r="H903" s="531">
        <v>6755328.0700000003</v>
      </c>
      <c r="I903" s="531">
        <v>735803.97</v>
      </c>
      <c r="J903" s="532"/>
      <c r="K903" s="532"/>
      <c r="L903" s="531">
        <v>920335.74</v>
      </c>
      <c r="M903" s="531">
        <v>599035.05000000005</v>
      </c>
      <c r="N903" s="531">
        <v>722199.72</v>
      </c>
      <c r="O903" s="532"/>
      <c r="P903" s="532"/>
      <c r="Q903" s="532"/>
      <c r="R903" s="531">
        <v>22414545.370000001</v>
      </c>
      <c r="S903" s="527">
        <f t="shared" si="118"/>
        <v>18088941.699999999</v>
      </c>
      <c r="T903" s="528">
        <f t="shared" si="119"/>
        <v>0</v>
      </c>
      <c r="U903" s="527">
        <f t="shared" si="120"/>
        <v>722199.72</v>
      </c>
      <c r="V903" s="529"/>
      <c r="W903" s="326">
        <f t="shared" si="121"/>
        <v>22414545.369999997</v>
      </c>
      <c r="X903" s="261">
        <f t="shared" si="122"/>
        <v>0</v>
      </c>
      <c r="Z903" s="1016">
        <f t="shared" si="123"/>
        <v>20172974.859999999</v>
      </c>
    </row>
    <row r="904" spans="1:26" s="836" customFormat="1" ht="12.75" hidden="1" thickBot="1">
      <c r="A904" s="522" t="s">
        <v>1424</v>
      </c>
      <c r="B904" s="522" t="s">
        <v>192</v>
      </c>
      <c r="C904" s="522" t="s">
        <v>216</v>
      </c>
      <c r="D904" s="533" t="s">
        <v>15</v>
      </c>
      <c r="E904" s="524">
        <v>660157</v>
      </c>
      <c r="F904" s="525">
        <v>2652.02</v>
      </c>
      <c r="G904" s="525">
        <v>29951.439999999999</v>
      </c>
      <c r="H904" s="525">
        <v>19091.689999999999</v>
      </c>
      <c r="I904" s="525">
        <v>2079.4699999999998</v>
      </c>
      <c r="J904" s="526"/>
      <c r="K904" s="526"/>
      <c r="L904" s="525">
        <v>2601.0100000000002</v>
      </c>
      <c r="M904" s="525">
        <v>1809.86</v>
      </c>
      <c r="N904" s="525">
        <v>1922.91</v>
      </c>
      <c r="O904" s="526"/>
      <c r="P904" s="526"/>
      <c r="Q904" s="526"/>
      <c r="R904" s="525">
        <v>60108.4</v>
      </c>
      <c r="S904" s="527">
        <f t="shared" si="118"/>
        <v>51122.6</v>
      </c>
      <c r="T904" s="528">
        <f t="shared" si="119"/>
        <v>0</v>
      </c>
      <c r="U904" s="527">
        <f t="shared" si="120"/>
        <v>1922.91</v>
      </c>
      <c r="V904" s="529"/>
      <c r="W904" s="326">
        <f t="shared" si="121"/>
        <v>60108.4</v>
      </c>
      <c r="X904" s="261">
        <f t="shared" si="122"/>
        <v>0</v>
      </c>
      <c r="Z904" s="1016">
        <f t="shared" si="123"/>
        <v>53774.619999999995</v>
      </c>
    </row>
    <row r="905" spans="1:26" s="836" customFormat="1" ht="12.75" hidden="1" thickBot="1">
      <c r="A905" s="522" t="s">
        <v>1424</v>
      </c>
      <c r="B905" s="522" t="s">
        <v>477</v>
      </c>
      <c r="C905" s="522" t="s">
        <v>1263</v>
      </c>
      <c r="D905" s="542" t="s">
        <v>807</v>
      </c>
      <c r="E905" s="530">
        <v>6177</v>
      </c>
      <c r="F905" s="531">
        <v>61.99</v>
      </c>
      <c r="G905" s="531">
        <v>249.55</v>
      </c>
      <c r="H905" s="531">
        <v>178.66</v>
      </c>
      <c r="I905" s="531">
        <v>19.47</v>
      </c>
      <c r="J905" s="532"/>
      <c r="K905" s="532"/>
      <c r="L905" s="531">
        <v>24.33</v>
      </c>
      <c r="M905" s="531">
        <v>15.8</v>
      </c>
      <c r="N905" s="531">
        <v>18.309999999999999</v>
      </c>
      <c r="O905" s="532"/>
      <c r="P905" s="532"/>
      <c r="Q905" s="532"/>
      <c r="R905" s="531">
        <v>568.11</v>
      </c>
      <c r="S905" s="527">
        <f t="shared" si="118"/>
        <v>447.68000000000006</v>
      </c>
      <c r="T905" s="528">
        <f t="shared" si="119"/>
        <v>0</v>
      </c>
      <c r="U905" s="527">
        <f t="shared" si="120"/>
        <v>18.309999999999999</v>
      </c>
      <c r="V905" s="529"/>
      <c r="W905" s="326">
        <f t="shared" si="121"/>
        <v>568.11</v>
      </c>
      <c r="X905" s="261">
        <f t="shared" si="122"/>
        <v>0</v>
      </c>
      <c r="Z905" s="1016">
        <f t="shared" si="123"/>
        <v>509.67000000000007</v>
      </c>
    </row>
    <row r="906" spans="1:26" s="836" customFormat="1" ht="12.75" hidden="1" thickBot="1">
      <c r="A906" s="522" t="s">
        <v>1424</v>
      </c>
      <c r="B906" s="522" t="s">
        <v>193</v>
      </c>
      <c r="C906" s="522" t="s">
        <v>217</v>
      </c>
      <c r="D906" s="533" t="s">
        <v>15</v>
      </c>
      <c r="E906" s="524">
        <v>78022</v>
      </c>
      <c r="F906" s="525">
        <v>537.5</v>
      </c>
      <c r="G906" s="525">
        <v>3539.93</v>
      </c>
      <c r="H906" s="525">
        <v>2256.38</v>
      </c>
      <c r="I906" s="525">
        <v>245.73</v>
      </c>
      <c r="J906" s="526"/>
      <c r="K906" s="526"/>
      <c r="L906" s="525">
        <v>307.39999999999998</v>
      </c>
      <c r="M906" s="525">
        <v>207.92</v>
      </c>
      <c r="N906" s="525">
        <v>235.21</v>
      </c>
      <c r="O906" s="526"/>
      <c r="P906" s="526"/>
      <c r="Q906" s="526"/>
      <c r="R906" s="525">
        <v>7330.07</v>
      </c>
      <c r="S906" s="527">
        <f t="shared" si="118"/>
        <v>6042.0399999999991</v>
      </c>
      <c r="T906" s="528">
        <f t="shared" si="119"/>
        <v>0</v>
      </c>
      <c r="U906" s="527">
        <f t="shared" si="120"/>
        <v>235.21</v>
      </c>
      <c r="V906" s="529"/>
      <c r="W906" s="326">
        <f t="shared" si="121"/>
        <v>7330.0699999999988</v>
      </c>
      <c r="X906" s="261">
        <f t="shared" si="122"/>
        <v>0</v>
      </c>
      <c r="Z906" s="1016">
        <f t="shared" si="123"/>
        <v>6579.5399999999991</v>
      </c>
    </row>
    <row r="907" spans="1:26" s="836" customFormat="1" ht="12.75" hidden="1" thickBot="1">
      <c r="A907" s="522" t="s">
        <v>1424</v>
      </c>
      <c r="B907" s="522" t="s">
        <v>194</v>
      </c>
      <c r="C907" s="522" t="s">
        <v>218</v>
      </c>
      <c r="D907" s="533" t="s">
        <v>15</v>
      </c>
      <c r="E907" s="530">
        <v>49459</v>
      </c>
      <c r="F907" s="531">
        <v>585.42999999999995</v>
      </c>
      <c r="G907" s="531">
        <v>2243.9899999999998</v>
      </c>
      <c r="H907" s="531">
        <v>1430.34</v>
      </c>
      <c r="I907" s="531">
        <v>155.78</v>
      </c>
      <c r="J907" s="532"/>
      <c r="K907" s="532"/>
      <c r="L907" s="531">
        <v>194.91</v>
      </c>
      <c r="M907" s="531">
        <v>126.85</v>
      </c>
      <c r="N907" s="531">
        <v>157.74</v>
      </c>
      <c r="O907" s="532"/>
      <c r="P907" s="532"/>
      <c r="Q907" s="532"/>
      <c r="R907" s="531">
        <v>4895.04</v>
      </c>
      <c r="S907" s="527">
        <f t="shared" si="118"/>
        <v>3830.11</v>
      </c>
      <c r="T907" s="528">
        <f t="shared" si="119"/>
        <v>0</v>
      </c>
      <c r="U907" s="527">
        <f t="shared" si="120"/>
        <v>157.74</v>
      </c>
      <c r="V907" s="529"/>
      <c r="W907" s="326">
        <f t="shared" si="121"/>
        <v>4895.0399999999991</v>
      </c>
      <c r="X907" s="261">
        <f t="shared" si="122"/>
        <v>0</v>
      </c>
      <c r="Z907" s="1016">
        <f t="shared" si="123"/>
        <v>4415.5399999999991</v>
      </c>
    </row>
    <row r="908" spans="1:26" s="836" customFormat="1" ht="12.75" hidden="1" thickBot="1">
      <c r="A908" s="522" t="s">
        <v>1424</v>
      </c>
      <c r="B908" s="522" t="s">
        <v>950</v>
      </c>
      <c r="C908" s="522" t="s">
        <v>951</v>
      </c>
      <c r="D908" s="522"/>
      <c r="E908" s="526"/>
      <c r="F908" s="526"/>
      <c r="G908" s="526"/>
      <c r="H908" s="526"/>
      <c r="I908" s="526"/>
      <c r="J908" s="526"/>
      <c r="K908" s="526"/>
      <c r="L908" s="526"/>
      <c r="M908" s="526"/>
      <c r="N908" s="526"/>
      <c r="O908" s="526"/>
      <c r="P908" s="526"/>
      <c r="Q908" s="526"/>
      <c r="R908" s="526"/>
      <c r="S908" s="527">
        <f t="shared" si="118"/>
        <v>0</v>
      </c>
      <c r="T908" s="528">
        <f t="shared" si="119"/>
        <v>0</v>
      </c>
      <c r="U908" s="527">
        <f t="shared" si="120"/>
        <v>0</v>
      </c>
      <c r="V908" s="529"/>
      <c r="W908" s="326">
        <f t="shared" si="121"/>
        <v>0</v>
      </c>
      <c r="X908" s="261">
        <f t="shared" si="122"/>
        <v>0</v>
      </c>
      <c r="Z908" s="1016">
        <f t="shared" si="123"/>
        <v>0</v>
      </c>
    </row>
    <row r="909" spans="1:26" s="836" customFormat="1" ht="12.75" hidden="1" thickBot="1">
      <c r="A909" s="522" t="s">
        <v>1424</v>
      </c>
      <c r="B909" s="522" t="s">
        <v>339</v>
      </c>
      <c r="C909" s="522" t="s">
        <v>952</v>
      </c>
      <c r="D909" s="523" t="s">
        <v>1035</v>
      </c>
      <c r="E909" s="530">
        <v>8936</v>
      </c>
      <c r="F909" s="532"/>
      <c r="G909" s="531">
        <v>9848.74</v>
      </c>
      <c r="H909" s="532"/>
      <c r="I909" s="532"/>
      <c r="J909" s="532"/>
      <c r="K909" s="532"/>
      <c r="L909" s="532"/>
      <c r="M909" s="531">
        <v>43.96</v>
      </c>
      <c r="N909" s="531">
        <v>296.55</v>
      </c>
      <c r="O909" s="532"/>
      <c r="P909" s="532"/>
      <c r="Q909" s="531">
        <v>0</v>
      </c>
      <c r="R909" s="531">
        <v>10189.25</v>
      </c>
      <c r="S909" s="527">
        <f t="shared" si="118"/>
        <v>9848.74</v>
      </c>
      <c r="T909" s="528">
        <f t="shared" si="119"/>
        <v>0</v>
      </c>
      <c r="U909" s="527">
        <f t="shared" si="120"/>
        <v>296.55</v>
      </c>
      <c r="V909" s="529"/>
      <c r="W909" s="326">
        <f t="shared" si="121"/>
        <v>10189.249999999998</v>
      </c>
      <c r="X909" s="261">
        <f t="shared" si="122"/>
        <v>0</v>
      </c>
      <c r="Z909" s="1016">
        <f t="shared" si="123"/>
        <v>9848.74</v>
      </c>
    </row>
    <row r="910" spans="1:26" s="836" customFormat="1" ht="12.75" hidden="1" thickBot="1">
      <c r="A910" s="522" t="s">
        <v>1424</v>
      </c>
      <c r="B910" s="522" t="s">
        <v>344</v>
      </c>
      <c r="C910" s="522" t="s">
        <v>953</v>
      </c>
      <c r="D910" s="523" t="s">
        <v>1035</v>
      </c>
      <c r="E910" s="524">
        <v>1211</v>
      </c>
      <c r="F910" s="526"/>
      <c r="G910" s="525">
        <v>2079</v>
      </c>
      <c r="H910" s="526"/>
      <c r="I910" s="526"/>
      <c r="J910" s="526"/>
      <c r="K910" s="526"/>
      <c r="L910" s="526"/>
      <c r="M910" s="525">
        <v>6.01</v>
      </c>
      <c r="N910" s="525">
        <v>62.36</v>
      </c>
      <c r="O910" s="526"/>
      <c r="P910" s="526"/>
      <c r="Q910" s="525">
        <v>0</v>
      </c>
      <c r="R910" s="525">
        <v>2147.37</v>
      </c>
      <c r="S910" s="527">
        <f t="shared" si="118"/>
        <v>2079</v>
      </c>
      <c r="T910" s="528">
        <f t="shared" si="119"/>
        <v>0</v>
      </c>
      <c r="U910" s="527">
        <f t="shared" si="120"/>
        <v>62.36</v>
      </c>
      <c r="V910" s="529"/>
      <c r="W910" s="326">
        <f t="shared" si="121"/>
        <v>2147.3700000000003</v>
      </c>
      <c r="X910" s="261">
        <f t="shared" si="122"/>
        <v>0</v>
      </c>
      <c r="Z910" s="1016">
        <f t="shared" si="123"/>
        <v>2079</v>
      </c>
    </row>
    <row r="911" spans="1:26" s="836" customFormat="1" ht="12.75" hidden="1" thickBot="1">
      <c r="A911" s="522" t="s">
        <v>1424</v>
      </c>
      <c r="B911" s="522" t="s">
        <v>347</v>
      </c>
      <c r="C911" s="522" t="s">
        <v>954</v>
      </c>
      <c r="D911" s="523" t="s">
        <v>1035</v>
      </c>
      <c r="E911" s="530">
        <v>1727</v>
      </c>
      <c r="F911" s="532"/>
      <c r="G911" s="531">
        <v>2570.54</v>
      </c>
      <c r="H911" s="532"/>
      <c r="I911" s="532"/>
      <c r="J911" s="532"/>
      <c r="K911" s="532"/>
      <c r="L911" s="532"/>
      <c r="M911" s="531">
        <v>8.58</v>
      </c>
      <c r="N911" s="531">
        <v>77.12</v>
      </c>
      <c r="O911" s="532"/>
      <c r="P911" s="532"/>
      <c r="Q911" s="531">
        <v>0</v>
      </c>
      <c r="R911" s="531">
        <v>2656.24</v>
      </c>
      <c r="S911" s="527">
        <f t="shared" si="118"/>
        <v>2570.54</v>
      </c>
      <c r="T911" s="528">
        <f t="shared" si="119"/>
        <v>0</v>
      </c>
      <c r="U911" s="527">
        <f t="shared" si="120"/>
        <v>77.12</v>
      </c>
      <c r="V911" s="529"/>
      <c r="W911" s="326">
        <f t="shared" si="121"/>
        <v>2656.24</v>
      </c>
      <c r="X911" s="261">
        <f t="shared" si="122"/>
        <v>0</v>
      </c>
      <c r="Z911" s="1016">
        <f t="shared" si="123"/>
        <v>2570.54</v>
      </c>
    </row>
    <row r="912" spans="1:26" s="836" customFormat="1" ht="12.75" hidden="1" thickBot="1">
      <c r="A912" s="522" t="s">
        <v>1424</v>
      </c>
      <c r="B912" s="522" t="s">
        <v>348</v>
      </c>
      <c r="C912" s="522" t="s">
        <v>955</v>
      </c>
      <c r="D912" s="523" t="s">
        <v>1035</v>
      </c>
      <c r="E912" s="524">
        <v>226</v>
      </c>
      <c r="F912" s="526"/>
      <c r="G912" s="525">
        <v>308.75</v>
      </c>
      <c r="H912" s="526"/>
      <c r="I912" s="526"/>
      <c r="J912" s="526"/>
      <c r="K912" s="526"/>
      <c r="L912" s="526"/>
      <c r="M912" s="525">
        <v>1.1200000000000001</v>
      </c>
      <c r="N912" s="525">
        <v>9.26</v>
      </c>
      <c r="O912" s="526"/>
      <c r="P912" s="526"/>
      <c r="Q912" s="525">
        <v>0</v>
      </c>
      <c r="R912" s="525">
        <v>319.13</v>
      </c>
      <c r="S912" s="527">
        <f t="shared" si="118"/>
        <v>308.75</v>
      </c>
      <c r="T912" s="528">
        <f t="shared" si="119"/>
        <v>0</v>
      </c>
      <c r="U912" s="527">
        <f t="shared" si="120"/>
        <v>9.26</v>
      </c>
      <c r="V912" s="529"/>
      <c r="W912" s="326">
        <f t="shared" si="121"/>
        <v>319.13</v>
      </c>
      <c r="X912" s="261">
        <f t="shared" si="122"/>
        <v>0</v>
      </c>
      <c r="Z912" s="1016">
        <f t="shared" si="123"/>
        <v>308.75</v>
      </c>
    </row>
    <row r="913" spans="1:26" s="836" customFormat="1" ht="12.75" hidden="1" thickBot="1">
      <c r="A913" s="522" t="s">
        <v>1424</v>
      </c>
      <c r="B913" s="522" t="s">
        <v>349</v>
      </c>
      <c r="C913" s="522" t="s">
        <v>956</v>
      </c>
      <c r="D913" s="523" t="s">
        <v>1035</v>
      </c>
      <c r="E913" s="530">
        <v>45</v>
      </c>
      <c r="F913" s="532"/>
      <c r="G913" s="531">
        <v>63.11</v>
      </c>
      <c r="H913" s="532"/>
      <c r="I913" s="532"/>
      <c r="J913" s="532"/>
      <c r="K913" s="532"/>
      <c r="L913" s="532"/>
      <c r="M913" s="531">
        <v>0.22</v>
      </c>
      <c r="N913" s="531">
        <v>1.89</v>
      </c>
      <c r="O913" s="532"/>
      <c r="P913" s="532"/>
      <c r="Q913" s="531">
        <v>0</v>
      </c>
      <c r="R913" s="531">
        <v>65.22</v>
      </c>
      <c r="S913" s="527">
        <f t="shared" si="118"/>
        <v>63.11</v>
      </c>
      <c r="T913" s="528">
        <f t="shared" si="119"/>
        <v>0</v>
      </c>
      <c r="U913" s="527">
        <f t="shared" si="120"/>
        <v>1.89</v>
      </c>
      <c r="V913" s="529"/>
      <c r="W913" s="326">
        <f t="shared" si="121"/>
        <v>65.22</v>
      </c>
      <c r="X913" s="261">
        <f t="shared" si="122"/>
        <v>0</v>
      </c>
      <c r="Z913" s="1016">
        <f t="shared" si="123"/>
        <v>63.11</v>
      </c>
    </row>
    <row r="914" spans="1:26" s="836" customFormat="1" ht="12.75" hidden="1" thickBot="1">
      <c r="A914" s="522" t="s">
        <v>1424</v>
      </c>
      <c r="B914" s="522" t="s">
        <v>351</v>
      </c>
      <c r="C914" s="522" t="s">
        <v>957</v>
      </c>
      <c r="D914" s="523" t="s">
        <v>1035</v>
      </c>
      <c r="E914" s="524">
        <v>232</v>
      </c>
      <c r="F914" s="526"/>
      <c r="G914" s="525">
        <v>404.7</v>
      </c>
      <c r="H914" s="526"/>
      <c r="I914" s="526"/>
      <c r="J914" s="526"/>
      <c r="K914" s="526"/>
      <c r="L914" s="526"/>
      <c r="M914" s="525">
        <v>1.1499999999999999</v>
      </c>
      <c r="N914" s="525">
        <v>12.14</v>
      </c>
      <c r="O914" s="526"/>
      <c r="P914" s="526"/>
      <c r="Q914" s="525">
        <v>0</v>
      </c>
      <c r="R914" s="525">
        <v>417.99</v>
      </c>
      <c r="S914" s="527">
        <f t="shared" si="118"/>
        <v>404.7</v>
      </c>
      <c r="T914" s="528">
        <f t="shared" si="119"/>
        <v>0</v>
      </c>
      <c r="U914" s="527">
        <f t="shared" si="120"/>
        <v>12.14</v>
      </c>
      <c r="V914" s="529"/>
      <c r="W914" s="326">
        <f t="shared" si="121"/>
        <v>417.98999999999995</v>
      </c>
      <c r="X914" s="261">
        <f t="shared" si="122"/>
        <v>0</v>
      </c>
      <c r="Z914" s="1016">
        <f t="shared" si="123"/>
        <v>404.7</v>
      </c>
    </row>
    <row r="915" spans="1:26" s="836" customFormat="1" ht="12.75" hidden="1" thickBot="1">
      <c r="A915" s="522" t="s">
        <v>1424</v>
      </c>
      <c r="B915" s="522" t="s">
        <v>352</v>
      </c>
      <c r="C915" s="522" t="s">
        <v>958</v>
      </c>
      <c r="D915" s="523" t="s">
        <v>1035</v>
      </c>
      <c r="E915" s="530">
        <v>413</v>
      </c>
      <c r="F915" s="532"/>
      <c r="G915" s="531">
        <v>710.73</v>
      </c>
      <c r="H915" s="532"/>
      <c r="I915" s="532"/>
      <c r="J915" s="532"/>
      <c r="K915" s="532"/>
      <c r="L915" s="532"/>
      <c r="M915" s="531">
        <v>2.0499999999999998</v>
      </c>
      <c r="N915" s="531">
        <v>21.31</v>
      </c>
      <c r="O915" s="532"/>
      <c r="P915" s="532"/>
      <c r="Q915" s="531">
        <v>0</v>
      </c>
      <c r="R915" s="531">
        <v>734.09</v>
      </c>
      <c r="S915" s="527">
        <f t="shared" si="118"/>
        <v>710.73</v>
      </c>
      <c r="T915" s="528">
        <f t="shared" si="119"/>
        <v>0</v>
      </c>
      <c r="U915" s="527">
        <f t="shared" si="120"/>
        <v>21.31</v>
      </c>
      <c r="V915" s="529"/>
      <c r="W915" s="326">
        <f t="shared" si="121"/>
        <v>734.08999999999992</v>
      </c>
      <c r="X915" s="261">
        <f t="shared" si="122"/>
        <v>0</v>
      </c>
      <c r="Z915" s="1016">
        <f t="shared" si="123"/>
        <v>710.73</v>
      </c>
    </row>
    <row r="916" spans="1:26" s="836" customFormat="1" ht="12.75" hidden="1" thickBot="1">
      <c r="A916" s="522" t="s">
        <v>1424</v>
      </c>
      <c r="B916" s="522" t="s">
        <v>354</v>
      </c>
      <c r="C916" s="522" t="s">
        <v>959</v>
      </c>
      <c r="D916" s="523" t="s">
        <v>1035</v>
      </c>
      <c r="E916" s="524">
        <v>1253</v>
      </c>
      <c r="F916" s="526"/>
      <c r="G916" s="525">
        <v>1530.75</v>
      </c>
      <c r="H916" s="526"/>
      <c r="I916" s="526"/>
      <c r="J916" s="526"/>
      <c r="K916" s="526"/>
      <c r="L916" s="526"/>
      <c r="M916" s="525">
        <v>6.22</v>
      </c>
      <c r="N916" s="525">
        <v>45.96</v>
      </c>
      <c r="O916" s="526"/>
      <c r="P916" s="526"/>
      <c r="Q916" s="525">
        <v>0</v>
      </c>
      <c r="R916" s="525">
        <v>1582.93</v>
      </c>
      <c r="S916" s="527">
        <f t="shared" si="118"/>
        <v>1530.75</v>
      </c>
      <c r="T916" s="528">
        <f t="shared" si="119"/>
        <v>0</v>
      </c>
      <c r="U916" s="527">
        <f t="shared" si="120"/>
        <v>45.96</v>
      </c>
      <c r="V916" s="529"/>
      <c r="W916" s="326">
        <f t="shared" si="121"/>
        <v>1582.93</v>
      </c>
      <c r="X916" s="261">
        <f t="shared" si="122"/>
        <v>0</v>
      </c>
      <c r="Z916" s="1016">
        <f t="shared" si="123"/>
        <v>1530.75</v>
      </c>
    </row>
    <row r="917" spans="1:26" s="836" customFormat="1" ht="12.75" hidden="1" thickBot="1">
      <c r="A917" s="522" t="s">
        <v>1424</v>
      </c>
      <c r="B917" s="522" t="s">
        <v>355</v>
      </c>
      <c r="C917" s="522" t="s">
        <v>960</v>
      </c>
      <c r="D917" s="523" t="s">
        <v>1035</v>
      </c>
      <c r="E917" s="530">
        <v>45</v>
      </c>
      <c r="F917" s="532"/>
      <c r="G917" s="531">
        <v>56.69</v>
      </c>
      <c r="H917" s="532"/>
      <c r="I917" s="532"/>
      <c r="J917" s="532"/>
      <c r="K917" s="532"/>
      <c r="L917" s="532"/>
      <c r="M917" s="531">
        <v>0.22</v>
      </c>
      <c r="N917" s="531">
        <v>1.7</v>
      </c>
      <c r="O917" s="532"/>
      <c r="P917" s="532"/>
      <c r="Q917" s="531">
        <v>0</v>
      </c>
      <c r="R917" s="531">
        <v>58.61</v>
      </c>
      <c r="S917" s="527">
        <f t="shared" si="118"/>
        <v>56.69</v>
      </c>
      <c r="T917" s="528">
        <f t="shared" si="119"/>
        <v>0</v>
      </c>
      <c r="U917" s="527">
        <f t="shared" si="120"/>
        <v>1.7</v>
      </c>
      <c r="V917" s="529"/>
      <c r="W917" s="326">
        <f t="shared" si="121"/>
        <v>58.61</v>
      </c>
      <c r="X917" s="261">
        <f t="shared" si="122"/>
        <v>0</v>
      </c>
      <c r="Z917" s="1016">
        <f t="shared" si="123"/>
        <v>56.69</v>
      </c>
    </row>
    <row r="918" spans="1:26" s="836" customFormat="1" ht="12.75" hidden="1" thickBot="1">
      <c r="A918" s="522" t="s">
        <v>1424</v>
      </c>
      <c r="B918" s="522" t="s">
        <v>341</v>
      </c>
      <c r="C918" s="522" t="s">
        <v>961</v>
      </c>
      <c r="D918" s="523" t="s">
        <v>1035</v>
      </c>
      <c r="E918" s="524">
        <v>699</v>
      </c>
      <c r="F918" s="526"/>
      <c r="G918" s="525">
        <v>1117.8</v>
      </c>
      <c r="H918" s="526"/>
      <c r="I918" s="526"/>
      <c r="J918" s="526"/>
      <c r="K918" s="526"/>
      <c r="L918" s="526"/>
      <c r="M918" s="525">
        <v>3.25</v>
      </c>
      <c r="N918" s="525">
        <v>34.03</v>
      </c>
      <c r="O918" s="526"/>
      <c r="P918" s="526"/>
      <c r="Q918" s="525">
        <v>0</v>
      </c>
      <c r="R918" s="525">
        <v>1155.08</v>
      </c>
      <c r="S918" s="527">
        <f t="shared" si="118"/>
        <v>1117.8</v>
      </c>
      <c r="T918" s="528">
        <f t="shared" si="119"/>
        <v>0</v>
      </c>
      <c r="U918" s="527">
        <f t="shared" si="120"/>
        <v>34.03</v>
      </c>
      <c r="V918" s="529"/>
      <c r="W918" s="326">
        <f t="shared" si="121"/>
        <v>1155.08</v>
      </c>
      <c r="X918" s="261">
        <f t="shared" si="122"/>
        <v>0</v>
      </c>
      <c r="Z918" s="1016">
        <f t="shared" si="123"/>
        <v>1117.8</v>
      </c>
    </row>
    <row r="919" spans="1:26" s="836" customFormat="1" ht="12.75" hidden="1" thickBot="1">
      <c r="A919" s="522" t="s">
        <v>1424</v>
      </c>
      <c r="B919" s="522" t="s">
        <v>350</v>
      </c>
      <c r="C919" s="522" t="s">
        <v>962</v>
      </c>
      <c r="D919" s="523" t="s">
        <v>1035</v>
      </c>
      <c r="E919" s="530">
        <v>45</v>
      </c>
      <c r="F919" s="532"/>
      <c r="G919" s="531">
        <v>82.3</v>
      </c>
      <c r="H919" s="532"/>
      <c r="I919" s="532"/>
      <c r="J919" s="532"/>
      <c r="K919" s="532"/>
      <c r="L919" s="532"/>
      <c r="M919" s="531">
        <v>0.22</v>
      </c>
      <c r="N919" s="531">
        <v>2.4700000000000002</v>
      </c>
      <c r="O919" s="532"/>
      <c r="P919" s="532"/>
      <c r="Q919" s="531">
        <v>0</v>
      </c>
      <c r="R919" s="531">
        <v>84.99</v>
      </c>
      <c r="S919" s="527">
        <f t="shared" si="118"/>
        <v>82.3</v>
      </c>
      <c r="T919" s="528">
        <f t="shared" si="119"/>
        <v>0</v>
      </c>
      <c r="U919" s="527">
        <f t="shared" si="120"/>
        <v>2.4700000000000002</v>
      </c>
      <c r="V919" s="529"/>
      <c r="W919" s="326">
        <f t="shared" si="121"/>
        <v>84.99</v>
      </c>
      <c r="X919" s="261">
        <f t="shared" si="122"/>
        <v>0</v>
      </c>
      <c r="Z919" s="1016">
        <f t="shared" si="123"/>
        <v>82.3</v>
      </c>
    </row>
    <row r="920" spans="1:26" s="836" customFormat="1" ht="12.75" hidden="1" thickBot="1">
      <c r="A920" s="522" t="s">
        <v>1424</v>
      </c>
      <c r="B920" s="522" t="s">
        <v>342</v>
      </c>
      <c r="C920" s="522" t="s">
        <v>963</v>
      </c>
      <c r="D920" s="523" t="s">
        <v>1035</v>
      </c>
      <c r="E920" s="524">
        <v>1021</v>
      </c>
      <c r="F920" s="526"/>
      <c r="G920" s="525">
        <v>1490.4</v>
      </c>
      <c r="H920" s="526"/>
      <c r="I920" s="526"/>
      <c r="J920" s="526"/>
      <c r="K920" s="526"/>
      <c r="L920" s="526"/>
      <c r="M920" s="525">
        <v>5.07</v>
      </c>
      <c r="N920" s="525">
        <v>44.71</v>
      </c>
      <c r="O920" s="526"/>
      <c r="P920" s="526"/>
      <c r="Q920" s="525">
        <v>0</v>
      </c>
      <c r="R920" s="525">
        <v>1540.18</v>
      </c>
      <c r="S920" s="527">
        <f t="shared" ref="S920:S984" si="124">G920+H920+I920</f>
        <v>1490.4</v>
      </c>
      <c r="T920" s="528">
        <f t="shared" ref="T920:T984" si="125">J920+K920</f>
        <v>0</v>
      </c>
      <c r="U920" s="527">
        <f t="shared" ref="U920:U984" si="126">N920+O920</f>
        <v>44.71</v>
      </c>
      <c r="V920" s="529"/>
      <c r="W920" s="326">
        <f t="shared" ref="W920:W984" si="127">SUM(F920:Q920)</f>
        <v>1540.18</v>
      </c>
      <c r="X920" s="261">
        <f t="shared" ref="X920:X984" si="128">W920-R920</f>
        <v>0</v>
      </c>
      <c r="Z920" s="1016">
        <f t="shared" si="123"/>
        <v>1490.4</v>
      </c>
    </row>
    <row r="921" spans="1:26" s="836" customFormat="1" ht="12.75" hidden="1" thickBot="1">
      <c r="A921" s="522" t="s">
        <v>1424</v>
      </c>
      <c r="B921" s="522" t="s">
        <v>346</v>
      </c>
      <c r="C921" s="522" t="s">
        <v>964</v>
      </c>
      <c r="D921" s="523" t="s">
        <v>1035</v>
      </c>
      <c r="E921" s="530">
        <v>193</v>
      </c>
      <c r="F921" s="532"/>
      <c r="G921" s="531">
        <v>303.52</v>
      </c>
      <c r="H921" s="532"/>
      <c r="I921" s="532"/>
      <c r="J921" s="532"/>
      <c r="K921" s="532"/>
      <c r="L921" s="532"/>
      <c r="M921" s="531">
        <v>0.96</v>
      </c>
      <c r="N921" s="531">
        <v>9.1</v>
      </c>
      <c r="O921" s="532"/>
      <c r="P921" s="532"/>
      <c r="Q921" s="531">
        <v>0</v>
      </c>
      <c r="R921" s="531">
        <v>313.58</v>
      </c>
      <c r="S921" s="527">
        <f t="shared" si="124"/>
        <v>303.52</v>
      </c>
      <c r="T921" s="528">
        <f t="shared" si="125"/>
        <v>0</v>
      </c>
      <c r="U921" s="527">
        <f t="shared" si="126"/>
        <v>9.1</v>
      </c>
      <c r="V921" s="529"/>
      <c r="W921" s="326">
        <f t="shared" si="127"/>
        <v>313.58</v>
      </c>
      <c r="X921" s="261">
        <f t="shared" si="128"/>
        <v>0</v>
      </c>
      <c r="Z921" s="1016">
        <f t="shared" si="123"/>
        <v>303.52</v>
      </c>
    </row>
    <row r="922" spans="1:26" s="836" customFormat="1" ht="12.75" hidden="1" thickBot="1">
      <c r="A922" s="522" t="s">
        <v>1424</v>
      </c>
      <c r="B922" s="522" t="s">
        <v>353</v>
      </c>
      <c r="C922" s="522" t="s">
        <v>965</v>
      </c>
      <c r="D922" s="523" t="s">
        <v>1035</v>
      </c>
      <c r="E922" s="524">
        <v>153</v>
      </c>
      <c r="F922" s="526"/>
      <c r="G922" s="525">
        <v>236.91</v>
      </c>
      <c r="H922" s="526"/>
      <c r="I922" s="526"/>
      <c r="J922" s="526"/>
      <c r="K922" s="526"/>
      <c r="L922" s="526"/>
      <c r="M922" s="525">
        <v>0.76</v>
      </c>
      <c r="N922" s="525">
        <v>7.11</v>
      </c>
      <c r="O922" s="526"/>
      <c r="P922" s="526"/>
      <c r="Q922" s="525">
        <v>0</v>
      </c>
      <c r="R922" s="525">
        <v>244.78</v>
      </c>
      <c r="S922" s="527">
        <f t="shared" si="124"/>
        <v>236.91</v>
      </c>
      <c r="T922" s="528">
        <f t="shared" si="125"/>
        <v>0</v>
      </c>
      <c r="U922" s="527">
        <f t="shared" si="126"/>
        <v>7.11</v>
      </c>
      <c r="V922" s="529"/>
      <c r="W922" s="326">
        <f t="shared" si="127"/>
        <v>244.78</v>
      </c>
      <c r="X922" s="261">
        <f t="shared" si="128"/>
        <v>0</v>
      </c>
      <c r="Z922" s="1016">
        <f t="shared" si="123"/>
        <v>236.91</v>
      </c>
    </row>
    <row r="923" spans="1:26" s="836" customFormat="1" ht="12.75" hidden="1" thickBot="1">
      <c r="A923" s="522" t="s">
        <v>1424</v>
      </c>
      <c r="B923" s="522" t="s">
        <v>345</v>
      </c>
      <c r="C923" s="522" t="s">
        <v>966</v>
      </c>
      <c r="D923" s="523" t="s">
        <v>1035</v>
      </c>
      <c r="E923" s="530">
        <v>102</v>
      </c>
      <c r="F923" s="532"/>
      <c r="G923" s="531">
        <v>154.52000000000001</v>
      </c>
      <c r="H923" s="532"/>
      <c r="I923" s="532"/>
      <c r="J923" s="532"/>
      <c r="K923" s="532"/>
      <c r="L923" s="532"/>
      <c r="M923" s="531">
        <v>0.51</v>
      </c>
      <c r="N923" s="531">
        <v>4.6399999999999997</v>
      </c>
      <c r="O923" s="532"/>
      <c r="P923" s="532"/>
      <c r="Q923" s="531">
        <v>0</v>
      </c>
      <c r="R923" s="531">
        <v>159.66999999999999</v>
      </c>
      <c r="S923" s="527">
        <f t="shared" si="124"/>
        <v>154.52000000000001</v>
      </c>
      <c r="T923" s="528">
        <f t="shared" si="125"/>
        <v>0</v>
      </c>
      <c r="U923" s="527">
        <f t="shared" si="126"/>
        <v>4.6399999999999997</v>
      </c>
      <c r="V923" s="529"/>
      <c r="W923" s="326">
        <f t="shared" si="127"/>
        <v>159.66999999999999</v>
      </c>
      <c r="X923" s="261">
        <f t="shared" si="128"/>
        <v>0</v>
      </c>
      <c r="Z923" s="1016">
        <f t="shared" si="123"/>
        <v>154.52000000000001</v>
      </c>
    </row>
    <row r="924" spans="1:26" s="836" customFormat="1" ht="12.75" hidden="1" thickBot="1">
      <c r="A924" s="522" t="s">
        <v>1424</v>
      </c>
      <c r="B924" s="522" t="s">
        <v>343</v>
      </c>
      <c r="C924" s="522" t="s">
        <v>967</v>
      </c>
      <c r="D924" s="523" t="s">
        <v>1035</v>
      </c>
      <c r="E924" s="524">
        <v>2546</v>
      </c>
      <c r="F924" s="526"/>
      <c r="G924" s="525">
        <v>3273.69</v>
      </c>
      <c r="H924" s="526"/>
      <c r="I924" s="526"/>
      <c r="J924" s="526"/>
      <c r="K924" s="526"/>
      <c r="L924" s="526"/>
      <c r="M924" s="525">
        <v>12.64</v>
      </c>
      <c r="N924" s="525">
        <v>98.26</v>
      </c>
      <c r="O924" s="526"/>
      <c r="P924" s="526"/>
      <c r="Q924" s="525">
        <v>0</v>
      </c>
      <c r="R924" s="525">
        <v>3384.59</v>
      </c>
      <c r="S924" s="527">
        <f t="shared" si="124"/>
        <v>3273.69</v>
      </c>
      <c r="T924" s="528">
        <f t="shared" si="125"/>
        <v>0</v>
      </c>
      <c r="U924" s="527">
        <f t="shared" si="126"/>
        <v>98.26</v>
      </c>
      <c r="V924" s="529"/>
      <c r="W924" s="326">
        <f t="shared" si="127"/>
        <v>3384.59</v>
      </c>
      <c r="X924" s="261">
        <f t="shared" si="128"/>
        <v>0</v>
      </c>
      <c r="Z924" s="1016">
        <f t="shared" si="123"/>
        <v>3273.69</v>
      </c>
    </row>
    <row r="925" spans="1:26" s="836" customFormat="1" ht="12.75" hidden="1" thickBot="1">
      <c r="A925" s="522" t="s">
        <v>1424</v>
      </c>
      <c r="B925" s="522" t="s">
        <v>472</v>
      </c>
      <c r="C925" s="522" t="s">
        <v>968</v>
      </c>
      <c r="D925" s="523" t="s">
        <v>1035</v>
      </c>
      <c r="E925" s="530">
        <v>101</v>
      </c>
      <c r="F925" s="532"/>
      <c r="G925" s="531">
        <v>151.80000000000001</v>
      </c>
      <c r="H925" s="532"/>
      <c r="I925" s="532"/>
      <c r="J925" s="532"/>
      <c r="K925" s="532"/>
      <c r="L925" s="532"/>
      <c r="M925" s="531">
        <v>0.5</v>
      </c>
      <c r="N925" s="531">
        <v>4.55</v>
      </c>
      <c r="O925" s="532"/>
      <c r="P925" s="532"/>
      <c r="Q925" s="532"/>
      <c r="R925" s="531">
        <v>156.85</v>
      </c>
      <c r="S925" s="527">
        <f t="shared" si="124"/>
        <v>151.80000000000001</v>
      </c>
      <c r="T925" s="528">
        <f t="shared" si="125"/>
        <v>0</v>
      </c>
      <c r="U925" s="527">
        <f t="shared" si="126"/>
        <v>4.55</v>
      </c>
      <c r="V925" s="529"/>
      <c r="W925" s="326">
        <f t="shared" si="127"/>
        <v>156.85000000000002</v>
      </c>
      <c r="X925" s="261">
        <f t="shared" si="128"/>
        <v>0</v>
      </c>
      <c r="Z925" s="1016">
        <f t="shared" si="123"/>
        <v>151.80000000000001</v>
      </c>
    </row>
    <row r="926" spans="1:26" s="836" customFormat="1" ht="12.75" hidden="1" thickBot="1">
      <c r="A926" s="522" t="s">
        <v>1424</v>
      </c>
      <c r="B926" s="522" t="s">
        <v>382</v>
      </c>
      <c r="C926" s="522" t="s">
        <v>969</v>
      </c>
      <c r="D926" s="533" t="s">
        <v>1035</v>
      </c>
      <c r="E926" s="524">
        <v>1130</v>
      </c>
      <c r="F926" s="526"/>
      <c r="G926" s="525">
        <v>772.72</v>
      </c>
      <c r="H926" s="526"/>
      <c r="I926" s="526"/>
      <c r="J926" s="526"/>
      <c r="K926" s="526"/>
      <c r="L926" s="526"/>
      <c r="M926" s="525">
        <v>3.5</v>
      </c>
      <c r="N926" s="525">
        <v>25.22</v>
      </c>
      <c r="O926" s="526"/>
      <c r="P926" s="526"/>
      <c r="Q926" s="525">
        <v>0</v>
      </c>
      <c r="R926" s="525">
        <v>801.44</v>
      </c>
      <c r="S926" s="527">
        <f t="shared" si="124"/>
        <v>772.72</v>
      </c>
      <c r="T926" s="528">
        <f t="shared" si="125"/>
        <v>0</v>
      </c>
      <c r="U926" s="527">
        <f t="shared" si="126"/>
        <v>25.22</v>
      </c>
      <c r="V926" s="529"/>
      <c r="W926" s="326">
        <f t="shared" si="127"/>
        <v>801.44</v>
      </c>
      <c r="X926" s="261">
        <f t="shared" si="128"/>
        <v>0</v>
      </c>
      <c r="Z926" s="1016">
        <f t="shared" si="123"/>
        <v>772.72</v>
      </c>
    </row>
    <row r="927" spans="1:26" s="836" customFormat="1" ht="12.75" hidden="1" thickBot="1">
      <c r="A927" s="522" t="s">
        <v>1424</v>
      </c>
      <c r="B927" s="522" t="s">
        <v>402</v>
      </c>
      <c r="C927" s="522" t="s">
        <v>970</v>
      </c>
      <c r="D927" s="533" t="s">
        <v>1036</v>
      </c>
      <c r="E927" s="530">
        <v>386380</v>
      </c>
      <c r="F927" s="532"/>
      <c r="G927" s="531">
        <v>74347.649999999994</v>
      </c>
      <c r="H927" s="532"/>
      <c r="I927" s="532"/>
      <c r="J927" s="532"/>
      <c r="K927" s="532"/>
      <c r="L927" s="532"/>
      <c r="M927" s="531">
        <v>1021.22</v>
      </c>
      <c r="N927" s="531">
        <v>2521.35</v>
      </c>
      <c r="O927" s="532"/>
      <c r="P927" s="532"/>
      <c r="Q927" s="531">
        <v>0</v>
      </c>
      <c r="R927" s="531">
        <v>77890.22</v>
      </c>
      <c r="S927" s="527">
        <f t="shared" si="124"/>
        <v>74347.649999999994</v>
      </c>
      <c r="T927" s="528">
        <f t="shared" si="125"/>
        <v>0</v>
      </c>
      <c r="U927" s="527">
        <f t="shared" si="126"/>
        <v>2521.35</v>
      </c>
      <c r="V927" s="529"/>
      <c r="W927" s="326">
        <f t="shared" si="127"/>
        <v>77890.22</v>
      </c>
      <c r="X927" s="261">
        <f t="shared" si="128"/>
        <v>0</v>
      </c>
      <c r="Z927" s="1016">
        <f t="shared" si="123"/>
        <v>74347.649999999994</v>
      </c>
    </row>
    <row r="928" spans="1:26" s="836" customFormat="1" ht="12.75" hidden="1" thickBot="1">
      <c r="A928" s="522" t="s">
        <v>1424</v>
      </c>
      <c r="B928" s="522" t="s">
        <v>398</v>
      </c>
      <c r="C928" s="522" t="s">
        <v>971</v>
      </c>
      <c r="D928" s="533" t="s">
        <v>1036</v>
      </c>
      <c r="E928" s="524">
        <v>16975</v>
      </c>
      <c r="F928" s="526"/>
      <c r="G928" s="525">
        <v>1604.27</v>
      </c>
      <c r="H928" s="526"/>
      <c r="I928" s="526"/>
      <c r="J928" s="526"/>
      <c r="K928" s="526"/>
      <c r="L928" s="526"/>
      <c r="M928" s="525">
        <v>49.28</v>
      </c>
      <c r="N928" s="525">
        <v>54.19</v>
      </c>
      <c r="O928" s="526"/>
      <c r="P928" s="526"/>
      <c r="Q928" s="525">
        <v>0</v>
      </c>
      <c r="R928" s="525">
        <v>1707.74</v>
      </c>
      <c r="S928" s="527">
        <f t="shared" si="124"/>
        <v>1604.27</v>
      </c>
      <c r="T928" s="528">
        <f t="shared" si="125"/>
        <v>0</v>
      </c>
      <c r="U928" s="527">
        <f t="shared" si="126"/>
        <v>54.19</v>
      </c>
      <c r="V928" s="529"/>
      <c r="W928" s="326">
        <f t="shared" si="127"/>
        <v>1707.74</v>
      </c>
      <c r="X928" s="261">
        <f t="shared" si="128"/>
        <v>0</v>
      </c>
      <c r="Z928" s="1016">
        <f t="shared" si="123"/>
        <v>1604.27</v>
      </c>
    </row>
    <row r="929" spans="1:26" s="836" customFormat="1" ht="12.75" hidden="1" thickBot="1">
      <c r="A929" s="522" t="s">
        <v>1424</v>
      </c>
      <c r="B929" s="522" t="s">
        <v>376</v>
      </c>
      <c r="C929" s="522" t="s">
        <v>972</v>
      </c>
      <c r="D929" s="533" t="s">
        <v>1036</v>
      </c>
      <c r="E929" s="530">
        <v>3695</v>
      </c>
      <c r="F929" s="532"/>
      <c r="G929" s="531">
        <v>4862.3999999999996</v>
      </c>
      <c r="H929" s="532"/>
      <c r="I929" s="532"/>
      <c r="J929" s="532"/>
      <c r="K929" s="532"/>
      <c r="L929" s="532"/>
      <c r="M929" s="531">
        <v>9.4600000000000009</v>
      </c>
      <c r="N929" s="531">
        <v>162.22999999999999</v>
      </c>
      <c r="O929" s="532"/>
      <c r="P929" s="532"/>
      <c r="Q929" s="531">
        <v>0</v>
      </c>
      <c r="R929" s="531">
        <v>5034.09</v>
      </c>
      <c r="S929" s="527">
        <f t="shared" si="124"/>
        <v>4862.3999999999996</v>
      </c>
      <c r="T929" s="528">
        <f t="shared" si="125"/>
        <v>0</v>
      </c>
      <c r="U929" s="527">
        <f t="shared" si="126"/>
        <v>162.22999999999999</v>
      </c>
      <c r="V929" s="529"/>
      <c r="W929" s="326">
        <f t="shared" si="127"/>
        <v>5034.0899999999992</v>
      </c>
      <c r="X929" s="261">
        <f t="shared" si="128"/>
        <v>0</v>
      </c>
      <c r="Z929" s="1016">
        <f t="shared" si="123"/>
        <v>4862.3999999999996</v>
      </c>
    </row>
    <row r="930" spans="1:26" s="836" customFormat="1" ht="12.75" hidden="1" thickBot="1">
      <c r="A930" s="522" t="s">
        <v>1424</v>
      </c>
      <c r="B930" s="522" t="s">
        <v>384</v>
      </c>
      <c r="C930" s="522" t="s">
        <v>973</v>
      </c>
      <c r="D930" s="533" t="s">
        <v>1035</v>
      </c>
      <c r="E930" s="524">
        <v>3286</v>
      </c>
      <c r="F930" s="526"/>
      <c r="G930" s="525">
        <v>3207</v>
      </c>
      <c r="H930" s="526"/>
      <c r="I930" s="526"/>
      <c r="J930" s="526"/>
      <c r="K930" s="526"/>
      <c r="L930" s="526"/>
      <c r="M930" s="525">
        <v>8.4</v>
      </c>
      <c r="N930" s="525">
        <v>107.06</v>
      </c>
      <c r="O930" s="526"/>
      <c r="P930" s="526"/>
      <c r="Q930" s="525">
        <v>0</v>
      </c>
      <c r="R930" s="525">
        <v>3322.46</v>
      </c>
      <c r="S930" s="527">
        <f t="shared" si="124"/>
        <v>3207</v>
      </c>
      <c r="T930" s="528">
        <f t="shared" si="125"/>
        <v>0</v>
      </c>
      <c r="U930" s="527">
        <f t="shared" si="126"/>
        <v>107.06</v>
      </c>
      <c r="V930" s="529"/>
      <c r="W930" s="326">
        <f t="shared" si="127"/>
        <v>3322.46</v>
      </c>
      <c r="X930" s="261">
        <f t="shared" si="128"/>
        <v>0</v>
      </c>
      <c r="Z930" s="1016">
        <f t="shared" si="123"/>
        <v>3207</v>
      </c>
    </row>
    <row r="931" spans="1:26" s="836" customFormat="1" ht="12.75" hidden="1" thickBot="1">
      <c r="A931" s="522" t="s">
        <v>1424</v>
      </c>
      <c r="B931" s="522" t="s">
        <v>386</v>
      </c>
      <c r="C931" s="522" t="s">
        <v>974</v>
      </c>
      <c r="D931" s="533" t="s">
        <v>1036</v>
      </c>
      <c r="E931" s="530">
        <v>578</v>
      </c>
      <c r="F931" s="532"/>
      <c r="G931" s="531">
        <v>863.52</v>
      </c>
      <c r="H931" s="532"/>
      <c r="I931" s="532"/>
      <c r="J931" s="532"/>
      <c r="K931" s="532"/>
      <c r="L931" s="532"/>
      <c r="M931" s="531">
        <v>1.48</v>
      </c>
      <c r="N931" s="531">
        <v>28.8</v>
      </c>
      <c r="O931" s="532"/>
      <c r="P931" s="532"/>
      <c r="Q931" s="531">
        <v>0</v>
      </c>
      <c r="R931" s="531">
        <v>893.8</v>
      </c>
      <c r="S931" s="527">
        <f t="shared" si="124"/>
        <v>863.52</v>
      </c>
      <c r="T931" s="528">
        <f t="shared" si="125"/>
        <v>0</v>
      </c>
      <c r="U931" s="527">
        <f t="shared" si="126"/>
        <v>28.8</v>
      </c>
      <c r="V931" s="529"/>
      <c r="W931" s="326">
        <f t="shared" si="127"/>
        <v>893.8</v>
      </c>
      <c r="X931" s="261">
        <f t="shared" si="128"/>
        <v>0</v>
      </c>
      <c r="Z931" s="1016">
        <f t="shared" si="123"/>
        <v>863.52</v>
      </c>
    </row>
    <row r="932" spans="1:26" s="836" customFormat="1" ht="12.75" hidden="1" thickBot="1">
      <c r="A932" s="522" t="s">
        <v>1424</v>
      </c>
      <c r="B932" s="522" t="s">
        <v>409</v>
      </c>
      <c r="C932" s="522" t="s">
        <v>975</v>
      </c>
      <c r="D932" s="533" t="s">
        <v>1036</v>
      </c>
      <c r="E932" s="524">
        <v>2948</v>
      </c>
      <c r="F932" s="526"/>
      <c r="G932" s="525">
        <v>2997.12</v>
      </c>
      <c r="H932" s="526"/>
      <c r="I932" s="526"/>
      <c r="J932" s="526"/>
      <c r="K932" s="526"/>
      <c r="L932" s="526"/>
      <c r="M932" s="525">
        <v>7.55</v>
      </c>
      <c r="N932" s="525">
        <v>100.06</v>
      </c>
      <c r="O932" s="526"/>
      <c r="P932" s="526"/>
      <c r="Q932" s="525">
        <v>0</v>
      </c>
      <c r="R932" s="525">
        <v>3104.73</v>
      </c>
      <c r="S932" s="527">
        <f t="shared" si="124"/>
        <v>2997.12</v>
      </c>
      <c r="T932" s="528">
        <f t="shared" si="125"/>
        <v>0</v>
      </c>
      <c r="U932" s="527">
        <f t="shared" si="126"/>
        <v>100.06</v>
      </c>
      <c r="V932" s="529"/>
      <c r="W932" s="326">
        <f t="shared" si="127"/>
        <v>3104.73</v>
      </c>
      <c r="X932" s="261">
        <f t="shared" si="128"/>
        <v>0</v>
      </c>
      <c r="Z932" s="1016">
        <f t="shared" si="123"/>
        <v>2997.12</v>
      </c>
    </row>
    <row r="933" spans="1:26" s="836" customFormat="1" ht="12.75" hidden="1" thickBot="1">
      <c r="A933" s="522" t="s">
        <v>1424</v>
      </c>
      <c r="B933" s="522" t="s">
        <v>387</v>
      </c>
      <c r="C933" s="522" t="s">
        <v>976</v>
      </c>
      <c r="D933" s="533" t="s">
        <v>1035</v>
      </c>
      <c r="E933" s="530">
        <v>435</v>
      </c>
      <c r="F933" s="532"/>
      <c r="G933" s="531">
        <v>647.64</v>
      </c>
      <c r="H933" s="532"/>
      <c r="I933" s="532"/>
      <c r="J933" s="532"/>
      <c r="K933" s="532"/>
      <c r="L933" s="532"/>
      <c r="M933" s="531">
        <v>2.16</v>
      </c>
      <c r="N933" s="531">
        <v>19.43</v>
      </c>
      <c r="O933" s="532"/>
      <c r="P933" s="532"/>
      <c r="Q933" s="531">
        <v>0</v>
      </c>
      <c r="R933" s="531">
        <v>669.23</v>
      </c>
      <c r="S933" s="527">
        <f t="shared" si="124"/>
        <v>647.64</v>
      </c>
      <c r="T933" s="528">
        <f t="shared" si="125"/>
        <v>0</v>
      </c>
      <c r="U933" s="527">
        <f t="shared" si="126"/>
        <v>19.43</v>
      </c>
      <c r="V933" s="529"/>
      <c r="W933" s="326">
        <f t="shared" si="127"/>
        <v>669.2299999999999</v>
      </c>
      <c r="X933" s="261">
        <f t="shared" si="128"/>
        <v>0</v>
      </c>
      <c r="Z933" s="1016">
        <f t="shared" si="123"/>
        <v>647.64</v>
      </c>
    </row>
    <row r="934" spans="1:26" s="836" customFormat="1" ht="12.75" hidden="1" thickBot="1">
      <c r="A934" s="522" t="s">
        <v>1424</v>
      </c>
      <c r="B934" s="522" t="s">
        <v>410</v>
      </c>
      <c r="C934" s="522" t="s">
        <v>977</v>
      </c>
      <c r="D934" s="533" t="s">
        <v>1035</v>
      </c>
      <c r="E934" s="524">
        <v>292</v>
      </c>
      <c r="F934" s="526"/>
      <c r="G934" s="525">
        <v>312.2</v>
      </c>
      <c r="H934" s="526"/>
      <c r="I934" s="526"/>
      <c r="J934" s="526"/>
      <c r="K934" s="526"/>
      <c r="L934" s="526"/>
      <c r="M934" s="525">
        <v>1.45</v>
      </c>
      <c r="N934" s="525">
        <v>9.3800000000000008</v>
      </c>
      <c r="O934" s="526"/>
      <c r="P934" s="526"/>
      <c r="Q934" s="525">
        <v>0</v>
      </c>
      <c r="R934" s="525">
        <v>323.02999999999997</v>
      </c>
      <c r="S934" s="527">
        <f t="shared" si="124"/>
        <v>312.2</v>
      </c>
      <c r="T934" s="528">
        <f t="shared" si="125"/>
        <v>0</v>
      </c>
      <c r="U934" s="527">
        <f t="shared" si="126"/>
        <v>9.3800000000000008</v>
      </c>
      <c r="V934" s="529"/>
      <c r="W934" s="326">
        <f t="shared" si="127"/>
        <v>323.02999999999997</v>
      </c>
      <c r="X934" s="261">
        <f t="shared" si="128"/>
        <v>0</v>
      </c>
      <c r="Z934" s="1016">
        <f t="shared" si="123"/>
        <v>312.2</v>
      </c>
    </row>
    <row r="935" spans="1:26" s="836" customFormat="1" ht="12.75" hidden="1" thickBot="1">
      <c r="A935" s="522" t="s">
        <v>1424</v>
      </c>
      <c r="B935" s="522" t="s">
        <v>405</v>
      </c>
      <c r="C935" s="522" t="s">
        <v>978</v>
      </c>
      <c r="D935" s="533" t="s">
        <v>1035</v>
      </c>
      <c r="E935" s="530">
        <v>15008</v>
      </c>
      <c r="F935" s="532"/>
      <c r="G935" s="531">
        <v>7326.72</v>
      </c>
      <c r="H935" s="532"/>
      <c r="I935" s="532"/>
      <c r="J935" s="532"/>
      <c r="K935" s="532"/>
      <c r="L935" s="532"/>
      <c r="M935" s="531">
        <v>47.53</v>
      </c>
      <c r="N935" s="531">
        <v>239.07</v>
      </c>
      <c r="O935" s="532"/>
      <c r="P935" s="532"/>
      <c r="Q935" s="531">
        <v>0</v>
      </c>
      <c r="R935" s="531">
        <v>7613.32</v>
      </c>
      <c r="S935" s="527">
        <f t="shared" si="124"/>
        <v>7326.72</v>
      </c>
      <c r="T935" s="528">
        <f t="shared" si="125"/>
        <v>0</v>
      </c>
      <c r="U935" s="527">
        <f t="shared" si="126"/>
        <v>239.07</v>
      </c>
      <c r="V935" s="529"/>
      <c r="W935" s="326">
        <f t="shared" si="127"/>
        <v>7613.32</v>
      </c>
      <c r="X935" s="261">
        <f t="shared" si="128"/>
        <v>0</v>
      </c>
      <c r="Z935" s="1016">
        <f t="shared" si="123"/>
        <v>7326.72</v>
      </c>
    </row>
    <row r="936" spans="1:26" s="836" customFormat="1" ht="12.75" hidden="1" thickBot="1">
      <c r="A936" s="522" t="s">
        <v>1424</v>
      </c>
      <c r="B936" s="522" t="s">
        <v>326</v>
      </c>
      <c r="C936" s="522" t="s">
        <v>979</v>
      </c>
      <c r="D936" s="533" t="s">
        <v>1036</v>
      </c>
      <c r="E936" s="524">
        <v>139</v>
      </c>
      <c r="F936" s="526"/>
      <c r="G936" s="525">
        <v>16.95</v>
      </c>
      <c r="H936" s="526"/>
      <c r="I936" s="526"/>
      <c r="J936" s="526"/>
      <c r="K936" s="526"/>
      <c r="L936" s="526"/>
      <c r="M936" s="525">
        <v>0.56000000000000005</v>
      </c>
      <c r="N936" s="525">
        <v>0.55000000000000004</v>
      </c>
      <c r="O936" s="526"/>
      <c r="P936" s="526"/>
      <c r="Q936" s="525">
        <v>0</v>
      </c>
      <c r="R936" s="525">
        <v>18.059999999999999</v>
      </c>
      <c r="S936" s="527">
        <f t="shared" si="124"/>
        <v>16.95</v>
      </c>
      <c r="T936" s="528">
        <f t="shared" si="125"/>
        <v>0</v>
      </c>
      <c r="U936" s="527">
        <f t="shared" si="126"/>
        <v>0.55000000000000004</v>
      </c>
      <c r="V936" s="529"/>
      <c r="W936" s="326">
        <f t="shared" si="127"/>
        <v>18.059999999999999</v>
      </c>
      <c r="X936" s="261">
        <f t="shared" si="128"/>
        <v>0</v>
      </c>
      <c r="Z936" s="1016">
        <f t="shared" si="123"/>
        <v>16.95</v>
      </c>
    </row>
    <row r="937" spans="1:26" s="836" customFormat="1" ht="12.75" hidden="1" thickBot="1">
      <c r="A937" s="522" t="s">
        <v>1424</v>
      </c>
      <c r="B937" s="522" t="s">
        <v>356</v>
      </c>
      <c r="C937" s="522" t="s">
        <v>980</v>
      </c>
      <c r="D937" s="533" t="s">
        <v>1036</v>
      </c>
      <c r="E937" s="530">
        <v>35602</v>
      </c>
      <c r="F937" s="532"/>
      <c r="G937" s="531">
        <v>3028.19</v>
      </c>
      <c r="H937" s="532"/>
      <c r="I937" s="532"/>
      <c r="J937" s="532"/>
      <c r="K937" s="532"/>
      <c r="L937" s="532"/>
      <c r="M937" s="531">
        <v>112.08</v>
      </c>
      <c r="N937" s="531">
        <v>101.87</v>
      </c>
      <c r="O937" s="532"/>
      <c r="P937" s="532"/>
      <c r="Q937" s="531">
        <v>0</v>
      </c>
      <c r="R937" s="531">
        <v>3242.14</v>
      </c>
      <c r="S937" s="527">
        <f t="shared" si="124"/>
        <v>3028.19</v>
      </c>
      <c r="T937" s="528">
        <f t="shared" si="125"/>
        <v>0</v>
      </c>
      <c r="U937" s="527">
        <f t="shared" si="126"/>
        <v>101.87</v>
      </c>
      <c r="V937" s="529"/>
      <c r="W937" s="326">
        <f t="shared" si="127"/>
        <v>3242.14</v>
      </c>
      <c r="X937" s="261">
        <f t="shared" si="128"/>
        <v>0</v>
      </c>
      <c r="Z937" s="1016">
        <f t="shared" si="123"/>
        <v>3028.19</v>
      </c>
    </row>
    <row r="938" spans="1:26" s="836" customFormat="1" ht="12.75" hidden="1" thickBot="1">
      <c r="A938" s="522" t="s">
        <v>1424</v>
      </c>
      <c r="B938" s="522" t="s">
        <v>374</v>
      </c>
      <c r="C938" s="522" t="s">
        <v>981</v>
      </c>
      <c r="D938" s="533" t="s">
        <v>1036</v>
      </c>
      <c r="E938" s="524">
        <v>4235</v>
      </c>
      <c r="F938" s="526"/>
      <c r="G938" s="525">
        <v>332.22</v>
      </c>
      <c r="H938" s="526"/>
      <c r="I938" s="526"/>
      <c r="J938" s="526"/>
      <c r="K938" s="526"/>
      <c r="L938" s="526"/>
      <c r="M938" s="525">
        <v>16.07</v>
      </c>
      <c r="N938" s="525">
        <v>10.97</v>
      </c>
      <c r="O938" s="526"/>
      <c r="P938" s="526"/>
      <c r="Q938" s="525">
        <v>0</v>
      </c>
      <c r="R938" s="525">
        <v>359.26</v>
      </c>
      <c r="S938" s="527">
        <f t="shared" si="124"/>
        <v>332.22</v>
      </c>
      <c r="T938" s="528">
        <f t="shared" si="125"/>
        <v>0</v>
      </c>
      <c r="U938" s="527">
        <f t="shared" si="126"/>
        <v>10.97</v>
      </c>
      <c r="V938" s="529"/>
      <c r="W938" s="326">
        <f t="shared" si="127"/>
        <v>359.26000000000005</v>
      </c>
      <c r="X938" s="261">
        <f t="shared" si="128"/>
        <v>0</v>
      </c>
      <c r="Z938" s="1016">
        <f t="shared" si="123"/>
        <v>332.22</v>
      </c>
    </row>
    <row r="939" spans="1:26" s="836" customFormat="1" ht="12.75" hidden="1" thickBot="1">
      <c r="A939" s="522" t="s">
        <v>1424</v>
      </c>
      <c r="B939" s="522" t="s">
        <v>399</v>
      </c>
      <c r="C939" s="522" t="s">
        <v>982</v>
      </c>
      <c r="D939" s="533" t="s">
        <v>1036</v>
      </c>
      <c r="E939" s="530">
        <v>239</v>
      </c>
      <c r="F939" s="532"/>
      <c r="G939" s="531">
        <v>18.12</v>
      </c>
      <c r="H939" s="532"/>
      <c r="I939" s="532"/>
      <c r="J939" s="532"/>
      <c r="K939" s="532"/>
      <c r="L939" s="532"/>
      <c r="M939" s="531">
        <v>0.61</v>
      </c>
      <c r="N939" s="531">
        <v>0.62</v>
      </c>
      <c r="O939" s="532"/>
      <c r="P939" s="532"/>
      <c r="Q939" s="531">
        <v>0</v>
      </c>
      <c r="R939" s="531">
        <v>19.350000000000001</v>
      </c>
      <c r="S939" s="527">
        <f t="shared" si="124"/>
        <v>18.12</v>
      </c>
      <c r="T939" s="528">
        <f t="shared" si="125"/>
        <v>0</v>
      </c>
      <c r="U939" s="527">
        <f t="shared" si="126"/>
        <v>0.62</v>
      </c>
      <c r="V939" s="529"/>
      <c r="W939" s="326">
        <f t="shared" si="127"/>
        <v>19.350000000000001</v>
      </c>
      <c r="X939" s="261">
        <f t="shared" si="128"/>
        <v>0</v>
      </c>
      <c r="Z939" s="1016">
        <f t="shared" si="123"/>
        <v>18.12</v>
      </c>
    </row>
    <row r="940" spans="1:26" s="836" customFormat="1" ht="12.75" hidden="1" thickBot="1">
      <c r="A940" s="522" t="s">
        <v>1424</v>
      </c>
      <c r="B940" s="522" t="s">
        <v>391</v>
      </c>
      <c r="C940" s="522" t="s">
        <v>983</v>
      </c>
      <c r="D940" s="533" t="s">
        <v>1036</v>
      </c>
      <c r="E940" s="524">
        <v>3783</v>
      </c>
      <c r="F940" s="526"/>
      <c r="G940" s="525">
        <v>1273.48</v>
      </c>
      <c r="H940" s="526"/>
      <c r="I940" s="526"/>
      <c r="J940" s="526"/>
      <c r="K940" s="526"/>
      <c r="L940" s="526"/>
      <c r="M940" s="525">
        <v>9.76</v>
      </c>
      <c r="N940" s="525">
        <v>42.79</v>
      </c>
      <c r="O940" s="526"/>
      <c r="P940" s="526"/>
      <c r="Q940" s="525">
        <v>0</v>
      </c>
      <c r="R940" s="525">
        <v>1326.03</v>
      </c>
      <c r="S940" s="527">
        <f t="shared" si="124"/>
        <v>1273.48</v>
      </c>
      <c r="T940" s="528">
        <f t="shared" si="125"/>
        <v>0</v>
      </c>
      <c r="U940" s="527">
        <f t="shared" si="126"/>
        <v>42.79</v>
      </c>
      <c r="V940" s="529"/>
      <c r="W940" s="326">
        <f t="shared" si="127"/>
        <v>1326.03</v>
      </c>
      <c r="X940" s="261">
        <f t="shared" si="128"/>
        <v>0</v>
      </c>
      <c r="Z940" s="1016">
        <f t="shared" si="123"/>
        <v>1273.48</v>
      </c>
    </row>
    <row r="941" spans="1:26" s="836" customFormat="1" ht="12.75" hidden="1" thickBot="1">
      <c r="A941" s="522" t="s">
        <v>1424</v>
      </c>
      <c r="B941" s="522" t="s">
        <v>416</v>
      </c>
      <c r="C941" s="522" t="s">
        <v>984</v>
      </c>
      <c r="D941" s="533" t="s">
        <v>1035</v>
      </c>
      <c r="E941" s="530">
        <v>1132128</v>
      </c>
      <c r="F941" s="532"/>
      <c r="G941" s="531">
        <v>285687.15999999997</v>
      </c>
      <c r="H941" s="532"/>
      <c r="I941" s="532"/>
      <c r="J941" s="532"/>
      <c r="K941" s="532"/>
      <c r="L941" s="532"/>
      <c r="M941" s="531">
        <v>2886.05</v>
      </c>
      <c r="N941" s="531">
        <v>9499.2000000000007</v>
      </c>
      <c r="O941" s="532"/>
      <c r="P941" s="532"/>
      <c r="Q941" s="531">
        <v>0</v>
      </c>
      <c r="R941" s="531">
        <v>298072.40999999997</v>
      </c>
      <c r="S941" s="527">
        <f t="shared" si="124"/>
        <v>285687.15999999997</v>
      </c>
      <c r="T941" s="528">
        <f t="shared" si="125"/>
        <v>0</v>
      </c>
      <c r="U941" s="527">
        <f t="shared" si="126"/>
        <v>9499.2000000000007</v>
      </c>
      <c r="V941" s="529"/>
      <c r="W941" s="326">
        <f t="shared" si="127"/>
        <v>298072.40999999997</v>
      </c>
      <c r="X941" s="261">
        <f t="shared" si="128"/>
        <v>0</v>
      </c>
      <c r="Z941" s="1016">
        <f t="shared" si="123"/>
        <v>285687.15999999997</v>
      </c>
    </row>
    <row r="942" spans="1:26" s="836" customFormat="1" ht="12.75" hidden="1" thickBot="1">
      <c r="A942" s="522" t="s">
        <v>1424</v>
      </c>
      <c r="B942" s="522" t="s">
        <v>407</v>
      </c>
      <c r="C942" s="522" t="s">
        <v>985</v>
      </c>
      <c r="D942" s="533" t="s">
        <v>1035</v>
      </c>
      <c r="E942" s="524">
        <v>36690</v>
      </c>
      <c r="F942" s="526"/>
      <c r="G942" s="525">
        <v>25982</v>
      </c>
      <c r="H942" s="526"/>
      <c r="I942" s="526"/>
      <c r="J942" s="526"/>
      <c r="K942" s="526"/>
      <c r="L942" s="526"/>
      <c r="M942" s="525">
        <v>109.5</v>
      </c>
      <c r="N942" s="525">
        <v>853.36</v>
      </c>
      <c r="O942" s="526"/>
      <c r="P942" s="526"/>
      <c r="Q942" s="525">
        <v>0</v>
      </c>
      <c r="R942" s="525">
        <v>26944.86</v>
      </c>
      <c r="S942" s="527">
        <f t="shared" si="124"/>
        <v>25982</v>
      </c>
      <c r="T942" s="528">
        <f t="shared" si="125"/>
        <v>0</v>
      </c>
      <c r="U942" s="527">
        <f t="shared" si="126"/>
        <v>853.36</v>
      </c>
      <c r="V942" s="529"/>
      <c r="W942" s="326">
        <f t="shared" si="127"/>
        <v>26944.86</v>
      </c>
      <c r="X942" s="261">
        <f t="shared" si="128"/>
        <v>0</v>
      </c>
      <c r="Z942" s="1016">
        <f t="shared" si="123"/>
        <v>25982</v>
      </c>
    </row>
    <row r="943" spans="1:26" s="836" customFormat="1" ht="12.75" hidden="1" thickBot="1">
      <c r="A943" s="522" t="s">
        <v>1424</v>
      </c>
      <c r="B943" s="522" t="s">
        <v>373</v>
      </c>
      <c r="C943" s="522" t="s">
        <v>986</v>
      </c>
      <c r="D943" s="533" t="s">
        <v>1036</v>
      </c>
      <c r="E943" s="524"/>
      <c r="F943" s="526"/>
      <c r="G943" s="525"/>
      <c r="H943" s="526"/>
      <c r="I943" s="526"/>
      <c r="J943" s="526"/>
      <c r="K943" s="526"/>
      <c r="L943" s="526"/>
      <c r="M943" s="525"/>
      <c r="N943" s="525"/>
      <c r="O943" s="526"/>
      <c r="P943" s="526"/>
      <c r="Q943" s="525"/>
      <c r="R943" s="525"/>
      <c r="S943" s="527"/>
      <c r="T943" s="528"/>
      <c r="U943" s="527"/>
      <c r="V943" s="529"/>
      <c r="W943" s="326"/>
      <c r="X943" s="261"/>
      <c r="Z943" s="1016"/>
    </row>
    <row r="944" spans="1:26" s="836" customFormat="1" ht="12.75" hidden="1" thickBot="1">
      <c r="A944" s="522" t="s">
        <v>1424</v>
      </c>
      <c r="B944" s="522" t="s">
        <v>375</v>
      </c>
      <c r="C944" s="522" t="s">
        <v>987</v>
      </c>
      <c r="D944" s="533" t="s">
        <v>1036</v>
      </c>
      <c r="E944" s="530">
        <v>33</v>
      </c>
      <c r="F944" s="532"/>
      <c r="G944" s="531">
        <v>27.22</v>
      </c>
      <c r="H944" s="532"/>
      <c r="I944" s="532"/>
      <c r="J944" s="532"/>
      <c r="K944" s="532"/>
      <c r="L944" s="532"/>
      <c r="M944" s="531">
        <v>0.08</v>
      </c>
      <c r="N944" s="531">
        <v>0.9</v>
      </c>
      <c r="O944" s="532"/>
      <c r="P944" s="532"/>
      <c r="Q944" s="531">
        <v>0</v>
      </c>
      <c r="R944" s="531">
        <v>28.2</v>
      </c>
      <c r="S944" s="527">
        <f t="shared" si="124"/>
        <v>27.22</v>
      </c>
      <c r="T944" s="528">
        <f t="shared" si="125"/>
        <v>0</v>
      </c>
      <c r="U944" s="527">
        <f t="shared" si="126"/>
        <v>0.9</v>
      </c>
      <c r="V944" s="529"/>
      <c r="W944" s="326">
        <f t="shared" si="127"/>
        <v>28.199999999999996</v>
      </c>
      <c r="X944" s="261">
        <f t="shared" si="128"/>
        <v>0</v>
      </c>
      <c r="Z944" s="1016">
        <f t="shared" si="123"/>
        <v>27.22</v>
      </c>
    </row>
    <row r="945" spans="1:26" s="836" customFormat="1" ht="12.75" hidden="1" thickBot="1">
      <c r="A945" s="522" t="s">
        <v>1424</v>
      </c>
      <c r="B945" s="522" t="s">
        <v>401</v>
      </c>
      <c r="C945" s="522" t="s">
        <v>988</v>
      </c>
      <c r="D945" s="533" t="s">
        <v>1036</v>
      </c>
      <c r="E945" s="524">
        <v>58497</v>
      </c>
      <c r="F945" s="526"/>
      <c r="G945" s="525">
        <v>10307.99</v>
      </c>
      <c r="H945" s="526"/>
      <c r="I945" s="526"/>
      <c r="J945" s="526"/>
      <c r="K945" s="526"/>
      <c r="L945" s="526"/>
      <c r="M945" s="525">
        <v>175.1</v>
      </c>
      <c r="N945" s="525">
        <v>342.71</v>
      </c>
      <c r="O945" s="526"/>
      <c r="P945" s="526"/>
      <c r="Q945" s="525">
        <v>0</v>
      </c>
      <c r="R945" s="525">
        <v>10825.8</v>
      </c>
      <c r="S945" s="527">
        <f t="shared" si="124"/>
        <v>10307.99</v>
      </c>
      <c r="T945" s="528">
        <f t="shared" si="125"/>
        <v>0</v>
      </c>
      <c r="U945" s="527">
        <f t="shared" si="126"/>
        <v>342.71</v>
      </c>
      <c r="V945" s="529"/>
      <c r="W945" s="326">
        <f t="shared" si="127"/>
        <v>10825.8</v>
      </c>
      <c r="X945" s="261">
        <f t="shared" si="128"/>
        <v>0</v>
      </c>
      <c r="Z945" s="1016">
        <f t="shared" si="123"/>
        <v>10307.99</v>
      </c>
    </row>
    <row r="946" spans="1:26" s="836" customFormat="1" ht="12.75" hidden="1" thickBot="1">
      <c r="A946" s="522" t="s">
        <v>1424</v>
      </c>
      <c r="B946" s="522" t="s">
        <v>328</v>
      </c>
      <c r="C946" s="522" t="s">
        <v>989</v>
      </c>
      <c r="D946" s="533" t="s">
        <v>1036</v>
      </c>
      <c r="E946" s="530">
        <v>57967</v>
      </c>
      <c r="F946" s="532"/>
      <c r="G946" s="531">
        <v>8048.52</v>
      </c>
      <c r="H946" s="532"/>
      <c r="I946" s="532"/>
      <c r="J946" s="532"/>
      <c r="K946" s="532"/>
      <c r="L946" s="532"/>
      <c r="M946" s="531">
        <v>282.51</v>
      </c>
      <c r="N946" s="531">
        <v>250.28</v>
      </c>
      <c r="O946" s="532"/>
      <c r="P946" s="532"/>
      <c r="Q946" s="531">
        <v>0</v>
      </c>
      <c r="R946" s="531">
        <v>8581.31</v>
      </c>
      <c r="S946" s="527">
        <f t="shared" si="124"/>
        <v>8048.52</v>
      </c>
      <c r="T946" s="528">
        <f t="shared" si="125"/>
        <v>0</v>
      </c>
      <c r="U946" s="527">
        <f t="shared" si="126"/>
        <v>250.28</v>
      </c>
      <c r="V946" s="529"/>
      <c r="W946" s="326">
        <f t="shared" si="127"/>
        <v>8581.3100000000013</v>
      </c>
      <c r="X946" s="261">
        <f t="shared" si="128"/>
        <v>0</v>
      </c>
      <c r="Z946" s="1016">
        <f t="shared" si="123"/>
        <v>8048.52</v>
      </c>
    </row>
    <row r="947" spans="1:26" s="836" customFormat="1" ht="12.75" hidden="1" thickBot="1">
      <c r="A947" s="522" t="s">
        <v>1424</v>
      </c>
      <c r="B947" s="522" t="s">
        <v>437</v>
      </c>
      <c r="C947" s="522" t="s">
        <v>990</v>
      </c>
      <c r="D947" s="533" t="s">
        <v>1036</v>
      </c>
      <c r="E947" s="524">
        <v>178431</v>
      </c>
      <c r="F947" s="526"/>
      <c r="G947" s="525">
        <v>18984.32</v>
      </c>
      <c r="H947" s="526"/>
      <c r="I947" s="526"/>
      <c r="J947" s="526"/>
      <c r="K947" s="526"/>
      <c r="L947" s="526"/>
      <c r="M947" s="525">
        <v>629.33000000000004</v>
      </c>
      <c r="N947" s="525">
        <v>626.25</v>
      </c>
      <c r="O947" s="526"/>
      <c r="P947" s="526"/>
      <c r="Q947" s="525">
        <v>0</v>
      </c>
      <c r="R947" s="525">
        <v>20239.900000000001</v>
      </c>
      <c r="S947" s="527">
        <f t="shared" si="124"/>
        <v>18984.32</v>
      </c>
      <c r="T947" s="528">
        <f t="shared" si="125"/>
        <v>0</v>
      </c>
      <c r="U947" s="527">
        <f t="shared" si="126"/>
        <v>626.25</v>
      </c>
      <c r="V947" s="529"/>
      <c r="W947" s="326">
        <f t="shared" si="127"/>
        <v>20239.900000000001</v>
      </c>
      <c r="X947" s="261">
        <f t="shared" si="128"/>
        <v>0</v>
      </c>
      <c r="Z947" s="1016">
        <f t="shared" si="123"/>
        <v>18984.32</v>
      </c>
    </row>
    <row r="948" spans="1:26" s="836" customFormat="1" ht="12.75" hidden="1" thickBot="1">
      <c r="A948" s="522" t="s">
        <v>1424</v>
      </c>
      <c r="B948" s="522" t="s">
        <v>338</v>
      </c>
      <c r="C948" s="522" t="s">
        <v>991</v>
      </c>
      <c r="D948" s="533" t="s">
        <v>1035</v>
      </c>
      <c r="E948" s="530">
        <v>26775</v>
      </c>
      <c r="F948" s="532"/>
      <c r="G948" s="531">
        <v>9590.27</v>
      </c>
      <c r="H948" s="532"/>
      <c r="I948" s="532"/>
      <c r="J948" s="532"/>
      <c r="K948" s="532"/>
      <c r="L948" s="532"/>
      <c r="M948" s="531">
        <v>70.709999999999994</v>
      </c>
      <c r="N948" s="531">
        <v>321.27</v>
      </c>
      <c r="O948" s="532"/>
      <c r="P948" s="532"/>
      <c r="Q948" s="531">
        <v>0</v>
      </c>
      <c r="R948" s="531">
        <v>9982.25</v>
      </c>
      <c r="S948" s="527">
        <f t="shared" si="124"/>
        <v>9590.27</v>
      </c>
      <c r="T948" s="528">
        <f t="shared" si="125"/>
        <v>0</v>
      </c>
      <c r="U948" s="527">
        <f t="shared" si="126"/>
        <v>321.27</v>
      </c>
      <c r="V948" s="529"/>
      <c r="W948" s="326">
        <f t="shared" si="127"/>
        <v>9982.25</v>
      </c>
      <c r="X948" s="261">
        <f t="shared" si="128"/>
        <v>0</v>
      </c>
      <c r="Z948" s="1016">
        <f t="shared" si="123"/>
        <v>9590.27</v>
      </c>
    </row>
    <row r="949" spans="1:26" s="836" customFormat="1" ht="12.75" hidden="1" thickBot="1">
      <c r="A949" s="522" t="s">
        <v>1424</v>
      </c>
      <c r="B949" s="522" t="s">
        <v>370</v>
      </c>
      <c r="C949" s="522" t="s">
        <v>992</v>
      </c>
      <c r="D949" s="533" t="s">
        <v>1035</v>
      </c>
      <c r="E949" s="524">
        <v>488822</v>
      </c>
      <c r="F949" s="526"/>
      <c r="G949" s="525">
        <v>106081.55</v>
      </c>
      <c r="H949" s="526"/>
      <c r="I949" s="526"/>
      <c r="J949" s="526"/>
      <c r="K949" s="526"/>
      <c r="L949" s="526"/>
      <c r="M949" s="525">
        <v>1298.6500000000001</v>
      </c>
      <c r="N949" s="525">
        <v>3558.92</v>
      </c>
      <c r="O949" s="526"/>
      <c r="P949" s="526"/>
      <c r="Q949" s="525">
        <v>0</v>
      </c>
      <c r="R949" s="525">
        <v>110939.12</v>
      </c>
      <c r="S949" s="527">
        <f t="shared" si="124"/>
        <v>106081.55</v>
      </c>
      <c r="T949" s="528">
        <f t="shared" si="125"/>
        <v>0</v>
      </c>
      <c r="U949" s="527">
        <f t="shared" si="126"/>
        <v>3558.92</v>
      </c>
      <c r="V949" s="529"/>
      <c r="W949" s="326">
        <f t="shared" si="127"/>
        <v>110939.12</v>
      </c>
      <c r="X949" s="261">
        <f t="shared" si="128"/>
        <v>0</v>
      </c>
      <c r="Z949" s="1016">
        <f t="shared" si="123"/>
        <v>106081.55</v>
      </c>
    </row>
    <row r="950" spans="1:26" s="836" customFormat="1" ht="12.75" hidden="1" thickBot="1">
      <c r="A950" s="522" t="s">
        <v>1424</v>
      </c>
      <c r="B950" s="522" t="s">
        <v>333</v>
      </c>
      <c r="C950" s="522" t="s">
        <v>993</v>
      </c>
      <c r="D950" s="533" t="s">
        <v>1035</v>
      </c>
      <c r="E950" s="530">
        <v>297944</v>
      </c>
      <c r="F950" s="532"/>
      <c r="G950" s="531">
        <v>44185.18</v>
      </c>
      <c r="H950" s="532"/>
      <c r="I950" s="532"/>
      <c r="J950" s="532"/>
      <c r="K950" s="532"/>
      <c r="L950" s="532"/>
      <c r="M950" s="531">
        <v>782.28</v>
      </c>
      <c r="N950" s="531">
        <v>1493.01</v>
      </c>
      <c r="O950" s="532"/>
      <c r="P950" s="532"/>
      <c r="Q950" s="531">
        <v>0</v>
      </c>
      <c r="R950" s="531">
        <v>46460.47</v>
      </c>
      <c r="S950" s="527">
        <f t="shared" si="124"/>
        <v>44185.18</v>
      </c>
      <c r="T950" s="528">
        <f t="shared" si="125"/>
        <v>0</v>
      </c>
      <c r="U950" s="527">
        <f t="shared" si="126"/>
        <v>1493.01</v>
      </c>
      <c r="V950" s="529"/>
      <c r="W950" s="326">
        <f t="shared" si="127"/>
        <v>46460.47</v>
      </c>
      <c r="X950" s="261">
        <f t="shared" si="128"/>
        <v>0</v>
      </c>
      <c r="Z950" s="1016">
        <f t="shared" si="123"/>
        <v>44185.18</v>
      </c>
    </row>
    <row r="951" spans="1:26" s="836" customFormat="1" ht="12.75" hidden="1" thickBot="1">
      <c r="A951" s="522" t="s">
        <v>1424</v>
      </c>
      <c r="B951" s="522" t="s">
        <v>336</v>
      </c>
      <c r="C951" s="522" t="s">
        <v>994</v>
      </c>
      <c r="D951" s="533" t="s">
        <v>1036</v>
      </c>
      <c r="E951" s="524">
        <v>6013</v>
      </c>
      <c r="F951" s="526"/>
      <c r="G951" s="525">
        <v>2824.23</v>
      </c>
      <c r="H951" s="526"/>
      <c r="I951" s="526"/>
      <c r="J951" s="526"/>
      <c r="K951" s="526"/>
      <c r="L951" s="526"/>
      <c r="M951" s="525">
        <v>16.12</v>
      </c>
      <c r="N951" s="525">
        <v>93.65</v>
      </c>
      <c r="O951" s="526"/>
      <c r="P951" s="526"/>
      <c r="Q951" s="525">
        <v>0</v>
      </c>
      <c r="R951" s="525">
        <v>2934</v>
      </c>
      <c r="S951" s="527">
        <f t="shared" si="124"/>
        <v>2824.23</v>
      </c>
      <c r="T951" s="528">
        <f t="shared" si="125"/>
        <v>0</v>
      </c>
      <c r="U951" s="527">
        <f t="shared" si="126"/>
        <v>93.65</v>
      </c>
      <c r="V951" s="529"/>
      <c r="W951" s="326">
        <f t="shared" si="127"/>
        <v>2934</v>
      </c>
      <c r="X951" s="261">
        <f t="shared" si="128"/>
        <v>0</v>
      </c>
      <c r="Z951" s="1016">
        <f t="shared" si="123"/>
        <v>2824.23</v>
      </c>
    </row>
    <row r="952" spans="1:26" s="836" customFormat="1" ht="12.75" hidden="1" thickBot="1">
      <c r="A952" s="522" t="s">
        <v>1424</v>
      </c>
      <c r="B952" s="522" t="s">
        <v>368</v>
      </c>
      <c r="C952" s="522" t="s">
        <v>995</v>
      </c>
      <c r="D952" s="533" t="s">
        <v>1036</v>
      </c>
      <c r="E952" s="530">
        <v>95717</v>
      </c>
      <c r="F952" s="532"/>
      <c r="G952" s="531">
        <v>25362.46</v>
      </c>
      <c r="H952" s="532"/>
      <c r="I952" s="532"/>
      <c r="J952" s="532"/>
      <c r="K952" s="532"/>
      <c r="L952" s="532"/>
      <c r="M952" s="531">
        <v>252.68</v>
      </c>
      <c r="N952" s="531">
        <v>850.81</v>
      </c>
      <c r="O952" s="532"/>
      <c r="P952" s="532"/>
      <c r="Q952" s="531">
        <v>0</v>
      </c>
      <c r="R952" s="531">
        <v>26465.95</v>
      </c>
      <c r="S952" s="527">
        <f t="shared" si="124"/>
        <v>25362.46</v>
      </c>
      <c r="T952" s="528">
        <f t="shared" si="125"/>
        <v>0</v>
      </c>
      <c r="U952" s="527">
        <f t="shared" si="126"/>
        <v>850.81</v>
      </c>
      <c r="V952" s="529"/>
      <c r="W952" s="326">
        <f t="shared" si="127"/>
        <v>26465.95</v>
      </c>
      <c r="X952" s="261">
        <f t="shared" si="128"/>
        <v>0</v>
      </c>
      <c r="Z952" s="1016">
        <f t="shared" si="123"/>
        <v>25362.46</v>
      </c>
    </row>
    <row r="953" spans="1:26" s="836" customFormat="1" ht="12.75" hidden="1" thickBot="1">
      <c r="A953" s="522" t="s">
        <v>1424</v>
      </c>
      <c r="B953" s="522" t="s">
        <v>400</v>
      </c>
      <c r="C953" s="522" t="s">
        <v>996</v>
      </c>
      <c r="D953" s="533" t="s">
        <v>1036</v>
      </c>
      <c r="E953" s="524">
        <v>7634</v>
      </c>
      <c r="F953" s="526"/>
      <c r="G953" s="525">
        <v>1673.67</v>
      </c>
      <c r="H953" s="526"/>
      <c r="I953" s="526"/>
      <c r="J953" s="526"/>
      <c r="K953" s="526"/>
      <c r="L953" s="526"/>
      <c r="M953" s="525">
        <v>22.03</v>
      </c>
      <c r="N953" s="525">
        <v>55.69</v>
      </c>
      <c r="O953" s="526"/>
      <c r="P953" s="526"/>
      <c r="Q953" s="525">
        <v>0</v>
      </c>
      <c r="R953" s="525">
        <v>1751.39</v>
      </c>
      <c r="S953" s="527">
        <f t="shared" si="124"/>
        <v>1673.67</v>
      </c>
      <c r="T953" s="528">
        <f t="shared" si="125"/>
        <v>0</v>
      </c>
      <c r="U953" s="527">
        <f t="shared" si="126"/>
        <v>55.69</v>
      </c>
      <c r="V953" s="529"/>
      <c r="W953" s="326">
        <f t="shared" si="127"/>
        <v>1751.39</v>
      </c>
      <c r="X953" s="261">
        <f t="shared" si="128"/>
        <v>0</v>
      </c>
      <c r="Z953" s="1016">
        <f t="shared" si="123"/>
        <v>1673.67</v>
      </c>
    </row>
    <row r="954" spans="1:26" s="836" customFormat="1" ht="12.75" hidden="1" thickBot="1">
      <c r="A954" s="522" t="s">
        <v>1424</v>
      </c>
      <c r="B954" s="522" t="s">
        <v>327</v>
      </c>
      <c r="C954" s="522" t="s">
        <v>997</v>
      </c>
      <c r="D954" s="533" t="s">
        <v>1036</v>
      </c>
      <c r="E954" s="530">
        <v>36923</v>
      </c>
      <c r="F954" s="532"/>
      <c r="G954" s="531">
        <v>6052.08</v>
      </c>
      <c r="H954" s="532"/>
      <c r="I954" s="532"/>
      <c r="J954" s="532"/>
      <c r="K954" s="532"/>
      <c r="L954" s="532"/>
      <c r="M954" s="531">
        <v>183.34</v>
      </c>
      <c r="N954" s="531">
        <v>186.49</v>
      </c>
      <c r="O954" s="532"/>
      <c r="P954" s="532"/>
      <c r="Q954" s="531">
        <v>0</v>
      </c>
      <c r="R954" s="531">
        <v>6421.91</v>
      </c>
      <c r="S954" s="527">
        <f t="shared" si="124"/>
        <v>6052.08</v>
      </c>
      <c r="T954" s="528">
        <f t="shared" si="125"/>
        <v>0</v>
      </c>
      <c r="U954" s="527">
        <f t="shared" si="126"/>
        <v>186.49</v>
      </c>
      <c r="V954" s="529"/>
      <c r="W954" s="326">
        <f t="shared" si="127"/>
        <v>6421.91</v>
      </c>
      <c r="X954" s="261">
        <f t="shared" si="128"/>
        <v>0</v>
      </c>
      <c r="Z954" s="1016">
        <f t="shared" si="123"/>
        <v>6052.08</v>
      </c>
    </row>
    <row r="955" spans="1:26" s="836" customFormat="1" ht="12.75" hidden="1" thickBot="1">
      <c r="A955" s="522" t="s">
        <v>1424</v>
      </c>
      <c r="B955" s="522" t="s">
        <v>357</v>
      </c>
      <c r="C955" s="522" t="s">
        <v>998</v>
      </c>
      <c r="D955" s="533" t="s">
        <v>1036</v>
      </c>
      <c r="E955" s="524">
        <v>179254</v>
      </c>
      <c r="F955" s="526"/>
      <c r="G955" s="525">
        <v>22020.92</v>
      </c>
      <c r="H955" s="526"/>
      <c r="I955" s="526"/>
      <c r="J955" s="526"/>
      <c r="K955" s="526"/>
      <c r="L955" s="526"/>
      <c r="M955" s="525">
        <v>757.8</v>
      </c>
      <c r="N955" s="525">
        <v>704.72</v>
      </c>
      <c r="O955" s="526"/>
      <c r="P955" s="526"/>
      <c r="Q955" s="525">
        <v>0</v>
      </c>
      <c r="R955" s="525">
        <v>23483.439999999999</v>
      </c>
      <c r="S955" s="527">
        <f t="shared" si="124"/>
        <v>22020.92</v>
      </c>
      <c r="T955" s="528">
        <f t="shared" si="125"/>
        <v>0</v>
      </c>
      <c r="U955" s="527">
        <f t="shared" si="126"/>
        <v>704.72</v>
      </c>
      <c r="V955" s="529"/>
      <c r="W955" s="326">
        <f t="shared" si="127"/>
        <v>23483.439999999999</v>
      </c>
      <c r="X955" s="261">
        <f t="shared" si="128"/>
        <v>0</v>
      </c>
      <c r="Z955" s="1016">
        <f t="shared" si="123"/>
        <v>22020.92</v>
      </c>
    </row>
    <row r="956" spans="1:26" s="836" customFormat="1" ht="12.75" hidden="1" thickBot="1">
      <c r="A956" s="522" t="s">
        <v>1424</v>
      </c>
      <c r="B956" s="522" t="s">
        <v>331</v>
      </c>
      <c r="C956" s="522" t="s">
        <v>999</v>
      </c>
      <c r="D956" s="533" t="s">
        <v>1036</v>
      </c>
      <c r="E956" s="530">
        <v>63734</v>
      </c>
      <c r="F956" s="532"/>
      <c r="G956" s="531">
        <v>10376.280000000001</v>
      </c>
      <c r="H956" s="532"/>
      <c r="I956" s="532"/>
      <c r="J956" s="532"/>
      <c r="K956" s="532"/>
      <c r="L956" s="532"/>
      <c r="M956" s="531">
        <v>165.82</v>
      </c>
      <c r="N956" s="531">
        <v>350.24</v>
      </c>
      <c r="O956" s="532"/>
      <c r="P956" s="532"/>
      <c r="Q956" s="531">
        <v>0</v>
      </c>
      <c r="R956" s="531">
        <v>10892.34</v>
      </c>
      <c r="S956" s="527">
        <f t="shared" si="124"/>
        <v>10376.280000000001</v>
      </c>
      <c r="T956" s="528">
        <f t="shared" si="125"/>
        <v>0</v>
      </c>
      <c r="U956" s="527">
        <f t="shared" si="126"/>
        <v>350.24</v>
      </c>
      <c r="V956" s="529"/>
      <c r="W956" s="326">
        <f t="shared" si="127"/>
        <v>10892.34</v>
      </c>
      <c r="X956" s="261">
        <f t="shared" si="128"/>
        <v>0</v>
      </c>
      <c r="Z956" s="1016">
        <f t="shared" si="123"/>
        <v>10376.280000000001</v>
      </c>
    </row>
    <row r="957" spans="1:26" s="836" customFormat="1" ht="12.75" hidden="1" thickBot="1">
      <c r="A957" s="522" t="s">
        <v>1424</v>
      </c>
      <c r="B957" s="522" t="s">
        <v>335</v>
      </c>
      <c r="C957" s="522" t="s">
        <v>1000</v>
      </c>
      <c r="D957" s="533" t="s">
        <v>1036</v>
      </c>
      <c r="E957" s="524">
        <v>1043</v>
      </c>
      <c r="F957" s="526"/>
      <c r="G957" s="525">
        <v>705.9</v>
      </c>
      <c r="H957" s="526"/>
      <c r="I957" s="526"/>
      <c r="J957" s="526"/>
      <c r="K957" s="526"/>
      <c r="L957" s="526"/>
      <c r="M957" s="525">
        <v>3.75</v>
      </c>
      <c r="N957" s="525">
        <v>22.62</v>
      </c>
      <c r="O957" s="526"/>
      <c r="P957" s="526"/>
      <c r="Q957" s="525">
        <v>0</v>
      </c>
      <c r="R957" s="525">
        <v>732.27</v>
      </c>
      <c r="S957" s="527">
        <f t="shared" si="124"/>
        <v>705.9</v>
      </c>
      <c r="T957" s="528">
        <f t="shared" si="125"/>
        <v>0</v>
      </c>
      <c r="U957" s="527">
        <f t="shared" si="126"/>
        <v>22.62</v>
      </c>
      <c r="V957" s="529"/>
      <c r="W957" s="326">
        <f t="shared" si="127"/>
        <v>732.27</v>
      </c>
      <c r="X957" s="261">
        <f t="shared" si="128"/>
        <v>0</v>
      </c>
      <c r="Z957" s="1016">
        <f t="shared" si="123"/>
        <v>705.9</v>
      </c>
    </row>
    <row r="958" spans="1:26" s="836" customFormat="1" ht="12.75" hidden="1" thickBot="1">
      <c r="A958" s="522" t="s">
        <v>1424</v>
      </c>
      <c r="B958" s="522" t="s">
        <v>372</v>
      </c>
      <c r="C958" s="522" t="s">
        <v>1001</v>
      </c>
      <c r="D958" s="533" t="s">
        <v>1036</v>
      </c>
      <c r="E958" s="530">
        <v>110015</v>
      </c>
      <c r="F958" s="532"/>
      <c r="G958" s="531">
        <v>52749.84</v>
      </c>
      <c r="H958" s="532"/>
      <c r="I958" s="532"/>
      <c r="J958" s="532"/>
      <c r="K958" s="532"/>
      <c r="L958" s="532"/>
      <c r="M958" s="531">
        <v>357.07</v>
      </c>
      <c r="N958" s="531">
        <v>1718.31</v>
      </c>
      <c r="O958" s="532"/>
      <c r="P958" s="532"/>
      <c r="Q958" s="531">
        <v>0</v>
      </c>
      <c r="R958" s="531">
        <v>54825.22</v>
      </c>
      <c r="S958" s="527">
        <f t="shared" si="124"/>
        <v>52749.84</v>
      </c>
      <c r="T958" s="528">
        <f t="shared" si="125"/>
        <v>0</v>
      </c>
      <c r="U958" s="527">
        <f t="shared" si="126"/>
        <v>1718.31</v>
      </c>
      <c r="V958" s="529"/>
      <c r="W958" s="326">
        <f t="shared" si="127"/>
        <v>54825.219999999994</v>
      </c>
      <c r="X958" s="261">
        <f t="shared" si="128"/>
        <v>0</v>
      </c>
      <c r="Z958" s="1016">
        <f t="shared" si="123"/>
        <v>52749.84</v>
      </c>
    </row>
    <row r="959" spans="1:26" s="836" customFormat="1" ht="12.75" hidden="1" thickBot="1">
      <c r="A959" s="522" t="s">
        <v>1424</v>
      </c>
      <c r="B959" s="522" t="s">
        <v>381</v>
      </c>
      <c r="C959" s="522" t="s">
        <v>1002</v>
      </c>
      <c r="D959" s="533" t="s">
        <v>1035</v>
      </c>
      <c r="E959" s="524">
        <v>197574</v>
      </c>
      <c r="F959" s="526"/>
      <c r="G959" s="525">
        <v>77671.539999999994</v>
      </c>
      <c r="H959" s="526"/>
      <c r="I959" s="526"/>
      <c r="J959" s="526"/>
      <c r="K959" s="526"/>
      <c r="L959" s="526"/>
      <c r="M959" s="525">
        <v>718.24</v>
      </c>
      <c r="N959" s="525">
        <v>2491.7399999999998</v>
      </c>
      <c r="O959" s="526"/>
      <c r="P959" s="526"/>
      <c r="Q959" s="525">
        <v>0</v>
      </c>
      <c r="R959" s="525">
        <v>80881.52</v>
      </c>
      <c r="S959" s="527">
        <f t="shared" si="124"/>
        <v>77671.539999999994</v>
      </c>
      <c r="T959" s="528">
        <f t="shared" si="125"/>
        <v>0</v>
      </c>
      <c r="U959" s="527">
        <f t="shared" si="126"/>
        <v>2491.7399999999998</v>
      </c>
      <c r="V959" s="529"/>
      <c r="W959" s="326">
        <f t="shared" si="127"/>
        <v>80881.52</v>
      </c>
      <c r="X959" s="261">
        <f t="shared" si="128"/>
        <v>0</v>
      </c>
      <c r="Z959" s="1016">
        <f t="shared" si="123"/>
        <v>77671.539999999994</v>
      </c>
    </row>
    <row r="960" spans="1:26" s="836" customFormat="1" ht="12.75" hidden="1" thickBot="1">
      <c r="A960" s="522" t="s">
        <v>1424</v>
      </c>
      <c r="B960" s="522" t="s">
        <v>404</v>
      </c>
      <c r="C960" s="522" t="s">
        <v>1003</v>
      </c>
      <c r="D960" s="533" t="s">
        <v>1035</v>
      </c>
      <c r="E960" s="530">
        <v>653234</v>
      </c>
      <c r="F960" s="532"/>
      <c r="G960" s="531">
        <v>192207.2</v>
      </c>
      <c r="H960" s="532"/>
      <c r="I960" s="532"/>
      <c r="J960" s="532"/>
      <c r="K960" s="532"/>
      <c r="L960" s="532"/>
      <c r="M960" s="531">
        <v>2010.6</v>
      </c>
      <c r="N960" s="531">
        <v>6330.83</v>
      </c>
      <c r="O960" s="532"/>
      <c r="P960" s="532"/>
      <c r="Q960" s="531">
        <v>0</v>
      </c>
      <c r="R960" s="531">
        <v>200548.63</v>
      </c>
      <c r="S960" s="527">
        <f t="shared" si="124"/>
        <v>192207.2</v>
      </c>
      <c r="T960" s="528">
        <f t="shared" si="125"/>
        <v>0</v>
      </c>
      <c r="U960" s="527">
        <f t="shared" si="126"/>
        <v>6330.83</v>
      </c>
      <c r="V960" s="529"/>
      <c r="W960" s="326">
        <f t="shared" si="127"/>
        <v>200548.63</v>
      </c>
      <c r="X960" s="261">
        <f t="shared" si="128"/>
        <v>0</v>
      </c>
      <c r="Z960" s="1016">
        <f t="shared" si="123"/>
        <v>192207.2</v>
      </c>
    </row>
    <row r="961" spans="1:26" s="836" customFormat="1" ht="12.75" hidden="1" thickBot="1">
      <c r="A961" s="522" t="s">
        <v>1424</v>
      </c>
      <c r="B961" s="522" t="s">
        <v>361</v>
      </c>
      <c r="C961" s="522" t="s">
        <v>1004</v>
      </c>
      <c r="D961" s="533" t="s">
        <v>1035</v>
      </c>
      <c r="E961" s="524">
        <v>499239</v>
      </c>
      <c r="F961" s="526"/>
      <c r="G961" s="525">
        <v>110588.56</v>
      </c>
      <c r="H961" s="526"/>
      <c r="I961" s="526"/>
      <c r="J961" s="526"/>
      <c r="K961" s="526"/>
      <c r="L961" s="526"/>
      <c r="M961" s="525">
        <v>1542.75</v>
      </c>
      <c r="N961" s="525">
        <v>3650.24</v>
      </c>
      <c r="O961" s="526"/>
      <c r="P961" s="526"/>
      <c r="Q961" s="525">
        <v>0</v>
      </c>
      <c r="R961" s="525">
        <v>115781.55</v>
      </c>
      <c r="S961" s="527">
        <f t="shared" si="124"/>
        <v>110588.56</v>
      </c>
      <c r="T961" s="528">
        <f t="shared" si="125"/>
        <v>0</v>
      </c>
      <c r="U961" s="527">
        <f t="shared" si="126"/>
        <v>3650.24</v>
      </c>
      <c r="V961" s="529"/>
      <c r="W961" s="326">
        <f t="shared" si="127"/>
        <v>115781.55</v>
      </c>
      <c r="X961" s="261">
        <f t="shared" si="128"/>
        <v>0</v>
      </c>
      <c r="Z961" s="1016">
        <f t="shared" si="123"/>
        <v>110588.56</v>
      </c>
    </row>
    <row r="962" spans="1:26" s="836" customFormat="1" ht="12.75" hidden="1" thickBot="1">
      <c r="A962" s="522" t="s">
        <v>1424</v>
      </c>
      <c r="B962" s="522" t="s">
        <v>393</v>
      </c>
      <c r="C962" s="522" t="s">
        <v>1005</v>
      </c>
      <c r="D962" s="533" t="s">
        <v>1035</v>
      </c>
      <c r="E962" s="530">
        <v>350205</v>
      </c>
      <c r="F962" s="532"/>
      <c r="G962" s="531">
        <v>63940.62</v>
      </c>
      <c r="H962" s="532"/>
      <c r="I962" s="532"/>
      <c r="J962" s="532"/>
      <c r="K962" s="532"/>
      <c r="L962" s="532"/>
      <c r="M962" s="531">
        <v>998.08</v>
      </c>
      <c r="N962" s="531">
        <v>2134.3200000000002</v>
      </c>
      <c r="O962" s="532"/>
      <c r="P962" s="532"/>
      <c r="Q962" s="531">
        <v>0</v>
      </c>
      <c r="R962" s="531">
        <v>67073.02</v>
      </c>
      <c r="S962" s="527">
        <f t="shared" si="124"/>
        <v>63940.62</v>
      </c>
      <c r="T962" s="528">
        <f t="shared" si="125"/>
        <v>0</v>
      </c>
      <c r="U962" s="527">
        <f t="shared" si="126"/>
        <v>2134.3200000000002</v>
      </c>
      <c r="V962" s="529"/>
      <c r="W962" s="326">
        <f t="shared" si="127"/>
        <v>67073.02</v>
      </c>
      <c r="X962" s="261">
        <f t="shared" si="128"/>
        <v>0</v>
      </c>
      <c r="Z962" s="1016">
        <f t="shared" ref="Z962:Z1025" si="129">SUM(F962:K962)</f>
        <v>63940.62</v>
      </c>
    </row>
    <row r="963" spans="1:26" s="836" customFormat="1" ht="12.75" hidden="1" thickBot="1">
      <c r="A963" s="522" t="s">
        <v>1424</v>
      </c>
      <c r="B963" s="522" t="s">
        <v>1356</v>
      </c>
      <c r="C963" s="522" t="s">
        <v>1357</v>
      </c>
      <c r="D963" s="533" t="s">
        <v>756</v>
      </c>
      <c r="E963" s="524">
        <v>397</v>
      </c>
      <c r="F963" s="526"/>
      <c r="G963" s="526"/>
      <c r="H963" s="526"/>
      <c r="I963" s="526"/>
      <c r="J963" s="526"/>
      <c r="K963" s="526"/>
      <c r="L963" s="526"/>
      <c r="M963" s="526"/>
      <c r="N963" s="526"/>
      <c r="O963" s="526"/>
      <c r="P963" s="526"/>
      <c r="Q963" s="526"/>
      <c r="R963" s="526"/>
      <c r="S963" s="527">
        <f t="shared" si="124"/>
        <v>0</v>
      </c>
      <c r="T963" s="528">
        <f t="shared" si="125"/>
        <v>0</v>
      </c>
      <c r="U963" s="527">
        <f t="shared" si="126"/>
        <v>0</v>
      </c>
      <c r="V963" s="529"/>
      <c r="W963" s="326">
        <f t="shared" si="127"/>
        <v>0</v>
      </c>
      <c r="X963" s="261">
        <f t="shared" si="128"/>
        <v>0</v>
      </c>
      <c r="Z963" s="1016">
        <f t="shared" si="129"/>
        <v>0</v>
      </c>
    </row>
    <row r="964" spans="1:26" s="836" customFormat="1" ht="12.75" hidden="1" thickBot="1">
      <c r="A964" s="522" t="s">
        <v>1424</v>
      </c>
      <c r="B964" s="522" t="s">
        <v>379</v>
      </c>
      <c r="C964" s="522" t="s">
        <v>1006</v>
      </c>
      <c r="D964" s="533" t="s">
        <v>1036</v>
      </c>
      <c r="E964" s="530">
        <v>15452</v>
      </c>
      <c r="F964" s="532"/>
      <c r="G964" s="531">
        <v>9591.14</v>
      </c>
      <c r="H964" s="532"/>
      <c r="I964" s="532"/>
      <c r="J964" s="532"/>
      <c r="K964" s="532"/>
      <c r="L964" s="532"/>
      <c r="M964" s="531">
        <v>47.06</v>
      </c>
      <c r="N964" s="531">
        <v>314.27</v>
      </c>
      <c r="O964" s="532"/>
      <c r="P964" s="532"/>
      <c r="Q964" s="531">
        <v>0</v>
      </c>
      <c r="R964" s="531">
        <v>9952.4699999999993</v>
      </c>
      <c r="S964" s="527">
        <f t="shared" si="124"/>
        <v>9591.14</v>
      </c>
      <c r="T964" s="528">
        <f t="shared" si="125"/>
        <v>0</v>
      </c>
      <c r="U964" s="527">
        <f t="shared" si="126"/>
        <v>314.27</v>
      </c>
      <c r="V964" s="529"/>
      <c r="W964" s="326">
        <f t="shared" si="127"/>
        <v>9952.4699999999993</v>
      </c>
      <c r="X964" s="261">
        <f t="shared" si="128"/>
        <v>0</v>
      </c>
      <c r="Z964" s="1016">
        <f t="shared" si="129"/>
        <v>9591.14</v>
      </c>
    </row>
    <row r="965" spans="1:26" s="836" customFormat="1" ht="12.75" hidden="1" thickBot="1">
      <c r="A965" s="522" t="s">
        <v>1424</v>
      </c>
      <c r="B965" s="522" t="s">
        <v>389</v>
      </c>
      <c r="C965" s="522" t="s">
        <v>1007</v>
      </c>
      <c r="D965" s="533" t="s">
        <v>1035</v>
      </c>
      <c r="E965" s="524">
        <v>32365</v>
      </c>
      <c r="F965" s="526"/>
      <c r="G965" s="525">
        <v>15918.06</v>
      </c>
      <c r="H965" s="526"/>
      <c r="I965" s="526"/>
      <c r="J965" s="526"/>
      <c r="K965" s="526"/>
      <c r="L965" s="526"/>
      <c r="M965" s="525">
        <v>99.71</v>
      </c>
      <c r="N965" s="525">
        <v>521.16</v>
      </c>
      <c r="O965" s="526"/>
      <c r="P965" s="526"/>
      <c r="Q965" s="525">
        <v>0</v>
      </c>
      <c r="R965" s="525">
        <v>16538.93</v>
      </c>
      <c r="S965" s="527">
        <f t="shared" si="124"/>
        <v>15918.06</v>
      </c>
      <c r="T965" s="528">
        <f t="shared" si="125"/>
        <v>0</v>
      </c>
      <c r="U965" s="527">
        <f t="shared" si="126"/>
        <v>521.16</v>
      </c>
      <c r="V965" s="529"/>
      <c r="W965" s="326">
        <f t="shared" si="127"/>
        <v>16538.93</v>
      </c>
      <c r="X965" s="261">
        <f t="shared" si="128"/>
        <v>0</v>
      </c>
      <c r="Z965" s="1016">
        <f t="shared" si="129"/>
        <v>15918.06</v>
      </c>
    </row>
    <row r="966" spans="1:26" s="836" customFormat="1" ht="12.75" hidden="1" thickBot="1">
      <c r="A966" s="522" t="s">
        <v>1424</v>
      </c>
      <c r="B966" s="522" t="s">
        <v>412</v>
      </c>
      <c r="C966" s="522" t="s">
        <v>1008</v>
      </c>
      <c r="D966" s="533" t="s">
        <v>1035</v>
      </c>
      <c r="E966" s="530">
        <v>127928</v>
      </c>
      <c r="F966" s="532"/>
      <c r="G966" s="531">
        <v>45740.69</v>
      </c>
      <c r="H966" s="532"/>
      <c r="I966" s="532"/>
      <c r="J966" s="532"/>
      <c r="K966" s="532"/>
      <c r="L966" s="532"/>
      <c r="M966" s="531">
        <v>345.26</v>
      </c>
      <c r="N966" s="531">
        <v>1524.75</v>
      </c>
      <c r="O966" s="532"/>
      <c r="P966" s="532"/>
      <c r="Q966" s="531">
        <v>0</v>
      </c>
      <c r="R966" s="531">
        <v>47610.7</v>
      </c>
      <c r="S966" s="527">
        <f t="shared" si="124"/>
        <v>45740.69</v>
      </c>
      <c r="T966" s="528">
        <f t="shared" si="125"/>
        <v>0</v>
      </c>
      <c r="U966" s="527">
        <f t="shared" si="126"/>
        <v>1524.75</v>
      </c>
      <c r="V966" s="529"/>
      <c r="W966" s="326">
        <f t="shared" si="127"/>
        <v>47610.700000000004</v>
      </c>
      <c r="X966" s="261">
        <f t="shared" si="128"/>
        <v>0</v>
      </c>
      <c r="Z966" s="1016">
        <f t="shared" si="129"/>
        <v>45740.69</v>
      </c>
    </row>
    <row r="967" spans="1:26" s="836" customFormat="1" ht="12.75" hidden="1" thickBot="1">
      <c r="A967" s="522" t="s">
        <v>1424</v>
      </c>
      <c r="B967" s="522" t="s">
        <v>367</v>
      </c>
      <c r="C967" s="522" t="s">
        <v>1009</v>
      </c>
      <c r="D967" s="533" t="s">
        <v>1036</v>
      </c>
      <c r="E967" s="524">
        <v>27128</v>
      </c>
      <c r="F967" s="526"/>
      <c r="G967" s="525">
        <v>9685.06</v>
      </c>
      <c r="H967" s="526"/>
      <c r="I967" s="526"/>
      <c r="J967" s="526"/>
      <c r="K967" s="526"/>
      <c r="L967" s="526"/>
      <c r="M967" s="525">
        <v>72.38</v>
      </c>
      <c r="N967" s="525">
        <v>323.41000000000003</v>
      </c>
      <c r="O967" s="526"/>
      <c r="P967" s="526"/>
      <c r="Q967" s="525">
        <v>0</v>
      </c>
      <c r="R967" s="525">
        <v>10080.85</v>
      </c>
      <c r="S967" s="527">
        <f t="shared" si="124"/>
        <v>9685.06</v>
      </c>
      <c r="T967" s="528">
        <f t="shared" si="125"/>
        <v>0</v>
      </c>
      <c r="U967" s="527">
        <f t="shared" si="126"/>
        <v>323.41000000000003</v>
      </c>
      <c r="V967" s="529"/>
      <c r="W967" s="326">
        <f t="shared" si="127"/>
        <v>10080.849999999999</v>
      </c>
      <c r="X967" s="261">
        <f t="shared" si="128"/>
        <v>0</v>
      </c>
      <c r="Z967" s="1016">
        <f t="shared" si="129"/>
        <v>9685.06</v>
      </c>
    </row>
    <row r="968" spans="1:26" s="836" customFormat="1" ht="12.75" hidden="1" thickBot="1">
      <c r="A968" s="522" t="s">
        <v>1424</v>
      </c>
      <c r="B968" s="522" t="s">
        <v>330</v>
      </c>
      <c r="C968" s="522" t="s">
        <v>1010</v>
      </c>
      <c r="D968" s="533" t="s">
        <v>1036</v>
      </c>
      <c r="E968" s="530">
        <v>17949</v>
      </c>
      <c r="F968" s="532"/>
      <c r="G968" s="531">
        <v>3370.25</v>
      </c>
      <c r="H968" s="532"/>
      <c r="I968" s="532"/>
      <c r="J968" s="532"/>
      <c r="K968" s="532"/>
      <c r="L968" s="532"/>
      <c r="M968" s="531">
        <v>45.98</v>
      </c>
      <c r="N968" s="531">
        <v>113.76</v>
      </c>
      <c r="O968" s="532"/>
      <c r="P968" s="532"/>
      <c r="Q968" s="531">
        <v>0</v>
      </c>
      <c r="R968" s="531">
        <v>3529.99</v>
      </c>
      <c r="S968" s="527">
        <f t="shared" si="124"/>
        <v>3370.25</v>
      </c>
      <c r="T968" s="528">
        <f t="shared" si="125"/>
        <v>0</v>
      </c>
      <c r="U968" s="527">
        <f t="shared" si="126"/>
        <v>113.76</v>
      </c>
      <c r="V968" s="529"/>
      <c r="W968" s="326">
        <f t="shared" si="127"/>
        <v>3529.9900000000002</v>
      </c>
      <c r="X968" s="261">
        <f t="shared" si="128"/>
        <v>0</v>
      </c>
      <c r="Z968" s="1016">
        <f t="shared" si="129"/>
        <v>3370.25</v>
      </c>
    </row>
    <row r="969" spans="1:26" s="836" customFormat="1" ht="12.75" hidden="1" thickBot="1">
      <c r="A969" s="522" t="s">
        <v>1424</v>
      </c>
      <c r="B969" s="522" t="s">
        <v>371</v>
      </c>
      <c r="C969" s="522" t="s">
        <v>1011</v>
      </c>
      <c r="D969" s="533" t="s">
        <v>1036</v>
      </c>
      <c r="E969" s="524">
        <v>61139</v>
      </c>
      <c r="F969" s="526"/>
      <c r="G969" s="525">
        <v>38456.339999999997</v>
      </c>
      <c r="H969" s="526"/>
      <c r="I969" s="526"/>
      <c r="J969" s="526"/>
      <c r="K969" s="526"/>
      <c r="L969" s="526"/>
      <c r="M969" s="525">
        <v>303.68</v>
      </c>
      <c r="N969" s="525">
        <v>1159.0899999999999</v>
      </c>
      <c r="O969" s="526"/>
      <c r="P969" s="526"/>
      <c r="Q969" s="525">
        <v>0</v>
      </c>
      <c r="R969" s="525">
        <v>39919.11</v>
      </c>
      <c r="S969" s="527">
        <f t="shared" si="124"/>
        <v>38456.339999999997</v>
      </c>
      <c r="T969" s="528">
        <f t="shared" si="125"/>
        <v>0</v>
      </c>
      <c r="U969" s="527">
        <f t="shared" si="126"/>
        <v>1159.0899999999999</v>
      </c>
      <c r="V969" s="529"/>
      <c r="W969" s="326">
        <f t="shared" si="127"/>
        <v>39919.109999999993</v>
      </c>
      <c r="X969" s="261">
        <f t="shared" si="128"/>
        <v>0</v>
      </c>
      <c r="Z969" s="1016">
        <f t="shared" si="129"/>
        <v>38456.339999999997</v>
      </c>
    </row>
    <row r="970" spans="1:26" s="836" customFormat="1" ht="12.75" hidden="1" thickBot="1">
      <c r="A970" s="522" t="s">
        <v>1424</v>
      </c>
      <c r="B970" s="522" t="s">
        <v>380</v>
      </c>
      <c r="C970" s="522" t="s">
        <v>1012</v>
      </c>
      <c r="D970" s="533" t="s">
        <v>1035</v>
      </c>
      <c r="E970" s="530">
        <v>203179</v>
      </c>
      <c r="F970" s="532"/>
      <c r="G970" s="531">
        <v>102140.54</v>
      </c>
      <c r="H970" s="532"/>
      <c r="I970" s="532"/>
      <c r="J970" s="532"/>
      <c r="K970" s="532"/>
      <c r="L970" s="532"/>
      <c r="M970" s="531">
        <v>1005</v>
      </c>
      <c r="N970" s="531">
        <v>3087.54</v>
      </c>
      <c r="O970" s="532"/>
      <c r="P970" s="532"/>
      <c r="Q970" s="531">
        <v>0</v>
      </c>
      <c r="R970" s="531">
        <v>106233.08</v>
      </c>
      <c r="S970" s="527">
        <f t="shared" si="124"/>
        <v>102140.54</v>
      </c>
      <c r="T970" s="528">
        <f t="shared" si="125"/>
        <v>0</v>
      </c>
      <c r="U970" s="527">
        <f t="shared" si="126"/>
        <v>3087.54</v>
      </c>
      <c r="V970" s="529"/>
      <c r="W970" s="326">
        <f t="shared" si="127"/>
        <v>106233.07999999999</v>
      </c>
      <c r="X970" s="261">
        <f t="shared" si="128"/>
        <v>0</v>
      </c>
      <c r="Z970" s="1016">
        <f t="shared" si="129"/>
        <v>102140.54</v>
      </c>
    </row>
    <row r="971" spans="1:26" s="836" customFormat="1" ht="12.75" hidden="1" thickBot="1">
      <c r="A971" s="522" t="s">
        <v>1424</v>
      </c>
      <c r="B971" s="522" t="s">
        <v>403</v>
      </c>
      <c r="C971" s="522" t="s">
        <v>1013</v>
      </c>
      <c r="D971" s="533" t="s">
        <v>1035</v>
      </c>
      <c r="E971" s="524">
        <v>108566</v>
      </c>
      <c r="F971" s="526"/>
      <c r="G971" s="525">
        <v>41795.4</v>
      </c>
      <c r="H971" s="526"/>
      <c r="I971" s="526"/>
      <c r="J971" s="526"/>
      <c r="K971" s="526"/>
      <c r="L971" s="526"/>
      <c r="M971" s="525">
        <v>439.06</v>
      </c>
      <c r="N971" s="525">
        <v>1319.02</v>
      </c>
      <c r="O971" s="526"/>
      <c r="P971" s="526"/>
      <c r="Q971" s="525">
        <v>0</v>
      </c>
      <c r="R971" s="525">
        <v>43553.48</v>
      </c>
      <c r="S971" s="527">
        <f t="shared" si="124"/>
        <v>41795.4</v>
      </c>
      <c r="T971" s="528">
        <f t="shared" si="125"/>
        <v>0</v>
      </c>
      <c r="U971" s="527">
        <f t="shared" si="126"/>
        <v>1319.02</v>
      </c>
      <c r="V971" s="529"/>
      <c r="W971" s="326">
        <f t="shared" si="127"/>
        <v>43553.479999999996</v>
      </c>
      <c r="X971" s="261">
        <f t="shared" si="128"/>
        <v>0</v>
      </c>
      <c r="Z971" s="1016">
        <f t="shared" si="129"/>
        <v>41795.4</v>
      </c>
    </row>
    <row r="972" spans="1:26" s="836" customFormat="1" ht="12.75" hidden="1" thickBot="1">
      <c r="A972" s="522" t="s">
        <v>1424</v>
      </c>
      <c r="B972" s="522" t="s">
        <v>360</v>
      </c>
      <c r="C972" s="522" t="s">
        <v>1014</v>
      </c>
      <c r="D972" s="533" t="s">
        <v>1035</v>
      </c>
      <c r="E972" s="530">
        <v>344450</v>
      </c>
      <c r="F972" s="532"/>
      <c r="G972" s="531">
        <v>90893.8</v>
      </c>
      <c r="H972" s="532"/>
      <c r="I972" s="532"/>
      <c r="J972" s="532"/>
      <c r="K972" s="532"/>
      <c r="L972" s="532"/>
      <c r="M972" s="531">
        <v>1389.31</v>
      </c>
      <c r="N972" s="531">
        <v>2883.45</v>
      </c>
      <c r="O972" s="532"/>
      <c r="P972" s="532"/>
      <c r="Q972" s="531">
        <v>0</v>
      </c>
      <c r="R972" s="531">
        <v>95166.56</v>
      </c>
      <c r="S972" s="527">
        <f t="shared" si="124"/>
        <v>90893.8</v>
      </c>
      <c r="T972" s="528">
        <f t="shared" si="125"/>
        <v>0</v>
      </c>
      <c r="U972" s="527">
        <f t="shared" si="126"/>
        <v>2883.45</v>
      </c>
      <c r="V972" s="529"/>
      <c r="W972" s="326">
        <f t="shared" si="127"/>
        <v>95166.56</v>
      </c>
      <c r="X972" s="261">
        <f t="shared" si="128"/>
        <v>0</v>
      </c>
      <c r="Z972" s="1016">
        <f t="shared" si="129"/>
        <v>90893.8</v>
      </c>
    </row>
    <row r="973" spans="1:26" s="836" customFormat="1" ht="12.75" hidden="1" thickBot="1">
      <c r="A973" s="522" t="s">
        <v>1424</v>
      </c>
      <c r="B973" s="522" t="s">
        <v>392</v>
      </c>
      <c r="C973" s="522" t="s">
        <v>1015</v>
      </c>
      <c r="D973" s="533" t="s">
        <v>1035</v>
      </c>
      <c r="E973" s="524">
        <v>64424</v>
      </c>
      <c r="F973" s="526"/>
      <c r="G973" s="525">
        <v>12489.94</v>
      </c>
      <c r="H973" s="526"/>
      <c r="I973" s="526"/>
      <c r="J973" s="526"/>
      <c r="K973" s="526"/>
      <c r="L973" s="526"/>
      <c r="M973" s="525">
        <v>262.04000000000002</v>
      </c>
      <c r="N973" s="525">
        <v>397.75</v>
      </c>
      <c r="O973" s="526"/>
      <c r="P973" s="526"/>
      <c r="Q973" s="525">
        <v>0</v>
      </c>
      <c r="R973" s="525">
        <v>13149.73</v>
      </c>
      <c r="S973" s="527">
        <f t="shared" si="124"/>
        <v>12489.94</v>
      </c>
      <c r="T973" s="528">
        <f t="shared" si="125"/>
        <v>0</v>
      </c>
      <c r="U973" s="527">
        <f t="shared" si="126"/>
        <v>397.75</v>
      </c>
      <c r="V973" s="529"/>
      <c r="W973" s="326">
        <f t="shared" si="127"/>
        <v>13149.730000000001</v>
      </c>
      <c r="X973" s="261">
        <f t="shared" si="128"/>
        <v>0</v>
      </c>
      <c r="Z973" s="1016">
        <f t="shared" si="129"/>
        <v>12489.94</v>
      </c>
    </row>
    <row r="974" spans="1:26" s="836" customFormat="1" ht="12.75" hidden="1" thickBot="1">
      <c r="A974" s="522" t="s">
        <v>1424</v>
      </c>
      <c r="B974" s="522" t="s">
        <v>390</v>
      </c>
      <c r="C974" s="522" t="s">
        <v>1016</v>
      </c>
      <c r="D974" s="533" t="s">
        <v>1035</v>
      </c>
      <c r="E974" s="530">
        <v>105339</v>
      </c>
      <c r="F974" s="532"/>
      <c r="G974" s="531">
        <v>76650.55</v>
      </c>
      <c r="H974" s="532"/>
      <c r="I974" s="532"/>
      <c r="J974" s="532"/>
      <c r="K974" s="532"/>
      <c r="L974" s="532"/>
      <c r="M974" s="531">
        <v>522.52</v>
      </c>
      <c r="N974" s="531">
        <v>2308.61</v>
      </c>
      <c r="O974" s="532"/>
      <c r="P974" s="532"/>
      <c r="Q974" s="531">
        <v>0</v>
      </c>
      <c r="R974" s="531">
        <v>79481.679999999993</v>
      </c>
      <c r="S974" s="527">
        <f t="shared" si="124"/>
        <v>76650.55</v>
      </c>
      <c r="T974" s="528">
        <f t="shared" si="125"/>
        <v>0</v>
      </c>
      <c r="U974" s="527">
        <f t="shared" si="126"/>
        <v>2308.61</v>
      </c>
      <c r="V974" s="529"/>
      <c r="W974" s="326">
        <f t="shared" si="127"/>
        <v>79481.680000000008</v>
      </c>
      <c r="X974" s="261">
        <f t="shared" si="128"/>
        <v>0</v>
      </c>
      <c r="Z974" s="1016">
        <f t="shared" si="129"/>
        <v>76650.55</v>
      </c>
    </row>
    <row r="975" spans="1:26" s="836" customFormat="1" ht="12.75" hidden="1" thickBot="1">
      <c r="A975" s="522" t="s">
        <v>1424</v>
      </c>
      <c r="B975" s="522" t="s">
        <v>414</v>
      </c>
      <c r="C975" s="522" t="s">
        <v>1017</v>
      </c>
      <c r="D975" s="533" t="s">
        <v>1035</v>
      </c>
      <c r="E975" s="524">
        <v>33103</v>
      </c>
      <c r="F975" s="526"/>
      <c r="G975" s="525">
        <v>22094.52</v>
      </c>
      <c r="H975" s="526"/>
      <c r="I975" s="526"/>
      <c r="J975" s="526"/>
      <c r="K975" s="526"/>
      <c r="L975" s="526"/>
      <c r="M975" s="525">
        <v>127.04</v>
      </c>
      <c r="N975" s="525">
        <v>700.89</v>
      </c>
      <c r="O975" s="526"/>
      <c r="P975" s="526"/>
      <c r="Q975" s="525">
        <v>0</v>
      </c>
      <c r="R975" s="525">
        <v>22922.45</v>
      </c>
      <c r="S975" s="527">
        <f t="shared" si="124"/>
        <v>22094.52</v>
      </c>
      <c r="T975" s="528">
        <f t="shared" si="125"/>
        <v>0</v>
      </c>
      <c r="U975" s="527">
        <f t="shared" si="126"/>
        <v>700.89</v>
      </c>
      <c r="V975" s="529"/>
      <c r="W975" s="326">
        <f t="shared" si="127"/>
        <v>22922.45</v>
      </c>
      <c r="X975" s="261">
        <f t="shared" si="128"/>
        <v>0</v>
      </c>
      <c r="Z975" s="1016">
        <f t="shared" si="129"/>
        <v>22094.52</v>
      </c>
    </row>
    <row r="976" spans="1:26" s="836" customFormat="1" ht="12.75" hidden="1" thickBot="1">
      <c r="A976" s="522" t="s">
        <v>1424</v>
      </c>
      <c r="B976" s="522" t="s">
        <v>364</v>
      </c>
      <c r="C976" s="522" t="s">
        <v>1018</v>
      </c>
      <c r="D976" s="533" t="s">
        <v>1035</v>
      </c>
      <c r="E976" s="530">
        <v>91701</v>
      </c>
      <c r="F976" s="532"/>
      <c r="G976" s="531">
        <v>37845.760000000002</v>
      </c>
      <c r="H976" s="532"/>
      <c r="I976" s="532"/>
      <c r="J976" s="532"/>
      <c r="K976" s="532"/>
      <c r="L976" s="532"/>
      <c r="M976" s="531">
        <v>331.3</v>
      </c>
      <c r="N976" s="531">
        <v>1216.08</v>
      </c>
      <c r="O976" s="532"/>
      <c r="P976" s="532"/>
      <c r="Q976" s="531">
        <v>0</v>
      </c>
      <c r="R976" s="531">
        <v>39393.14</v>
      </c>
      <c r="S976" s="527">
        <f t="shared" si="124"/>
        <v>37845.760000000002</v>
      </c>
      <c r="T976" s="528">
        <f t="shared" si="125"/>
        <v>0</v>
      </c>
      <c r="U976" s="527">
        <f t="shared" si="126"/>
        <v>1216.08</v>
      </c>
      <c r="V976" s="529"/>
      <c r="W976" s="326">
        <f t="shared" si="127"/>
        <v>39393.140000000007</v>
      </c>
      <c r="X976" s="261">
        <f t="shared" si="128"/>
        <v>0</v>
      </c>
      <c r="Z976" s="1016">
        <f t="shared" si="129"/>
        <v>37845.760000000002</v>
      </c>
    </row>
    <row r="977" spans="1:26" s="836" customFormat="1" ht="12.75" hidden="1" thickBot="1">
      <c r="A977" s="522" t="s">
        <v>1424</v>
      </c>
      <c r="B977" s="522" t="s">
        <v>396</v>
      </c>
      <c r="C977" s="522" t="s">
        <v>1019</v>
      </c>
      <c r="D977" s="533" t="s">
        <v>1035</v>
      </c>
      <c r="E977" s="524">
        <v>118105</v>
      </c>
      <c r="F977" s="526"/>
      <c r="G977" s="525">
        <v>31276.32</v>
      </c>
      <c r="H977" s="526"/>
      <c r="I977" s="526"/>
      <c r="J977" s="526"/>
      <c r="K977" s="526"/>
      <c r="L977" s="526"/>
      <c r="M977" s="525">
        <v>338.44</v>
      </c>
      <c r="N977" s="525">
        <v>1039.3800000000001</v>
      </c>
      <c r="O977" s="526"/>
      <c r="P977" s="526"/>
      <c r="Q977" s="525">
        <v>0</v>
      </c>
      <c r="R977" s="525">
        <v>32654.14</v>
      </c>
      <c r="S977" s="527">
        <f t="shared" si="124"/>
        <v>31276.32</v>
      </c>
      <c r="T977" s="528">
        <f t="shared" si="125"/>
        <v>0</v>
      </c>
      <c r="U977" s="527">
        <f t="shared" si="126"/>
        <v>1039.3800000000001</v>
      </c>
      <c r="V977" s="529"/>
      <c r="W977" s="326">
        <f t="shared" si="127"/>
        <v>32654.14</v>
      </c>
      <c r="X977" s="261">
        <f t="shared" si="128"/>
        <v>0</v>
      </c>
      <c r="Z977" s="1016">
        <f t="shared" si="129"/>
        <v>31276.32</v>
      </c>
    </row>
    <row r="978" spans="1:26" s="836" customFormat="1" ht="12.75" hidden="1" thickBot="1">
      <c r="A978" s="522" t="s">
        <v>1424</v>
      </c>
      <c r="B978" s="522" t="s">
        <v>415</v>
      </c>
      <c r="C978" s="522" t="s">
        <v>1020</v>
      </c>
      <c r="D978" s="533" t="s">
        <v>1035</v>
      </c>
      <c r="E978" s="530">
        <v>345044</v>
      </c>
      <c r="F978" s="532"/>
      <c r="G978" s="531">
        <v>99820.29</v>
      </c>
      <c r="H978" s="532"/>
      <c r="I978" s="532"/>
      <c r="J978" s="532"/>
      <c r="K978" s="532"/>
      <c r="L978" s="532"/>
      <c r="M978" s="531">
        <v>882.86</v>
      </c>
      <c r="N978" s="531">
        <v>3329.53</v>
      </c>
      <c r="O978" s="532"/>
      <c r="P978" s="532"/>
      <c r="Q978" s="531">
        <v>0</v>
      </c>
      <c r="R978" s="531">
        <v>104032.68</v>
      </c>
      <c r="S978" s="527">
        <f t="shared" si="124"/>
        <v>99820.29</v>
      </c>
      <c r="T978" s="528">
        <f t="shared" si="125"/>
        <v>0</v>
      </c>
      <c r="U978" s="527">
        <f t="shared" si="126"/>
        <v>3329.53</v>
      </c>
      <c r="V978" s="529"/>
      <c r="W978" s="326">
        <f t="shared" si="127"/>
        <v>104032.68</v>
      </c>
      <c r="X978" s="261">
        <f t="shared" si="128"/>
        <v>0</v>
      </c>
      <c r="Z978" s="1016">
        <f t="shared" si="129"/>
        <v>99820.29</v>
      </c>
    </row>
    <row r="979" spans="1:26" s="836" customFormat="1" ht="12.75" hidden="1" thickBot="1">
      <c r="A979" s="522" t="s">
        <v>1424</v>
      </c>
      <c r="B979" s="522" t="s">
        <v>365</v>
      </c>
      <c r="C979" s="522" t="s">
        <v>1021</v>
      </c>
      <c r="D979" s="533" t="s">
        <v>1035</v>
      </c>
      <c r="E979" s="524">
        <v>425848</v>
      </c>
      <c r="F979" s="526"/>
      <c r="G979" s="525">
        <v>90397.17</v>
      </c>
      <c r="H979" s="526"/>
      <c r="I979" s="526"/>
      <c r="J979" s="526"/>
      <c r="K979" s="526"/>
      <c r="L979" s="526"/>
      <c r="M979" s="525">
        <v>1119.54</v>
      </c>
      <c r="N979" s="525">
        <v>3038.21</v>
      </c>
      <c r="O979" s="526"/>
      <c r="P979" s="526"/>
      <c r="Q979" s="525">
        <v>0</v>
      </c>
      <c r="R979" s="525">
        <v>94554.92</v>
      </c>
      <c r="S979" s="527">
        <f t="shared" si="124"/>
        <v>90397.17</v>
      </c>
      <c r="T979" s="528">
        <f t="shared" si="125"/>
        <v>0</v>
      </c>
      <c r="U979" s="527">
        <f t="shared" si="126"/>
        <v>3038.21</v>
      </c>
      <c r="V979" s="529"/>
      <c r="W979" s="326">
        <f t="shared" si="127"/>
        <v>94554.92</v>
      </c>
      <c r="X979" s="261">
        <f t="shared" si="128"/>
        <v>0</v>
      </c>
      <c r="Z979" s="1016">
        <f t="shared" si="129"/>
        <v>90397.17</v>
      </c>
    </row>
    <row r="980" spans="1:26" s="836" customFormat="1" ht="12.75" hidden="1" thickBot="1">
      <c r="A980" s="522" t="s">
        <v>1424</v>
      </c>
      <c r="B980" s="522" t="s">
        <v>397</v>
      </c>
      <c r="C980" s="522" t="s">
        <v>1022</v>
      </c>
      <c r="D980" s="533" t="s">
        <v>1035</v>
      </c>
      <c r="E980" s="530">
        <v>1046275</v>
      </c>
      <c r="F980" s="532"/>
      <c r="G980" s="531">
        <v>162930.23999999999</v>
      </c>
      <c r="H980" s="532"/>
      <c r="I980" s="532"/>
      <c r="J980" s="532"/>
      <c r="K980" s="532"/>
      <c r="L980" s="532"/>
      <c r="M980" s="531">
        <v>2822.67</v>
      </c>
      <c r="N980" s="531">
        <v>5492.37</v>
      </c>
      <c r="O980" s="532"/>
      <c r="P980" s="532"/>
      <c r="Q980" s="531">
        <v>0</v>
      </c>
      <c r="R980" s="531">
        <v>171245.28</v>
      </c>
      <c r="S980" s="527">
        <f t="shared" si="124"/>
        <v>162930.23999999999</v>
      </c>
      <c r="T980" s="528">
        <f t="shared" si="125"/>
        <v>0</v>
      </c>
      <c r="U980" s="527">
        <f t="shared" si="126"/>
        <v>5492.37</v>
      </c>
      <c r="V980" s="529"/>
      <c r="W980" s="326">
        <f t="shared" si="127"/>
        <v>171245.28</v>
      </c>
      <c r="X980" s="261">
        <f t="shared" si="128"/>
        <v>0</v>
      </c>
      <c r="Z980" s="1016">
        <f t="shared" si="129"/>
        <v>162930.23999999999</v>
      </c>
    </row>
    <row r="981" spans="1:26" s="836" customFormat="1" ht="12.75" hidden="1" thickBot="1">
      <c r="A981" s="522" t="s">
        <v>1424</v>
      </c>
      <c r="B981" s="522" t="s">
        <v>337</v>
      </c>
      <c r="C981" s="522" t="s">
        <v>1023</v>
      </c>
      <c r="D981" s="533" t="s">
        <v>1035</v>
      </c>
      <c r="E981" s="524">
        <v>2298</v>
      </c>
      <c r="F981" s="526"/>
      <c r="G981" s="525">
        <v>910.67</v>
      </c>
      <c r="H981" s="526"/>
      <c r="I981" s="526"/>
      <c r="J981" s="526"/>
      <c r="K981" s="526"/>
      <c r="L981" s="526"/>
      <c r="M981" s="525">
        <v>5.98</v>
      </c>
      <c r="N981" s="525">
        <v>30.48</v>
      </c>
      <c r="O981" s="526"/>
      <c r="P981" s="526"/>
      <c r="Q981" s="525">
        <v>0</v>
      </c>
      <c r="R981" s="525">
        <v>947.13</v>
      </c>
      <c r="S981" s="527">
        <f t="shared" si="124"/>
        <v>910.67</v>
      </c>
      <c r="T981" s="528">
        <f t="shared" si="125"/>
        <v>0</v>
      </c>
      <c r="U981" s="527">
        <f t="shared" si="126"/>
        <v>30.48</v>
      </c>
      <c r="V981" s="529"/>
      <c r="W981" s="326">
        <f t="shared" si="127"/>
        <v>947.13</v>
      </c>
      <c r="X981" s="261">
        <f t="shared" si="128"/>
        <v>0</v>
      </c>
      <c r="Z981" s="1016">
        <f t="shared" si="129"/>
        <v>910.67</v>
      </c>
    </row>
    <row r="982" spans="1:26" s="836" customFormat="1" ht="12.75" hidden="1" thickBot="1">
      <c r="A982" s="522" t="s">
        <v>1424</v>
      </c>
      <c r="B982" s="522" t="s">
        <v>369</v>
      </c>
      <c r="C982" s="522" t="s">
        <v>1024</v>
      </c>
      <c r="D982" s="533" t="s">
        <v>1035</v>
      </c>
      <c r="E982" s="530">
        <v>26015</v>
      </c>
      <c r="F982" s="532"/>
      <c r="G982" s="531">
        <v>6274.17</v>
      </c>
      <c r="H982" s="532"/>
      <c r="I982" s="532"/>
      <c r="J982" s="532"/>
      <c r="K982" s="532"/>
      <c r="L982" s="532"/>
      <c r="M982" s="531">
        <v>60.53</v>
      </c>
      <c r="N982" s="531">
        <v>212.53</v>
      </c>
      <c r="O982" s="532"/>
      <c r="P982" s="532"/>
      <c r="Q982" s="531">
        <v>0</v>
      </c>
      <c r="R982" s="531">
        <v>6547.23</v>
      </c>
      <c r="S982" s="527">
        <f t="shared" si="124"/>
        <v>6274.17</v>
      </c>
      <c r="T982" s="528">
        <f t="shared" si="125"/>
        <v>0</v>
      </c>
      <c r="U982" s="527">
        <f t="shared" si="126"/>
        <v>212.53</v>
      </c>
      <c r="V982" s="529"/>
      <c r="W982" s="326">
        <f t="shared" si="127"/>
        <v>6547.23</v>
      </c>
      <c r="X982" s="261">
        <f t="shared" si="128"/>
        <v>0</v>
      </c>
      <c r="Z982" s="1016">
        <f t="shared" si="129"/>
        <v>6274.17</v>
      </c>
    </row>
    <row r="983" spans="1:26" s="836" customFormat="1" ht="12.75" hidden="1" thickBot="1">
      <c r="A983" s="522" t="s">
        <v>1424</v>
      </c>
      <c r="B983" s="522" t="s">
        <v>715</v>
      </c>
      <c r="C983" s="522" t="s">
        <v>1025</v>
      </c>
      <c r="D983" s="533" t="s">
        <v>1035</v>
      </c>
      <c r="E983" s="524">
        <v>44</v>
      </c>
      <c r="F983" s="526"/>
      <c r="G983" s="525">
        <v>30.74</v>
      </c>
      <c r="H983" s="526"/>
      <c r="I983" s="526"/>
      <c r="J983" s="526"/>
      <c r="K983" s="526"/>
      <c r="L983" s="526"/>
      <c r="M983" s="525">
        <v>0.11</v>
      </c>
      <c r="N983" s="525">
        <v>1.03</v>
      </c>
      <c r="O983" s="526"/>
      <c r="P983" s="526"/>
      <c r="Q983" s="526"/>
      <c r="R983" s="525">
        <v>31.88</v>
      </c>
      <c r="S983" s="527">
        <f t="shared" si="124"/>
        <v>30.74</v>
      </c>
      <c r="T983" s="528">
        <f t="shared" si="125"/>
        <v>0</v>
      </c>
      <c r="U983" s="527">
        <f t="shared" si="126"/>
        <v>1.03</v>
      </c>
      <c r="V983" s="529"/>
      <c r="W983" s="326">
        <f t="shared" si="127"/>
        <v>31.88</v>
      </c>
      <c r="X983" s="261">
        <f t="shared" si="128"/>
        <v>0</v>
      </c>
      <c r="Z983" s="1016">
        <f t="shared" si="129"/>
        <v>30.74</v>
      </c>
    </row>
    <row r="984" spans="1:26" s="836" customFormat="1" ht="12.75" hidden="1" thickBot="1">
      <c r="A984" s="522" t="s">
        <v>1424</v>
      </c>
      <c r="B984" s="522" t="s">
        <v>332</v>
      </c>
      <c r="C984" s="522" t="s">
        <v>1026</v>
      </c>
      <c r="D984" s="533" t="s">
        <v>1035</v>
      </c>
      <c r="E984" s="530">
        <v>12411</v>
      </c>
      <c r="F984" s="532"/>
      <c r="G984" s="531">
        <v>1965.1</v>
      </c>
      <c r="H984" s="532"/>
      <c r="I984" s="532"/>
      <c r="J984" s="532"/>
      <c r="K984" s="532"/>
      <c r="L984" s="532"/>
      <c r="M984" s="531">
        <v>31.76</v>
      </c>
      <c r="N984" s="531">
        <v>66.510000000000005</v>
      </c>
      <c r="O984" s="532"/>
      <c r="P984" s="532"/>
      <c r="Q984" s="531">
        <v>0</v>
      </c>
      <c r="R984" s="531">
        <v>2063.37</v>
      </c>
      <c r="S984" s="527">
        <f t="shared" si="124"/>
        <v>1965.1</v>
      </c>
      <c r="T984" s="528">
        <f t="shared" si="125"/>
        <v>0</v>
      </c>
      <c r="U984" s="527">
        <f t="shared" si="126"/>
        <v>66.510000000000005</v>
      </c>
      <c r="V984" s="529"/>
      <c r="W984" s="326">
        <f t="shared" si="127"/>
        <v>2063.37</v>
      </c>
      <c r="X984" s="261">
        <f t="shared" si="128"/>
        <v>0</v>
      </c>
      <c r="Z984" s="1016">
        <f t="shared" si="129"/>
        <v>1965.1</v>
      </c>
    </row>
    <row r="985" spans="1:26" s="836" customFormat="1" ht="12.75" hidden="1" thickBot="1">
      <c r="A985" s="522" t="s">
        <v>1424</v>
      </c>
      <c r="B985" s="522" t="s">
        <v>334</v>
      </c>
      <c r="C985" s="522" t="s">
        <v>1027</v>
      </c>
      <c r="D985" s="533" t="s">
        <v>1035</v>
      </c>
      <c r="E985" s="524">
        <v>6776</v>
      </c>
      <c r="F985" s="526"/>
      <c r="G985" s="525">
        <v>4938.2700000000004</v>
      </c>
      <c r="H985" s="526"/>
      <c r="I985" s="526"/>
      <c r="J985" s="526"/>
      <c r="K985" s="526"/>
      <c r="L985" s="526"/>
      <c r="M985" s="525">
        <v>20.32</v>
      </c>
      <c r="N985" s="525">
        <v>162.09</v>
      </c>
      <c r="O985" s="526"/>
      <c r="P985" s="526"/>
      <c r="Q985" s="525">
        <v>0</v>
      </c>
      <c r="R985" s="525">
        <v>5120.68</v>
      </c>
      <c r="S985" s="527">
        <f t="shared" ref="S985:S997" si="130">G985+H985+I985</f>
        <v>4938.2700000000004</v>
      </c>
      <c r="T985" s="528">
        <f t="shared" ref="T985:T997" si="131">J985+K985</f>
        <v>0</v>
      </c>
      <c r="U985" s="527">
        <f t="shared" ref="U985:U997" si="132">N985+O985</f>
        <v>162.09</v>
      </c>
      <c r="V985" s="529"/>
      <c r="W985" s="326">
        <f t="shared" ref="W985:W997" si="133">SUM(F985:Q985)</f>
        <v>5120.68</v>
      </c>
      <c r="X985" s="261">
        <f t="shared" ref="X985:X997" si="134">W985-R985</f>
        <v>0</v>
      </c>
      <c r="Z985" s="1016">
        <f t="shared" si="129"/>
        <v>4938.2700000000004</v>
      </c>
    </row>
    <row r="986" spans="1:26" s="836" customFormat="1" ht="12.75" hidden="1" thickBot="1">
      <c r="A986" s="522" t="s">
        <v>1424</v>
      </c>
      <c r="B986" s="522" t="s">
        <v>366</v>
      </c>
      <c r="C986" s="522" t="s">
        <v>1028</v>
      </c>
      <c r="D986" s="533" t="s">
        <v>1035</v>
      </c>
      <c r="E986" s="530">
        <v>59891</v>
      </c>
      <c r="F986" s="532"/>
      <c r="G986" s="531">
        <v>22440.97</v>
      </c>
      <c r="H986" s="532"/>
      <c r="I986" s="532"/>
      <c r="J986" s="532"/>
      <c r="K986" s="532"/>
      <c r="L986" s="532"/>
      <c r="M986" s="531">
        <v>156.36000000000001</v>
      </c>
      <c r="N986" s="531">
        <v>750.73</v>
      </c>
      <c r="O986" s="532"/>
      <c r="P986" s="532"/>
      <c r="Q986" s="531">
        <v>0</v>
      </c>
      <c r="R986" s="531">
        <v>23348.06</v>
      </c>
      <c r="S986" s="527">
        <f t="shared" si="130"/>
        <v>22440.97</v>
      </c>
      <c r="T986" s="528">
        <f t="shared" si="131"/>
        <v>0</v>
      </c>
      <c r="U986" s="527">
        <f t="shared" si="132"/>
        <v>750.73</v>
      </c>
      <c r="V986" s="529"/>
      <c r="W986" s="326">
        <f t="shared" si="133"/>
        <v>23348.06</v>
      </c>
      <c r="X986" s="261">
        <f t="shared" si="134"/>
        <v>0</v>
      </c>
      <c r="Z986" s="1016">
        <f t="shared" si="129"/>
        <v>22440.97</v>
      </c>
    </row>
    <row r="987" spans="1:26" s="836" customFormat="1" ht="12.75" hidden="1" thickBot="1">
      <c r="A987" s="522" t="s">
        <v>1424</v>
      </c>
      <c r="B987" s="522" t="s">
        <v>329</v>
      </c>
      <c r="C987" s="522" t="s">
        <v>1029</v>
      </c>
      <c r="D987" s="533" t="s">
        <v>1035</v>
      </c>
      <c r="E987" s="524">
        <v>43809</v>
      </c>
      <c r="F987" s="526"/>
      <c r="G987" s="525">
        <v>8940.84</v>
      </c>
      <c r="H987" s="526"/>
      <c r="I987" s="526"/>
      <c r="J987" s="526"/>
      <c r="K987" s="526"/>
      <c r="L987" s="526"/>
      <c r="M987" s="525">
        <v>117.99</v>
      </c>
      <c r="N987" s="525">
        <v>299.81</v>
      </c>
      <c r="O987" s="526"/>
      <c r="P987" s="526"/>
      <c r="Q987" s="525">
        <v>0</v>
      </c>
      <c r="R987" s="525">
        <v>9358.64</v>
      </c>
      <c r="S987" s="527">
        <f t="shared" si="130"/>
        <v>8940.84</v>
      </c>
      <c r="T987" s="528">
        <f t="shared" si="131"/>
        <v>0</v>
      </c>
      <c r="U987" s="527">
        <f t="shared" si="132"/>
        <v>299.81</v>
      </c>
      <c r="V987" s="529"/>
      <c r="W987" s="326">
        <f t="shared" si="133"/>
        <v>9358.64</v>
      </c>
      <c r="X987" s="261">
        <f t="shared" si="134"/>
        <v>0</v>
      </c>
      <c r="Z987" s="1016">
        <f t="shared" si="129"/>
        <v>8940.84</v>
      </c>
    </row>
    <row r="988" spans="1:26" s="836" customFormat="1" ht="12.75" hidden="1" thickBot="1">
      <c r="A988" s="522" t="s">
        <v>1424</v>
      </c>
      <c r="B988" s="522" t="s">
        <v>683</v>
      </c>
      <c r="C988" s="522" t="s">
        <v>1047</v>
      </c>
      <c r="D988" s="533" t="s">
        <v>1035</v>
      </c>
      <c r="E988" s="530">
        <v>309</v>
      </c>
      <c r="F988" s="532"/>
      <c r="G988" s="531">
        <v>153.5</v>
      </c>
      <c r="H988" s="532"/>
      <c r="I988" s="532"/>
      <c r="J988" s="532"/>
      <c r="K988" s="532"/>
      <c r="L988" s="532"/>
      <c r="M988" s="531">
        <v>0.79</v>
      </c>
      <c r="N988" s="531">
        <v>5.14</v>
      </c>
      <c r="O988" s="532"/>
      <c r="P988" s="532"/>
      <c r="Q988" s="532"/>
      <c r="R988" s="531">
        <v>159.43</v>
      </c>
      <c r="S988" s="527">
        <f t="shared" si="130"/>
        <v>153.5</v>
      </c>
      <c r="T988" s="528">
        <f t="shared" si="131"/>
        <v>0</v>
      </c>
      <c r="U988" s="527">
        <f t="shared" si="132"/>
        <v>5.14</v>
      </c>
      <c r="V988" s="529"/>
      <c r="W988" s="326">
        <f t="shared" si="133"/>
        <v>159.42999999999998</v>
      </c>
      <c r="X988" s="261">
        <f t="shared" si="134"/>
        <v>0</v>
      </c>
      <c r="Z988" s="1016">
        <f t="shared" si="129"/>
        <v>153.5</v>
      </c>
    </row>
    <row r="989" spans="1:26" s="836" customFormat="1" ht="12.75" hidden="1" thickBot="1">
      <c r="A989" s="522" t="s">
        <v>1424</v>
      </c>
      <c r="B989" s="522" t="s">
        <v>463</v>
      </c>
      <c r="C989" s="522" t="s">
        <v>1030</v>
      </c>
      <c r="D989" s="533" t="s">
        <v>1035</v>
      </c>
      <c r="E989" s="524">
        <v>1626</v>
      </c>
      <c r="F989" s="526"/>
      <c r="G989" s="525">
        <v>460.72</v>
      </c>
      <c r="H989" s="526"/>
      <c r="I989" s="526"/>
      <c r="J989" s="526"/>
      <c r="K989" s="526"/>
      <c r="L989" s="526"/>
      <c r="M989" s="525">
        <v>4.16</v>
      </c>
      <c r="N989" s="525">
        <v>15.48</v>
      </c>
      <c r="O989" s="526"/>
      <c r="P989" s="526"/>
      <c r="Q989" s="526"/>
      <c r="R989" s="525">
        <v>480.36</v>
      </c>
      <c r="S989" s="527">
        <f t="shared" si="130"/>
        <v>460.72</v>
      </c>
      <c r="T989" s="528">
        <f t="shared" si="131"/>
        <v>0</v>
      </c>
      <c r="U989" s="527">
        <f t="shared" si="132"/>
        <v>15.48</v>
      </c>
      <c r="V989" s="529"/>
      <c r="W989" s="326">
        <f t="shared" si="133"/>
        <v>480.36000000000007</v>
      </c>
      <c r="X989" s="261">
        <f t="shared" si="134"/>
        <v>0</v>
      </c>
      <c r="Z989" s="1016">
        <f t="shared" si="129"/>
        <v>460.72</v>
      </c>
    </row>
    <row r="990" spans="1:26" s="836" customFormat="1" ht="12.75" hidden="1" thickBot="1">
      <c r="A990" s="522" t="s">
        <v>1424</v>
      </c>
      <c r="B990" s="522" t="s">
        <v>653</v>
      </c>
      <c r="C990" s="522" t="s">
        <v>1031</v>
      </c>
      <c r="D990" s="533" t="s">
        <v>1035</v>
      </c>
      <c r="E990" s="530">
        <v>3205</v>
      </c>
      <c r="F990" s="532"/>
      <c r="G990" s="531">
        <v>565.9</v>
      </c>
      <c r="H990" s="532"/>
      <c r="I990" s="532"/>
      <c r="J990" s="532"/>
      <c r="K990" s="532"/>
      <c r="L990" s="532"/>
      <c r="M990" s="531">
        <v>8.52</v>
      </c>
      <c r="N990" s="531">
        <v>19.059999999999999</v>
      </c>
      <c r="O990" s="532"/>
      <c r="P990" s="532"/>
      <c r="Q990" s="532"/>
      <c r="R990" s="531">
        <v>593.48</v>
      </c>
      <c r="S990" s="527">
        <f t="shared" si="130"/>
        <v>565.9</v>
      </c>
      <c r="T990" s="528">
        <f t="shared" si="131"/>
        <v>0</v>
      </c>
      <c r="U990" s="527">
        <f t="shared" si="132"/>
        <v>19.059999999999999</v>
      </c>
      <c r="V990" s="529"/>
      <c r="W990" s="326">
        <f t="shared" si="133"/>
        <v>593.4799999999999</v>
      </c>
      <c r="X990" s="261">
        <f t="shared" si="134"/>
        <v>0</v>
      </c>
      <c r="Z990" s="1016">
        <f t="shared" si="129"/>
        <v>565.9</v>
      </c>
    </row>
    <row r="991" spans="1:26" s="836" customFormat="1" ht="12.75" hidden="1" thickBot="1">
      <c r="A991" s="522" t="s">
        <v>1424</v>
      </c>
      <c r="B991" s="522" t="s">
        <v>445</v>
      </c>
      <c r="C991" s="522" t="s">
        <v>444</v>
      </c>
      <c r="D991" s="522"/>
      <c r="E991" s="526"/>
      <c r="F991" s="526"/>
      <c r="G991" s="526"/>
      <c r="H991" s="526"/>
      <c r="I991" s="526"/>
      <c r="J991" s="526"/>
      <c r="K991" s="526"/>
      <c r="L991" s="526"/>
      <c r="M991" s="526"/>
      <c r="N991" s="526"/>
      <c r="O991" s="526"/>
      <c r="P991" s="526"/>
      <c r="Q991" s="526"/>
      <c r="R991" s="525">
        <v>105.27</v>
      </c>
      <c r="S991" s="527">
        <f t="shared" si="130"/>
        <v>0</v>
      </c>
      <c r="T991" s="528">
        <f t="shared" si="131"/>
        <v>0</v>
      </c>
      <c r="U991" s="527">
        <f t="shared" si="132"/>
        <v>0</v>
      </c>
      <c r="V991" s="529"/>
      <c r="W991" s="326">
        <f t="shared" si="133"/>
        <v>0</v>
      </c>
      <c r="X991" s="261">
        <f t="shared" si="134"/>
        <v>-105.27</v>
      </c>
      <c r="Z991" s="1016">
        <f t="shared" si="129"/>
        <v>0</v>
      </c>
    </row>
    <row r="992" spans="1:26" s="836" customFormat="1" ht="12.75" hidden="1" thickBot="1">
      <c r="A992" s="522" t="s">
        <v>1424</v>
      </c>
      <c r="B992" s="522" t="s">
        <v>474</v>
      </c>
      <c r="C992" s="522" t="s">
        <v>473</v>
      </c>
      <c r="D992" s="522"/>
      <c r="E992" s="532"/>
      <c r="F992" s="532"/>
      <c r="G992" s="532"/>
      <c r="H992" s="532"/>
      <c r="I992" s="532"/>
      <c r="J992" s="532"/>
      <c r="K992" s="532"/>
      <c r="L992" s="532"/>
      <c r="M992" s="532"/>
      <c r="N992" s="532"/>
      <c r="O992" s="532"/>
      <c r="P992" s="532"/>
      <c r="Q992" s="532"/>
      <c r="R992" s="531">
        <v>84983.37</v>
      </c>
      <c r="S992" s="527">
        <f t="shared" si="130"/>
        <v>0</v>
      </c>
      <c r="T992" s="528">
        <f t="shared" si="131"/>
        <v>0</v>
      </c>
      <c r="U992" s="527">
        <f t="shared" si="132"/>
        <v>0</v>
      </c>
      <c r="V992" s="529"/>
      <c r="W992" s="326">
        <f t="shared" si="133"/>
        <v>0</v>
      </c>
      <c r="X992" s="261">
        <f t="shared" si="134"/>
        <v>-84983.37</v>
      </c>
      <c r="Z992" s="1016">
        <f t="shared" si="129"/>
        <v>0</v>
      </c>
    </row>
    <row r="993" spans="1:26" s="836" customFormat="1" ht="12.75" hidden="1" thickBot="1">
      <c r="A993" s="522" t="s">
        <v>1424</v>
      </c>
      <c r="B993" s="522" t="s">
        <v>476</v>
      </c>
      <c r="C993" s="522" t="s">
        <v>475</v>
      </c>
      <c r="D993" s="522"/>
      <c r="E993" s="526"/>
      <c r="F993" s="526"/>
      <c r="G993" s="526"/>
      <c r="H993" s="526"/>
      <c r="I993" s="526"/>
      <c r="J993" s="526"/>
      <c r="K993" s="526"/>
      <c r="L993" s="526"/>
      <c r="M993" s="526"/>
      <c r="N993" s="526"/>
      <c r="O993" s="526"/>
      <c r="P993" s="526"/>
      <c r="Q993" s="526"/>
      <c r="R993" s="525">
        <v>9354.7999999999993</v>
      </c>
      <c r="S993" s="527">
        <f t="shared" si="130"/>
        <v>0</v>
      </c>
      <c r="T993" s="528">
        <f t="shared" si="131"/>
        <v>0</v>
      </c>
      <c r="U993" s="527">
        <f t="shared" si="132"/>
        <v>0</v>
      </c>
      <c r="V993" s="529"/>
      <c r="W993" s="326">
        <f t="shared" si="133"/>
        <v>0</v>
      </c>
      <c r="X993" s="261">
        <f t="shared" si="134"/>
        <v>-9354.7999999999993</v>
      </c>
      <c r="Z993" s="1016">
        <f t="shared" si="129"/>
        <v>0</v>
      </c>
    </row>
    <row r="994" spans="1:26" s="836" customFormat="1" ht="12.75" hidden="1" thickBot="1">
      <c r="A994" s="522" t="s">
        <v>1424</v>
      </c>
      <c r="B994" s="522" t="s">
        <v>443</v>
      </c>
      <c r="C994" s="522" t="s">
        <v>442</v>
      </c>
      <c r="D994" s="522"/>
      <c r="E994" s="532"/>
      <c r="F994" s="531">
        <v>36126.76</v>
      </c>
      <c r="G994" s="532"/>
      <c r="H994" s="532"/>
      <c r="I994" s="532"/>
      <c r="J994" s="532"/>
      <c r="K994" s="532"/>
      <c r="L994" s="532"/>
      <c r="M994" s="532"/>
      <c r="N994" s="532"/>
      <c r="O994" s="532"/>
      <c r="P994" s="532"/>
      <c r="Q994" s="532"/>
      <c r="R994" s="531">
        <v>36126.76</v>
      </c>
      <c r="S994" s="527">
        <f t="shared" si="130"/>
        <v>0</v>
      </c>
      <c r="T994" s="528">
        <f t="shared" si="131"/>
        <v>0</v>
      </c>
      <c r="U994" s="527">
        <f t="shared" si="132"/>
        <v>0</v>
      </c>
      <c r="V994" s="529"/>
      <c r="W994" s="326">
        <f t="shared" si="133"/>
        <v>36126.76</v>
      </c>
      <c r="X994" s="261">
        <f t="shared" si="134"/>
        <v>0</v>
      </c>
      <c r="Z994" s="1016">
        <f t="shared" si="129"/>
        <v>36126.76</v>
      </c>
    </row>
    <row r="995" spans="1:26" s="836" customFormat="1" ht="12.75" hidden="1" thickBot="1">
      <c r="A995" s="522" t="s">
        <v>1424</v>
      </c>
      <c r="B995" s="522" t="s">
        <v>710</v>
      </c>
      <c r="C995" s="522" t="s">
        <v>711</v>
      </c>
      <c r="D995" s="522"/>
      <c r="E995" s="526"/>
      <c r="F995" s="526"/>
      <c r="G995" s="526"/>
      <c r="H995" s="526"/>
      <c r="I995" s="526"/>
      <c r="J995" s="526"/>
      <c r="K995" s="526"/>
      <c r="L995" s="526"/>
      <c r="M995" s="526"/>
      <c r="N995" s="526"/>
      <c r="O995" s="526"/>
      <c r="P995" s="526"/>
      <c r="Q995" s="526"/>
      <c r="R995" s="525">
        <v>32051.98</v>
      </c>
      <c r="S995" s="527">
        <f t="shared" si="130"/>
        <v>0</v>
      </c>
      <c r="T995" s="528">
        <f t="shared" si="131"/>
        <v>0</v>
      </c>
      <c r="U995" s="527">
        <f t="shared" si="132"/>
        <v>0</v>
      </c>
      <c r="V995" s="529"/>
      <c r="W995" s="326">
        <f t="shared" si="133"/>
        <v>0</v>
      </c>
      <c r="X995" s="261">
        <f t="shared" si="134"/>
        <v>-32051.98</v>
      </c>
      <c r="Z995" s="1016">
        <f t="shared" si="129"/>
        <v>0</v>
      </c>
    </row>
    <row r="996" spans="1:26" s="836" customFormat="1" ht="12.75" hidden="1" thickBot="1">
      <c r="A996" s="522" t="s">
        <v>1424</v>
      </c>
      <c r="B996" s="522" t="s">
        <v>1048</v>
      </c>
      <c r="C996" s="522" t="s">
        <v>1049</v>
      </c>
      <c r="D996" s="522"/>
      <c r="E996" s="532"/>
      <c r="F996" s="532"/>
      <c r="G996" s="532"/>
      <c r="H996" s="532"/>
      <c r="I996" s="532"/>
      <c r="J996" s="532"/>
      <c r="K996" s="532"/>
      <c r="L996" s="532"/>
      <c r="M996" s="532"/>
      <c r="N996" s="532"/>
      <c r="O996" s="532"/>
      <c r="P996" s="532"/>
      <c r="Q996" s="532"/>
      <c r="R996" s="531">
        <v>0</v>
      </c>
      <c r="S996" s="527">
        <f t="shared" si="130"/>
        <v>0</v>
      </c>
      <c r="T996" s="528">
        <f t="shared" si="131"/>
        <v>0</v>
      </c>
      <c r="U996" s="527">
        <f t="shared" si="132"/>
        <v>0</v>
      </c>
      <c r="V996" s="529"/>
      <c r="W996" s="326">
        <f t="shared" si="133"/>
        <v>0</v>
      </c>
      <c r="X996" s="261">
        <f t="shared" si="134"/>
        <v>0</v>
      </c>
      <c r="Z996" s="1016">
        <f t="shared" si="129"/>
        <v>0</v>
      </c>
    </row>
    <row r="997" spans="1:26" s="836" customFormat="1" ht="12.75" hidden="1" thickBot="1">
      <c r="A997" s="522" t="s">
        <v>1424</v>
      </c>
      <c r="B997" s="543" t="s">
        <v>9</v>
      </c>
      <c r="C997" s="544"/>
      <c r="D997" s="544"/>
      <c r="E997" s="539">
        <v>1819065402</v>
      </c>
      <c r="F997" s="540">
        <v>7235333.1699999999</v>
      </c>
      <c r="G997" s="540">
        <v>48524789.590000004</v>
      </c>
      <c r="H997" s="540">
        <v>47555543.600000001</v>
      </c>
      <c r="I997" s="540">
        <v>2446108.37</v>
      </c>
      <c r="J997" s="540">
        <v>1967948.45</v>
      </c>
      <c r="K997" s="540">
        <v>26870794.170000002</v>
      </c>
      <c r="L997" s="540">
        <v>3022353.96</v>
      </c>
      <c r="M997" s="540">
        <v>4826650.3899999997</v>
      </c>
      <c r="N997" s="540">
        <v>1697961.57</v>
      </c>
      <c r="O997" s="540">
        <v>2629307.41</v>
      </c>
      <c r="P997" s="540">
        <v>-1074470.49</v>
      </c>
      <c r="Q997" s="540">
        <v>0</v>
      </c>
      <c r="R997" s="540">
        <v>146333784.12</v>
      </c>
      <c r="S997" s="527">
        <f t="shared" si="130"/>
        <v>98526441.560000002</v>
      </c>
      <c r="T997" s="528">
        <f t="shared" si="131"/>
        <v>28838742.620000001</v>
      </c>
      <c r="U997" s="527">
        <f t="shared" si="132"/>
        <v>4327268.9800000004</v>
      </c>
      <c r="V997" s="529"/>
      <c r="W997" s="326">
        <f t="shared" si="133"/>
        <v>145702320.19</v>
      </c>
      <c r="X997" s="261">
        <f t="shared" si="134"/>
        <v>-631463.93000000715</v>
      </c>
      <c r="Z997" s="1016">
        <f t="shared" si="129"/>
        <v>134600517.35000002</v>
      </c>
    </row>
    <row r="998" spans="1:26" ht="12" hidden="1" thickBot="1">
      <c r="A998" s="588" t="s">
        <v>1429</v>
      </c>
      <c r="B998" s="522" t="s">
        <v>440</v>
      </c>
      <c r="C998" s="522" t="s">
        <v>460</v>
      </c>
      <c r="D998" s="522"/>
      <c r="E998" s="524">
        <v>4498</v>
      </c>
      <c r="F998" s="525">
        <v>25.5</v>
      </c>
      <c r="G998" s="525">
        <v>306.08999999999997</v>
      </c>
      <c r="H998" s="526"/>
      <c r="I998" s="526"/>
      <c r="J998" s="526"/>
      <c r="K998" s="526"/>
      <c r="L998" s="526"/>
      <c r="M998" s="526"/>
      <c r="N998" s="526"/>
      <c r="O998" s="526"/>
      <c r="P998" s="526"/>
      <c r="Q998" s="526"/>
      <c r="R998" s="525">
        <v>331.59</v>
      </c>
      <c r="S998" s="527"/>
      <c r="T998" s="528"/>
      <c r="U998" s="527"/>
      <c r="W998" s="326">
        <f t="shared" ref="W998:W1030" si="135">SUM(F998:Q998)</f>
        <v>331.59</v>
      </c>
      <c r="X998" s="261"/>
      <c r="Z998" s="1016">
        <f t="shared" si="129"/>
        <v>331.59</v>
      </c>
    </row>
    <row r="999" spans="1:26" ht="12" hidden="1" thickBot="1">
      <c r="A999" s="588" t="s">
        <v>1429</v>
      </c>
      <c r="B999" s="522" t="s">
        <v>441</v>
      </c>
      <c r="C999" s="522" t="s">
        <v>461</v>
      </c>
      <c r="D999" s="522"/>
      <c r="E999" s="530">
        <v>954</v>
      </c>
      <c r="F999" s="531">
        <v>8.5</v>
      </c>
      <c r="G999" s="531">
        <v>64.92</v>
      </c>
      <c r="H999" s="532"/>
      <c r="I999" s="532"/>
      <c r="J999" s="532"/>
      <c r="K999" s="532"/>
      <c r="L999" s="532"/>
      <c r="M999" s="532"/>
      <c r="N999" s="532"/>
      <c r="O999" s="532"/>
      <c r="P999" s="532"/>
      <c r="Q999" s="532"/>
      <c r="R999" s="531">
        <v>73.42</v>
      </c>
      <c r="S999" s="527"/>
      <c r="T999" s="528"/>
      <c r="U999" s="527"/>
      <c r="W999" s="326">
        <f t="shared" si="135"/>
        <v>73.42</v>
      </c>
      <c r="X999" s="261"/>
      <c r="Z999" s="1016">
        <f t="shared" si="129"/>
        <v>73.42</v>
      </c>
    </row>
    <row r="1000" spans="1:26" ht="12" hidden="1" thickBot="1">
      <c r="A1000" s="588" t="s">
        <v>1429</v>
      </c>
      <c r="B1000" s="522" t="s">
        <v>449</v>
      </c>
      <c r="C1000" s="522" t="s">
        <v>448</v>
      </c>
      <c r="D1000" s="522"/>
      <c r="E1000" s="524">
        <v>122</v>
      </c>
      <c r="F1000" s="526"/>
      <c r="G1000" s="525">
        <v>19.04</v>
      </c>
      <c r="H1000" s="526"/>
      <c r="I1000" s="526"/>
      <c r="J1000" s="526"/>
      <c r="K1000" s="526"/>
      <c r="L1000" s="526"/>
      <c r="M1000" s="526"/>
      <c r="N1000" s="526"/>
      <c r="O1000" s="526"/>
      <c r="P1000" s="526"/>
      <c r="Q1000" s="526"/>
      <c r="R1000" s="525">
        <v>19.04</v>
      </c>
      <c r="S1000" s="527">
        <f t="shared" ref="S1000:S1063" si="136">G1000+H1000+I1000</f>
        <v>19.04</v>
      </c>
      <c r="T1000" s="528">
        <f t="shared" ref="T1000:T1063" si="137">J1000+K1000</f>
        <v>0</v>
      </c>
      <c r="U1000" s="527">
        <f t="shared" ref="U1000:U1063" si="138">N1000+O1000</f>
        <v>0</v>
      </c>
      <c r="W1000" s="326">
        <f t="shared" si="135"/>
        <v>19.04</v>
      </c>
      <c r="X1000" s="261">
        <f t="shared" ref="X1000:X1063" si="139">W1000-R1000</f>
        <v>0</v>
      </c>
      <c r="Z1000" s="1016">
        <f t="shared" si="129"/>
        <v>19.04</v>
      </c>
    </row>
    <row r="1001" spans="1:26" ht="12" hidden="1" thickBot="1">
      <c r="A1001" s="588" t="s">
        <v>1429</v>
      </c>
      <c r="B1001" s="522" t="s">
        <v>447</v>
      </c>
      <c r="C1001" s="522" t="s">
        <v>446</v>
      </c>
      <c r="D1001" s="522"/>
      <c r="E1001" s="530">
        <v>34</v>
      </c>
      <c r="F1001" s="532"/>
      <c r="G1001" s="531">
        <v>6.9</v>
      </c>
      <c r="H1001" s="532"/>
      <c r="I1001" s="532"/>
      <c r="J1001" s="532"/>
      <c r="K1001" s="532"/>
      <c r="L1001" s="532"/>
      <c r="M1001" s="532"/>
      <c r="N1001" s="532"/>
      <c r="O1001" s="532"/>
      <c r="P1001" s="532"/>
      <c r="Q1001" s="532"/>
      <c r="R1001" s="531">
        <v>6.9</v>
      </c>
      <c r="S1001" s="527">
        <f t="shared" si="136"/>
        <v>6.9</v>
      </c>
      <c r="T1001" s="528">
        <f t="shared" si="137"/>
        <v>0</v>
      </c>
      <c r="U1001" s="527">
        <f t="shared" si="138"/>
        <v>0</v>
      </c>
      <c r="W1001" s="326">
        <f t="shared" si="135"/>
        <v>6.9</v>
      </c>
      <c r="X1001" s="261">
        <f t="shared" si="139"/>
        <v>0</v>
      </c>
      <c r="Z1001" s="1016">
        <f t="shared" si="129"/>
        <v>6.9</v>
      </c>
    </row>
    <row r="1002" spans="1:26" ht="12" hidden="1" thickBot="1">
      <c r="A1002" s="588" t="s">
        <v>1429</v>
      </c>
      <c r="B1002" s="522" t="s">
        <v>942</v>
      </c>
      <c r="C1002" s="522" t="s">
        <v>943</v>
      </c>
      <c r="D1002" s="522"/>
      <c r="E1002" s="526"/>
      <c r="F1002" s="526"/>
      <c r="G1002" s="526"/>
      <c r="H1002" s="526"/>
      <c r="I1002" s="526"/>
      <c r="J1002" s="526"/>
      <c r="K1002" s="526"/>
      <c r="L1002" s="526"/>
      <c r="M1002" s="526"/>
      <c r="N1002" s="526"/>
      <c r="O1002" s="526"/>
      <c r="P1002" s="526"/>
      <c r="Q1002" s="526"/>
      <c r="R1002" s="526"/>
      <c r="S1002" s="527">
        <f t="shared" si="136"/>
        <v>0</v>
      </c>
      <c r="T1002" s="528">
        <f t="shared" si="137"/>
        <v>0</v>
      </c>
      <c r="U1002" s="527">
        <f t="shared" si="138"/>
        <v>0</v>
      </c>
      <c r="W1002" s="326">
        <f t="shared" si="135"/>
        <v>0</v>
      </c>
      <c r="X1002" s="261">
        <f t="shared" si="139"/>
        <v>0</v>
      </c>
      <c r="Z1002" s="1016">
        <f t="shared" si="129"/>
        <v>0</v>
      </c>
    </row>
    <row r="1003" spans="1:26" ht="12" hidden="1" thickBot="1">
      <c r="A1003" s="588" t="s">
        <v>1429</v>
      </c>
      <c r="B1003" s="522" t="s">
        <v>168</v>
      </c>
      <c r="C1003" s="522" t="s">
        <v>58</v>
      </c>
      <c r="D1003" s="523" t="s">
        <v>19</v>
      </c>
      <c r="E1003" s="530">
        <v>139895327</v>
      </c>
      <c r="F1003" s="531">
        <v>24750</v>
      </c>
      <c r="G1003" s="531">
        <v>1038023.32</v>
      </c>
      <c r="H1003" s="531">
        <v>4045772.86</v>
      </c>
      <c r="I1003" s="532"/>
      <c r="J1003" s="531">
        <v>219118.07</v>
      </c>
      <c r="K1003" s="531">
        <v>2254680.38</v>
      </c>
      <c r="L1003" s="531">
        <v>0</v>
      </c>
      <c r="M1003" s="531">
        <v>-107719.4</v>
      </c>
      <c r="N1003" s="531">
        <v>0</v>
      </c>
      <c r="O1003" s="531">
        <v>197696.52</v>
      </c>
      <c r="P1003" s="532"/>
      <c r="Q1003" s="532"/>
      <c r="R1003" s="531">
        <v>7672321.75</v>
      </c>
      <c r="S1003" s="527">
        <f t="shared" si="136"/>
        <v>5083796.18</v>
      </c>
      <c r="T1003" s="528">
        <f t="shared" si="137"/>
        <v>2473798.4499999997</v>
      </c>
      <c r="U1003" s="527">
        <f>N1003+O1003</f>
        <v>197696.52</v>
      </c>
      <c r="W1003" s="326">
        <f t="shared" si="135"/>
        <v>7672321.7499999991</v>
      </c>
      <c r="X1003" s="261">
        <f>W1003-R1003</f>
        <v>0</v>
      </c>
      <c r="Z1003" s="1016">
        <f t="shared" si="129"/>
        <v>7582344.6299999999</v>
      </c>
    </row>
    <row r="1004" spans="1:26" ht="12" hidden="1" thickBot="1">
      <c r="A1004" s="588" t="s">
        <v>1429</v>
      </c>
      <c r="B1004" s="522" t="s">
        <v>169</v>
      </c>
      <c r="C1004" s="522" t="s">
        <v>196</v>
      </c>
      <c r="D1004" s="523" t="s">
        <v>26</v>
      </c>
      <c r="E1004" s="524">
        <v>4805788</v>
      </c>
      <c r="F1004" s="525">
        <v>28118</v>
      </c>
      <c r="G1004" s="525">
        <v>32198.81</v>
      </c>
      <c r="H1004" s="525">
        <v>138983.32999999999</v>
      </c>
      <c r="I1004" s="526"/>
      <c r="J1004" s="525">
        <v>17826.36</v>
      </c>
      <c r="K1004" s="525">
        <v>234383.62</v>
      </c>
      <c r="L1004" s="525">
        <v>5766.17</v>
      </c>
      <c r="M1004" s="525">
        <v>-3703.54</v>
      </c>
      <c r="N1004" s="525">
        <v>0</v>
      </c>
      <c r="O1004" s="525">
        <v>17799.88</v>
      </c>
      <c r="P1004" s="526"/>
      <c r="Q1004" s="526"/>
      <c r="R1004" s="525">
        <v>471372.63</v>
      </c>
      <c r="S1004" s="527">
        <f t="shared" si="136"/>
        <v>171182.13999999998</v>
      </c>
      <c r="T1004" s="528">
        <f t="shared" si="137"/>
        <v>252209.97999999998</v>
      </c>
      <c r="U1004" s="527">
        <f t="shared" si="138"/>
        <v>17799.88</v>
      </c>
      <c r="W1004" s="326">
        <f t="shared" si="135"/>
        <v>471372.63</v>
      </c>
      <c r="X1004" s="261">
        <f t="shared" si="139"/>
        <v>0</v>
      </c>
      <c r="Z1004" s="1016">
        <f t="shared" si="129"/>
        <v>451510.12</v>
      </c>
    </row>
    <row r="1005" spans="1:26" ht="12" hidden="1" thickBot="1">
      <c r="A1005" s="588" t="s">
        <v>1429</v>
      </c>
      <c r="B1005" s="522" t="s">
        <v>170</v>
      </c>
      <c r="C1005" s="522" t="s">
        <v>197</v>
      </c>
      <c r="D1005" s="523" t="s">
        <v>25</v>
      </c>
      <c r="E1005" s="530">
        <v>147959641</v>
      </c>
      <c r="F1005" s="531">
        <v>426361.04</v>
      </c>
      <c r="G1005" s="531">
        <v>994288.63</v>
      </c>
      <c r="H1005" s="531">
        <v>4278993.16</v>
      </c>
      <c r="I1005" s="532"/>
      <c r="J1005" s="531">
        <v>475902.23</v>
      </c>
      <c r="K1005" s="531">
        <v>6266044.2599999998</v>
      </c>
      <c r="L1005" s="531">
        <v>193275.25</v>
      </c>
      <c r="M1005" s="531">
        <v>-90235.13</v>
      </c>
      <c r="N1005" s="531">
        <v>0</v>
      </c>
      <c r="O1005" s="531">
        <v>467908.76</v>
      </c>
      <c r="P1005" s="532"/>
      <c r="Q1005" s="532"/>
      <c r="R1005" s="531">
        <v>13012538.199999999</v>
      </c>
      <c r="S1005" s="527">
        <f t="shared" si="136"/>
        <v>5273281.79</v>
      </c>
      <c r="T1005" s="528">
        <f t="shared" si="137"/>
        <v>6741946.4900000002</v>
      </c>
      <c r="U1005" s="527">
        <f t="shared" si="138"/>
        <v>467908.76</v>
      </c>
      <c r="W1005" s="326">
        <f t="shared" si="135"/>
        <v>13012538.199999999</v>
      </c>
      <c r="X1005" s="261">
        <f t="shared" si="139"/>
        <v>0</v>
      </c>
      <c r="Z1005" s="1016">
        <f t="shared" si="129"/>
        <v>12441589.32</v>
      </c>
    </row>
    <row r="1006" spans="1:26" ht="12" hidden="1" thickBot="1">
      <c r="A1006" s="588" t="s">
        <v>1429</v>
      </c>
      <c r="B1006" s="522" t="s">
        <v>171</v>
      </c>
      <c r="C1006" s="522" t="s">
        <v>198</v>
      </c>
      <c r="D1006" s="542" t="s">
        <v>221</v>
      </c>
      <c r="E1006" s="524">
        <v>215552537</v>
      </c>
      <c r="F1006" s="525">
        <v>15900</v>
      </c>
      <c r="G1006" s="525">
        <v>1881773.69</v>
      </c>
      <c r="H1006" s="525">
        <v>6233779.3399999999</v>
      </c>
      <c r="I1006" s="526"/>
      <c r="J1006" s="525">
        <v>343690.81</v>
      </c>
      <c r="K1006" s="525">
        <v>3478380.46</v>
      </c>
      <c r="L1006" s="525">
        <v>66601.72</v>
      </c>
      <c r="M1006" s="525">
        <v>-31091.71</v>
      </c>
      <c r="N1006" s="525">
        <v>0</v>
      </c>
      <c r="O1006" s="525">
        <v>325695.09999999998</v>
      </c>
      <c r="P1006" s="526"/>
      <c r="Q1006" s="526"/>
      <c r="R1006" s="525">
        <v>12314729.41</v>
      </c>
      <c r="S1006" s="527">
        <f t="shared" si="136"/>
        <v>8115553.0299999993</v>
      </c>
      <c r="T1006" s="528">
        <f t="shared" si="137"/>
        <v>3822071.27</v>
      </c>
      <c r="U1006" s="527">
        <f t="shared" si="138"/>
        <v>325695.09999999998</v>
      </c>
      <c r="W1006" s="326">
        <f t="shared" si="135"/>
        <v>12314729.41</v>
      </c>
      <c r="X1006" s="261">
        <f t="shared" si="139"/>
        <v>0</v>
      </c>
      <c r="Z1006" s="1016">
        <f t="shared" si="129"/>
        <v>11953524.300000001</v>
      </c>
    </row>
    <row r="1007" spans="1:26" ht="12" hidden="1" thickBot="1">
      <c r="A1007" s="588" t="s">
        <v>1429</v>
      </c>
      <c r="B1007" s="522" t="s">
        <v>172</v>
      </c>
      <c r="C1007" s="522" t="s">
        <v>199</v>
      </c>
      <c r="D1007" s="523" t="s">
        <v>26</v>
      </c>
      <c r="E1007" s="530">
        <v>16436798</v>
      </c>
      <c r="F1007" s="531">
        <v>10987.67</v>
      </c>
      <c r="G1007" s="531">
        <v>110126.54</v>
      </c>
      <c r="H1007" s="531">
        <v>475352.2</v>
      </c>
      <c r="I1007" s="532"/>
      <c r="J1007" s="531">
        <v>43965.99</v>
      </c>
      <c r="K1007" s="531">
        <v>578883.71</v>
      </c>
      <c r="L1007" s="531">
        <v>14968.85</v>
      </c>
      <c r="M1007" s="531">
        <v>-8088.71</v>
      </c>
      <c r="N1007" s="531">
        <v>0</v>
      </c>
      <c r="O1007" s="531">
        <v>42486.67</v>
      </c>
      <c r="P1007" s="532"/>
      <c r="Q1007" s="532"/>
      <c r="R1007" s="531">
        <v>1268682.92</v>
      </c>
      <c r="S1007" s="527">
        <f t="shared" si="136"/>
        <v>585478.74</v>
      </c>
      <c r="T1007" s="528">
        <f t="shared" si="137"/>
        <v>622849.69999999995</v>
      </c>
      <c r="U1007" s="527">
        <f t="shared" si="138"/>
        <v>42486.67</v>
      </c>
      <c r="W1007" s="326">
        <f t="shared" si="135"/>
        <v>1268682.92</v>
      </c>
      <c r="X1007" s="261">
        <f t="shared" si="139"/>
        <v>0</v>
      </c>
      <c r="Z1007" s="1016">
        <f t="shared" si="129"/>
        <v>1219316.1099999999</v>
      </c>
    </row>
    <row r="1008" spans="1:26" ht="12" hidden="1" thickBot="1">
      <c r="A1008" s="588" t="s">
        <v>1429</v>
      </c>
      <c r="B1008" s="522" t="s">
        <v>173</v>
      </c>
      <c r="C1008" s="522" t="s">
        <v>200</v>
      </c>
      <c r="D1008" s="535" t="s">
        <v>25</v>
      </c>
      <c r="E1008" s="524">
        <v>50342019</v>
      </c>
      <c r="F1008" s="525">
        <v>32197.35</v>
      </c>
      <c r="G1008" s="525">
        <v>338298.38</v>
      </c>
      <c r="H1008" s="525">
        <v>1455891.25</v>
      </c>
      <c r="I1008" s="526"/>
      <c r="J1008" s="525">
        <v>148560.95999999999</v>
      </c>
      <c r="K1008" s="525">
        <v>1956387.68</v>
      </c>
      <c r="L1008" s="525">
        <v>45483.8</v>
      </c>
      <c r="M1008" s="525">
        <v>-31864.98</v>
      </c>
      <c r="N1008" s="525">
        <v>0</v>
      </c>
      <c r="O1008" s="525">
        <v>141129.24</v>
      </c>
      <c r="P1008" s="526"/>
      <c r="Q1008" s="526"/>
      <c r="R1008" s="525">
        <v>4086083.68</v>
      </c>
      <c r="S1008" s="527">
        <f t="shared" si="136"/>
        <v>1794189.63</v>
      </c>
      <c r="T1008" s="528">
        <f t="shared" si="137"/>
        <v>2104948.64</v>
      </c>
      <c r="U1008" s="527">
        <f t="shared" si="138"/>
        <v>141129.24</v>
      </c>
      <c r="W1008" s="326">
        <f t="shared" si="135"/>
        <v>4086083.6799999997</v>
      </c>
      <c r="X1008" s="261">
        <f t="shared" si="139"/>
        <v>0</v>
      </c>
      <c r="Z1008" s="1016">
        <f t="shared" si="129"/>
        <v>3931335.62</v>
      </c>
    </row>
    <row r="1009" spans="1:26" ht="12" hidden="1" thickBot="1">
      <c r="A1009" s="588" t="s">
        <v>1429</v>
      </c>
      <c r="B1009" s="522" t="s">
        <v>174</v>
      </c>
      <c r="C1009" s="522" t="s">
        <v>201</v>
      </c>
      <c r="D1009" s="523" t="s">
        <v>221</v>
      </c>
      <c r="E1009" s="530">
        <v>105815191</v>
      </c>
      <c r="F1009" s="531">
        <v>49480</v>
      </c>
      <c r="G1009" s="531">
        <v>923766.6</v>
      </c>
      <c r="H1009" s="531">
        <v>3060175.38</v>
      </c>
      <c r="I1009" s="532"/>
      <c r="J1009" s="531">
        <v>210750.6</v>
      </c>
      <c r="K1009" s="531">
        <v>2136643.46</v>
      </c>
      <c r="L1009" s="531">
        <v>37418.129999999997</v>
      </c>
      <c r="M1009" s="531">
        <v>-72549.38</v>
      </c>
      <c r="N1009" s="531">
        <v>0</v>
      </c>
      <c r="O1009" s="531">
        <v>187387.91</v>
      </c>
      <c r="P1009" s="532"/>
      <c r="Q1009" s="532"/>
      <c r="R1009" s="531">
        <v>6533072.7000000002</v>
      </c>
      <c r="S1009" s="527">
        <f t="shared" si="136"/>
        <v>3983941.98</v>
      </c>
      <c r="T1009" s="528">
        <f t="shared" si="137"/>
        <v>2347394.06</v>
      </c>
      <c r="U1009" s="527">
        <f t="shared" si="138"/>
        <v>187387.91</v>
      </c>
      <c r="W1009" s="326">
        <f t="shared" si="135"/>
        <v>6533072.7000000002</v>
      </c>
      <c r="X1009" s="261">
        <f t="shared" si="139"/>
        <v>0</v>
      </c>
      <c r="Z1009" s="1016">
        <f t="shared" si="129"/>
        <v>6380816.04</v>
      </c>
    </row>
    <row r="1010" spans="1:26" ht="12" hidden="1" thickBot="1">
      <c r="A1010" s="588" t="s">
        <v>1429</v>
      </c>
      <c r="B1010" s="522" t="s">
        <v>175</v>
      </c>
      <c r="C1010" s="522" t="s">
        <v>202</v>
      </c>
      <c r="D1010" s="523" t="s">
        <v>220</v>
      </c>
      <c r="E1010" s="524">
        <v>117890588</v>
      </c>
      <c r="F1010" s="525">
        <v>98073.69</v>
      </c>
      <c r="G1010" s="525">
        <v>1038616.36</v>
      </c>
      <c r="H1010" s="525">
        <v>3409395.74</v>
      </c>
      <c r="I1010" s="526"/>
      <c r="J1010" s="525">
        <v>282694.23</v>
      </c>
      <c r="K1010" s="525">
        <v>2894704.25</v>
      </c>
      <c r="L1010" s="525">
        <v>89636.18</v>
      </c>
      <c r="M1010" s="525">
        <v>-71551.86</v>
      </c>
      <c r="N1010" s="525">
        <v>0</v>
      </c>
      <c r="O1010" s="525">
        <v>246203.59</v>
      </c>
      <c r="P1010" s="526"/>
      <c r="Q1010" s="526"/>
      <c r="R1010" s="525">
        <v>7987772.1799999997</v>
      </c>
      <c r="S1010" s="527">
        <f t="shared" si="136"/>
        <v>4448012.1000000006</v>
      </c>
      <c r="T1010" s="528">
        <f t="shared" si="137"/>
        <v>3177398.48</v>
      </c>
      <c r="U1010" s="527">
        <f t="shared" si="138"/>
        <v>246203.59</v>
      </c>
      <c r="W1010" s="326">
        <f t="shared" si="135"/>
        <v>7987772.1799999988</v>
      </c>
      <c r="X1010" s="261">
        <f t="shared" si="139"/>
        <v>0</v>
      </c>
      <c r="Z1010" s="1016">
        <f t="shared" si="129"/>
        <v>7723484.2699999996</v>
      </c>
    </row>
    <row r="1011" spans="1:26" ht="12" hidden="1" thickBot="1">
      <c r="A1011" s="588" t="s">
        <v>1429</v>
      </c>
      <c r="B1011" s="522" t="s">
        <v>176</v>
      </c>
      <c r="C1011" s="522" t="s">
        <v>203</v>
      </c>
      <c r="D1011" s="523" t="s">
        <v>25</v>
      </c>
      <c r="E1011" s="530">
        <v>32640</v>
      </c>
      <c r="F1011" s="531">
        <v>90</v>
      </c>
      <c r="G1011" s="531">
        <v>219.34</v>
      </c>
      <c r="H1011" s="531">
        <v>943.95</v>
      </c>
      <c r="I1011" s="532"/>
      <c r="J1011" s="531">
        <v>111.13</v>
      </c>
      <c r="K1011" s="531">
        <v>1463.24</v>
      </c>
      <c r="L1011" s="531">
        <v>44.72</v>
      </c>
      <c r="M1011" s="531">
        <v>-25.13</v>
      </c>
      <c r="N1011" s="531">
        <v>0</v>
      </c>
      <c r="O1011" s="531">
        <v>107.8</v>
      </c>
      <c r="P1011" s="532"/>
      <c r="Q1011" s="532"/>
      <c r="R1011" s="531">
        <v>2955.05</v>
      </c>
      <c r="S1011" s="527">
        <f t="shared" si="136"/>
        <v>1163.29</v>
      </c>
      <c r="T1011" s="528">
        <f t="shared" si="137"/>
        <v>1574.37</v>
      </c>
      <c r="U1011" s="527">
        <f t="shared" si="138"/>
        <v>107.8</v>
      </c>
      <c r="W1011" s="326">
        <f t="shared" si="135"/>
        <v>2955.0499999999997</v>
      </c>
      <c r="X1011" s="261">
        <f t="shared" si="139"/>
        <v>0</v>
      </c>
      <c r="Z1011" s="1016">
        <f t="shared" si="129"/>
        <v>2827.66</v>
      </c>
    </row>
    <row r="1012" spans="1:26" ht="12" hidden="1" thickBot="1">
      <c r="A1012" s="588" t="s">
        <v>1429</v>
      </c>
      <c r="B1012" s="522" t="s">
        <v>944</v>
      </c>
      <c r="C1012" s="522" t="s">
        <v>943</v>
      </c>
      <c r="D1012" s="522"/>
      <c r="E1012" s="526"/>
      <c r="F1012" s="526"/>
      <c r="G1012" s="526"/>
      <c r="H1012" s="526"/>
      <c r="I1012" s="526"/>
      <c r="J1012" s="526"/>
      <c r="K1012" s="526"/>
      <c r="L1012" s="526"/>
      <c r="M1012" s="526"/>
      <c r="N1012" s="526"/>
      <c r="O1012" s="526"/>
      <c r="P1012" s="526"/>
      <c r="Q1012" s="526"/>
      <c r="R1012" s="526"/>
      <c r="S1012" s="527">
        <f t="shared" si="136"/>
        <v>0</v>
      </c>
      <c r="T1012" s="528">
        <f t="shared" si="137"/>
        <v>0</v>
      </c>
      <c r="U1012" s="527">
        <f t="shared" si="138"/>
        <v>0</v>
      </c>
      <c r="W1012" s="326">
        <f t="shared" si="135"/>
        <v>0</v>
      </c>
      <c r="X1012" s="261">
        <f t="shared" si="139"/>
        <v>0</v>
      </c>
      <c r="Z1012" s="1016">
        <f t="shared" si="129"/>
        <v>0</v>
      </c>
    </row>
    <row r="1013" spans="1:26" ht="12" hidden="1" thickBot="1">
      <c r="A1013" s="588" t="s">
        <v>1429</v>
      </c>
      <c r="B1013" s="522" t="s">
        <v>177</v>
      </c>
      <c r="C1013" s="522" t="s">
        <v>494</v>
      </c>
      <c r="D1013" s="522" t="s">
        <v>224</v>
      </c>
      <c r="E1013" s="530">
        <v>61131589</v>
      </c>
      <c r="F1013" s="531">
        <v>1283500.77</v>
      </c>
      <c r="G1013" s="531">
        <v>3583855.46</v>
      </c>
      <c r="H1013" s="531">
        <v>1768132.14</v>
      </c>
      <c r="I1013" s="531">
        <v>287839.03000000003</v>
      </c>
      <c r="J1013" s="532"/>
      <c r="K1013" s="532"/>
      <c r="L1013" s="531">
        <v>180885.51</v>
      </c>
      <c r="M1013" s="531">
        <v>-38085.67</v>
      </c>
      <c r="N1013" s="531">
        <v>-86.21</v>
      </c>
      <c r="O1013" s="531">
        <v>298722.19</v>
      </c>
      <c r="P1013" s="532"/>
      <c r="Q1013" s="531">
        <v>0</v>
      </c>
      <c r="R1013" s="531">
        <v>7364763.2199999997</v>
      </c>
      <c r="S1013" s="527">
        <f t="shared" si="136"/>
        <v>5639826.6299999999</v>
      </c>
      <c r="T1013" s="528">
        <f t="shared" si="137"/>
        <v>0</v>
      </c>
      <c r="U1013" s="527">
        <f t="shared" si="138"/>
        <v>298635.98</v>
      </c>
      <c r="W1013" s="326">
        <f t="shared" si="135"/>
        <v>7364763.2200000007</v>
      </c>
      <c r="X1013" s="261">
        <f t="shared" si="139"/>
        <v>0</v>
      </c>
      <c r="Z1013" s="1016">
        <f t="shared" si="129"/>
        <v>6923327.4000000004</v>
      </c>
    </row>
    <row r="1014" spans="1:26" ht="12" hidden="1" thickBot="1">
      <c r="A1014" s="588" t="s">
        <v>1429</v>
      </c>
      <c r="B1014" s="522" t="s">
        <v>178</v>
      </c>
      <c r="C1014" s="522" t="s">
        <v>1352</v>
      </c>
      <c r="D1014" s="542" t="s">
        <v>224</v>
      </c>
      <c r="E1014" s="524">
        <v>10785</v>
      </c>
      <c r="F1014" s="525">
        <v>1220</v>
      </c>
      <c r="G1014" s="525">
        <v>632.23</v>
      </c>
      <c r="H1014" s="525">
        <v>311.91000000000003</v>
      </c>
      <c r="I1014" s="525">
        <v>50.8</v>
      </c>
      <c r="J1014" s="526"/>
      <c r="K1014" s="526"/>
      <c r="L1014" s="525">
        <v>32.39</v>
      </c>
      <c r="M1014" s="525">
        <v>-2.95</v>
      </c>
      <c r="N1014" s="525">
        <v>0</v>
      </c>
      <c r="O1014" s="525">
        <v>108.65</v>
      </c>
      <c r="P1014" s="526"/>
      <c r="Q1014" s="526"/>
      <c r="R1014" s="525">
        <v>2353.0300000000002</v>
      </c>
      <c r="S1014" s="527">
        <f t="shared" si="136"/>
        <v>994.94</v>
      </c>
      <c r="T1014" s="528">
        <f t="shared" si="137"/>
        <v>0</v>
      </c>
      <c r="U1014" s="527">
        <f t="shared" si="138"/>
        <v>108.65</v>
      </c>
      <c r="W1014" s="326">
        <f t="shared" si="135"/>
        <v>2353.0300000000002</v>
      </c>
      <c r="X1014" s="261">
        <f t="shared" si="139"/>
        <v>0</v>
      </c>
      <c r="Z1014" s="1016">
        <f t="shared" si="129"/>
        <v>2214.94</v>
      </c>
    </row>
    <row r="1015" spans="1:26" ht="12" hidden="1" thickBot="1">
      <c r="A1015" s="588" t="s">
        <v>1429</v>
      </c>
      <c r="B1015" s="522" t="s">
        <v>179</v>
      </c>
      <c r="C1015" s="522" t="s">
        <v>64</v>
      </c>
      <c r="D1015" s="523" t="s">
        <v>18</v>
      </c>
      <c r="E1015" s="530">
        <v>90576183</v>
      </c>
      <c r="F1015" s="531">
        <v>641342.6</v>
      </c>
      <c r="G1015" s="531">
        <v>5309590.28</v>
      </c>
      <c r="H1015" s="531">
        <v>2619465.14</v>
      </c>
      <c r="I1015" s="531">
        <v>426607.34</v>
      </c>
      <c r="J1015" s="532"/>
      <c r="K1015" s="532"/>
      <c r="L1015" s="531">
        <v>252737.54</v>
      </c>
      <c r="M1015" s="531">
        <v>-61393.760000000002</v>
      </c>
      <c r="N1015" s="531">
        <v>0</v>
      </c>
      <c r="O1015" s="531">
        <v>371196.09</v>
      </c>
      <c r="P1015" s="532"/>
      <c r="Q1015" s="532"/>
      <c r="R1015" s="531">
        <v>9559545.2300000004</v>
      </c>
      <c r="S1015" s="527">
        <f t="shared" si="136"/>
        <v>8355662.7599999998</v>
      </c>
      <c r="T1015" s="528">
        <f t="shared" si="137"/>
        <v>0</v>
      </c>
      <c r="U1015" s="527">
        <f t="shared" si="138"/>
        <v>371196.09</v>
      </c>
      <c r="W1015" s="326">
        <f t="shared" si="135"/>
        <v>9559545.2299999986</v>
      </c>
      <c r="X1015" s="261">
        <f t="shared" si="139"/>
        <v>0</v>
      </c>
      <c r="Z1015" s="1016">
        <f t="shared" si="129"/>
        <v>8997005.3599999994</v>
      </c>
    </row>
    <row r="1016" spans="1:26" ht="12" hidden="1" thickBot="1">
      <c r="A1016" s="588" t="s">
        <v>1429</v>
      </c>
      <c r="B1016" s="522" t="s">
        <v>180</v>
      </c>
      <c r="C1016" s="522" t="s">
        <v>204</v>
      </c>
      <c r="D1016" s="536" t="s">
        <v>219</v>
      </c>
      <c r="E1016" s="524">
        <v>361884</v>
      </c>
      <c r="F1016" s="525">
        <v>6520</v>
      </c>
      <c r="G1016" s="525">
        <v>15318.39</v>
      </c>
      <c r="H1016" s="525">
        <v>10465.780000000001</v>
      </c>
      <c r="I1016" s="525">
        <v>1139.8900000000001</v>
      </c>
      <c r="J1016" s="526"/>
      <c r="K1016" s="526"/>
      <c r="L1016" s="525">
        <v>445.1</v>
      </c>
      <c r="M1016" s="525">
        <v>-37.54</v>
      </c>
      <c r="N1016" s="525">
        <v>1094.43</v>
      </c>
      <c r="O1016" s="526"/>
      <c r="P1016" s="526"/>
      <c r="Q1016" s="526"/>
      <c r="R1016" s="525">
        <v>34946.050000000003</v>
      </c>
      <c r="S1016" s="527">
        <f t="shared" si="136"/>
        <v>26924.059999999998</v>
      </c>
      <c r="T1016" s="528">
        <f t="shared" si="137"/>
        <v>0</v>
      </c>
      <c r="U1016" s="527">
        <f t="shared" si="138"/>
        <v>1094.43</v>
      </c>
      <c r="W1016" s="326">
        <f t="shared" si="135"/>
        <v>34946.049999999996</v>
      </c>
      <c r="X1016" s="261">
        <f t="shared" si="139"/>
        <v>0</v>
      </c>
      <c r="Z1016" s="1016">
        <f t="shared" si="129"/>
        <v>33444.06</v>
      </c>
    </row>
    <row r="1017" spans="1:26" ht="12" hidden="1" thickBot="1">
      <c r="A1017" s="588" t="s">
        <v>1429</v>
      </c>
      <c r="B1017" s="522" t="s">
        <v>181</v>
      </c>
      <c r="C1017" s="522" t="s">
        <v>205</v>
      </c>
      <c r="D1017" s="536" t="s">
        <v>219</v>
      </c>
      <c r="E1017" s="530">
        <v>2100</v>
      </c>
      <c r="F1017" s="531">
        <v>120</v>
      </c>
      <c r="G1017" s="531">
        <v>88.89</v>
      </c>
      <c r="H1017" s="531">
        <v>60.73</v>
      </c>
      <c r="I1017" s="531">
        <v>6.62</v>
      </c>
      <c r="J1017" s="532"/>
      <c r="K1017" s="532"/>
      <c r="L1017" s="531">
        <v>2.58</v>
      </c>
      <c r="M1017" s="531">
        <v>-1.62</v>
      </c>
      <c r="N1017" s="531">
        <v>8.9</v>
      </c>
      <c r="O1017" s="532"/>
      <c r="P1017" s="532"/>
      <c r="Q1017" s="532"/>
      <c r="R1017" s="531">
        <v>286.10000000000002</v>
      </c>
      <c r="S1017" s="527">
        <f t="shared" si="136"/>
        <v>156.24</v>
      </c>
      <c r="T1017" s="528">
        <f t="shared" si="137"/>
        <v>0</v>
      </c>
      <c r="U1017" s="527">
        <f t="shared" si="138"/>
        <v>8.9</v>
      </c>
      <c r="W1017" s="326">
        <f t="shared" si="135"/>
        <v>286.09999999999997</v>
      </c>
      <c r="X1017" s="261">
        <f t="shared" si="139"/>
        <v>0</v>
      </c>
      <c r="Z1017" s="1016">
        <f t="shared" si="129"/>
        <v>276.24</v>
      </c>
    </row>
    <row r="1018" spans="1:26" ht="12" hidden="1" thickBot="1">
      <c r="A1018" s="588" t="s">
        <v>1429</v>
      </c>
      <c r="B1018" s="522" t="s">
        <v>182</v>
      </c>
      <c r="C1018" s="522" t="s">
        <v>206</v>
      </c>
      <c r="D1018" s="533" t="s">
        <v>228</v>
      </c>
      <c r="E1018" s="524">
        <v>298495</v>
      </c>
      <c r="F1018" s="525">
        <v>2345.0100000000002</v>
      </c>
      <c r="G1018" s="525">
        <v>12635.34</v>
      </c>
      <c r="H1018" s="525">
        <v>8632.4699999999993</v>
      </c>
      <c r="I1018" s="525">
        <v>940.25</v>
      </c>
      <c r="J1018" s="526"/>
      <c r="K1018" s="526"/>
      <c r="L1018" s="525">
        <v>367.2</v>
      </c>
      <c r="M1018" s="525">
        <v>-183.59</v>
      </c>
      <c r="N1018" s="525">
        <v>795.64</v>
      </c>
      <c r="O1018" s="526"/>
      <c r="P1018" s="526"/>
      <c r="Q1018" s="526"/>
      <c r="R1018" s="525">
        <v>25532.32</v>
      </c>
      <c r="S1018" s="527">
        <f t="shared" si="136"/>
        <v>22208.059999999998</v>
      </c>
      <c r="T1018" s="528">
        <f t="shared" si="137"/>
        <v>0</v>
      </c>
      <c r="U1018" s="527">
        <f t="shared" si="138"/>
        <v>795.64</v>
      </c>
      <c r="W1018" s="326">
        <f t="shared" si="135"/>
        <v>25532.32</v>
      </c>
      <c r="X1018" s="261">
        <f t="shared" si="139"/>
        <v>0</v>
      </c>
      <c r="Z1018" s="1016">
        <f t="shared" si="129"/>
        <v>24553.07</v>
      </c>
    </row>
    <row r="1019" spans="1:26" ht="12" hidden="1" thickBot="1">
      <c r="A1019" s="588" t="s">
        <v>1429</v>
      </c>
      <c r="B1019" s="522" t="s">
        <v>183</v>
      </c>
      <c r="C1019" s="522" t="s">
        <v>207</v>
      </c>
      <c r="D1019" s="535" t="s">
        <v>228</v>
      </c>
      <c r="E1019" s="530">
        <v>201220</v>
      </c>
      <c r="F1019" s="531">
        <v>140</v>
      </c>
      <c r="G1019" s="531">
        <v>8517.64</v>
      </c>
      <c r="H1019" s="531">
        <v>5819.28</v>
      </c>
      <c r="I1019" s="531">
        <v>633.85</v>
      </c>
      <c r="J1019" s="532"/>
      <c r="K1019" s="532"/>
      <c r="L1019" s="531">
        <v>247.5</v>
      </c>
      <c r="M1019" s="531">
        <v>83.82</v>
      </c>
      <c r="N1019" s="531">
        <v>502.46</v>
      </c>
      <c r="O1019" s="532"/>
      <c r="P1019" s="532"/>
      <c r="Q1019" s="532"/>
      <c r="R1019" s="531">
        <v>15944.55</v>
      </c>
      <c r="S1019" s="527">
        <f t="shared" si="136"/>
        <v>14970.769999999999</v>
      </c>
      <c r="T1019" s="528">
        <f t="shared" si="137"/>
        <v>0</v>
      </c>
      <c r="U1019" s="527">
        <f t="shared" si="138"/>
        <v>502.46</v>
      </c>
      <c r="W1019" s="326">
        <f t="shared" si="135"/>
        <v>15944.549999999997</v>
      </c>
      <c r="X1019" s="261">
        <f t="shared" si="139"/>
        <v>0</v>
      </c>
      <c r="Z1019" s="1016">
        <f t="shared" si="129"/>
        <v>15110.769999999999</v>
      </c>
    </row>
    <row r="1020" spans="1:26" ht="12" hidden="1" thickBot="1">
      <c r="A1020" s="588" t="s">
        <v>1429</v>
      </c>
      <c r="B1020" s="522" t="s">
        <v>720</v>
      </c>
      <c r="C1020" s="522" t="s">
        <v>723</v>
      </c>
      <c r="D1020" s="535" t="s">
        <v>228</v>
      </c>
      <c r="E1020" s="524">
        <v>1887520</v>
      </c>
      <c r="F1020" s="525">
        <v>3360.02</v>
      </c>
      <c r="G1020" s="525">
        <v>79898.7</v>
      </c>
      <c r="H1020" s="525">
        <v>54587.08</v>
      </c>
      <c r="I1020" s="525">
        <v>5945.7</v>
      </c>
      <c r="J1020" s="526"/>
      <c r="K1020" s="526"/>
      <c r="L1020" s="525">
        <v>2321.66</v>
      </c>
      <c r="M1020" s="525">
        <v>-475.05</v>
      </c>
      <c r="N1020" s="525">
        <v>4703.84</v>
      </c>
      <c r="O1020" s="526"/>
      <c r="P1020" s="526"/>
      <c r="Q1020" s="526"/>
      <c r="R1020" s="525">
        <v>150341.95000000001</v>
      </c>
      <c r="S1020" s="527">
        <f t="shared" si="136"/>
        <v>140431.48000000001</v>
      </c>
      <c r="T1020" s="528">
        <f t="shared" si="137"/>
        <v>0</v>
      </c>
      <c r="U1020" s="527">
        <f t="shared" si="138"/>
        <v>4703.84</v>
      </c>
      <c r="W1020" s="326">
        <f t="shared" si="135"/>
        <v>150341.95000000001</v>
      </c>
      <c r="X1020" s="261">
        <f t="shared" si="139"/>
        <v>0</v>
      </c>
      <c r="Z1020" s="1016">
        <f t="shared" si="129"/>
        <v>143791.5</v>
      </c>
    </row>
    <row r="1021" spans="1:26" ht="12" hidden="1" thickBot="1">
      <c r="A1021" s="588" t="s">
        <v>1429</v>
      </c>
      <c r="B1021" s="522" t="s">
        <v>721</v>
      </c>
      <c r="C1021" s="522" t="s">
        <v>724</v>
      </c>
      <c r="D1021" s="535" t="s">
        <v>219</v>
      </c>
      <c r="E1021" s="530">
        <v>33989</v>
      </c>
      <c r="F1021" s="531">
        <v>380</v>
      </c>
      <c r="G1021" s="531">
        <v>1438.75</v>
      </c>
      <c r="H1021" s="531">
        <v>982.96</v>
      </c>
      <c r="I1021" s="531">
        <v>107.06</v>
      </c>
      <c r="J1021" s="532"/>
      <c r="K1021" s="532"/>
      <c r="L1021" s="531">
        <v>41.81</v>
      </c>
      <c r="M1021" s="531">
        <v>16.04</v>
      </c>
      <c r="N1021" s="531">
        <v>96.57</v>
      </c>
      <c r="O1021" s="532"/>
      <c r="P1021" s="532"/>
      <c r="Q1021" s="532"/>
      <c r="R1021" s="531">
        <v>3063.19</v>
      </c>
      <c r="S1021" s="527">
        <f t="shared" si="136"/>
        <v>2528.77</v>
      </c>
      <c r="T1021" s="528">
        <f t="shared" si="137"/>
        <v>0</v>
      </c>
      <c r="U1021" s="527">
        <f t="shared" si="138"/>
        <v>96.57</v>
      </c>
      <c r="W1021" s="326">
        <f t="shared" si="135"/>
        <v>3063.19</v>
      </c>
      <c r="X1021" s="261">
        <f t="shared" si="139"/>
        <v>0</v>
      </c>
      <c r="Z1021" s="1016">
        <f t="shared" si="129"/>
        <v>2908.77</v>
      </c>
    </row>
    <row r="1022" spans="1:26" ht="12" hidden="1" thickBot="1">
      <c r="A1022" s="588" t="s">
        <v>1429</v>
      </c>
      <c r="B1022" s="522" t="s">
        <v>722</v>
      </c>
      <c r="C1022" s="522" t="s">
        <v>725</v>
      </c>
      <c r="D1022" s="523" t="s">
        <v>228</v>
      </c>
      <c r="E1022" s="524">
        <v>6945036</v>
      </c>
      <c r="F1022" s="525">
        <v>3465.02</v>
      </c>
      <c r="G1022" s="525">
        <v>293983.34999999998</v>
      </c>
      <c r="H1022" s="525">
        <v>200850.41</v>
      </c>
      <c r="I1022" s="525">
        <v>21876.92</v>
      </c>
      <c r="J1022" s="526"/>
      <c r="K1022" s="526"/>
      <c r="L1022" s="525">
        <v>8542.42</v>
      </c>
      <c r="M1022" s="525">
        <v>-316.44</v>
      </c>
      <c r="N1022" s="525">
        <v>17104.36</v>
      </c>
      <c r="O1022" s="526"/>
      <c r="P1022" s="526"/>
      <c r="Q1022" s="526"/>
      <c r="R1022" s="525">
        <v>545506.04</v>
      </c>
      <c r="S1022" s="527">
        <f t="shared" si="136"/>
        <v>516710.68</v>
      </c>
      <c r="T1022" s="528">
        <f t="shared" si="137"/>
        <v>0</v>
      </c>
      <c r="U1022" s="527">
        <f t="shared" si="138"/>
        <v>17104.36</v>
      </c>
      <c r="W1022" s="326">
        <f t="shared" si="135"/>
        <v>545506.04</v>
      </c>
      <c r="X1022" s="261">
        <f t="shared" si="139"/>
        <v>0</v>
      </c>
      <c r="Z1022" s="1016">
        <f t="shared" si="129"/>
        <v>520175.7</v>
      </c>
    </row>
    <row r="1023" spans="1:26" ht="12" thickBot="1">
      <c r="A1023" s="588" t="s">
        <v>1429</v>
      </c>
      <c r="B1023" s="522" t="s">
        <v>233</v>
      </c>
      <c r="C1023" s="522" t="s">
        <v>651</v>
      </c>
      <c r="D1023" s="522" t="s">
        <v>20</v>
      </c>
      <c r="E1023" s="530">
        <v>10593</v>
      </c>
      <c r="F1023" s="532"/>
      <c r="G1023" s="531">
        <v>336.11</v>
      </c>
      <c r="H1023" s="531">
        <v>306.35000000000002</v>
      </c>
      <c r="I1023" s="531">
        <v>33.369999999999997</v>
      </c>
      <c r="J1023" s="532"/>
      <c r="K1023" s="532"/>
      <c r="L1023" s="532"/>
      <c r="M1023" s="531">
        <v>-8.16</v>
      </c>
      <c r="N1023" s="531">
        <v>21.43</v>
      </c>
      <c r="O1023" s="532"/>
      <c r="P1023" s="532"/>
      <c r="Q1023" s="532"/>
      <c r="R1023" s="531">
        <v>689.1</v>
      </c>
      <c r="S1023" s="527">
        <f t="shared" si="136"/>
        <v>675.83</v>
      </c>
      <c r="T1023" s="528">
        <f t="shared" si="137"/>
        <v>0</v>
      </c>
      <c r="U1023" s="527">
        <f t="shared" si="138"/>
        <v>21.43</v>
      </c>
      <c r="W1023" s="326">
        <f t="shared" si="135"/>
        <v>689.1</v>
      </c>
      <c r="X1023" s="261">
        <f t="shared" si="139"/>
        <v>0</v>
      </c>
      <c r="Z1023" s="1016">
        <f t="shared" si="129"/>
        <v>675.83</v>
      </c>
    </row>
    <row r="1024" spans="1:26" ht="12" hidden="1" thickBot="1">
      <c r="A1024" s="588" t="s">
        <v>1429</v>
      </c>
      <c r="B1024" s="522" t="s">
        <v>232</v>
      </c>
      <c r="C1024" s="522" t="s">
        <v>651</v>
      </c>
      <c r="D1024" s="522" t="s">
        <v>20</v>
      </c>
      <c r="E1024" s="524">
        <v>2792</v>
      </c>
      <c r="F1024" s="526"/>
      <c r="G1024" s="525">
        <v>88.6</v>
      </c>
      <c r="H1024" s="525">
        <v>80.739999999999995</v>
      </c>
      <c r="I1024" s="525">
        <v>8.7899999999999991</v>
      </c>
      <c r="J1024" s="526"/>
      <c r="K1024" s="526"/>
      <c r="L1024" s="526"/>
      <c r="M1024" s="525">
        <v>7.15</v>
      </c>
      <c r="N1024" s="525">
        <v>6.17</v>
      </c>
      <c r="O1024" s="526"/>
      <c r="P1024" s="526"/>
      <c r="Q1024" s="526"/>
      <c r="R1024" s="525">
        <v>191.45</v>
      </c>
      <c r="S1024" s="527">
        <f t="shared" si="136"/>
        <v>178.12999999999997</v>
      </c>
      <c r="T1024" s="528">
        <f t="shared" si="137"/>
        <v>0</v>
      </c>
      <c r="U1024" s="527">
        <f t="shared" si="138"/>
        <v>6.17</v>
      </c>
      <c r="W1024" s="326">
        <f t="shared" si="135"/>
        <v>191.44999999999996</v>
      </c>
      <c r="X1024" s="261">
        <f t="shared" si="139"/>
        <v>0</v>
      </c>
      <c r="Z1024" s="1016">
        <f t="shared" si="129"/>
        <v>178.12999999999997</v>
      </c>
    </row>
    <row r="1025" spans="1:26" ht="12" thickBot="1">
      <c r="A1025" s="588" t="s">
        <v>1429</v>
      </c>
      <c r="B1025" s="522" t="s">
        <v>184</v>
      </c>
      <c r="C1025" s="522" t="s">
        <v>59</v>
      </c>
      <c r="D1025" s="523" t="s">
        <v>21</v>
      </c>
      <c r="E1025" s="530">
        <v>100946</v>
      </c>
      <c r="F1025" s="531">
        <v>1556.54</v>
      </c>
      <c r="G1025" s="531">
        <v>4816.26</v>
      </c>
      <c r="H1025" s="531">
        <v>2919.34</v>
      </c>
      <c r="I1025" s="531">
        <v>317.91000000000003</v>
      </c>
      <c r="J1025" s="532"/>
      <c r="K1025" s="532"/>
      <c r="L1025" s="532"/>
      <c r="M1025" s="531">
        <v>102.92</v>
      </c>
      <c r="N1025" s="531">
        <v>318.29000000000002</v>
      </c>
      <c r="O1025" s="532"/>
      <c r="P1025" s="532"/>
      <c r="Q1025" s="532"/>
      <c r="R1025" s="531">
        <v>10031.26</v>
      </c>
      <c r="S1025" s="527">
        <f t="shared" si="136"/>
        <v>8053.51</v>
      </c>
      <c r="T1025" s="528">
        <f t="shared" si="137"/>
        <v>0</v>
      </c>
      <c r="U1025" s="527">
        <f t="shared" si="138"/>
        <v>318.29000000000002</v>
      </c>
      <c r="W1025" s="326">
        <f t="shared" si="135"/>
        <v>10031.26</v>
      </c>
      <c r="X1025" s="261">
        <f t="shared" si="139"/>
        <v>0</v>
      </c>
      <c r="Z1025" s="1016">
        <f t="shared" si="129"/>
        <v>9610.0499999999993</v>
      </c>
    </row>
    <row r="1026" spans="1:26" ht="12" hidden="1" thickBot="1">
      <c r="A1026" s="588" t="s">
        <v>1429</v>
      </c>
      <c r="B1026" s="522" t="s">
        <v>652</v>
      </c>
      <c r="C1026" s="522" t="s">
        <v>676</v>
      </c>
      <c r="D1026" s="523" t="s">
        <v>21</v>
      </c>
      <c r="E1026" s="524">
        <v>14416</v>
      </c>
      <c r="F1026" s="525">
        <v>884</v>
      </c>
      <c r="G1026" s="525">
        <v>688.16</v>
      </c>
      <c r="H1026" s="525">
        <v>416.16</v>
      </c>
      <c r="I1026" s="525">
        <v>46.24</v>
      </c>
      <c r="J1026" s="526"/>
      <c r="K1026" s="526"/>
      <c r="L1026" s="526"/>
      <c r="M1026" s="525">
        <v>-10.88</v>
      </c>
      <c r="N1026" s="525">
        <v>65.28</v>
      </c>
      <c r="O1026" s="526"/>
      <c r="P1026" s="526"/>
      <c r="Q1026" s="526"/>
      <c r="R1026" s="525">
        <v>2088.96</v>
      </c>
      <c r="S1026" s="527">
        <f t="shared" si="136"/>
        <v>1150.56</v>
      </c>
      <c r="T1026" s="528">
        <f t="shared" si="137"/>
        <v>0</v>
      </c>
      <c r="U1026" s="527">
        <f t="shared" si="138"/>
        <v>65.28</v>
      </c>
      <c r="W1026" s="326">
        <f t="shared" si="135"/>
        <v>2088.96</v>
      </c>
      <c r="X1026" s="261">
        <f t="shared" si="139"/>
        <v>0</v>
      </c>
      <c r="Z1026" s="1016">
        <f t="shared" ref="Z1026:Z1090" si="140">SUM(F1026:K1026)</f>
        <v>2034.56</v>
      </c>
    </row>
    <row r="1027" spans="1:26" ht="12" hidden="1" thickBot="1">
      <c r="A1027" s="588" t="s">
        <v>1429</v>
      </c>
      <c r="B1027" s="522" t="s">
        <v>728</v>
      </c>
      <c r="C1027" s="522" t="s">
        <v>726</v>
      </c>
      <c r="D1027" s="523" t="s">
        <v>727</v>
      </c>
      <c r="E1027" s="532"/>
      <c r="F1027" s="532"/>
      <c r="G1027" s="532"/>
      <c r="H1027" s="532"/>
      <c r="I1027" s="532"/>
      <c r="J1027" s="532"/>
      <c r="K1027" s="532"/>
      <c r="L1027" s="532"/>
      <c r="M1027" s="532"/>
      <c r="N1027" s="532"/>
      <c r="O1027" s="532"/>
      <c r="P1027" s="532"/>
      <c r="Q1027" s="532"/>
      <c r="R1027" s="531">
        <v>0</v>
      </c>
      <c r="S1027" s="527">
        <f t="shared" si="136"/>
        <v>0</v>
      </c>
      <c r="T1027" s="528">
        <f t="shared" si="137"/>
        <v>0</v>
      </c>
      <c r="U1027" s="527">
        <f t="shared" si="138"/>
        <v>0</v>
      </c>
      <c r="W1027" s="326">
        <f t="shared" si="135"/>
        <v>0</v>
      </c>
      <c r="X1027" s="261">
        <f t="shared" si="139"/>
        <v>0</v>
      </c>
      <c r="Z1027" s="1016">
        <f t="shared" si="140"/>
        <v>0</v>
      </c>
    </row>
    <row r="1028" spans="1:26" ht="12" hidden="1" thickBot="1">
      <c r="A1028" s="588" t="s">
        <v>1429</v>
      </c>
      <c r="B1028" s="522" t="s">
        <v>1043</v>
      </c>
      <c r="C1028" s="522" t="s">
        <v>1044</v>
      </c>
      <c r="D1028" s="523" t="s">
        <v>1052</v>
      </c>
      <c r="E1028" s="526"/>
      <c r="F1028" s="526"/>
      <c r="G1028" s="526"/>
      <c r="H1028" s="526"/>
      <c r="I1028" s="526"/>
      <c r="J1028" s="526"/>
      <c r="K1028" s="526"/>
      <c r="L1028" s="526"/>
      <c r="M1028" s="526"/>
      <c r="N1028" s="526"/>
      <c r="O1028" s="526"/>
      <c r="P1028" s="526"/>
      <c r="Q1028" s="526"/>
      <c r="R1028" s="525">
        <v>0</v>
      </c>
      <c r="S1028" s="527">
        <f t="shared" si="136"/>
        <v>0</v>
      </c>
      <c r="T1028" s="528">
        <f t="shared" si="137"/>
        <v>0</v>
      </c>
      <c r="U1028" s="527">
        <f t="shared" si="138"/>
        <v>0</v>
      </c>
      <c r="W1028" s="326">
        <f t="shared" si="135"/>
        <v>0</v>
      </c>
      <c r="X1028" s="261">
        <f t="shared" si="139"/>
        <v>0</v>
      </c>
      <c r="Z1028" s="1016">
        <f t="shared" si="140"/>
        <v>0</v>
      </c>
    </row>
    <row r="1029" spans="1:26" ht="12" hidden="1" thickBot="1">
      <c r="A1029" s="588" t="s">
        <v>1429</v>
      </c>
      <c r="B1029" s="522" t="s">
        <v>185</v>
      </c>
      <c r="C1029" s="522" t="s">
        <v>1353</v>
      </c>
      <c r="D1029" s="523" t="s">
        <v>224</v>
      </c>
      <c r="E1029" s="530">
        <v>5785</v>
      </c>
      <c r="F1029" s="531">
        <v>201.43</v>
      </c>
      <c r="G1029" s="531">
        <v>339.12</v>
      </c>
      <c r="H1029" s="531">
        <v>167.3</v>
      </c>
      <c r="I1029" s="531">
        <v>27.24</v>
      </c>
      <c r="J1029" s="532"/>
      <c r="K1029" s="532"/>
      <c r="L1029" s="531">
        <v>17.36</v>
      </c>
      <c r="M1029" s="531">
        <v>-4.4400000000000004</v>
      </c>
      <c r="N1029" s="531">
        <v>0</v>
      </c>
      <c r="O1029" s="531">
        <v>32.700000000000003</v>
      </c>
      <c r="P1029" s="532"/>
      <c r="Q1029" s="532"/>
      <c r="R1029" s="531">
        <v>780.71</v>
      </c>
      <c r="S1029" s="527">
        <f t="shared" si="136"/>
        <v>533.66</v>
      </c>
      <c r="T1029" s="528">
        <f t="shared" si="137"/>
        <v>0</v>
      </c>
      <c r="U1029" s="527">
        <f t="shared" si="138"/>
        <v>32.700000000000003</v>
      </c>
      <c r="W1029" s="326">
        <f t="shared" si="135"/>
        <v>780.70999999999992</v>
      </c>
      <c r="X1029" s="261">
        <f t="shared" si="139"/>
        <v>0</v>
      </c>
      <c r="Z1029" s="1016">
        <f t="shared" si="140"/>
        <v>735.08999999999992</v>
      </c>
    </row>
    <row r="1030" spans="1:26" ht="12" hidden="1" thickBot="1">
      <c r="A1030" s="588" t="s">
        <v>1429</v>
      </c>
      <c r="B1030" s="522" t="s">
        <v>186</v>
      </c>
      <c r="C1030" s="522" t="s">
        <v>1354</v>
      </c>
      <c r="D1030" s="523" t="s">
        <v>18</v>
      </c>
      <c r="E1030" s="524">
        <v>10120</v>
      </c>
      <c r="F1030" s="525">
        <v>70</v>
      </c>
      <c r="G1030" s="525">
        <v>593.24</v>
      </c>
      <c r="H1030" s="525">
        <v>292.67</v>
      </c>
      <c r="I1030" s="525">
        <v>47.66</v>
      </c>
      <c r="J1030" s="526"/>
      <c r="K1030" s="526"/>
      <c r="L1030" s="525">
        <v>7.44</v>
      </c>
      <c r="M1030" s="525">
        <v>-7.79</v>
      </c>
      <c r="N1030" s="525">
        <v>0</v>
      </c>
      <c r="O1030" s="525">
        <v>40.15</v>
      </c>
      <c r="P1030" s="526"/>
      <c r="Q1030" s="526"/>
      <c r="R1030" s="525">
        <v>1043.3699999999999</v>
      </c>
      <c r="S1030" s="527">
        <f t="shared" si="136"/>
        <v>933.57</v>
      </c>
      <c r="T1030" s="528">
        <f t="shared" si="137"/>
        <v>0</v>
      </c>
      <c r="U1030" s="527">
        <f t="shared" si="138"/>
        <v>40.15</v>
      </c>
      <c r="W1030" s="326">
        <f t="shared" si="135"/>
        <v>1043.3700000000001</v>
      </c>
      <c r="X1030" s="261">
        <f t="shared" si="139"/>
        <v>0</v>
      </c>
      <c r="Z1030" s="1016">
        <f t="shared" si="140"/>
        <v>1003.57</v>
      </c>
    </row>
    <row r="1031" spans="1:26" ht="12" hidden="1" thickBot="1">
      <c r="A1031" s="588" t="s">
        <v>1429</v>
      </c>
      <c r="B1031" s="522" t="s">
        <v>187</v>
      </c>
      <c r="C1031" s="522" t="s">
        <v>457</v>
      </c>
      <c r="D1031" s="542" t="s">
        <v>78</v>
      </c>
      <c r="E1031" s="532"/>
      <c r="F1031" s="532"/>
      <c r="G1031" s="532"/>
      <c r="H1031" s="532"/>
      <c r="I1031" s="532"/>
      <c r="J1031" s="532"/>
      <c r="K1031" s="532"/>
      <c r="L1031" s="532"/>
      <c r="M1031" s="532"/>
      <c r="N1031" s="532"/>
      <c r="O1031" s="532"/>
      <c r="P1031" s="531">
        <v>-1013676.34</v>
      </c>
      <c r="Q1031" s="532"/>
      <c r="R1031" s="531">
        <v>-1013676.34</v>
      </c>
      <c r="S1031" s="527">
        <f t="shared" si="136"/>
        <v>0</v>
      </c>
      <c r="T1031" s="528">
        <f t="shared" si="137"/>
        <v>0</v>
      </c>
      <c r="U1031" s="527">
        <f t="shared" si="138"/>
        <v>0</v>
      </c>
      <c r="W1031" s="326">
        <f t="shared" ref="W1031:W1095" si="141">SUM(F1031:Q1031)</f>
        <v>-1013676.34</v>
      </c>
      <c r="X1031" s="261">
        <f t="shared" si="139"/>
        <v>0</v>
      </c>
      <c r="Z1031" s="1016">
        <f t="shared" si="140"/>
        <v>0</v>
      </c>
    </row>
    <row r="1032" spans="1:26" ht="12" hidden="1" thickBot="1">
      <c r="A1032" s="588" t="s">
        <v>1429</v>
      </c>
      <c r="B1032" s="522" t="s">
        <v>1364</v>
      </c>
      <c r="C1032" s="522" t="s">
        <v>1365</v>
      </c>
      <c r="D1032" s="522"/>
      <c r="E1032" s="526"/>
      <c r="F1032" s="526"/>
      <c r="G1032" s="526"/>
      <c r="H1032" s="526"/>
      <c r="I1032" s="526"/>
      <c r="J1032" s="526"/>
      <c r="K1032" s="526"/>
      <c r="L1032" s="526"/>
      <c r="M1032" s="526"/>
      <c r="N1032" s="526"/>
      <c r="O1032" s="526"/>
      <c r="P1032" s="525">
        <v>-23449.66</v>
      </c>
      <c r="Q1032" s="526"/>
      <c r="R1032" s="525">
        <v>-23449.66</v>
      </c>
      <c r="S1032" s="527">
        <f t="shared" si="136"/>
        <v>0</v>
      </c>
      <c r="T1032" s="528">
        <f t="shared" si="137"/>
        <v>0</v>
      </c>
      <c r="U1032" s="527">
        <f t="shared" si="138"/>
        <v>0</v>
      </c>
      <c r="W1032" s="326">
        <f t="shared" si="141"/>
        <v>-23449.66</v>
      </c>
      <c r="X1032" s="261">
        <f t="shared" si="139"/>
        <v>0</v>
      </c>
      <c r="Z1032" s="1016">
        <f t="shared" si="140"/>
        <v>0</v>
      </c>
    </row>
    <row r="1033" spans="1:26" ht="12" hidden="1" thickBot="1">
      <c r="A1033" s="588" t="s">
        <v>1429</v>
      </c>
      <c r="B1033" s="522" t="s">
        <v>1358</v>
      </c>
      <c r="C1033" s="522" t="s">
        <v>1359</v>
      </c>
      <c r="D1033" s="522"/>
      <c r="E1033" s="532"/>
      <c r="F1033" s="532"/>
      <c r="G1033" s="532"/>
      <c r="H1033" s="532"/>
      <c r="I1033" s="532"/>
      <c r="J1033" s="532"/>
      <c r="K1033" s="532"/>
      <c r="L1033" s="532"/>
      <c r="M1033" s="532"/>
      <c r="N1033" s="532"/>
      <c r="O1033" s="532"/>
      <c r="P1033" s="531">
        <v>-51492.4</v>
      </c>
      <c r="Q1033" s="532"/>
      <c r="R1033" s="531">
        <v>-51492.4</v>
      </c>
      <c r="S1033" s="527">
        <f t="shared" si="136"/>
        <v>0</v>
      </c>
      <c r="T1033" s="528">
        <f t="shared" si="137"/>
        <v>0</v>
      </c>
      <c r="U1033" s="527">
        <f t="shared" si="138"/>
        <v>0</v>
      </c>
      <c r="W1033" s="326">
        <f t="shared" si="141"/>
        <v>-51492.4</v>
      </c>
      <c r="X1033" s="261">
        <f t="shared" si="139"/>
        <v>0</v>
      </c>
      <c r="Z1033" s="1016">
        <f t="shared" si="140"/>
        <v>0</v>
      </c>
    </row>
    <row r="1034" spans="1:26" ht="12" hidden="1" thickBot="1">
      <c r="A1034" s="588" t="s">
        <v>1429</v>
      </c>
      <c r="B1034" s="522" t="s">
        <v>1045</v>
      </c>
      <c r="C1034" s="522" t="s">
        <v>1046</v>
      </c>
      <c r="D1034" s="522"/>
      <c r="E1034" s="526"/>
      <c r="F1034" s="526"/>
      <c r="G1034" s="526"/>
      <c r="H1034" s="526"/>
      <c r="I1034" s="526"/>
      <c r="J1034" s="526"/>
      <c r="K1034" s="526"/>
      <c r="L1034" s="526"/>
      <c r="M1034" s="526"/>
      <c r="N1034" s="526"/>
      <c r="O1034" s="526"/>
      <c r="P1034" s="525">
        <v>-8800</v>
      </c>
      <c r="Q1034" s="526"/>
      <c r="R1034" s="525">
        <v>-8800</v>
      </c>
      <c r="S1034" s="527">
        <f t="shared" si="136"/>
        <v>0</v>
      </c>
      <c r="T1034" s="528">
        <f t="shared" si="137"/>
        <v>0</v>
      </c>
      <c r="U1034" s="527">
        <f t="shared" si="138"/>
        <v>0</v>
      </c>
      <c r="W1034" s="326">
        <f t="shared" si="141"/>
        <v>-8800</v>
      </c>
      <c r="X1034" s="261">
        <f t="shared" si="139"/>
        <v>0</v>
      </c>
      <c r="Z1034" s="1016">
        <f t="shared" si="140"/>
        <v>0</v>
      </c>
    </row>
    <row r="1035" spans="1:26" ht="12" hidden="1" thickBot="1">
      <c r="A1035" s="588" t="s">
        <v>1429</v>
      </c>
      <c r="B1035" s="522" t="s">
        <v>945</v>
      </c>
      <c r="C1035" s="522" t="s">
        <v>946</v>
      </c>
      <c r="D1035" s="522"/>
      <c r="E1035" s="532"/>
      <c r="F1035" s="532"/>
      <c r="G1035" s="532"/>
      <c r="H1035" s="532"/>
      <c r="I1035" s="532"/>
      <c r="J1035" s="532"/>
      <c r="K1035" s="532"/>
      <c r="L1035" s="532"/>
      <c r="M1035" s="532"/>
      <c r="N1035" s="532"/>
      <c r="O1035" s="532"/>
      <c r="P1035" s="532"/>
      <c r="Q1035" s="532"/>
      <c r="R1035" s="532"/>
      <c r="S1035" s="527">
        <f t="shared" si="136"/>
        <v>0</v>
      </c>
      <c r="T1035" s="528">
        <f t="shared" si="137"/>
        <v>0</v>
      </c>
      <c r="U1035" s="527">
        <f t="shared" si="138"/>
        <v>0</v>
      </c>
      <c r="W1035" s="326">
        <f t="shared" si="141"/>
        <v>0</v>
      </c>
      <c r="X1035" s="261">
        <f t="shared" si="139"/>
        <v>0</v>
      </c>
      <c r="Z1035" s="1016">
        <f t="shared" si="140"/>
        <v>0</v>
      </c>
    </row>
    <row r="1036" spans="1:26" ht="12" hidden="1" thickBot="1">
      <c r="A1036" s="588" t="s">
        <v>1429</v>
      </c>
      <c r="B1036" s="522" t="s">
        <v>947</v>
      </c>
      <c r="C1036" s="522" t="s">
        <v>948</v>
      </c>
      <c r="D1036" s="522"/>
      <c r="E1036" s="526"/>
      <c r="F1036" s="526"/>
      <c r="G1036" s="526"/>
      <c r="H1036" s="526"/>
      <c r="I1036" s="526"/>
      <c r="J1036" s="526"/>
      <c r="K1036" s="526"/>
      <c r="L1036" s="526"/>
      <c r="M1036" s="526"/>
      <c r="N1036" s="526"/>
      <c r="O1036" s="526"/>
      <c r="P1036" s="526"/>
      <c r="Q1036" s="526"/>
      <c r="R1036" s="526"/>
      <c r="S1036" s="527">
        <f t="shared" si="136"/>
        <v>0</v>
      </c>
      <c r="T1036" s="528">
        <f t="shared" si="137"/>
        <v>0</v>
      </c>
      <c r="U1036" s="527">
        <f t="shared" si="138"/>
        <v>0</v>
      </c>
      <c r="W1036" s="326">
        <f t="shared" si="141"/>
        <v>0</v>
      </c>
      <c r="X1036" s="261">
        <f t="shared" si="139"/>
        <v>0</v>
      </c>
      <c r="Z1036" s="1016">
        <f t="shared" si="140"/>
        <v>0</v>
      </c>
    </row>
    <row r="1037" spans="1:26" ht="12" hidden="1" thickBot="1">
      <c r="A1037" s="588" t="s">
        <v>1429</v>
      </c>
      <c r="B1037" s="522" t="s">
        <v>189</v>
      </c>
      <c r="C1037" s="522" t="s">
        <v>208</v>
      </c>
      <c r="D1037" s="533" t="s">
        <v>675</v>
      </c>
      <c r="E1037" s="530">
        <v>46872000</v>
      </c>
      <c r="F1037" s="531">
        <v>750</v>
      </c>
      <c r="G1037" s="531">
        <v>172957.68</v>
      </c>
      <c r="H1037" s="531">
        <v>1355538.24</v>
      </c>
      <c r="I1037" s="532"/>
      <c r="J1037" s="531">
        <v>57409.41</v>
      </c>
      <c r="K1037" s="531">
        <v>769013.24</v>
      </c>
      <c r="L1037" s="532"/>
      <c r="M1037" s="531">
        <v>-36091.440000000002</v>
      </c>
      <c r="N1037" s="531">
        <v>0</v>
      </c>
      <c r="O1037" s="531">
        <v>55907.29</v>
      </c>
      <c r="P1037" s="532"/>
      <c r="Q1037" s="532"/>
      <c r="R1037" s="531">
        <v>2375484.42</v>
      </c>
      <c r="S1037" s="527">
        <f t="shared" si="136"/>
        <v>1528495.92</v>
      </c>
      <c r="T1037" s="528">
        <f t="shared" si="137"/>
        <v>826422.65</v>
      </c>
      <c r="U1037" s="527">
        <f t="shared" si="138"/>
        <v>55907.29</v>
      </c>
      <c r="W1037" s="326">
        <f t="shared" si="141"/>
        <v>2375484.42</v>
      </c>
      <c r="X1037" s="261">
        <f t="shared" si="139"/>
        <v>0</v>
      </c>
      <c r="Z1037" s="1016">
        <f t="shared" si="140"/>
        <v>2355668.5699999998</v>
      </c>
    </row>
    <row r="1038" spans="1:26" ht="12" hidden="1" thickBot="1">
      <c r="A1038" s="588" t="s">
        <v>1429</v>
      </c>
      <c r="B1038" s="522" t="s">
        <v>209</v>
      </c>
      <c r="C1038" s="522" t="s">
        <v>210</v>
      </c>
      <c r="D1038" s="522"/>
      <c r="E1038" s="524">
        <v>18225600</v>
      </c>
      <c r="F1038" s="526"/>
      <c r="G1038" s="525">
        <v>555909.96</v>
      </c>
      <c r="H1038" s="526"/>
      <c r="I1038" s="526"/>
      <c r="J1038" s="526"/>
      <c r="K1038" s="525">
        <v>484145.73</v>
      </c>
      <c r="L1038" s="526"/>
      <c r="M1038" s="525">
        <v>41372.11</v>
      </c>
      <c r="N1038" s="526"/>
      <c r="O1038" s="526"/>
      <c r="P1038" s="526"/>
      <c r="Q1038" s="526"/>
      <c r="R1038" s="525">
        <v>1133560.56</v>
      </c>
      <c r="S1038" s="527">
        <f t="shared" si="136"/>
        <v>555909.96</v>
      </c>
      <c r="T1038" s="528">
        <f t="shared" si="137"/>
        <v>484145.73</v>
      </c>
      <c r="U1038" s="527">
        <f t="shared" si="138"/>
        <v>0</v>
      </c>
      <c r="W1038" s="326">
        <f t="shared" si="141"/>
        <v>1081427.8</v>
      </c>
      <c r="X1038" s="261">
        <f t="shared" si="139"/>
        <v>-52132.760000000009</v>
      </c>
      <c r="Z1038" s="1016">
        <f t="shared" si="140"/>
        <v>1040055.69</v>
      </c>
    </row>
    <row r="1039" spans="1:26" ht="12" hidden="1" thickBot="1">
      <c r="A1039" s="588" t="s">
        <v>1429</v>
      </c>
      <c r="B1039" s="522" t="s">
        <v>211</v>
      </c>
      <c r="C1039" s="522" t="s">
        <v>212</v>
      </c>
      <c r="D1039" s="522"/>
      <c r="E1039" s="530">
        <v>18343086</v>
      </c>
      <c r="F1039" s="532"/>
      <c r="G1039" s="531">
        <v>559066.07999999996</v>
      </c>
      <c r="H1039" s="532"/>
      <c r="I1039" s="532"/>
      <c r="J1039" s="532"/>
      <c r="K1039" s="531">
        <v>476554.88</v>
      </c>
      <c r="L1039" s="532"/>
      <c r="M1039" s="531">
        <v>41271.94</v>
      </c>
      <c r="N1039" s="532"/>
      <c r="O1039" s="532"/>
      <c r="P1039" s="532"/>
      <c r="Q1039" s="532"/>
      <c r="R1039" s="531">
        <v>1127315.6599999999</v>
      </c>
      <c r="S1039" s="527">
        <f t="shared" si="136"/>
        <v>559066.07999999996</v>
      </c>
      <c r="T1039" s="528">
        <f t="shared" si="137"/>
        <v>476554.88</v>
      </c>
      <c r="U1039" s="527">
        <f t="shared" si="138"/>
        <v>0</v>
      </c>
      <c r="W1039" s="326">
        <f t="shared" si="141"/>
        <v>1076892.8999999999</v>
      </c>
      <c r="X1039" s="261">
        <f t="shared" si="139"/>
        <v>-50422.760000000009</v>
      </c>
      <c r="Z1039" s="1016">
        <f t="shared" si="140"/>
        <v>1035620.96</v>
      </c>
    </row>
    <row r="1040" spans="1:26" ht="12" hidden="1" thickBot="1">
      <c r="A1040" s="588" t="s">
        <v>1429</v>
      </c>
      <c r="B1040" s="522" t="s">
        <v>1430</v>
      </c>
      <c r="C1040" s="522" t="s">
        <v>1432</v>
      </c>
      <c r="D1040" s="522"/>
      <c r="E1040" s="524">
        <v>34172000</v>
      </c>
      <c r="F1040" s="526"/>
      <c r="G1040" s="525">
        <v>1045394.7</v>
      </c>
      <c r="H1040" s="526"/>
      <c r="I1040" s="526"/>
      <c r="J1040" s="526"/>
      <c r="K1040" s="525">
        <v>968644.03</v>
      </c>
      <c r="L1040" s="526"/>
      <c r="M1040" s="525">
        <v>77570.44</v>
      </c>
      <c r="N1040" s="526"/>
      <c r="O1040" s="526"/>
      <c r="P1040" s="526"/>
      <c r="Q1040" s="526"/>
      <c r="R1040" s="525">
        <v>2202740.0499999998</v>
      </c>
      <c r="S1040" s="527">
        <f t="shared" si="136"/>
        <v>1045394.7</v>
      </c>
      <c r="T1040" s="528">
        <f t="shared" si="137"/>
        <v>968644.03</v>
      </c>
      <c r="U1040" s="527">
        <f t="shared" si="138"/>
        <v>0</v>
      </c>
      <c r="W1040" s="326">
        <f t="shared" si="141"/>
        <v>2091609.17</v>
      </c>
      <c r="X1040" s="261">
        <f t="shared" si="139"/>
        <v>-111130.87999999989</v>
      </c>
      <c r="Z1040" s="1016">
        <f t="shared" si="140"/>
        <v>2014038.73</v>
      </c>
    </row>
    <row r="1041" spans="1:26" ht="12" hidden="1" thickBot="1">
      <c r="A1041" s="588" t="s">
        <v>1429</v>
      </c>
      <c r="B1041" s="522" t="s">
        <v>1431</v>
      </c>
      <c r="C1041" s="522" t="s">
        <v>1433</v>
      </c>
      <c r="D1041" s="522"/>
      <c r="E1041" s="530">
        <v>89895565</v>
      </c>
      <c r="F1041" s="532"/>
      <c r="G1041" s="531">
        <v>2747028.68</v>
      </c>
      <c r="H1041" s="532"/>
      <c r="I1041" s="532"/>
      <c r="J1041" s="532"/>
      <c r="K1041" s="531">
        <v>2522496.3199999998</v>
      </c>
      <c r="L1041" s="532"/>
      <c r="M1041" s="531">
        <v>202265.02</v>
      </c>
      <c r="N1041" s="532"/>
      <c r="O1041" s="532"/>
      <c r="P1041" s="532"/>
      <c r="Q1041" s="532"/>
      <c r="R1041" s="531">
        <v>5743655.8200000003</v>
      </c>
      <c r="S1041" s="527">
        <f t="shared" si="136"/>
        <v>2747028.68</v>
      </c>
      <c r="T1041" s="528">
        <f t="shared" si="137"/>
        <v>2522496.3199999998</v>
      </c>
      <c r="U1041" s="527">
        <f t="shared" si="138"/>
        <v>0</v>
      </c>
      <c r="W1041" s="326">
        <f t="shared" si="141"/>
        <v>5471790.0199999996</v>
      </c>
      <c r="X1041" s="261">
        <f t="shared" si="139"/>
        <v>-271865.80000000075</v>
      </c>
      <c r="Z1041" s="1016">
        <f t="shared" si="140"/>
        <v>5269525</v>
      </c>
    </row>
    <row r="1042" spans="1:26" ht="12" hidden="1" thickBot="1">
      <c r="A1042" s="588" t="s">
        <v>1429</v>
      </c>
      <c r="B1042" s="522" t="s">
        <v>213</v>
      </c>
      <c r="C1042" s="522" t="s">
        <v>1425</v>
      </c>
      <c r="D1042" s="522"/>
      <c r="E1042" s="524">
        <v>5117932</v>
      </c>
      <c r="F1042" s="526"/>
      <c r="G1042" s="525">
        <v>156393.76999999999</v>
      </c>
      <c r="H1042" s="526"/>
      <c r="I1042" s="526"/>
      <c r="J1042" s="526"/>
      <c r="K1042" s="525">
        <v>109087.06</v>
      </c>
      <c r="L1042" s="526"/>
      <c r="M1042" s="525">
        <v>11515.35</v>
      </c>
      <c r="N1042" s="526"/>
      <c r="O1042" s="526"/>
      <c r="P1042" s="526"/>
      <c r="Q1042" s="526"/>
      <c r="R1042" s="525">
        <v>294483.03000000003</v>
      </c>
      <c r="S1042" s="527">
        <f t="shared" si="136"/>
        <v>156393.76999999999</v>
      </c>
      <c r="T1042" s="528">
        <f t="shared" si="137"/>
        <v>109087.06</v>
      </c>
      <c r="U1042" s="527">
        <f t="shared" si="138"/>
        <v>0</v>
      </c>
      <c r="W1042" s="326">
        <f t="shared" si="141"/>
        <v>276996.17999999993</v>
      </c>
      <c r="X1042" s="261">
        <f t="shared" si="139"/>
        <v>-17486.850000000093</v>
      </c>
      <c r="Z1042" s="1016">
        <f t="shared" si="140"/>
        <v>265480.82999999996</v>
      </c>
    </row>
    <row r="1043" spans="1:26" ht="12" hidden="1" thickBot="1">
      <c r="A1043" s="588" t="s">
        <v>1429</v>
      </c>
      <c r="B1043" s="522" t="s">
        <v>949</v>
      </c>
      <c r="C1043" s="522" t="s">
        <v>943</v>
      </c>
      <c r="D1043" s="522"/>
      <c r="E1043" s="532"/>
      <c r="F1043" s="532"/>
      <c r="G1043" s="532"/>
      <c r="H1043" s="532"/>
      <c r="I1043" s="532"/>
      <c r="J1043" s="532"/>
      <c r="K1043" s="532"/>
      <c r="L1043" s="532"/>
      <c r="M1043" s="532"/>
      <c r="N1043" s="532"/>
      <c r="O1043" s="532"/>
      <c r="P1043" s="532"/>
      <c r="Q1043" s="532"/>
      <c r="R1043" s="532"/>
      <c r="S1043" s="527">
        <f t="shared" si="136"/>
        <v>0</v>
      </c>
      <c r="T1043" s="528">
        <f t="shared" si="137"/>
        <v>0</v>
      </c>
      <c r="U1043" s="527">
        <f t="shared" si="138"/>
        <v>0</v>
      </c>
      <c r="W1043" s="326">
        <f t="shared" si="141"/>
        <v>0</v>
      </c>
      <c r="X1043" s="261">
        <f t="shared" si="139"/>
        <v>0</v>
      </c>
      <c r="Z1043" s="1016">
        <f t="shared" si="140"/>
        <v>0</v>
      </c>
    </row>
    <row r="1044" spans="1:26" ht="12" hidden="1" thickBot="1">
      <c r="A1044" s="588" t="s">
        <v>1429</v>
      </c>
      <c r="B1044" s="522" t="s">
        <v>190</v>
      </c>
      <c r="C1044" s="522" t="s">
        <v>111</v>
      </c>
      <c r="D1044" s="533" t="s">
        <v>15</v>
      </c>
      <c r="E1044" s="524">
        <v>248055650</v>
      </c>
      <c r="F1044" s="525">
        <v>2449598.9</v>
      </c>
      <c r="G1044" s="525">
        <v>11254080.57</v>
      </c>
      <c r="H1044" s="525">
        <v>7173564.7999999998</v>
      </c>
      <c r="I1044" s="525">
        <v>781418.84</v>
      </c>
      <c r="J1044" s="526"/>
      <c r="K1044" s="526"/>
      <c r="L1044" s="525">
        <v>977265.5</v>
      </c>
      <c r="M1044" s="525">
        <v>-190254.93</v>
      </c>
      <c r="N1044" s="525">
        <v>720564.25</v>
      </c>
      <c r="O1044" s="526"/>
      <c r="P1044" s="526"/>
      <c r="Q1044" s="525">
        <v>0</v>
      </c>
      <c r="R1044" s="525">
        <v>23166237.93</v>
      </c>
      <c r="S1044" s="527">
        <f t="shared" si="136"/>
        <v>19209064.210000001</v>
      </c>
      <c r="T1044" s="528">
        <f t="shared" si="137"/>
        <v>0</v>
      </c>
      <c r="U1044" s="527">
        <f t="shared" si="138"/>
        <v>720564.25</v>
      </c>
      <c r="W1044" s="326">
        <f t="shared" si="141"/>
        <v>23166237.93</v>
      </c>
      <c r="X1044" s="261">
        <f t="shared" si="139"/>
        <v>0</v>
      </c>
      <c r="Z1044" s="1016">
        <f t="shared" si="140"/>
        <v>21658663.109999999</v>
      </c>
    </row>
    <row r="1045" spans="1:26" ht="12" hidden="1" thickBot="1">
      <c r="A1045" s="588" t="s">
        <v>1429</v>
      </c>
      <c r="B1045" s="522" t="s">
        <v>191</v>
      </c>
      <c r="C1045" s="522" t="s">
        <v>215</v>
      </c>
      <c r="D1045" s="533" t="s">
        <v>15</v>
      </c>
      <c r="E1045" s="530">
        <v>207118409</v>
      </c>
      <c r="F1045" s="531">
        <v>2069374.3</v>
      </c>
      <c r="G1045" s="531">
        <v>9396950.8399999999</v>
      </c>
      <c r="H1045" s="531">
        <v>5989869.1500000004</v>
      </c>
      <c r="I1045" s="531">
        <v>652429.03</v>
      </c>
      <c r="J1045" s="532"/>
      <c r="K1045" s="532"/>
      <c r="L1045" s="531">
        <v>816041.95</v>
      </c>
      <c r="M1045" s="531">
        <v>-158458.09</v>
      </c>
      <c r="N1045" s="531">
        <v>602437.56999999995</v>
      </c>
      <c r="O1045" s="532"/>
      <c r="P1045" s="532"/>
      <c r="Q1045" s="532"/>
      <c r="R1045" s="531">
        <v>19368644.75</v>
      </c>
      <c r="S1045" s="527">
        <f t="shared" si="136"/>
        <v>16039249.02</v>
      </c>
      <c r="T1045" s="528">
        <f t="shared" si="137"/>
        <v>0</v>
      </c>
      <c r="U1045" s="527">
        <f t="shared" si="138"/>
        <v>602437.56999999995</v>
      </c>
      <c r="W1045" s="326">
        <f t="shared" si="141"/>
        <v>19368644.75</v>
      </c>
      <c r="X1045" s="261">
        <f t="shared" si="139"/>
        <v>0</v>
      </c>
      <c r="Z1045" s="1016">
        <f t="shared" si="140"/>
        <v>18108623.32</v>
      </c>
    </row>
    <row r="1046" spans="1:26" ht="12" hidden="1" thickBot="1">
      <c r="A1046" s="588" t="s">
        <v>1429</v>
      </c>
      <c r="B1046" s="522" t="s">
        <v>192</v>
      </c>
      <c r="C1046" s="522" t="s">
        <v>216</v>
      </c>
      <c r="D1046" s="533" t="s">
        <v>15</v>
      </c>
      <c r="E1046" s="524">
        <v>511256</v>
      </c>
      <c r="F1046" s="525">
        <v>2637.7</v>
      </c>
      <c r="G1046" s="525">
        <v>23195.62</v>
      </c>
      <c r="H1046" s="525">
        <v>14785.6</v>
      </c>
      <c r="I1046" s="525">
        <v>1610.51</v>
      </c>
      <c r="J1046" s="526"/>
      <c r="K1046" s="526"/>
      <c r="L1046" s="525">
        <v>2014.37</v>
      </c>
      <c r="M1046" s="525">
        <v>-355.03</v>
      </c>
      <c r="N1046" s="525">
        <v>1410.07</v>
      </c>
      <c r="O1046" s="526"/>
      <c r="P1046" s="526"/>
      <c r="Q1046" s="526"/>
      <c r="R1046" s="525">
        <v>45298.84</v>
      </c>
      <c r="S1046" s="527">
        <f t="shared" si="136"/>
        <v>39591.730000000003</v>
      </c>
      <c r="T1046" s="528">
        <f t="shared" si="137"/>
        <v>0</v>
      </c>
      <c r="U1046" s="527">
        <f t="shared" si="138"/>
        <v>1410.07</v>
      </c>
      <c r="W1046" s="326">
        <f t="shared" si="141"/>
        <v>45298.840000000004</v>
      </c>
      <c r="X1046" s="261">
        <f t="shared" si="139"/>
        <v>0</v>
      </c>
      <c r="Z1046" s="1016">
        <f t="shared" si="140"/>
        <v>42229.43</v>
      </c>
    </row>
    <row r="1047" spans="1:26" ht="12" hidden="1" thickBot="1">
      <c r="A1047" s="588" t="s">
        <v>1429</v>
      </c>
      <c r="B1047" s="522" t="s">
        <v>477</v>
      </c>
      <c r="C1047" s="522" t="s">
        <v>1263</v>
      </c>
      <c r="D1047" s="542" t="s">
        <v>807</v>
      </c>
      <c r="E1047" s="530">
        <v>7241</v>
      </c>
      <c r="F1047" s="531">
        <v>75.25</v>
      </c>
      <c r="G1047" s="531">
        <v>302.62</v>
      </c>
      <c r="H1047" s="531">
        <v>209.41</v>
      </c>
      <c r="I1047" s="531">
        <v>22.8</v>
      </c>
      <c r="J1047" s="532"/>
      <c r="K1047" s="532"/>
      <c r="L1047" s="531">
        <v>28.53</v>
      </c>
      <c r="M1047" s="531">
        <v>-5.58</v>
      </c>
      <c r="N1047" s="531">
        <v>20.32</v>
      </c>
      <c r="O1047" s="532"/>
      <c r="P1047" s="532"/>
      <c r="Q1047" s="532"/>
      <c r="R1047" s="531">
        <v>653.35</v>
      </c>
      <c r="S1047" s="527">
        <f t="shared" si="136"/>
        <v>534.82999999999993</v>
      </c>
      <c r="T1047" s="528">
        <f t="shared" si="137"/>
        <v>0</v>
      </c>
      <c r="U1047" s="527">
        <f t="shared" si="138"/>
        <v>20.32</v>
      </c>
      <c r="W1047" s="326">
        <f t="shared" si="141"/>
        <v>653.34999999999991</v>
      </c>
      <c r="X1047" s="261">
        <f t="shared" si="139"/>
        <v>0</v>
      </c>
      <c r="Z1047" s="1016">
        <f t="shared" si="140"/>
        <v>610.07999999999993</v>
      </c>
    </row>
    <row r="1048" spans="1:26" ht="12" hidden="1" thickBot="1">
      <c r="A1048" s="588" t="s">
        <v>1429</v>
      </c>
      <c r="B1048" s="522" t="s">
        <v>193</v>
      </c>
      <c r="C1048" s="522" t="s">
        <v>217</v>
      </c>
      <c r="D1048" s="533" t="s">
        <v>15</v>
      </c>
      <c r="E1048" s="524">
        <v>70043</v>
      </c>
      <c r="F1048" s="525">
        <v>543.24</v>
      </c>
      <c r="G1048" s="525">
        <v>3177.81</v>
      </c>
      <c r="H1048" s="525">
        <v>2025.68</v>
      </c>
      <c r="I1048" s="525">
        <v>220.64</v>
      </c>
      <c r="J1048" s="526"/>
      <c r="K1048" s="526"/>
      <c r="L1048" s="525">
        <v>275.93</v>
      </c>
      <c r="M1048" s="525">
        <v>-45.27</v>
      </c>
      <c r="N1048" s="525">
        <v>199.24</v>
      </c>
      <c r="O1048" s="526"/>
      <c r="P1048" s="526"/>
      <c r="Q1048" s="526"/>
      <c r="R1048" s="525">
        <v>6397.27</v>
      </c>
      <c r="S1048" s="527">
        <f t="shared" si="136"/>
        <v>5424.13</v>
      </c>
      <c r="T1048" s="528">
        <f t="shared" si="137"/>
        <v>0</v>
      </c>
      <c r="U1048" s="527">
        <f t="shared" si="138"/>
        <v>199.24</v>
      </c>
      <c r="W1048" s="326">
        <f t="shared" si="141"/>
        <v>6397.27</v>
      </c>
      <c r="X1048" s="261">
        <f t="shared" si="139"/>
        <v>0</v>
      </c>
      <c r="Z1048" s="1016">
        <f t="shared" si="140"/>
        <v>5967.3700000000008</v>
      </c>
    </row>
    <row r="1049" spans="1:26" ht="12" hidden="1" thickBot="1">
      <c r="A1049" s="588" t="s">
        <v>1429</v>
      </c>
      <c r="B1049" s="522" t="s">
        <v>194</v>
      </c>
      <c r="C1049" s="522" t="s">
        <v>218</v>
      </c>
      <c r="D1049" s="533" t="s">
        <v>15</v>
      </c>
      <c r="E1049" s="530">
        <v>47697</v>
      </c>
      <c r="F1049" s="531">
        <v>610.70000000000005</v>
      </c>
      <c r="G1049" s="531">
        <v>2163.98</v>
      </c>
      <c r="H1049" s="531">
        <v>1379.42</v>
      </c>
      <c r="I1049" s="531">
        <v>150.25</v>
      </c>
      <c r="J1049" s="532"/>
      <c r="K1049" s="532"/>
      <c r="L1049" s="531">
        <v>187.93</v>
      </c>
      <c r="M1049" s="531">
        <v>-36.700000000000003</v>
      </c>
      <c r="N1049" s="531">
        <v>143.1</v>
      </c>
      <c r="O1049" s="532"/>
      <c r="P1049" s="532"/>
      <c r="Q1049" s="532"/>
      <c r="R1049" s="531">
        <v>4598.68</v>
      </c>
      <c r="S1049" s="527">
        <f t="shared" si="136"/>
        <v>3693.65</v>
      </c>
      <c r="T1049" s="528">
        <f t="shared" si="137"/>
        <v>0</v>
      </c>
      <c r="U1049" s="527">
        <f t="shared" si="138"/>
        <v>143.1</v>
      </c>
      <c r="W1049" s="326">
        <f t="shared" si="141"/>
        <v>4598.6800000000012</v>
      </c>
      <c r="X1049" s="261">
        <f t="shared" si="139"/>
        <v>0</v>
      </c>
      <c r="Z1049" s="1016">
        <f t="shared" si="140"/>
        <v>4304.3500000000004</v>
      </c>
    </row>
    <row r="1050" spans="1:26" ht="12" hidden="1" thickBot="1">
      <c r="A1050" s="588" t="s">
        <v>1429</v>
      </c>
      <c r="B1050" s="522" t="s">
        <v>950</v>
      </c>
      <c r="C1050" s="522" t="s">
        <v>951</v>
      </c>
      <c r="D1050" s="522"/>
      <c r="E1050" s="526"/>
      <c r="F1050" s="526"/>
      <c r="G1050" s="526"/>
      <c r="H1050" s="526"/>
      <c r="I1050" s="526"/>
      <c r="J1050" s="526"/>
      <c r="K1050" s="526"/>
      <c r="L1050" s="526"/>
      <c r="M1050" s="526"/>
      <c r="N1050" s="526"/>
      <c r="O1050" s="526"/>
      <c r="P1050" s="526"/>
      <c r="Q1050" s="526"/>
      <c r="R1050" s="526"/>
      <c r="S1050" s="527">
        <f t="shared" si="136"/>
        <v>0</v>
      </c>
      <c r="T1050" s="528">
        <f t="shared" si="137"/>
        <v>0</v>
      </c>
      <c r="U1050" s="527">
        <f t="shared" si="138"/>
        <v>0</v>
      </c>
      <c r="W1050" s="326">
        <f t="shared" si="141"/>
        <v>0</v>
      </c>
      <c r="X1050" s="261">
        <f t="shared" si="139"/>
        <v>0</v>
      </c>
      <c r="Z1050" s="1016">
        <f t="shared" si="140"/>
        <v>0</v>
      </c>
    </row>
    <row r="1051" spans="1:26" ht="12" hidden="1" thickBot="1">
      <c r="A1051" s="588" t="s">
        <v>1429</v>
      </c>
      <c r="B1051" s="522" t="s">
        <v>339</v>
      </c>
      <c r="C1051" s="522" t="s">
        <v>952</v>
      </c>
      <c r="D1051" s="523" t="s">
        <v>1035</v>
      </c>
      <c r="E1051" s="530">
        <v>8494</v>
      </c>
      <c r="F1051" s="532"/>
      <c r="G1051" s="531">
        <v>9848.74</v>
      </c>
      <c r="H1051" s="532"/>
      <c r="I1051" s="532"/>
      <c r="J1051" s="532"/>
      <c r="K1051" s="532"/>
      <c r="L1051" s="532"/>
      <c r="M1051" s="531">
        <v>21.1</v>
      </c>
      <c r="N1051" s="531">
        <v>328.4</v>
      </c>
      <c r="O1051" s="532"/>
      <c r="P1051" s="532"/>
      <c r="Q1051" s="531">
        <v>0</v>
      </c>
      <c r="R1051" s="531">
        <v>10198.24</v>
      </c>
      <c r="S1051" s="527">
        <f t="shared" si="136"/>
        <v>9848.74</v>
      </c>
      <c r="T1051" s="528">
        <f t="shared" si="137"/>
        <v>0</v>
      </c>
      <c r="U1051" s="527">
        <f t="shared" si="138"/>
        <v>328.4</v>
      </c>
      <c r="W1051" s="326">
        <f t="shared" si="141"/>
        <v>10198.24</v>
      </c>
      <c r="X1051" s="261">
        <f t="shared" si="139"/>
        <v>0</v>
      </c>
      <c r="Z1051" s="1016">
        <f t="shared" si="140"/>
        <v>9848.74</v>
      </c>
    </row>
    <row r="1052" spans="1:26" ht="12" hidden="1" thickBot="1">
      <c r="A1052" s="588" t="s">
        <v>1429</v>
      </c>
      <c r="B1052" s="522" t="s">
        <v>344</v>
      </c>
      <c r="C1052" s="522" t="s">
        <v>953</v>
      </c>
      <c r="D1052" s="523" t="s">
        <v>1035</v>
      </c>
      <c r="E1052" s="524">
        <v>1220</v>
      </c>
      <c r="F1052" s="526"/>
      <c r="G1052" s="525">
        <v>2079</v>
      </c>
      <c r="H1052" s="526"/>
      <c r="I1052" s="526"/>
      <c r="J1052" s="526"/>
      <c r="K1052" s="526"/>
      <c r="L1052" s="526"/>
      <c r="M1052" s="525">
        <v>3.11</v>
      </c>
      <c r="N1052" s="525">
        <v>69.34</v>
      </c>
      <c r="O1052" s="526"/>
      <c r="P1052" s="526"/>
      <c r="Q1052" s="525">
        <v>0</v>
      </c>
      <c r="R1052" s="525">
        <v>2151.4499999999998</v>
      </c>
      <c r="S1052" s="527">
        <f t="shared" si="136"/>
        <v>2079</v>
      </c>
      <c r="T1052" s="528">
        <f t="shared" si="137"/>
        <v>0</v>
      </c>
      <c r="U1052" s="527">
        <f t="shared" si="138"/>
        <v>69.34</v>
      </c>
      <c r="W1052" s="326">
        <f t="shared" si="141"/>
        <v>2151.4500000000003</v>
      </c>
      <c r="X1052" s="261">
        <f t="shared" si="139"/>
        <v>0</v>
      </c>
      <c r="Z1052" s="1016">
        <f t="shared" si="140"/>
        <v>2079</v>
      </c>
    </row>
    <row r="1053" spans="1:26" ht="12" hidden="1" thickBot="1">
      <c r="A1053" s="588" t="s">
        <v>1429</v>
      </c>
      <c r="B1053" s="522" t="s">
        <v>347</v>
      </c>
      <c r="C1053" s="522" t="s">
        <v>954</v>
      </c>
      <c r="D1053" s="523" t="s">
        <v>1035</v>
      </c>
      <c r="E1053" s="530">
        <v>1689</v>
      </c>
      <c r="F1053" s="532"/>
      <c r="G1053" s="531">
        <v>2570.54</v>
      </c>
      <c r="H1053" s="532"/>
      <c r="I1053" s="532"/>
      <c r="J1053" s="532"/>
      <c r="K1053" s="532"/>
      <c r="L1053" s="532"/>
      <c r="M1053" s="531">
        <v>4.33</v>
      </c>
      <c r="N1053" s="531">
        <v>85.75</v>
      </c>
      <c r="O1053" s="532"/>
      <c r="P1053" s="532"/>
      <c r="Q1053" s="531">
        <v>0</v>
      </c>
      <c r="R1053" s="531">
        <v>2660.62</v>
      </c>
      <c r="S1053" s="527">
        <f t="shared" si="136"/>
        <v>2570.54</v>
      </c>
      <c r="T1053" s="528">
        <f t="shared" si="137"/>
        <v>0</v>
      </c>
      <c r="U1053" s="527">
        <f t="shared" si="138"/>
        <v>85.75</v>
      </c>
      <c r="W1053" s="326">
        <f t="shared" si="141"/>
        <v>2660.62</v>
      </c>
      <c r="X1053" s="261">
        <f t="shared" si="139"/>
        <v>0</v>
      </c>
      <c r="Z1053" s="1016">
        <f t="shared" si="140"/>
        <v>2570.54</v>
      </c>
    </row>
    <row r="1054" spans="1:26" ht="12" hidden="1" thickBot="1">
      <c r="A1054" s="588" t="s">
        <v>1429</v>
      </c>
      <c r="B1054" s="522" t="s">
        <v>348</v>
      </c>
      <c r="C1054" s="522" t="s">
        <v>955</v>
      </c>
      <c r="D1054" s="523" t="s">
        <v>1035</v>
      </c>
      <c r="E1054" s="524">
        <v>254</v>
      </c>
      <c r="F1054" s="526"/>
      <c r="G1054" s="525">
        <v>308.75</v>
      </c>
      <c r="H1054" s="526"/>
      <c r="I1054" s="526"/>
      <c r="J1054" s="526"/>
      <c r="K1054" s="526"/>
      <c r="L1054" s="526"/>
      <c r="M1054" s="525">
        <v>0.65</v>
      </c>
      <c r="N1054" s="525">
        <v>10.3</v>
      </c>
      <c r="O1054" s="526"/>
      <c r="P1054" s="526"/>
      <c r="Q1054" s="525">
        <v>0</v>
      </c>
      <c r="R1054" s="525">
        <v>319.7</v>
      </c>
      <c r="S1054" s="527">
        <f t="shared" si="136"/>
        <v>308.75</v>
      </c>
      <c r="T1054" s="528">
        <f t="shared" si="137"/>
        <v>0</v>
      </c>
      <c r="U1054" s="527">
        <f t="shared" si="138"/>
        <v>10.3</v>
      </c>
      <c r="W1054" s="326">
        <f t="shared" si="141"/>
        <v>319.7</v>
      </c>
      <c r="X1054" s="261">
        <f t="shared" si="139"/>
        <v>0</v>
      </c>
      <c r="Z1054" s="1016">
        <f t="shared" si="140"/>
        <v>308.75</v>
      </c>
    </row>
    <row r="1055" spans="1:26" ht="12" hidden="1" thickBot="1">
      <c r="A1055" s="588" t="s">
        <v>1429</v>
      </c>
      <c r="B1055" s="522" t="s">
        <v>349</v>
      </c>
      <c r="C1055" s="522" t="s">
        <v>956</v>
      </c>
      <c r="D1055" s="523" t="s">
        <v>1035</v>
      </c>
      <c r="E1055" s="530">
        <v>51</v>
      </c>
      <c r="F1055" s="532"/>
      <c r="G1055" s="531">
        <v>63.11</v>
      </c>
      <c r="H1055" s="532"/>
      <c r="I1055" s="532"/>
      <c r="J1055" s="532"/>
      <c r="K1055" s="532"/>
      <c r="L1055" s="532"/>
      <c r="M1055" s="531">
        <v>0.13</v>
      </c>
      <c r="N1055" s="531">
        <v>2.11</v>
      </c>
      <c r="O1055" s="532"/>
      <c r="P1055" s="532"/>
      <c r="Q1055" s="531">
        <v>0</v>
      </c>
      <c r="R1055" s="531">
        <v>65.349999999999994</v>
      </c>
      <c r="S1055" s="527">
        <f t="shared" si="136"/>
        <v>63.11</v>
      </c>
      <c r="T1055" s="528">
        <f t="shared" si="137"/>
        <v>0</v>
      </c>
      <c r="U1055" s="527">
        <f t="shared" si="138"/>
        <v>2.11</v>
      </c>
      <c r="W1055" s="326">
        <f t="shared" si="141"/>
        <v>65.350000000000009</v>
      </c>
      <c r="X1055" s="261">
        <f t="shared" si="139"/>
        <v>0</v>
      </c>
      <c r="Z1055" s="1016">
        <f t="shared" si="140"/>
        <v>63.11</v>
      </c>
    </row>
    <row r="1056" spans="1:26" ht="12" hidden="1" thickBot="1">
      <c r="A1056" s="588" t="s">
        <v>1429</v>
      </c>
      <c r="B1056" s="522" t="s">
        <v>351</v>
      </c>
      <c r="C1056" s="522" t="s">
        <v>957</v>
      </c>
      <c r="D1056" s="523" t="s">
        <v>1035</v>
      </c>
      <c r="E1056" s="524">
        <v>250</v>
      </c>
      <c r="F1056" s="526"/>
      <c r="G1056" s="525">
        <v>404.7</v>
      </c>
      <c r="H1056" s="526"/>
      <c r="I1056" s="526"/>
      <c r="J1056" s="526"/>
      <c r="K1056" s="526"/>
      <c r="L1056" s="526"/>
      <c r="M1056" s="525">
        <v>0.64</v>
      </c>
      <c r="N1056" s="525">
        <v>13.5</v>
      </c>
      <c r="O1056" s="526"/>
      <c r="P1056" s="526"/>
      <c r="Q1056" s="525">
        <v>0</v>
      </c>
      <c r="R1056" s="525">
        <v>418.84</v>
      </c>
      <c r="S1056" s="527">
        <f t="shared" si="136"/>
        <v>404.7</v>
      </c>
      <c r="T1056" s="528">
        <f t="shared" si="137"/>
        <v>0</v>
      </c>
      <c r="U1056" s="527">
        <f t="shared" si="138"/>
        <v>13.5</v>
      </c>
      <c r="W1056" s="326">
        <f t="shared" si="141"/>
        <v>418.84</v>
      </c>
      <c r="X1056" s="261">
        <f t="shared" si="139"/>
        <v>0</v>
      </c>
      <c r="Z1056" s="1016">
        <f t="shared" si="140"/>
        <v>404.7</v>
      </c>
    </row>
    <row r="1057" spans="1:26" ht="12" hidden="1" thickBot="1">
      <c r="A1057" s="588" t="s">
        <v>1429</v>
      </c>
      <c r="B1057" s="522" t="s">
        <v>352</v>
      </c>
      <c r="C1057" s="522" t="s">
        <v>958</v>
      </c>
      <c r="D1057" s="523" t="s">
        <v>1035</v>
      </c>
      <c r="E1057" s="530">
        <v>454</v>
      </c>
      <c r="F1057" s="532"/>
      <c r="G1057" s="531">
        <v>710.73</v>
      </c>
      <c r="H1057" s="532"/>
      <c r="I1057" s="532"/>
      <c r="J1057" s="532"/>
      <c r="K1057" s="532"/>
      <c r="L1057" s="532"/>
      <c r="M1057" s="531">
        <v>1.1599999999999999</v>
      </c>
      <c r="N1057" s="531">
        <v>23.7</v>
      </c>
      <c r="O1057" s="532"/>
      <c r="P1057" s="532"/>
      <c r="Q1057" s="531">
        <v>0</v>
      </c>
      <c r="R1057" s="531">
        <v>735.59</v>
      </c>
      <c r="S1057" s="527">
        <f t="shared" si="136"/>
        <v>710.73</v>
      </c>
      <c r="T1057" s="528">
        <f t="shared" si="137"/>
        <v>0</v>
      </c>
      <c r="U1057" s="527">
        <f t="shared" si="138"/>
        <v>23.7</v>
      </c>
      <c r="W1057" s="326">
        <f t="shared" si="141"/>
        <v>735.59</v>
      </c>
      <c r="X1057" s="261">
        <f t="shared" si="139"/>
        <v>0</v>
      </c>
      <c r="Z1057" s="1016">
        <f t="shared" si="140"/>
        <v>710.73</v>
      </c>
    </row>
    <row r="1058" spans="1:26" ht="12" hidden="1" thickBot="1">
      <c r="A1058" s="588" t="s">
        <v>1429</v>
      </c>
      <c r="B1058" s="522" t="s">
        <v>354</v>
      </c>
      <c r="C1058" s="522" t="s">
        <v>959</v>
      </c>
      <c r="D1058" s="523" t="s">
        <v>1035</v>
      </c>
      <c r="E1058" s="524">
        <v>1196</v>
      </c>
      <c r="F1058" s="526"/>
      <c r="G1058" s="525">
        <v>1530.75</v>
      </c>
      <c r="H1058" s="526"/>
      <c r="I1058" s="526"/>
      <c r="J1058" s="526"/>
      <c r="K1058" s="526"/>
      <c r="L1058" s="526"/>
      <c r="M1058" s="525">
        <v>3.06</v>
      </c>
      <c r="N1058" s="525">
        <v>51.07</v>
      </c>
      <c r="O1058" s="526"/>
      <c r="P1058" s="526"/>
      <c r="Q1058" s="525">
        <v>0</v>
      </c>
      <c r="R1058" s="525">
        <v>1584.88</v>
      </c>
      <c r="S1058" s="527">
        <f t="shared" si="136"/>
        <v>1530.75</v>
      </c>
      <c r="T1058" s="528">
        <f t="shared" si="137"/>
        <v>0</v>
      </c>
      <c r="U1058" s="527">
        <f t="shared" si="138"/>
        <v>51.07</v>
      </c>
      <c r="W1058" s="326">
        <f t="shared" si="141"/>
        <v>1584.8799999999999</v>
      </c>
      <c r="X1058" s="261">
        <f t="shared" si="139"/>
        <v>0</v>
      </c>
      <c r="Z1058" s="1016">
        <f t="shared" si="140"/>
        <v>1530.75</v>
      </c>
    </row>
    <row r="1059" spans="1:26" ht="12" hidden="1" thickBot="1">
      <c r="A1059" s="588" t="s">
        <v>1429</v>
      </c>
      <c r="B1059" s="522" t="s">
        <v>355</v>
      </c>
      <c r="C1059" s="522" t="s">
        <v>960</v>
      </c>
      <c r="D1059" s="523" t="s">
        <v>1035</v>
      </c>
      <c r="E1059" s="530">
        <v>51</v>
      </c>
      <c r="F1059" s="532"/>
      <c r="G1059" s="531">
        <v>56.69</v>
      </c>
      <c r="H1059" s="532"/>
      <c r="I1059" s="532"/>
      <c r="J1059" s="532"/>
      <c r="K1059" s="532"/>
      <c r="L1059" s="532"/>
      <c r="M1059" s="531">
        <v>0.13</v>
      </c>
      <c r="N1059" s="531">
        <v>1.89</v>
      </c>
      <c r="O1059" s="532"/>
      <c r="P1059" s="532"/>
      <c r="Q1059" s="531">
        <v>0</v>
      </c>
      <c r="R1059" s="531">
        <v>58.71</v>
      </c>
      <c r="S1059" s="527">
        <f t="shared" si="136"/>
        <v>56.69</v>
      </c>
      <c r="T1059" s="528">
        <f t="shared" si="137"/>
        <v>0</v>
      </c>
      <c r="U1059" s="527">
        <f t="shared" si="138"/>
        <v>1.89</v>
      </c>
      <c r="W1059" s="326">
        <f t="shared" si="141"/>
        <v>58.71</v>
      </c>
      <c r="X1059" s="261">
        <f t="shared" si="139"/>
        <v>0</v>
      </c>
      <c r="Z1059" s="1016">
        <f t="shared" si="140"/>
        <v>56.69</v>
      </c>
    </row>
    <row r="1060" spans="1:26" ht="12" hidden="1" thickBot="1">
      <c r="A1060" s="588" t="s">
        <v>1429</v>
      </c>
      <c r="B1060" s="522" t="s">
        <v>341</v>
      </c>
      <c r="C1060" s="522" t="s">
        <v>961</v>
      </c>
      <c r="D1060" s="523" t="s">
        <v>1035</v>
      </c>
      <c r="E1060" s="524">
        <v>747</v>
      </c>
      <c r="F1060" s="526"/>
      <c r="G1060" s="525">
        <v>1117.8</v>
      </c>
      <c r="H1060" s="526"/>
      <c r="I1060" s="526"/>
      <c r="J1060" s="526"/>
      <c r="K1060" s="526"/>
      <c r="L1060" s="526"/>
      <c r="M1060" s="525">
        <v>1.59</v>
      </c>
      <c r="N1060" s="525">
        <v>37.1</v>
      </c>
      <c r="O1060" s="526"/>
      <c r="P1060" s="526"/>
      <c r="Q1060" s="525">
        <v>0</v>
      </c>
      <c r="R1060" s="525">
        <v>1156.49</v>
      </c>
      <c r="S1060" s="527">
        <f t="shared" si="136"/>
        <v>1117.8</v>
      </c>
      <c r="T1060" s="528">
        <f t="shared" si="137"/>
        <v>0</v>
      </c>
      <c r="U1060" s="527">
        <f t="shared" si="138"/>
        <v>37.1</v>
      </c>
      <c r="W1060" s="326">
        <f t="shared" si="141"/>
        <v>1156.4899999999998</v>
      </c>
      <c r="X1060" s="261">
        <f t="shared" si="139"/>
        <v>0</v>
      </c>
      <c r="Z1060" s="1016">
        <f t="shared" si="140"/>
        <v>1117.8</v>
      </c>
    </row>
    <row r="1061" spans="1:26" ht="12" hidden="1" thickBot="1">
      <c r="A1061" s="588" t="s">
        <v>1429</v>
      </c>
      <c r="B1061" s="522" t="s">
        <v>350</v>
      </c>
      <c r="C1061" s="522" t="s">
        <v>962</v>
      </c>
      <c r="D1061" s="523" t="s">
        <v>1035</v>
      </c>
      <c r="E1061" s="530">
        <v>51</v>
      </c>
      <c r="F1061" s="532"/>
      <c r="G1061" s="531">
        <v>82.3</v>
      </c>
      <c r="H1061" s="532"/>
      <c r="I1061" s="532"/>
      <c r="J1061" s="532"/>
      <c r="K1061" s="532"/>
      <c r="L1061" s="532"/>
      <c r="M1061" s="531">
        <v>0.13</v>
      </c>
      <c r="N1061" s="531">
        <v>2.74</v>
      </c>
      <c r="O1061" s="532"/>
      <c r="P1061" s="532"/>
      <c r="Q1061" s="531">
        <v>0</v>
      </c>
      <c r="R1061" s="531">
        <v>85.17</v>
      </c>
      <c r="S1061" s="527">
        <f t="shared" si="136"/>
        <v>82.3</v>
      </c>
      <c r="T1061" s="528">
        <f t="shared" si="137"/>
        <v>0</v>
      </c>
      <c r="U1061" s="527">
        <f t="shared" si="138"/>
        <v>2.74</v>
      </c>
      <c r="W1061" s="326">
        <f t="shared" si="141"/>
        <v>85.169999999999987</v>
      </c>
      <c r="X1061" s="261">
        <f t="shared" si="139"/>
        <v>0</v>
      </c>
      <c r="Z1061" s="1016">
        <f t="shared" si="140"/>
        <v>82.3</v>
      </c>
    </row>
    <row r="1062" spans="1:26" ht="12" hidden="1" thickBot="1">
      <c r="A1062" s="588" t="s">
        <v>1429</v>
      </c>
      <c r="B1062" s="522" t="s">
        <v>342</v>
      </c>
      <c r="C1062" s="522" t="s">
        <v>963</v>
      </c>
      <c r="D1062" s="523" t="s">
        <v>1035</v>
      </c>
      <c r="E1062" s="524">
        <v>944</v>
      </c>
      <c r="F1062" s="526"/>
      <c r="G1062" s="525">
        <v>1490.4</v>
      </c>
      <c r="H1062" s="526"/>
      <c r="I1062" s="526"/>
      <c r="J1062" s="526"/>
      <c r="K1062" s="526"/>
      <c r="L1062" s="526"/>
      <c r="M1062" s="525">
        <v>2.41</v>
      </c>
      <c r="N1062" s="525">
        <v>49.71</v>
      </c>
      <c r="O1062" s="526"/>
      <c r="P1062" s="526"/>
      <c r="Q1062" s="525">
        <v>0</v>
      </c>
      <c r="R1062" s="525">
        <v>1542.52</v>
      </c>
      <c r="S1062" s="527">
        <f t="shared" si="136"/>
        <v>1490.4</v>
      </c>
      <c r="T1062" s="528">
        <f t="shared" si="137"/>
        <v>0</v>
      </c>
      <c r="U1062" s="527">
        <f t="shared" si="138"/>
        <v>49.71</v>
      </c>
      <c r="W1062" s="326">
        <f t="shared" si="141"/>
        <v>1542.5200000000002</v>
      </c>
      <c r="X1062" s="261">
        <f t="shared" si="139"/>
        <v>0</v>
      </c>
      <c r="Z1062" s="1016">
        <f t="shared" si="140"/>
        <v>1490.4</v>
      </c>
    </row>
    <row r="1063" spans="1:26" ht="12" hidden="1" thickBot="1">
      <c r="A1063" s="588" t="s">
        <v>1429</v>
      </c>
      <c r="B1063" s="522" t="s">
        <v>346</v>
      </c>
      <c r="C1063" s="522" t="s">
        <v>964</v>
      </c>
      <c r="D1063" s="523" t="s">
        <v>1035</v>
      </c>
      <c r="E1063" s="530">
        <v>196</v>
      </c>
      <c r="F1063" s="532"/>
      <c r="G1063" s="531">
        <v>303.52</v>
      </c>
      <c r="H1063" s="532"/>
      <c r="I1063" s="532"/>
      <c r="J1063" s="532"/>
      <c r="K1063" s="532"/>
      <c r="L1063" s="532"/>
      <c r="M1063" s="531">
        <v>0.5</v>
      </c>
      <c r="N1063" s="531">
        <v>10.119999999999999</v>
      </c>
      <c r="O1063" s="532"/>
      <c r="P1063" s="532"/>
      <c r="Q1063" s="531">
        <v>0</v>
      </c>
      <c r="R1063" s="531">
        <v>314.14</v>
      </c>
      <c r="S1063" s="527">
        <f t="shared" si="136"/>
        <v>303.52</v>
      </c>
      <c r="T1063" s="528">
        <f t="shared" si="137"/>
        <v>0</v>
      </c>
      <c r="U1063" s="527">
        <f t="shared" si="138"/>
        <v>10.119999999999999</v>
      </c>
      <c r="W1063" s="326">
        <f t="shared" si="141"/>
        <v>314.14</v>
      </c>
      <c r="X1063" s="261">
        <f t="shared" si="139"/>
        <v>0</v>
      </c>
      <c r="Z1063" s="1016">
        <f t="shared" si="140"/>
        <v>303.52</v>
      </c>
    </row>
    <row r="1064" spans="1:26" ht="12" hidden="1" thickBot="1">
      <c r="A1064" s="588" t="s">
        <v>1429</v>
      </c>
      <c r="B1064" s="522" t="s">
        <v>353</v>
      </c>
      <c r="C1064" s="522" t="s">
        <v>965</v>
      </c>
      <c r="D1064" s="523" t="s">
        <v>1035</v>
      </c>
      <c r="E1064" s="524">
        <v>141</v>
      </c>
      <c r="F1064" s="526"/>
      <c r="G1064" s="525">
        <v>236.91</v>
      </c>
      <c r="H1064" s="526"/>
      <c r="I1064" s="526"/>
      <c r="J1064" s="526"/>
      <c r="K1064" s="526"/>
      <c r="L1064" s="526"/>
      <c r="M1064" s="525">
        <v>0.36</v>
      </c>
      <c r="N1064" s="525">
        <v>7.9</v>
      </c>
      <c r="O1064" s="526"/>
      <c r="P1064" s="526"/>
      <c r="Q1064" s="525">
        <v>0</v>
      </c>
      <c r="R1064" s="525">
        <v>245.17</v>
      </c>
      <c r="S1064" s="527">
        <f t="shared" ref="S1064:S1128" si="142">G1064+H1064+I1064</f>
        <v>236.91</v>
      </c>
      <c r="T1064" s="528">
        <f t="shared" ref="T1064:T1128" si="143">J1064+K1064</f>
        <v>0</v>
      </c>
      <c r="U1064" s="527">
        <f t="shared" ref="U1064:U1128" si="144">N1064+O1064</f>
        <v>7.9</v>
      </c>
      <c r="W1064" s="326">
        <f t="shared" si="141"/>
        <v>245.17000000000002</v>
      </c>
      <c r="X1064" s="261">
        <f t="shared" ref="X1064:X1128" si="145">W1064-R1064</f>
        <v>0</v>
      </c>
      <c r="Z1064" s="1016">
        <f t="shared" si="140"/>
        <v>236.91</v>
      </c>
    </row>
    <row r="1065" spans="1:26" ht="12" hidden="1" thickBot="1">
      <c r="A1065" s="588" t="s">
        <v>1429</v>
      </c>
      <c r="B1065" s="522" t="s">
        <v>345</v>
      </c>
      <c r="C1065" s="522" t="s">
        <v>966</v>
      </c>
      <c r="D1065" s="523" t="s">
        <v>1035</v>
      </c>
      <c r="E1065" s="530">
        <v>94</v>
      </c>
      <c r="F1065" s="532"/>
      <c r="G1065" s="531">
        <v>154.52000000000001</v>
      </c>
      <c r="H1065" s="532"/>
      <c r="I1065" s="532"/>
      <c r="J1065" s="532"/>
      <c r="K1065" s="532"/>
      <c r="L1065" s="532"/>
      <c r="M1065" s="531">
        <v>0.24</v>
      </c>
      <c r="N1065" s="531">
        <v>5.15</v>
      </c>
      <c r="O1065" s="532"/>
      <c r="P1065" s="532"/>
      <c r="Q1065" s="531">
        <v>0</v>
      </c>
      <c r="R1065" s="531">
        <v>159.91</v>
      </c>
      <c r="S1065" s="527">
        <f t="shared" si="142"/>
        <v>154.52000000000001</v>
      </c>
      <c r="T1065" s="528">
        <f t="shared" si="143"/>
        <v>0</v>
      </c>
      <c r="U1065" s="527">
        <f t="shared" si="144"/>
        <v>5.15</v>
      </c>
      <c r="W1065" s="326">
        <f t="shared" si="141"/>
        <v>159.91000000000003</v>
      </c>
      <c r="X1065" s="261">
        <f t="shared" si="145"/>
        <v>0</v>
      </c>
      <c r="Z1065" s="1016">
        <f t="shared" si="140"/>
        <v>154.52000000000001</v>
      </c>
    </row>
    <row r="1066" spans="1:26" ht="12" hidden="1" thickBot="1">
      <c r="A1066" s="588" t="s">
        <v>1429</v>
      </c>
      <c r="B1066" s="522" t="s">
        <v>343</v>
      </c>
      <c r="C1066" s="522" t="s">
        <v>967</v>
      </c>
      <c r="D1066" s="523" t="s">
        <v>1035</v>
      </c>
      <c r="E1066" s="524">
        <v>2445</v>
      </c>
      <c r="F1066" s="526"/>
      <c r="G1066" s="525">
        <v>3273.69</v>
      </c>
      <c r="H1066" s="526"/>
      <c r="I1066" s="526"/>
      <c r="J1066" s="526"/>
      <c r="K1066" s="526"/>
      <c r="L1066" s="526"/>
      <c r="M1066" s="525">
        <v>6.26</v>
      </c>
      <c r="N1066" s="525">
        <v>109.23</v>
      </c>
      <c r="O1066" s="526"/>
      <c r="P1066" s="526"/>
      <c r="Q1066" s="525">
        <v>0</v>
      </c>
      <c r="R1066" s="525">
        <v>3389.18</v>
      </c>
      <c r="S1066" s="527">
        <f t="shared" si="142"/>
        <v>3273.69</v>
      </c>
      <c r="T1066" s="528">
        <f t="shared" si="143"/>
        <v>0</v>
      </c>
      <c r="U1066" s="527">
        <f t="shared" si="144"/>
        <v>109.23</v>
      </c>
      <c r="W1066" s="326">
        <f t="shared" si="141"/>
        <v>3389.1800000000003</v>
      </c>
      <c r="X1066" s="261">
        <f t="shared" si="145"/>
        <v>0</v>
      </c>
      <c r="Z1066" s="1016">
        <f t="shared" si="140"/>
        <v>3273.69</v>
      </c>
    </row>
    <row r="1067" spans="1:26" ht="12" hidden="1" thickBot="1">
      <c r="A1067" s="588" t="s">
        <v>1429</v>
      </c>
      <c r="B1067" s="522" t="s">
        <v>472</v>
      </c>
      <c r="C1067" s="522" t="s">
        <v>968</v>
      </c>
      <c r="D1067" s="523" t="s">
        <v>1035</v>
      </c>
      <c r="E1067" s="530">
        <v>95</v>
      </c>
      <c r="F1067" s="532"/>
      <c r="G1067" s="531">
        <v>151.80000000000001</v>
      </c>
      <c r="H1067" s="532"/>
      <c r="I1067" s="532"/>
      <c r="J1067" s="532"/>
      <c r="K1067" s="532"/>
      <c r="L1067" s="532"/>
      <c r="M1067" s="531">
        <v>0.24</v>
      </c>
      <c r="N1067" s="531">
        <v>5.0599999999999996</v>
      </c>
      <c r="O1067" s="532"/>
      <c r="P1067" s="532"/>
      <c r="Q1067" s="532"/>
      <c r="R1067" s="531">
        <v>157.1</v>
      </c>
      <c r="S1067" s="527">
        <f t="shared" si="142"/>
        <v>151.80000000000001</v>
      </c>
      <c r="T1067" s="528">
        <f t="shared" si="143"/>
        <v>0</v>
      </c>
      <c r="U1067" s="527">
        <f t="shared" si="144"/>
        <v>5.0599999999999996</v>
      </c>
      <c r="W1067" s="326">
        <f t="shared" si="141"/>
        <v>157.10000000000002</v>
      </c>
      <c r="X1067" s="261">
        <f t="shared" si="145"/>
        <v>0</v>
      </c>
      <c r="Z1067" s="1016">
        <f t="shared" si="140"/>
        <v>151.80000000000001</v>
      </c>
    </row>
    <row r="1068" spans="1:26" ht="12" hidden="1" thickBot="1">
      <c r="A1068" s="588" t="s">
        <v>1429</v>
      </c>
      <c r="B1068" s="522" t="s">
        <v>382</v>
      </c>
      <c r="C1068" s="522" t="s">
        <v>969</v>
      </c>
      <c r="D1068" s="533" t="s">
        <v>1035</v>
      </c>
      <c r="E1068" s="524">
        <v>1174</v>
      </c>
      <c r="F1068" s="526"/>
      <c r="G1068" s="525">
        <v>772.72</v>
      </c>
      <c r="H1068" s="526"/>
      <c r="I1068" s="526"/>
      <c r="J1068" s="526"/>
      <c r="K1068" s="526"/>
      <c r="L1068" s="526"/>
      <c r="M1068" s="525">
        <v>0.03</v>
      </c>
      <c r="N1068" s="525">
        <v>25.02</v>
      </c>
      <c r="O1068" s="526"/>
      <c r="P1068" s="526"/>
      <c r="Q1068" s="525">
        <v>0</v>
      </c>
      <c r="R1068" s="525">
        <v>797.77</v>
      </c>
      <c r="S1068" s="527">
        <f t="shared" si="142"/>
        <v>772.72</v>
      </c>
      <c r="T1068" s="528">
        <f t="shared" si="143"/>
        <v>0</v>
      </c>
      <c r="U1068" s="527">
        <f t="shared" si="144"/>
        <v>25.02</v>
      </c>
      <c r="W1068" s="326">
        <f t="shared" si="141"/>
        <v>797.77</v>
      </c>
      <c r="X1068" s="261">
        <f t="shared" si="145"/>
        <v>0</v>
      </c>
      <c r="Z1068" s="1016">
        <f t="shared" si="140"/>
        <v>772.72</v>
      </c>
    </row>
    <row r="1069" spans="1:26" ht="12" hidden="1" thickBot="1">
      <c r="A1069" s="588" t="s">
        <v>1429</v>
      </c>
      <c r="B1069" s="522" t="s">
        <v>402</v>
      </c>
      <c r="C1069" s="522" t="s">
        <v>970</v>
      </c>
      <c r="D1069" s="533" t="s">
        <v>1036</v>
      </c>
      <c r="E1069" s="530">
        <v>392051</v>
      </c>
      <c r="F1069" s="532"/>
      <c r="G1069" s="531">
        <v>73868.570000000007</v>
      </c>
      <c r="H1069" s="532"/>
      <c r="I1069" s="532"/>
      <c r="J1069" s="532"/>
      <c r="K1069" s="532"/>
      <c r="L1069" s="532"/>
      <c r="M1069" s="531">
        <v>-270.58</v>
      </c>
      <c r="N1069" s="531">
        <v>2375.8200000000002</v>
      </c>
      <c r="O1069" s="532"/>
      <c r="P1069" s="532"/>
      <c r="Q1069" s="531">
        <v>0</v>
      </c>
      <c r="R1069" s="531">
        <v>75973.81</v>
      </c>
      <c r="S1069" s="527">
        <f t="shared" si="142"/>
        <v>73868.570000000007</v>
      </c>
      <c r="T1069" s="528">
        <f t="shared" si="143"/>
        <v>0</v>
      </c>
      <c r="U1069" s="527">
        <f t="shared" si="144"/>
        <v>2375.8200000000002</v>
      </c>
      <c r="W1069" s="326">
        <f t="shared" si="141"/>
        <v>75973.810000000012</v>
      </c>
      <c r="X1069" s="261">
        <f t="shared" si="145"/>
        <v>0</v>
      </c>
      <c r="Z1069" s="1016">
        <f t="shared" si="140"/>
        <v>73868.570000000007</v>
      </c>
    </row>
    <row r="1070" spans="1:26" ht="12" hidden="1" thickBot="1">
      <c r="A1070" s="588" t="s">
        <v>1429</v>
      </c>
      <c r="B1070" s="522" t="s">
        <v>398</v>
      </c>
      <c r="C1070" s="522" t="s">
        <v>971</v>
      </c>
      <c r="D1070" s="533" t="s">
        <v>1036</v>
      </c>
      <c r="E1070" s="524">
        <v>17675</v>
      </c>
      <c r="F1070" s="526"/>
      <c r="G1070" s="525">
        <v>1597.63</v>
      </c>
      <c r="H1070" s="526"/>
      <c r="I1070" s="526"/>
      <c r="J1070" s="526"/>
      <c r="K1070" s="526"/>
      <c r="L1070" s="526"/>
      <c r="M1070" s="525">
        <v>-4.92</v>
      </c>
      <c r="N1070" s="525">
        <v>51.4</v>
      </c>
      <c r="O1070" s="526"/>
      <c r="P1070" s="526"/>
      <c r="Q1070" s="525">
        <v>0</v>
      </c>
      <c r="R1070" s="525">
        <v>1644.11</v>
      </c>
      <c r="S1070" s="527">
        <f t="shared" si="142"/>
        <v>1597.63</v>
      </c>
      <c r="T1070" s="528">
        <f t="shared" si="143"/>
        <v>0</v>
      </c>
      <c r="U1070" s="527">
        <f t="shared" si="144"/>
        <v>51.4</v>
      </c>
      <c r="W1070" s="326">
        <f t="shared" si="141"/>
        <v>1644.1100000000001</v>
      </c>
      <c r="X1070" s="261">
        <f t="shared" si="145"/>
        <v>0</v>
      </c>
      <c r="Z1070" s="1016">
        <f t="shared" si="140"/>
        <v>1597.63</v>
      </c>
    </row>
    <row r="1071" spans="1:26" ht="12" hidden="1" thickBot="1">
      <c r="A1071" s="588" t="s">
        <v>1429</v>
      </c>
      <c r="B1071" s="522" t="s">
        <v>376</v>
      </c>
      <c r="C1071" s="522" t="s">
        <v>972</v>
      </c>
      <c r="D1071" s="533" t="s">
        <v>1036</v>
      </c>
      <c r="E1071" s="530">
        <v>3860</v>
      </c>
      <c r="F1071" s="532"/>
      <c r="G1071" s="531">
        <v>4862.3999999999996</v>
      </c>
      <c r="H1071" s="532"/>
      <c r="I1071" s="532"/>
      <c r="J1071" s="532"/>
      <c r="K1071" s="532"/>
      <c r="L1071" s="532"/>
      <c r="M1071" s="531">
        <v>-2.97</v>
      </c>
      <c r="N1071" s="531">
        <v>155.99</v>
      </c>
      <c r="O1071" s="532"/>
      <c r="P1071" s="532"/>
      <c r="Q1071" s="531">
        <v>0</v>
      </c>
      <c r="R1071" s="531">
        <v>5015.42</v>
      </c>
      <c r="S1071" s="527">
        <f t="shared" si="142"/>
        <v>4862.3999999999996</v>
      </c>
      <c r="T1071" s="528">
        <f t="shared" si="143"/>
        <v>0</v>
      </c>
      <c r="U1071" s="527">
        <f t="shared" si="144"/>
        <v>155.99</v>
      </c>
      <c r="W1071" s="326">
        <f t="shared" si="141"/>
        <v>5015.4199999999992</v>
      </c>
      <c r="X1071" s="261">
        <f t="shared" si="145"/>
        <v>0</v>
      </c>
      <c r="Z1071" s="1016">
        <f t="shared" si="140"/>
        <v>4862.3999999999996</v>
      </c>
    </row>
    <row r="1072" spans="1:26" ht="12" hidden="1" thickBot="1">
      <c r="A1072" s="588" t="s">
        <v>1429</v>
      </c>
      <c r="B1072" s="522" t="s">
        <v>384</v>
      </c>
      <c r="C1072" s="522" t="s">
        <v>973</v>
      </c>
      <c r="D1072" s="533" t="s">
        <v>1035</v>
      </c>
      <c r="E1072" s="524">
        <v>3320</v>
      </c>
      <c r="F1072" s="526"/>
      <c r="G1072" s="525">
        <v>3207</v>
      </c>
      <c r="H1072" s="526"/>
      <c r="I1072" s="526"/>
      <c r="J1072" s="526"/>
      <c r="K1072" s="526"/>
      <c r="L1072" s="526"/>
      <c r="M1072" s="525">
        <v>-2.56</v>
      </c>
      <c r="N1072" s="525">
        <v>102.87</v>
      </c>
      <c r="O1072" s="526"/>
      <c r="P1072" s="526"/>
      <c r="Q1072" s="525">
        <v>0</v>
      </c>
      <c r="R1072" s="525">
        <v>3307.31</v>
      </c>
      <c r="S1072" s="527">
        <f t="shared" si="142"/>
        <v>3207</v>
      </c>
      <c r="T1072" s="528">
        <f t="shared" si="143"/>
        <v>0</v>
      </c>
      <c r="U1072" s="527">
        <f t="shared" si="144"/>
        <v>102.87</v>
      </c>
      <c r="W1072" s="326">
        <f t="shared" si="141"/>
        <v>3307.31</v>
      </c>
      <c r="X1072" s="261">
        <f t="shared" si="145"/>
        <v>0</v>
      </c>
      <c r="Z1072" s="1016">
        <f t="shared" si="140"/>
        <v>3207</v>
      </c>
    </row>
    <row r="1073" spans="1:26" ht="12" hidden="1" thickBot="1">
      <c r="A1073" s="588" t="s">
        <v>1429</v>
      </c>
      <c r="B1073" s="522" t="s">
        <v>386</v>
      </c>
      <c r="C1073" s="522" t="s">
        <v>974</v>
      </c>
      <c r="D1073" s="533" t="s">
        <v>1036</v>
      </c>
      <c r="E1073" s="530">
        <v>614</v>
      </c>
      <c r="F1073" s="532"/>
      <c r="G1073" s="531">
        <v>863.52</v>
      </c>
      <c r="H1073" s="532"/>
      <c r="I1073" s="532"/>
      <c r="J1073" s="532"/>
      <c r="K1073" s="532"/>
      <c r="L1073" s="532"/>
      <c r="M1073" s="531">
        <v>-0.47</v>
      </c>
      <c r="N1073" s="531">
        <v>27.7</v>
      </c>
      <c r="O1073" s="532"/>
      <c r="P1073" s="532"/>
      <c r="Q1073" s="531">
        <v>0</v>
      </c>
      <c r="R1073" s="531">
        <v>890.75</v>
      </c>
      <c r="S1073" s="527">
        <f t="shared" si="142"/>
        <v>863.52</v>
      </c>
      <c r="T1073" s="528">
        <f t="shared" si="143"/>
        <v>0</v>
      </c>
      <c r="U1073" s="527">
        <f t="shared" si="144"/>
        <v>27.7</v>
      </c>
      <c r="W1073" s="326">
        <f t="shared" si="141"/>
        <v>890.75</v>
      </c>
      <c r="X1073" s="261">
        <f t="shared" si="145"/>
        <v>0</v>
      </c>
      <c r="Z1073" s="1016">
        <f t="shared" si="140"/>
        <v>863.52</v>
      </c>
    </row>
    <row r="1074" spans="1:26" ht="12" hidden="1" thickBot="1">
      <c r="A1074" s="588" t="s">
        <v>1429</v>
      </c>
      <c r="B1074" s="522" t="s">
        <v>409</v>
      </c>
      <c r="C1074" s="522" t="s">
        <v>975</v>
      </c>
      <c r="D1074" s="533" t="s">
        <v>1036</v>
      </c>
      <c r="E1074" s="524">
        <v>2982</v>
      </c>
      <c r="F1074" s="526"/>
      <c r="G1074" s="525">
        <v>2997.12</v>
      </c>
      <c r="H1074" s="526"/>
      <c r="I1074" s="526"/>
      <c r="J1074" s="526"/>
      <c r="K1074" s="526"/>
      <c r="L1074" s="526"/>
      <c r="M1074" s="525">
        <v>-2.2999999999999998</v>
      </c>
      <c r="N1074" s="525">
        <v>96.14</v>
      </c>
      <c r="O1074" s="526"/>
      <c r="P1074" s="526"/>
      <c r="Q1074" s="525">
        <v>0</v>
      </c>
      <c r="R1074" s="525">
        <v>3090.96</v>
      </c>
      <c r="S1074" s="527">
        <f t="shared" si="142"/>
        <v>2997.12</v>
      </c>
      <c r="T1074" s="528">
        <f t="shared" si="143"/>
        <v>0</v>
      </c>
      <c r="U1074" s="527">
        <f t="shared" si="144"/>
        <v>96.14</v>
      </c>
      <c r="W1074" s="326">
        <f t="shared" si="141"/>
        <v>3090.9599999999996</v>
      </c>
      <c r="X1074" s="261">
        <f t="shared" si="145"/>
        <v>0</v>
      </c>
      <c r="Z1074" s="1016">
        <f t="shared" si="140"/>
        <v>2997.12</v>
      </c>
    </row>
    <row r="1075" spans="1:26" ht="12" hidden="1" thickBot="1">
      <c r="A1075" s="588" t="s">
        <v>1429</v>
      </c>
      <c r="B1075" s="522" t="s">
        <v>387</v>
      </c>
      <c r="C1075" s="522" t="s">
        <v>976</v>
      </c>
      <c r="D1075" s="533" t="s">
        <v>1035</v>
      </c>
      <c r="E1075" s="530">
        <v>490</v>
      </c>
      <c r="F1075" s="532"/>
      <c r="G1075" s="531">
        <v>647.64</v>
      </c>
      <c r="H1075" s="532"/>
      <c r="I1075" s="532"/>
      <c r="J1075" s="532"/>
      <c r="K1075" s="532"/>
      <c r="L1075" s="532"/>
      <c r="M1075" s="531">
        <v>1.25</v>
      </c>
      <c r="N1075" s="531">
        <v>21.61</v>
      </c>
      <c r="O1075" s="532"/>
      <c r="P1075" s="532"/>
      <c r="Q1075" s="531">
        <v>0</v>
      </c>
      <c r="R1075" s="531">
        <v>670.5</v>
      </c>
      <c r="S1075" s="527">
        <f t="shared" si="142"/>
        <v>647.64</v>
      </c>
      <c r="T1075" s="528">
        <f t="shared" si="143"/>
        <v>0</v>
      </c>
      <c r="U1075" s="527">
        <f t="shared" si="144"/>
        <v>21.61</v>
      </c>
      <c r="W1075" s="326">
        <f t="shared" si="141"/>
        <v>670.5</v>
      </c>
      <c r="X1075" s="261">
        <f t="shared" si="145"/>
        <v>0</v>
      </c>
      <c r="Z1075" s="1016">
        <f t="shared" si="140"/>
        <v>647.64</v>
      </c>
    </row>
    <row r="1076" spans="1:26" ht="12" hidden="1" thickBot="1">
      <c r="A1076" s="588" t="s">
        <v>1429</v>
      </c>
      <c r="B1076" s="522" t="s">
        <v>410</v>
      </c>
      <c r="C1076" s="522" t="s">
        <v>977</v>
      </c>
      <c r="D1076" s="533" t="s">
        <v>1035</v>
      </c>
      <c r="E1076" s="524">
        <v>329</v>
      </c>
      <c r="F1076" s="526"/>
      <c r="G1076" s="525">
        <v>312.2</v>
      </c>
      <c r="H1076" s="526"/>
      <c r="I1076" s="526"/>
      <c r="J1076" s="526"/>
      <c r="K1076" s="526"/>
      <c r="L1076" s="526"/>
      <c r="M1076" s="525">
        <v>0.84</v>
      </c>
      <c r="N1076" s="525">
        <v>10.42</v>
      </c>
      <c r="O1076" s="526"/>
      <c r="P1076" s="526"/>
      <c r="Q1076" s="525">
        <v>0</v>
      </c>
      <c r="R1076" s="525">
        <v>323.45999999999998</v>
      </c>
      <c r="S1076" s="527">
        <f t="shared" si="142"/>
        <v>312.2</v>
      </c>
      <c r="T1076" s="528">
        <f t="shared" si="143"/>
        <v>0</v>
      </c>
      <c r="U1076" s="527">
        <f t="shared" si="144"/>
        <v>10.42</v>
      </c>
      <c r="W1076" s="326">
        <f t="shared" si="141"/>
        <v>323.45999999999998</v>
      </c>
      <c r="X1076" s="261">
        <f t="shared" si="145"/>
        <v>0</v>
      </c>
      <c r="Z1076" s="1016">
        <f t="shared" si="140"/>
        <v>312.2</v>
      </c>
    </row>
    <row r="1077" spans="1:26" ht="12" hidden="1" thickBot="1">
      <c r="A1077" s="588" t="s">
        <v>1429</v>
      </c>
      <c r="B1077" s="522" t="s">
        <v>405</v>
      </c>
      <c r="C1077" s="522" t="s">
        <v>978</v>
      </c>
      <c r="D1077" s="533" t="s">
        <v>1035</v>
      </c>
      <c r="E1077" s="530">
        <v>16515</v>
      </c>
      <c r="F1077" s="532"/>
      <c r="G1077" s="531">
        <v>8087.04</v>
      </c>
      <c r="H1077" s="532"/>
      <c r="I1077" s="532"/>
      <c r="J1077" s="532"/>
      <c r="K1077" s="532"/>
      <c r="L1077" s="532"/>
      <c r="M1077" s="531">
        <v>-0.05</v>
      </c>
      <c r="N1077" s="531">
        <v>261.69</v>
      </c>
      <c r="O1077" s="532"/>
      <c r="P1077" s="532"/>
      <c r="Q1077" s="531">
        <v>0</v>
      </c>
      <c r="R1077" s="531">
        <v>8348.68</v>
      </c>
      <c r="S1077" s="527">
        <f t="shared" si="142"/>
        <v>8087.04</v>
      </c>
      <c r="T1077" s="528">
        <f t="shared" si="143"/>
        <v>0</v>
      </c>
      <c r="U1077" s="527">
        <f t="shared" si="144"/>
        <v>261.69</v>
      </c>
      <c r="W1077" s="326">
        <f t="shared" si="141"/>
        <v>8348.68</v>
      </c>
      <c r="X1077" s="261">
        <f t="shared" si="145"/>
        <v>0</v>
      </c>
      <c r="Z1077" s="1016">
        <f t="shared" si="140"/>
        <v>8087.04</v>
      </c>
    </row>
    <row r="1078" spans="1:26" ht="12" hidden="1" thickBot="1">
      <c r="A1078" s="588" t="s">
        <v>1429</v>
      </c>
      <c r="B1078" s="522" t="s">
        <v>326</v>
      </c>
      <c r="C1078" s="522" t="s">
        <v>979</v>
      </c>
      <c r="D1078" s="533" t="s">
        <v>1036</v>
      </c>
      <c r="E1078" s="524">
        <v>135</v>
      </c>
      <c r="F1078" s="526"/>
      <c r="G1078" s="525">
        <v>16.95</v>
      </c>
      <c r="H1078" s="526"/>
      <c r="I1078" s="526"/>
      <c r="J1078" s="526"/>
      <c r="K1078" s="526"/>
      <c r="L1078" s="526"/>
      <c r="M1078" s="525">
        <v>0.16</v>
      </c>
      <c r="N1078" s="525">
        <v>0.56999999999999995</v>
      </c>
      <c r="O1078" s="526"/>
      <c r="P1078" s="526"/>
      <c r="Q1078" s="525">
        <v>0</v>
      </c>
      <c r="R1078" s="525">
        <v>17.68</v>
      </c>
      <c r="S1078" s="527">
        <f t="shared" si="142"/>
        <v>16.95</v>
      </c>
      <c r="T1078" s="528">
        <f t="shared" si="143"/>
        <v>0</v>
      </c>
      <c r="U1078" s="527">
        <f t="shared" si="144"/>
        <v>0.56999999999999995</v>
      </c>
      <c r="W1078" s="326">
        <f t="shared" si="141"/>
        <v>17.68</v>
      </c>
      <c r="X1078" s="261">
        <f t="shared" si="145"/>
        <v>0</v>
      </c>
      <c r="Z1078" s="1016">
        <f t="shared" si="140"/>
        <v>16.95</v>
      </c>
    </row>
    <row r="1079" spans="1:26" ht="12" hidden="1" thickBot="1">
      <c r="A1079" s="588" t="s">
        <v>1429</v>
      </c>
      <c r="B1079" s="522" t="s">
        <v>356</v>
      </c>
      <c r="C1079" s="522" t="s">
        <v>980</v>
      </c>
      <c r="D1079" s="533" t="s">
        <v>1036</v>
      </c>
      <c r="E1079" s="530">
        <v>35590</v>
      </c>
      <c r="F1079" s="532"/>
      <c r="G1079" s="531">
        <v>3028.18</v>
      </c>
      <c r="H1079" s="532"/>
      <c r="I1079" s="532"/>
      <c r="J1079" s="532"/>
      <c r="K1079" s="532"/>
      <c r="L1079" s="532"/>
      <c r="M1079" s="531">
        <v>1.91</v>
      </c>
      <c r="N1079" s="531">
        <v>98.19</v>
      </c>
      <c r="O1079" s="532"/>
      <c r="P1079" s="532"/>
      <c r="Q1079" s="531">
        <v>0</v>
      </c>
      <c r="R1079" s="531">
        <v>3128.28</v>
      </c>
      <c r="S1079" s="527">
        <f t="shared" si="142"/>
        <v>3028.18</v>
      </c>
      <c r="T1079" s="528">
        <f t="shared" si="143"/>
        <v>0</v>
      </c>
      <c r="U1079" s="527">
        <f t="shared" si="144"/>
        <v>98.19</v>
      </c>
      <c r="W1079" s="326">
        <f t="shared" si="141"/>
        <v>3128.2799999999997</v>
      </c>
      <c r="X1079" s="261">
        <f t="shared" si="145"/>
        <v>0</v>
      </c>
      <c r="Z1079" s="1016">
        <f t="shared" si="140"/>
        <v>3028.18</v>
      </c>
    </row>
    <row r="1080" spans="1:26" ht="12" hidden="1" thickBot="1">
      <c r="A1080" s="588" t="s">
        <v>1429</v>
      </c>
      <c r="B1080" s="522" t="s">
        <v>374</v>
      </c>
      <c r="C1080" s="522" t="s">
        <v>981</v>
      </c>
      <c r="D1080" s="533" t="s">
        <v>1036</v>
      </c>
      <c r="E1080" s="524">
        <v>4022</v>
      </c>
      <c r="F1080" s="526"/>
      <c r="G1080" s="525">
        <v>305.10000000000002</v>
      </c>
      <c r="H1080" s="526"/>
      <c r="I1080" s="526"/>
      <c r="J1080" s="526"/>
      <c r="K1080" s="526"/>
      <c r="L1080" s="526"/>
      <c r="M1080" s="525">
        <v>3.22</v>
      </c>
      <c r="N1080" s="525">
        <v>10.08</v>
      </c>
      <c r="O1080" s="526"/>
      <c r="P1080" s="526"/>
      <c r="Q1080" s="525">
        <v>0</v>
      </c>
      <c r="R1080" s="525">
        <v>318.39999999999998</v>
      </c>
      <c r="S1080" s="527">
        <f t="shared" si="142"/>
        <v>305.10000000000002</v>
      </c>
      <c r="T1080" s="528">
        <f t="shared" si="143"/>
        <v>0</v>
      </c>
      <c r="U1080" s="527">
        <f t="shared" si="144"/>
        <v>10.08</v>
      </c>
      <c r="W1080" s="326">
        <f t="shared" si="141"/>
        <v>318.40000000000003</v>
      </c>
      <c r="X1080" s="261">
        <f t="shared" si="145"/>
        <v>0</v>
      </c>
      <c r="Z1080" s="1016">
        <f t="shared" si="140"/>
        <v>305.10000000000002</v>
      </c>
    </row>
    <row r="1081" spans="1:26" ht="12" hidden="1" thickBot="1">
      <c r="A1081" s="588" t="s">
        <v>1429</v>
      </c>
      <c r="B1081" s="522" t="s">
        <v>399</v>
      </c>
      <c r="C1081" s="522" t="s">
        <v>982</v>
      </c>
      <c r="D1081" s="533" t="s">
        <v>1036</v>
      </c>
      <c r="E1081" s="530">
        <v>242</v>
      </c>
      <c r="F1081" s="532"/>
      <c r="G1081" s="531">
        <v>18.12</v>
      </c>
      <c r="H1081" s="532"/>
      <c r="I1081" s="532"/>
      <c r="J1081" s="532"/>
      <c r="K1081" s="532"/>
      <c r="L1081" s="532"/>
      <c r="M1081" s="531">
        <v>-0.19</v>
      </c>
      <c r="N1081" s="531">
        <v>0.57999999999999996</v>
      </c>
      <c r="O1081" s="532"/>
      <c r="P1081" s="532"/>
      <c r="Q1081" s="531">
        <v>0</v>
      </c>
      <c r="R1081" s="531">
        <v>18.510000000000002</v>
      </c>
      <c r="S1081" s="527">
        <f t="shared" si="142"/>
        <v>18.12</v>
      </c>
      <c r="T1081" s="528">
        <f t="shared" si="143"/>
        <v>0</v>
      </c>
      <c r="U1081" s="527">
        <f t="shared" si="144"/>
        <v>0.57999999999999996</v>
      </c>
      <c r="W1081" s="326">
        <f t="shared" si="141"/>
        <v>18.509999999999998</v>
      </c>
      <c r="X1081" s="261">
        <f t="shared" si="145"/>
        <v>0</v>
      </c>
      <c r="Z1081" s="1016">
        <f t="shared" si="140"/>
        <v>18.12</v>
      </c>
    </row>
    <row r="1082" spans="1:26" ht="12" hidden="1" thickBot="1">
      <c r="A1082" s="588" t="s">
        <v>1429</v>
      </c>
      <c r="B1082" s="522" t="s">
        <v>391</v>
      </c>
      <c r="C1082" s="522" t="s">
        <v>983</v>
      </c>
      <c r="D1082" s="533" t="s">
        <v>1036</v>
      </c>
      <c r="E1082" s="524">
        <v>3823</v>
      </c>
      <c r="F1082" s="526"/>
      <c r="G1082" s="525">
        <v>1263.31</v>
      </c>
      <c r="H1082" s="526"/>
      <c r="I1082" s="526"/>
      <c r="J1082" s="526"/>
      <c r="K1082" s="526"/>
      <c r="L1082" s="526"/>
      <c r="M1082" s="525">
        <v>-3.31</v>
      </c>
      <c r="N1082" s="525">
        <v>40.729999999999997</v>
      </c>
      <c r="O1082" s="526"/>
      <c r="P1082" s="526"/>
      <c r="Q1082" s="525">
        <v>0</v>
      </c>
      <c r="R1082" s="525">
        <v>1300.73</v>
      </c>
      <c r="S1082" s="527">
        <f t="shared" si="142"/>
        <v>1263.31</v>
      </c>
      <c r="T1082" s="528">
        <f t="shared" si="143"/>
        <v>0</v>
      </c>
      <c r="U1082" s="527">
        <f t="shared" si="144"/>
        <v>40.729999999999997</v>
      </c>
      <c r="W1082" s="326">
        <f t="shared" si="141"/>
        <v>1300.73</v>
      </c>
      <c r="X1082" s="261">
        <f t="shared" si="145"/>
        <v>0</v>
      </c>
      <c r="Z1082" s="1016">
        <f t="shared" si="140"/>
        <v>1263.31</v>
      </c>
    </row>
    <row r="1083" spans="1:26" ht="12" hidden="1" thickBot="1">
      <c r="A1083" s="588" t="s">
        <v>1429</v>
      </c>
      <c r="B1083" s="522" t="s">
        <v>416</v>
      </c>
      <c r="C1083" s="522" t="s">
        <v>984</v>
      </c>
      <c r="D1083" s="533" t="s">
        <v>1035</v>
      </c>
      <c r="E1083" s="530">
        <v>1152212</v>
      </c>
      <c r="F1083" s="532"/>
      <c r="G1083" s="531">
        <v>285061.78999999998</v>
      </c>
      <c r="H1083" s="532"/>
      <c r="I1083" s="532"/>
      <c r="J1083" s="532"/>
      <c r="K1083" s="532"/>
      <c r="L1083" s="532"/>
      <c r="M1083" s="531">
        <v>-814.57</v>
      </c>
      <c r="N1083" s="531">
        <v>9095.89</v>
      </c>
      <c r="O1083" s="532"/>
      <c r="P1083" s="532"/>
      <c r="Q1083" s="531">
        <v>0</v>
      </c>
      <c r="R1083" s="531">
        <v>293343.11</v>
      </c>
      <c r="S1083" s="527">
        <f t="shared" si="142"/>
        <v>285061.78999999998</v>
      </c>
      <c r="T1083" s="528">
        <f t="shared" si="143"/>
        <v>0</v>
      </c>
      <c r="U1083" s="527">
        <f t="shared" si="144"/>
        <v>9095.89</v>
      </c>
      <c r="W1083" s="326">
        <f t="shared" si="141"/>
        <v>293343.11</v>
      </c>
      <c r="X1083" s="261">
        <f t="shared" si="145"/>
        <v>0</v>
      </c>
      <c r="Z1083" s="1016">
        <f t="shared" si="140"/>
        <v>285061.78999999998</v>
      </c>
    </row>
    <row r="1084" spans="1:26" ht="12" hidden="1" thickBot="1">
      <c r="A1084" s="588" t="s">
        <v>1429</v>
      </c>
      <c r="B1084" s="522" t="s">
        <v>407</v>
      </c>
      <c r="C1084" s="522" t="s">
        <v>985</v>
      </c>
      <c r="D1084" s="533" t="s">
        <v>1035</v>
      </c>
      <c r="E1084" s="524">
        <v>37148</v>
      </c>
      <c r="F1084" s="526"/>
      <c r="G1084" s="525">
        <v>25984.93</v>
      </c>
      <c r="H1084" s="526"/>
      <c r="I1084" s="526"/>
      <c r="J1084" s="526"/>
      <c r="K1084" s="526"/>
      <c r="L1084" s="526"/>
      <c r="M1084" s="525">
        <v>-7.03</v>
      </c>
      <c r="N1084" s="525">
        <v>839.46</v>
      </c>
      <c r="O1084" s="526"/>
      <c r="P1084" s="526"/>
      <c r="Q1084" s="525">
        <v>0</v>
      </c>
      <c r="R1084" s="525">
        <v>26817.360000000001</v>
      </c>
      <c r="S1084" s="527">
        <f t="shared" si="142"/>
        <v>25984.93</v>
      </c>
      <c r="T1084" s="528">
        <f t="shared" si="143"/>
        <v>0</v>
      </c>
      <c r="U1084" s="527">
        <f t="shared" si="144"/>
        <v>839.46</v>
      </c>
      <c r="W1084" s="326">
        <f t="shared" si="141"/>
        <v>26817.360000000001</v>
      </c>
      <c r="X1084" s="261">
        <f t="shared" si="145"/>
        <v>0</v>
      </c>
      <c r="Z1084" s="1016">
        <f t="shared" si="140"/>
        <v>25984.93</v>
      </c>
    </row>
    <row r="1085" spans="1:26" ht="12" hidden="1" thickBot="1">
      <c r="A1085" s="588" t="s">
        <v>1429</v>
      </c>
      <c r="B1085" s="522" t="s">
        <v>373</v>
      </c>
      <c r="C1085" s="522" t="s">
        <v>986</v>
      </c>
      <c r="D1085" s="533" t="s">
        <v>1036</v>
      </c>
      <c r="E1085" s="524"/>
      <c r="F1085" s="526"/>
      <c r="G1085" s="525"/>
      <c r="H1085" s="526"/>
      <c r="I1085" s="526"/>
      <c r="J1085" s="526"/>
      <c r="K1085" s="526"/>
      <c r="L1085" s="526"/>
      <c r="M1085" s="525"/>
      <c r="N1085" s="525"/>
      <c r="O1085" s="526"/>
      <c r="P1085" s="526"/>
      <c r="Q1085" s="525"/>
      <c r="R1085" s="525"/>
      <c r="S1085" s="527"/>
      <c r="T1085" s="528"/>
      <c r="U1085" s="527"/>
      <c r="W1085" s="326"/>
      <c r="X1085" s="261"/>
      <c r="Z1085" s="1016"/>
    </row>
    <row r="1086" spans="1:26" ht="12" hidden="1" thickBot="1">
      <c r="A1086" s="588" t="s">
        <v>1429</v>
      </c>
      <c r="B1086" s="522" t="s">
        <v>375</v>
      </c>
      <c r="C1086" s="522" t="s">
        <v>987</v>
      </c>
      <c r="D1086" s="533" t="s">
        <v>1036</v>
      </c>
      <c r="E1086" s="530">
        <v>32</v>
      </c>
      <c r="F1086" s="532"/>
      <c r="G1086" s="531">
        <v>27.22</v>
      </c>
      <c r="H1086" s="532"/>
      <c r="I1086" s="532"/>
      <c r="J1086" s="532"/>
      <c r="K1086" s="532"/>
      <c r="L1086" s="532"/>
      <c r="M1086" s="531">
        <v>-0.02</v>
      </c>
      <c r="N1086" s="531">
        <v>0.88</v>
      </c>
      <c r="O1086" s="532"/>
      <c r="P1086" s="532"/>
      <c r="Q1086" s="531">
        <v>0</v>
      </c>
      <c r="R1086" s="531">
        <v>28.08</v>
      </c>
      <c r="S1086" s="527">
        <f t="shared" si="142"/>
        <v>27.22</v>
      </c>
      <c r="T1086" s="528">
        <f t="shared" si="143"/>
        <v>0</v>
      </c>
      <c r="U1086" s="527">
        <f t="shared" si="144"/>
        <v>0.88</v>
      </c>
      <c r="W1086" s="326">
        <f t="shared" si="141"/>
        <v>28.08</v>
      </c>
      <c r="X1086" s="261">
        <f t="shared" si="145"/>
        <v>0</v>
      </c>
      <c r="Z1086" s="1016">
        <f t="shared" si="140"/>
        <v>27.22</v>
      </c>
    </row>
    <row r="1087" spans="1:26" ht="12" hidden="1" thickBot="1">
      <c r="A1087" s="588" t="s">
        <v>1429</v>
      </c>
      <c r="B1087" s="522" t="s">
        <v>401</v>
      </c>
      <c r="C1087" s="522" t="s">
        <v>988</v>
      </c>
      <c r="D1087" s="533" t="s">
        <v>1036</v>
      </c>
      <c r="E1087" s="524">
        <v>60417</v>
      </c>
      <c r="F1087" s="526"/>
      <c r="G1087" s="525">
        <v>10334.36</v>
      </c>
      <c r="H1087" s="526"/>
      <c r="I1087" s="526"/>
      <c r="J1087" s="526"/>
      <c r="K1087" s="526"/>
      <c r="L1087" s="526"/>
      <c r="M1087" s="525">
        <v>-8.26</v>
      </c>
      <c r="N1087" s="525">
        <v>333.83</v>
      </c>
      <c r="O1087" s="526"/>
      <c r="P1087" s="526"/>
      <c r="Q1087" s="525">
        <v>0</v>
      </c>
      <c r="R1087" s="525">
        <v>10659.93</v>
      </c>
      <c r="S1087" s="527">
        <f t="shared" si="142"/>
        <v>10334.36</v>
      </c>
      <c r="T1087" s="528">
        <f t="shared" si="143"/>
        <v>0</v>
      </c>
      <c r="U1087" s="527">
        <f t="shared" si="144"/>
        <v>333.83</v>
      </c>
      <c r="W1087" s="326">
        <f t="shared" si="141"/>
        <v>10659.93</v>
      </c>
      <c r="X1087" s="261">
        <f t="shared" si="145"/>
        <v>0</v>
      </c>
      <c r="Z1087" s="1016">
        <f t="shared" si="140"/>
        <v>10334.36</v>
      </c>
    </row>
    <row r="1088" spans="1:26" ht="12" hidden="1" thickBot="1">
      <c r="A1088" s="588" t="s">
        <v>1429</v>
      </c>
      <c r="B1088" s="522" t="s">
        <v>328</v>
      </c>
      <c r="C1088" s="522" t="s">
        <v>989</v>
      </c>
      <c r="D1088" s="533" t="s">
        <v>1036</v>
      </c>
      <c r="E1088" s="530">
        <v>54961</v>
      </c>
      <c r="F1088" s="532"/>
      <c r="G1088" s="531">
        <v>8048.52</v>
      </c>
      <c r="H1088" s="532"/>
      <c r="I1088" s="532"/>
      <c r="J1088" s="532"/>
      <c r="K1088" s="532"/>
      <c r="L1088" s="532"/>
      <c r="M1088" s="531">
        <v>132.93</v>
      </c>
      <c r="N1088" s="531">
        <v>272.04000000000002</v>
      </c>
      <c r="O1088" s="532"/>
      <c r="P1088" s="532"/>
      <c r="Q1088" s="531">
        <v>0</v>
      </c>
      <c r="R1088" s="531">
        <v>8453.49</v>
      </c>
      <c r="S1088" s="527">
        <f t="shared" si="142"/>
        <v>8048.52</v>
      </c>
      <c r="T1088" s="528">
        <f t="shared" si="143"/>
        <v>0</v>
      </c>
      <c r="U1088" s="527">
        <f t="shared" si="144"/>
        <v>272.04000000000002</v>
      </c>
      <c r="W1088" s="326">
        <f t="shared" si="141"/>
        <v>8453.4900000000016</v>
      </c>
      <c r="X1088" s="261">
        <f t="shared" si="145"/>
        <v>0</v>
      </c>
      <c r="Z1088" s="1016">
        <f t="shared" si="140"/>
        <v>8048.52</v>
      </c>
    </row>
    <row r="1089" spans="1:26" ht="12" hidden="1" thickBot="1">
      <c r="A1089" s="588" t="s">
        <v>1429</v>
      </c>
      <c r="B1089" s="522" t="s">
        <v>437</v>
      </c>
      <c r="C1089" s="522" t="s">
        <v>990</v>
      </c>
      <c r="D1089" s="533" t="s">
        <v>1036</v>
      </c>
      <c r="E1089" s="524">
        <v>180852</v>
      </c>
      <c r="F1089" s="526"/>
      <c r="G1089" s="525">
        <v>18894.75</v>
      </c>
      <c r="H1089" s="526"/>
      <c r="I1089" s="526"/>
      <c r="J1089" s="526"/>
      <c r="K1089" s="526"/>
      <c r="L1089" s="526"/>
      <c r="M1089" s="525">
        <v>99.32</v>
      </c>
      <c r="N1089" s="525">
        <v>619.05999999999995</v>
      </c>
      <c r="O1089" s="526"/>
      <c r="P1089" s="526"/>
      <c r="Q1089" s="525">
        <v>0</v>
      </c>
      <c r="R1089" s="525">
        <v>19613.13</v>
      </c>
      <c r="S1089" s="527">
        <f t="shared" si="142"/>
        <v>18894.75</v>
      </c>
      <c r="T1089" s="528">
        <f t="shared" si="143"/>
        <v>0</v>
      </c>
      <c r="U1089" s="527">
        <f t="shared" si="144"/>
        <v>619.05999999999995</v>
      </c>
      <c r="W1089" s="326">
        <f t="shared" si="141"/>
        <v>19613.13</v>
      </c>
      <c r="X1089" s="261">
        <f t="shared" si="145"/>
        <v>0</v>
      </c>
      <c r="Z1089" s="1016">
        <f t="shared" si="140"/>
        <v>18894.75</v>
      </c>
    </row>
    <row r="1090" spans="1:26" ht="12" hidden="1" thickBot="1">
      <c r="A1090" s="588" t="s">
        <v>1429</v>
      </c>
      <c r="B1090" s="522" t="s">
        <v>338</v>
      </c>
      <c r="C1090" s="522" t="s">
        <v>991</v>
      </c>
      <c r="D1090" s="533" t="s">
        <v>1035</v>
      </c>
      <c r="E1090" s="530">
        <v>27335</v>
      </c>
      <c r="F1090" s="532"/>
      <c r="G1090" s="531">
        <v>9613.19</v>
      </c>
      <c r="H1090" s="532"/>
      <c r="I1090" s="532"/>
      <c r="J1090" s="532"/>
      <c r="K1090" s="532"/>
      <c r="L1090" s="532"/>
      <c r="M1090" s="531">
        <v>-18.12</v>
      </c>
      <c r="N1090" s="531">
        <v>309.2</v>
      </c>
      <c r="O1090" s="532"/>
      <c r="P1090" s="532"/>
      <c r="Q1090" s="531">
        <v>0</v>
      </c>
      <c r="R1090" s="531">
        <v>9904.27</v>
      </c>
      <c r="S1090" s="527">
        <f t="shared" si="142"/>
        <v>9613.19</v>
      </c>
      <c r="T1090" s="528">
        <f t="shared" si="143"/>
        <v>0</v>
      </c>
      <c r="U1090" s="527">
        <f t="shared" si="144"/>
        <v>309.2</v>
      </c>
      <c r="W1090" s="326">
        <f t="shared" si="141"/>
        <v>9904.27</v>
      </c>
      <c r="X1090" s="261">
        <f t="shared" si="145"/>
        <v>0</v>
      </c>
      <c r="Z1090" s="1016">
        <f t="shared" si="140"/>
        <v>9613.19</v>
      </c>
    </row>
    <row r="1091" spans="1:26" ht="12" hidden="1" thickBot="1">
      <c r="A1091" s="588" t="s">
        <v>1429</v>
      </c>
      <c r="B1091" s="522" t="s">
        <v>370</v>
      </c>
      <c r="C1091" s="522" t="s">
        <v>992</v>
      </c>
      <c r="D1091" s="533" t="s">
        <v>1035</v>
      </c>
      <c r="E1091" s="524">
        <v>490727</v>
      </c>
      <c r="F1091" s="526"/>
      <c r="G1091" s="525">
        <v>104632.57</v>
      </c>
      <c r="H1091" s="526"/>
      <c r="I1091" s="526"/>
      <c r="J1091" s="526"/>
      <c r="K1091" s="526"/>
      <c r="L1091" s="526"/>
      <c r="M1091" s="525">
        <v>-326.17</v>
      </c>
      <c r="N1091" s="525">
        <v>3354.56</v>
      </c>
      <c r="O1091" s="526"/>
      <c r="P1091" s="526"/>
      <c r="Q1091" s="525">
        <v>0</v>
      </c>
      <c r="R1091" s="525">
        <v>107660.96</v>
      </c>
      <c r="S1091" s="527">
        <f t="shared" si="142"/>
        <v>104632.57</v>
      </c>
      <c r="T1091" s="528">
        <f t="shared" si="143"/>
        <v>0</v>
      </c>
      <c r="U1091" s="527">
        <f t="shared" si="144"/>
        <v>3354.56</v>
      </c>
      <c r="W1091" s="326">
        <f t="shared" si="141"/>
        <v>107660.96</v>
      </c>
      <c r="X1091" s="261">
        <f t="shared" si="145"/>
        <v>0</v>
      </c>
      <c r="Z1091" s="1016">
        <f t="shared" ref="Z1091:Z1154" si="146">SUM(F1091:K1091)</f>
        <v>104632.57</v>
      </c>
    </row>
    <row r="1092" spans="1:26" ht="12" hidden="1" thickBot="1">
      <c r="A1092" s="588" t="s">
        <v>1429</v>
      </c>
      <c r="B1092" s="522" t="s">
        <v>333</v>
      </c>
      <c r="C1092" s="522" t="s">
        <v>993</v>
      </c>
      <c r="D1092" s="533" t="s">
        <v>1035</v>
      </c>
      <c r="E1092" s="530">
        <v>304154</v>
      </c>
      <c r="F1092" s="532"/>
      <c r="G1092" s="531">
        <v>44261.41</v>
      </c>
      <c r="H1092" s="532"/>
      <c r="I1092" s="532"/>
      <c r="J1092" s="532"/>
      <c r="K1092" s="532"/>
      <c r="L1092" s="532"/>
      <c r="M1092" s="531">
        <v>-212.52</v>
      </c>
      <c r="N1092" s="531">
        <v>1414.42</v>
      </c>
      <c r="O1092" s="532"/>
      <c r="P1092" s="532"/>
      <c r="Q1092" s="531">
        <v>0</v>
      </c>
      <c r="R1092" s="531">
        <v>45463.31</v>
      </c>
      <c r="S1092" s="527">
        <f t="shared" si="142"/>
        <v>44261.41</v>
      </c>
      <c r="T1092" s="528">
        <f t="shared" si="143"/>
        <v>0</v>
      </c>
      <c r="U1092" s="527">
        <f t="shared" si="144"/>
        <v>1414.42</v>
      </c>
      <c r="W1092" s="326">
        <f t="shared" si="141"/>
        <v>45463.310000000005</v>
      </c>
      <c r="X1092" s="261">
        <f t="shared" si="145"/>
        <v>0</v>
      </c>
      <c r="Z1092" s="1016">
        <f t="shared" si="146"/>
        <v>44261.41</v>
      </c>
    </row>
    <row r="1093" spans="1:26" ht="12" hidden="1" thickBot="1">
      <c r="A1093" s="588" t="s">
        <v>1429</v>
      </c>
      <c r="B1093" s="522" t="s">
        <v>336</v>
      </c>
      <c r="C1093" s="522" t="s">
        <v>994</v>
      </c>
      <c r="D1093" s="533" t="s">
        <v>1036</v>
      </c>
      <c r="E1093" s="524">
        <v>6068</v>
      </c>
      <c r="F1093" s="526"/>
      <c r="G1093" s="525">
        <v>2781.34</v>
      </c>
      <c r="H1093" s="526"/>
      <c r="I1093" s="526"/>
      <c r="J1093" s="526"/>
      <c r="K1093" s="526"/>
      <c r="L1093" s="526"/>
      <c r="M1093" s="525">
        <v>-3.33</v>
      </c>
      <c r="N1093" s="525">
        <v>89.54</v>
      </c>
      <c r="O1093" s="526"/>
      <c r="P1093" s="526"/>
      <c r="Q1093" s="525">
        <v>0</v>
      </c>
      <c r="R1093" s="525">
        <v>2867.55</v>
      </c>
      <c r="S1093" s="527">
        <f t="shared" si="142"/>
        <v>2781.34</v>
      </c>
      <c r="T1093" s="528">
        <f t="shared" si="143"/>
        <v>0</v>
      </c>
      <c r="U1093" s="527">
        <f t="shared" si="144"/>
        <v>89.54</v>
      </c>
      <c r="W1093" s="326">
        <f t="shared" si="141"/>
        <v>2867.55</v>
      </c>
      <c r="X1093" s="261">
        <f t="shared" si="145"/>
        <v>0</v>
      </c>
      <c r="Z1093" s="1016">
        <f t="shared" si="146"/>
        <v>2781.34</v>
      </c>
    </row>
    <row r="1094" spans="1:26" ht="12" hidden="1" thickBot="1">
      <c r="A1094" s="588" t="s">
        <v>1429</v>
      </c>
      <c r="B1094" s="522" t="s">
        <v>368</v>
      </c>
      <c r="C1094" s="522" t="s">
        <v>995</v>
      </c>
      <c r="D1094" s="533" t="s">
        <v>1036</v>
      </c>
      <c r="E1094" s="530">
        <v>96912</v>
      </c>
      <c r="F1094" s="532"/>
      <c r="G1094" s="531">
        <v>25240.03</v>
      </c>
      <c r="H1094" s="532"/>
      <c r="I1094" s="532"/>
      <c r="J1094" s="532"/>
      <c r="K1094" s="532"/>
      <c r="L1094" s="532"/>
      <c r="M1094" s="531">
        <v>-64.08</v>
      </c>
      <c r="N1094" s="531">
        <v>809.56</v>
      </c>
      <c r="O1094" s="532"/>
      <c r="P1094" s="532"/>
      <c r="Q1094" s="531">
        <v>0</v>
      </c>
      <c r="R1094" s="531">
        <v>25985.51</v>
      </c>
      <c r="S1094" s="527">
        <f t="shared" si="142"/>
        <v>25240.03</v>
      </c>
      <c r="T1094" s="528">
        <f t="shared" si="143"/>
        <v>0</v>
      </c>
      <c r="U1094" s="527">
        <f t="shared" si="144"/>
        <v>809.56</v>
      </c>
      <c r="W1094" s="326">
        <f t="shared" si="141"/>
        <v>25985.51</v>
      </c>
      <c r="X1094" s="261">
        <f t="shared" si="145"/>
        <v>0</v>
      </c>
      <c r="Z1094" s="1016">
        <f t="shared" si="146"/>
        <v>25240.03</v>
      </c>
    </row>
    <row r="1095" spans="1:26" ht="12" hidden="1" thickBot="1">
      <c r="A1095" s="588" t="s">
        <v>1429</v>
      </c>
      <c r="B1095" s="522" t="s">
        <v>400</v>
      </c>
      <c r="C1095" s="522" t="s">
        <v>996</v>
      </c>
      <c r="D1095" s="533" t="s">
        <v>1036</v>
      </c>
      <c r="E1095" s="524">
        <v>7748</v>
      </c>
      <c r="F1095" s="526"/>
      <c r="G1095" s="525">
        <v>1673.67</v>
      </c>
      <c r="H1095" s="526"/>
      <c r="I1095" s="526"/>
      <c r="J1095" s="526"/>
      <c r="K1095" s="526"/>
      <c r="L1095" s="526"/>
      <c r="M1095" s="525">
        <v>-2.2999999999999998</v>
      </c>
      <c r="N1095" s="525">
        <v>53.93</v>
      </c>
      <c r="O1095" s="526"/>
      <c r="P1095" s="526"/>
      <c r="Q1095" s="525">
        <v>0</v>
      </c>
      <c r="R1095" s="525">
        <v>1725.3</v>
      </c>
      <c r="S1095" s="527">
        <f t="shared" si="142"/>
        <v>1673.67</v>
      </c>
      <c r="T1095" s="528">
        <f t="shared" si="143"/>
        <v>0</v>
      </c>
      <c r="U1095" s="527">
        <f t="shared" si="144"/>
        <v>53.93</v>
      </c>
      <c r="W1095" s="326">
        <f t="shared" si="141"/>
        <v>1725.3000000000002</v>
      </c>
      <c r="X1095" s="261">
        <f t="shared" si="145"/>
        <v>0</v>
      </c>
      <c r="Z1095" s="1016">
        <f t="shared" si="146"/>
        <v>1673.67</v>
      </c>
    </row>
    <row r="1096" spans="1:26" ht="12" hidden="1" thickBot="1">
      <c r="A1096" s="588" t="s">
        <v>1429</v>
      </c>
      <c r="B1096" s="522" t="s">
        <v>327</v>
      </c>
      <c r="C1096" s="522" t="s">
        <v>997</v>
      </c>
      <c r="D1096" s="533" t="s">
        <v>1036</v>
      </c>
      <c r="E1096" s="530">
        <v>35114</v>
      </c>
      <c r="F1096" s="532"/>
      <c r="G1096" s="531">
        <v>6052.08</v>
      </c>
      <c r="H1096" s="532"/>
      <c r="I1096" s="532"/>
      <c r="J1096" s="532"/>
      <c r="K1096" s="532"/>
      <c r="L1096" s="532"/>
      <c r="M1096" s="531">
        <v>89.62</v>
      </c>
      <c r="N1096" s="531">
        <v>204.5</v>
      </c>
      <c r="O1096" s="532"/>
      <c r="P1096" s="532"/>
      <c r="Q1096" s="531">
        <v>0</v>
      </c>
      <c r="R1096" s="531">
        <v>6346.2</v>
      </c>
      <c r="S1096" s="527">
        <f t="shared" si="142"/>
        <v>6052.08</v>
      </c>
      <c r="T1096" s="528">
        <f t="shared" si="143"/>
        <v>0</v>
      </c>
      <c r="U1096" s="527">
        <f t="shared" si="144"/>
        <v>204.5</v>
      </c>
      <c r="W1096" s="326">
        <f t="shared" ref="W1096:W1139" si="147">SUM(F1096:Q1096)</f>
        <v>6346.2</v>
      </c>
      <c r="X1096" s="261">
        <f t="shared" si="145"/>
        <v>0</v>
      </c>
      <c r="Z1096" s="1016">
        <f t="shared" si="146"/>
        <v>6052.08</v>
      </c>
    </row>
    <row r="1097" spans="1:26" ht="12" hidden="1" thickBot="1">
      <c r="A1097" s="588" t="s">
        <v>1429</v>
      </c>
      <c r="B1097" s="522" t="s">
        <v>357</v>
      </c>
      <c r="C1097" s="522" t="s">
        <v>998</v>
      </c>
      <c r="D1097" s="533" t="s">
        <v>1036</v>
      </c>
      <c r="E1097" s="524">
        <v>176567</v>
      </c>
      <c r="F1097" s="526"/>
      <c r="G1097" s="525">
        <v>21943.360000000001</v>
      </c>
      <c r="H1097" s="526"/>
      <c r="I1097" s="526"/>
      <c r="J1097" s="526"/>
      <c r="K1097" s="526"/>
      <c r="L1097" s="526"/>
      <c r="M1097" s="525">
        <v>264.06</v>
      </c>
      <c r="N1097" s="525">
        <v>731.01</v>
      </c>
      <c r="O1097" s="526"/>
      <c r="P1097" s="526"/>
      <c r="Q1097" s="525">
        <v>0</v>
      </c>
      <c r="R1097" s="525">
        <v>22938.43</v>
      </c>
      <c r="S1097" s="527">
        <f t="shared" si="142"/>
        <v>21943.360000000001</v>
      </c>
      <c r="T1097" s="528">
        <f t="shared" si="143"/>
        <v>0</v>
      </c>
      <c r="U1097" s="527">
        <f t="shared" si="144"/>
        <v>731.01</v>
      </c>
      <c r="W1097" s="326">
        <f t="shared" si="147"/>
        <v>22938.43</v>
      </c>
      <c r="X1097" s="261">
        <f t="shared" si="145"/>
        <v>0</v>
      </c>
      <c r="Z1097" s="1016">
        <f t="shared" si="146"/>
        <v>21943.360000000001</v>
      </c>
    </row>
    <row r="1098" spans="1:26" ht="12" hidden="1" thickBot="1">
      <c r="A1098" s="588" t="s">
        <v>1429</v>
      </c>
      <c r="B1098" s="522" t="s">
        <v>331</v>
      </c>
      <c r="C1098" s="522" t="s">
        <v>999</v>
      </c>
      <c r="D1098" s="533" t="s">
        <v>1036</v>
      </c>
      <c r="E1098" s="530">
        <v>64875</v>
      </c>
      <c r="F1098" s="532"/>
      <c r="G1098" s="531">
        <v>10334.39</v>
      </c>
      <c r="H1098" s="532"/>
      <c r="I1098" s="532"/>
      <c r="J1098" s="532"/>
      <c r="K1098" s="532"/>
      <c r="L1098" s="532"/>
      <c r="M1098" s="531">
        <v>-48.27</v>
      </c>
      <c r="N1098" s="531">
        <v>330.84</v>
      </c>
      <c r="O1098" s="532"/>
      <c r="P1098" s="532"/>
      <c r="Q1098" s="531">
        <v>0</v>
      </c>
      <c r="R1098" s="531">
        <v>10616.96</v>
      </c>
      <c r="S1098" s="527">
        <f t="shared" si="142"/>
        <v>10334.39</v>
      </c>
      <c r="T1098" s="528">
        <f t="shared" si="143"/>
        <v>0</v>
      </c>
      <c r="U1098" s="527">
        <f t="shared" si="144"/>
        <v>330.84</v>
      </c>
      <c r="W1098" s="326">
        <f t="shared" si="147"/>
        <v>10616.96</v>
      </c>
      <c r="X1098" s="261">
        <f t="shared" si="145"/>
        <v>0</v>
      </c>
      <c r="Z1098" s="1016">
        <f t="shared" si="146"/>
        <v>10334.39</v>
      </c>
    </row>
    <row r="1099" spans="1:26" ht="12" hidden="1" thickBot="1">
      <c r="A1099" s="588" t="s">
        <v>1429</v>
      </c>
      <c r="B1099" s="522" t="s">
        <v>335</v>
      </c>
      <c r="C1099" s="522" t="s">
        <v>1000</v>
      </c>
      <c r="D1099" s="533" t="s">
        <v>1036</v>
      </c>
      <c r="E1099" s="524">
        <v>952</v>
      </c>
      <c r="F1099" s="526"/>
      <c r="G1099" s="525">
        <v>644.11</v>
      </c>
      <c r="H1099" s="526"/>
      <c r="I1099" s="526"/>
      <c r="J1099" s="526"/>
      <c r="K1099" s="526"/>
      <c r="L1099" s="526"/>
      <c r="M1099" s="525">
        <v>0.71</v>
      </c>
      <c r="N1099" s="525">
        <v>21.06</v>
      </c>
      <c r="O1099" s="526"/>
      <c r="P1099" s="526"/>
      <c r="Q1099" s="525">
        <v>0</v>
      </c>
      <c r="R1099" s="525">
        <v>665.88</v>
      </c>
      <c r="S1099" s="527">
        <f t="shared" si="142"/>
        <v>644.11</v>
      </c>
      <c r="T1099" s="528">
        <f t="shared" si="143"/>
        <v>0</v>
      </c>
      <c r="U1099" s="527">
        <f t="shared" si="144"/>
        <v>21.06</v>
      </c>
      <c r="W1099" s="326">
        <f t="shared" si="147"/>
        <v>665.88</v>
      </c>
      <c r="X1099" s="261">
        <f t="shared" si="145"/>
        <v>0</v>
      </c>
      <c r="Z1099" s="1016">
        <f t="shared" si="146"/>
        <v>644.11</v>
      </c>
    </row>
    <row r="1100" spans="1:26" ht="12" hidden="1" thickBot="1">
      <c r="A1100" s="588" t="s">
        <v>1429</v>
      </c>
      <c r="B1100" s="522" t="s">
        <v>372</v>
      </c>
      <c r="C1100" s="522" t="s">
        <v>1001</v>
      </c>
      <c r="D1100" s="533" t="s">
        <v>1036</v>
      </c>
      <c r="E1100" s="530">
        <v>113920</v>
      </c>
      <c r="F1100" s="532"/>
      <c r="G1100" s="531">
        <v>52199.89</v>
      </c>
      <c r="H1100" s="532"/>
      <c r="I1100" s="532"/>
      <c r="J1100" s="532"/>
      <c r="K1100" s="532"/>
      <c r="L1100" s="532"/>
      <c r="M1100" s="531">
        <v>13.17</v>
      </c>
      <c r="N1100" s="531">
        <v>1693.01</v>
      </c>
      <c r="O1100" s="532"/>
      <c r="P1100" s="532"/>
      <c r="Q1100" s="531">
        <v>0</v>
      </c>
      <c r="R1100" s="531">
        <v>53906.07</v>
      </c>
      <c r="S1100" s="527">
        <f t="shared" si="142"/>
        <v>52199.89</v>
      </c>
      <c r="T1100" s="528">
        <f t="shared" si="143"/>
        <v>0</v>
      </c>
      <c r="U1100" s="527">
        <f t="shared" si="144"/>
        <v>1693.01</v>
      </c>
      <c r="W1100" s="326">
        <f t="shared" si="147"/>
        <v>53906.07</v>
      </c>
      <c r="X1100" s="261">
        <f t="shared" si="145"/>
        <v>0</v>
      </c>
      <c r="Z1100" s="1016">
        <f t="shared" si="146"/>
        <v>52199.89</v>
      </c>
    </row>
    <row r="1101" spans="1:26" ht="12" hidden="1" thickBot="1">
      <c r="A1101" s="588" t="s">
        <v>1429</v>
      </c>
      <c r="B1101" s="522" t="s">
        <v>381</v>
      </c>
      <c r="C1101" s="522" t="s">
        <v>1002</v>
      </c>
      <c r="D1101" s="533" t="s">
        <v>1035</v>
      </c>
      <c r="E1101" s="524">
        <v>195970</v>
      </c>
      <c r="F1101" s="526"/>
      <c r="G1101" s="525">
        <v>76303.259999999995</v>
      </c>
      <c r="H1101" s="526"/>
      <c r="I1101" s="526"/>
      <c r="J1101" s="526"/>
      <c r="K1101" s="526"/>
      <c r="L1101" s="526"/>
      <c r="M1101" s="525">
        <v>133.13999999999999</v>
      </c>
      <c r="N1101" s="525">
        <v>2493.4899999999998</v>
      </c>
      <c r="O1101" s="526"/>
      <c r="P1101" s="526"/>
      <c r="Q1101" s="525">
        <v>0</v>
      </c>
      <c r="R1101" s="525">
        <v>78929.89</v>
      </c>
      <c r="S1101" s="527">
        <f t="shared" si="142"/>
        <v>76303.259999999995</v>
      </c>
      <c r="T1101" s="528">
        <f t="shared" si="143"/>
        <v>0</v>
      </c>
      <c r="U1101" s="527">
        <f t="shared" si="144"/>
        <v>2493.4899999999998</v>
      </c>
      <c r="W1101" s="326">
        <f t="shared" si="147"/>
        <v>78929.89</v>
      </c>
      <c r="X1101" s="261">
        <f t="shared" si="145"/>
        <v>0</v>
      </c>
      <c r="Z1101" s="1016">
        <f t="shared" si="146"/>
        <v>76303.259999999995</v>
      </c>
    </row>
    <row r="1102" spans="1:26" ht="12" hidden="1" thickBot="1">
      <c r="A1102" s="588" t="s">
        <v>1429</v>
      </c>
      <c r="B1102" s="522" t="s">
        <v>404</v>
      </c>
      <c r="C1102" s="522" t="s">
        <v>1003</v>
      </c>
      <c r="D1102" s="533" t="s">
        <v>1035</v>
      </c>
      <c r="E1102" s="530">
        <v>658361</v>
      </c>
      <c r="F1102" s="532"/>
      <c r="G1102" s="531">
        <v>189899.72</v>
      </c>
      <c r="H1102" s="532"/>
      <c r="I1102" s="532"/>
      <c r="J1102" s="532"/>
      <c r="K1102" s="532"/>
      <c r="L1102" s="532"/>
      <c r="M1102" s="531">
        <v>-71.91</v>
      </c>
      <c r="N1102" s="531">
        <v>6139.36</v>
      </c>
      <c r="O1102" s="532"/>
      <c r="P1102" s="532"/>
      <c r="Q1102" s="531">
        <v>0</v>
      </c>
      <c r="R1102" s="531">
        <v>195967.17</v>
      </c>
      <c r="S1102" s="527">
        <f t="shared" si="142"/>
        <v>189899.72</v>
      </c>
      <c r="T1102" s="528">
        <f t="shared" si="143"/>
        <v>0</v>
      </c>
      <c r="U1102" s="527">
        <f t="shared" si="144"/>
        <v>6139.36</v>
      </c>
      <c r="W1102" s="326">
        <f t="shared" si="147"/>
        <v>195967.16999999998</v>
      </c>
      <c r="X1102" s="261">
        <f t="shared" si="145"/>
        <v>0</v>
      </c>
      <c r="Z1102" s="1016">
        <f t="shared" si="146"/>
        <v>189899.72</v>
      </c>
    </row>
    <row r="1103" spans="1:26" ht="12" hidden="1" thickBot="1">
      <c r="A1103" s="588" t="s">
        <v>1429</v>
      </c>
      <c r="B1103" s="522" t="s">
        <v>361</v>
      </c>
      <c r="C1103" s="522" t="s">
        <v>1004</v>
      </c>
      <c r="D1103" s="533" t="s">
        <v>1035</v>
      </c>
      <c r="E1103" s="524">
        <v>495786</v>
      </c>
      <c r="F1103" s="526"/>
      <c r="G1103" s="525">
        <v>108743.17</v>
      </c>
      <c r="H1103" s="526"/>
      <c r="I1103" s="526"/>
      <c r="J1103" s="526"/>
      <c r="K1103" s="526"/>
      <c r="L1103" s="526"/>
      <c r="M1103" s="525">
        <v>-45.3</v>
      </c>
      <c r="N1103" s="525">
        <v>3519.72</v>
      </c>
      <c r="O1103" s="526"/>
      <c r="P1103" s="526"/>
      <c r="Q1103" s="525">
        <v>0</v>
      </c>
      <c r="R1103" s="525">
        <v>112217.59</v>
      </c>
      <c r="S1103" s="527">
        <f t="shared" si="142"/>
        <v>108743.17</v>
      </c>
      <c r="T1103" s="528">
        <f t="shared" si="143"/>
        <v>0</v>
      </c>
      <c r="U1103" s="527">
        <f t="shared" si="144"/>
        <v>3519.72</v>
      </c>
      <c r="W1103" s="326">
        <f t="shared" si="147"/>
        <v>112217.59</v>
      </c>
      <c r="X1103" s="261">
        <f t="shared" si="145"/>
        <v>0</v>
      </c>
      <c r="Z1103" s="1016">
        <f t="shared" si="146"/>
        <v>108743.17</v>
      </c>
    </row>
    <row r="1104" spans="1:26" ht="12" hidden="1" thickBot="1">
      <c r="A1104" s="588" t="s">
        <v>1429</v>
      </c>
      <c r="B1104" s="522" t="s">
        <v>393</v>
      </c>
      <c r="C1104" s="522" t="s">
        <v>1005</v>
      </c>
      <c r="D1104" s="533" t="s">
        <v>1035</v>
      </c>
      <c r="E1104" s="530">
        <v>355398</v>
      </c>
      <c r="F1104" s="532"/>
      <c r="G1104" s="531">
        <v>63866.74</v>
      </c>
      <c r="H1104" s="532"/>
      <c r="I1104" s="532"/>
      <c r="J1104" s="532"/>
      <c r="K1104" s="532"/>
      <c r="L1104" s="532"/>
      <c r="M1104" s="531">
        <v>-130.77000000000001</v>
      </c>
      <c r="N1104" s="531">
        <v>2055.27</v>
      </c>
      <c r="O1104" s="532"/>
      <c r="P1104" s="532"/>
      <c r="Q1104" s="531">
        <v>0</v>
      </c>
      <c r="R1104" s="531">
        <v>65791.240000000005</v>
      </c>
      <c r="S1104" s="527">
        <f t="shared" si="142"/>
        <v>63866.74</v>
      </c>
      <c r="T1104" s="528">
        <f t="shared" si="143"/>
        <v>0</v>
      </c>
      <c r="U1104" s="527">
        <f t="shared" si="144"/>
        <v>2055.27</v>
      </c>
      <c r="W1104" s="326">
        <f t="shared" si="147"/>
        <v>65791.240000000005</v>
      </c>
      <c r="X1104" s="261">
        <f t="shared" si="145"/>
        <v>0</v>
      </c>
      <c r="Z1104" s="1016">
        <f t="shared" si="146"/>
        <v>63866.74</v>
      </c>
    </row>
    <row r="1105" spans="1:26" ht="12" hidden="1" thickBot="1">
      <c r="A1105" s="588" t="s">
        <v>1429</v>
      </c>
      <c r="B1105" s="522" t="s">
        <v>1356</v>
      </c>
      <c r="C1105" s="522" t="s">
        <v>1357</v>
      </c>
      <c r="D1105" s="533" t="s">
        <v>756</v>
      </c>
      <c r="E1105" s="524">
        <v>393</v>
      </c>
      <c r="F1105" s="526"/>
      <c r="G1105" s="526"/>
      <c r="H1105" s="526"/>
      <c r="I1105" s="526"/>
      <c r="J1105" s="526"/>
      <c r="K1105" s="526"/>
      <c r="L1105" s="526"/>
      <c r="M1105" s="526"/>
      <c r="N1105" s="526"/>
      <c r="O1105" s="526"/>
      <c r="P1105" s="526"/>
      <c r="Q1105" s="526"/>
      <c r="R1105" s="526"/>
      <c r="S1105" s="527">
        <f t="shared" si="142"/>
        <v>0</v>
      </c>
      <c r="T1105" s="528">
        <f t="shared" si="143"/>
        <v>0</v>
      </c>
      <c r="U1105" s="527">
        <f t="shared" si="144"/>
        <v>0</v>
      </c>
      <c r="W1105" s="326">
        <f t="shared" si="147"/>
        <v>0</v>
      </c>
      <c r="X1105" s="261">
        <f t="shared" si="145"/>
        <v>0</v>
      </c>
      <c r="Z1105" s="1016">
        <f t="shared" si="146"/>
        <v>0</v>
      </c>
    </row>
    <row r="1106" spans="1:26" ht="12" hidden="1" thickBot="1">
      <c r="A1106" s="588" t="s">
        <v>1429</v>
      </c>
      <c r="B1106" s="522" t="s">
        <v>379</v>
      </c>
      <c r="C1106" s="522" t="s">
        <v>1006</v>
      </c>
      <c r="D1106" s="533" t="s">
        <v>1036</v>
      </c>
      <c r="E1106" s="530">
        <v>13841</v>
      </c>
      <c r="F1106" s="532"/>
      <c r="G1106" s="531">
        <v>8234.7199999999993</v>
      </c>
      <c r="H1106" s="532"/>
      <c r="I1106" s="532"/>
      <c r="J1106" s="532"/>
      <c r="K1106" s="532"/>
      <c r="L1106" s="532"/>
      <c r="M1106" s="531">
        <v>-7.43</v>
      </c>
      <c r="N1106" s="531">
        <v>264.82</v>
      </c>
      <c r="O1106" s="532"/>
      <c r="P1106" s="532"/>
      <c r="Q1106" s="531">
        <v>0</v>
      </c>
      <c r="R1106" s="531">
        <v>8492.11</v>
      </c>
      <c r="S1106" s="527">
        <f t="shared" si="142"/>
        <v>8234.7199999999993</v>
      </c>
      <c r="T1106" s="528">
        <f t="shared" si="143"/>
        <v>0</v>
      </c>
      <c r="U1106" s="527">
        <f t="shared" si="144"/>
        <v>264.82</v>
      </c>
      <c r="W1106" s="326">
        <f t="shared" si="147"/>
        <v>8492.1099999999988</v>
      </c>
      <c r="X1106" s="261">
        <f t="shared" si="145"/>
        <v>0</v>
      </c>
      <c r="Z1106" s="1016">
        <f t="shared" si="146"/>
        <v>8234.7199999999993</v>
      </c>
    </row>
    <row r="1107" spans="1:26" ht="12" hidden="1" thickBot="1">
      <c r="A1107" s="588" t="s">
        <v>1429</v>
      </c>
      <c r="B1107" s="522" t="s">
        <v>389</v>
      </c>
      <c r="C1107" s="522" t="s">
        <v>1007</v>
      </c>
      <c r="D1107" s="533" t="s">
        <v>1035</v>
      </c>
      <c r="E1107" s="524">
        <v>30487</v>
      </c>
      <c r="F1107" s="526"/>
      <c r="G1107" s="525">
        <v>14696.7</v>
      </c>
      <c r="H1107" s="526"/>
      <c r="I1107" s="526"/>
      <c r="J1107" s="526"/>
      <c r="K1107" s="526"/>
      <c r="L1107" s="526"/>
      <c r="M1107" s="525">
        <v>-6.67</v>
      </c>
      <c r="N1107" s="525">
        <v>474.46</v>
      </c>
      <c r="O1107" s="526"/>
      <c r="P1107" s="526"/>
      <c r="Q1107" s="525">
        <v>0</v>
      </c>
      <c r="R1107" s="525">
        <v>15164.49</v>
      </c>
      <c r="S1107" s="527">
        <f t="shared" si="142"/>
        <v>14696.7</v>
      </c>
      <c r="T1107" s="528">
        <f t="shared" si="143"/>
        <v>0</v>
      </c>
      <c r="U1107" s="527">
        <f t="shared" si="144"/>
        <v>474.46</v>
      </c>
      <c r="W1107" s="326">
        <f t="shared" si="147"/>
        <v>15164.49</v>
      </c>
      <c r="X1107" s="261">
        <f t="shared" si="145"/>
        <v>0</v>
      </c>
      <c r="Z1107" s="1016">
        <f t="shared" si="146"/>
        <v>14696.7</v>
      </c>
    </row>
    <row r="1108" spans="1:26" ht="12" hidden="1" thickBot="1">
      <c r="A1108" s="588" t="s">
        <v>1429</v>
      </c>
      <c r="B1108" s="522" t="s">
        <v>412</v>
      </c>
      <c r="C1108" s="522" t="s">
        <v>1008</v>
      </c>
      <c r="D1108" s="533" t="s">
        <v>1035</v>
      </c>
      <c r="E1108" s="530">
        <v>126666</v>
      </c>
      <c r="F1108" s="532"/>
      <c r="G1108" s="531">
        <v>45062.55</v>
      </c>
      <c r="H1108" s="532"/>
      <c r="I1108" s="532"/>
      <c r="J1108" s="532"/>
      <c r="K1108" s="532"/>
      <c r="L1108" s="532"/>
      <c r="M1108" s="531">
        <v>-75.72</v>
      </c>
      <c r="N1108" s="531">
        <v>1446.8</v>
      </c>
      <c r="O1108" s="532"/>
      <c r="P1108" s="532"/>
      <c r="Q1108" s="531">
        <v>0</v>
      </c>
      <c r="R1108" s="531">
        <v>46433.63</v>
      </c>
      <c r="S1108" s="527">
        <f t="shared" si="142"/>
        <v>45062.55</v>
      </c>
      <c r="T1108" s="528">
        <f t="shared" si="143"/>
        <v>0</v>
      </c>
      <c r="U1108" s="527">
        <f t="shared" si="144"/>
        <v>1446.8</v>
      </c>
      <c r="W1108" s="326">
        <f t="shared" si="147"/>
        <v>46433.630000000005</v>
      </c>
      <c r="X1108" s="261">
        <f t="shared" si="145"/>
        <v>0</v>
      </c>
      <c r="Z1108" s="1016">
        <f t="shared" si="146"/>
        <v>45062.55</v>
      </c>
    </row>
    <row r="1109" spans="1:26" ht="12" hidden="1" thickBot="1">
      <c r="A1109" s="588" t="s">
        <v>1429</v>
      </c>
      <c r="B1109" s="522" t="s">
        <v>367</v>
      </c>
      <c r="C1109" s="522" t="s">
        <v>1009</v>
      </c>
      <c r="D1109" s="533" t="s">
        <v>1036</v>
      </c>
      <c r="E1109" s="524">
        <v>27556</v>
      </c>
      <c r="F1109" s="526"/>
      <c r="G1109" s="525">
        <v>9665.2099999999991</v>
      </c>
      <c r="H1109" s="526"/>
      <c r="I1109" s="526"/>
      <c r="J1109" s="526"/>
      <c r="K1109" s="526"/>
      <c r="L1109" s="526"/>
      <c r="M1109" s="525">
        <v>-17.21</v>
      </c>
      <c r="N1109" s="525">
        <v>310.19</v>
      </c>
      <c r="O1109" s="526"/>
      <c r="P1109" s="526"/>
      <c r="Q1109" s="525">
        <v>0</v>
      </c>
      <c r="R1109" s="525">
        <v>9958.19</v>
      </c>
      <c r="S1109" s="527">
        <f t="shared" si="142"/>
        <v>9665.2099999999991</v>
      </c>
      <c r="T1109" s="528">
        <f t="shared" si="143"/>
        <v>0</v>
      </c>
      <c r="U1109" s="527">
        <f t="shared" si="144"/>
        <v>310.19</v>
      </c>
      <c r="W1109" s="326">
        <f t="shared" si="147"/>
        <v>9958.19</v>
      </c>
      <c r="X1109" s="261">
        <f t="shared" si="145"/>
        <v>0</v>
      </c>
      <c r="Z1109" s="1016">
        <f t="shared" si="146"/>
        <v>9665.2099999999991</v>
      </c>
    </row>
    <row r="1110" spans="1:26" ht="12" hidden="1" thickBot="1">
      <c r="A1110" s="588" t="s">
        <v>1429</v>
      </c>
      <c r="B1110" s="522" t="s">
        <v>330</v>
      </c>
      <c r="C1110" s="522" t="s">
        <v>1010</v>
      </c>
      <c r="D1110" s="533" t="s">
        <v>1036</v>
      </c>
      <c r="E1110" s="530">
        <v>17715</v>
      </c>
      <c r="F1110" s="532"/>
      <c r="G1110" s="531">
        <v>3370.25</v>
      </c>
      <c r="H1110" s="532"/>
      <c r="I1110" s="532"/>
      <c r="J1110" s="532"/>
      <c r="K1110" s="532"/>
      <c r="L1110" s="532"/>
      <c r="M1110" s="531">
        <v>-13.62</v>
      </c>
      <c r="N1110" s="531">
        <v>107.76</v>
      </c>
      <c r="O1110" s="532"/>
      <c r="P1110" s="532"/>
      <c r="Q1110" s="531">
        <v>0</v>
      </c>
      <c r="R1110" s="531">
        <v>3464.39</v>
      </c>
      <c r="S1110" s="527">
        <f t="shared" si="142"/>
        <v>3370.25</v>
      </c>
      <c r="T1110" s="528">
        <f t="shared" si="143"/>
        <v>0</v>
      </c>
      <c r="U1110" s="527">
        <f t="shared" si="144"/>
        <v>107.76</v>
      </c>
      <c r="W1110" s="326">
        <f t="shared" si="147"/>
        <v>3464.3900000000003</v>
      </c>
      <c r="X1110" s="261">
        <f t="shared" si="145"/>
        <v>0</v>
      </c>
      <c r="Z1110" s="1016">
        <f t="shared" si="146"/>
        <v>3370.25</v>
      </c>
    </row>
    <row r="1111" spans="1:26" ht="12" hidden="1" thickBot="1">
      <c r="A1111" s="588" t="s">
        <v>1429</v>
      </c>
      <c r="B1111" s="522" t="s">
        <v>371</v>
      </c>
      <c r="C1111" s="522" t="s">
        <v>1011</v>
      </c>
      <c r="D1111" s="533" t="s">
        <v>1036</v>
      </c>
      <c r="E1111" s="524">
        <v>57824</v>
      </c>
      <c r="F1111" s="526"/>
      <c r="G1111" s="525">
        <v>38456.339999999997</v>
      </c>
      <c r="H1111" s="526"/>
      <c r="I1111" s="526"/>
      <c r="J1111" s="526"/>
      <c r="K1111" s="526"/>
      <c r="L1111" s="526"/>
      <c r="M1111" s="525">
        <v>147.76</v>
      </c>
      <c r="N1111" s="525">
        <v>1285.45</v>
      </c>
      <c r="O1111" s="526"/>
      <c r="P1111" s="526"/>
      <c r="Q1111" s="525">
        <v>0</v>
      </c>
      <c r="R1111" s="525">
        <v>39889.550000000003</v>
      </c>
      <c r="S1111" s="527">
        <f t="shared" si="142"/>
        <v>38456.339999999997</v>
      </c>
      <c r="T1111" s="528">
        <f t="shared" si="143"/>
        <v>0</v>
      </c>
      <c r="U1111" s="527">
        <f t="shared" si="144"/>
        <v>1285.45</v>
      </c>
      <c r="W1111" s="326">
        <f t="shared" si="147"/>
        <v>39889.549999999996</v>
      </c>
      <c r="X1111" s="261">
        <f t="shared" si="145"/>
        <v>0</v>
      </c>
      <c r="Z1111" s="1016">
        <f t="shared" si="146"/>
        <v>38456.339999999997</v>
      </c>
    </row>
    <row r="1112" spans="1:26" ht="12" hidden="1" thickBot="1">
      <c r="A1112" s="588" t="s">
        <v>1429</v>
      </c>
      <c r="B1112" s="522" t="s">
        <v>380</v>
      </c>
      <c r="C1112" s="522" t="s">
        <v>1012</v>
      </c>
      <c r="D1112" s="533" t="s">
        <v>1035</v>
      </c>
      <c r="E1112" s="530">
        <v>191984</v>
      </c>
      <c r="F1112" s="532"/>
      <c r="G1112" s="531">
        <v>102098.17</v>
      </c>
      <c r="H1112" s="532"/>
      <c r="I1112" s="532"/>
      <c r="J1112" s="532"/>
      <c r="K1112" s="532"/>
      <c r="L1112" s="532"/>
      <c r="M1112" s="531">
        <v>485.02</v>
      </c>
      <c r="N1112" s="531">
        <v>3414.8</v>
      </c>
      <c r="O1112" s="532"/>
      <c r="P1112" s="532"/>
      <c r="Q1112" s="531">
        <v>0</v>
      </c>
      <c r="R1112" s="531">
        <v>105997.99</v>
      </c>
      <c r="S1112" s="527">
        <f t="shared" si="142"/>
        <v>102098.17</v>
      </c>
      <c r="T1112" s="528">
        <f t="shared" si="143"/>
        <v>0</v>
      </c>
      <c r="U1112" s="527">
        <f t="shared" si="144"/>
        <v>3414.8</v>
      </c>
      <c r="W1112" s="326">
        <f t="shared" si="147"/>
        <v>105997.99</v>
      </c>
      <c r="X1112" s="261">
        <f t="shared" si="145"/>
        <v>0</v>
      </c>
      <c r="Z1112" s="1016">
        <f t="shared" si="146"/>
        <v>102098.17</v>
      </c>
    </row>
    <row r="1113" spans="1:26" ht="12" hidden="1" thickBot="1">
      <c r="A1113" s="588" t="s">
        <v>1429</v>
      </c>
      <c r="B1113" s="522" t="s">
        <v>403</v>
      </c>
      <c r="C1113" s="522" t="s">
        <v>1013</v>
      </c>
      <c r="D1113" s="533" t="s">
        <v>1035</v>
      </c>
      <c r="E1113" s="524">
        <v>105591</v>
      </c>
      <c r="F1113" s="526"/>
      <c r="G1113" s="525">
        <v>41512.5</v>
      </c>
      <c r="H1113" s="526"/>
      <c r="I1113" s="526"/>
      <c r="J1113" s="526"/>
      <c r="K1113" s="526"/>
      <c r="L1113" s="526"/>
      <c r="M1113" s="525">
        <v>128.08000000000001</v>
      </c>
      <c r="N1113" s="525">
        <v>1366.88</v>
      </c>
      <c r="O1113" s="526"/>
      <c r="P1113" s="526"/>
      <c r="Q1113" s="525">
        <v>0</v>
      </c>
      <c r="R1113" s="525">
        <v>43007.46</v>
      </c>
      <c r="S1113" s="527">
        <f t="shared" si="142"/>
        <v>41512.5</v>
      </c>
      <c r="T1113" s="528">
        <f t="shared" si="143"/>
        <v>0</v>
      </c>
      <c r="U1113" s="527">
        <f t="shared" si="144"/>
        <v>1366.88</v>
      </c>
      <c r="W1113" s="326">
        <f t="shared" si="147"/>
        <v>43007.46</v>
      </c>
      <c r="X1113" s="261">
        <f t="shared" si="145"/>
        <v>0</v>
      </c>
      <c r="Z1113" s="1016">
        <f t="shared" si="146"/>
        <v>41512.5</v>
      </c>
    </row>
    <row r="1114" spans="1:26" ht="12" hidden="1" thickBot="1">
      <c r="A1114" s="588" t="s">
        <v>1429</v>
      </c>
      <c r="B1114" s="522" t="s">
        <v>360</v>
      </c>
      <c r="C1114" s="522" t="s">
        <v>1014</v>
      </c>
      <c r="D1114" s="533" t="s">
        <v>1035</v>
      </c>
      <c r="E1114" s="530">
        <v>332928</v>
      </c>
      <c r="F1114" s="532"/>
      <c r="G1114" s="531">
        <v>90202.37</v>
      </c>
      <c r="H1114" s="532"/>
      <c r="I1114" s="532"/>
      <c r="J1114" s="532"/>
      <c r="K1114" s="532"/>
      <c r="L1114" s="532"/>
      <c r="M1114" s="531">
        <v>404.09</v>
      </c>
      <c r="N1114" s="531">
        <v>2974.09</v>
      </c>
      <c r="O1114" s="532"/>
      <c r="P1114" s="532"/>
      <c r="Q1114" s="531">
        <v>0</v>
      </c>
      <c r="R1114" s="531">
        <v>93580.55</v>
      </c>
      <c r="S1114" s="527">
        <f t="shared" si="142"/>
        <v>90202.37</v>
      </c>
      <c r="T1114" s="528">
        <f t="shared" si="143"/>
        <v>0</v>
      </c>
      <c r="U1114" s="527">
        <f t="shared" si="144"/>
        <v>2974.09</v>
      </c>
      <c r="W1114" s="326">
        <f t="shared" si="147"/>
        <v>93580.549999999988</v>
      </c>
      <c r="X1114" s="261">
        <f t="shared" si="145"/>
        <v>0</v>
      </c>
      <c r="Z1114" s="1016">
        <f t="shared" si="146"/>
        <v>90202.37</v>
      </c>
    </row>
    <row r="1115" spans="1:26" ht="12" hidden="1" thickBot="1">
      <c r="A1115" s="588" t="s">
        <v>1429</v>
      </c>
      <c r="B1115" s="522" t="s">
        <v>392</v>
      </c>
      <c r="C1115" s="522" t="s">
        <v>1015</v>
      </c>
      <c r="D1115" s="533" t="s">
        <v>1035</v>
      </c>
      <c r="E1115" s="524">
        <v>63945</v>
      </c>
      <c r="F1115" s="526"/>
      <c r="G1115" s="525">
        <v>12450.14</v>
      </c>
      <c r="H1115" s="526"/>
      <c r="I1115" s="526"/>
      <c r="J1115" s="526"/>
      <c r="K1115" s="526"/>
      <c r="L1115" s="526"/>
      <c r="M1115" s="525">
        <v>82.62</v>
      </c>
      <c r="N1115" s="525">
        <v>411.6</v>
      </c>
      <c r="O1115" s="526"/>
      <c r="P1115" s="526"/>
      <c r="Q1115" s="525">
        <v>0</v>
      </c>
      <c r="R1115" s="525">
        <v>12944.36</v>
      </c>
      <c r="S1115" s="527">
        <f t="shared" si="142"/>
        <v>12450.14</v>
      </c>
      <c r="T1115" s="528">
        <f t="shared" si="143"/>
        <v>0</v>
      </c>
      <c r="U1115" s="527">
        <f t="shared" si="144"/>
        <v>411.6</v>
      </c>
      <c r="W1115" s="326">
        <f t="shared" si="147"/>
        <v>12944.36</v>
      </c>
      <c r="X1115" s="261">
        <f t="shared" si="145"/>
        <v>0</v>
      </c>
      <c r="Z1115" s="1016">
        <f t="shared" si="146"/>
        <v>12450.14</v>
      </c>
    </row>
    <row r="1116" spans="1:26" ht="12" hidden="1" thickBot="1">
      <c r="A1116" s="588" t="s">
        <v>1429</v>
      </c>
      <c r="B1116" s="522" t="s">
        <v>390</v>
      </c>
      <c r="C1116" s="522" t="s">
        <v>1016</v>
      </c>
      <c r="D1116" s="533" t="s">
        <v>1035</v>
      </c>
      <c r="E1116" s="530">
        <v>100028</v>
      </c>
      <c r="F1116" s="532"/>
      <c r="G1116" s="531">
        <v>76992.78</v>
      </c>
      <c r="H1116" s="532"/>
      <c r="I1116" s="532"/>
      <c r="J1116" s="532"/>
      <c r="K1116" s="532"/>
      <c r="L1116" s="532"/>
      <c r="M1116" s="531">
        <v>254.58</v>
      </c>
      <c r="N1116" s="531">
        <v>2571.9299999999998</v>
      </c>
      <c r="O1116" s="532"/>
      <c r="P1116" s="532"/>
      <c r="Q1116" s="531">
        <v>0</v>
      </c>
      <c r="R1116" s="531">
        <v>79819.289999999994</v>
      </c>
      <c r="S1116" s="527">
        <f t="shared" si="142"/>
        <v>76992.78</v>
      </c>
      <c r="T1116" s="528">
        <f t="shared" si="143"/>
        <v>0</v>
      </c>
      <c r="U1116" s="527">
        <f t="shared" si="144"/>
        <v>2571.9299999999998</v>
      </c>
      <c r="W1116" s="326">
        <f t="shared" si="147"/>
        <v>79819.289999999994</v>
      </c>
      <c r="X1116" s="261">
        <f t="shared" si="145"/>
        <v>0</v>
      </c>
      <c r="Z1116" s="1016">
        <f t="shared" si="146"/>
        <v>76992.78</v>
      </c>
    </row>
    <row r="1117" spans="1:26" ht="12" hidden="1" thickBot="1">
      <c r="A1117" s="588" t="s">
        <v>1429</v>
      </c>
      <c r="B1117" s="522" t="s">
        <v>414</v>
      </c>
      <c r="C1117" s="522" t="s">
        <v>1017</v>
      </c>
      <c r="D1117" s="533" t="s">
        <v>1035</v>
      </c>
      <c r="E1117" s="524">
        <v>32965</v>
      </c>
      <c r="F1117" s="526"/>
      <c r="G1117" s="525">
        <v>22107.279999999999</v>
      </c>
      <c r="H1117" s="526"/>
      <c r="I1117" s="526"/>
      <c r="J1117" s="526"/>
      <c r="K1117" s="526"/>
      <c r="L1117" s="526"/>
      <c r="M1117" s="525">
        <v>30.54</v>
      </c>
      <c r="N1117" s="525">
        <v>724.33</v>
      </c>
      <c r="O1117" s="526"/>
      <c r="P1117" s="526"/>
      <c r="Q1117" s="525">
        <v>0</v>
      </c>
      <c r="R1117" s="525">
        <v>22862.15</v>
      </c>
      <c r="S1117" s="527">
        <f t="shared" si="142"/>
        <v>22107.279999999999</v>
      </c>
      <c r="T1117" s="528">
        <f t="shared" si="143"/>
        <v>0</v>
      </c>
      <c r="U1117" s="527">
        <f t="shared" si="144"/>
        <v>724.33</v>
      </c>
      <c r="W1117" s="326">
        <f t="shared" si="147"/>
        <v>22862.15</v>
      </c>
      <c r="X1117" s="261">
        <f t="shared" si="145"/>
        <v>0</v>
      </c>
      <c r="Z1117" s="1016">
        <f t="shared" si="146"/>
        <v>22107.279999999999</v>
      </c>
    </row>
    <row r="1118" spans="1:26" ht="12" hidden="1" thickBot="1">
      <c r="A1118" s="588" t="s">
        <v>1429</v>
      </c>
      <c r="B1118" s="522" t="s">
        <v>364</v>
      </c>
      <c r="C1118" s="522" t="s">
        <v>1018</v>
      </c>
      <c r="D1118" s="533" t="s">
        <v>1035</v>
      </c>
      <c r="E1118" s="530">
        <v>91132</v>
      </c>
      <c r="F1118" s="532"/>
      <c r="G1118" s="531">
        <v>37792.03</v>
      </c>
      <c r="H1118" s="532"/>
      <c r="I1118" s="532"/>
      <c r="J1118" s="532"/>
      <c r="K1118" s="532"/>
      <c r="L1118" s="532"/>
      <c r="M1118" s="531">
        <v>56.29</v>
      </c>
      <c r="N1118" s="531">
        <v>1234.1400000000001</v>
      </c>
      <c r="O1118" s="532"/>
      <c r="P1118" s="532"/>
      <c r="Q1118" s="531">
        <v>0</v>
      </c>
      <c r="R1118" s="531">
        <v>39082.46</v>
      </c>
      <c r="S1118" s="527">
        <f t="shared" si="142"/>
        <v>37792.03</v>
      </c>
      <c r="T1118" s="528">
        <f t="shared" si="143"/>
        <v>0</v>
      </c>
      <c r="U1118" s="527">
        <f t="shared" si="144"/>
        <v>1234.1400000000001</v>
      </c>
      <c r="W1118" s="326">
        <f t="shared" si="147"/>
        <v>39082.46</v>
      </c>
      <c r="X1118" s="261">
        <f t="shared" si="145"/>
        <v>0</v>
      </c>
      <c r="Z1118" s="1016">
        <f t="shared" si="146"/>
        <v>37792.03</v>
      </c>
    </row>
    <row r="1119" spans="1:26" ht="12" hidden="1" thickBot="1">
      <c r="A1119" s="588" t="s">
        <v>1429</v>
      </c>
      <c r="B1119" s="522" t="s">
        <v>396</v>
      </c>
      <c r="C1119" s="522" t="s">
        <v>1019</v>
      </c>
      <c r="D1119" s="533" t="s">
        <v>1035</v>
      </c>
      <c r="E1119" s="524">
        <v>120856</v>
      </c>
      <c r="F1119" s="526"/>
      <c r="G1119" s="525">
        <v>31428.23</v>
      </c>
      <c r="H1119" s="526"/>
      <c r="I1119" s="526"/>
      <c r="J1119" s="526"/>
      <c r="K1119" s="526"/>
      <c r="L1119" s="526"/>
      <c r="M1119" s="525">
        <v>-45.72</v>
      </c>
      <c r="N1119" s="525">
        <v>1011.95</v>
      </c>
      <c r="O1119" s="526"/>
      <c r="P1119" s="526"/>
      <c r="Q1119" s="525">
        <v>0</v>
      </c>
      <c r="R1119" s="525">
        <v>32394.46</v>
      </c>
      <c r="S1119" s="527">
        <f t="shared" si="142"/>
        <v>31428.23</v>
      </c>
      <c r="T1119" s="528">
        <f t="shared" si="143"/>
        <v>0</v>
      </c>
      <c r="U1119" s="527">
        <f t="shared" si="144"/>
        <v>1011.95</v>
      </c>
      <c r="W1119" s="326">
        <f t="shared" si="147"/>
        <v>32394.46</v>
      </c>
      <c r="X1119" s="261">
        <f t="shared" si="145"/>
        <v>0</v>
      </c>
      <c r="Z1119" s="1016">
        <f t="shared" si="146"/>
        <v>31428.23</v>
      </c>
    </row>
    <row r="1120" spans="1:26" ht="12" hidden="1" thickBot="1">
      <c r="A1120" s="588" t="s">
        <v>1429</v>
      </c>
      <c r="B1120" s="522" t="s">
        <v>415</v>
      </c>
      <c r="C1120" s="522" t="s">
        <v>1020</v>
      </c>
      <c r="D1120" s="533" t="s">
        <v>1035</v>
      </c>
      <c r="E1120" s="530">
        <v>350948</v>
      </c>
      <c r="F1120" s="532"/>
      <c r="G1120" s="531">
        <v>99611.26</v>
      </c>
      <c r="H1120" s="532"/>
      <c r="I1120" s="532"/>
      <c r="J1120" s="532"/>
      <c r="K1120" s="532"/>
      <c r="L1120" s="532"/>
      <c r="M1120" s="531">
        <v>-243.49</v>
      </c>
      <c r="N1120" s="531">
        <v>3208.16</v>
      </c>
      <c r="O1120" s="532"/>
      <c r="P1120" s="532"/>
      <c r="Q1120" s="531">
        <v>0</v>
      </c>
      <c r="R1120" s="531">
        <v>102575.93</v>
      </c>
      <c r="S1120" s="527">
        <f t="shared" si="142"/>
        <v>99611.26</v>
      </c>
      <c r="T1120" s="528">
        <f t="shared" si="143"/>
        <v>0</v>
      </c>
      <c r="U1120" s="527">
        <f t="shared" si="144"/>
        <v>3208.16</v>
      </c>
      <c r="W1120" s="326">
        <f t="shared" si="147"/>
        <v>102575.93</v>
      </c>
      <c r="X1120" s="261">
        <f t="shared" si="145"/>
        <v>0</v>
      </c>
      <c r="Z1120" s="1016">
        <f t="shared" si="146"/>
        <v>99611.26</v>
      </c>
    </row>
    <row r="1121" spans="1:26" ht="12" hidden="1" thickBot="1">
      <c r="A1121" s="588" t="s">
        <v>1429</v>
      </c>
      <c r="B1121" s="522" t="s">
        <v>365</v>
      </c>
      <c r="C1121" s="522" t="s">
        <v>1021</v>
      </c>
      <c r="D1121" s="533" t="s">
        <v>1035</v>
      </c>
      <c r="E1121" s="524">
        <v>432341</v>
      </c>
      <c r="F1121" s="526"/>
      <c r="G1121" s="525">
        <v>89836.29</v>
      </c>
      <c r="H1121" s="526"/>
      <c r="I1121" s="526"/>
      <c r="J1121" s="526"/>
      <c r="K1121" s="526"/>
      <c r="L1121" s="526"/>
      <c r="M1121" s="525">
        <v>-285.77999999999997</v>
      </c>
      <c r="N1121" s="525">
        <v>2887.93</v>
      </c>
      <c r="O1121" s="526"/>
      <c r="P1121" s="526"/>
      <c r="Q1121" s="525">
        <v>0</v>
      </c>
      <c r="R1121" s="525">
        <v>92438.44</v>
      </c>
      <c r="S1121" s="527">
        <f t="shared" si="142"/>
        <v>89836.29</v>
      </c>
      <c r="T1121" s="528">
        <f t="shared" si="143"/>
        <v>0</v>
      </c>
      <c r="U1121" s="527">
        <f t="shared" si="144"/>
        <v>2887.93</v>
      </c>
      <c r="W1121" s="326">
        <f t="shared" si="147"/>
        <v>92438.439999999988</v>
      </c>
      <c r="X1121" s="261">
        <f t="shared" si="145"/>
        <v>0</v>
      </c>
      <c r="Z1121" s="1016">
        <f t="shared" si="146"/>
        <v>89836.29</v>
      </c>
    </row>
    <row r="1122" spans="1:26" ht="12" hidden="1" thickBot="1">
      <c r="A1122" s="588" t="s">
        <v>1429</v>
      </c>
      <c r="B1122" s="522" t="s">
        <v>397</v>
      </c>
      <c r="C1122" s="522" t="s">
        <v>1022</v>
      </c>
      <c r="D1122" s="533" t="s">
        <v>1035</v>
      </c>
      <c r="E1122" s="530">
        <v>1062610</v>
      </c>
      <c r="F1122" s="532"/>
      <c r="G1122" s="531">
        <v>161978.04999999999</v>
      </c>
      <c r="H1122" s="532"/>
      <c r="I1122" s="532"/>
      <c r="J1122" s="532"/>
      <c r="K1122" s="532"/>
      <c r="L1122" s="532"/>
      <c r="M1122" s="531">
        <v>-632.91999999999996</v>
      </c>
      <c r="N1122" s="531">
        <v>5184.24</v>
      </c>
      <c r="O1122" s="532"/>
      <c r="P1122" s="532"/>
      <c r="Q1122" s="531">
        <v>0</v>
      </c>
      <c r="R1122" s="531">
        <v>166529.37</v>
      </c>
      <c r="S1122" s="527">
        <f t="shared" si="142"/>
        <v>161978.04999999999</v>
      </c>
      <c r="T1122" s="528">
        <f t="shared" si="143"/>
        <v>0</v>
      </c>
      <c r="U1122" s="527">
        <f t="shared" si="144"/>
        <v>5184.24</v>
      </c>
      <c r="W1122" s="326">
        <f t="shared" si="147"/>
        <v>166529.36999999997</v>
      </c>
      <c r="X1122" s="261">
        <f t="shared" si="145"/>
        <v>0</v>
      </c>
      <c r="Z1122" s="1016">
        <f t="shared" si="146"/>
        <v>161978.04999999999</v>
      </c>
    </row>
    <row r="1123" spans="1:26" ht="12" hidden="1" thickBot="1">
      <c r="A1123" s="588" t="s">
        <v>1429</v>
      </c>
      <c r="B1123" s="522" t="s">
        <v>337</v>
      </c>
      <c r="C1123" s="522" t="s">
        <v>1023</v>
      </c>
      <c r="D1123" s="533" t="s">
        <v>1035</v>
      </c>
      <c r="E1123" s="524">
        <v>2533</v>
      </c>
      <c r="F1123" s="526"/>
      <c r="G1123" s="525">
        <v>932.33</v>
      </c>
      <c r="H1123" s="526"/>
      <c r="I1123" s="526"/>
      <c r="J1123" s="526"/>
      <c r="K1123" s="526"/>
      <c r="L1123" s="526"/>
      <c r="M1123" s="525">
        <v>-1.8</v>
      </c>
      <c r="N1123" s="525">
        <v>29.89</v>
      </c>
      <c r="O1123" s="526"/>
      <c r="P1123" s="526"/>
      <c r="Q1123" s="525">
        <v>0</v>
      </c>
      <c r="R1123" s="525">
        <v>960.42</v>
      </c>
      <c r="S1123" s="527">
        <f t="shared" si="142"/>
        <v>932.33</v>
      </c>
      <c r="T1123" s="528">
        <f t="shared" si="143"/>
        <v>0</v>
      </c>
      <c r="U1123" s="527">
        <f t="shared" si="144"/>
        <v>29.89</v>
      </c>
      <c r="W1123" s="326">
        <f t="shared" si="147"/>
        <v>960.42000000000007</v>
      </c>
      <c r="X1123" s="261">
        <f t="shared" si="145"/>
        <v>0</v>
      </c>
      <c r="Z1123" s="1016">
        <f t="shared" si="146"/>
        <v>932.33</v>
      </c>
    </row>
    <row r="1124" spans="1:26" ht="12" hidden="1" thickBot="1">
      <c r="A1124" s="588" t="s">
        <v>1429</v>
      </c>
      <c r="B1124" s="522" t="s">
        <v>369</v>
      </c>
      <c r="C1124" s="522" t="s">
        <v>1024</v>
      </c>
      <c r="D1124" s="533" t="s">
        <v>1035</v>
      </c>
      <c r="E1124" s="530">
        <v>30179</v>
      </c>
      <c r="F1124" s="532"/>
      <c r="G1124" s="531">
        <v>6992.84</v>
      </c>
      <c r="H1124" s="532"/>
      <c r="I1124" s="532"/>
      <c r="J1124" s="532"/>
      <c r="K1124" s="532"/>
      <c r="L1124" s="532"/>
      <c r="M1124" s="531">
        <v>-22.3</v>
      </c>
      <c r="N1124" s="531">
        <v>223.82</v>
      </c>
      <c r="O1124" s="532"/>
      <c r="P1124" s="532"/>
      <c r="Q1124" s="531">
        <v>0</v>
      </c>
      <c r="R1124" s="531">
        <v>7194.36</v>
      </c>
      <c r="S1124" s="527">
        <f t="shared" si="142"/>
        <v>6992.84</v>
      </c>
      <c r="T1124" s="528">
        <f t="shared" si="143"/>
        <v>0</v>
      </c>
      <c r="U1124" s="527">
        <f t="shared" si="144"/>
        <v>223.82</v>
      </c>
      <c r="W1124" s="326">
        <f t="shared" si="147"/>
        <v>7194.36</v>
      </c>
      <c r="X1124" s="261">
        <f t="shared" si="145"/>
        <v>0</v>
      </c>
      <c r="Z1124" s="1016">
        <f t="shared" si="146"/>
        <v>6992.84</v>
      </c>
    </row>
    <row r="1125" spans="1:26" ht="12" hidden="1" thickBot="1">
      <c r="A1125" s="588" t="s">
        <v>1429</v>
      </c>
      <c r="B1125" s="522" t="s">
        <v>715</v>
      </c>
      <c r="C1125" s="522" t="s">
        <v>1025</v>
      </c>
      <c r="D1125" s="533" t="s">
        <v>1035</v>
      </c>
      <c r="E1125" s="524">
        <v>45</v>
      </c>
      <c r="F1125" s="526"/>
      <c r="G1125" s="525">
        <v>30.74</v>
      </c>
      <c r="H1125" s="526"/>
      <c r="I1125" s="526"/>
      <c r="J1125" s="526"/>
      <c r="K1125" s="526"/>
      <c r="L1125" s="526"/>
      <c r="M1125" s="525">
        <v>-0.03</v>
      </c>
      <c r="N1125" s="525">
        <v>0.99</v>
      </c>
      <c r="O1125" s="526"/>
      <c r="P1125" s="526"/>
      <c r="Q1125" s="526"/>
      <c r="R1125" s="525">
        <v>31.7</v>
      </c>
      <c r="S1125" s="527">
        <f t="shared" si="142"/>
        <v>30.74</v>
      </c>
      <c r="T1125" s="528">
        <f t="shared" si="143"/>
        <v>0</v>
      </c>
      <c r="U1125" s="527">
        <f t="shared" si="144"/>
        <v>0.99</v>
      </c>
      <c r="W1125" s="326">
        <f t="shared" si="147"/>
        <v>31.699999999999996</v>
      </c>
      <c r="X1125" s="261">
        <f t="shared" si="145"/>
        <v>0</v>
      </c>
      <c r="Z1125" s="1016">
        <f t="shared" si="146"/>
        <v>30.74</v>
      </c>
    </row>
    <row r="1126" spans="1:26" ht="12" hidden="1" thickBot="1">
      <c r="A1126" s="588" t="s">
        <v>1429</v>
      </c>
      <c r="B1126" s="522" t="s">
        <v>332</v>
      </c>
      <c r="C1126" s="522" t="s">
        <v>1026</v>
      </c>
      <c r="D1126" s="533" t="s">
        <v>1035</v>
      </c>
      <c r="E1126" s="530">
        <v>12493</v>
      </c>
      <c r="F1126" s="532"/>
      <c r="G1126" s="531">
        <v>1965.11</v>
      </c>
      <c r="H1126" s="532"/>
      <c r="I1126" s="532"/>
      <c r="J1126" s="532"/>
      <c r="K1126" s="532"/>
      <c r="L1126" s="532"/>
      <c r="M1126" s="531">
        <v>-9.6300000000000008</v>
      </c>
      <c r="N1126" s="531">
        <v>62.78</v>
      </c>
      <c r="O1126" s="532"/>
      <c r="P1126" s="532"/>
      <c r="Q1126" s="531">
        <v>0</v>
      </c>
      <c r="R1126" s="531">
        <v>2018.26</v>
      </c>
      <c r="S1126" s="527">
        <f t="shared" si="142"/>
        <v>1965.11</v>
      </c>
      <c r="T1126" s="528">
        <f t="shared" si="143"/>
        <v>0</v>
      </c>
      <c r="U1126" s="527">
        <f t="shared" si="144"/>
        <v>62.78</v>
      </c>
      <c r="W1126" s="326">
        <f t="shared" si="147"/>
        <v>2018.2599999999998</v>
      </c>
      <c r="X1126" s="261">
        <f t="shared" si="145"/>
        <v>0</v>
      </c>
      <c r="Z1126" s="1016">
        <f t="shared" si="146"/>
        <v>1965.11</v>
      </c>
    </row>
    <row r="1127" spans="1:26" ht="12" hidden="1" thickBot="1">
      <c r="A1127" s="588" t="s">
        <v>1429</v>
      </c>
      <c r="B1127" s="522" t="s">
        <v>334</v>
      </c>
      <c r="C1127" s="522" t="s">
        <v>1027</v>
      </c>
      <c r="D1127" s="533" t="s">
        <v>1035</v>
      </c>
      <c r="E1127" s="524">
        <v>7557</v>
      </c>
      <c r="F1127" s="526"/>
      <c r="G1127" s="525">
        <v>5163.34</v>
      </c>
      <c r="H1127" s="526"/>
      <c r="I1127" s="526"/>
      <c r="J1127" s="526"/>
      <c r="K1127" s="526"/>
      <c r="L1127" s="526"/>
      <c r="M1127" s="525">
        <v>-1.61</v>
      </c>
      <c r="N1127" s="525">
        <v>166.78</v>
      </c>
      <c r="O1127" s="526"/>
      <c r="P1127" s="526"/>
      <c r="Q1127" s="525">
        <v>0</v>
      </c>
      <c r="R1127" s="525">
        <v>5328.51</v>
      </c>
      <c r="S1127" s="527">
        <f t="shared" si="142"/>
        <v>5163.34</v>
      </c>
      <c r="T1127" s="528">
        <f t="shared" si="143"/>
        <v>0</v>
      </c>
      <c r="U1127" s="527">
        <f t="shared" si="144"/>
        <v>166.78</v>
      </c>
      <c r="W1127" s="326">
        <f t="shared" si="147"/>
        <v>5328.51</v>
      </c>
      <c r="X1127" s="261">
        <f t="shared" si="145"/>
        <v>0</v>
      </c>
      <c r="Z1127" s="1016">
        <f t="shared" si="146"/>
        <v>5163.34</v>
      </c>
    </row>
    <row r="1128" spans="1:26" ht="12" hidden="1" thickBot="1">
      <c r="A1128" s="588" t="s">
        <v>1429</v>
      </c>
      <c r="B1128" s="522" t="s">
        <v>366</v>
      </c>
      <c r="C1128" s="522" t="s">
        <v>1028</v>
      </c>
      <c r="D1128" s="533" t="s">
        <v>1035</v>
      </c>
      <c r="E1128" s="530">
        <v>60888</v>
      </c>
      <c r="F1128" s="532"/>
      <c r="G1128" s="531">
        <v>22243.39</v>
      </c>
      <c r="H1128" s="532"/>
      <c r="I1128" s="532"/>
      <c r="J1128" s="532"/>
      <c r="K1128" s="532"/>
      <c r="L1128" s="532"/>
      <c r="M1128" s="531">
        <v>-46.28</v>
      </c>
      <c r="N1128" s="531">
        <v>712.6</v>
      </c>
      <c r="O1128" s="532"/>
      <c r="P1128" s="532"/>
      <c r="Q1128" s="531">
        <v>0</v>
      </c>
      <c r="R1128" s="531">
        <v>22909.71</v>
      </c>
      <c r="S1128" s="527">
        <f t="shared" si="142"/>
        <v>22243.39</v>
      </c>
      <c r="T1128" s="528">
        <f t="shared" si="143"/>
        <v>0</v>
      </c>
      <c r="U1128" s="527">
        <f t="shared" si="144"/>
        <v>712.6</v>
      </c>
      <c r="W1128" s="326">
        <f t="shared" si="147"/>
        <v>22909.71</v>
      </c>
      <c r="X1128" s="261">
        <f t="shared" si="145"/>
        <v>0</v>
      </c>
      <c r="Z1128" s="1016">
        <f t="shared" si="146"/>
        <v>22243.39</v>
      </c>
    </row>
    <row r="1129" spans="1:26" ht="12" hidden="1" thickBot="1">
      <c r="A1129" s="588" t="s">
        <v>1429</v>
      </c>
      <c r="B1129" s="522" t="s">
        <v>329</v>
      </c>
      <c r="C1129" s="522" t="s">
        <v>1029</v>
      </c>
      <c r="D1129" s="533" t="s">
        <v>1035</v>
      </c>
      <c r="E1129" s="524">
        <v>44986</v>
      </c>
      <c r="F1129" s="526"/>
      <c r="G1129" s="525">
        <v>9022.86</v>
      </c>
      <c r="H1129" s="526"/>
      <c r="I1129" s="526"/>
      <c r="J1129" s="526"/>
      <c r="K1129" s="526"/>
      <c r="L1129" s="526"/>
      <c r="M1129" s="525">
        <v>-26</v>
      </c>
      <c r="N1129" s="525">
        <v>289.44</v>
      </c>
      <c r="O1129" s="526"/>
      <c r="P1129" s="526"/>
      <c r="Q1129" s="525">
        <v>0</v>
      </c>
      <c r="R1129" s="525">
        <v>9286.2999999999993</v>
      </c>
      <c r="S1129" s="527">
        <f t="shared" ref="S1129:S1139" si="148">G1129+H1129+I1129</f>
        <v>9022.86</v>
      </c>
      <c r="T1129" s="528">
        <f t="shared" ref="T1129:T1139" si="149">J1129+K1129</f>
        <v>0</v>
      </c>
      <c r="U1129" s="527">
        <f t="shared" ref="U1129:U1139" si="150">N1129+O1129</f>
        <v>289.44</v>
      </c>
      <c r="W1129" s="326">
        <f t="shared" si="147"/>
        <v>9286.3000000000011</v>
      </c>
      <c r="X1129" s="261">
        <f t="shared" ref="X1129:X1139" si="151">W1129-R1129</f>
        <v>0</v>
      </c>
      <c r="Z1129" s="1016">
        <f t="shared" si="146"/>
        <v>9022.86</v>
      </c>
    </row>
    <row r="1130" spans="1:26" ht="12" hidden="1" thickBot="1">
      <c r="A1130" s="588" t="s">
        <v>1429</v>
      </c>
      <c r="B1130" s="522" t="s">
        <v>683</v>
      </c>
      <c r="C1130" s="522" t="s">
        <v>1047</v>
      </c>
      <c r="D1130" s="533" t="s">
        <v>1035</v>
      </c>
      <c r="E1130" s="530">
        <v>478</v>
      </c>
      <c r="F1130" s="532"/>
      <c r="G1130" s="531">
        <v>230.25</v>
      </c>
      <c r="H1130" s="532"/>
      <c r="I1130" s="532"/>
      <c r="J1130" s="532"/>
      <c r="K1130" s="532"/>
      <c r="L1130" s="532"/>
      <c r="M1130" s="531">
        <v>-0.37</v>
      </c>
      <c r="N1130" s="531">
        <v>7.38</v>
      </c>
      <c r="O1130" s="532"/>
      <c r="P1130" s="532"/>
      <c r="Q1130" s="532"/>
      <c r="R1130" s="531">
        <v>237.26</v>
      </c>
      <c r="S1130" s="527">
        <f t="shared" si="148"/>
        <v>230.25</v>
      </c>
      <c r="T1130" s="528">
        <f t="shared" si="149"/>
        <v>0</v>
      </c>
      <c r="U1130" s="527">
        <f t="shared" si="150"/>
        <v>7.38</v>
      </c>
      <c r="W1130" s="326">
        <f t="shared" si="147"/>
        <v>237.26</v>
      </c>
      <c r="X1130" s="261">
        <f t="shared" si="151"/>
        <v>0</v>
      </c>
      <c r="Z1130" s="1016">
        <f t="shared" si="146"/>
        <v>230.25</v>
      </c>
    </row>
    <row r="1131" spans="1:26" ht="12" hidden="1" thickBot="1">
      <c r="A1131" s="588" t="s">
        <v>1429</v>
      </c>
      <c r="B1131" s="522" t="s">
        <v>463</v>
      </c>
      <c r="C1131" s="522" t="s">
        <v>1030</v>
      </c>
      <c r="D1131" s="533" t="s">
        <v>1035</v>
      </c>
      <c r="E1131" s="524">
        <v>1698</v>
      </c>
      <c r="F1131" s="526"/>
      <c r="G1131" s="525">
        <v>460.72</v>
      </c>
      <c r="H1131" s="526"/>
      <c r="I1131" s="526"/>
      <c r="J1131" s="526"/>
      <c r="K1131" s="526"/>
      <c r="L1131" s="526"/>
      <c r="M1131" s="525">
        <v>-1.33</v>
      </c>
      <c r="N1131" s="525">
        <v>14.73</v>
      </c>
      <c r="O1131" s="526"/>
      <c r="P1131" s="526"/>
      <c r="Q1131" s="526"/>
      <c r="R1131" s="525">
        <v>474.12</v>
      </c>
      <c r="S1131" s="527">
        <f t="shared" si="148"/>
        <v>460.72</v>
      </c>
      <c r="T1131" s="528">
        <f t="shared" si="149"/>
        <v>0</v>
      </c>
      <c r="U1131" s="527">
        <f t="shared" si="150"/>
        <v>14.73</v>
      </c>
      <c r="W1131" s="326">
        <f t="shared" si="147"/>
        <v>474.12000000000006</v>
      </c>
      <c r="X1131" s="261">
        <f t="shared" si="151"/>
        <v>0</v>
      </c>
      <c r="Z1131" s="1016">
        <f t="shared" si="146"/>
        <v>460.72</v>
      </c>
    </row>
    <row r="1132" spans="1:26" ht="12" hidden="1" thickBot="1">
      <c r="A1132" s="588" t="s">
        <v>1429</v>
      </c>
      <c r="B1132" s="522" t="s">
        <v>653</v>
      </c>
      <c r="C1132" s="522" t="s">
        <v>1031</v>
      </c>
      <c r="D1132" s="533" t="s">
        <v>1035</v>
      </c>
      <c r="E1132" s="530">
        <v>3854</v>
      </c>
      <c r="F1132" s="532"/>
      <c r="G1132" s="531">
        <v>688.54</v>
      </c>
      <c r="H1132" s="532"/>
      <c r="I1132" s="532"/>
      <c r="J1132" s="532"/>
      <c r="K1132" s="532"/>
      <c r="L1132" s="532"/>
      <c r="M1132" s="531">
        <v>-2.56</v>
      </c>
      <c r="N1132" s="531">
        <v>22.05</v>
      </c>
      <c r="O1132" s="532"/>
      <c r="P1132" s="532"/>
      <c r="Q1132" s="532"/>
      <c r="R1132" s="531">
        <v>708.03</v>
      </c>
      <c r="S1132" s="527">
        <f t="shared" si="148"/>
        <v>688.54</v>
      </c>
      <c r="T1132" s="528">
        <f t="shared" si="149"/>
        <v>0</v>
      </c>
      <c r="U1132" s="527">
        <f t="shared" si="150"/>
        <v>22.05</v>
      </c>
      <c r="W1132" s="326">
        <f t="shared" si="147"/>
        <v>708.03</v>
      </c>
      <c r="X1132" s="261">
        <f t="shared" si="151"/>
        <v>0</v>
      </c>
      <c r="Z1132" s="1016">
        <f t="shared" si="146"/>
        <v>688.54</v>
      </c>
    </row>
    <row r="1133" spans="1:26" ht="12" hidden="1" thickBot="1">
      <c r="A1133" s="588" t="s">
        <v>1429</v>
      </c>
      <c r="B1133" s="522" t="s">
        <v>445</v>
      </c>
      <c r="C1133" s="522" t="s">
        <v>444</v>
      </c>
      <c r="D1133" s="522"/>
      <c r="E1133" s="526"/>
      <c r="F1133" s="526"/>
      <c r="G1133" s="526"/>
      <c r="H1133" s="526"/>
      <c r="I1133" s="526"/>
      <c r="J1133" s="526"/>
      <c r="K1133" s="526"/>
      <c r="L1133" s="526"/>
      <c r="M1133" s="526"/>
      <c r="N1133" s="526"/>
      <c r="O1133" s="526"/>
      <c r="P1133" s="526"/>
      <c r="Q1133" s="526"/>
      <c r="R1133" s="525">
        <v>114.52</v>
      </c>
      <c r="S1133" s="527">
        <f t="shared" si="148"/>
        <v>0</v>
      </c>
      <c r="T1133" s="528">
        <f t="shared" si="149"/>
        <v>0</v>
      </c>
      <c r="U1133" s="527">
        <f t="shared" si="150"/>
        <v>0</v>
      </c>
      <c r="W1133" s="326">
        <f t="shared" si="147"/>
        <v>0</v>
      </c>
      <c r="X1133" s="261">
        <f t="shared" si="151"/>
        <v>-114.52</v>
      </c>
      <c r="Z1133" s="1016">
        <f t="shared" si="146"/>
        <v>0</v>
      </c>
    </row>
    <row r="1134" spans="1:26" ht="12" hidden="1" thickBot="1">
      <c r="A1134" s="588" t="s">
        <v>1429</v>
      </c>
      <c r="B1134" s="522" t="s">
        <v>474</v>
      </c>
      <c r="C1134" s="522" t="s">
        <v>473</v>
      </c>
      <c r="D1134" s="522"/>
      <c r="E1134" s="532"/>
      <c r="F1134" s="532"/>
      <c r="G1134" s="532"/>
      <c r="H1134" s="532"/>
      <c r="I1134" s="532"/>
      <c r="J1134" s="532"/>
      <c r="K1134" s="532"/>
      <c r="L1134" s="532"/>
      <c r="M1134" s="532"/>
      <c r="N1134" s="532"/>
      <c r="O1134" s="532"/>
      <c r="P1134" s="532"/>
      <c r="Q1134" s="532"/>
      <c r="R1134" s="531">
        <v>86916.54</v>
      </c>
      <c r="S1134" s="527">
        <f t="shared" si="148"/>
        <v>0</v>
      </c>
      <c r="T1134" s="528">
        <f t="shared" si="149"/>
        <v>0</v>
      </c>
      <c r="U1134" s="527">
        <f t="shared" si="150"/>
        <v>0</v>
      </c>
      <c r="W1134" s="326">
        <f t="shared" si="147"/>
        <v>0</v>
      </c>
      <c r="X1134" s="261">
        <f t="shared" si="151"/>
        <v>-86916.54</v>
      </c>
      <c r="Z1134" s="1016">
        <f t="shared" si="146"/>
        <v>0</v>
      </c>
    </row>
    <row r="1135" spans="1:26" ht="12" hidden="1" thickBot="1">
      <c r="A1135" s="588" t="s">
        <v>1429</v>
      </c>
      <c r="B1135" s="522" t="s">
        <v>476</v>
      </c>
      <c r="C1135" s="522" t="s">
        <v>475</v>
      </c>
      <c r="D1135" s="522"/>
      <c r="E1135" s="526"/>
      <c r="F1135" s="526"/>
      <c r="G1135" s="526"/>
      <c r="H1135" s="526"/>
      <c r="I1135" s="526"/>
      <c r="J1135" s="526"/>
      <c r="K1135" s="526"/>
      <c r="L1135" s="526"/>
      <c r="M1135" s="526"/>
      <c r="N1135" s="526"/>
      <c r="O1135" s="526"/>
      <c r="P1135" s="526"/>
      <c r="Q1135" s="526"/>
      <c r="R1135" s="525">
        <v>9348.34</v>
      </c>
      <c r="S1135" s="527">
        <f t="shared" si="148"/>
        <v>0</v>
      </c>
      <c r="T1135" s="528">
        <f t="shared" si="149"/>
        <v>0</v>
      </c>
      <c r="U1135" s="527">
        <f t="shared" si="150"/>
        <v>0</v>
      </c>
      <c r="W1135" s="326">
        <f t="shared" si="147"/>
        <v>0</v>
      </c>
      <c r="X1135" s="261">
        <f t="shared" si="151"/>
        <v>-9348.34</v>
      </c>
      <c r="Z1135" s="1016">
        <f t="shared" si="146"/>
        <v>0</v>
      </c>
    </row>
    <row r="1136" spans="1:26" ht="12" hidden="1" thickBot="1">
      <c r="A1136" s="588" t="s">
        <v>1429</v>
      </c>
      <c r="B1136" s="522" t="s">
        <v>443</v>
      </c>
      <c r="C1136" s="522" t="s">
        <v>442</v>
      </c>
      <c r="D1136" s="522"/>
      <c r="E1136" s="532"/>
      <c r="F1136" s="531">
        <v>36126.76</v>
      </c>
      <c r="G1136" s="532"/>
      <c r="H1136" s="532"/>
      <c r="I1136" s="532"/>
      <c r="J1136" s="532"/>
      <c r="K1136" s="532"/>
      <c r="L1136" s="532"/>
      <c r="M1136" s="532"/>
      <c r="N1136" s="532"/>
      <c r="O1136" s="532"/>
      <c r="P1136" s="532"/>
      <c r="Q1136" s="532"/>
      <c r="R1136" s="531">
        <v>36126.76</v>
      </c>
      <c r="S1136" s="527">
        <f t="shared" si="148"/>
        <v>0</v>
      </c>
      <c r="T1136" s="528">
        <f t="shared" si="149"/>
        <v>0</v>
      </c>
      <c r="U1136" s="527">
        <f t="shared" si="150"/>
        <v>0</v>
      </c>
      <c r="W1136" s="326">
        <f t="shared" si="147"/>
        <v>36126.76</v>
      </c>
      <c r="X1136" s="261">
        <f t="shared" si="151"/>
        <v>0</v>
      </c>
      <c r="Z1136" s="1016">
        <f t="shared" si="146"/>
        <v>36126.76</v>
      </c>
    </row>
    <row r="1137" spans="1:26" ht="12" hidden="1" thickBot="1">
      <c r="A1137" s="588" t="s">
        <v>1429</v>
      </c>
      <c r="B1137" s="522" t="s">
        <v>710</v>
      </c>
      <c r="C1137" s="522" t="s">
        <v>711</v>
      </c>
      <c r="D1137" s="522"/>
      <c r="E1137" s="526"/>
      <c r="F1137" s="526"/>
      <c r="G1137" s="526"/>
      <c r="H1137" s="526"/>
      <c r="I1137" s="526"/>
      <c r="J1137" s="526"/>
      <c r="K1137" s="526"/>
      <c r="L1137" s="526"/>
      <c r="M1137" s="526"/>
      <c r="N1137" s="526"/>
      <c r="O1137" s="526"/>
      <c r="P1137" s="526"/>
      <c r="Q1137" s="526"/>
      <c r="R1137" s="525">
        <v>32036.639999999999</v>
      </c>
      <c r="S1137" s="527">
        <f t="shared" si="148"/>
        <v>0</v>
      </c>
      <c r="T1137" s="528">
        <f t="shared" si="149"/>
        <v>0</v>
      </c>
      <c r="U1137" s="527">
        <f t="shared" si="150"/>
        <v>0</v>
      </c>
      <c r="W1137" s="326">
        <f t="shared" si="147"/>
        <v>0</v>
      </c>
      <c r="X1137" s="261">
        <f t="shared" si="151"/>
        <v>-32036.639999999999</v>
      </c>
      <c r="Z1137" s="1016">
        <f t="shared" si="146"/>
        <v>0</v>
      </c>
    </row>
    <row r="1138" spans="1:26" ht="12" hidden="1" thickBot="1">
      <c r="A1138" s="588" t="s">
        <v>1429</v>
      </c>
      <c r="B1138" s="522" t="s">
        <v>1048</v>
      </c>
      <c r="C1138" s="522" t="s">
        <v>1049</v>
      </c>
      <c r="D1138" s="522"/>
      <c r="E1138" s="532"/>
      <c r="F1138" s="532"/>
      <c r="G1138" s="532"/>
      <c r="H1138" s="532"/>
      <c r="I1138" s="532"/>
      <c r="J1138" s="532"/>
      <c r="K1138" s="532"/>
      <c r="L1138" s="532"/>
      <c r="M1138" s="532"/>
      <c r="N1138" s="532"/>
      <c r="O1138" s="532"/>
      <c r="P1138" s="532"/>
      <c r="Q1138" s="532"/>
      <c r="R1138" s="531">
        <v>0</v>
      </c>
      <c r="S1138" s="527">
        <f t="shared" si="148"/>
        <v>0</v>
      </c>
      <c r="T1138" s="528">
        <f t="shared" si="149"/>
        <v>0</v>
      </c>
      <c r="U1138" s="527">
        <f t="shared" si="150"/>
        <v>0</v>
      </c>
      <c r="W1138" s="326">
        <f t="shared" si="147"/>
        <v>0</v>
      </c>
      <c r="X1138" s="261">
        <f t="shared" si="151"/>
        <v>0</v>
      </c>
      <c r="Z1138" s="1016">
        <f t="shared" si="146"/>
        <v>0</v>
      </c>
    </row>
    <row r="1139" spans="1:26" ht="12" hidden="1" thickBot="1">
      <c r="A1139" s="588" t="s">
        <v>1429</v>
      </c>
      <c r="B1139" s="543" t="s">
        <v>9</v>
      </c>
      <c r="C1139" s="544"/>
      <c r="D1139" s="538"/>
      <c r="E1139" s="539">
        <v>1637107293</v>
      </c>
      <c r="F1139" s="540">
        <v>7190813.9900000002</v>
      </c>
      <c r="G1139" s="540">
        <v>43713148.390000001</v>
      </c>
      <c r="H1139" s="540">
        <v>42310149.969999999</v>
      </c>
      <c r="I1139" s="540">
        <v>2181480.7400000002</v>
      </c>
      <c r="J1139" s="540">
        <v>1800029.79</v>
      </c>
      <c r="K1139" s="540">
        <v>25131512.32</v>
      </c>
      <c r="L1139" s="540">
        <v>2694657.54</v>
      </c>
      <c r="M1139" s="540">
        <v>-529505.06999999995</v>
      </c>
      <c r="N1139" s="540">
        <v>1418288.21</v>
      </c>
      <c r="O1139" s="540">
        <v>2352422.54</v>
      </c>
      <c r="P1139" s="540">
        <v>-1097418.3999999999</v>
      </c>
      <c r="Q1139" s="540">
        <v>0</v>
      </c>
      <c r="R1139" s="540">
        <v>127796371.28</v>
      </c>
      <c r="S1139" s="527">
        <f t="shared" si="148"/>
        <v>88204779.099999994</v>
      </c>
      <c r="T1139" s="528">
        <f t="shared" si="149"/>
        <v>26931542.109999999</v>
      </c>
      <c r="U1139" s="527">
        <f t="shared" si="150"/>
        <v>3770710.75</v>
      </c>
      <c r="W1139" s="326">
        <f t="shared" si="147"/>
        <v>127165580.02</v>
      </c>
      <c r="X1139" s="261">
        <f t="shared" si="151"/>
        <v>-630791.26000000536</v>
      </c>
      <c r="Z1139" s="1016">
        <f t="shared" si="146"/>
        <v>122327135.19999999</v>
      </c>
    </row>
    <row r="1140" spans="1:26" ht="12" hidden="1" thickBot="1">
      <c r="A1140" s="588" t="s">
        <v>1428</v>
      </c>
      <c r="B1140" s="522" t="s">
        <v>440</v>
      </c>
      <c r="C1140" s="522" t="s">
        <v>460</v>
      </c>
      <c r="D1140" s="522"/>
      <c r="E1140" s="960"/>
      <c r="F1140" s="961"/>
      <c r="G1140" s="961"/>
      <c r="H1140" s="962"/>
      <c r="I1140" s="962"/>
      <c r="J1140" s="962"/>
      <c r="K1140" s="962"/>
      <c r="L1140" s="962"/>
      <c r="M1140" s="962"/>
      <c r="N1140" s="962"/>
      <c r="O1140" s="962"/>
      <c r="P1140" s="962"/>
      <c r="Q1140" s="962"/>
      <c r="R1140" s="961"/>
      <c r="S1140" s="527">
        <f>G1140+H1140+I1140</f>
        <v>0</v>
      </c>
      <c r="T1140" s="528">
        <f>J1140+K1140</f>
        <v>0</v>
      </c>
      <c r="U1140" s="527">
        <f>N1140+O1140</f>
        <v>0</v>
      </c>
      <c r="W1140" s="326">
        <f t="shared" ref="W1140:W1146" si="152">SUM(F1140:Q1140)</f>
        <v>0</v>
      </c>
      <c r="X1140" s="261">
        <f>W1140-R1140</f>
        <v>0</v>
      </c>
      <c r="Z1140" s="1016">
        <f t="shared" si="146"/>
        <v>0</v>
      </c>
    </row>
    <row r="1141" spans="1:26" ht="12" hidden="1" thickBot="1">
      <c r="A1141" s="588" t="s">
        <v>1428</v>
      </c>
      <c r="B1141" s="522" t="s">
        <v>441</v>
      </c>
      <c r="C1141" s="522" t="s">
        <v>461</v>
      </c>
      <c r="D1141" s="522"/>
      <c r="E1141" s="960"/>
      <c r="F1141" s="961"/>
      <c r="G1141" s="961"/>
      <c r="H1141" s="962"/>
      <c r="I1141" s="962"/>
      <c r="J1141" s="962"/>
      <c r="K1141" s="962"/>
      <c r="L1141" s="962"/>
      <c r="M1141" s="962"/>
      <c r="N1141" s="962"/>
      <c r="O1141" s="962"/>
      <c r="P1141" s="962"/>
      <c r="Q1141" s="962"/>
      <c r="R1141" s="961"/>
      <c r="S1141" s="527">
        <f>G1141+H1141+I1141</f>
        <v>0</v>
      </c>
      <c r="T1141" s="528">
        <f>J1141+K1141</f>
        <v>0</v>
      </c>
      <c r="U1141" s="527">
        <f>N1141+O1141</f>
        <v>0</v>
      </c>
      <c r="W1141" s="326">
        <f t="shared" si="152"/>
        <v>0</v>
      </c>
      <c r="X1141" s="261">
        <f>W1141-R1141</f>
        <v>0</v>
      </c>
      <c r="Z1141" s="1016">
        <f t="shared" si="146"/>
        <v>0</v>
      </c>
    </row>
    <row r="1142" spans="1:26" ht="12" hidden="1" thickBot="1">
      <c r="A1142" s="588" t="s">
        <v>1428</v>
      </c>
      <c r="B1142" s="522" t="s">
        <v>449</v>
      </c>
      <c r="C1142" s="522" t="s">
        <v>448</v>
      </c>
      <c r="D1142" s="522"/>
      <c r="E1142" s="960"/>
      <c r="F1142" s="962"/>
      <c r="G1142" s="961"/>
      <c r="H1142" s="962"/>
      <c r="I1142" s="962"/>
      <c r="J1142" s="962"/>
      <c r="K1142" s="962"/>
      <c r="L1142" s="962"/>
      <c r="M1142" s="962"/>
      <c r="N1142" s="962"/>
      <c r="O1142" s="962"/>
      <c r="P1142" s="962"/>
      <c r="Q1142" s="962"/>
      <c r="R1142" s="961"/>
      <c r="S1142" s="527">
        <f t="shared" ref="S1142:S1168" si="153">G1142+H1142+I1142</f>
        <v>0</v>
      </c>
      <c r="T1142" s="528">
        <f t="shared" ref="T1142:T1168" si="154">J1142+K1142</f>
        <v>0</v>
      </c>
      <c r="U1142" s="527">
        <f t="shared" ref="U1142:U1168" si="155">N1142+O1142</f>
        <v>0</v>
      </c>
      <c r="W1142" s="326">
        <f t="shared" si="152"/>
        <v>0</v>
      </c>
      <c r="X1142" s="261">
        <f t="shared" ref="X1142:X1166" si="156">W1142-R1142</f>
        <v>0</v>
      </c>
      <c r="Z1142" s="1016">
        <f t="shared" si="146"/>
        <v>0</v>
      </c>
    </row>
    <row r="1143" spans="1:26" ht="12" hidden="1" thickBot="1">
      <c r="A1143" s="588" t="s">
        <v>1428</v>
      </c>
      <c r="B1143" s="522" t="s">
        <v>447</v>
      </c>
      <c r="C1143" s="522" t="s">
        <v>446</v>
      </c>
      <c r="D1143" s="522"/>
      <c r="E1143" s="960"/>
      <c r="F1143" s="962"/>
      <c r="G1143" s="961"/>
      <c r="H1143" s="962"/>
      <c r="I1143" s="962"/>
      <c r="J1143" s="962"/>
      <c r="K1143" s="962"/>
      <c r="L1143" s="962"/>
      <c r="M1143" s="962"/>
      <c r="N1143" s="962"/>
      <c r="O1143" s="962"/>
      <c r="P1143" s="962"/>
      <c r="Q1143" s="962"/>
      <c r="R1143" s="961"/>
      <c r="S1143" s="527">
        <f t="shared" si="153"/>
        <v>0</v>
      </c>
      <c r="T1143" s="528">
        <f t="shared" si="154"/>
        <v>0</v>
      </c>
      <c r="U1143" s="527">
        <f t="shared" si="155"/>
        <v>0</v>
      </c>
      <c r="W1143" s="326">
        <f t="shared" si="152"/>
        <v>0</v>
      </c>
      <c r="X1143" s="261">
        <f t="shared" si="156"/>
        <v>0</v>
      </c>
      <c r="Z1143" s="1016">
        <f t="shared" si="146"/>
        <v>0</v>
      </c>
    </row>
    <row r="1144" spans="1:26" ht="12" hidden="1" thickBot="1">
      <c r="A1144" s="588" t="s">
        <v>1428</v>
      </c>
      <c r="B1144" s="522" t="s">
        <v>942</v>
      </c>
      <c r="C1144" s="522" t="s">
        <v>943</v>
      </c>
      <c r="D1144" s="522"/>
      <c r="E1144" s="962"/>
      <c r="F1144" s="962"/>
      <c r="G1144" s="962"/>
      <c r="H1144" s="962"/>
      <c r="I1144" s="962"/>
      <c r="J1144" s="962"/>
      <c r="K1144" s="962"/>
      <c r="L1144" s="962"/>
      <c r="M1144" s="962"/>
      <c r="N1144" s="962"/>
      <c r="O1144" s="962"/>
      <c r="P1144" s="962"/>
      <c r="Q1144" s="962"/>
      <c r="R1144" s="962"/>
      <c r="S1144" s="527">
        <f t="shared" si="153"/>
        <v>0</v>
      </c>
      <c r="T1144" s="528">
        <f t="shared" si="154"/>
        <v>0</v>
      </c>
      <c r="U1144" s="527">
        <f t="shared" si="155"/>
        <v>0</v>
      </c>
      <c r="W1144" s="326">
        <f t="shared" si="152"/>
        <v>0</v>
      </c>
      <c r="X1144" s="261">
        <f t="shared" si="156"/>
        <v>0</v>
      </c>
      <c r="Z1144" s="1016">
        <f t="shared" si="146"/>
        <v>0</v>
      </c>
    </row>
    <row r="1145" spans="1:26" ht="12" hidden="1" thickBot="1">
      <c r="A1145" s="588" t="s">
        <v>1428</v>
      </c>
      <c r="B1145" s="522" t="s">
        <v>168</v>
      </c>
      <c r="C1145" s="522" t="s">
        <v>58</v>
      </c>
      <c r="D1145" s="523" t="s">
        <v>19</v>
      </c>
      <c r="E1145" s="960">
        <v>131381603</v>
      </c>
      <c r="F1145" s="961">
        <v>24000</v>
      </c>
      <c r="G1145" s="961">
        <v>974851</v>
      </c>
      <c r="H1145" s="961">
        <v>3799556</v>
      </c>
      <c r="I1145" s="962"/>
      <c r="J1145" s="961">
        <v>205334</v>
      </c>
      <c r="K1145" s="961">
        <v>2100448</v>
      </c>
      <c r="L1145" s="961">
        <v>0</v>
      </c>
      <c r="M1145" s="961">
        <v>-321151</v>
      </c>
      <c r="N1145" s="961"/>
      <c r="O1145" s="961">
        <v>361581</v>
      </c>
      <c r="P1145" s="962"/>
      <c r="Q1145" s="962"/>
      <c r="R1145" s="961">
        <v>7144619</v>
      </c>
      <c r="S1145" s="527">
        <f t="shared" si="153"/>
        <v>4774407</v>
      </c>
      <c r="T1145" s="528">
        <f t="shared" si="154"/>
        <v>2305782</v>
      </c>
      <c r="U1145" s="527">
        <f t="shared" si="155"/>
        <v>361581</v>
      </c>
      <c r="W1145" s="326">
        <f t="shared" si="152"/>
        <v>7144619</v>
      </c>
      <c r="X1145" s="261">
        <f t="shared" si="156"/>
        <v>0</v>
      </c>
      <c r="Z1145" s="1016">
        <f t="shared" si="146"/>
        <v>7104189</v>
      </c>
    </row>
    <row r="1146" spans="1:26" ht="12" hidden="1" thickBot="1">
      <c r="A1146" s="588" t="s">
        <v>1428</v>
      </c>
      <c r="B1146" s="522" t="s">
        <v>169</v>
      </c>
      <c r="C1146" s="522" t="s">
        <v>196</v>
      </c>
      <c r="D1146" s="523" t="s">
        <v>26</v>
      </c>
      <c r="E1146" s="960">
        <v>20027433</v>
      </c>
      <c r="F1146" s="961">
        <v>37230</v>
      </c>
      <c r="G1146" s="961">
        <v>134184</v>
      </c>
      <c r="H1146" s="961">
        <v>579193</v>
      </c>
      <c r="I1146" s="962"/>
      <c r="J1146" s="961">
        <v>64015</v>
      </c>
      <c r="K1146" s="961">
        <v>841683</v>
      </c>
      <c r="L1146" s="961">
        <v>43682</v>
      </c>
      <c r="M1146" s="961">
        <v>-48955</v>
      </c>
      <c r="N1146" s="961"/>
      <c r="O1146" s="961">
        <v>55118</v>
      </c>
      <c r="P1146" s="962"/>
      <c r="Q1146" s="962"/>
      <c r="R1146" s="961">
        <v>1706151</v>
      </c>
      <c r="S1146" s="527">
        <f t="shared" si="153"/>
        <v>713377</v>
      </c>
      <c r="T1146" s="528">
        <f t="shared" si="154"/>
        <v>905698</v>
      </c>
      <c r="U1146" s="527">
        <f t="shared" si="155"/>
        <v>55118</v>
      </c>
      <c r="W1146" s="326">
        <f t="shared" si="152"/>
        <v>1706150</v>
      </c>
      <c r="X1146" s="261">
        <f t="shared" si="156"/>
        <v>-1</v>
      </c>
      <c r="Z1146" s="1016">
        <f t="shared" si="146"/>
        <v>1656305</v>
      </c>
    </row>
    <row r="1147" spans="1:26" ht="12" hidden="1" thickBot="1">
      <c r="A1147" s="588" t="s">
        <v>1428</v>
      </c>
      <c r="B1147" s="522" t="s">
        <v>170</v>
      </c>
      <c r="C1147" s="522" t="s">
        <v>197</v>
      </c>
      <c r="D1147" s="523" t="s">
        <v>25</v>
      </c>
      <c r="E1147" s="960">
        <v>213372347</v>
      </c>
      <c r="F1147" s="961">
        <v>436050</v>
      </c>
      <c r="G1147" s="961">
        <v>1433862</v>
      </c>
      <c r="H1147" s="961">
        <v>6170728</v>
      </c>
      <c r="I1147" s="962"/>
      <c r="J1147" s="961">
        <v>781480</v>
      </c>
      <c r="K1147" s="961">
        <v>10289490</v>
      </c>
      <c r="L1147" s="961">
        <v>465389</v>
      </c>
      <c r="M1147" s="961">
        <v>-521570</v>
      </c>
      <c r="N1147" s="961"/>
      <c r="O1147" s="961">
        <v>587231</v>
      </c>
      <c r="P1147" s="962"/>
      <c r="Q1147" s="962"/>
      <c r="R1147" s="961">
        <v>19642661</v>
      </c>
      <c r="S1147" s="527">
        <f t="shared" si="153"/>
        <v>7604590</v>
      </c>
      <c r="T1147" s="528">
        <f t="shared" si="154"/>
        <v>11070970</v>
      </c>
      <c r="U1147" s="527">
        <f t="shared" si="155"/>
        <v>587231</v>
      </c>
      <c r="W1147" s="326">
        <f t="shared" ref="W1147:W1209" si="157">SUM(F1147:Q1147)</f>
        <v>19642660</v>
      </c>
      <c r="X1147" s="261">
        <f t="shared" si="156"/>
        <v>-1</v>
      </c>
      <c r="Z1147" s="1016">
        <f t="shared" si="146"/>
        <v>19111610</v>
      </c>
    </row>
    <row r="1148" spans="1:26" ht="12" hidden="1" thickBot="1">
      <c r="A1148" s="588" t="s">
        <v>1428</v>
      </c>
      <c r="B1148" s="522" t="s">
        <v>171</v>
      </c>
      <c r="C1148" s="522" t="s">
        <v>198</v>
      </c>
      <c r="D1148" s="542" t="s">
        <v>221</v>
      </c>
      <c r="E1148" s="960">
        <v>261037114</v>
      </c>
      <c r="F1148" s="961">
        <v>15600</v>
      </c>
      <c r="G1148" s="961">
        <v>2278854</v>
      </c>
      <c r="H1148" s="961">
        <v>7549193</v>
      </c>
      <c r="I1148" s="962"/>
      <c r="J1148" s="961">
        <v>404365</v>
      </c>
      <c r="K1148" s="961">
        <v>4104140</v>
      </c>
      <c r="L1148" s="961">
        <v>569351</v>
      </c>
      <c r="M1148" s="961">
        <v>-638083</v>
      </c>
      <c r="N1148" s="961"/>
      <c r="O1148" s="961">
        <v>718411</v>
      </c>
      <c r="P1148" s="962"/>
      <c r="Q1148" s="962"/>
      <c r="R1148" s="961">
        <v>15001832</v>
      </c>
      <c r="S1148" s="527">
        <f t="shared" si="153"/>
        <v>9828047</v>
      </c>
      <c r="T1148" s="528">
        <f t="shared" si="154"/>
        <v>4508505</v>
      </c>
      <c r="U1148" s="527">
        <f t="shared" si="155"/>
        <v>718411</v>
      </c>
      <c r="W1148" s="326">
        <f t="shared" si="157"/>
        <v>15001831</v>
      </c>
      <c r="X1148" s="261">
        <f t="shared" si="156"/>
        <v>-1</v>
      </c>
      <c r="Z1148" s="1016">
        <f t="shared" si="146"/>
        <v>14352152</v>
      </c>
    </row>
    <row r="1149" spans="1:26" ht="12" hidden="1" thickBot="1">
      <c r="A1149" s="588" t="s">
        <v>1428</v>
      </c>
      <c r="B1149" s="522" t="s">
        <v>172</v>
      </c>
      <c r="C1149" s="522" t="s">
        <v>199</v>
      </c>
      <c r="D1149" s="523" t="s">
        <v>26</v>
      </c>
      <c r="E1149" s="960"/>
      <c r="F1149" s="961"/>
      <c r="G1149" s="961"/>
      <c r="H1149" s="961"/>
      <c r="I1149" s="962"/>
      <c r="J1149" s="961"/>
      <c r="K1149" s="961"/>
      <c r="L1149" s="961"/>
      <c r="M1149" s="961"/>
      <c r="N1149" s="961"/>
      <c r="O1149" s="961"/>
      <c r="P1149" s="962"/>
      <c r="Q1149" s="962"/>
      <c r="R1149" s="961"/>
      <c r="S1149" s="527">
        <f t="shared" si="153"/>
        <v>0</v>
      </c>
      <c r="T1149" s="528">
        <f t="shared" si="154"/>
        <v>0</v>
      </c>
      <c r="U1149" s="527">
        <f t="shared" si="155"/>
        <v>0</v>
      </c>
      <c r="W1149" s="326">
        <f t="shared" si="157"/>
        <v>0</v>
      </c>
      <c r="X1149" s="261">
        <f t="shared" si="156"/>
        <v>0</v>
      </c>
      <c r="Z1149" s="1016">
        <f t="shared" si="146"/>
        <v>0</v>
      </c>
    </row>
    <row r="1150" spans="1:26" ht="12" hidden="1" thickBot="1">
      <c r="A1150" s="588" t="s">
        <v>1428</v>
      </c>
      <c r="B1150" s="522" t="s">
        <v>173</v>
      </c>
      <c r="C1150" s="522" t="s">
        <v>200</v>
      </c>
      <c r="D1150" s="535" t="s">
        <v>25</v>
      </c>
      <c r="E1150" s="960"/>
      <c r="F1150" s="961"/>
      <c r="G1150" s="961"/>
      <c r="H1150" s="961"/>
      <c r="I1150" s="962"/>
      <c r="J1150" s="961"/>
      <c r="K1150" s="961"/>
      <c r="L1150" s="961"/>
      <c r="M1150" s="961"/>
      <c r="N1150" s="961"/>
      <c r="O1150" s="961"/>
      <c r="P1150" s="962"/>
      <c r="Q1150" s="962"/>
      <c r="R1150" s="961"/>
      <c r="S1150" s="527">
        <f t="shared" si="153"/>
        <v>0</v>
      </c>
      <c r="T1150" s="528">
        <f t="shared" si="154"/>
        <v>0</v>
      </c>
      <c r="U1150" s="527">
        <f t="shared" si="155"/>
        <v>0</v>
      </c>
      <c r="W1150" s="326">
        <f t="shared" si="157"/>
        <v>0</v>
      </c>
      <c r="X1150" s="261">
        <f t="shared" si="156"/>
        <v>0</v>
      </c>
      <c r="Z1150" s="1016">
        <f t="shared" si="146"/>
        <v>0</v>
      </c>
    </row>
    <row r="1151" spans="1:26" ht="12" hidden="1" thickBot="1">
      <c r="A1151" s="588" t="s">
        <v>1428</v>
      </c>
      <c r="B1151" s="522" t="s">
        <v>174</v>
      </c>
      <c r="C1151" s="522" t="s">
        <v>201</v>
      </c>
      <c r="D1151" s="523" t="s">
        <v>221</v>
      </c>
      <c r="E1151" s="960">
        <v>109759335</v>
      </c>
      <c r="F1151" s="961">
        <v>53700</v>
      </c>
      <c r="G1151" s="961">
        <v>958199</v>
      </c>
      <c r="H1151" s="961">
        <v>3174240</v>
      </c>
      <c r="I1151" s="962"/>
      <c r="J1151" s="961">
        <v>202184</v>
      </c>
      <c r="K1151" s="961">
        <v>2035177</v>
      </c>
      <c r="L1151" s="961">
        <v>239397</v>
      </c>
      <c r="M1151" s="961">
        <v>-268297</v>
      </c>
      <c r="N1151" s="961"/>
      <c r="O1151" s="961">
        <v>302073</v>
      </c>
      <c r="P1151" s="962"/>
      <c r="Q1151" s="962"/>
      <c r="R1151" s="961">
        <v>6696673</v>
      </c>
      <c r="S1151" s="527">
        <f t="shared" si="153"/>
        <v>4132439</v>
      </c>
      <c r="T1151" s="528">
        <f t="shared" si="154"/>
        <v>2237361</v>
      </c>
      <c r="U1151" s="527">
        <f t="shared" si="155"/>
        <v>302073</v>
      </c>
      <c r="W1151" s="326">
        <f t="shared" si="157"/>
        <v>6696673</v>
      </c>
      <c r="X1151" s="261">
        <f t="shared" si="156"/>
        <v>0</v>
      </c>
      <c r="Z1151" s="1016">
        <f t="shared" si="146"/>
        <v>6423500</v>
      </c>
    </row>
    <row r="1152" spans="1:26" ht="12" hidden="1" thickBot="1">
      <c r="A1152" s="588" t="s">
        <v>1428</v>
      </c>
      <c r="B1152" s="522" t="s">
        <v>175</v>
      </c>
      <c r="C1152" s="522" t="s">
        <v>202</v>
      </c>
      <c r="D1152" s="523" t="s">
        <v>220</v>
      </c>
      <c r="E1152" s="960">
        <v>134322230</v>
      </c>
      <c r="F1152" s="961">
        <v>90200</v>
      </c>
      <c r="G1152" s="961">
        <v>1183379</v>
      </c>
      <c r="H1152" s="961">
        <v>3884599</v>
      </c>
      <c r="I1152" s="962"/>
      <c r="J1152" s="961">
        <v>311608</v>
      </c>
      <c r="K1152" s="961">
        <v>3181490</v>
      </c>
      <c r="L1152" s="961">
        <v>292972</v>
      </c>
      <c r="M1152" s="961">
        <v>-328339</v>
      </c>
      <c r="N1152" s="961"/>
      <c r="O1152" s="961">
        <v>369674</v>
      </c>
      <c r="P1152" s="962"/>
      <c r="Q1152" s="962"/>
      <c r="R1152" s="961">
        <v>8985583</v>
      </c>
      <c r="S1152" s="527">
        <f t="shared" si="153"/>
        <v>5067978</v>
      </c>
      <c r="T1152" s="528">
        <f t="shared" si="154"/>
        <v>3493098</v>
      </c>
      <c r="U1152" s="527">
        <f t="shared" si="155"/>
        <v>369674</v>
      </c>
      <c r="W1152" s="326">
        <f t="shared" si="157"/>
        <v>8985583</v>
      </c>
      <c r="X1152" s="261">
        <f t="shared" si="156"/>
        <v>0</v>
      </c>
      <c r="Z1152" s="1016">
        <f t="shared" si="146"/>
        <v>8651276</v>
      </c>
    </row>
    <row r="1153" spans="1:26" ht="12" hidden="1" thickBot="1">
      <c r="A1153" s="588" t="s">
        <v>1428</v>
      </c>
      <c r="B1153" s="522" t="s">
        <v>176</v>
      </c>
      <c r="C1153" s="522" t="s">
        <v>203</v>
      </c>
      <c r="D1153" s="523" t="s">
        <v>25</v>
      </c>
      <c r="E1153" s="960"/>
      <c r="F1153" s="961"/>
      <c r="G1153" s="961"/>
      <c r="H1153" s="961"/>
      <c r="I1153" s="962"/>
      <c r="J1153" s="961"/>
      <c r="K1153" s="961"/>
      <c r="L1153" s="961"/>
      <c r="M1153" s="961"/>
      <c r="N1153" s="961"/>
      <c r="O1153" s="961"/>
      <c r="P1153" s="962"/>
      <c r="Q1153" s="962"/>
      <c r="R1153" s="961"/>
      <c r="S1153" s="527">
        <f t="shared" si="153"/>
        <v>0</v>
      </c>
      <c r="T1153" s="528">
        <f t="shared" si="154"/>
        <v>0</v>
      </c>
      <c r="U1153" s="527">
        <f t="shared" si="155"/>
        <v>0</v>
      </c>
      <c r="W1153" s="326">
        <f t="shared" si="157"/>
        <v>0</v>
      </c>
      <c r="X1153" s="261">
        <f t="shared" si="156"/>
        <v>0</v>
      </c>
      <c r="Z1153" s="1016">
        <f t="shared" si="146"/>
        <v>0</v>
      </c>
    </row>
    <row r="1154" spans="1:26" ht="12" hidden="1" thickBot="1">
      <c r="A1154" s="588" t="s">
        <v>1428</v>
      </c>
      <c r="B1154" s="522" t="s">
        <v>944</v>
      </c>
      <c r="C1154" s="522" t="s">
        <v>943</v>
      </c>
      <c r="D1154" s="522"/>
      <c r="E1154" s="962"/>
      <c r="F1154" s="962"/>
      <c r="G1154" s="962"/>
      <c r="H1154" s="962"/>
      <c r="I1154" s="962"/>
      <c r="J1154" s="962"/>
      <c r="K1154" s="962"/>
      <c r="L1154" s="962"/>
      <c r="M1154" s="962"/>
      <c r="N1154" s="962"/>
      <c r="O1154" s="962"/>
      <c r="P1154" s="962"/>
      <c r="Q1154" s="962"/>
      <c r="R1154" s="962"/>
      <c r="S1154" s="527">
        <f t="shared" si="153"/>
        <v>0</v>
      </c>
      <c r="T1154" s="528">
        <f t="shared" si="154"/>
        <v>0</v>
      </c>
      <c r="U1154" s="527">
        <f t="shared" si="155"/>
        <v>0</v>
      </c>
      <c r="W1154" s="326">
        <f t="shared" si="157"/>
        <v>0</v>
      </c>
      <c r="X1154" s="261">
        <f t="shared" si="156"/>
        <v>0</v>
      </c>
      <c r="Z1154" s="1016">
        <f t="shared" si="146"/>
        <v>0</v>
      </c>
    </row>
    <row r="1155" spans="1:26" ht="12" hidden="1" thickBot="1">
      <c r="A1155" s="588" t="s">
        <v>1428</v>
      </c>
      <c r="B1155" s="522" t="s">
        <v>177</v>
      </c>
      <c r="C1155" s="522" t="s">
        <v>494</v>
      </c>
      <c r="D1155" s="522" t="s">
        <v>224</v>
      </c>
      <c r="E1155" s="960">
        <v>67737296</v>
      </c>
      <c r="F1155" s="961">
        <v>1268262</v>
      </c>
      <c r="G1155" s="961">
        <v>3970760</v>
      </c>
      <c r="H1155" s="961">
        <v>1958963</v>
      </c>
      <c r="I1155" s="961">
        <v>319043</v>
      </c>
      <c r="J1155" s="962"/>
      <c r="K1155" s="962"/>
      <c r="L1155" s="961">
        <v>147743</v>
      </c>
      <c r="M1155" s="961">
        <v>-165578</v>
      </c>
      <c r="N1155" s="961"/>
      <c r="O1155" s="961">
        <v>186423</v>
      </c>
      <c r="P1155" s="962"/>
      <c r="Q1155" s="961"/>
      <c r="R1155" s="961">
        <v>7685615</v>
      </c>
      <c r="S1155" s="527">
        <f t="shared" si="153"/>
        <v>6248766</v>
      </c>
      <c r="T1155" s="528">
        <f t="shared" si="154"/>
        <v>0</v>
      </c>
      <c r="U1155" s="527">
        <f t="shared" si="155"/>
        <v>186423</v>
      </c>
      <c r="W1155" s="326">
        <f t="shared" si="157"/>
        <v>7685616</v>
      </c>
      <c r="X1155" s="261">
        <f t="shared" si="156"/>
        <v>1</v>
      </c>
      <c r="Z1155" s="1016">
        <f t="shared" ref="Z1155:Z1217" si="158">SUM(F1155:K1155)</f>
        <v>7517028</v>
      </c>
    </row>
    <row r="1156" spans="1:26" ht="12" hidden="1" thickBot="1">
      <c r="A1156" s="588" t="s">
        <v>1428</v>
      </c>
      <c r="B1156" s="522" t="s">
        <v>178</v>
      </c>
      <c r="C1156" s="522" t="s">
        <v>1352</v>
      </c>
      <c r="D1156" s="542" t="s">
        <v>224</v>
      </c>
      <c r="E1156" s="960"/>
      <c r="F1156" s="961"/>
      <c r="G1156" s="961"/>
      <c r="H1156" s="961"/>
      <c r="I1156" s="961"/>
      <c r="J1156" s="962"/>
      <c r="K1156" s="962"/>
      <c r="L1156" s="961"/>
      <c r="M1156" s="961"/>
      <c r="N1156" s="961"/>
      <c r="O1156" s="961"/>
      <c r="P1156" s="962"/>
      <c r="Q1156" s="962"/>
      <c r="R1156" s="961"/>
      <c r="S1156" s="527">
        <f t="shared" si="153"/>
        <v>0</v>
      </c>
      <c r="T1156" s="528">
        <f t="shared" si="154"/>
        <v>0</v>
      </c>
      <c r="U1156" s="527">
        <f t="shared" si="155"/>
        <v>0</v>
      </c>
      <c r="W1156" s="326">
        <f t="shared" si="157"/>
        <v>0</v>
      </c>
      <c r="X1156" s="261">
        <f t="shared" si="156"/>
        <v>0</v>
      </c>
      <c r="Z1156" s="1016">
        <f t="shared" si="158"/>
        <v>0</v>
      </c>
    </row>
    <row r="1157" spans="1:26" ht="12" hidden="1" thickBot="1">
      <c r="A1157" s="588" t="s">
        <v>1428</v>
      </c>
      <c r="B1157" s="522" t="s">
        <v>179</v>
      </c>
      <c r="C1157" s="522" t="s">
        <v>64</v>
      </c>
      <c r="D1157" s="523" t="s">
        <v>18</v>
      </c>
      <c r="E1157" s="960">
        <v>98971337</v>
      </c>
      <c r="F1157" s="961">
        <v>648791</v>
      </c>
      <c r="G1157" s="961">
        <v>5801700</v>
      </c>
      <c r="H1157" s="961">
        <v>2862251</v>
      </c>
      <c r="I1157" s="961">
        <v>466155</v>
      </c>
      <c r="J1157" s="962"/>
      <c r="K1157" s="962"/>
      <c r="L1157" s="961">
        <v>215868</v>
      </c>
      <c r="M1157" s="961">
        <v>-241927</v>
      </c>
      <c r="N1157" s="961"/>
      <c r="O1157" s="961">
        <v>272383</v>
      </c>
      <c r="P1157" s="962"/>
      <c r="Q1157" s="961"/>
      <c r="R1157" s="961">
        <v>10025221</v>
      </c>
      <c r="S1157" s="527">
        <f t="shared" si="153"/>
        <v>9130106</v>
      </c>
      <c r="T1157" s="528">
        <f t="shared" si="154"/>
        <v>0</v>
      </c>
      <c r="U1157" s="527">
        <f t="shared" si="155"/>
        <v>272383</v>
      </c>
      <c r="W1157" s="326">
        <f t="shared" si="157"/>
        <v>10025221</v>
      </c>
      <c r="X1157" s="261">
        <f t="shared" si="156"/>
        <v>0</v>
      </c>
      <c r="Z1157" s="1016">
        <f t="shared" si="158"/>
        <v>9778897</v>
      </c>
    </row>
    <row r="1158" spans="1:26" ht="12" hidden="1" thickBot="1">
      <c r="A1158" s="588" t="s">
        <v>1428</v>
      </c>
      <c r="B1158" s="522" t="s">
        <v>180</v>
      </c>
      <c r="C1158" s="522" t="s">
        <v>204</v>
      </c>
      <c r="D1158" s="536" t="s">
        <v>219</v>
      </c>
      <c r="E1158" s="960">
        <v>584367</v>
      </c>
      <c r="F1158" s="961">
        <v>7440</v>
      </c>
      <c r="G1158" s="961">
        <v>24736</v>
      </c>
      <c r="H1158" s="961">
        <v>16900</v>
      </c>
      <c r="I1158" s="961">
        <v>1841</v>
      </c>
      <c r="J1158" s="962"/>
      <c r="K1158" s="962"/>
      <c r="L1158" s="961">
        <v>1275</v>
      </c>
      <c r="M1158" s="961">
        <v>-1428</v>
      </c>
      <c r="N1158" s="961">
        <v>1608</v>
      </c>
      <c r="O1158" s="962"/>
      <c r="P1158" s="962"/>
      <c r="Q1158" s="962"/>
      <c r="R1158" s="961">
        <v>52371</v>
      </c>
      <c r="S1158" s="527">
        <f>G1158+H1158+I1158</f>
        <v>43477</v>
      </c>
      <c r="T1158" s="528">
        <f t="shared" si="154"/>
        <v>0</v>
      </c>
      <c r="U1158" s="527">
        <f t="shared" si="155"/>
        <v>1608</v>
      </c>
      <c r="W1158" s="326">
        <f t="shared" si="157"/>
        <v>52372</v>
      </c>
      <c r="X1158" s="261">
        <f t="shared" si="156"/>
        <v>1</v>
      </c>
      <c r="Z1158" s="1016">
        <f t="shared" si="158"/>
        <v>50917</v>
      </c>
    </row>
    <row r="1159" spans="1:26" ht="12" hidden="1" thickBot="1">
      <c r="A1159" s="588" t="s">
        <v>1428</v>
      </c>
      <c r="B1159" s="522" t="s">
        <v>181</v>
      </c>
      <c r="C1159" s="522" t="s">
        <v>205</v>
      </c>
      <c r="D1159" s="536" t="s">
        <v>219</v>
      </c>
      <c r="E1159" s="960"/>
      <c r="F1159" s="961"/>
      <c r="G1159" s="961"/>
      <c r="H1159" s="961"/>
      <c r="I1159" s="961"/>
      <c r="J1159" s="962"/>
      <c r="K1159" s="962"/>
      <c r="L1159" s="961"/>
      <c r="M1159" s="961"/>
      <c r="N1159" s="961"/>
      <c r="O1159" s="962"/>
      <c r="P1159" s="962"/>
      <c r="Q1159" s="962"/>
      <c r="R1159" s="961"/>
      <c r="S1159" s="527">
        <f t="shared" si="153"/>
        <v>0</v>
      </c>
      <c r="T1159" s="528">
        <f t="shared" si="154"/>
        <v>0</v>
      </c>
      <c r="U1159" s="527">
        <f t="shared" si="155"/>
        <v>0</v>
      </c>
      <c r="W1159" s="326">
        <f t="shared" si="157"/>
        <v>0</v>
      </c>
      <c r="X1159" s="261">
        <f t="shared" si="156"/>
        <v>0</v>
      </c>
      <c r="Z1159" s="1016">
        <f t="shared" si="158"/>
        <v>0</v>
      </c>
    </row>
    <row r="1160" spans="1:26" ht="12" hidden="1" thickBot="1">
      <c r="A1160" s="588" t="s">
        <v>1428</v>
      </c>
      <c r="B1160" s="522" t="s">
        <v>182</v>
      </c>
      <c r="C1160" s="522" t="s">
        <v>206</v>
      </c>
      <c r="D1160" s="533" t="s">
        <v>228</v>
      </c>
      <c r="E1160" s="960"/>
      <c r="F1160" s="961"/>
      <c r="G1160" s="961"/>
      <c r="H1160" s="961"/>
      <c r="I1160" s="961"/>
      <c r="J1160" s="962"/>
      <c r="K1160" s="962"/>
      <c r="L1160" s="961"/>
      <c r="M1160" s="961"/>
      <c r="N1160" s="961"/>
      <c r="O1160" s="962"/>
      <c r="P1160" s="962"/>
      <c r="Q1160" s="962"/>
      <c r="R1160" s="961"/>
      <c r="S1160" s="527">
        <f t="shared" si="153"/>
        <v>0</v>
      </c>
      <c r="T1160" s="528">
        <f t="shared" si="154"/>
        <v>0</v>
      </c>
      <c r="U1160" s="527">
        <f t="shared" si="155"/>
        <v>0</v>
      </c>
      <c r="W1160" s="326">
        <f t="shared" si="157"/>
        <v>0</v>
      </c>
      <c r="X1160" s="261">
        <f t="shared" si="156"/>
        <v>0</v>
      </c>
      <c r="Z1160" s="1016">
        <f t="shared" si="158"/>
        <v>0</v>
      </c>
    </row>
    <row r="1161" spans="1:26" ht="12" hidden="1" thickBot="1">
      <c r="A1161" s="588" t="s">
        <v>1428</v>
      </c>
      <c r="B1161" s="522" t="s">
        <v>183</v>
      </c>
      <c r="C1161" s="522" t="s">
        <v>207</v>
      </c>
      <c r="D1161" s="535" t="s">
        <v>228</v>
      </c>
      <c r="E1161" s="960">
        <v>10830968</v>
      </c>
      <c r="F1161" s="961">
        <v>9065</v>
      </c>
      <c r="G1161" s="961">
        <v>458475</v>
      </c>
      <c r="H1161" s="961">
        <v>313232</v>
      </c>
      <c r="I1161" s="961">
        <v>34118</v>
      </c>
      <c r="J1161" s="962"/>
      <c r="K1161" s="962"/>
      <c r="L1161" s="961">
        <v>23624</v>
      </c>
      <c r="M1161" s="961">
        <v>-26475</v>
      </c>
      <c r="N1161" s="961">
        <v>29808</v>
      </c>
      <c r="O1161" s="962"/>
      <c r="P1161" s="962"/>
      <c r="Q1161" s="962"/>
      <c r="R1161" s="961">
        <v>841846</v>
      </c>
      <c r="S1161" s="527">
        <f t="shared" si="153"/>
        <v>805825</v>
      </c>
      <c r="T1161" s="528">
        <f t="shared" si="154"/>
        <v>0</v>
      </c>
      <c r="U1161" s="527">
        <f t="shared" si="155"/>
        <v>29808</v>
      </c>
      <c r="W1161" s="326">
        <f t="shared" si="157"/>
        <v>841847</v>
      </c>
      <c r="X1161" s="261">
        <f t="shared" si="156"/>
        <v>1</v>
      </c>
      <c r="Z1161" s="1016">
        <f t="shared" si="158"/>
        <v>814890</v>
      </c>
    </row>
    <row r="1162" spans="1:26" ht="12" hidden="1" thickBot="1">
      <c r="A1162" s="588" t="s">
        <v>1428</v>
      </c>
      <c r="B1162" s="522" t="s">
        <v>720</v>
      </c>
      <c r="C1162" s="522" t="s">
        <v>723</v>
      </c>
      <c r="D1162" s="535" t="s">
        <v>228</v>
      </c>
      <c r="E1162" s="960"/>
      <c r="F1162" s="961"/>
      <c r="G1162" s="961"/>
      <c r="H1162" s="961"/>
      <c r="I1162" s="961"/>
      <c r="J1162" s="962"/>
      <c r="K1162" s="962"/>
      <c r="L1162" s="961"/>
      <c r="M1162" s="961"/>
      <c r="N1162" s="961"/>
      <c r="O1162" s="962"/>
      <c r="P1162" s="962"/>
      <c r="Q1162" s="962"/>
      <c r="R1162" s="961"/>
      <c r="S1162" s="527">
        <f t="shared" si="153"/>
        <v>0</v>
      </c>
      <c r="T1162" s="528">
        <f t="shared" si="154"/>
        <v>0</v>
      </c>
      <c r="U1162" s="527">
        <f t="shared" si="155"/>
        <v>0</v>
      </c>
      <c r="W1162" s="326">
        <f t="shared" si="157"/>
        <v>0</v>
      </c>
      <c r="X1162" s="261">
        <f t="shared" si="156"/>
        <v>0</v>
      </c>
      <c r="Z1162" s="1016">
        <f t="shared" si="158"/>
        <v>0</v>
      </c>
    </row>
    <row r="1163" spans="1:26" ht="12" hidden="1" thickBot="1">
      <c r="A1163" s="588" t="s">
        <v>1428</v>
      </c>
      <c r="B1163" s="522" t="s">
        <v>721</v>
      </c>
      <c r="C1163" s="522" t="s">
        <v>724</v>
      </c>
      <c r="D1163" s="535" t="s">
        <v>219</v>
      </c>
      <c r="E1163" s="960"/>
      <c r="F1163" s="961"/>
      <c r="G1163" s="961"/>
      <c r="H1163" s="961"/>
      <c r="I1163" s="961"/>
      <c r="J1163" s="962"/>
      <c r="K1163" s="962"/>
      <c r="L1163" s="961"/>
      <c r="M1163" s="961"/>
      <c r="N1163" s="961"/>
      <c r="O1163" s="962"/>
      <c r="P1163" s="962"/>
      <c r="Q1163" s="962"/>
      <c r="R1163" s="961"/>
      <c r="S1163" s="527">
        <f t="shared" si="153"/>
        <v>0</v>
      </c>
      <c r="T1163" s="528">
        <f t="shared" si="154"/>
        <v>0</v>
      </c>
      <c r="U1163" s="527">
        <f t="shared" si="155"/>
        <v>0</v>
      </c>
      <c r="W1163" s="326">
        <f t="shared" si="157"/>
        <v>0</v>
      </c>
      <c r="X1163" s="261">
        <f t="shared" si="156"/>
        <v>0</v>
      </c>
      <c r="Z1163" s="1016">
        <f t="shared" si="158"/>
        <v>0</v>
      </c>
    </row>
    <row r="1164" spans="1:26" ht="12" hidden="1" thickBot="1">
      <c r="A1164" s="588" t="s">
        <v>1428</v>
      </c>
      <c r="B1164" s="522" t="s">
        <v>722</v>
      </c>
      <c r="C1164" s="522" t="s">
        <v>725</v>
      </c>
      <c r="D1164" s="523" t="s">
        <v>228</v>
      </c>
      <c r="E1164" s="960"/>
      <c r="F1164" s="961"/>
      <c r="G1164" s="961"/>
      <c r="H1164" s="961"/>
      <c r="I1164" s="961"/>
      <c r="J1164" s="962"/>
      <c r="K1164" s="962"/>
      <c r="L1164" s="961"/>
      <c r="M1164" s="961"/>
      <c r="N1164" s="961"/>
      <c r="O1164" s="962"/>
      <c r="P1164" s="962"/>
      <c r="Q1164" s="962"/>
      <c r="R1164" s="961"/>
      <c r="S1164" s="527">
        <f t="shared" si="153"/>
        <v>0</v>
      </c>
      <c r="T1164" s="528">
        <f t="shared" si="154"/>
        <v>0</v>
      </c>
      <c r="U1164" s="527">
        <f t="shared" si="155"/>
        <v>0</v>
      </c>
      <c r="W1164" s="326">
        <f t="shared" si="157"/>
        <v>0</v>
      </c>
      <c r="X1164" s="261">
        <f t="shared" si="156"/>
        <v>0</v>
      </c>
      <c r="Z1164" s="1016">
        <f t="shared" si="158"/>
        <v>0</v>
      </c>
    </row>
    <row r="1165" spans="1:26" ht="12" thickBot="1">
      <c r="A1165" s="588" t="s">
        <v>1428</v>
      </c>
      <c r="B1165" s="522" t="s">
        <v>233</v>
      </c>
      <c r="C1165" s="522" t="s">
        <v>651</v>
      </c>
      <c r="D1165" s="522" t="s">
        <v>20</v>
      </c>
      <c r="E1165" s="960">
        <v>14365</v>
      </c>
      <c r="F1165" s="962"/>
      <c r="G1165" s="961">
        <f>ROUND(E1165*0.0638,0)</f>
        <v>916</v>
      </c>
      <c r="H1165" s="961"/>
      <c r="I1165" s="961"/>
      <c r="J1165" s="962"/>
      <c r="K1165" s="962"/>
      <c r="L1165" s="962"/>
      <c r="M1165" s="961">
        <f>ROUND(E1165*-0.00244,0)</f>
        <v>-35</v>
      </c>
      <c r="N1165" s="961">
        <f>ROUND(E1165*0.00275,0)</f>
        <v>40</v>
      </c>
      <c r="O1165" s="962"/>
      <c r="P1165" s="962"/>
      <c r="Q1165" s="962"/>
      <c r="R1165" s="961">
        <f>SUM(F1165:Q1165)</f>
        <v>921</v>
      </c>
      <c r="S1165" s="527">
        <f>E1165*0.0638</f>
        <v>916.48699999999997</v>
      </c>
      <c r="T1165" s="528">
        <f t="shared" si="154"/>
        <v>0</v>
      </c>
      <c r="U1165" s="527">
        <f t="shared" si="155"/>
        <v>40</v>
      </c>
      <c r="W1165" s="326">
        <f t="shared" si="157"/>
        <v>921</v>
      </c>
      <c r="X1165" s="261">
        <f t="shared" si="156"/>
        <v>0</v>
      </c>
      <c r="Z1165" s="1016">
        <f t="shared" si="158"/>
        <v>916</v>
      </c>
    </row>
    <row r="1166" spans="1:26" ht="12" hidden="1" thickBot="1">
      <c r="A1166" s="588" t="s">
        <v>1428</v>
      </c>
      <c r="B1166" s="522" t="s">
        <v>232</v>
      </c>
      <c r="C1166" s="522" t="s">
        <v>651</v>
      </c>
      <c r="D1166" s="522" t="s">
        <v>20</v>
      </c>
      <c r="E1166" s="960"/>
      <c r="F1166" s="962"/>
      <c r="G1166" s="961"/>
      <c r="H1166" s="961"/>
      <c r="I1166" s="961"/>
      <c r="J1166" s="962"/>
      <c r="K1166" s="962"/>
      <c r="L1166" s="962"/>
      <c r="M1166" s="961"/>
      <c r="N1166" s="961"/>
      <c r="O1166" s="962"/>
      <c r="P1166" s="962"/>
      <c r="Q1166" s="962"/>
      <c r="R1166" s="961"/>
      <c r="S1166" s="527">
        <f t="shared" si="153"/>
        <v>0</v>
      </c>
      <c r="T1166" s="528">
        <f t="shared" si="154"/>
        <v>0</v>
      </c>
      <c r="U1166" s="527">
        <f t="shared" si="155"/>
        <v>0</v>
      </c>
      <c r="W1166" s="326">
        <f t="shared" si="157"/>
        <v>0</v>
      </c>
      <c r="X1166" s="261">
        <f t="shared" si="156"/>
        <v>0</v>
      </c>
      <c r="Z1166" s="1016">
        <f t="shared" si="158"/>
        <v>0</v>
      </c>
    </row>
    <row r="1167" spans="1:26" ht="12" thickBot="1">
      <c r="A1167" s="588" t="s">
        <v>1428</v>
      </c>
      <c r="B1167" s="522" t="s">
        <v>184</v>
      </c>
      <c r="C1167" s="522" t="s">
        <v>59</v>
      </c>
      <c r="D1167" s="523" t="s">
        <v>21</v>
      </c>
      <c r="E1167" s="960">
        <v>103686</v>
      </c>
      <c r="F1167" s="961">
        <f>'1022'!D356*3.25</f>
        <v>2427.75</v>
      </c>
      <c r="G1167" s="961">
        <f>ROUND(E1167*0.07978,0)</f>
        <v>8272</v>
      </c>
      <c r="H1167" s="961"/>
      <c r="I1167" s="961"/>
      <c r="J1167" s="962"/>
      <c r="K1167" s="962"/>
      <c r="L1167" s="962"/>
      <c r="M1167" s="961">
        <f>ROUND(E1167*-0.00244,0)</f>
        <v>-253</v>
      </c>
      <c r="N1167" s="961">
        <f>ROUND(E1167*0.00275,0)</f>
        <v>285</v>
      </c>
      <c r="O1167" s="962"/>
      <c r="P1167" s="962"/>
      <c r="Q1167" s="962"/>
      <c r="R1167" s="961">
        <f>SUM(F1167:Q1167)</f>
        <v>10731.75</v>
      </c>
      <c r="S1167" s="527">
        <f t="shared" si="153"/>
        <v>8272</v>
      </c>
      <c r="T1167" s="528">
        <f t="shared" si="154"/>
        <v>0</v>
      </c>
      <c r="U1167" s="527">
        <f t="shared" si="155"/>
        <v>285</v>
      </c>
      <c r="W1167" s="326">
        <f t="shared" si="157"/>
        <v>10731.75</v>
      </c>
      <c r="X1167" s="261"/>
      <c r="Z1167" s="1016">
        <f t="shared" si="158"/>
        <v>10699.75</v>
      </c>
    </row>
    <row r="1168" spans="1:26" ht="12" hidden="1" thickBot="1">
      <c r="A1168" s="588" t="s">
        <v>1428</v>
      </c>
      <c r="B1168" s="522" t="s">
        <v>652</v>
      </c>
      <c r="C1168" s="522" t="s">
        <v>676</v>
      </c>
      <c r="D1168" s="523" t="s">
        <v>21</v>
      </c>
      <c r="E1168" s="960"/>
      <c r="F1168" s="961"/>
      <c r="G1168" s="961"/>
      <c r="H1168" s="961"/>
      <c r="I1168" s="961"/>
      <c r="J1168" s="962"/>
      <c r="K1168" s="962"/>
      <c r="L1168" s="962"/>
      <c r="M1168" s="961"/>
      <c r="N1168" s="961"/>
      <c r="O1168" s="962"/>
      <c r="P1168" s="962"/>
      <c r="Q1168" s="962"/>
      <c r="R1168" s="961"/>
      <c r="S1168" s="527">
        <f t="shared" si="153"/>
        <v>0</v>
      </c>
      <c r="T1168" s="528">
        <f t="shared" si="154"/>
        <v>0</v>
      </c>
      <c r="U1168" s="527">
        <f t="shared" si="155"/>
        <v>0</v>
      </c>
      <c r="W1168" s="326">
        <f t="shared" si="157"/>
        <v>0</v>
      </c>
      <c r="X1168" s="261"/>
      <c r="Z1168" s="1016">
        <f t="shared" si="158"/>
        <v>0</v>
      </c>
    </row>
    <row r="1169" spans="1:26" ht="12" hidden="1" thickBot="1">
      <c r="A1169" s="588" t="s">
        <v>1428</v>
      </c>
      <c r="B1169" s="522" t="s">
        <v>728</v>
      </c>
      <c r="C1169" s="522" t="s">
        <v>726</v>
      </c>
      <c r="D1169" s="523" t="s">
        <v>727</v>
      </c>
      <c r="E1169" s="962"/>
      <c r="F1169" s="962"/>
      <c r="G1169" s="962"/>
      <c r="H1169" s="962"/>
      <c r="I1169" s="962"/>
      <c r="J1169" s="962"/>
      <c r="K1169" s="962"/>
      <c r="L1169" s="962"/>
      <c r="M1169" s="962"/>
      <c r="N1169" s="962"/>
      <c r="O1169" s="962"/>
      <c r="P1169" s="962"/>
      <c r="Q1169" s="962"/>
      <c r="R1169" s="961"/>
      <c r="S1169" s="527">
        <f t="shared" ref="S1169:S1231" si="159">G1169+H1169+I1169</f>
        <v>0</v>
      </c>
      <c r="T1169" s="528">
        <f t="shared" ref="T1169:T1231" si="160">J1169+K1169</f>
        <v>0</v>
      </c>
      <c r="U1169" s="527">
        <f t="shared" ref="U1169:U1231" si="161">N1169+O1169</f>
        <v>0</v>
      </c>
      <c r="W1169" s="326">
        <f t="shared" si="157"/>
        <v>0</v>
      </c>
      <c r="X1169" s="261">
        <f t="shared" ref="X1169:X1231" si="162">W1169-R1169</f>
        <v>0</v>
      </c>
      <c r="Z1169" s="1016">
        <f t="shared" si="158"/>
        <v>0</v>
      </c>
    </row>
    <row r="1170" spans="1:26" ht="12" hidden="1" thickBot="1">
      <c r="A1170" s="588" t="s">
        <v>1428</v>
      </c>
      <c r="B1170" s="522" t="s">
        <v>1043</v>
      </c>
      <c r="C1170" s="522" t="s">
        <v>1044</v>
      </c>
      <c r="D1170" s="523" t="s">
        <v>1052</v>
      </c>
      <c r="E1170" s="962"/>
      <c r="F1170" s="962"/>
      <c r="G1170" s="962"/>
      <c r="H1170" s="962"/>
      <c r="I1170" s="962"/>
      <c r="J1170" s="962"/>
      <c r="K1170" s="962"/>
      <c r="L1170" s="962"/>
      <c r="M1170" s="962"/>
      <c r="N1170" s="962"/>
      <c r="O1170" s="962"/>
      <c r="P1170" s="962"/>
      <c r="Q1170" s="962"/>
      <c r="R1170" s="961"/>
      <c r="S1170" s="527">
        <f t="shared" si="159"/>
        <v>0</v>
      </c>
      <c r="T1170" s="528">
        <f t="shared" si="160"/>
        <v>0</v>
      </c>
      <c r="U1170" s="527">
        <f t="shared" si="161"/>
        <v>0</v>
      </c>
      <c r="W1170" s="326">
        <f t="shared" si="157"/>
        <v>0</v>
      </c>
      <c r="X1170" s="261">
        <f t="shared" si="162"/>
        <v>0</v>
      </c>
      <c r="Z1170" s="1016">
        <f t="shared" si="158"/>
        <v>0</v>
      </c>
    </row>
    <row r="1171" spans="1:26" ht="12" hidden="1" thickBot="1">
      <c r="A1171" s="588" t="s">
        <v>1428</v>
      </c>
      <c r="B1171" s="522" t="s">
        <v>185</v>
      </c>
      <c r="C1171" s="522" t="s">
        <v>1353</v>
      </c>
      <c r="D1171" s="523" t="s">
        <v>224</v>
      </c>
      <c r="E1171" s="960"/>
      <c r="F1171" s="961"/>
      <c r="G1171" s="961"/>
      <c r="H1171" s="961"/>
      <c r="I1171" s="961"/>
      <c r="J1171" s="962"/>
      <c r="K1171" s="962"/>
      <c r="L1171" s="961"/>
      <c r="M1171" s="961"/>
      <c r="N1171" s="961"/>
      <c r="O1171" s="961"/>
      <c r="P1171" s="962"/>
      <c r="Q1171" s="962"/>
      <c r="R1171" s="961"/>
      <c r="S1171" s="527">
        <f t="shared" si="159"/>
        <v>0</v>
      </c>
      <c r="T1171" s="528">
        <f t="shared" si="160"/>
        <v>0</v>
      </c>
      <c r="U1171" s="527">
        <f t="shared" si="161"/>
        <v>0</v>
      </c>
      <c r="W1171" s="326">
        <f t="shared" si="157"/>
        <v>0</v>
      </c>
      <c r="X1171" s="261">
        <f t="shared" si="162"/>
        <v>0</v>
      </c>
      <c r="Z1171" s="1016">
        <f t="shared" si="158"/>
        <v>0</v>
      </c>
    </row>
    <row r="1172" spans="1:26" ht="12" hidden="1" thickBot="1">
      <c r="A1172" s="588" t="s">
        <v>1428</v>
      </c>
      <c r="B1172" s="522" t="s">
        <v>186</v>
      </c>
      <c r="C1172" s="522" t="s">
        <v>1354</v>
      </c>
      <c r="D1172" s="523" t="s">
        <v>18</v>
      </c>
      <c r="E1172" s="960"/>
      <c r="F1172" s="961"/>
      <c r="G1172" s="961"/>
      <c r="H1172" s="961"/>
      <c r="I1172" s="961"/>
      <c r="J1172" s="962"/>
      <c r="K1172" s="962"/>
      <c r="L1172" s="961"/>
      <c r="M1172" s="961"/>
      <c r="N1172" s="961"/>
      <c r="O1172" s="961"/>
      <c r="P1172" s="962"/>
      <c r="Q1172" s="962"/>
      <c r="R1172" s="961"/>
      <c r="S1172" s="527">
        <f t="shared" si="159"/>
        <v>0</v>
      </c>
      <c r="T1172" s="528">
        <f t="shared" si="160"/>
        <v>0</v>
      </c>
      <c r="U1172" s="527">
        <f t="shared" si="161"/>
        <v>0</v>
      </c>
      <c r="W1172" s="326">
        <f t="shared" si="157"/>
        <v>0</v>
      </c>
      <c r="X1172" s="261">
        <f t="shared" si="162"/>
        <v>0</v>
      </c>
      <c r="Z1172" s="1016">
        <f t="shared" si="158"/>
        <v>0</v>
      </c>
    </row>
    <row r="1173" spans="1:26" ht="12" hidden="1" thickBot="1">
      <c r="A1173" s="588" t="s">
        <v>1428</v>
      </c>
      <c r="B1173" s="522" t="s">
        <v>750</v>
      </c>
      <c r="C1173" s="522" t="s">
        <v>748</v>
      </c>
      <c r="D1173" s="522"/>
      <c r="E1173" s="962"/>
      <c r="F1173" s="962"/>
      <c r="G1173" s="962"/>
      <c r="H1173" s="962"/>
      <c r="I1173" s="962"/>
      <c r="J1173" s="962"/>
      <c r="K1173" s="962"/>
      <c r="L1173" s="962"/>
      <c r="M1173" s="962"/>
      <c r="N1173" s="962"/>
      <c r="O1173" s="962"/>
      <c r="P1173" s="962"/>
      <c r="Q1173" s="962"/>
      <c r="R1173" s="962"/>
      <c r="S1173" s="527">
        <f t="shared" si="159"/>
        <v>0</v>
      </c>
      <c r="T1173" s="528">
        <f t="shared" si="160"/>
        <v>0</v>
      </c>
      <c r="U1173" s="527">
        <f t="shared" si="161"/>
        <v>0</v>
      </c>
      <c r="W1173" s="326">
        <f t="shared" si="157"/>
        <v>0</v>
      </c>
      <c r="X1173" s="261">
        <f t="shared" si="162"/>
        <v>0</v>
      </c>
      <c r="Z1173" s="1016">
        <f t="shared" si="158"/>
        <v>0</v>
      </c>
    </row>
    <row r="1174" spans="1:26" ht="12" hidden="1" thickBot="1">
      <c r="A1174" s="588" t="s">
        <v>1428</v>
      </c>
      <c r="B1174" s="522" t="s">
        <v>187</v>
      </c>
      <c r="C1174" s="522" t="s">
        <v>457</v>
      </c>
      <c r="D1174" s="542" t="s">
        <v>78</v>
      </c>
      <c r="E1174" s="962"/>
      <c r="F1174" s="962"/>
      <c r="G1174" s="962"/>
      <c r="H1174" s="962"/>
      <c r="I1174" s="962"/>
      <c r="J1174" s="962"/>
      <c r="K1174" s="962"/>
      <c r="L1174" s="962"/>
      <c r="M1174" s="962"/>
      <c r="N1174" s="962"/>
      <c r="O1174" s="962"/>
      <c r="P1174" s="961">
        <v>-989829</v>
      </c>
      <c r="Q1174" s="962"/>
      <c r="R1174" s="961">
        <v>-989829</v>
      </c>
      <c r="S1174" s="527">
        <f t="shared" si="159"/>
        <v>0</v>
      </c>
      <c r="T1174" s="528">
        <f t="shared" si="160"/>
        <v>0</v>
      </c>
      <c r="U1174" s="527">
        <f t="shared" si="161"/>
        <v>0</v>
      </c>
      <c r="W1174" s="326">
        <f t="shared" si="157"/>
        <v>-989829</v>
      </c>
      <c r="X1174" s="261">
        <f t="shared" si="162"/>
        <v>0</v>
      </c>
      <c r="Z1174" s="1016">
        <f t="shared" si="158"/>
        <v>0</v>
      </c>
    </row>
    <row r="1175" spans="1:26" ht="12" hidden="1" thickBot="1">
      <c r="A1175" s="588" t="s">
        <v>1428</v>
      </c>
      <c r="B1175" s="522" t="s">
        <v>188</v>
      </c>
      <c r="C1175" s="522" t="s">
        <v>458</v>
      </c>
      <c r="D1175" s="522"/>
      <c r="E1175" s="962"/>
      <c r="F1175" s="962"/>
      <c r="G1175" s="962"/>
      <c r="H1175" s="962"/>
      <c r="I1175" s="962"/>
      <c r="J1175" s="962"/>
      <c r="K1175" s="962"/>
      <c r="L1175" s="962"/>
      <c r="M1175" s="962"/>
      <c r="N1175" s="962"/>
      <c r="O1175" s="962"/>
      <c r="P1175" s="961"/>
      <c r="Q1175" s="962"/>
      <c r="R1175" s="961"/>
      <c r="S1175" s="527">
        <f t="shared" si="159"/>
        <v>0</v>
      </c>
      <c r="T1175" s="528">
        <f t="shared" si="160"/>
        <v>0</v>
      </c>
      <c r="U1175" s="527">
        <f t="shared" si="161"/>
        <v>0</v>
      </c>
      <c r="W1175" s="326">
        <f t="shared" si="157"/>
        <v>0</v>
      </c>
      <c r="X1175" s="261">
        <f t="shared" si="162"/>
        <v>0</v>
      </c>
      <c r="Z1175" s="1016">
        <f t="shared" si="158"/>
        <v>0</v>
      </c>
    </row>
    <row r="1176" spans="1:26" ht="12" hidden="1" thickBot="1">
      <c r="A1176" s="588" t="s">
        <v>1428</v>
      </c>
      <c r="B1176" s="522" t="s">
        <v>1045</v>
      </c>
      <c r="C1176" s="522" t="s">
        <v>1046</v>
      </c>
      <c r="D1176" s="522"/>
      <c r="E1176" s="962"/>
      <c r="F1176" s="962"/>
      <c r="G1176" s="962"/>
      <c r="H1176" s="962"/>
      <c r="I1176" s="962"/>
      <c r="J1176" s="962"/>
      <c r="K1176" s="962"/>
      <c r="L1176" s="962"/>
      <c r="M1176" s="962"/>
      <c r="N1176" s="962"/>
      <c r="O1176" s="962"/>
      <c r="P1176" s="961"/>
      <c r="Q1176" s="962"/>
      <c r="R1176" s="961"/>
      <c r="S1176" s="527">
        <f t="shared" si="159"/>
        <v>0</v>
      </c>
      <c r="T1176" s="528">
        <f t="shared" si="160"/>
        <v>0</v>
      </c>
      <c r="U1176" s="527">
        <f t="shared" si="161"/>
        <v>0</v>
      </c>
      <c r="W1176" s="326">
        <f t="shared" si="157"/>
        <v>0</v>
      </c>
      <c r="X1176" s="261">
        <f t="shared" si="162"/>
        <v>0</v>
      </c>
      <c r="Z1176" s="1016">
        <f t="shared" si="158"/>
        <v>0</v>
      </c>
    </row>
    <row r="1177" spans="1:26" ht="12" hidden="1" thickBot="1">
      <c r="A1177" s="588" t="s">
        <v>1428</v>
      </c>
      <c r="B1177" s="522" t="s">
        <v>945</v>
      </c>
      <c r="C1177" s="522" t="s">
        <v>946</v>
      </c>
      <c r="D1177" s="522"/>
      <c r="E1177" s="962"/>
      <c r="F1177" s="962"/>
      <c r="G1177" s="962"/>
      <c r="H1177" s="962"/>
      <c r="I1177" s="962"/>
      <c r="J1177" s="962"/>
      <c r="K1177" s="962"/>
      <c r="L1177" s="962"/>
      <c r="M1177" s="962"/>
      <c r="N1177" s="962"/>
      <c r="O1177" s="962"/>
      <c r="P1177" s="962"/>
      <c r="Q1177" s="962"/>
      <c r="R1177" s="962"/>
      <c r="S1177" s="527">
        <f t="shared" si="159"/>
        <v>0</v>
      </c>
      <c r="T1177" s="528">
        <f t="shared" si="160"/>
        <v>0</v>
      </c>
      <c r="U1177" s="527">
        <f t="shared" si="161"/>
        <v>0</v>
      </c>
      <c r="W1177" s="326">
        <f t="shared" si="157"/>
        <v>0</v>
      </c>
      <c r="X1177" s="261">
        <f t="shared" si="162"/>
        <v>0</v>
      </c>
      <c r="Z1177" s="1016">
        <f t="shared" si="158"/>
        <v>0</v>
      </c>
    </row>
    <row r="1178" spans="1:26" ht="12" hidden="1" thickBot="1">
      <c r="A1178" s="588" t="s">
        <v>1428</v>
      </c>
      <c r="B1178" s="522" t="s">
        <v>947</v>
      </c>
      <c r="C1178" s="522" t="s">
        <v>948</v>
      </c>
      <c r="D1178" s="522"/>
      <c r="E1178" s="962"/>
      <c r="F1178" s="962"/>
      <c r="G1178" s="962"/>
      <c r="H1178" s="962"/>
      <c r="I1178" s="962"/>
      <c r="J1178" s="962"/>
      <c r="K1178" s="962"/>
      <c r="L1178" s="962"/>
      <c r="M1178" s="962"/>
      <c r="N1178" s="962"/>
      <c r="O1178" s="962"/>
      <c r="P1178" s="962"/>
      <c r="Q1178" s="962"/>
      <c r="R1178" s="962"/>
      <c r="S1178" s="527">
        <f t="shared" si="159"/>
        <v>0</v>
      </c>
      <c r="T1178" s="528">
        <f t="shared" si="160"/>
        <v>0</v>
      </c>
      <c r="U1178" s="527">
        <f t="shared" si="161"/>
        <v>0</v>
      </c>
      <c r="W1178" s="326">
        <f t="shared" si="157"/>
        <v>0</v>
      </c>
      <c r="X1178" s="261">
        <f t="shared" si="162"/>
        <v>0</v>
      </c>
      <c r="Z1178" s="1016">
        <f t="shared" si="158"/>
        <v>0</v>
      </c>
    </row>
    <row r="1179" spans="1:26" ht="12" hidden="1" thickBot="1">
      <c r="A1179" s="588" t="s">
        <v>1428</v>
      </c>
      <c r="B1179" s="522" t="s">
        <v>189</v>
      </c>
      <c r="C1179" s="522" t="s">
        <v>208</v>
      </c>
      <c r="D1179" s="533" t="s">
        <v>675</v>
      </c>
      <c r="E1179" s="960">
        <v>45641536</v>
      </c>
      <c r="F1179" s="961">
        <v>750</v>
      </c>
      <c r="G1179" s="961">
        <v>168417</v>
      </c>
      <c r="H1179" s="961">
        <v>1319953</v>
      </c>
      <c r="I1179" s="962"/>
      <c r="J1179" s="961">
        <v>51887</v>
      </c>
      <c r="K1179" s="961">
        <v>668312</v>
      </c>
      <c r="L1179" s="961"/>
      <c r="M1179" s="961">
        <v>-111567</v>
      </c>
      <c r="N1179" s="961"/>
      <c r="O1179" s="961">
        <v>125612</v>
      </c>
      <c r="P1179" s="962"/>
      <c r="Q1179" s="962"/>
      <c r="R1179" s="961">
        <v>2223365</v>
      </c>
      <c r="S1179" s="527">
        <f t="shared" si="159"/>
        <v>1488370</v>
      </c>
      <c r="T1179" s="528">
        <f t="shared" si="160"/>
        <v>720199</v>
      </c>
      <c r="U1179" s="527">
        <f t="shared" si="161"/>
        <v>125612</v>
      </c>
      <c r="W1179" s="326">
        <f t="shared" si="157"/>
        <v>2223364</v>
      </c>
      <c r="X1179" s="261">
        <f t="shared" si="162"/>
        <v>-1</v>
      </c>
      <c r="Z1179" s="1016">
        <f t="shared" si="158"/>
        <v>2209319</v>
      </c>
    </row>
    <row r="1180" spans="1:26" ht="12" hidden="1" thickBot="1">
      <c r="A1180" s="588" t="s">
        <v>1428</v>
      </c>
      <c r="B1180" s="522" t="s">
        <v>209</v>
      </c>
      <c r="C1180" s="522" t="s">
        <v>210</v>
      </c>
      <c r="D1180" s="522"/>
      <c r="E1180" s="960"/>
      <c r="F1180" s="962"/>
      <c r="G1180" s="961"/>
      <c r="H1180" s="962"/>
      <c r="I1180" s="962"/>
      <c r="J1180" s="962"/>
      <c r="K1180" s="961"/>
      <c r="L1180" s="962"/>
      <c r="M1180" s="961"/>
      <c r="N1180" s="962"/>
      <c r="O1180" s="962"/>
      <c r="P1180" s="962"/>
      <c r="Q1180" s="962"/>
      <c r="R1180" s="961"/>
      <c r="S1180" s="527">
        <f t="shared" si="159"/>
        <v>0</v>
      </c>
      <c r="T1180" s="528">
        <f t="shared" si="160"/>
        <v>0</v>
      </c>
      <c r="U1180" s="527">
        <f t="shared" si="161"/>
        <v>0</v>
      </c>
      <c r="W1180" s="326">
        <f t="shared" si="157"/>
        <v>0</v>
      </c>
      <c r="X1180" s="261">
        <f t="shared" si="162"/>
        <v>0</v>
      </c>
      <c r="Z1180" s="1016">
        <f t="shared" si="158"/>
        <v>0</v>
      </c>
    </row>
    <row r="1181" spans="1:26" ht="12" hidden="1" thickBot="1">
      <c r="A1181" s="588" t="s">
        <v>1428</v>
      </c>
      <c r="B1181" s="522" t="s">
        <v>211</v>
      </c>
      <c r="C1181" s="522" t="s">
        <v>212</v>
      </c>
      <c r="D1181" s="522"/>
      <c r="E1181" s="960"/>
      <c r="F1181" s="962"/>
      <c r="G1181" s="961"/>
      <c r="H1181" s="962"/>
      <c r="I1181" s="962"/>
      <c r="J1181" s="962"/>
      <c r="K1181" s="961"/>
      <c r="L1181" s="962"/>
      <c r="M1181" s="961"/>
      <c r="N1181" s="962"/>
      <c r="O1181" s="962"/>
      <c r="P1181" s="962"/>
      <c r="Q1181" s="962"/>
      <c r="R1181" s="961"/>
      <c r="S1181" s="527">
        <f t="shared" si="159"/>
        <v>0</v>
      </c>
      <c r="T1181" s="528">
        <f t="shared" si="160"/>
        <v>0</v>
      </c>
      <c r="U1181" s="527">
        <f t="shared" si="161"/>
        <v>0</v>
      </c>
      <c r="W1181" s="326">
        <f t="shared" si="157"/>
        <v>0</v>
      </c>
      <c r="X1181" s="261">
        <f t="shared" si="162"/>
        <v>0</v>
      </c>
      <c r="Z1181" s="1016">
        <f t="shared" si="158"/>
        <v>0</v>
      </c>
    </row>
    <row r="1182" spans="1:26" ht="12" hidden="1" thickBot="1">
      <c r="A1182" s="588" t="s">
        <v>1428</v>
      </c>
      <c r="B1182" s="522" t="s">
        <v>213</v>
      </c>
      <c r="C1182" s="522" t="s">
        <v>214</v>
      </c>
      <c r="D1182" s="522"/>
      <c r="E1182" s="960"/>
      <c r="F1182" s="962"/>
      <c r="G1182" s="961"/>
      <c r="H1182" s="962"/>
      <c r="I1182" s="962"/>
      <c r="J1182" s="962"/>
      <c r="K1182" s="961"/>
      <c r="L1182" s="962"/>
      <c r="M1182" s="961"/>
      <c r="N1182" s="962"/>
      <c r="O1182" s="962"/>
      <c r="P1182" s="962"/>
      <c r="Q1182" s="962"/>
      <c r="R1182" s="961"/>
      <c r="S1182" s="527">
        <f t="shared" si="159"/>
        <v>0</v>
      </c>
      <c r="T1182" s="528">
        <f t="shared" si="160"/>
        <v>0</v>
      </c>
      <c r="U1182" s="527">
        <f t="shared" si="161"/>
        <v>0</v>
      </c>
      <c r="W1182" s="326">
        <f t="shared" si="157"/>
        <v>0</v>
      </c>
      <c r="X1182" s="261">
        <f t="shared" si="162"/>
        <v>0</v>
      </c>
      <c r="Z1182" s="1016">
        <f t="shared" si="158"/>
        <v>0</v>
      </c>
    </row>
    <row r="1183" spans="1:26" ht="12" hidden="1" thickBot="1">
      <c r="A1183" s="588" t="s">
        <v>1428</v>
      </c>
      <c r="B1183" s="522" t="s">
        <v>949</v>
      </c>
      <c r="C1183" s="522" t="s">
        <v>943</v>
      </c>
      <c r="D1183" s="522"/>
      <c r="E1183" s="962"/>
      <c r="F1183" s="962"/>
      <c r="G1183" s="962"/>
      <c r="H1183" s="962"/>
      <c r="I1183" s="962"/>
      <c r="J1183" s="962"/>
      <c r="K1183" s="962"/>
      <c r="L1183" s="962"/>
      <c r="M1183" s="962"/>
      <c r="N1183" s="962"/>
      <c r="O1183" s="962"/>
      <c r="P1183" s="962"/>
      <c r="Q1183" s="962"/>
      <c r="R1183" s="962"/>
      <c r="S1183" s="527">
        <f t="shared" si="159"/>
        <v>0</v>
      </c>
      <c r="T1183" s="528">
        <f t="shared" si="160"/>
        <v>0</v>
      </c>
      <c r="U1183" s="527">
        <f t="shared" si="161"/>
        <v>0</v>
      </c>
      <c r="W1183" s="326">
        <f t="shared" si="157"/>
        <v>0</v>
      </c>
      <c r="X1183" s="261">
        <f t="shared" si="162"/>
        <v>0</v>
      </c>
      <c r="Z1183" s="1016">
        <f t="shared" si="158"/>
        <v>0</v>
      </c>
    </row>
    <row r="1184" spans="1:26" ht="12" hidden="1" thickBot="1">
      <c r="A1184" s="588" t="s">
        <v>1428</v>
      </c>
      <c r="B1184" s="522" t="s">
        <v>190</v>
      </c>
      <c r="C1184" s="522" t="s">
        <v>111</v>
      </c>
      <c r="D1184" s="533" t="s">
        <v>15</v>
      </c>
      <c r="E1184" s="960">
        <v>515550084</v>
      </c>
      <c r="F1184" s="961">
        <v>4594535</v>
      </c>
      <c r="G1184" s="961">
        <v>23390507</v>
      </c>
      <c r="H1184" s="961">
        <v>14909708</v>
      </c>
      <c r="I1184" s="961">
        <v>1623983</v>
      </c>
      <c r="J1184" s="962"/>
      <c r="K1184" s="962"/>
      <c r="L1184" s="961">
        <v>1124472</v>
      </c>
      <c r="M1184" s="961">
        <v>-1260217</v>
      </c>
      <c r="N1184" s="961">
        <v>1418868</v>
      </c>
      <c r="O1184" s="962"/>
      <c r="P1184" s="962"/>
      <c r="Q1184" s="961"/>
      <c r="R1184" s="961">
        <v>45801857</v>
      </c>
      <c r="S1184" s="527">
        <f t="shared" si="159"/>
        <v>39924198</v>
      </c>
      <c r="T1184" s="528">
        <f t="shared" si="160"/>
        <v>0</v>
      </c>
      <c r="U1184" s="527">
        <f t="shared" si="161"/>
        <v>1418868</v>
      </c>
      <c r="W1184" s="326">
        <f t="shared" si="157"/>
        <v>45801856</v>
      </c>
      <c r="X1184" s="261">
        <f t="shared" si="162"/>
        <v>-1</v>
      </c>
      <c r="Z1184" s="1016">
        <f t="shared" si="158"/>
        <v>44518733</v>
      </c>
    </row>
    <row r="1185" spans="1:26" ht="12" hidden="1" thickBot="1">
      <c r="A1185" s="588" t="s">
        <v>1428</v>
      </c>
      <c r="B1185" s="522" t="s">
        <v>191</v>
      </c>
      <c r="C1185" s="522" t="s">
        <v>215</v>
      </c>
      <c r="D1185" s="533" t="s">
        <v>15</v>
      </c>
      <c r="E1185" s="960"/>
      <c r="F1185" s="961"/>
      <c r="G1185" s="961"/>
      <c r="H1185" s="961"/>
      <c r="I1185" s="961"/>
      <c r="J1185" s="962"/>
      <c r="K1185" s="962"/>
      <c r="L1185" s="961"/>
      <c r="M1185" s="961"/>
      <c r="N1185" s="961"/>
      <c r="O1185" s="962"/>
      <c r="P1185" s="962"/>
      <c r="Q1185" s="961"/>
      <c r="R1185" s="961"/>
      <c r="S1185" s="527">
        <f t="shared" si="159"/>
        <v>0</v>
      </c>
      <c r="T1185" s="528">
        <f t="shared" si="160"/>
        <v>0</v>
      </c>
      <c r="U1185" s="527">
        <f t="shared" si="161"/>
        <v>0</v>
      </c>
      <c r="W1185" s="326">
        <f t="shared" si="157"/>
        <v>0</v>
      </c>
      <c r="X1185" s="261">
        <f t="shared" si="162"/>
        <v>0</v>
      </c>
      <c r="Z1185" s="1016">
        <f t="shared" si="158"/>
        <v>0</v>
      </c>
    </row>
    <row r="1186" spans="1:26" ht="12" hidden="1" thickBot="1">
      <c r="A1186" s="588" t="s">
        <v>1428</v>
      </c>
      <c r="B1186" s="522" t="s">
        <v>192</v>
      </c>
      <c r="C1186" s="522" t="s">
        <v>216</v>
      </c>
      <c r="D1186" s="533" t="s">
        <v>15</v>
      </c>
      <c r="E1186" s="960"/>
      <c r="F1186" s="961"/>
      <c r="G1186" s="961"/>
      <c r="H1186" s="961"/>
      <c r="I1186" s="961"/>
      <c r="J1186" s="962"/>
      <c r="K1186" s="962"/>
      <c r="L1186" s="961"/>
      <c r="M1186" s="961"/>
      <c r="N1186" s="961"/>
      <c r="O1186" s="962"/>
      <c r="P1186" s="962"/>
      <c r="Q1186" s="962"/>
      <c r="R1186" s="961"/>
      <c r="S1186" s="527">
        <f t="shared" si="159"/>
        <v>0</v>
      </c>
      <c r="T1186" s="528">
        <f t="shared" si="160"/>
        <v>0</v>
      </c>
      <c r="U1186" s="527">
        <f t="shared" si="161"/>
        <v>0</v>
      </c>
      <c r="W1186" s="326">
        <f t="shared" si="157"/>
        <v>0</v>
      </c>
      <c r="X1186" s="261">
        <f t="shared" si="162"/>
        <v>0</v>
      </c>
      <c r="Z1186" s="1016">
        <f t="shared" si="158"/>
        <v>0</v>
      </c>
    </row>
    <row r="1187" spans="1:26" ht="12" hidden="1" thickBot="1">
      <c r="A1187" s="588" t="s">
        <v>1428</v>
      </c>
      <c r="B1187" s="522" t="s">
        <v>477</v>
      </c>
      <c r="C1187" s="522" t="s">
        <v>1263</v>
      </c>
      <c r="D1187" s="542" t="s">
        <v>807</v>
      </c>
      <c r="E1187" s="960"/>
      <c r="F1187" s="961"/>
      <c r="G1187" s="961"/>
      <c r="H1187" s="961"/>
      <c r="I1187" s="961"/>
      <c r="J1187" s="962"/>
      <c r="K1187" s="962"/>
      <c r="L1187" s="961"/>
      <c r="M1187" s="961"/>
      <c r="N1187" s="961"/>
      <c r="O1187" s="962"/>
      <c r="P1187" s="962"/>
      <c r="Q1187" s="962"/>
      <c r="R1187" s="961"/>
      <c r="S1187" s="527">
        <f t="shared" si="159"/>
        <v>0</v>
      </c>
      <c r="T1187" s="528">
        <f t="shared" si="160"/>
        <v>0</v>
      </c>
      <c r="U1187" s="527">
        <f t="shared" si="161"/>
        <v>0</v>
      </c>
      <c r="W1187" s="326">
        <f t="shared" si="157"/>
        <v>0</v>
      </c>
      <c r="X1187" s="261">
        <f t="shared" si="162"/>
        <v>0</v>
      </c>
      <c r="Z1187" s="1016">
        <f t="shared" si="158"/>
        <v>0</v>
      </c>
    </row>
    <row r="1188" spans="1:26" ht="12" hidden="1" thickBot="1">
      <c r="A1188" s="588" t="s">
        <v>1428</v>
      </c>
      <c r="B1188" s="522" t="s">
        <v>193</v>
      </c>
      <c r="C1188" s="522" t="s">
        <v>217</v>
      </c>
      <c r="D1188" s="533" t="s">
        <v>15</v>
      </c>
      <c r="E1188" s="960"/>
      <c r="F1188" s="961"/>
      <c r="G1188" s="961"/>
      <c r="H1188" s="961"/>
      <c r="I1188" s="961"/>
      <c r="J1188" s="962"/>
      <c r="K1188" s="962"/>
      <c r="L1188" s="961"/>
      <c r="M1188" s="961"/>
      <c r="N1188" s="961"/>
      <c r="O1188" s="962"/>
      <c r="P1188" s="962"/>
      <c r="Q1188" s="962"/>
      <c r="R1188" s="961"/>
      <c r="S1188" s="527">
        <f t="shared" si="159"/>
        <v>0</v>
      </c>
      <c r="T1188" s="528">
        <f t="shared" si="160"/>
        <v>0</v>
      </c>
      <c r="U1188" s="527">
        <f t="shared" si="161"/>
        <v>0</v>
      </c>
      <c r="W1188" s="326">
        <f t="shared" si="157"/>
        <v>0</v>
      </c>
      <c r="X1188" s="261">
        <f t="shared" si="162"/>
        <v>0</v>
      </c>
      <c r="Z1188" s="1016">
        <f t="shared" si="158"/>
        <v>0</v>
      </c>
    </row>
    <row r="1189" spans="1:26" ht="12" hidden="1" thickBot="1">
      <c r="A1189" s="588" t="s">
        <v>1428</v>
      </c>
      <c r="B1189" s="522" t="s">
        <v>194</v>
      </c>
      <c r="C1189" s="522" t="s">
        <v>218</v>
      </c>
      <c r="D1189" s="533" t="s">
        <v>15</v>
      </c>
      <c r="E1189" s="960"/>
      <c r="F1189" s="961"/>
      <c r="G1189" s="961"/>
      <c r="H1189" s="961"/>
      <c r="I1189" s="961"/>
      <c r="J1189" s="962"/>
      <c r="K1189" s="962"/>
      <c r="L1189" s="961"/>
      <c r="M1189" s="961"/>
      <c r="N1189" s="961"/>
      <c r="O1189" s="962"/>
      <c r="P1189" s="962"/>
      <c r="Q1189" s="962"/>
      <c r="R1189" s="961"/>
      <c r="S1189" s="527">
        <f t="shared" si="159"/>
        <v>0</v>
      </c>
      <c r="T1189" s="528">
        <f t="shared" si="160"/>
        <v>0</v>
      </c>
      <c r="U1189" s="527">
        <f t="shared" si="161"/>
        <v>0</v>
      </c>
      <c r="W1189" s="326">
        <f t="shared" si="157"/>
        <v>0</v>
      </c>
      <c r="X1189" s="261">
        <f t="shared" si="162"/>
        <v>0</v>
      </c>
      <c r="Z1189" s="1016">
        <f t="shared" si="158"/>
        <v>0</v>
      </c>
    </row>
    <row r="1190" spans="1:26" ht="12" hidden="1" thickBot="1">
      <c r="A1190" s="588" t="s">
        <v>1428</v>
      </c>
      <c r="B1190" s="522" t="s">
        <v>950</v>
      </c>
      <c r="C1190" s="522" t="s">
        <v>951</v>
      </c>
      <c r="D1190" s="522"/>
      <c r="E1190" s="962"/>
      <c r="F1190" s="962"/>
      <c r="G1190" s="962"/>
      <c r="H1190" s="962"/>
      <c r="I1190" s="962"/>
      <c r="J1190" s="962"/>
      <c r="K1190" s="962"/>
      <c r="L1190" s="962"/>
      <c r="M1190" s="962"/>
      <c r="N1190" s="962"/>
      <c r="O1190" s="962"/>
      <c r="P1190" s="962"/>
      <c r="Q1190" s="962"/>
      <c r="R1190" s="962"/>
      <c r="S1190" s="527">
        <f t="shared" si="159"/>
        <v>0</v>
      </c>
      <c r="T1190" s="528">
        <f t="shared" si="160"/>
        <v>0</v>
      </c>
      <c r="U1190" s="527">
        <f t="shared" si="161"/>
        <v>0</v>
      </c>
      <c r="W1190" s="326">
        <f t="shared" si="157"/>
        <v>0</v>
      </c>
      <c r="X1190" s="261">
        <f t="shared" si="162"/>
        <v>0</v>
      </c>
      <c r="Z1190" s="1016">
        <f t="shared" si="158"/>
        <v>0</v>
      </c>
    </row>
    <row r="1191" spans="1:26" ht="12" hidden="1" thickBot="1">
      <c r="A1191" s="588" t="s">
        <v>1428</v>
      </c>
      <c r="B1191" s="522" t="s">
        <v>339</v>
      </c>
      <c r="C1191" s="522" t="s">
        <v>952</v>
      </c>
      <c r="D1191" s="523" t="s">
        <v>1035</v>
      </c>
      <c r="E1191" s="960"/>
      <c r="F1191" s="962"/>
      <c r="G1191" s="961"/>
      <c r="H1191" s="962"/>
      <c r="I1191" s="962"/>
      <c r="J1191" s="962"/>
      <c r="K1191" s="962"/>
      <c r="L1191" s="962"/>
      <c r="M1191" s="961"/>
      <c r="N1191" s="961"/>
      <c r="O1191" s="962"/>
      <c r="P1191" s="962"/>
      <c r="Q1191" s="961"/>
      <c r="R1191" s="961"/>
      <c r="S1191" s="527">
        <f t="shared" si="159"/>
        <v>0</v>
      </c>
      <c r="T1191" s="528">
        <f t="shared" si="160"/>
        <v>0</v>
      </c>
      <c r="U1191" s="527">
        <f t="shared" si="161"/>
        <v>0</v>
      </c>
      <c r="W1191" s="326">
        <f t="shared" si="157"/>
        <v>0</v>
      </c>
      <c r="X1191" s="261">
        <f t="shared" si="162"/>
        <v>0</v>
      </c>
      <c r="Z1191" s="1016">
        <f t="shared" si="158"/>
        <v>0</v>
      </c>
    </row>
    <row r="1192" spans="1:26" ht="12" hidden="1" thickBot="1">
      <c r="A1192" s="588" t="s">
        <v>1428</v>
      </c>
      <c r="B1192" s="522" t="s">
        <v>344</v>
      </c>
      <c r="C1192" s="522" t="s">
        <v>953</v>
      </c>
      <c r="D1192" s="523" t="s">
        <v>1035</v>
      </c>
      <c r="E1192" s="960"/>
      <c r="F1192" s="962"/>
      <c r="G1192" s="961"/>
      <c r="H1192" s="962"/>
      <c r="I1192" s="962"/>
      <c r="J1192" s="962"/>
      <c r="K1192" s="962"/>
      <c r="L1192" s="962"/>
      <c r="M1192" s="961"/>
      <c r="N1192" s="961"/>
      <c r="O1192" s="962"/>
      <c r="P1192" s="962"/>
      <c r="Q1192" s="961"/>
      <c r="R1192" s="961"/>
      <c r="S1192" s="527">
        <f t="shared" si="159"/>
        <v>0</v>
      </c>
      <c r="T1192" s="528">
        <f t="shared" si="160"/>
        <v>0</v>
      </c>
      <c r="U1192" s="527">
        <f t="shared" si="161"/>
        <v>0</v>
      </c>
      <c r="W1192" s="326">
        <f t="shared" si="157"/>
        <v>0</v>
      </c>
      <c r="X1192" s="261">
        <f t="shared" si="162"/>
        <v>0</v>
      </c>
      <c r="Z1192" s="1016">
        <f t="shared" si="158"/>
        <v>0</v>
      </c>
    </row>
    <row r="1193" spans="1:26" ht="12" hidden="1" thickBot="1">
      <c r="A1193" s="588" t="s">
        <v>1428</v>
      </c>
      <c r="B1193" s="522" t="s">
        <v>347</v>
      </c>
      <c r="C1193" s="522" t="s">
        <v>954</v>
      </c>
      <c r="D1193" s="523" t="s">
        <v>1035</v>
      </c>
      <c r="E1193" s="960"/>
      <c r="F1193" s="962"/>
      <c r="G1193" s="961"/>
      <c r="H1193" s="962"/>
      <c r="I1193" s="962"/>
      <c r="J1193" s="962"/>
      <c r="K1193" s="962"/>
      <c r="L1193" s="962"/>
      <c r="M1193" s="961"/>
      <c r="N1193" s="961"/>
      <c r="O1193" s="962"/>
      <c r="P1193" s="962"/>
      <c r="Q1193" s="961"/>
      <c r="R1193" s="961"/>
      <c r="S1193" s="527">
        <f t="shared" si="159"/>
        <v>0</v>
      </c>
      <c r="T1193" s="528">
        <f t="shared" si="160"/>
        <v>0</v>
      </c>
      <c r="U1193" s="527">
        <f t="shared" si="161"/>
        <v>0</v>
      </c>
      <c r="W1193" s="326">
        <f t="shared" si="157"/>
        <v>0</v>
      </c>
      <c r="X1193" s="261">
        <f t="shared" si="162"/>
        <v>0</v>
      </c>
      <c r="Z1193" s="1016">
        <f t="shared" si="158"/>
        <v>0</v>
      </c>
    </row>
    <row r="1194" spans="1:26" ht="12" hidden="1" thickBot="1">
      <c r="A1194" s="588" t="s">
        <v>1428</v>
      </c>
      <c r="B1194" s="522" t="s">
        <v>348</v>
      </c>
      <c r="C1194" s="522" t="s">
        <v>955</v>
      </c>
      <c r="D1194" s="523" t="s">
        <v>1035</v>
      </c>
      <c r="E1194" s="960"/>
      <c r="F1194" s="962"/>
      <c r="G1194" s="961"/>
      <c r="H1194" s="962"/>
      <c r="I1194" s="962"/>
      <c r="J1194" s="962"/>
      <c r="K1194" s="962"/>
      <c r="L1194" s="962"/>
      <c r="M1194" s="961"/>
      <c r="N1194" s="961"/>
      <c r="O1194" s="962"/>
      <c r="P1194" s="962"/>
      <c r="Q1194" s="961"/>
      <c r="R1194" s="961"/>
      <c r="S1194" s="527">
        <f t="shared" si="159"/>
        <v>0</v>
      </c>
      <c r="T1194" s="528">
        <f t="shared" si="160"/>
        <v>0</v>
      </c>
      <c r="U1194" s="527">
        <f t="shared" si="161"/>
        <v>0</v>
      </c>
      <c r="W1194" s="326">
        <f t="shared" si="157"/>
        <v>0</v>
      </c>
      <c r="X1194" s="261">
        <f t="shared" si="162"/>
        <v>0</v>
      </c>
      <c r="Z1194" s="1016">
        <f t="shared" si="158"/>
        <v>0</v>
      </c>
    </row>
    <row r="1195" spans="1:26" ht="12" hidden="1" thickBot="1">
      <c r="A1195" s="588" t="s">
        <v>1428</v>
      </c>
      <c r="B1195" s="522" t="s">
        <v>349</v>
      </c>
      <c r="C1195" s="522" t="s">
        <v>956</v>
      </c>
      <c r="D1195" s="523" t="s">
        <v>1035</v>
      </c>
      <c r="E1195" s="960"/>
      <c r="F1195" s="962"/>
      <c r="G1195" s="961"/>
      <c r="H1195" s="962"/>
      <c r="I1195" s="962"/>
      <c r="J1195" s="962"/>
      <c r="K1195" s="962"/>
      <c r="L1195" s="962"/>
      <c r="M1195" s="961"/>
      <c r="N1195" s="961"/>
      <c r="O1195" s="962"/>
      <c r="P1195" s="962"/>
      <c r="Q1195" s="961"/>
      <c r="R1195" s="961"/>
      <c r="S1195" s="527">
        <f t="shared" si="159"/>
        <v>0</v>
      </c>
      <c r="T1195" s="528">
        <f t="shared" si="160"/>
        <v>0</v>
      </c>
      <c r="U1195" s="527">
        <f t="shared" si="161"/>
        <v>0</v>
      </c>
      <c r="W1195" s="326">
        <f t="shared" si="157"/>
        <v>0</v>
      </c>
      <c r="X1195" s="261">
        <f t="shared" si="162"/>
        <v>0</v>
      </c>
      <c r="Z1195" s="1016">
        <f t="shared" si="158"/>
        <v>0</v>
      </c>
    </row>
    <row r="1196" spans="1:26" ht="12" hidden="1" thickBot="1">
      <c r="A1196" s="588" t="s">
        <v>1428</v>
      </c>
      <c r="B1196" s="522" t="s">
        <v>351</v>
      </c>
      <c r="C1196" s="522" t="s">
        <v>957</v>
      </c>
      <c r="D1196" s="523" t="s">
        <v>1035</v>
      </c>
      <c r="E1196" s="960"/>
      <c r="F1196" s="962"/>
      <c r="G1196" s="961"/>
      <c r="H1196" s="962"/>
      <c r="I1196" s="962"/>
      <c r="J1196" s="962"/>
      <c r="K1196" s="962"/>
      <c r="L1196" s="962"/>
      <c r="M1196" s="961"/>
      <c r="N1196" s="961"/>
      <c r="O1196" s="962"/>
      <c r="P1196" s="962"/>
      <c r="Q1196" s="961"/>
      <c r="R1196" s="961"/>
      <c r="S1196" s="527">
        <f t="shared" si="159"/>
        <v>0</v>
      </c>
      <c r="T1196" s="528">
        <f t="shared" si="160"/>
        <v>0</v>
      </c>
      <c r="U1196" s="527">
        <f t="shared" si="161"/>
        <v>0</v>
      </c>
      <c r="W1196" s="326">
        <f t="shared" si="157"/>
        <v>0</v>
      </c>
      <c r="X1196" s="261">
        <f t="shared" si="162"/>
        <v>0</v>
      </c>
      <c r="Z1196" s="1016">
        <f t="shared" si="158"/>
        <v>0</v>
      </c>
    </row>
    <row r="1197" spans="1:26" ht="12" hidden="1" thickBot="1">
      <c r="A1197" s="588" t="s">
        <v>1428</v>
      </c>
      <c r="B1197" s="522" t="s">
        <v>352</v>
      </c>
      <c r="C1197" s="522" t="s">
        <v>958</v>
      </c>
      <c r="D1197" s="523" t="s">
        <v>1035</v>
      </c>
      <c r="E1197" s="960"/>
      <c r="F1197" s="962"/>
      <c r="G1197" s="961"/>
      <c r="H1197" s="962"/>
      <c r="I1197" s="962"/>
      <c r="J1197" s="962"/>
      <c r="K1197" s="962"/>
      <c r="L1197" s="962"/>
      <c r="M1197" s="961"/>
      <c r="N1197" s="961"/>
      <c r="O1197" s="962"/>
      <c r="P1197" s="962"/>
      <c r="Q1197" s="961"/>
      <c r="R1197" s="961"/>
      <c r="S1197" s="527">
        <f t="shared" si="159"/>
        <v>0</v>
      </c>
      <c r="T1197" s="528">
        <f t="shared" si="160"/>
        <v>0</v>
      </c>
      <c r="U1197" s="527">
        <f t="shared" si="161"/>
        <v>0</v>
      </c>
      <c r="W1197" s="326">
        <f t="shared" si="157"/>
        <v>0</v>
      </c>
      <c r="X1197" s="261">
        <f t="shared" si="162"/>
        <v>0</v>
      </c>
      <c r="Z1197" s="1016">
        <f t="shared" si="158"/>
        <v>0</v>
      </c>
    </row>
    <row r="1198" spans="1:26" ht="12" hidden="1" thickBot="1">
      <c r="A1198" s="588" t="s">
        <v>1428</v>
      </c>
      <c r="B1198" s="522" t="s">
        <v>354</v>
      </c>
      <c r="C1198" s="522" t="s">
        <v>959</v>
      </c>
      <c r="D1198" s="523" t="s">
        <v>1035</v>
      </c>
      <c r="E1198" s="960"/>
      <c r="F1198" s="962"/>
      <c r="G1198" s="961"/>
      <c r="H1198" s="962"/>
      <c r="I1198" s="962"/>
      <c r="J1198" s="962"/>
      <c r="K1198" s="962"/>
      <c r="L1198" s="962"/>
      <c r="M1198" s="961"/>
      <c r="N1198" s="961"/>
      <c r="O1198" s="962"/>
      <c r="P1198" s="962"/>
      <c r="Q1198" s="961"/>
      <c r="R1198" s="961"/>
      <c r="S1198" s="527">
        <f t="shared" si="159"/>
        <v>0</v>
      </c>
      <c r="T1198" s="528">
        <f t="shared" si="160"/>
        <v>0</v>
      </c>
      <c r="U1198" s="527">
        <f t="shared" si="161"/>
        <v>0</v>
      </c>
      <c r="W1198" s="326">
        <f t="shared" si="157"/>
        <v>0</v>
      </c>
      <c r="X1198" s="261">
        <f t="shared" si="162"/>
        <v>0</v>
      </c>
      <c r="Z1198" s="1016">
        <f t="shared" si="158"/>
        <v>0</v>
      </c>
    </row>
    <row r="1199" spans="1:26" ht="12" hidden="1" thickBot="1">
      <c r="A1199" s="588" t="s">
        <v>1428</v>
      </c>
      <c r="B1199" s="522" t="s">
        <v>355</v>
      </c>
      <c r="C1199" s="522" t="s">
        <v>960</v>
      </c>
      <c r="D1199" s="523" t="s">
        <v>1035</v>
      </c>
      <c r="E1199" s="960"/>
      <c r="F1199" s="962"/>
      <c r="G1199" s="961"/>
      <c r="H1199" s="962"/>
      <c r="I1199" s="962"/>
      <c r="J1199" s="962"/>
      <c r="K1199" s="962"/>
      <c r="L1199" s="962"/>
      <c r="M1199" s="961"/>
      <c r="N1199" s="961"/>
      <c r="O1199" s="962"/>
      <c r="P1199" s="962"/>
      <c r="Q1199" s="961"/>
      <c r="R1199" s="961"/>
      <c r="S1199" s="527">
        <f t="shared" si="159"/>
        <v>0</v>
      </c>
      <c r="T1199" s="528">
        <f t="shared" si="160"/>
        <v>0</v>
      </c>
      <c r="U1199" s="527">
        <f t="shared" si="161"/>
        <v>0</v>
      </c>
      <c r="W1199" s="326">
        <f t="shared" si="157"/>
        <v>0</v>
      </c>
      <c r="X1199" s="261">
        <f t="shared" si="162"/>
        <v>0</v>
      </c>
      <c r="Z1199" s="1016">
        <f t="shared" si="158"/>
        <v>0</v>
      </c>
    </row>
    <row r="1200" spans="1:26" ht="12" hidden="1" thickBot="1">
      <c r="A1200" s="588" t="s">
        <v>1428</v>
      </c>
      <c r="B1200" s="522" t="s">
        <v>341</v>
      </c>
      <c r="C1200" s="522" t="s">
        <v>961</v>
      </c>
      <c r="D1200" s="523" t="s">
        <v>1035</v>
      </c>
      <c r="E1200" s="960"/>
      <c r="F1200" s="962"/>
      <c r="G1200" s="961"/>
      <c r="H1200" s="962"/>
      <c r="I1200" s="962"/>
      <c r="J1200" s="962"/>
      <c r="K1200" s="962"/>
      <c r="L1200" s="962"/>
      <c r="M1200" s="961"/>
      <c r="N1200" s="961"/>
      <c r="O1200" s="962"/>
      <c r="P1200" s="962"/>
      <c r="Q1200" s="961"/>
      <c r="R1200" s="961"/>
      <c r="S1200" s="527">
        <f t="shared" si="159"/>
        <v>0</v>
      </c>
      <c r="T1200" s="528">
        <f t="shared" si="160"/>
        <v>0</v>
      </c>
      <c r="U1200" s="527">
        <f t="shared" si="161"/>
        <v>0</v>
      </c>
      <c r="W1200" s="326">
        <f t="shared" si="157"/>
        <v>0</v>
      </c>
      <c r="X1200" s="261">
        <f t="shared" si="162"/>
        <v>0</v>
      </c>
      <c r="Z1200" s="1016">
        <f t="shared" si="158"/>
        <v>0</v>
      </c>
    </row>
    <row r="1201" spans="1:26" ht="12" hidden="1" thickBot="1">
      <c r="A1201" s="588" t="s">
        <v>1428</v>
      </c>
      <c r="B1201" s="522" t="s">
        <v>350</v>
      </c>
      <c r="C1201" s="522" t="s">
        <v>962</v>
      </c>
      <c r="D1201" s="523" t="s">
        <v>1035</v>
      </c>
      <c r="E1201" s="960"/>
      <c r="F1201" s="962"/>
      <c r="G1201" s="961"/>
      <c r="H1201" s="962"/>
      <c r="I1201" s="962"/>
      <c r="J1201" s="962"/>
      <c r="K1201" s="962"/>
      <c r="L1201" s="962"/>
      <c r="M1201" s="961"/>
      <c r="N1201" s="961"/>
      <c r="O1201" s="962"/>
      <c r="P1201" s="962"/>
      <c r="Q1201" s="961"/>
      <c r="R1201" s="961"/>
      <c r="S1201" s="527">
        <f t="shared" si="159"/>
        <v>0</v>
      </c>
      <c r="T1201" s="528">
        <f t="shared" si="160"/>
        <v>0</v>
      </c>
      <c r="U1201" s="527">
        <f t="shared" si="161"/>
        <v>0</v>
      </c>
      <c r="W1201" s="326">
        <f t="shared" si="157"/>
        <v>0</v>
      </c>
      <c r="X1201" s="261">
        <f t="shared" si="162"/>
        <v>0</v>
      </c>
      <c r="Z1201" s="1016">
        <f t="shared" si="158"/>
        <v>0</v>
      </c>
    </row>
    <row r="1202" spans="1:26" ht="12" hidden="1" thickBot="1">
      <c r="A1202" s="588" t="s">
        <v>1428</v>
      </c>
      <c r="B1202" s="522" t="s">
        <v>342</v>
      </c>
      <c r="C1202" s="522" t="s">
        <v>963</v>
      </c>
      <c r="D1202" s="523" t="s">
        <v>1035</v>
      </c>
      <c r="E1202" s="960"/>
      <c r="F1202" s="962"/>
      <c r="G1202" s="961"/>
      <c r="H1202" s="962"/>
      <c r="I1202" s="962"/>
      <c r="J1202" s="962"/>
      <c r="K1202" s="962"/>
      <c r="L1202" s="962"/>
      <c r="M1202" s="961"/>
      <c r="N1202" s="961"/>
      <c r="O1202" s="962"/>
      <c r="P1202" s="962"/>
      <c r="Q1202" s="961"/>
      <c r="R1202" s="961"/>
      <c r="S1202" s="527">
        <f t="shared" si="159"/>
        <v>0</v>
      </c>
      <c r="T1202" s="528">
        <f t="shared" si="160"/>
        <v>0</v>
      </c>
      <c r="U1202" s="527">
        <f t="shared" si="161"/>
        <v>0</v>
      </c>
      <c r="W1202" s="326">
        <f t="shared" si="157"/>
        <v>0</v>
      </c>
      <c r="X1202" s="261">
        <f t="shared" si="162"/>
        <v>0</v>
      </c>
      <c r="Z1202" s="1016">
        <f t="shared" si="158"/>
        <v>0</v>
      </c>
    </row>
    <row r="1203" spans="1:26" ht="12" hidden="1" thickBot="1">
      <c r="A1203" s="588" t="s">
        <v>1428</v>
      </c>
      <c r="B1203" s="522" t="s">
        <v>346</v>
      </c>
      <c r="C1203" s="522" t="s">
        <v>964</v>
      </c>
      <c r="D1203" s="523" t="s">
        <v>1035</v>
      </c>
      <c r="E1203" s="960"/>
      <c r="F1203" s="962"/>
      <c r="G1203" s="961"/>
      <c r="H1203" s="962"/>
      <c r="I1203" s="962"/>
      <c r="J1203" s="962"/>
      <c r="K1203" s="962"/>
      <c r="L1203" s="962"/>
      <c r="M1203" s="961"/>
      <c r="N1203" s="961"/>
      <c r="O1203" s="962"/>
      <c r="P1203" s="962"/>
      <c r="Q1203" s="961"/>
      <c r="R1203" s="961"/>
      <c r="S1203" s="527">
        <f t="shared" si="159"/>
        <v>0</v>
      </c>
      <c r="T1203" s="528">
        <f t="shared" si="160"/>
        <v>0</v>
      </c>
      <c r="U1203" s="527">
        <f t="shared" si="161"/>
        <v>0</v>
      </c>
      <c r="W1203" s="326">
        <f t="shared" si="157"/>
        <v>0</v>
      </c>
      <c r="X1203" s="261">
        <f t="shared" si="162"/>
        <v>0</v>
      </c>
      <c r="Z1203" s="1016">
        <f t="shared" si="158"/>
        <v>0</v>
      </c>
    </row>
    <row r="1204" spans="1:26" ht="12" hidden="1" thickBot="1">
      <c r="A1204" s="588" t="s">
        <v>1428</v>
      </c>
      <c r="B1204" s="522" t="s">
        <v>353</v>
      </c>
      <c r="C1204" s="522" t="s">
        <v>965</v>
      </c>
      <c r="D1204" s="523" t="s">
        <v>1035</v>
      </c>
      <c r="E1204" s="960"/>
      <c r="F1204" s="962"/>
      <c r="G1204" s="961"/>
      <c r="H1204" s="962"/>
      <c r="I1204" s="962"/>
      <c r="J1204" s="962"/>
      <c r="K1204" s="962"/>
      <c r="L1204" s="962"/>
      <c r="M1204" s="961"/>
      <c r="N1204" s="961"/>
      <c r="O1204" s="962"/>
      <c r="P1204" s="962"/>
      <c r="Q1204" s="961"/>
      <c r="R1204" s="961"/>
      <c r="S1204" s="527">
        <f t="shared" si="159"/>
        <v>0</v>
      </c>
      <c r="T1204" s="528">
        <f t="shared" si="160"/>
        <v>0</v>
      </c>
      <c r="U1204" s="527">
        <f t="shared" si="161"/>
        <v>0</v>
      </c>
      <c r="W1204" s="326">
        <f t="shared" si="157"/>
        <v>0</v>
      </c>
      <c r="X1204" s="261">
        <f t="shared" si="162"/>
        <v>0</v>
      </c>
      <c r="Z1204" s="1016">
        <f t="shared" si="158"/>
        <v>0</v>
      </c>
    </row>
    <row r="1205" spans="1:26" ht="12" hidden="1" thickBot="1">
      <c r="A1205" s="588" t="s">
        <v>1428</v>
      </c>
      <c r="B1205" s="522" t="s">
        <v>345</v>
      </c>
      <c r="C1205" s="522" t="s">
        <v>966</v>
      </c>
      <c r="D1205" s="523" t="s">
        <v>1035</v>
      </c>
      <c r="E1205" s="960"/>
      <c r="F1205" s="962"/>
      <c r="G1205" s="961"/>
      <c r="H1205" s="962"/>
      <c r="I1205" s="962"/>
      <c r="J1205" s="962"/>
      <c r="K1205" s="962"/>
      <c r="L1205" s="962"/>
      <c r="M1205" s="961"/>
      <c r="N1205" s="961"/>
      <c r="O1205" s="962"/>
      <c r="P1205" s="962"/>
      <c r="Q1205" s="961"/>
      <c r="R1205" s="961"/>
      <c r="S1205" s="527">
        <f t="shared" si="159"/>
        <v>0</v>
      </c>
      <c r="T1205" s="528">
        <f t="shared" si="160"/>
        <v>0</v>
      </c>
      <c r="U1205" s="527">
        <f t="shared" si="161"/>
        <v>0</v>
      </c>
      <c r="W1205" s="326">
        <f t="shared" si="157"/>
        <v>0</v>
      </c>
      <c r="X1205" s="261">
        <f t="shared" si="162"/>
        <v>0</v>
      </c>
      <c r="Z1205" s="1016">
        <f t="shared" si="158"/>
        <v>0</v>
      </c>
    </row>
    <row r="1206" spans="1:26" ht="12" hidden="1" thickBot="1">
      <c r="A1206" s="588" t="s">
        <v>1428</v>
      </c>
      <c r="B1206" s="522" t="s">
        <v>343</v>
      </c>
      <c r="C1206" s="522" t="s">
        <v>967</v>
      </c>
      <c r="D1206" s="523" t="s">
        <v>1035</v>
      </c>
      <c r="E1206" s="960"/>
      <c r="F1206" s="962"/>
      <c r="G1206" s="961"/>
      <c r="H1206" s="962"/>
      <c r="I1206" s="962"/>
      <c r="J1206" s="962"/>
      <c r="K1206" s="962"/>
      <c r="L1206" s="962"/>
      <c r="M1206" s="961"/>
      <c r="N1206" s="961"/>
      <c r="O1206" s="962"/>
      <c r="P1206" s="962"/>
      <c r="Q1206" s="961"/>
      <c r="R1206" s="961"/>
      <c r="S1206" s="527">
        <f t="shared" si="159"/>
        <v>0</v>
      </c>
      <c r="T1206" s="528">
        <f t="shared" si="160"/>
        <v>0</v>
      </c>
      <c r="U1206" s="527">
        <f t="shared" si="161"/>
        <v>0</v>
      </c>
      <c r="W1206" s="326">
        <f t="shared" si="157"/>
        <v>0</v>
      </c>
      <c r="X1206" s="261">
        <f t="shared" si="162"/>
        <v>0</v>
      </c>
      <c r="Z1206" s="1016">
        <f t="shared" si="158"/>
        <v>0</v>
      </c>
    </row>
    <row r="1207" spans="1:26" ht="12" hidden="1" thickBot="1">
      <c r="A1207" s="588" t="s">
        <v>1428</v>
      </c>
      <c r="B1207" s="522" t="s">
        <v>472</v>
      </c>
      <c r="C1207" s="522" t="s">
        <v>968</v>
      </c>
      <c r="D1207" s="523" t="s">
        <v>1035</v>
      </c>
      <c r="E1207" s="960"/>
      <c r="F1207" s="962"/>
      <c r="G1207" s="961"/>
      <c r="H1207" s="962"/>
      <c r="I1207" s="962"/>
      <c r="J1207" s="962"/>
      <c r="K1207" s="962"/>
      <c r="L1207" s="962"/>
      <c r="M1207" s="961"/>
      <c r="N1207" s="961"/>
      <c r="O1207" s="962"/>
      <c r="P1207" s="962"/>
      <c r="Q1207" s="962"/>
      <c r="R1207" s="961"/>
      <c r="S1207" s="527">
        <f t="shared" si="159"/>
        <v>0</v>
      </c>
      <c r="T1207" s="528">
        <f t="shared" si="160"/>
        <v>0</v>
      </c>
      <c r="U1207" s="527">
        <f t="shared" si="161"/>
        <v>0</v>
      </c>
      <c r="W1207" s="326">
        <f t="shared" si="157"/>
        <v>0</v>
      </c>
      <c r="X1207" s="261">
        <f t="shared" si="162"/>
        <v>0</v>
      </c>
      <c r="Z1207" s="1016">
        <f t="shared" si="158"/>
        <v>0</v>
      </c>
    </row>
    <row r="1208" spans="1:26" ht="12" hidden="1" thickBot="1">
      <c r="A1208" s="588" t="s">
        <v>1428</v>
      </c>
      <c r="B1208" s="522" t="s">
        <v>382</v>
      </c>
      <c r="C1208" s="522" t="s">
        <v>969</v>
      </c>
      <c r="D1208" s="533" t="s">
        <v>1035</v>
      </c>
      <c r="E1208" s="960"/>
      <c r="F1208" s="962"/>
      <c r="G1208" s="961"/>
      <c r="H1208" s="962"/>
      <c r="I1208" s="962"/>
      <c r="J1208" s="962"/>
      <c r="K1208" s="962"/>
      <c r="L1208" s="962"/>
      <c r="M1208" s="961"/>
      <c r="N1208" s="961"/>
      <c r="O1208" s="962"/>
      <c r="P1208" s="962"/>
      <c r="Q1208" s="961"/>
      <c r="R1208" s="961"/>
      <c r="S1208" s="527">
        <f t="shared" si="159"/>
        <v>0</v>
      </c>
      <c r="T1208" s="528">
        <f t="shared" si="160"/>
        <v>0</v>
      </c>
      <c r="U1208" s="527">
        <f t="shared" si="161"/>
        <v>0</v>
      </c>
      <c r="W1208" s="326">
        <f t="shared" si="157"/>
        <v>0</v>
      </c>
      <c r="X1208" s="261">
        <f t="shared" si="162"/>
        <v>0</v>
      </c>
      <c r="Z1208" s="1016">
        <f t="shared" si="158"/>
        <v>0</v>
      </c>
    </row>
    <row r="1209" spans="1:26" ht="12" hidden="1" thickBot="1">
      <c r="A1209" s="588" t="s">
        <v>1428</v>
      </c>
      <c r="B1209" s="522" t="s">
        <v>402</v>
      </c>
      <c r="C1209" s="522" t="s">
        <v>970</v>
      </c>
      <c r="D1209" s="533" t="s">
        <v>1036</v>
      </c>
      <c r="E1209" s="960"/>
      <c r="F1209" s="962"/>
      <c r="G1209" s="961"/>
      <c r="H1209" s="962"/>
      <c r="I1209" s="962"/>
      <c r="J1209" s="962"/>
      <c r="K1209" s="962"/>
      <c r="L1209" s="962"/>
      <c r="M1209" s="961"/>
      <c r="N1209" s="961"/>
      <c r="O1209" s="962"/>
      <c r="P1209" s="962"/>
      <c r="Q1209" s="961"/>
      <c r="R1209" s="961"/>
      <c r="S1209" s="527">
        <f t="shared" si="159"/>
        <v>0</v>
      </c>
      <c r="T1209" s="528">
        <f t="shared" si="160"/>
        <v>0</v>
      </c>
      <c r="U1209" s="527">
        <f t="shared" si="161"/>
        <v>0</v>
      </c>
      <c r="W1209" s="326">
        <f t="shared" si="157"/>
        <v>0</v>
      </c>
      <c r="X1209" s="261">
        <f t="shared" si="162"/>
        <v>0</v>
      </c>
      <c r="Z1209" s="1016">
        <f t="shared" si="158"/>
        <v>0</v>
      </c>
    </row>
    <row r="1210" spans="1:26" ht="12" hidden="1" thickBot="1">
      <c r="A1210" s="588" t="s">
        <v>1428</v>
      </c>
      <c r="B1210" s="522" t="s">
        <v>398</v>
      </c>
      <c r="C1210" s="522" t="s">
        <v>971</v>
      </c>
      <c r="D1210" s="533" t="s">
        <v>1036</v>
      </c>
      <c r="E1210" s="960"/>
      <c r="F1210" s="962"/>
      <c r="G1210" s="961"/>
      <c r="H1210" s="962"/>
      <c r="I1210" s="962"/>
      <c r="J1210" s="962"/>
      <c r="K1210" s="962"/>
      <c r="L1210" s="962"/>
      <c r="M1210" s="961"/>
      <c r="N1210" s="961"/>
      <c r="O1210" s="962"/>
      <c r="P1210" s="962"/>
      <c r="Q1210" s="961"/>
      <c r="R1210" s="961"/>
      <c r="S1210" s="527">
        <f t="shared" si="159"/>
        <v>0</v>
      </c>
      <c r="T1210" s="528">
        <f t="shared" si="160"/>
        <v>0</v>
      </c>
      <c r="U1210" s="527">
        <f t="shared" si="161"/>
        <v>0</v>
      </c>
      <c r="W1210" s="326">
        <f t="shared" ref="W1210:W1273" si="163">SUM(F1210:Q1210)</f>
        <v>0</v>
      </c>
      <c r="X1210" s="261">
        <f t="shared" si="162"/>
        <v>0</v>
      </c>
      <c r="Z1210" s="1016">
        <f t="shared" si="158"/>
        <v>0</v>
      </c>
    </row>
    <row r="1211" spans="1:26" ht="12" hidden="1" thickBot="1">
      <c r="A1211" s="588" t="s">
        <v>1428</v>
      </c>
      <c r="B1211" s="522" t="s">
        <v>376</v>
      </c>
      <c r="C1211" s="522" t="s">
        <v>972</v>
      </c>
      <c r="D1211" s="533" t="s">
        <v>1036</v>
      </c>
      <c r="E1211" s="960"/>
      <c r="F1211" s="962"/>
      <c r="G1211" s="961"/>
      <c r="H1211" s="962"/>
      <c r="I1211" s="962"/>
      <c r="J1211" s="962"/>
      <c r="K1211" s="962"/>
      <c r="L1211" s="962"/>
      <c r="M1211" s="961"/>
      <c r="N1211" s="961"/>
      <c r="O1211" s="962"/>
      <c r="P1211" s="962"/>
      <c r="Q1211" s="961"/>
      <c r="R1211" s="961"/>
      <c r="S1211" s="527">
        <f t="shared" si="159"/>
        <v>0</v>
      </c>
      <c r="T1211" s="528">
        <f t="shared" si="160"/>
        <v>0</v>
      </c>
      <c r="U1211" s="527">
        <f t="shared" si="161"/>
        <v>0</v>
      </c>
      <c r="W1211" s="326">
        <f t="shared" si="163"/>
        <v>0</v>
      </c>
      <c r="X1211" s="261">
        <f t="shared" si="162"/>
        <v>0</v>
      </c>
      <c r="Z1211" s="1016">
        <f t="shared" si="158"/>
        <v>0</v>
      </c>
    </row>
    <row r="1212" spans="1:26" ht="12" hidden="1" thickBot="1">
      <c r="A1212" s="588" t="s">
        <v>1428</v>
      </c>
      <c r="B1212" s="522" t="s">
        <v>384</v>
      </c>
      <c r="C1212" s="522" t="s">
        <v>973</v>
      </c>
      <c r="D1212" s="533" t="s">
        <v>1035</v>
      </c>
      <c r="E1212" s="960"/>
      <c r="F1212" s="962"/>
      <c r="G1212" s="961"/>
      <c r="H1212" s="962"/>
      <c r="I1212" s="962"/>
      <c r="J1212" s="962"/>
      <c r="K1212" s="962"/>
      <c r="L1212" s="962"/>
      <c r="M1212" s="961"/>
      <c r="N1212" s="961"/>
      <c r="O1212" s="962"/>
      <c r="P1212" s="962"/>
      <c r="Q1212" s="961"/>
      <c r="R1212" s="961"/>
      <c r="S1212" s="527">
        <f t="shared" si="159"/>
        <v>0</v>
      </c>
      <c r="T1212" s="528">
        <f t="shared" si="160"/>
        <v>0</v>
      </c>
      <c r="U1212" s="527">
        <f t="shared" si="161"/>
        <v>0</v>
      </c>
      <c r="W1212" s="326">
        <f t="shared" si="163"/>
        <v>0</v>
      </c>
      <c r="X1212" s="261">
        <f t="shared" si="162"/>
        <v>0</v>
      </c>
      <c r="Z1212" s="1016">
        <f t="shared" si="158"/>
        <v>0</v>
      </c>
    </row>
    <row r="1213" spans="1:26" ht="12" hidden="1" thickBot="1">
      <c r="A1213" s="588" t="s">
        <v>1428</v>
      </c>
      <c r="B1213" s="522" t="s">
        <v>386</v>
      </c>
      <c r="C1213" s="522" t="s">
        <v>974</v>
      </c>
      <c r="D1213" s="533" t="s">
        <v>1036</v>
      </c>
      <c r="E1213" s="960"/>
      <c r="F1213" s="962"/>
      <c r="G1213" s="961"/>
      <c r="H1213" s="962"/>
      <c r="I1213" s="962"/>
      <c r="J1213" s="962"/>
      <c r="K1213" s="962"/>
      <c r="L1213" s="962"/>
      <c r="M1213" s="961"/>
      <c r="N1213" s="961"/>
      <c r="O1213" s="962"/>
      <c r="P1213" s="962"/>
      <c r="Q1213" s="961"/>
      <c r="R1213" s="961"/>
      <c r="S1213" s="527">
        <f t="shared" si="159"/>
        <v>0</v>
      </c>
      <c r="T1213" s="528">
        <f t="shared" si="160"/>
        <v>0</v>
      </c>
      <c r="U1213" s="527">
        <f t="shared" si="161"/>
        <v>0</v>
      </c>
      <c r="W1213" s="326">
        <f t="shared" si="163"/>
        <v>0</v>
      </c>
      <c r="X1213" s="261">
        <f t="shared" si="162"/>
        <v>0</v>
      </c>
      <c r="Z1213" s="1016">
        <f t="shared" si="158"/>
        <v>0</v>
      </c>
    </row>
    <row r="1214" spans="1:26" ht="12" hidden="1" thickBot="1">
      <c r="A1214" s="588" t="s">
        <v>1428</v>
      </c>
      <c r="B1214" s="522" t="s">
        <v>409</v>
      </c>
      <c r="C1214" s="522" t="s">
        <v>975</v>
      </c>
      <c r="D1214" s="533" t="s">
        <v>1036</v>
      </c>
      <c r="E1214" s="960"/>
      <c r="F1214" s="962"/>
      <c r="G1214" s="961"/>
      <c r="H1214" s="962"/>
      <c r="I1214" s="962"/>
      <c r="J1214" s="962"/>
      <c r="K1214" s="962"/>
      <c r="L1214" s="962"/>
      <c r="M1214" s="961"/>
      <c r="N1214" s="961"/>
      <c r="O1214" s="962"/>
      <c r="P1214" s="962"/>
      <c r="Q1214" s="961"/>
      <c r="R1214" s="961"/>
      <c r="S1214" s="527">
        <f t="shared" si="159"/>
        <v>0</v>
      </c>
      <c r="T1214" s="528">
        <f t="shared" si="160"/>
        <v>0</v>
      </c>
      <c r="U1214" s="527">
        <f t="shared" si="161"/>
        <v>0</v>
      </c>
      <c r="W1214" s="326">
        <f t="shared" si="163"/>
        <v>0</v>
      </c>
      <c r="X1214" s="261">
        <f t="shared" si="162"/>
        <v>0</v>
      </c>
      <c r="Z1214" s="1016">
        <f t="shared" si="158"/>
        <v>0</v>
      </c>
    </row>
    <row r="1215" spans="1:26" ht="12" hidden="1" thickBot="1">
      <c r="A1215" s="588" t="s">
        <v>1428</v>
      </c>
      <c r="B1215" s="522" t="s">
        <v>387</v>
      </c>
      <c r="C1215" s="522" t="s">
        <v>976</v>
      </c>
      <c r="D1215" s="533" t="s">
        <v>1035</v>
      </c>
      <c r="E1215" s="960"/>
      <c r="F1215" s="962"/>
      <c r="G1215" s="961"/>
      <c r="H1215" s="962"/>
      <c r="I1215" s="962"/>
      <c r="J1215" s="962"/>
      <c r="K1215" s="962"/>
      <c r="L1215" s="962"/>
      <c r="M1215" s="961"/>
      <c r="N1215" s="961"/>
      <c r="O1215" s="962"/>
      <c r="P1215" s="962"/>
      <c r="Q1215" s="961"/>
      <c r="R1215" s="961"/>
      <c r="S1215" s="527">
        <f t="shared" si="159"/>
        <v>0</v>
      </c>
      <c r="T1215" s="528">
        <f t="shared" si="160"/>
        <v>0</v>
      </c>
      <c r="U1215" s="527">
        <f t="shared" si="161"/>
        <v>0</v>
      </c>
      <c r="W1215" s="326">
        <f t="shared" si="163"/>
        <v>0</v>
      </c>
      <c r="X1215" s="261">
        <f t="shared" si="162"/>
        <v>0</v>
      </c>
      <c r="Z1215" s="1016">
        <f t="shared" si="158"/>
        <v>0</v>
      </c>
    </row>
    <row r="1216" spans="1:26" ht="12" hidden="1" thickBot="1">
      <c r="A1216" s="588" t="s">
        <v>1428</v>
      </c>
      <c r="B1216" s="522" t="s">
        <v>410</v>
      </c>
      <c r="C1216" s="522" t="s">
        <v>977</v>
      </c>
      <c r="D1216" s="533" t="s">
        <v>1035</v>
      </c>
      <c r="E1216" s="960"/>
      <c r="F1216" s="962"/>
      <c r="G1216" s="961"/>
      <c r="H1216" s="962"/>
      <c r="I1216" s="962"/>
      <c r="J1216" s="962"/>
      <c r="K1216" s="962"/>
      <c r="L1216" s="962"/>
      <c r="M1216" s="961"/>
      <c r="N1216" s="961"/>
      <c r="O1216" s="962"/>
      <c r="P1216" s="962"/>
      <c r="Q1216" s="961"/>
      <c r="R1216" s="961"/>
      <c r="S1216" s="527">
        <f t="shared" si="159"/>
        <v>0</v>
      </c>
      <c r="T1216" s="528">
        <f t="shared" si="160"/>
        <v>0</v>
      </c>
      <c r="U1216" s="527">
        <f t="shared" si="161"/>
        <v>0</v>
      </c>
      <c r="W1216" s="326">
        <f t="shared" si="163"/>
        <v>0</v>
      </c>
      <c r="X1216" s="261">
        <f t="shared" si="162"/>
        <v>0</v>
      </c>
      <c r="Z1216" s="1016">
        <f t="shared" si="158"/>
        <v>0</v>
      </c>
    </row>
    <row r="1217" spans="1:26" ht="12" hidden="1" thickBot="1">
      <c r="A1217" s="588" t="s">
        <v>1428</v>
      </c>
      <c r="B1217" s="522" t="s">
        <v>405</v>
      </c>
      <c r="C1217" s="522" t="s">
        <v>978</v>
      </c>
      <c r="D1217" s="533" t="s">
        <v>1035</v>
      </c>
      <c r="E1217" s="960"/>
      <c r="F1217" s="962"/>
      <c r="G1217" s="961"/>
      <c r="H1217" s="962"/>
      <c r="I1217" s="962"/>
      <c r="J1217" s="962"/>
      <c r="K1217" s="962"/>
      <c r="L1217" s="962"/>
      <c r="M1217" s="961"/>
      <c r="N1217" s="961"/>
      <c r="O1217" s="962"/>
      <c r="P1217" s="962"/>
      <c r="Q1217" s="961"/>
      <c r="R1217" s="961"/>
      <c r="S1217" s="527">
        <f t="shared" si="159"/>
        <v>0</v>
      </c>
      <c r="T1217" s="528">
        <f t="shared" si="160"/>
        <v>0</v>
      </c>
      <c r="U1217" s="527">
        <f t="shared" si="161"/>
        <v>0</v>
      </c>
      <c r="W1217" s="326">
        <f t="shared" si="163"/>
        <v>0</v>
      </c>
      <c r="X1217" s="261">
        <f t="shared" si="162"/>
        <v>0</v>
      </c>
      <c r="Z1217" s="1016">
        <f t="shared" si="158"/>
        <v>0</v>
      </c>
    </row>
    <row r="1218" spans="1:26" ht="12" hidden="1" thickBot="1">
      <c r="A1218" s="588" t="s">
        <v>1428</v>
      </c>
      <c r="B1218" s="522" t="s">
        <v>326</v>
      </c>
      <c r="C1218" s="522" t="s">
        <v>979</v>
      </c>
      <c r="D1218" s="533" t="s">
        <v>1036</v>
      </c>
      <c r="E1218" s="960"/>
      <c r="F1218" s="962"/>
      <c r="G1218" s="961"/>
      <c r="H1218" s="962"/>
      <c r="I1218" s="962"/>
      <c r="J1218" s="962"/>
      <c r="K1218" s="962"/>
      <c r="L1218" s="962"/>
      <c r="M1218" s="961"/>
      <c r="N1218" s="961"/>
      <c r="O1218" s="962"/>
      <c r="P1218" s="962"/>
      <c r="Q1218" s="961"/>
      <c r="R1218" s="961"/>
      <c r="S1218" s="527">
        <f t="shared" si="159"/>
        <v>0</v>
      </c>
      <c r="T1218" s="528">
        <f t="shared" si="160"/>
        <v>0</v>
      </c>
      <c r="U1218" s="527">
        <f t="shared" si="161"/>
        <v>0</v>
      </c>
      <c r="W1218" s="326">
        <f t="shared" si="163"/>
        <v>0</v>
      </c>
      <c r="X1218" s="261">
        <f t="shared" si="162"/>
        <v>0</v>
      </c>
      <c r="Z1218" s="1016">
        <f t="shared" ref="Z1218:Z1281" si="164">SUM(F1218:K1218)</f>
        <v>0</v>
      </c>
    </row>
    <row r="1219" spans="1:26" ht="12" hidden="1" thickBot="1">
      <c r="A1219" s="588" t="s">
        <v>1428</v>
      </c>
      <c r="B1219" s="522" t="s">
        <v>356</v>
      </c>
      <c r="C1219" s="522" t="s">
        <v>980</v>
      </c>
      <c r="D1219" s="533" t="s">
        <v>1036</v>
      </c>
      <c r="E1219" s="960"/>
      <c r="F1219" s="962"/>
      <c r="G1219" s="961"/>
      <c r="H1219" s="962"/>
      <c r="I1219" s="962"/>
      <c r="J1219" s="962"/>
      <c r="K1219" s="962"/>
      <c r="L1219" s="962"/>
      <c r="M1219" s="961"/>
      <c r="N1219" s="961"/>
      <c r="O1219" s="962"/>
      <c r="P1219" s="962"/>
      <c r="Q1219" s="961"/>
      <c r="R1219" s="961"/>
      <c r="S1219" s="527">
        <f t="shared" si="159"/>
        <v>0</v>
      </c>
      <c r="T1219" s="528">
        <f t="shared" si="160"/>
        <v>0</v>
      </c>
      <c r="U1219" s="527">
        <f t="shared" si="161"/>
        <v>0</v>
      </c>
      <c r="W1219" s="326">
        <f t="shared" si="163"/>
        <v>0</v>
      </c>
      <c r="X1219" s="261">
        <f t="shared" si="162"/>
        <v>0</v>
      </c>
      <c r="Z1219" s="1016">
        <f t="shared" si="164"/>
        <v>0</v>
      </c>
    </row>
    <row r="1220" spans="1:26" ht="12" hidden="1" thickBot="1">
      <c r="A1220" s="588" t="s">
        <v>1428</v>
      </c>
      <c r="B1220" s="522" t="s">
        <v>374</v>
      </c>
      <c r="C1220" s="522" t="s">
        <v>981</v>
      </c>
      <c r="D1220" s="533" t="s">
        <v>1036</v>
      </c>
      <c r="E1220" s="960"/>
      <c r="F1220" s="962"/>
      <c r="G1220" s="961"/>
      <c r="H1220" s="962"/>
      <c r="I1220" s="962"/>
      <c r="J1220" s="962"/>
      <c r="K1220" s="962"/>
      <c r="L1220" s="962"/>
      <c r="M1220" s="961"/>
      <c r="N1220" s="961"/>
      <c r="O1220" s="962"/>
      <c r="P1220" s="962"/>
      <c r="Q1220" s="961"/>
      <c r="R1220" s="961"/>
      <c r="S1220" s="527">
        <f t="shared" si="159"/>
        <v>0</v>
      </c>
      <c r="T1220" s="528">
        <f t="shared" si="160"/>
        <v>0</v>
      </c>
      <c r="U1220" s="527">
        <f t="shared" si="161"/>
        <v>0</v>
      </c>
      <c r="W1220" s="326">
        <f t="shared" si="163"/>
        <v>0</v>
      </c>
      <c r="X1220" s="261">
        <f t="shared" si="162"/>
        <v>0</v>
      </c>
      <c r="Z1220" s="1016">
        <f t="shared" si="164"/>
        <v>0</v>
      </c>
    </row>
    <row r="1221" spans="1:26" ht="12" hidden="1" thickBot="1">
      <c r="A1221" s="588" t="s">
        <v>1428</v>
      </c>
      <c r="B1221" s="522" t="s">
        <v>399</v>
      </c>
      <c r="C1221" s="522" t="s">
        <v>982</v>
      </c>
      <c r="D1221" s="533" t="s">
        <v>1036</v>
      </c>
      <c r="E1221" s="960"/>
      <c r="F1221" s="962"/>
      <c r="G1221" s="961"/>
      <c r="H1221" s="962"/>
      <c r="I1221" s="962"/>
      <c r="J1221" s="962"/>
      <c r="K1221" s="962"/>
      <c r="L1221" s="962"/>
      <c r="M1221" s="961"/>
      <c r="N1221" s="961"/>
      <c r="O1221" s="962"/>
      <c r="P1221" s="962"/>
      <c r="Q1221" s="961"/>
      <c r="R1221" s="961"/>
      <c r="S1221" s="527">
        <f t="shared" si="159"/>
        <v>0</v>
      </c>
      <c r="T1221" s="528">
        <f t="shared" si="160"/>
        <v>0</v>
      </c>
      <c r="U1221" s="527">
        <f t="shared" si="161"/>
        <v>0</v>
      </c>
      <c r="W1221" s="326">
        <f t="shared" si="163"/>
        <v>0</v>
      </c>
      <c r="X1221" s="261">
        <f t="shared" si="162"/>
        <v>0</v>
      </c>
      <c r="Z1221" s="1016">
        <f t="shared" si="164"/>
        <v>0</v>
      </c>
    </row>
    <row r="1222" spans="1:26" ht="12" hidden="1" thickBot="1">
      <c r="A1222" s="588" t="s">
        <v>1428</v>
      </c>
      <c r="B1222" s="522" t="s">
        <v>391</v>
      </c>
      <c r="C1222" s="522" t="s">
        <v>983</v>
      </c>
      <c r="D1222" s="533" t="s">
        <v>1036</v>
      </c>
      <c r="E1222" s="960"/>
      <c r="F1222" s="962"/>
      <c r="G1222" s="961"/>
      <c r="H1222" s="962"/>
      <c r="I1222" s="962"/>
      <c r="J1222" s="962"/>
      <c r="K1222" s="962"/>
      <c r="L1222" s="962"/>
      <c r="M1222" s="961"/>
      <c r="N1222" s="961"/>
      <c r="O1222" s="962"/>
      <c r="P1222" s="962"/>
      <c r="Q1222" s="961"/>
      <c r="R1222" s="961"/>
      <c r="S1222" s="527">
        <f t="shared" si="159"/>
        <v>0</v>
      </c>
      <c r="T1222" s="528">
        <f t="shared" si="160"/>
        <v>0</v>
      </c>
      <c r="U1222" s="527">
        <f t="shared" si="161"/>
        <v>0</v>
      </c>
      <c r="W1222" s="326">
        <f t="shared" si="163"/>
        <v>0</v>
      </c>
      <c r="X1222" s="261">
        <f t="shared" si="162"/>
        <v>0</v>
      </c>
      <c r="Z1222" s="1016">
        <f t="shared" si="164"/>
        <v>0</v>
      </c>
    </row>
    <row r="1223" spans="1:26" ht="12" hidden="1" thickBot="1">
      <c r="A1223" s="588" t="s">
        <v>1428</v>
      </c>
      <c r="B1223" s="522" t="s">
        <v>416</v>
      </c>
      <c r="C1223" s="522" t="s">
        <v>984</v>
      </c>
      <c r="D1223" s="533" t="s">
        <v>1035</v>
      </c>
      <c r="E1223" s="960"/>
      <c r="F1223" s="962"/>
      <c r="G1223" s="961"/>
      <c r="H1223" s="962"/>
      <c r="I1223" s="962"/>
      <c r="J1223" s="962"/>
      <c r="K1223" s="962"/>
      <c r="L1223" s="962"/>
      <c r="M1223" s="961"/>
      <c r="N1223" s="961"/>
      <c r="O1223" s="962"/>
      <c r="P1223" s="962"/>
      <c r="Q1223" s="961"/>
      <c r="R1223" s="961"/>
      <c r="S1223" s="527">
        <f t="shared" si="159"/>
        <v>0</v>
      </c>
      <c r="T1223" s="528">
        <f t="shared" si="160"/>
        <v>0</v>
      </c>
      <c r="U1223" s="527">
        <f t="shared" si="161"/>
        <v>0</v>
      </c>
      <c r="W1223" s="326">
        <f t="shared" si="163"/>
        <v>0</v>
      </c>
      <c r="X1223" s="261">
        <f t="shared" si="162"/>
        <v>0</v>
      </c>
      <c r="Z1223" s="1016">
        <f t="shared" si="164"/>
        <v>0</v>
      </c>
    </row>
    <row r="1224" spans="1:26" ht="12" hidden="1" thickBot="1">
      <c r="A1224" s="588" t="s">
        <v>1428</v>
      </c>
      <c r="B1224" s="522" t="s">
        <v>407</v>
      </c>
      <c r="C1224" s="522" t="s">
        <v>985</v>
      </c>
      <c r="D1224" s="533" t="s">
        <v>1035</v>
      </c>
      <c r="E1224" s="960"/>
      <c r="F1224" s="962"/>
      <c r="G1224" s="961"/>
      <c r="H1224" s="962"/>
      <c r="I1224" s="962"/>
      <c r="J1224" s="962"/>
      <c r="K1224" s="962"/>
      <c r="L1224" s="962"/>
      <c r="M1224" s="961"/>
      <c r="N1224" s="961"/>
      <c r="O1224" s="962"/>
      <c r="P1224" s="962"/>
      <c r="Q1224" s="961"/>
      <c r="R1224" s="961"/>
      <c r="S1224" s="527">
        <f t="shared" si="159"/>
        <v>0</v>
      </c>
      <c r="T1224" s="528">
        <f t="shared" si="160"/>
        <v>0</v>
      </c>
      <c r="U1224" s="527">
        <f t="shared" si="161"/>
        <v>0</v>
      </c>
      <c r="W1224" s="326">
        <f t="shared" si="163"/>
        <v>0</v>
      </c>
      <c r="X1224" s="261">
        <f t="shared" si="162"/>
        <v>0</v>
      </c>
      <c r="Z1224" s="1016">
        <f t="shared" si="164"/>
        <v>0</v>
      </c>
    </row>
    <row r="1225" spans="1:26" ht="12" hidden="1" thickBot="1">
      <c r="A1225" s="588" t="s">
        <v>1428</v>
      </c>
      <c r="B1225" s="522" t="s">
        <v>373</v>
      </c>
      <c r="C1225" s="522" t="s">
        <v>986</v>
      </c>
      <c r="D1225" s="533" t="s">
        <v>1036</v>
      </c>
      <c r="E1225" s="960"/>
      <c r="F1225" s="962"/>
      <c r="G1225" s="961"/>
      <c r="H1225" s="962"/>
      <c r="I1225" s="962"/>
      <c r="J1225" s="962"/>
      <c r="K1225" s="962"/>
      <c r="L1225" s="962"/>
      <c r="M1225" s="961"/>
      <c r="N1225" s="961"/>
      <c r="O1225" s="962"/>
      <c r="P1225" s="962"/>
      <c r="Q1225" s="961"/>
      <c r="R1225" s="961"/>
      <c r="S1225" s="527">
        <f t="shared" si="159"/>
        <v>0</v>
      </c>
      <c r="T1225" s="528">
        <f t="shared" si="160"/>
        <v>0</v>
      </c>
      <c r="U1225" s="527">
        <f t="shared" si="161"/>
        <v>0</v>
      </c>
      <c r="W1225" s="326">
        <f t="shared" si="163"/>
        <v>0</v>
      </c>
      <c r="X1225" s="261">
        <f t="shared" si="162"/>
        <v>0</v>
      </c>
      <c r="Z1225" s="1016">
        <f t="shared" si="164"/>
        <v>0</v>
      </c>
    </row>
    <row r="1226" spans="1:26" ht="12" hidden="1" thickBot="1">
      <c r="A1226" s="588" t="s">
        <v>1428</v>
      </c>
      <c r="B1226" s="522" t="s">
        <v>375</v>
      </c>
      <c r="C1226" s="522" t="s">
        <v>987</v>
      </c>
      <c r="D1226" s="533" t="s">
        <v>1036</v>
      </c>
      <c r="E1226" s="960"/>
      <c r="F1226" s="962"/>
      <c r="G1226" s="961"/>
      <c r="H1226" s="962"/>
      <c r="I1226" s="962"/>
      <c r="J1226" s="962"/>
      <c r="K1226" s="962"/>
      <c r="L1226" s="962"/>
      <c r="M1226" s="961"/>
      <c r="N1226" s="961"/>
      <c r="O1226" s="962"/>
      <c r="P1226" s="962"/>
      <c r="Q1226" s="961"/>
      <c r="R1226" s="961"/>
      <c r="S1226" s="527">
        <f t="shared" si="159"/>
        <v>0</v>
      </c>
      <c r="T1226" s="528">
        <f t="shared" si="160"/>
        <v>0</v>
      </c>
      <c r="U1226" s="527">
        <f t="shared" si="161"/>
        <v>0</v>
      </c>
      <c r="W1226" s="326">
        <f t="shared" si="163"/>
        <v>0</v>
      </c>
      <c r="X1226" s="261">
        <f t="shared" si="162"/>
        <v>0</v>
      </c>
      <c r="Z1226" s="1016">
        <f t="shared" si="164"/>
        <v>0</v>
      </c>
    </row>
    <row r="1227" spans="1:26" ht="12" hidden="1" thickBot="1">
      <c r="A1227" s="588" t="s">
        <v>1428</v>
      </c>
      <c r="B1227" s="522" t="s">
        <v>401</v>
      </c>
      <c r="C1227" s="522" t="s">
        <v>988</v>
      </c>
      <c r="D1227" s="533" t="s">
        <v>1036</v>
      </c>
      <c r="E1227" s="960"/>
      <c r="F1227" s="962"/>
      <c r="G1227" s="961"/>
      <c r="H1227" s="962"/>
      <c r="I1227" s="962"/>
      <c r="J1227" s="962"/>
      <c r="K1227" s="962"/>
      <c r="L1227" s="962"/>
      <c r="M1227" s="961"/>
      <c r="N1227" s="961"/>
      <c r="O1227" s="962"/>
      <c r="P1227" s="962"/>
      <c r="Q1227" s="961"/>
      <c r="R1227" s="961"/>
      <c r="S1227" s="527">
        <f t="shared" si="159"/>
        <v>0</v>
      </c>
      <c r="T1227" s="528">
        <f t="shared" si="160"/>
        <v>0</v>
      </c>
      <c r="U1227" s="527">
        <f t="shared" si="161"/>
        <v>0</v>
      </c>
      <c r="W1227" s="326">
        <f t="shared" si="163"/>
        <v>0</v>
      </c>
      <c r="X1227" s="261">
        <f t="shared" si="162"/>
        <v>0</v>
      </c>
      <c r="Z1227" s="1016">
        <f t="shared" si="164"/>
        <v>0</v>
      </c>
    </row>
    <row r="1228" spans="1:26" ht="12" hidden="1" thickBot="1">
      <c r="A1228" s="588" t="s">
        <v>1428</v>
      </c>
      <c r="B1228" s="522" t="s">
        <v>328</v>
      </c>
      <c r="C1228" s="522" t="s">
        <v>989</v>
      </c>
      <c r="D1228" s="533" t="s">
        <v>1036</v>
      </c>
      <c r="E1228" s="960"/>
      <c r="F1228" s="962"/>
      <c r="G1228" s="961"/>
      <c r="H1228" s="962"/>
      <c r="I1228" s="962"/>
      <c r="J1228" s="962"/>
      <c r="K1228" s="962"/>
      <c r="L1228" s="962"/>
      <c r="M1228" s="961"/>
      <c r="N1228" s="961"/>
      <c r="O1228" s="962"/>
      <c r="P1228" s="962"/>
      <c r="Q1228" s="961"/>
      <c r="R1228" s="961"/>
      <c r="S1228" s="527">
        <f t="shared" si="159"/>
        <v>0</v>
      </c>
      <c r="T1228" s="528">
        <f t="shared" si="160"/>
        <v>0</v>
      </c>
      <c r="U1228" s="527">
        <f t="shared" si="161"/>
        <v>0</v>
      </c>
      <c r="W1228" s="326">
        <f t="shared" si="163"/>
        <v>0</v>
      </c>
      <c r="X1228" s="261">
        <f t="shared" si="162"/>
        <v>0</v>
      </c>
      <c r="Z1228" s="1016">
        <f t="shared" si="164"/>
        <v>0</v>
      </c>
    </row>
    <row r="1229" spans="1:26" ht="12" hidden="1" thickBot="1">
      <c r="A1229" s="588" t="s">
        <v>1428</v>
      </c>
      <c r="B1229" s="522" t="s">
        <v>437</v>
      </c>
      <c r="C1229" s="522" t="s">
        <v>990</v>
      </c>
      <c r="D1229" s="533" t="s">
        <v>1036</v>
      </c>
      <c r="E1229" s="960"/>
      <c r="F1229" s="962"/>
      <c r="G1229" s="961"/>
      <c r="H1229" s="962"/>
      <c r="I1229" s="962"/>
      <c r="J1229" s="962"/>
      <c r="K1229" s="962"/>
      <c r="L1229" s="962"/>
      <c r="M1229" s="961"/>
      <c r="N1229" s="961"/>
      <c r="O1229" s="962"/>
      <c r="P1229" s="962"/>
      <c r="Q1229" s="961"/>
      <c r="R1229" s="961"/>
      <c r="S1229" s="527">
        <f t="shared" si="159"/>
        <v>0</v>
      </c>
      <c r="T1229" s="528">
        <f t="shared" si="160"/>
        <v>0</v>
      </c>
      <c r="U1229" s="527">
        <f t="shared" si="161"/>
        <v>0</v>
      </c>
      <c r="W1229" s="326">
        <f t="shared" si="163"/>
        <v>0</v>
      </c>
      <c r="X1229" s="261">
        <f t="shared" si="162"/>
        <v>0</v>
      </c>
      <c r="Z1229" s="1016">
        <f t="shared" si="164"/>
        <v>0</v>
      </c>
    </row>
    <row r="1230" spans="1:26" ht="12" hidden="1" thickBot="1">
      <c r="A1230" s="588" t="s">
        <v>1428</v>
      </c>
      <c r="B1230" s="522" t="s">
        <v>338</v>
      </c>
      <c r="C1230" s="522" t="s">
        <v>991</v>
      </c>
      <c r="D1230" s="533" t="s">
        <v>1035</v>
      </c>
      <c r="E1230" s="960"/>
      <c r="F1230" s="962"/>
      <c r="G1230" s="961"/>
      <c r="H1230" s="962"/>
      <c r="I1230" s="962"/>
      <c r="J1230" s="962"/>
      <c r="K1230" s="962"/>
      <c r="L1230" s="962"/>
      <c r="M1230" s="961"/>
      <c r="N1230" s="961"/>
      <c r="O1230" s="962"/>
      <c r="P1230" s="962"/>
      <c r="Q1230" s="961"/>
      <c r="R1230" s="961"/>
      <c r="S1230" s="527">
        <f t="shared" si="159"/>
        <v>0</v>
      </c>
      <c r="T1230" s="528">
        <f t="shared" si="160"/>
        <v>0</v>
      </c>
      <c r="U1230" s="527">
        <f t="shared" si="161"/>
        <v>0</v>
      </c>
      <c r="W1230" s="326">
        <f t="shared" si="163"/>
        <v>0</v>
      </c>
      <c r="X1230" s="261">
        <f t="shared" si="162"/>
        <v>0</v>
      </c>
      <c r="Z1230" s="1016">
        <f t="shared" si="164"/>
        <v>0</v>
      </c>
    </row>
    <row r="1231" spans="1:26" ht="12" hidden="1" thickBot="1">
      <c r="A1231" s="588" t="s">
        <v>1428</v>
      </c>
      <c r="B1231" s="522" t="s">
        <v>370</v>
      </c>
      <c r="C1231" s="522" t="s">
        <v>992</v>
      </c>
      <c r="D1231" s="533" t="s">
        <v>1035</v>
      </c>
      <c r="E1231" s="960"/>
      <c r="F1231" s="962"/>
      <c r="G1231" s="961"/>
      <c r="H1231" s="962"/>
      <c r="I1231" s="962"/>
      <c r="J1231" s="962"/>
      <c r="K1231" s="962"/>
      <c r="L1231" s="962"/>
      <c r="M1231" s="961"/>
      <c r="N1231" s="961"/>
      <c r="O1231" s="962"/>
      <c r="P1231" s="962"/>
      <c r="Q1231" s="961"/>
      <c r="R1231" s="961"/>
      <c r="S1231" s="527">
        <f t="shared" si="159"/>
        <v>0</v>
      </c>
      <c r="T1231" s="528">
        <f t="shared" si="160"/>
        <v>0</v>
      </c>
      <c r="U1231" s="527">
        <f t="shared" si="161"/>
        <v>0</v>
      </c>
      <c r="W1231" s="326">
        <f t="shared" si="163"/>
        <v>0</v>
      </c>
      <c r="X1231" s="261">
        <f t="shared" si="162"/>
        <v>0</v>
      </c>
      <c r="Z1231" s="1016">
        <f t="shared" si="164"/>
        <v>0</v>
      </c>
    </row>
    <row r="1232" spans="1:26" ht="12" hidden="1" thickBot="1">
      <c r="A1232" s="588" t="s">
        <v>1428</v>
      </c>
      <c r="B1232" s="522" t="s">
        <v>333</v>
      </c>
      <c r="C1232" s="522" t="s">
        <v>993</v>
      </c>
      <c r="D1232" s="533" t="s">
        <v>1035</v>
      </c>
      <c r="E1232" s="960"/>
      <c r="F1232" s="962"/>
      <c r="G1232" s="961"/>
      <c r="H1232" s="962"/>
      <c r="I1232" s="962"/>
      <c r="J1232" s="962"/>
      <c r="K1232" s="962"/>
      <c r="L1232" s="962"/>
      <c r="M1232" s="961"/>
      <c r="N1232" s="961"/>
      <c r="O1232" s="962"/>
      <c r="P1232" s="962"/>
      <c r="Q1232" s="961"/>
      <c r="R1232" s="961"/>
      <c r="S1232" s="527">
        <f t="shared" ref="S1232:S1295" si="165">G1232+H1232+I1232</f>
        <v>0</v>
      </c>
      <c r="T1232" s="528">
        <f t="shared" ref="T1232:T1295" si="166">J1232+K1232</f>
        <v>0</v>
      </c>
      <c r="U1232" s="527">
        <f t="shared" ref="U1232:U1295" si="167">N1232+O1232</f>
        <v>0</v>
      </c>
      <c r="W1232" s="326">
        <f t="shared" si="163"/>
        <v>0</v>
      </c>
      <c r="X1232" s="261">
        <f t="shared" ref="X1232:X1295" si="168">W1232-R1232</f>
        <v>0</v>
      </c>
      <c r="Z1232" s="1016">
        <f t="shared" si="164"/>
        <v>0</v>
      </c>
    </row>
    <row r="1233" spans="1:26" ht="12" hidden="1" thickBot="1">
      <c r="A1233" s="588" t="s">
        <v>1428</v>
      </c>
      <c r="B1233" s="522" t="s">
        <v>336</v>
      </c>
      <c r="C1233" s="522" t="s">
        <v>994</v>
      </c>
      <c r="D1233" s="533" t="s">
        <v>1036</v>
      </c>
      <c r="E1233" s="960"/>
      <c r="F1233" s="962"/>
      <c r="G1233" s="961"/>
      <c r="H1233" s="962"/>
      <c r="I1233" s="962"/>
      <c r="J1233" s="962"/>
      <c r="K1233" s="962"/>
      <c r="L1233" s="962"/>
      <c r="M1233" s="961"/>
      <c r="N1233" s="961"/>
      <c r="O1233" s="962"/>
      <c r="P1233" s="962"/>
      <c r="Q1233" s="961"/>
      <c r="R1233" s="961"/>
      <c r="S1233" s="527">
        <f t="shared" si="165"/>
        <v>0</v>
      </c>
      <c r="T1233" s="528">
        <f t="shared" si="166"/>
        <v>0</v>
      </c>
      <c r="U1233" s="527">
        <f t="shared" si="167"/>
        <v>0</v>
      </c>
      <c r="W1233" s="326">
        <f t="shared" si="163"/>
        <v>0</v>
      </c>
      <c r="X1233" s="261">
        <f t="shared" si="168"/>
        <v>0</v>
      </c>
      <c r="Z1233" s="1016">
        <f t="shared" si="164"/>
        <v>0</v>
      </c>
    </row>
    <row r="1234" spans="1:26" ht="12" hidden="1" thickBot="1">
      <c r="A1234" s="588" t="s">
        <v>1428</v>
      </c>
      <c r="B1234" s="522" t="s">
        <v>368</v>
      </c>
      <c r="C1234" s="522" t="s">
        <v>995</v>
      </c>
      <c r="D1234" s="533" t="s">
        <v>1036</v>
      </c>
      <c r="E1234" s="960"/>
      <c r="F1234" s="962"/>
      <c r="G1234" s="961"/>
      <c r="H1234" s="962"/>
      <c r="I1234" s="962"/>
      <c r="J1234" s="962"/>
      <c r="K1234" s="962"/>
      <c r="L1234" s="962"/>
      <c r="M1234" s="961"/>
      <c r="N1234" s="961"/>
      <c r="O1234" s="962"/>
      <c r="P1234" s="962"/>
      <c r="Q1234" s="961"/>
      <c r="R1234" s="961"/>
      <c r="S1234" s="527">
        <f t="shared" si="165"/>
        <v>0</v>
      </c>
      <c r="T1234" s="528">
        <f t="shared" si="166"/>
        <v>0</v>
      </c>
      <c r="U1234" s="527">
        <f t="shared" si="167"/>
        <v>0</v>
      </c>
      <c r="W1234" s="326">
        <f t="shared" si="163"/>
        <v>0</v>
      </c>
      <c r="X1234" s="261">
        <f t="shared" si="168"/>
        <v>0</v>
      </c>
      <c r="Z1234" s="1016">
        <f t="shared" si="164"/>
        <v>0</v>
      </c>
    </row>
    <row r="1235" spans="1:26" ht="12" hidden="1" thickBot="1">
      <c r="A1235" s="588" t="s">
        <v>1428</v>
      </c>
      <c r="B1235" s="522" t="s">
        <v>400</v>
      </c>
      <c r="C1235" s="522" t="s">
        <v>996</v>
      </c>
      <c r="D1235" s="533" t="s">
        <v>1036</v>
      </c>
      <c r="E1235" s="960"/>
      <c r="F1235" s="962"/>
      <c r="G1235" s="961"/>
      <c r="H1235" s="962"/>
      <c r="I1235" s="962"/>
      <c r="J1235" s="962"/>
      <c r="K1235" s="962"/>
      <c r="L1235" s="962"/>
      <c r="M1235" s="961"/>
      <c r="N1235" s="961"/>
      <c r="O1235" s="962"/>
      <c r="P1235" s="962"/>
      <c r="Q1235" s="961"/>
      <c r="R1235" s="961"/>
      <c r="S1235" s="527">
        <f t="shared" si="165"/>
        <v>0</v>
      </c>
      <c r="T1235" s="528">
        <f t="shared" si="166"/>
        <v>0</v>
      </c>
      <c r="U1235" s="527">
        <f t="shared" si="167"/>
        <v>0</v>
      </c>
      <c r="W1235" s="326">
        <f t="shared" si="163"/>
        <v>0</v>
      </c>
      <c r="X1235" s="261">
        <f t="shared" si="168"/>
        <v>0</v>
      </c>
      <c r="Z1235" s="1016">
        <f t="shared" si="164"/>
        <v>0</v>
      </c>
    </row>
    <row r="1236" spans="1:26" ht="12" hidden="1" thickBot="1">
      <c r="A1236" s="588" t="s">
        <v>1428</v>
      </c>
      <c r="B1236" s="522" t="s">
        <v>327</v>
      </c>
      <c r="C1236" s="522" t="s">
        <v>997</v>
      </c>
      <c r="D1236" s="533" t="s">
        <v>1036</v>
      </c>
      <c r="E1236" s="960"/>
      <c r="F1236" s="962"/>
      <c r="G1236" s="961"/>
      <c r="H1236" s="962"/>
      <c r="I1236" s="962"/>
      <c r="J1236" s="962"/>
      <c r="K1236" s="962"/>
      <c r="L1236" s="962"/>
      <c r="M1236" s="961"/>
      <c r="N1236" s="961"/>
      <c r="O1236" s="962"/>
      <c r="P1236" s="962"/>
      <c r="Q1236" s="961"/>
      <c r="R1236" s="961"/>
      <c r="S1236" s="527">
        <f t="shared" si="165"/>
        <v>0</v>
      </c>
      <c r="T1236" s="528">
        <f t="shared" si="166"/>
        <v>0</v>
      </c>
      <c r="U1236" s="527">
        <f t="shared" si="167"/>
        <v>0</v>
      </c>
      <c r="W1236" s="326">
        <f t="shared" si="163"/>
        <v>0</v>
      </c>
      <c r="X1236" s="261">
        <f t="shared" si="168"/>
        <v>0</v>
      </c>
      <c r="Z1236" s="1016">
        <f t="shared" si="164"/>
        <v>0</v>
      </c>
    </row>
    <row r="1237" spans="1:26" ht="12" hidden="1" thickBot="1">
      <c r="A1237" s="588" t="s">
        <v>1428</v>
      </c>
      <c r="B1237" s="522" t="s">
        <v>357</v>
      </c>
      <c r="C1237" s="522" t="s">
        <v>998</v>
      </c>
      <c r="D1237" s="533" t="s">
        <v>1036</v>
      </c>
      <c r="E1237" s="960"/>
      <c r="F1237" s="962"/>
      <c r="G1237" s="961"/>
      <c r="H1237" s="962"/>
      <c r="I1237" s="962"/>
      <c r="J1237" s="962"/>
      <c r="K1237" s="962"/>
      <c r="L1237" s="962"/>
      <c r="M1237" s="961"/>
      <c r="N1237" s="961"/>
      <c r="O1237" s="962"/>
      <c r="P1237" s="962"/>
      <c r="Q1237" s="961"/>
      <c r="R1237" s="961"/>
      <c r="S1237" s="527">
        <f t="shared" si="165"/>
        <v>0</v>
      </c>
      <c r="T1237" s="528">
        <f t="shared" si="166"/>
        <v>0</v>
      </c>
      <c r="U1237" s="527">
        <f t="shared" si="167"/>
        <v>0</v>
      </c>
      <c r="W1237" s="326">
        <f t="shared" si="163"/>
        <v>0</v>
      </c>
      <c r="X1237" s="261">
        <f t="shared" si="168"/>
        <v>0</v>
      </c>
      <c r="Z1237" s="1016">
        <f t="shared" si="164"/>
        <v>0</v>
      </c>
    </row>
    <row r="1238" spans="1:26" ht="12" hidden="1" thickBot="1">
      <c r="A1238" s="588" t="s">
        <v>1428</v>
      </c>
      <c r="B1238" s="522" t="s">
        <v>331</v>
      </c>
      <c r="C1238" s="522" t="s">
        <v>999</v>
      </c>
      <c r="D1238" s="533" t="s">
        <v>1036</v>
      </c>
      <c r="E1238" s="960"/>
      <c r="F1238" s="962"/>
      <c r="G1238" s="961"/>
      <c r="H1238" s="962"/>
      <c r="I1238" s="962"/>
      <c r="J1238" s="962"/>
      <c r="K1238" s="962"/>
      <c r="L1238" s="962"/>
      <c r="M1238" s="961"/>
      <c r="N1238" s="961"/>
      <c r="O1238" s="962"/>
      <c r="P1238" s="962"/>
      <c r="Q1238" s="961"/>
      <c r="R1238" s="961"/>
      <c r="S1238" s="527">
        <f t="shared" si="165"/>
        <v>0</v>
      </c>
      <c r="T1238" s="528">
        <f t="shared" si="166"/>
        <v>0</v>
      </c>
      <c r="U1238" s="527">
        <f t="shared" si="167"/>
        <v>0</v>
      </c>
      <c r="W1238" s="326">
        <f t="shared" si="163"/>
        <v>0</v>
      </c>
      <c r="X1238" s="261">
        <f t="shared" si="168"/>
        <v>0</v>
      </c>
      <c r="Z1238" s="1016">
        <f t="shared" si="164"/>
        <v>0</v>
      </c>
    </row>
    <row r="1239" spans="1:26" ht="12" hidden="1" thickBot="1">
      <c r="A1239" s="588" t="s">
        <v>1428</v>
      </c>
      <c r="B1239" s="522" t="s">
        <v>335</v>
      </c>
      <c r="C1239" s="522" t="s">
        <v>1000</v>
      </c>
      <c r="D1239" s="533" t="s">
        <v>1036</v>
      </c>
      <c r="E1239" s="960"/>
      <c r="F1239" s="962"/>
      <c r="G1239" s="961"/>
      <c r="H1239" s="962"/>
      <c r="I1239" s="962"/>
      <c r="J1239" s="962"/>
      <c r="K1239" s="962"/>
      <c r="L1239" s="962"/>
      <c r="M1239" s="961"/>
      <c r="N1239" s="961"/>
      <c r="O1239" s="962"/>
      <c r="P1239" s="962"/>
      <c r="Q1239" s="961"/>
      <c r="R1239" s="961"/>
      <c r="S1239" s="527">
        <f t="shared" si="165"/>
        <v>0</v>
      </c>
      <c r="T1239" s="528">
        <f t="shared" si="166"/>
        <v>0</v>
      </c>
      <c r="U1239" s="527">
        <f t="shared" si="167"/>
        <v>0</v>
      </c>
      <c r="W1239" s="326">
        <f t="shared" si="163"/>
        <v>0</v>
      </c>
      <c r="X1239" s="261">
        <f t="shared" si="168"/>
        <v>0</v>
      </c>
      <c r="Z1239" s="1016">
        <f t="shared" si="164"/>
        <v>0</v>
      </c>
    </row>
    <row r="1240" spans="1:26" ht="12" hidden="1" thickBot="1">
      <c r="A1240" s="588" t="s">
        <v>1428</v>
      </c>
      <c r="B1240" s="522" t="s">
        <v>372</v>
      </c>
      <c r="C1240" s="522" t="s">
        <v>1001</v>
      </c>
      <c r="D1240" s="533" t="s">
        <v>1036</v>
      </c>
      <c r="E1240" s="960"/>
      <c r="F1240" s="962"/>
      <c r="G1240" s="961"/>
      <c r="H1240" s="962"/>
      <c r="I1240" s="962"/>
      <c r="J1240" s="962"/>
      <c r="K1240" s="962"/>
      <c r="L1240" s="962"/>
      <c r="M1240" s="961"/>
      <c r="N1240" s="961"/>
      <c r="O1240" s="962"/>
      <c r="P1240" s="962"/>
      <c r="Q1240" s="961"/>
      <c r="R1240" s="961"/>
      <c r="S1240" s="527">
        <f t="shared" si="165"/>
        <v>0</v>
      </c>
      <c r="T1240" s="528">
        <f t="shared" si="166"/>
        <v>0</v>
      </c>
      <c r="U1240" s="527">
        <f t="shared" si="167"/>
        <v>0</v>
      </c>
      <c r="W1240" s="326">
        <f t="shared" si="163"/>
        <v>0</v>
      </c>
      <c r="X1240" s="261">
        <f t="shared" si="168"/>
        <v>0</v>
      </c>
      <c r="Z1240" s="1016">
        <f t="shared" si="164"/>
        <v>0</v>
      </c>
    </row>
    <row r="1241" spans="1:26" ht="12" hidden="1" thickBot="1">
      <c r="A1241" s="588" t="s">
        <v>1428</v>
      </c>
      <c r="B1241" s="522" t="s">
        <v>381</v>
      </c>
      <c r="C1241" s="522" t="s">
        <v>1002</v>
      </c>
      <c r="D1241" s="533" t="s">
        <v>1035</v>
      </c>
      <c r="E1241" s="960"/>
      <c r="F1241" s="962"/>
      <c r="G1241" s="961"/>
      <c r="H1241" s="962"/>
      <c r="I1241" s="962"/>
      <c r="J1241" s="962"/>
      <c r="K1241" s="962"/>
      <c r="L1241" s="962"/>
      <c r="M1241" s="961"/>
      <c r="N1241" s="961"/>
      <c r="O1241" s="962"/>
      <c r="P1241" s="962"/>
      <c r="Q1241" s="961"/>
      <c r="R1241" s="961"/>
      <c r="S1241" s="527">
        <f t="shared" si="165"/>
        <v>0</v>
      </c>
      <c r="T1241" s="528">
        <f t="shared" si="166"/>
        <v>0</v>
      </c>
      <c r="U1241" s="527">
        <f t="shared" si="167"/>
        <v>0</v>
      </c>
      <c r="W1241" s="326">
        <f t="shared" si="163"/>
        <v>0</v>
      </c>
      <c r="X1241" s="261">
        <f t="shared" si="168"/>
        <v>0</v>
      </c>
      <c r="Z1241" s="1016">
        <f t="shared" si="164"/>
        <v>0</v>
      </c>
    </row>
    <row r="1242" spans="1:26" ht="12" hidden="1" thickBot="1">
      <c r="A1242" s="588" t="s">
        <v>1428</v>
      </c>
      <c r="B1242" s="522" t="s">
        <v>404</v>
      </c>
      <c r="C1242" s="522" t="s">
        <v>1003</v>
      </c>
      <c r="D1242" s="533" t="s">
        <v>1035</v>
      </c>
      <c r="E1242" s="960"/>
      <c r="F1242" s="962"/>
      <c r="G1242" s="961"/>
      <c r="H1242" s="962"/>
      <c r="I1242" s="962"/>
      <c r="J1242" s="962"/>
      <c r="K1242" s="962"/>
      <c r="L1242" s="962"/>
      <c r="M1242" s="961"/>
      <c r="N1242" s="961"/>
      <c r="O1242" s="962"/>
      <c r="P1242" s="962"/>
      <c r="Q1242" s="961"/>
      <c r="R1242" s="961"/>
      <c r="S1242" s="527">
        <f t="shared" si="165"/>
        <v>0</v>
      </c>
      <c r="T1242" s="528">
        <f t="shared" si="166"/>
        <v>0</v>
      </c>
      <c r="U1242" s="527">
        <f t="shared" si="167"/>
        <v>0</v>
      </c>
      <c r="W1242" s="326">
        <f t="shared" si="163"/>
        <v>0</v>
      </c>
      <c r="X1242" s="261">
        <f t="shared" si="168"/>
        <v>0</v>
      </c>
      <c r="Z1242" s="1016">
        <f t="shared" si="164"/>
        <v>0</v>
      </c>
    </row>
    <row r="1243" spans="1:26" ht="12" hidden="1" thickBot="1">
      <c r="A1243" s="588" t="s">
        <v>1428</v>
      </c>
      <c r="B1243" s="522" t="s">
        <v>361</v>
      </c>
      <c r="C1243" s="522" t="s">
        <v>1004</v>
      </c>
      <c r="D1243" s="533" t="s">
        <v>1035</v>
      </c>
      <c r="E1243" s="960"/>
      <c r="F1243" s="962"/>
      <c r="G1243" s="961"/>
      <c r="H1243" s="962"/>
      <c r="I1243" s="962"/>
      <c r="J1243" s="962"/>
      <c r="K1243" s="962"/>
      <c r="L1243" s="962"/>
      <c r="M1243" s="961"/>
      <c r="N1243" s="961"/>
      <c r="O1243" s="962"/>
      <c r="P1243" s="962"/>
      <c r="Q1243" s="961"/>
      <c r="R1243" s="961"/>
      <c r="S1243" s="527">
        <f t="shared" si="165"/>
        <v>0</v>
      </c>
      <c r="T1243" s="528">
        <f t="shared" si="166"/>
        <v>0</v>
      </c>
      <c r="U1243" s="527">
        <f t="shared" si="167"/>
        <v>0</v>
      </c>
      <c r="W1243" s="326">
        <f t="shared" si="163"/>
        <v>0</v>
      </c>
      <c r="X1243" s="261">
        <f t="shared" si="168"/>
        <v>0</v>
      </c>
      <c r="Z1243" s="1016">
        <f t="shared" si="164"/>
        <v>0</v>
      </c>
    </row>
    <row r="1244" spans="1:26" ht="12" hidden="1" thickBot="1">
      <c r="A1244" s="588" t="s">
        <v>1428</v>
      </c>
      <c r="B1244" s="522" t="s">
        <v>393</v>
      </c>
      <c r="C1244" s="522" t="s">
        <v>1005</v>
      </c>
      <c r="D1244" s="533" t="s">
        <v>1035</v>
      </c>
      <c r="E1244" s="960"/>
      <c r="F1244" s="962"/>
      <c r="G1244" s="961"/>
      <c r="H1244" s="962"/>
      <c r="I1244" s="962"/>
      <c r="J1244" s="962"/>
      <c r="K1244" s="962"/>
      <c r="L1244" s="962"/>
      <c r="M1244" s="961"/>
      <c r="N1244" s="961"/>
      <c r="O1244" s="962"/>
      <c r="P1244" s="962"/>
      <c r="Q1244" s="961"/>
      <c r="R1244" s="961"/>
      <c r="S1244" s="527">
        <f t="shared" si="165"/>
        <v>0</v>
      </c>
      <c r="T1244" s="528">
        <f t="shared" si="166"/>
        <v>0</v>
      </c>
      <c r="U1244" s="527">
        <f t="shared" si="167"/>
        <v>0</v>
      </c>
      <c r="W1244" s="326">
        <f t="shared" si="163"/>
        <v>0</v>
      </c>
      <c r="X1244" s="261">
        <f t="shared" si="168"/>
        <v>0</v>
      </c>
      <c r="Z1244" s="1016">
        <f t="shared" si="164"/>
        <v>0</v>
      </c>
    </row>
    <row r="1245" spans="1:26" ht="12" hidden="1" thickBot="1">
      <c r="A1245" s="588" t="s">
        <v>1428</v>
      </c>
      <c r="B1245" s="522" t="s">
        <v>1356</v>
      </c>
      <c r="C1245" s="522" t="s">
        <v>1357</v>
      </c>
      <c r="D1245" s="533" t="s">
        <v>756</v>
      </c>
      <c r="E1245" s="960"/>
      <c r="F1245" s="962"/>
      <c r="G1245" s="962"/>
      <c r="H1245" s="962"/>
      <c r="I1245" s="962"/>
      <c r="J1245" s="962"/>
      <c r="K1245" s="962"/>
      <c r="L1245" s="962"/>
      <c r="M1245" s="962"/>
      <c r="N1245" s="962"/>
      <c r="O1245" s="962"/>
      <c r="P1245" s="962"/>
      <c r="Q1245" s="962"/>
      <c r="R1245" s="962"/>
      <c r="S1245" s="527">
        <f t="shared" si="165"/>
        <v>0</v>
      </c>
      <c r="T1245" s="528">
        <f t="shared" si="166"/>
        <v>0</v>
      </c>
      <c r="U1245" s="527">
        <f t="shared" si="167"/>
        <v>0</v>
      </c>
      <c r="W1245" s="326">
        <f t="shared" si="163"/>
        <v>0</v>
      </c>
      <c r="X1245" s="261">
        <f t="shared" si="168"/>
        <v>0</v>
      </c>
      <c r="Z1245" s="1016">
        <f t="shared" si="164"/>
        <v>0</v>
      </c>
    </row>
    <row r="1246" spans="1:26" ht="12" hidden="1" thickBot="1">
      <c r="A1246" s="588" t="s">
        <v>1428</v>
      </c>
      <c r="B1246" s="522" t="s">
        <v>379</v>
      </c>
      <c r="C1246" s="522" t="s">
        <v>1006</v>
      </c>
      <c r="D1246" s="533" t="s">
        <v>1036</v>
      </c>
      <c r="E1246" s="960"/>
      <c r="F1246" s="962"/>
      <c r="G1246" s="961"/>
      <c r="H1246" s="962"/>
      <c r="I1246" s="962"/>
      <c r="J1246" s="962"/>
      <c r="K1246" s="962"/>
      <c r="L1246" s="962"/>
      <c r="M1246" s="961"/>
      <c r="N1246" s="961"/>
      <c r="O1246" s="962"/>
      <c r="P1246" s="962"/>
      <c r="Q1246" s="961"/>
      <c r="R1246" s="961"/>
      <c r="S1246" s="527">
        <f t="shared" si="165"/>
        <v>0</v>
      </c>
      <c r="T1246" s="528">
        <f t="shared" si="166"/>
        <v>0</v>
      </c>
      <c r="U1246" s="527">
        <f t="shared" si="167"/>
        <v>0</v>
      </c>
      <c r="W1246" s="326">
        <f t="shared" si="163"/>
        <v>0</v>
      </c>
      <c r="X1246" s="261">
        <f t="shared" si="168"/>
        <v>0</v>
      </c>
      <c r="Z1246" s="1016">
        <f t="shared" si="164"/>
        <v>0</v>
      </c>
    </row>
    <row r="1247" spans="1:26" ht="12" hidden="1" thickBot="1">
      <c r="A1247" s="588" t="s">
        <v>1428</v>
      </c>
      <c r="B1247" s="522" t="s">
        <v>389</v>
      </c>
      <c r="C1247" s="522" t="s">
        <v>1007</v>
      </c>
      <c r="D1247" s="533" t="s">
        <v>1035</v>
      </c>
      <c r="E1247" s="960"/>
      <c r="F1247" s="962"/>
      <c r="G1247" s="961"/>
      <c r="H1247" s="962"/>
      <c r="I1247" s="962"/>
      <c r="J1247" s="962"/>
      <c r="K1247" s="962"/>
      <c r="L1247" s="962"/>
      <c r="M1247" s="961"/>
      <c r="N1247" s="961"/>
      <c r="O1247" s="962"/>
      <c r="P1247" s="962"/>
      <c r="Q1247" s="961"/>
      <c r="R1247" s="961"/>
      <c r="S1247" s="527">
        <f t="shared" si="165"/>
        <v>0</v>
      </c>
      <c r="T1247" s="528">
        <f t="shared" si="166"/>
        <v>0</v>
      </c>
      <c r="U1247" s="527">
        <f t="shared" si="167"/>
        <v>0</v>
      </c>
      <c r="W1247" s="326">
        <f t="shared" si="163"/>
        <v>0</v>
      </c>
      <c r="X1247" s="261">
        <f t="shared" si="168"/>
        <v>0</v>
      </c>
      <c r="Z1247" s="1016">
        <f t="shared" si="164"/>
        <v>0</v>
      </c>
    </row>
    <row r="1248" spans="1:26" ht="12" hidden="1" thickBot="1">
      <c r="A1248" s="588" t="s">
        <v>1428</v>
      </c>
      <c r="B1248" s="522" t="s">
        <v>412</v>
      </c>
      <c r="C1248" s="522" t="s">
        <v>1008</v>
      </c>
      <c r="D1248" s="533" t="s">
        <v>1035</v>
      </c>
      <c r="E1248" s="960"/>
      <c r="F1248" s="962"/>
      <c r="G1248" s="961"/>
      <c r="H1248" s="962"/>
      <c r="I1248" s="962"/>
      <c r="J1248" s="962"/>
      <c r="K1248" s="962"/>
      <c r="L1248" s="962"/>
      <c r="M1248" s="961"/>
      <c r="N1248" s="961"/>
      <c r="O1248" s="962"/>
      <c r="P1248" s="962"/>
      <c r="Q1248" s="961"/>
      <c r="R1248" s="961"/>
      <c r="S1248" s="527">
        <f t="shared" si="165"/>
        <v>0</v>
      </c>
      <c r="T1248" s="528">
        <f t="shared" si="166"/>
        <v>0</v>
      </c>
      <c r="U1248" s="527">
        <f t="shared" si="167"/>
        <v>0</v>
      </c>
      <c r="W1248" s="326">
        <f t="shared" si="163"/>
        <v>0</v>
      </c>
      <c r="X1248" s="261">
        <f t="shared" si="168"/>
        <v>0</v>
      </c>
      <c r="Z1248" s="1016">
        <f t="shared" si="164"/>
        <v>0</v>
      </c>
    </row>
    <row r="1249" spans="1:26" ht="12" hidden="1" thickBot="1">
      <c r="A1249" s="588" t="s">
        <v>1428</v>
      </c>
      <c r="B1249" s="522" t="s">
        <v>367</v>
      </c>
      <c r="C1249" s="522" t="s">
        <v>1009</v>
      </c>
      <c r="D1249" s="533" t="s">
        <v>1036</v>
      </c>
      <c r="E1249" s="960"/>
      <c r="F1249" s="962"/>
      <c r="G1249" s="961"/>
      <c r="H1249" s="962"/>
      <c r="I1249" s="962"/>
      <c r="J1249" s="962"/>
      <c r="K1249" s="962"/>
      <c r="L1249" s="962"/>
      <c r="M1249" s="961"/>
      <c r="N1249" s="961"/>
      <c r="O1249" s="962"/>
      <c r="P1249" s="962"/>
      <c r="Q1249" s="961"/>
      <c r="R1249" s="961"/>
      <c r="S1249" s="527">
        <f t="shared" si="165"/>
        <v>0</v>
      </c>
      <c r="T1249" s="528">
        <f t="shared" si="166"/>
        <v>0</v>
      </c>
      <c r="U1249" s="527">
        <f t="shared" si="167"/>
        <v>0</v>
      </c>
      <c r="W1249" s="326">
        <f t="shared" si="163"/>
        <v>0</v>
      </c>
      <c r="X1249" s="261">
        <f t="shared" si="168"/>
        <v>0</v>
      </c>
      <c r="Z1249" s="1016">
        <f t="shared" si="164"/>
        <v>0</v>
      </c>
    </row>
    <row r="1250" spans="1:26" ht="12" hidden="1" thickBot="1">
      <c r="A1250" s="588" t="s">
        <v>1428</v>
      </c>
      <c r="B1250" s="522" t="s">
        <v>330</v>
      </c>
      <c r="C1250" s="522" t="s">
        <v>1010</v>
      </c>
      <c r="D1250" s="533" t="s">
        <v>1036</v>
      </c>
      <c r="E1250" s="960"/>
      <c r="F1250" s="962"/>
      <c r="G1250" s="961"/>
      <c r="H1250" s="962"/>
      <c r="I1250" s="962"/>
      <c r="J1250" s="962"/>
      <c r="K1250" s="962"/>
      <c r="L1250" s="962"/>
      <c r="M1250" s="961"/>
      <c r="N1250" s="961"/>
      <c r="O1250" s="962"/>
      <c r="P1250" s="962"/>
      <c r="Q1250" s="961"/>
      <c r="R1250" s="961"/>
      <c r="S1250" s="527">
        <f t="shared" si="165"/>
        <v>0</v>
      </c>
      <c r="T1250" s="528">
        <f t="shared" si="166"/>
        <v>0</v>
      </c>
      <c r="U1250" s="527">
        <f t="shared" si="167"/>
        <v>0</v>
      </c>
      <c r="W1250" s="326">
        <f t="shared" si="163"/>
        <v>0</v>
      </c>
      <c r="X1250" s="261">
        <f t="shared" si="168"/>
        <v>0</v>
      </c>
      <c r="Z1250" s="1016">
        <f t="shared" si="164"/>
        <v>0</v>
      </c>
    </row>
    <row r="1251" spans="1:26" ht="12" hidden="1" thickBot="1">
      <c r="A1251" s="588" t="s">
        <v>1428</v>
      </c>
      <c r="B1251" s="522" t="s">
        <v>371</v>
      </c>
      <c r="C1251" s="522" t="s">
        <v>1011</v>
      </c>
      <c r="D1251" s="533" t="s">
        <v>1036</v>
      </c>
      <c r="E1251" s="960"/>
      <c r="F1251" s="962"/>
      <c r="G1251" s="961"/>
      <c r="H1251" s="962"/>
      <c r="I1251" s="962"/>
      <c r="J1251" s="962"/>
      <c r="K1251" s="962"/>
      <c r="L1251" s="962"/>
      <c r="M1251" s="961"/>
      <c r="N1251" s="961"/>
      <c r="O1251" s="962"/>
      <c r="P1251" s="962"/>
      <c r="Q1251" s="961"/>
      <c r="R1251" s="961"/>
      <c r="S1251" s="527">
        <f t="shared" si="165"/>
        <v>0</v>
      </c>
      <c r="T1251" s="528">
        <f t="shared" si="166"/>
        <v>0</v>
      </c>
      <c r="U1251" s="527">
        <f t="shared" si="167"/>
        <v>0</v>
      </c>
      <c r="W1251" s="326">
        <f t="shared" si="163"/>
        <v>0</v>
      </c>
      <c r="X1251" s="261">
        <f t="shared" si="168"/>
        <v>0</v>
      </c>
      <c r="Z1251" s="1016">
        <f t="shared" si="164"/>
        <v>0</v>
      </c>
    </row>
    <row r="1252" spans="1:26" ht="12" hidden="1" thickBot="1">
      <c r="A1252" s="588" t="s">
        <v>1428</v>
      </c>
      <c r="B1252" s="522" t="s">
        <v>380</v>
      </c>
      <c r="C1252" s="522" t="s">
        <v>1012</v>
      </c>
      <c r="D1252" s="533" t="s">
        <v>1035</v>
      </c>
      <c r="E1252" s="960"/>
      <c r="F1252" s="962"/>
      <c r="G1252" s="961"/>
      <c r="H1252" s="962"/>
      <c r="I1252" s="962"/>
      <c r="J1252" s="962"/>
      <c r="K1252" s="962"/>
      <c r="L1252" s="962"/>
      <c r="M1252" s="961"/>
      <c r="N1252" s="961"/>
      <c r="O1252" s="962"/>
      <c r="P1252" s="962"/>
      <c r="Q1252" s="961"/>
      <c r="R1252" s="961"/>
      <c r="S1252" s="527">
        <f t="shared" si="165"/>
        <v>0</v>
      </c>
      <c r="T1252" s="528">
        <f t="shared" si="166"/>
        <v>0</v>
      </c>
      <c r="U1252" s="527">
        <f t="shared" si="167"/>
        <v>0</v>
      </c>
      <c r="W1252" s="326">
        <f t="shared" si="163"/>
        <v>0</v>
      </c>
      <c r="X1252" s="261">
        <f t="shared" si="168"/>
        <v>0</v>
      </c>
      <c r="Z1252" s="1016">
        <f t="shared" si="164"/>
        <v>0</v>
      </c>
    </row>
    <row r="1253" spans="1:26" ht="12" hidden="1" thickBot="1">
      <c r="A1253" s="588" t="s">
        <v>1428</v>
      </c>
      <c r="B1253" s="522" t="s">
        <v>403</v>
      </c>
      <c r="C1253" s="522" t="s">
        <v>1013</v>
      </c>
      <c r="D1253" s="533" t="s">
        <v>1035</v>
      </c>
      <c r="E1253" s="960"/>
      <c r="F1253" s="962"/>
      <c r="G1253" s="961"/>
      <c r="H1253" s="962"/>
      <c r="I1253" s="962"/>
      <c r="J1253" s="962"/>
      <c r="K1253" s="962"/>
      <c r="L1253" s="962"/>
      <c r="M1253" s="961"/>
      <c r="N1253" s="961"/>
      <c r="O1253" s="962"/>
      <c r="P1253" s="962"/>
      <c r="Q1253" s="961"/>
      <c r="R1253" s="961"/>
      <c r="S1253" s="527">
        <f t="shared" si="165"/>
        <v>0</v>
      </c>
      <c r="T1253" s="528">
        <f t="shared" si="166"/>
        <v>0</v>
      </c>
      <c r="U1253" s="527">
        <f t="shared" si="167"/>
        <v>0</v>
      </c>
      <c r="W1253" s="326">
        <f t="shared" si="163"/>
        <v>0</v>
      </c>
      <c r="X1253" s="261">
        <f t="shared" si="168"/>
        <v>0</v>
      </c>
      <c r="Z1253" s="1016">
        <f t="shared" si="164"/>
        <v>0</v>
      </c>
    </row>
    <row r="1254" spans="1:26" ht="12" hidden="1" thickBot="1">
      <c r="A1254" s="588" t="s">
        <v>1428</v>
      </c>
      <c r="B1254" s="522" t="s">
        <v>360</v>
      </c>
      <c r="C1254" s="522" t="s">
        <v>1014</v>
      </c>
      <c r="D1254" s="533" t="s">
        <v>1035</v>
      </c>
      <c r="E1254" s="960"/>
      <c r="F1254" s="962"/>
      <c r="G1254" s="961"/>
      <c r="H1254" s="962"/>
      <c r="I1254" s="962"/>
      <c r="J1254" s="962"/>
      <c r="K1254" s="962"/>
      <c r="L1254" s="962"/>
      <c r="M1254" s="961"/>
      <c r="N1254" s="961"/>
      <c r="O1254" s="962"/>
      <c r="P1254" s="962"/>
      <c r="Q1254" s="961"/>
      <c r="R1254" s="961"/>
      <c r="S1254" s="527">
        <f t="shared" si="165"/>
        <v>0</v>
      </c>
      <c r="T1254" s="528">
        <f t="shared" si="166"/>
        <v>0</v>
      </c>
      <c r="U1254" s="527">
        <f t="shared" si="167"/>
        <v>0</v>
      </c>
      <c r="W1254" s="326">
        <f t="shared" si="163"/>
        <v>0</v>
      </c>
      <c r="X1254" s="261">
        <f t="shared" si="168"/>
        <v>0</v>
      </c>
      <c r="Z1254" s="1016">
        <f t="shared" si="164"/>
        <v>0</v>
      </c>
    </row>
    <row r="1255" spans="1:26" ht="12" hidden="1" thickBot="1">
      <c r="A1255" s="588" t="s">
        <v>1428</v>
      </c>
      <c r="B1255" s="522" t="s">
        <v>392</v>
      </c>
      <c r="C1255" s="522" t="s">
        <v>1015</v>
      </c>
      <c r="D1255" s="533" t="s">
        <v>1035</v>
      </c>
      <c r="E1255" s="960"/>
      <c r="F1255" s="962"/>
      <c r="G1255" s="961"/>
      <c r="H1255" s="962"/>
      <c r="I1255" s="962"/>
      <c r="J1255" s="962"/>
      <c r="K1255" s="962"/>
      <c r="L1255" s="962"/>
      <c r="M1255" s="961"/>
      <c r="N1255" s="961"/>
      <c r="O1255" s="962"/>
      <c r="P1255" s="962"/>
      <c r="Q1255" s="961"/>
      <c r="R1255" s="961"/>
      <c r="S1255" s="527">
        <f t="shared" si="165"/>
        <v>0</v>
      </c>
      <c r="T1255" s="528">
        <f t="shared" si="166"/>
        <v>0</v>
      </c>
      <c r="U1255" s="527">
        <f t="shared" si="167"/>
        <v>0</v>
      </c>
      <c r="W1255" s="326">
        <f t="shared" si="163"/>
        <v>0</v>
      </c>
      <c r="X1255" s="261">
        <f t="shared" si="168"/>
        <v>0</v>
      </c>
      <c r="Z1255" s="1016">
        <f t="shared" si="164"/>
        <v>0</v>
      </c>
    </row>
    <row r="1256" spans="1:26" ht="12" hidden="1" thickBot="1">
      <c r="A1256" s="588" t="s">
        <v>1428</v>
      </c>
      <c r="B1256" s="522" t="s">
        <v>390</v>
      </c>
      <c r="C1256" s="522" t="s">
        <v>1016</v>
      </c>
      <c r="D1256" s="533" t="s">
        <v>1035</v>
      </c>
      <c r="E1256" s="960"/>
      <c r="F1256" s="962"/>
      <c r="G1256" s="961"/>
      <c r="H1256" s="962"/>
      <c r="I1256" s="962"/>
      <c r="J1256" s="962"/>
      <c r="K1256" s="962"/>
      <c r="L1256" s="962"/>
      <c r="M1256" s="961"/>
      <c r="N1256" s="961"/>
      <c r="O1256" s="962"/>
      <c r="P1256" s="962"/>
      <c r="Q1256" s="961"/>
      <c r="R1256" s="961"/>
      <c r="S1256" s="527">
        <f t="shared" si="165"/>
        <v>0</v>
      </c>
      <c r="T1256" s="528">
        <f t="shared" si="166"/>
        <v>0</v>
      </c>
      <c r="U1256" s="527">
        <f t="shared" si="167"/>
        <v>0</v>
      </c>
      <c r="W1256" s="326">
        <f t="shared" si="163"/>
        <v>0</v>
      </c>
      <c r="X1256" s="261">
        <f t="shared" si="168"/>
        <v>0</v>
      </c>
      <c r="Z1256" s="1016">
        <f t="shared" si="164"/>
        <v>0</v>
      </c>
    </row>
    <row r="1257" spans="1:26" ht="12" hidden="1" thickBot="1">
      <c r="A1257" s="588" t="s">
        <v>1428</v>
      </c>
      <c r="B1257" s="522" t="s">
        <v>414</v>
      </c>
      <c r="C1257" s="522" t="s">
        <v>1017</v>
      </c>
      <c r="D1257" s="533" t="s">
        <v>1035</v>
      </c>
      <c r="E1257" s="960"/>
      <c r="F1257" s="962"/>
      <c r="G1257" s="961"/>
      <c r="H1257" s="962"/>
      <c r="I1257" s="962"/>
      <c r="J1257" s="962"/>
      <c r="K1257" s="962"/>
      <c r="L1257" s="962"/>
      <c r="M1257" s="961"/>
      <c r="N1257" s="961"/>
      <c r="O1257" s="962"/>
      <c r="P1257" s="962"/>
      <c r="Q1257" s="961"/>
      <c r="R1257" s="961"/>
      <c r="S1257" s="527">
        <f t="shared" si="165"/>
        <v>0</v>
      </c>
      <c r="T1257" s="528">
        <f t="shared" si="166"/>
        <v>0</v>
      </c>
      <c r="U1257" s="527">
        <f t="shared" si="167"/>
        <v>0</v>
      </c>
      <c r="W1257" s="326">
        <f t="shared" si="163"/>
        <v>0</v>
      </c>
      <c r="X1257" s="261">
        <f t="shared" si="168"/>
        <v>0</v>
      </c>
      <c r="Z1257" s="1016">
        <f t="shared" si="164"/>
        <v>0</v>
      </c>
    </row>
    <row r="1258" spans="1:26" ht="12" hidden="1" thickBot="1">
      <c r="A1258" s="588" t="s">
        <v>1428</v>
      </c>
      <c r="B1258" s="522" t="s">
        <v>364</v>
      </c>
      <c r="C1258" s="522" t="s">
        <v>1018</v>
      </c>
      <c r="D1258" s="533" t="s">
        <v>1035</v>
      </c>
      <c r="E1258" s="960"/>
      <c r="F1258" s="962"/>
      <c r="G1258" s="961"/>
      <c r="H1258" s="962"/>
      <c r="I1258" s="962"/>
      <c r="J1258" s="962"/>
      <c r="K1258" s="962"/>
      <c r="L1258" s="962"/>
      <c r="M1258" s="961"/>
      <c r="N1258" s="961"/>
      <c r="O1258" s="962"/>
      <c r="P1258" s="962"/>
      <c r="Q1258" s="961"/>
      <c r="R1258" s="961"/>
      <c r="S1258" s="527">
        <f t="shared" si="165"/>
        <v>0</v>
      </c>
      <c r="T1258" s="528">
        <f t="shared" si="166"/>
        <v>0</v>
      </c>
      <c r="U1258" s="527">
        <f t="shared" si="167"/>
        <v>0</v>
      </c>
      <c r="W1258" s="326">
        <f t="shared" si="163"/>
        <v>0</v>
      </c>
      <c r="X1258" s="261">
        <f t="shared" si="168"/>
        <v>0</v>
      </c>
      <c r="Z1258" s="1016">
        <f t="shared" si="164"/>
        <v>0</v>
      </c>
    </row>
    <row r="1259" spans="1:26" ht="12" hidden="1" thickBot="1">
      <c r="A1259" s="588" t="s">
        <v>1428</v>
      </c>
      <c r="B1259" s="522" t="s">
        <v>396</v>
      </c>
      <c r="C1259" s="522" t="s">
        <v>1019</v>
      </c>
      <c r="D1259" s="533" t="s">
        <v>1035</v>
      </c>
      <c r="E1259" s="960"/>
      <c r="F1259" s="962"/>
      <c r="G1259" s="961"/>
      <c r="H1259" s="962"/>
      <c r="I1259" s="962"/>
      <c r="J1259" s="962"/>
      <c r="K1259" s="962"/>
      <c r="L1259" s="962"/>
      <c r="M1259" s="961"/>
      <c r="N1259" s="961"/>
      <c r="O1259" s="962"/>
      <c r="P1259" s="962"/>
      <c r="Q1259" s="961"/>
      <c r="R1259" s="961"/>
      <c r="S1259" s="527">
        <f t="shared" si="165"/>
        <v>0</v>
      </c>
      <c r="T1259" s="528">
        <f t="shared" si="166"/>
        <v>0</v>
      </c>
      <c r="U1259" s="527">
        <f t="shared" si="167"/>
        <v>0</v>
      </c>
      <c r="W1259" s="326">
        <f t="shared" si="163"/>
        <v>0</v>
      </c>
      <c r="X1259" s="261">
        <f t="shared" si="168"/>
        <v>0</v>
      </c>
      <c r="Z1259" s="1016">
        <f t="shared" si="164"/>
        <v>0</v>
      </c>
    </row>
    <row r="1260" spans="1:26" ht="12" hidden="1" thickBot="1">
      <c r="A1260" s="588" t="s">
        <v>1428</v>
      </c>
      <c r="B1260" s="522" t="s">
        <v>415</v>
      </c>
      <c r="C1260" s="522" t="s">
        <v>1020</v>
      </c>
      <c r="D1260" s="533" t="s">
        <v>1035</v>
      </c>
      <c r="E1260" s="960"/>
      <c r="F1260" s="962"/>
      <c r="G1260" s="961"/>
      <c r="H1260" s="962"/>
      <c r="I1260" s="962"/>
      <c r="J1260" s="962"/>
      <c r="K1260" s="962"/>
      <c r="L1260" s="962"/>
      <c r="M1260" s="961"/>
      <c r="N1260" s="961"/>
      <c r="O1260" s="962"/>
      <c r="P1260" s="962"/>
      <c r="Q1260" s="961"/>
      <c r="R1260" s="961"/>
      <c r="S1260" s="527">
        <f t="shared" si="165"/>
        <v>0</v>
      </c>
      <c r="T1260" s="528">
        <f t="shared" si="166"/>
        <v>0</v>
      </c>
      <c r="U1260" s="527">
        <f t="shared" si="167"/>
        <v>0</v>
      </c>
      <c r="W1260" s="326">
        <f t="shared" si="163"/>
        <v>0</v>
      </c>
      <c r="X1260" s="261">
        <f t="shared" si="168"/>
        <v>0</v>
      </c>
      <c r="Z1260" s="1016">
        <f t="shared" si="164"/>
        <v>0</v>
      </c>
    </row>
    <row r="1261" spans="1:26" ht="12" hidden="1" thickBot="1">
      <c r="A1261" s="588" t="s">
        <v>1428</v>
      </c>
      <c r="B1261" s="522" t="s">
        <v>365</v>
      </c>
      <c r="C1261" s="522" t="s">
        <v>1021</v>
      </c>
      <c r="D1261" s="533" t="s">
        <v>1035</v>
      </c>
      <c r="E1261" s="960"/>
      <c r="F1261" s="962"/>
      <c r="G1261" s="961"/>
      <c r="H1261" s="962"/>
      <c r="I1261" s="962"/>
      <c r="J1261" s="962"/>
      <c r="K1261" s="962"/>
      <c r="L1261" s="962"/>
      <c r="M1261" s="961"/>
      <c r="N1261" s="961"/>
      <c r="O1261" s="962"/>
      <c r="P1261" s="962"/>
      <c r="Q1261" s="961"/>
      <c r="R1261" s="961"/>
      <c r="S1261" s="527">
        <f t="shared" si="165"/>
        <v>0</v>
      </c>
      <c r="T1261" s="528">
        <f t="shared" si="166"/>
        <v>0</v>
      </c>
      <c r="U1261" s="527">
        <f t="shared" si="167"/>
        <v>0</v>
      </c>
      <c r="W1261" s="326">
        <f t="shared" si="163"/>
        <v>0</v>
      </c>
      <c r="X1261" s="261">
        <f t="shared" si="168"/>
        <v>0</v>
      </c>
      <c r="Z1261" s="1016">
        <f t="shared" si="164"/>
        <v>0</v>
      </c>
    </row>
    <row r="1262" spans="1:26" ht="12" hidden="1" thickBot="1">
      <c r="A1262" s="588" t="s">
        <v>1428</v>
      </c>
      <c r="B1262" s="522" t="s">
        <v>397</v>
      </c>
      <c r="C1262" s="522" t="s">
        <v>1022</v>
      </c>
      <c r="D1262" s="533" t="s">
        <v>1035</v>
      </c>
      <c r="E1262" s="960"/>
      <c r="F1262" s="962"/>
      <c r="G1262" s="961"/>
      <c r="H1262" s="962"/>
      <c r="I1262" s="962"/>
      <c r="J1262" s="962"/>
      <c r="K1262" s="962"/>
      <c r="L1262" s="962"/>
      <c r="M1262" s="961"/>
      <c r="N1262" s="961"/>
      <c r="O1262" s="962"/>
      <c r="P1262" s="962"/>
      <c r="Q1262" s="961"/>
      <c r="R1262" s="961"/>
      <c r="S1262" s="527">
        <f t="shared" si="165"/>
        <v>0</v>
      </c>
      <c r="T1262" s="528">
        <f t="shared" si="166"/>
        <v>0</v>
      </c>
      <c r="U1262" s="527">
        <f t="shared" si="167"/>
        <v>0</v>
      </c>
      <c r="W1262" s="326">
        <f t="shared" si="163"/>
        <v>0</v>
      </c>
      <c r="X1262" s="261">
        <f t="shared" si="168"/>
        <v>0</v>
      </c>
      <c r="Z1262" s="1016">
        <f t="shared" si="164"/>
        <v>0</v>
      </c>
    </row>
    <row r="1263" spans="1:26" ht="12" hidden="1" thickBot="1">
      <c r="A1263" s="588" t="s">
        <v>1428</v>
      </c>
      <c r="B1263" s="522" t="s">
        <v>337</v>
      </c>
      <c r="C1263" s="522" t="s">
        <v>1023</v>
      </c>
      <c r="D1263" s="533" t="s">
        <v>1035</v>
      </c>
      <c r="E1263" s="960"/>
      <c r="F1263" s="962"/>
      <c r="G1263" s="961"/>
      <c r="H1263" s="962"/>
      <c r="I1263" s="962"/>
      <c r="J1263" s="962"/>
      <c r="K1263" s="962"/>
      <c r="L1263" s="962"/>
      <c r="M1263" s="961"/>
      <c r="N1263" s="961"/>
      <c r="O1263" s="962"/>
      <c r="P1263" s="962"/>
      <c r="Q1263" s="961"/>
      <c r="R1263" s="961"/>
      <c r="S1263" s="527">
        <f t="shared" si="165"/>
        <v>0</v>
      </c>
      <c r="T1263" s="528">
        <f t="shared" si="166"/>
        <v>0</v>
      </c>
      <c r="U1263" s="527">
        <f t="shared" si="167"/>
        <v>0</v>
      </c>
      <c r="W1263" s="326">
        <f t="shared" si="163"/>
        <v>0</v>
      </c>
      <c r="X1263" s="261">
        <f t="shared" si="168"/>
        <v>0</v>
      </c>
      <c r="Z1263" s="1016">
        <f t="shared" si="164"/>
        <v>0</v>
      </c>
    </row>
    <row r="1264" spans="1:26" ht="12" hidden="1" thickBot="1">
      <c r="A1264" s="588" t="s">
        <v>1428</v>
      </c>
      <c r="B1264" s="522" t="s">
        <v>369</v>
      </c>
      <c r="C1264" s="522" t="s">
        <v>1024</v>
      </c>
      <c r="D1264" s="533" t="s">
        <v>1035</v>
      </c>
      <c r="E1264" s="960"/>
      <c r="F1264" s="962"/>
      <c r="G1264" s="961"/>
      <c r="H1264" s="962"/>
      <c r="I1264" s="962"/>
      <c r="J1264" s="962"/>
      <c r="K1264" s="962"/>
      <c r="L1264" s="962"/>
      <c r="M1264" s="961"/>
      <c r="N1264" s="961"/>
      <c r="O1264" s="962"/>
      <c r="P1264" s="962"/>
      <c r="Q1264" s="961"/>
      <c r="R1264" s="961"/>
      <c r="S1264" s="527">
        <f t="shared" si="165"/>
        <v>0</v>
      </c>
      <c r="T1264" s="528">
        <f t="shared" si="166"/>
        <v>0</v>
      </c>
      <c r="U1264" s="527">
        <f t="shared" si="167"/>
        <v>0</v>
      </c>
      <c r="W1264" s="326">
        <f t="shared" si="163"/>
        <v>0</v>
      </c>
      <c r="X1264" s="261">
        <f t="shared" si="168"/>
        <v>0</v>
      </c>
      <c r="Z1264" s="1016">
        <f t="shared" si="164"/>
        <v>0</v>
      </c>
    </row>
    <row r="1265" spans="1:26" ht="12" hidden="1" thickBot="1">
      <c r="A1265" s="588" t="s">
        <v>1428</v>
      </c>
      <c r="B1265" s="522" t="s">
        <v>715</v>
      </c>
      <c r="C1265" s="522" t="s">
        <v>1025</v>
      </c>
      <c r="D1265" s="533" t="s">
        <v>1035</v>
      </c>
      <c r="E1265" s="960"/>
      <c r="F1265" s="962"/>
      <c r="G1265" s="961"/>
      <c r="H1265" s="962"/>
      <c r="I1265" s="962"/>
      <c r="J1265" s="962"/>
      <c r="K1265" s="962"/>
      <c r="L1265" s="962"/>
      <c r="M1265" s="961"/>
      <c r="N1265" s="961"/>
      <c r="O1265" s="962"/>
      <c r="P1265" s="962"/>
      <c r="Q1265" s="962"/>
      <c r="R1265" s="961"/>
      <c r="S1265" s="527">
        <f t="shared" si="165"/>
        <v>0</v>
      </c>
      <c r="T1265" s="528">
        <f t="shared" si="166"/>
        <v>0</v>
      </c>
      <c r="U1265" s="527">
        <f t="shared" si="167"/>
        <v>0</v>
      </c>
      <c r="W1265" s="326">
        <f t="shared" si="163"/>
        <v>0</v>
      </c>
      <c r="X1265" s="261">
        <f t="shared" si="168"/>
        <v>0</v>
      </c>
      <c r="Z1265" s="1016">
        <f t="shared" si="164"/>
        <v>0</v>
      </c>
    </row>
    <row r="1266" spans="1:26" ht="12" hidden="1" thickBot="1">
      <c r="A1266" s="588" t="s">
        <v>1428</v>
      </c>
      <c r="B1266" s="522" t="s">
        <v>332</v>
      </c>
      <c r="C1266" s="522" t="s">
        <v>1026</v>
      </c>
      <c r="D1266" s="533" t="s">
        <v>1035</v>
      </c>
      <c r="E1266" s="960"/>
      <c r="F1266" s="962"/>
      <c r="G1266" s="961"/>
      <c r="H1266" s="962"/>
      <c r="I1266" s="962"/>
      <c r="J1266" s="962"/>
      <c r="K1266" s="962"/>
      <c r="L1266" s="962"/>
      <c r="M1266" s="961"/>
      <c r="N1266" s="961"/>
      <c r="O1266" s="962"/>
      <c r="P1266" s="962"/>
      <c r="Q1266" s="961"/>
      <c r="R1266" s="961"/>
      <c r="S1266" s="527">
        <f t="shared" si="165"/>
        <v>0</v>
      </c>
      <c r="T1266" s="528">
        <f t="shared" si="166"/>
        <v>0</v>
      </c>
      <c r="U1266" s="527">
        <f t="shared" si="167"/>
        <v>0</v>
      </c>
      <c r="W1266" s="326">
        <f t="shared" si="163"/>
        <v>0</v>
      </c>
      <c r="X1266" s="261">
        <f t="shared" si="168"/>
        <v>0</v>
      </c>
      <c r="Z1266" s="1016">
        <f t="shared" si="164"/>
        <v>0</v>
      </c>
    </row>
    <row r="1267" spans="1:26" ht="12" hidden="1" thickBot="1">
      <c r="A1267" s="588" t="s">
        <v>1428</v>
      </c>
      <c r="B1267" s="522" t="s">
        <v>334</v>
      </c>
      <c r="C1267" s="522" t="s">
        <v>1027</v>
      </c>
      <c r="D1267" s="533" t="s">
        <v>1035</v>
      </c>
      <c r="E1267" s="960"/>
      <c r="F1267" s="962"/>
      <c r="G1267" s="961"/>
      <c r="H1267" s="962"/>
      <c r="I1267" s="962"/>
      <c r="J1267" s="962"/>
      <c r="K1267" s="962"/>
      <c r="L1267" s="962"/>
      <c r="M1267" s="961"/>
      <c r="N1267" s="961"/>
      <c r="O1267" s="962"/>
      <c r="P1267" s="962"/>
      <c r="Q1267" s="961"/>
      <c r="R1267" s="961"/>
      <c r="S1267" s="527">
        <f t="shared" si="165"/>
        <v>0</v>
      </c>
      <c r="T1267" s="528">
        <f t="shared" si="166"/>
        <v>0</v>
      </c>
      <c r="U1267" s="527">
        <f t="shared" si="167"/>
        <v>0</v>
      </c>
      <c r="W1267" s="326">
        <f t="shared" si="163"/>
        <v>0</v>
      </c>
      <c r="X1267" s="261">
        <f t="shared" si="168"/>
        <v>0</v>
      </c>
      <c r="Z1267" s="1016">
        <f t="shared" si="164"/>
        <v>0</v>
      </c>
    </row>
    <row r="1268" spans="1:26" ht="12" hidden="1" thickBot="1">
      <c r="A1268" s="588" t="s">
        <v>1428</v>
      </c>
      <c r="B1268" s="522" t="s">
        <v>366</v>
      </c>
      <c r="C1268" s="522" t="s">
        <v>1028</v>
      </c>
      <c r="D1268" s="533" t="s">
        <v>1035</v>
      </c>
      <c r="E1268" s="960"/>
      <c r="F1268" s="962"/>
      <c r="G1268" s="961"/>
      <c r="H1268" s="962"/>
      <c r="I1268" s="962"/>
      <c r="J1268" s="962"/>
      <c r="K1268" s="962"/>
      <c r="L1268" s="962"/>
      <c r="M1268" s="961"/>
      <c r="N1268" s="961"/>
      <c r="O1268" s="962"/>
      <c r="P1268" s="962"/>
      <c r="Q1268" s="961"/>
      <c r="R1268" s="961"/>
      <c r="S1268" s="527">
        <f t="shared" si="165"/>
        <v>0</v>
      </c>
      <c r="T1268" s="528">
        <f t="shared" si="166"/>
        <v>0</v>
      </c>
      <c r="U1268" s="527">
        <f t="shared" si="167"/>
        <v>0</v>
      </c>
      <c r="W1268" s="326">
        <f t="shared" si="163"/>
        <v>0</v>
      </c>
      <c r="X1268" s="261">
        <f t="shared" si="168"/>
        <v>0</v>
      </c>
      <c r="Z1268" s="1016">
        <f t="shared" si="164"/>
        <v>0</v>
      </c>
    </row>
    <row r="1269" spans="1:26" ht="12" hidden="1" thickBot="1">
      <c r="A1269" s="588" t="s">
        <v>1428</v>
      </c>
      <c r="B1269" s="522" t="s">
        <v>329</v>
      </c>
      <c r="C1269" s="522" t="s">
        <v>1029</v>
      </c>
      <c r="D1269" s="533" t="s">
        <v>1035</v>
      </c>
      <c r="E1269" s="960"/>
      <c r="F1269" s="962"/>
      <c r="G1269" s="961"/>
      <c r="H1269" s="962"/>
      <c r="I1269" s="962"/>
      <c r="J1269" s="962"/>
      <c r="K1269" s="962"/>
      <c r="L1269" s="962"/>
      <c r="M1269" s="961"/>
      <c r="N1269" s="961"/>
      <c r="O1269" s="962"/>
      <c r="P1269" s="962"/>
      <c r="Q1269" s="961"/>
      <c r="R1269" s="961"/>
      <c r="S1269" s="527">
        <f t="shared" si="165"/>
        <v>0</v>
      </c>
      <c r="T1269" s="528">
        <f t="shared" si="166"/>
        <v>0</v>
      </c>
      <c r="U1269" s="527">
        <f t="shared" si="167"/>
        <v>0</v>
      </c>
      <c r="W1269" s="326">
        <f t="shared" si="163"/>
        <v>0</v>
      </c>
      <c r="X1269" s="261">
        <f t="shared" si="168"/>
        <v>0</v>
      </c>
      <c r="Z1269" s="1016">
        <f t="shared" si="164"/>
        <v>0</v>
      </c>
    </row>
    <row r="1270" spans="1:26" ht="12" hidden="1" thickBot="1">
      <c r="A1270" s="588" t="s">
        <v>1428</v>
      </c>
      <c r="B1270" s="522" t="s">
        <v>683</v>
      </c>
      <c r="C1270" s="522" t="s">
        <v>1047</v>
      </c>
      <c r="D1270" s="533" t="s">
        <v>1035</v>
      </c>
      <c r="E1270" s="960"/>
      <c r="F1270" s="962"/>
      <c r="G1270" s="961"/>
      <c r="H1270" s="962"/>
      <c r="I1270" s="962"/>
      <c r="J1270" s="962"/>
      <c r="K1270" s="962"/>
      <c r="L1270" s="962"/>
      <c r="M1270" s="961"/>
      <c r="N1270" s="961"/>
      <c r="O1270" s="962"/>
      <c r="P1270" s="962"/>
      <c r="Q1270" s="962"/>
      <c r="R1270" s="961"/>
      <c r="S1270" s="527">
        <f t="shared" si="165"/>
        <v>0</v>
      </c>
      <c r="T1270" s="528">
        <f t="shared" si="166"/>
        <v>0</v>
      </c>
      <c r="U1270" s="527">
        <f t="shared" si="167"/>
        <v>0</v>
      </c>
      <c r="W1270" s="326">
        <f t="shared" si="163"/>
        <v>0</v>
      </c>
      <c r="X1270" s="261">
        <f t="shared" si="168"/>
        <v>0</v>
      </c>
      <c r="Z1270" s="1016">
        <f t="shared" si="164"/>
        <v>0</v>
      </c>
    </row>
    <row r="1271" spans="1:26" ht="12" hidden="1" thickBot="1">
      <c r="A1271" s="588" t="s">
        <v>1428</v>
      </c>
      <c r="B1271" s="522" t="s">
        <v>463</v>
      </c>
      <c r="C1271" s="522" t="s">
        <v>1030</v>
      </c>
      <c r="D1271" s="533" t="s">
        <v>1035</v>
      </c>
      <c r="E1271" s="960"/>
      <c r="F1271" s="962"/>
      <c r="G1271" s="961"/>
      <c r="H1271" s="962"/>
      <c r="I1271" s="962"/>
      <c r="J1271" s="962"/>
      <c r="K1271" s="962"/>
      <c r="L1271" s="962"/>
      <c r="M1271" s="961"/>
      <c r="N1271" s="961"/>
      <c r="O1271" s="962"/>
      <c r="P1271" s="962"/>
      <c r="Q1271" s="962"/>
      <c r="R1271" s="961"/>
      <c r="S1271" s="527">
        <f t="shared" si="165"/>
        <v>0</v>
      </c>
      <c r="T1271" s="528">
        <f t="shared" si="166"/>
        <v>0</v>
      </c>
      <c r="U1271" s="527">
        <f t="shared" si="167"/>
        <v>0</v>
      </c>
      <c r="W1271" s="326">
        <f t="shared" si="163"/>
        <v>0</v>
      </c>
      <c r="X1271" s="261">
        <f t="shared" si="168"/>
        <v>0</v>
      </c>
      <c r="Z1271" s="1016">
        <f t="shared" si="164"/>
        <v>0</v>
      </c>
    </row>
    <row r="1272" spans="1:26" ht="12" hidden="1" thickBot="1">
      <c r="A1272" s="588" t="s">
        <v>1428</v>
      </c>
      <c r="B1272" s="522" t="s">
        <v>653</v>
      </c>
      <c r="C1272" s="522" t="s">
        <v>1031</v>
      </c>
      <c r="D1272" s="533" t="s">
        <v>1035</v>
      </c>
      <c r="E1272" s="960"/>
      <c r="F1272" s="962"/>
      <c r="G1272" s="961"/>
      <c r="H1272" s="962"/>
      <c r="I1272" s="962"/>
      <c r="J1272" s="962"/>
      <c r="K1272" s="962"/>
      <c r="L1272" s="962"/>
      <c r="M1272" s="961"/>
      <c r="N1272" s="961"/>
      <c r="O1272" s="962"/>
      <c r="P1272" s="962"/>
      <c r="Q1272" s="962"/>
      <c r="R1272" s="961"/>
      <c r="S1272" s="527">
        <f t="shared" si="165"/>
        <v>0</v>
      </c>
      <c r="T1272" s="528">
        <f t="shared" si="166"/>
        <v>0</v>
      </c>
      <c r="U1272" s="527">
        <f t="shared" si="167"/>
        <v>0</v>
      </c>
      <c r="W1272" s="326">
        <f t="shared" si="163"/>
        <v>0</v>
      </c>
      <c r="X1272" s="261">
        <f t="shared" si="168"/>
        <v>0</v>
      </c>
      <c r="Z1272" s="1016">
        <f t="shared" si="164"/>
        <v>0</v>
      </c>
    </row>
    <row r="1273" spans="1:26" ht="12" thickBot="1">
      <c r="A1273" s="588" t="s">
        <v>1428</v>
      </c>
      <c r="B1273" s="522" t="s">
        <v>79</v>
      </c>
      <c r="C1273" s="522" t="s">
        <v>444</v>
      </c>
      <c r="D1273" s="522" t="s">
        <v>79</v>
      </c>
      <c r="E1273" s="989">
        <f>9836015-E1165-E1167</f>
        <v>9717964</v>
      </c>
      <c r="F1273" s="989"/>
      <c r="G1273" s="989">
        <f>1753877-G1165-G1167-F1167-1</f>
        <v>1742260.25</v>
      </c>
      <c r="H1273" s="989">
        <v>284458</v>
      </c>
      <c r="I1273" s="989"/>
      <c r="J1273" s="989"/>
      <c r="K1273" s="989"/>
      <c r="L1273" s="989"/>
      <c r="M1273" s="989">
        <f>-24043-M1165-M1167</f>
        <v>-23755</v>
      </c>
      <c r="N1273" s="989">
        <f>27070-N1165-N1167</f>
        <v>26745</v>
      </c>
      <c r="O1273" s="989"/>
      <c r="P1273" s="989"/>
      <c r="Q1273" s="989"/>
      <c r="R1273" s="961">
        <f>SUM(F1273:Q1273)</f>
        <v>2029708.25</v>
      </c>
      <c r="S1273" s="527">
        <f t="shared" si="165"/>
        <v>2026718.25</v>
      </c>
      <c r="T1273" s="528">
        <f t="shared" si="166"/>
        <v>0</v>
      </c>
      <c r="U1273" s="527">
        <f t="shared" si="167"/>
        <v>26745</v>
      </c>
      <c r="W1273" s="326">
        <f t="shared" si="163"/>
        <v>2029708.25</v>
      </c>
      <c r="X1273" s="261">
        <f t="shared" si="168"/>
        <v>0</v>
      </c>
      <c r="Z1273" s="1016">
        <f t="shared" si="164"/>
        <v>2026718.25</v>
      </c>
    </row>
    <row r="1274" spans="1:26" ht="12" hidden="1" thickBot="1">
      <c r="A1274" s="588" t="s">
        <v>1428</v>
      </c>
      <c r="B1274" s="522" t="s">
        <v>474</v>
      </c>
      <c r="C1274" s="522" t="s">
        <v>473</v>
      </c>
      <c r="D1274" s="522"/>
      <c r="E1274" s="962"/>
      <c r="F1274" s="962"/>
      <c r="G1274" s="962"/>
      <c r="H1274" s="962"/>
      <c r="I1274" s="962"/>
      <c r="J1274" s="962"/>
      <c r="K1274" s="962"/>
      <c r="L1274" s="962"/>
      <c r="M1274" s="962"/>
      <c r="N1274" s="962"/>
      <c r="O1274" s="962"/>
      <c r="P1274" s="962"/>
      <c r="Q1274" s="962"/>
      <c r="R1274" s="961"/>
      <c r="S1274" s="527">
        <f t="shared" si="165"/>
        <v>0</v>
      </c>
      <c r="T1274" s="528">
        <f t="shared" si="166"/>
        <v>0</v>
      </c>
      <c r="U1274" s="527">
        <f t="shared" si="167"/>
        <v>0</v>
      </c>
      <c r="W1274" s="326">
        <f t="shared" ref="W1274:W1337" si="169">SUM(F1274:Q1274)</f>
        <v>0</v>
      </c>
      <c r="X1274" s="261">
        <f t="shared" si="168"/>
        <v>0</v>
      </c>
      <c r="Z1274" s="1016">
        <f t="shared" si="164"/>
        <v>0</v>
      </c>
    </row>
    <row r="1275" spans="1:26" ht="12" hidden="1" thickBot="1">
      <c r="A1275" s="588" t="s">
        <v>1428</v>
      </c>
      <c r="B1275" s="522" t="s">
        <v>476</v>
      </c>
      <c r="C1275" s="522" t="s">
        <v>475</v>
      </c>
      <c r="D1275" s="522"/>
      <c r="E1275" s="962"/>
      <c r="F1275" s="962"/>
      <c r="G1275" s="962"/>
      <c r="H1275" s="962"/>
      <c r="I1275" s="962"/>
      <c r="J1275" s="962"/>
      <c r="K1275" s="962"/>
      <c r="L1275" s="962"/>
      <c r="M1275" s="962"/>
      <c r="N1275" s="962"/>
      <c r="O1275" s="962"/>
      <c r="P1275" s="962"/>
      <c r="Q1275" s="962"/>
      <c r="R1275" s="961"/>
      <c r="S1275" s="527">
        <f t="shared" si="165"/>
        <v>0</v>
      </c>
      <c r="T1275" s="528">
        <f t="shared" si="166"/>
        <v>0</v>
      </c>
      <c r="U1275" s="527">
        <f t="shared" si="167"/>
        <v>0</v>
      </c>
      <c r="W1275" s="326">
        <f t="shared" si="169"/>
        <v>0</v>
      </c>
      <c r="X1275" s="261">
        <f t="shared" si="168"/>
        <v>0</v>
      </c>
      <c r="Z1275" s="1016">
        <f t="shared" si="164"/>
        <v>0</v>
      </c>
    </row>
    <row r="1276" spans="1:26" ht="12" hidden="1" thickBot="1">
      <c r="A1276" s="588" t="s">
        <v>1428</v>
      </c>
      <c r="B1276" s="522" t="s">
        <v>443</v>
      </c>
      <c r="C1276" s="522" t="s">
        <v>442</v>
      </c>
      <c r="D1276" s="522"/>
      <c r="E1276" s="962"/>
      <c r="F1276" s="961"/>
      <c r="G1276" s="962"/>
      <c r="H1276" s="962"/>
      <c r="I1276" s="962"/>
      <c r="J1276" s="962"/>
      <c r="K1276" s="962"/>
      <c r="L1276" s="962"/>
      <c r="M1276" s="962"/>
      <c r="N1276" s="962"/>
      <c r="O1276" s="962"/>
      <c r="P1276" s="962"/>
      <c r="Q1276" s="962"/>
      <c r="R1276" s="961"/>
      <c r="S1276" s="527">
        <f t="shared" si="165"/>
        <v>0</v>
      </c>
      <c r="T1276" s="528">
        <f t="shared" si="166"/>
        <v>0</v>
      </c>
      <c r="U1276" s="527">
        <f t="shared" si="167"/>
        <v>0</v>
      </c>
      <c r="W1276" s="326">
        <f t="shared" si="169"/>
        <v>0</v>
      </c>
      <c r="X1276" s="261">
        <f t="shared" si="168"/>
        <v>0</v>
      </c>
      <c r="Z1276" s="1016">
        <f t="shared" si="164"/>
        <v>0</v>
      </c>
    </row>
    <row r="1277" spans="1:26" ht="12" hidden="1" thickBot="1">
      <c r="A1277" s="588" t="s">
        <v>1428</v>
      </c>
      <c r="B1277" s="522" t="s">
        <v>710</v>
      </c>
      <c r="C1277" s="522" t="s">
        <v>711</v>
      </c>
      <c r="D1277" s="522"/>
      <c r="E1277" s="962"/>
      <c r="F1277" s="962"/>
      <c r="G1277" s="962"/>
      <c r="H1277" s="962"/>
      <c r="I1277" s="962"/>
      <c r="J1277" s="962"/>
      <c r="K1277" s="962"/>
      <c r="L1277" s="962"/>
      <c r="M1277" s="962"/>
      <c r="N1277" s="962"/>
      <c r="O1277" s="962"/>
      <c r="P1277" s="962"/>
      <c r="Q1277" s="962"/>
      <c r="R1277" s="961"/>
      <c r="S1277" s="527">
        <f t="shared" si="165"/>
        <v>0</v>
      </c>
      <c r="T1277" s="528">
        <f t="shared" si="166"/>
        <v>0</v>
      </c>
      <c r="U1277" s="527">
        <f t="shared" si="167"/>
        <v>0</v>
      </c>
      <c r="W1277" s="326">
        <f t="shared" si="169"/>
        <v>0</v>
      </c>
      <c r="X1277" s="261">
        <f t="shared" si="168"/>
        <v>0</v>
      </c>
      <c r="Z1277" s="1016">
        <f t="shared" si="164"/>
        <v>0</v>
      </c>
    </row>
    <row r="1278" spans="1:26" ht="12" hidden="1" thickBot="1">
      <c r="A1278" s="588" t="s">
        <v>1428</v>
      </c>
      <c r="B1278" s="522" t="s">
        <v>1048</v>
      </c>
      <c r="C1278" s="522" t="s">
        <v>1049</v>
      </c>
      <c r="D1278" s="522"/>
      <c r="E1278" s="962"/>
      <c r="F1278" s="962"/>
      <c r="G1278" s="962"/>
      <c r="H1278" s="962"/>
      <c r="I1278" s="962"/>
      <c r="J1278" s="962"/>
      <c r="K1278" s="962"/>
      <c r="L1278" s="962"/>
      <c r="M1278" s="962"/>
      <c r="N1278" s="962"/>
      <c r="O1278" s="962"/>
      <c r="P1278" s="962"/>
      <c r="Q1278" s="962"/>
      <c r="R1278" s="961"/>
      <c r="S1278" s="527">
        <f t="shared" si="165"/>
        <v>0</v>
      </c>
      <c r="T1278" s="528">
        <f t="shared" si="166"/>
        <v>0</v>
      </c>
      <c r="U1278" s="527">
        <f t="shared" si="167"/>
        <v>0</v>
      </c>
      <c r="W1278" s="326">
        <f t="shared" si="169"/>
        <v>0</v>
      </c>
      <c r="X1278" s="261">
        <f t="shared" si="168"/>
        <v>0</v>
      </c>
      <c r="Z1278" s="1016">
        <f t="shared" si="164"/>
        <v>0</v>
      </c>
    </row>
    <row r="1279" spans="1:26" ht="12" hidden="1" thickBot="1">
      <c r="A1279" s="588" t="s">
        <v>1428</v>
      </c>
      <c r="B1279" s="522" t="s">
        <v>1355</v>
      </c>
      <c r="C1279" s="522" t="s">
        <v>111</v>
      </c>
      <c r="D1279" s="522"/>
      <c r="E1279" s="960"/>
      <c r="F1279" s="961"/>
      <c r="G1279" s="961"/>
      <c r="H1279" s="961"/>
      <c r="I1279" s="962"/>
      <c r="J1279" s="962"/>
      <c r="K1279" s="962"/>
      <c r="L1279" s="962"/>
      <c r="M1279" s="962"/>
      <c r="N1279" s="962"/>
      <c r="O1279" s="962"/>
      <c r="P1279" s="962"/>
      <c r="Q1279" s="962"/>
      <c r="R1279" s="961"/>
      <c r="S1279" s="527">
        <f t="shared" si="165"/>
        <v>0</v>
      </c>
      <c r="T1279" s="528">
        <f t="shared" si="166"/>
        <v>0</v>
      </c>
      <c r="U1279" s="527">
        <f t="shared" si="167"/>
        <v>0</v>
      </c>
      <c r="W1279" s="326">
        <f t="shared" si="169"/>
        <v>0</v>
      </c>
      <c r="X1279" s="261">
        <f t="shared" si="168"/>
        <v>0</v>
      </c>
      <c r="Z1279" s="1016">
        <f t="shared" si="164"/>
        <v>0</v>
      </c>
    </row>
    <row r="1280" spans="1:26" ht="12" hidden="1" thickBot="1">
      <c r="A1280" s="588" t="s">
        <v>1428</v>
      </c>
      <c r="B1280" s="522" t="s">
        <v>450</v>
      </c>
      <c r="C1280" s="522" t="s">
        <v>1050</v>
      </c>
      <c r="D1280" s="522"/>
      <c r="E1280" s="960"/>
      <c r="F1280" s="961"/>
      <c r="G1280" s="961"/>
      <c r="H1280" s="961"/>
      <c r="I1280" s="962"/>
      <c r="J1280" s="962"/>
      <c r="K1280" s="962"/>
      <c r="L1280" s="962"/>
      <c r="M1280" s="962"/>
      <c r="N1280" s="962"/>
      <c r="O1280" s="962"/>
      <c r="P1280" s="962"/>
      <c r="Q1280" s="962"/>
      <c r="R1280" s="961"/>
      <c r="S1280" s="527">
        <f t="shared" si="165"/>
        <v>0</v>
      </c>
      <c r="T1280" s="528">
        <f t="shared" si="166"/>
        <v>0</v>
      </c>
      <c r="U1280" s="527">
        <f t="shared" si="167"/>
        <v>0</v>
      </c>
      <c r="W1280" s="326">
        <f t="shared" si="169"/>
        <v>0</v>
      </c>
      <c r="X1280" s="261">
        <f t="shared" si="168"/>
        <v>0</v>
      </c>
      <c r="Z1280" s="1016">
        <f t="shared" si="164"/>
        <v>0</v>
      </c>
    </row>
    <row r="1281" spans="1:26" ht="12" hidden="1" thickBot="1">
      <c r="A1281" s="588" t="s">
        <v>1428</v>
      </c>
      <c r="B1281" s="543" t="s">
        <v>9</v>
      </c>
      <c r="C1281" s="544"/>
      <c r="D1281" s="538"/>
      <c r="E1281" s="539"/>
      <c r="F1281" s="540"/>
      <c r="G1281" s="540"/>
      <c r="H1281" s="540"/>
      <c r="I1281" s="540"/>
      <c r="J1281" s="540"/>
      <c r="K1281" s="540"/>
      <c r="L1281" s="540"/>
      <c r="M1281" s="540"/>
      <c r="N1281" s="540"/>
      <c r="O1281" s="540"/>
      <c r="P1281" s="540"/>
      <c r="Q1281" s="540"/>
      <c r="R1281" s="540"/>
      <c r="S1281" s="527">
        <f t="shared" si="165"/>
        <v>0</v>
      </c>
      <c r="T1281" s="528">
        <f t="shared" si="166"/>
        <v>0</v>
      </c>
      <c r="U1281" s="527">
        <f t="shared" si="167"/>
        <v>0</v>
      </c>
      <c r="W1281" s="326">
        <f t="shared" si="169"/>
        <v>0</v>
      </c>
      <c r="X1281" s="261">
        <f t="shared" si="168"/>
        <v>0</v>
      </c>
      <c r="Z1281" s="1016">
        <f t="shared" si="164"/>
        <v>0</v>
      </c>
    </row>
    <row r="1282" spans="1:26" ht="12" hidden="1" thickBot="1">
      <c r="A1282" s="588" t="s">
        <v>1465</v>
      </c>
      <c r="B1282" s="522" t="s">
        <v>440</v>
      </c>
      <c r="C1282" s="522" t="s">
        <v>460</v>
      </c>
      <c r="D1282" s="522"/>
      <c r="E1282" s="960"/>
      <c r="F1282" s="961"/>
      <c r="G1282" s="961"/>
      <c r="H1282" s="962"/>
      <c r="I1282" s="962"/>
      <c r="J1282" s="962"/>
      <c r="K1282" s="962"/>
      <c r="L1282" s="962"/>
      <c r="M1282" s="962"/>
      <c r="N1282" s="962"/>
      <c r="O1282" s="962"/>
      <c r="P1282" s="962"/>
      <c r="Q1282" s="962"/>
      <c r="R1282" s="961"/>
      <c r="S1282" s="527">
        <f t="shared" si="165"/>
        <v>0</v>
      </c>
      <c r="T1282" s="528">
        <f t="shared" si="166"/>
        <v>0</v>
      </c>
      <c r="U1282" s="527">
        <f t="shared" si="167"/>
        <v>0</v>
      </c>
      <c r="W1282" s="326">
        <f t="shared" si="169"/>
        <v>0</v>
      </c>
      <c r="X1282" s="261">
        <f t="shared" si="168"/>
        <v>0</v>
      </c>
      <c r="Z1282" s="1016">
        <f t="shared" ref="Z1282:Z1345" si="170">SUM(F1282:K1282)</f>
        <v>0</v>
      </c>
    </row>
    <row r="1283" spans="1:26" ht="12" hidden="1" thickBot="1">
      <c r="A1283" s="588" t="s">
        <v>1465</v>
      </c>
      <c r="B1283" s="522" t="s">
        <v>441</v>
      </c>
      <c r="C1283" s="522" t="s">
        <v>461</v>
      </c>
      <c r="D1283" s="522"/>
      <c r="E1283" s="960"/>
      <c r="F1283" s="961"/>
      <c r="G1283" s="961"/>
      <c r="H1283" s="962"/>
      <c r="I1283" s="962"/>
      <c r="J1283" s="962"/>
      <c r="K1283" s="962"/>
      <c r="L1283" s="962"/>
      <c r="M1283" s="962"/>
      <c r="N1283" s="962"/>
      <c r="O1283" s="962"/>
      <c r="P1283" s="962"/>
      <c r="Q1283" s="962"/>
      <c r="R1283" s="961"/>
      <c r="S1283" s="527">
        <f t="shared" si="165"/>
        <v>0</v>
      </c>
      <c r="T1283" s="528">
        <f t="shared" si="166"/>
        <v>0</v>
      </c>
      <c r="U1283" s="527">
        <f t="shared" si="167"/>
        <v>0</v>
      </c>
      <c r="W1283" s="326">
        <f t="shared" si="169"/>
        <v>0</v>
      </c>
      <c r="X1283" s="261">
        <f t="shared" si="168"/>
        <v>0</v>
      </c>
      <c r="Z1283" s="1016">
        <f t="shared" si="170"/>
        <v>0</v>
      </c>
    </row>
    <row r="1284" spans="1:26" ht="12" hidden="1" thickBot="1">
      <c r="A1284" s="588" t="s">
        <v>1465</v>
      </c>
      <c r="B1284" s="522" t="s">
        <v>449</v>
      </c>
      <c r="C1284" s="522" t="s">
        <v>448</v>
      </c>
      <c r="D1284" s="522"/>
      <c r="E1284" s="960"/>
      <c r="F1284" s="962"/>
      <c r="G1284" s="961"/>
      <c r="H1284" s="962"/>
      <c r="I1284" s="962"/>
      <c r="J1284" s="962"/>
      <c r="K1284" s="962"/>
      <c r="L1284" s="962"/>
      <c r="M1284" s="962"/>
      <c r="N1284" s="962"/>
      <c r="O1284" s="962"/>
      <c r="P1284" s="962"/>
      <c r="Q1284" s="962"/>
      <c r="R1284" s="961"/>
      <c r="S1284" s="527">
        <f t="shared" si="165"/>
        <v>0</v>
      </c>
      <c r="T1284" s="528">
        <f t="shared" si="166"/>
        <v>0</v>
      </c>
      <c r="U1284" s="527">
        <f t="shared" si="167"/>
        <v>0</v>
      </c>
      <c r="W1284" s="326">
        <f t="shared" si="169"/>
        <v>0</v>
      </c>
      <c r="X1284" s="261">
        <f t="shared" si="168"/>
        <v>0</v>
      </c>
      <c r="Z1284" s="1016">
        <f t="shared" si="170"/>
        <v>0</v>
      </c>
    </row>
    <row r="1285" spans="1:26" ht="12" hidden="1" thickBot="1">
      <c r="A1285" s="588" t="s">
        <v>1465</v>
      </c>
      <c r="B1285" s="522" t="s">
        <v>447</v>
      </c>
      <c r="C1285" s="522" t="s">
        <v>446</v>
      </c>
      <c r="D1285" s="522"/>
      <c r="E1285" s="960"/>
      <c r="F1285" s="962"/>
      <c r="G1285" s="961"/>
      <c r="H1285" s="962"/>
      <c r="I1285" s="962"/>
      <c r="J1285" s="962"/>
      <c r="K1285" s="962"/>
      <c r="L1285" s="962"/>
      <c r="M1285" s="962"/>
      <c r="N1285" s="962"/>
      <c r="O1285" s="962"/>
      <c r="P1285" s="962"/>
      <c r="Q1285" s="962"/>
      <c r="R1285" s="961"/>
      <c r="S1285" s="527">
        <f t="shared" si="165"/>
        <v>0</v>
      </c>
      <c r="T1285" s="528">
        <f t="shared" si="166"/>
        <v>0</v>
      </c>
      <c r="U1285" s="527">
        <f t="shared" si="167"/>
        <v>0</v>
      </c>
      <c r="W1285" s="326">
        <f t="shared" si="169"/>
        <v>0</v>
      </c>
      <c r="X1285" s="261">
        <f t="shared" si="168"/>
        <v>0</v>
      </c>
      <c r="Z1285" s="1016">
        <f t="shared" si="170"/>
        <v>0</v>
      </c>
    </row>
    <row r="1286" spans="1:26" ht="12" hidden="1" thickBot="1">
      <c r="A1286" s="588" t="s">
        <v>1465</v>
      </c>
      <c r="B1286" s="522" t="s">
        <v>942</v>
      </c>
      <c r="C1286" s="522" t="s">
        <v>943</v>
      </c>
      <c r="D1286" s="522"/>
      <c r="E1286" s="962"/>
      <c r="F1286" s="962"/>
      <c r="G1286" s="962"/>
      <c r="H1286" s="962"/>
      <c r="I1286" s="962"/>
      <c r="J1286" s="962"/>
      <c r="K1286" s="962"/>
      <c r="L1286" s="962"/>
      <c r="M1286" s="962"/>
      <c r="N1286" s="962"/>
      <c r="O1286" s="962"/>
      <c r="P1286" s="962"/>
      <c r="Q1286" s="962"/>
      <c r="R1286" s="962"/>
      <c r="S1286" s="527">
        <f t="shared" si="165"/>
        <v>0</v>
      </c>
      <c r="T1286" s="528">
        <f t="shared" si="166"/>
        <v>0</v>
      </c>
      <c r="U1286" s="527">
        <f t="shared" si="167"/>
        <v>0</v>
      </c>
      <c r="W1286" s="326">
        <f t="shared" si="169"/>
        <v>0</v>
      </c>
      <c r="X1286" s="261">
        <f t="shared" si="168"/>
        <v>0</v>
      </c>
      <c r="Z1286" s="1016">
        <f t="shared" si="170"/>
        <v>0</v>
      </c>
    </row>
    <row r="1287" spans="1:26" ht="12" hidden="1" thickBot="1">
      <c r="A1287" s="588" t="s">
        <v>1465</v>
      </c>
      <c r="B1287" s="522" t="s">
        <v>168</v>
      </c>
      <c r="C1287" s="522" t="s">
        <v>58</v>
      </c>
      <c r="D1287" s="523" t="s">
        <v>19</v>
      </c>
      <c r="E1287" s="960">
        <v>126631031</v>
      </c>
      <c r="F1287" s="961">
        <v>24000</v>
      </c>
      <c r="G1287" s="961">
        <v>939602</v>
      </c>
      <c r="H1287" s="961">
        <v>3662169</v>
      </c>
      <c r="I1287" s="962"/>
      <c r="J1287" s="961">
        <v>200683</v>
      </c>
      <c r="K1287" s="961">
        <v>2060718</v>
      </c>
      <c r="L1287" s="961">
        <v>0</v>
      </c>
      <c r="M1287" s="961">
        <v>97442</v>
      </c>
      <c r="N1287" s="961"/>
      <c r="O1287" s="961">
        <v>474134</v>
      </c>
      <c r="P1287" s="962"/>
      <c r="Q1287" s="962"/>
      <c r="R1287" s="961">
        <v>7458749</v>
      </c>
      <c r="S1287" s="527">
        <f t="shared" si="165"/>
        <v>4601771</v>
      </c>
      <c r="T1287" s="528">
        <f t="shared" si="166"/>
        <v>2261401</v>
      </c>
      <c r="U1287" s="527">
        <f t="shared" si="167"/>
        <v>474134</v>
      </c>
      <c r="W1287" s="326">
        <f t="shared" si="169"/>
        <v>7458748</v>
      </c>
      <c r="X1287" s="261">
        <f t="shared" si="168"/>
        <v>-1</v>
      </c>
      <c r="Z1287" s="1016">
        <f t="shared" si="170"/>
        <v>6887172</v>
      </c>
    </row>
    <row r="1288" spans="1:26" ht="12" hidden="1" thickBot="1">
      <c r="A1288" s="588" t="s">
        <v>1465</v>
      </c>
      <c r="B1288" s="522" t="s">
        <v>169</v>
      </c>
      <c r="C1288" s="522" t="s">
        <v>196</v>
      </c>
      <c r="D1288" s="523" t="s">
        <v>26</v>
      </c>
      <c r="E1288" s="960">
        <v>19115050</v>
      </c>
      <c r="F1288" s="961">
        <v>36890</v>
      </c>
      <c r="G1288" s="961">
        <v>128071</v>
      </c>
      <c r="H1288" s="961">
        <v>552807</v>
      </c>
      <c r="I1288" s="962"/>
      <c r="J1288" s="961">
        <v>59372</v>
      </c>
      <c r="K1288" s="961">
        <v>665185</v>
      </c>
      <c r="L1288" s="961">
        <v>32567</v>
      </c>
      <c r="M1288" s="961">
        <v>14709</v>
      </c>
      <c r="N1288" s="961"/>
      <c r="O1288" s="961">
        <v>71571</v>
      </c>
      <c r="P1288" s="962"/>
      <c r="Q1288" s="962"/>
      <c r="R1288" s="961">
        <v>1561172</v>
      </c>
      <c r="S1288" s="527">
        <f t="shared" si="165"/>
        <v>680878</v>
      </c>
      <c r="T1288" s="528">
        <f t="shared" si="166"/>
        <v>724557</v>
      </c>
      <c r="U1288" s="527">
        <f t="shared" si="167"/>
        <v>71571</v>
      </c>
      <c r="W1288" s="326">
        <f t="shared" si="169"/>
        <v>1561172</v>
      </c>
      <c r="X1288" s="261">
        <f t="shared" si="168"/>
        <v>0</v>
      </c>
      <c r="Z1288" s="1016">
        <f t="shared" si="170"/>
        <v>1442325</v>
      </c>
    </row>
    <row r="1289" spans="1:26" ht="12" hidden="1" thickBot="1">
      <c r="A1289" s="588" t="s">
        <v>1465</v>
      </c>
      <c r="B1289" s="522" t="s">
        <v>170</v>
      </c>
      <c r="C1289" s="522" t="s">
        <v>197</v>
      </c>
      <c r="D1289" s="523" t="s">
        <v>25</v>
      </c>
      <c r="E1289" s="960">
        <v>183801650</v>
      </c>
      <c r="F1289" s="961">
        <v>434700</v>
      </c>
      <c r="G1289" s="961">
        <v>1235147</v>
      </c>
      <c r="H1289" s="961">
        <v>5315544</v>
      </c>
      <c r="I1289" s="962"/>
      <c r="J1289" s="961">
        <v>643991</v>
      </c>
      <c r="K1289" s="961">
        <v>7227012</v>
      </c>
      <c r="L1289" s="961">
        <v>313150</v>
      </c>
      <c r="M1289" s="961">
        <v>141434</v>
      </c>
      <c r="N1289" s="961"/>
      <c r="O1289" s="961">
        <v>688194</v>
      </c>
      <c r="P1289" s="962"/>
      <c r="Q1289" s="961"/>
      <c r="R1289" s="961">
        <v>15999173</v>
      </c>
      <c r="S1289" s="527">
        <f t="shared" si="165"/>
        <v>6550691</v>
      </c>
      <c r="T1289" s="528">
        <f t="shared" si="166"/>
        <v>7871003</v>
      </c>
      <c r="U1289" s="527">
        <f t="shared" si="167"/>
        <v>688194</v>
      </c>
      <c r="W1289" s="326">
        <f t="shared" si="169"/>
        <v>15999172</v>
      </c>
      <c r="X1289" s="261">
        <f t="shared" si="168"/>
        <v>-1</v>
      </c>
      <c r="Z1289" s="1016">
        <f t="shared" si="170"/>
        <v>14856394</v>
      </c>
    </row>
    <row r="1290" spans="1:26" ht="12" hidden="1" thickBot="1">
      <c r="A1290" s="588" t="s">
        <v>1465</v>
      </c>
      <c r="B1290" s="522" t="s">
        <v>171</v>
      </c>
      <c r="C1290" s="522" t="s">
        <v>198</v>
      </c>
      <c r="D1290" s="542" t="s">
        <v>221</v>
      </c>
      <c r="E1290" s="960">
        <v>245605634</v>
      </c>
      <c r="F1290" s="961">
        <v>15600</v>
      </c>
      <c r="G1290" s="961">
        <v>2144137</v>
      </c>
      <c r="H1290" s="961">
        <v>7102915</v>
      </c>
      <c r="I1290" s="962"/>
      <c r="J1290" s="961">
        <v>401303</v>
      </c>
      <c r="K1290" s="961">
        <v>4050041</v>
      </c>
      <c r="L1290" s="961">
        <v>418448</v>
      </c>
      <c r="M1290" s="961">
        <v>188992</v>
      </c>
      <c r="N1290" s="961"/>
      <c r="O1290" s="961">
        <v>919602</v>
      </c>
      <c r="P1290" s="962"/>
      <c r="Q1290" s="962"/>
      <c r="R1290" s="961">
        <v>15241038</v>
      </c>
      <c r="S1290" s="527">
        <f t="shared" si="165"/>
        <v>9247052</v>
      </c>
      <c r="T1290" s="528">
        <f t="shared" si="166"/>
        <v>4451344</v>
      </c>
      <c r="U1290" s="527">
        <f t="shared" si="167"/>
        <v>919602</v>
      </c>
      <c r="W1290" s="326">
        <f t="shared" si="169"/>
        <v>15241038</v>
      </c>
      <c r="X1290" s="261">
        <f t="shared" si="168"/>
        <v>0</v>
      </c>
      <c r="Z1290" s="1016">
        <f t="shared" si="170"/>
        <v>13713996</v>
      </c>
    </row>
    <row r="1291" spans="1:26" ht="12" hidden="1" thickBot="1">
      <c r="A1291" s="588" t="s">
        <v>1465</v>
      </c>
      <c r="B1291" s="522" t="s">
        <v>172</v>
      </c>
      <c r="C1291" s="522" t="s">
        <v>199</v>
      </c>
      <c r="D1291" s="523" t="s">
        <v>26</v>
      </c>
      <c r="E1291" s="960"/>
      <c r="F1291" s="961"/>
      <c r="G1291" s="961"/>
      <c r="H1291" s="961"/>
      <c r="I1291" s="962"/>
      <c r="J1291" s="961"/>
      <c r="K1291" s="961"/>
      <c r="L1291" s="961"/>
      <c r="M1291" s="961"/>
      <c r="N1291" s="961"/>
      <c r="O1291" s="961"/>
      <c r="P1291" s="962"/>
      <c r="Q1291" s="962"/>
      <c r="R1291" s="961"/>
      <c r="S1291" s="527">
        <f t="shared" si="165"/>
        <v>0</v>
      </c>
      <c r="T1291" s="528">
        <f t="shared" si="166"/>
        <v>0</v>
      </c>
      <c r="U1291" s="527">
        <f t="shared" si="167"/>
        <v>0</v>
      </c>
      <c r="W1291" s="326">
        <f t="shared" si="169"/>
        <v>0</v>
      </c>
      <c r="X1291" s="261">
        <f t="shared" si="168"/>
        <v>0</v>
      </c>
      <c r="Z1291" s="1016">
        <f t="shared" si="170"/>
        <v>0</v>
      </c>
    </row>
    <row r="1292" spans="1:26" ht="12" hidden="1" thickBot="1">
      <c r="A1292" s="588" t="s">
        <v>1465</v>
      </c>
      <c r="B1292" s="522" t="s">
        <v>173</v>
      </c>
      <c r="C1292" s="522" t="s">
        <v>200</v>
      </c>
      <c r="D1292" s="535" t="s">
        <v>25</v>
      </c>
      <c r="E1292" s="960"/>
      <c r="F1292" s="961"/>
      <c r="G1292" s="961"/>
      <c r="H1292" s="961"/>
      <c r="I1292" s="962"/>
      <c r="J1292" s="961"/>
      <c r="K1292" s="961"/>
      <c r="L1292" s="961"/>
      <c r="M1292" s="961"/>
      <c r="N1292" s="961"/>
      <c r="O1292" s="961"/>
      <c r="P1292" s="962"/>
      <c r="Q1292" s="962"/>
      <c r="R1292" s="961"/>
      <c r="S1292" s="527">
        <f t="shared" si="165"/>
        <v>0</v>
      </c>
      <c r="T1292" s="528">
        <f t="shared" si="166"/>
        <v>0</v>
      </c>
      <c r="U1292" s="527">
        <f t="shared" si="167"/>
        <v>0</v>
      </c>
      <c r="W1292" s="326">
        <f t="shared" si="169"/>
        <v>0</v>
      </c>
      <c r="X1292" s="261">
        <f t="shared" si="168"/>
        <v>0</v>
      </c>
      <c r="Z1292" s="1016">
        <f t="shared" si="170"/>
        <v>0</v>
      </c>
    </row>
    <row r="1293" spans="1:26" ht="12" hidden="1" thickBot="1">
      <c r="A1293" s="588" t="s">
        <v>1465</v>
      </c>
      <c r="B1293" s="522" t="s">
        <v>174</v>
      </c>
      <c r="C1293" s="522" t="s">
        <v>201</v>
      </c>
      <c r="D1293" s="523" t="s">
        <v>221</v>
      </c>
      <c r="E1293" s="960">
        <v>102999239</v>
      </c>
      <c r="F1293" s="961">
        <v>54300</v>
      </c>
      <c r="G1293" s="961">
        <v>899183</v>
      </c>
      <c r="H1293" s="961">
        <v>2978738</v>
      </c>
      <c r="I1293" s="962"/>
      <c r="J1293" s="961">
        <v>202289</v>
      </c>
      <c r="K1293" s="961">
        <v>2039036</v>
      </c>
      <c r="L1293" s="961">
        <v>175484</v>
      </c>
      <c r="M1293" s="961">
        <v>79257</v>
      </c>
      <c r="N1293" s="961"/>
      <c r="O1293" s="961">
        <v>385652</v>
      </c>
      <c r="P1293" s="962"/>
      <c r="Q1293" s="962"/>
      <c r="R1293" s="961">
        <v>6813939</v>
      </c>
      <c r="S1293" s="527">
        <f t="shared" si="165"/>
        <v>3877921</v>
      </c>
      <c r="T1293" s="528">
        <f t="shared" si="166"/>
        <v>2241325</v>
      </c>
      <c r="U1293" s="527">
        <f t="shared" si="167"/>
        <v>385652</v>
      </c>
      <c r="W1293" s="326">
        <f t="shared" si="169"/>
        <v>6813939</v>
      </c>
      <c r="X1293" s="261">
        <f t="shared" si="168"/>
        <v>0</v>
      </c>
      <c r="Z1293" s="1016">
        <f t="shared" si="170"/>
        <v>6173546</v>
      </c>
    </row>
    <row r="1294" spans="1:26" ht="12" hidden="1" thickBot="1">
      <c r="A1294" s="588" t="s">
        <v>1465</v>
      </c>
      <c r="B1294" s="522" t="s">
        <v>175</v>
      </c>
      <c r="C1294" s="522" t="s">
        <v>202</v>
      </c>
      <c r="D1294" s="523" t="s">
        <v>220</v>
      </c>
      <c r="E1294" s="960">
        <v>118237134</v>
      </c>
      <c r="F1294" s="961">
        <v>90400</v>
      </c>
      <c r="G1294" s="961">
        <v>1041669</v>
      </c>
      <c r="H1294" s="961">
        <v>3419418</v>
      </c>
      <c r="I1294" s="962"/>
      <c r="J1294" s="961">
        <v>266616</v>
      </c>
      <c r="K1294" s="961">
        <v>2720910</v>
      </c>
      <c r="L1294" s="961">
        <v>201445</v>
      </c>
      <c r="M1294" s="961">
        <v>90983</v>
      </c>
      <c r="N1294" s="961"/>
      <c r="O1294" s="961">
        <v>442706</v>
      </c>
      <c r="P1294" s="962"/>
      <c r="Q1294" s="962"/>
      <c r="R1294" s="961">
        <v>8274147</v>
      </c>
      <c r="S1294" s="527">
        <f t="shared" si="165"/>
        <v>4461087</v>
      </c>
      <c r="T1294" s="528">
        <f t="shared" si="166"/>
        <v>2987526</v>
      </c>
      <c r="U1294" s="527">
        <f t="shared" si="167"/>
        <v>442706</v>
      </c>
      <c r="W1294" s="326">
        <f t="shared" si="169"/>
        <v>8274147</v>
      </c>
      <c r="X1294" s="261">
        <f t="shared" si="168"/>
        <v>0</v>
      </c>
      <c r="Z1294" s="1016">
        <f t="shared" si="170"/>
        <v>7539013</v>
      </c>
    </row>
    <row r="1295" spans="1:26" ht="12" hidden="1" thickBot="1">
      <c r="A1295" s="588" t="s">
        <v>1465</v>
      </c>
      <c r="B1295" s="522" t="s">
        <v>176</v>
      </c>
      <c r="C1295" s="522" t="s">
        <v>203</v>
      </c>
      <c r="D1295" s="523" t="s">
        <v>25</v>
      </c>
      <c r="E1295" s="960"/>
      <c r="F1295" s="961"/>
      <c r="G1295" s="961"/>
      <c r="H1295" s="961"/>
      <c r="I1295" s="962"/>
      <c r="J1295" s="961"/>
      <c r="K1295" s="961"/>
      <c r="L1295" s="961"/>
      <c r="M1295" s="961"/>
      <c r="N1295" s="961"/>
      <c r="O1295" s="961"/>
      <c r="P1295" s="962"/>
      <c r="Q1295" s="962"/>
      <c r="R1295" s="961"/>
      <c r="S1295" s="527">
        <f t="shared" si="165"/>
        <v>0</v>
      </c>
      <c r="T1295" s="528">
        <f t="shared" si="166"/>
        <v>0</v>
      </c>
      <c r="U1295" s="527">
        <f t="shared" si="167"/>
        <v>0</v>
      </c>
      <c r="W1295" s="326">
        <f t="shared" si="169"/>
        <v>0</v>
      </c>
      <c r="X1295" s="261">
        <f t="shared" si="168"/>
        <v>0</v>
      </c>
      <c r="Z1295" s="1016">
        <f t="shared" si="170"/>
        <v>0</v>
      </c>
    </row>
    <row r="1296" spans="1:26" ht="12" hidden="1" thickBot="1">
      <c r="A1296" s="588" t="s">
        <v>1465</v>
      </c>
      <c r="B1296" s="522" t="s">
        <v>944</v>
      </c>
      <c r="C1296" s="522" t="s">
        <v>943</v>
      </c>
      <c r="D1296" s="522"/>
      <c r="E1296" s="962"/>
      <c r="F1296" s="962"/>
      <c r="G1296" s="962"/>
      <c r="H1296" s="962"/>
      <c r="I1296" s="962"/>
      <c r="J1296" s="962"/>
      <c r="K1296" s="962"/>
      <c r="L1296" s="962"/>
      <c r="M1296" s="962"/>
      <c r="N1296" s="962"/>
      <c r="O1296" s="962"/>
      <c r="P1296" s="962"/>
      <c r="Q1296" s="962"/>
      <c r="R1296" s="962"/>
      <c r="S1296" s="527">
        <f t="shared" ref="S1296:S1319" si="171">G1296+H1296+I1296</f>
        <v>0</v>
      </c>
      <c r="T1296" s="528">
        <f t="shared" ref="T1296:T1319" si="172">J1296+K1296</f>
        <v>0</v>
      </c>
      <c r="U1296" s="527">
        <f t="shared" ref="U1296:U1319" si="173">N1296+O1296</f>
        <v>0</v>
      </c>
      <c r="W1296" s="326">
        <f t="shared" si="169"/>
        <v>0</v>
      </c>
      <c r="X1296" s="261">
        <f t="shared" ref="X1296:X1319" si="174">W1296-R1296</f>
        <v>0</v>
      </c>
      <c r="Z1296" s="1016">
        <f t="shared" si="170"/>
        <v>0</v>
      </c>
    </row>
    <row r="1297" spans="1:26" ht="12" hidden="1" thickBot="1">
      <c r="A1297" s="588" t="s">
        <v>1465</v>
      </c>
      <c r="B1297" s="522" t="s">
        <v>177</v>
      </c>
      <c r="C1297" s="522" t="s">
        <v>494</v>
      </c>
      <c r="D1297" s="522" t="s">
        <v>224</v>
      </c>
      <c r="E1297" s="960">
        <v>57186337</v>
      </c>
      <c r="F1297" s="961">
        <v>1268417</v>
      </c>
      <c r="G1297" s="961">
        <v>3352263</v>
      </c>
      <c r="H1297" s="961">
        <v>1653829</v>
      </c>
      <c r="I1297" s="961">
        <v>269348</v>
      </c>
      <c r="J1297" s="962"/>
      <c r="K1297" s="961"/>
      <c r="L1297" s="961">
        <v>97431</v>
      </c>
      <c r="M1297" s="961">
        <v>44005</v>
      </c>
      <c r="N1297" s="961"/>
      <c r="O1297" s="961">
        <v>214118</v>
      </c>
      <c r="P1297" s="962"/>
      <c r="Q1297" s="961"/>
      <c r="R1297" s="961">
        <v>6899411</v>
      </c>
      <c r="S1297" s="527">
        <f t="shared" si="171"/>
        <v>5275440</v>
      </c>
      <c r="T1297" s="528">
        <f t="shared" si="172"/>
        <v>0</v>
      </c>
      <c r="U1297" s="527">
        <f t="shared" si="173"/>
        <v>214118</v>
      </c>
      <c r="W1297" s="326">
        <f t="shared" si="169"/>
        <v>6899411</v>
      </c>
      <c r="X1297" s="261">
        <f t="shared" si="174"/>
        <v>0</v>
      </c>
      <c r="Z1297" s="1016">
        <f t="shared" si="170"/>
        <v>6543857</v>
      </c>
    </row>
    <row r="1298" spans="1:26" ht="12" hidden="1" thickBot="1">
      <c r="A1298" s="588" t="s">
        <v>1465</v>
      </c>
      <c r="B1298" s="522" t="s">
        <v>178</v>
      </c>
      <c r="C1298" s="522" t="s">
        <v>1352</v>
      </c>
      <c r="D1298" s="542" t="s">
        <v>224</v>
      </c>
      <c r="E1298" s="960"/>
      <c r="F1298" s="961"/>
      <c r="G1298" s="961"/>
      <c r="H1298" s="961"/>
      <c r="I1298" s="961"/>
      <c r="J1298" s="962"/>
      <c r="K1298" s="962"/>
      <c r="L1298" s="961"/>
      <c r="M1298" s="961"/>
      <c r="N1298" s="961"/>
      <c r="O1298" s="961"/>
      <c r="P1298" s="962"/>
      <c r="Q1298" s="962"/>
      <c r="R1298" s="961"/>
      <c r="S1298" s="527">
        <f t="shared" si="171"/>
        <v>0</v>
      </c>
      <c r="T1298" s="528">
        <f t="shared" si="172"/>
        <v>0</v>
      </c>
      <c r="U1298" s="527">
        <f t="shared" si="173"/>
        <v>0</v>
      </c>
      <c r="W1298" s="326">
        <f t="shared" si="169"/>
        <v>0</v>
      </c>
      <c r="X1298" s="261">
        <f t="shared" si="174"/>
        <v>0</v>
      </c>
      <c r="Z1298" s="1016">
        <f t="shared" si="170"/>
        <v>0</v>
      </c>
    </row>
    <row r="1299" spans="1:26" ht="12" hidden="1" thickBot="1">
      <c r="A1299" s="588" t="s">
        <v>1465</v>
      </c>
      <c r="B1299" s="522" t="s">
        <v>179</v>
      </c>
      <c r="C1299" s="522" t="s">
        <v>64</v>
      </c>
      <c r="D1299" s="523" t="s">
        <v>18</v>
      </c>
      <c r="E1299" s="960">
        <v>83400407</v>
      </c>
      <c r="F1299" s="961">
        <v>648869</v>
      </c>
      <c r="G1299" s="961">
        <v>4888932</v>
      </c>
      <c r="H1299" s="961">
        <v>2411940</v>
      </c>
      <c r="I1299" s="961">
        <v>392816</v>
      </c>
      <c r="J1299" s="962"/>
      <c r="K1299" s="962"/>
      <c r="L1299" s="961">
        <v>142093</v>
      </c>
      <c r="M1299" s="961">
        <v>64176</v>
      </c>
      <c r="N1299" s="961"/>
      <c r="O1299" s="961">
        <v>312270</v>
      </c>
      <c r="P1299" s="962"/>
      <c r="Q1299" s="961"/>
      <c r="R1299" s="961">
        <v>8861095</v>
      </c>
      <c r="S1299" s="527">
        <f t="shared" si="171"/>
        <v>7693688</v>
      </c>
      <c r="T1299" s="528">
        <f t="shared" si="172"/>
        <v>0</v>
      </c>
      <c r="U1299" s="527">
        <f t="shared" si="173"/>
        <v>312270</v>
      </c>
      <c r="W1299" s="326">
        <f t="shared" si="169"/>
        <v>8861096</v>
      </c>
      <c r="X1299" s="261">
        <f t="shared" si="174"/>
        <v>1</v>
      </c>
      <c r="Z1299" s="1016">
        <f t="shared" si="170"/>
        <v>8342557</v>
      </c>
    </row>
    <row r="1300" spans="1:26" ht="12" hidden="1" thickBot="1">
      <c r="A1300" s="588" t="s">
        <v>1465</v>
      </c>
      <c r="B1300" s="522" t="s">
        <v>180</v>
      </c>
      <c r="C1300" s="522" t="s">
        <v>204</v>
      </c>
      <c r="D1300" s="536" t="s">
        <v>219</v>
      </c>
      <c r="E1300" s="960">
        <v>571422</v>
      </c>
      <c r="F1300" s="961">
        <v>7440</v>
      </c>
      <c r="G1300" s="961">
        <v>24188</v>
      </c>
      <c r="H1300" s="961">
        <v>16526</v>
      </c>
      <c r="I1300" s="961">
        <v>1800</v>
      </c>
      <c r="J1300" s="962"/>
      <c r="K1300" s="962"/>
      <c r="L1300" s="961">
        <v>974</v>
      </c>
      <c r="M1300" s="961">
        <v>440</v>
      </c>
      <c r="N1300" s="961">
        <v>2140</v>
      </c>
      <c r="O1300" s="962"/>
      <c r="P1300" s="962"/>
      <c r="Q1300" s="962"/>
      <c r="R1300" s="961">
        <v>53507</v>
      </c>
      <c r="S1300" s="527">
        <f t="shared" si="171"/>
        <v>42514</v>
      </c>
      <c r="T1300" s="528">
        <f t="shared" si="172"/>
        <v>0</v>
      </c>
      <c r="U1300" s="527">
        <f t="shared" si="173"/>
        <v>2140</v>
      </c>
      <c r="W1300" s="326">
        <f t="shared" si="169"/>
        <v>53508</v>
      </c>
      <c r="X1300" s="261">
        <f t="shared" si="174"/>
        <v>1</v>
      </c>
      <c r="Z1300" s="1016">
        <f t="shared" si="170"/>
        <v>49954</v>
      </c>
    </row>
    <row r="1301" spans="1:26" ht="12" hidden="1" thickBot="1">
      <c r="A1301" s="588" t="s">
        <v>1465</v>
      </c>
      <c r="B1301" s="522" t="s">
        <v>181</v>
      </c>
      <c r="C1301" s="522" t="s">
        <v>205</v>
      </c>
      <c r="D1301" s="536" t="s">
        <v>219</v>
      </c>
      <c r="E1301" s="960"/>
      <c r="F1301" s="961"/>
      <c r="G1301" s="961"/>
      <c r="H1301" s="961"/>
      <c r="I1301" s="961"/>
      <c r="J1301" s="962"/>
      <c r="K1301" s="962"/>
      <c r="L1301" s="961"/>
      <c r="M1301" s="961"/>
      <c r="N1301" s="961"/>
      <c r="O1301" s="962"/>
      <c r="P1301" s="962"/>
      <c r="Q1301" s="962"/>
      <c r="R1301" s="961"/>
      <c r="S1301" s="527">
        <f t="shared" si="171"/>
        <v>0</v>
      </c>
      <c r="T1301" s="528">
        <f t="shared" si="172"/>
        <v>0</v>
      </c>
      <c r="U1301" s="527">
        <f t="shared" si="173"/>
        <v>0</v>
      </c>
      <c r="W1301" s="326">
        <f t="shared" si="169"/>
        <v>0</v>
      </c>
      <c r="X1301" s="261">
        <f t="shared" si="174"/>
        <v>0</v>
      </c>
      <c r="Z1301" s="1016">
        <f t="shared" si="170"/>
        <v>0</v>
      </c>
    </row>
    <row r="1302" spans="1:26" ht="12" hidden="1" thickBot="1">
      <c r="A1302" s="588" t="s">
        <v>1465</v>
      </c>
      <c r="B1302" s="522" t="s">
        <v>182</v>
      </c>
      <c r="C1302" s="522" t="s">
        <v>206</v>
      </c>
      <c r="D1302" s="533" t="s">
        <v>228</v>
      </c>
      <c r="E1302" s="960"/>
      <c r="F1302" s="961"/>
      <c r="G1302" s="961"/>
      <c r="H1302" s="961"/>
      <c r="I1302" s="961"/>
      <c r="J1302" s="962"/>
      <c r="K1302" s="962"/>
      <c r="L1302" s="961"/>
      <c r="M1302" s="961"/>
      <c r="N1302" s="961"/>
      <c r="O1302" s="962"/>
      <c r="P1302" s="962"/>
      <c r="Q1302" s="962"/>
      <c r="R1302" s="961"/>
      <c r="S1302" s="527">
        <f t="shared" si="171"/>
        <v>0</v>
      </c>
      <c r="T1302" s="528">
        <f t="shared" si="172"/>
        <v>0</v>
      </c>
      <c r="U1302" s="527">
        <f t="shared" si="173"/>
        <v>0</v>
      </c>
      <c r="W1302" s="326">
        <f t="shared" si="169"/>
        <v>0</v>
      </c>
      <c r="X1302" s="261">
        <f t="shared" si="174"/>
        <v>0</v>
      </c>
      <c r="Z1302" s="1016">
        <f t="shared" si="170"/>
        <v>0</v>
      </c>
    </row>
    <row r="1303" spans="1:26" ht="12" hidden="1" thickBot="1">
      <c r="A1303" s="588" t="s">
        <v>1465</v>
      </c>
      <c r="B1303" s="522" t="s">
        <v>183</v>
      </c>
      <c r="C1303" s="522" t="s">
        <v>207</v>
      </c>
      <c r="D1303" s="535" t="s">
        <v>228</v>
      </c>
      <c r="E1303" s="960">
        <v>10591038</v>
      </c>
      <c r="F1303" s="961">
        <v>9065</v>
      </c>
      <c r="G1303" s="961">
        <v>448319</v>
      </c>
      <c r="H1303" s="961">
        <v>306293</v>
      </c>
      <c r="I1303" s="961">
        <v>33362</v>
      </c>
      <c r="J1303" s="962"/>
      <c r="K1303" s="962"/>
      <c r="L1303" s="961">
        <v>18044</v>
      </c>
      <c r="M1303" s="961">
        <v>8150</v>
      </c>
      <c r="N1303" s="961">
        <v>39655</v>
      </c>
      <c r="O1303" s="962"/>
      <c r="P1303" s="962"/>
      <c r="Q1303" s="962"/>
      <c r="R1303" s="961">
        <v>862888</v>
      </c>
      <c r="S1303" s="527">
        <f t="shared" si="171"/>
        <v>787974</v>
      </c>
      <c r="T1303" s="528">
        <f t="shared" si="172"/>
        <v>0</v>
      </c>
      <c r="U1303" s="527">
        <f t="shared" si="173"/>
        <v>39655</v>
      </c>
      <c r="W1303" s="326">
        <f t="shared" si="169"/>
        <v>862888</v>
      </c>
      <c r="X1303" s="261">
        <f t="shared" si="174"/>
        <v>0</v>
      </c>
      <c r="Z1303" s="1016">
        <f t="shared" si="170"/>
        <v>797039</v>
      </c>
    </row>
    <row r="1304" spans="1:26" ht="12" hidden="1" thickBot="1">
      <c r="A1304" s="588" t="s">
        <v>1465</v>
      </c>
      <c r="B1304" s="522" t="s">
        <v>720</v>
      </c>
      <c r="C1304" s="522" t="s">
        <v>723</v>
      </c>
      <c r="D1304" s="535" t="s">
        <v>228</v>
      </c>
      <c r="E1304" s="960"/>
      <c r="F1304" s="961"/>
      <c r="G1304" s="961"/>
      <c r="H1304" s="961"/>
      <c r="I1304" s="961"/>
      <c r="J1304" s="962"/>
      <c r="K1304" s="962"/>
      <c r="L1304" s="961"/>
      <c r="M1304" s="961"/>
      <c r="N1304" s="961"/>
      <c r="O1304" s="962"/>
      <c r="P1304" s="962"/>
      <c r="Q1304" s="962"/>
      <c r="R1304" s="961"/>
      <c r="S1304" s="527">
        <f t="shared" si="171"/>
        <v>0</v>
      </c>
      <c r="T1304" s="528">
        <f t="shared" si="172"/>
        <v>0</v>
      </c>
      <c r="U1304" s="527">
        <f t="shared" si="173"/>
        <v>0</v>
      </c>
      <c r="W1304" s="326">
        <f t="shared" si="169"/>
        <v>0</v>
      </c>
      <c r="X1304" s="261">
        <f t="shared" si="174"/>
        <v>0</v>
      </c>
      <c r="Z1304" s="1016">
        <f t="shared" si="170"/>
        <v>0</v>
      </c>
    </row>
    <row r="1305" spans="1:26" ht="12" hidden="1" thickBot="1">
      <c r="A1305" s="588" t="s">
        <v>1465</v>
      </c>
      <c r="B1305" s="522" t="s">
        <v>721</v>
      </c>
      <c r="C1305" s="522" t="s">
        <v>724</v>
      </c>
      <c r="D1305" s="535" t="s">
        <v>219</v>
      </c>
      <c r="E1305" s="960"/>
      <c r="F1305" s="961"/>
      <c r="G1305" s="961"/>
      <c r="H1305" s="961"/>
      <c r="I1305" s="961"/>
      <c r="J1305" s="962"/>
      <c r="K1305" s="962"/>
      <c r="L1305" s="961"/>
      <c r="M1305" s="961"/>
      <c r="N1305" s="961"/>
      <c r="O1305" s="962"/>
      <c r="P1305" s="962"/>
      <c r="Q1305" s="962"/>
      <c r="R1305" s="961"/>
      <c r="S1305" s="527">
        <f t="shared" si="171"/>
        <v>0</v>
      </c>
      <c r="T1305" s="528">
        <f t="shared" si="172"/>
        <v>0</v>
      </c>
      <c r="U1305" s="527">
        <f t="shared" si="173"/>
        <v>0</v>
      </c>
      <c r="W1305" s="326">
        <f t="shared" si="169"/>
        <v>0</v>
      </c>
      <c r="X1305" s="261">
        <f t="shared" si="174"/>
        <v>0</v>
      </c>
      <c r="Z1305" s="1016">
        <f t="shared" si="170"/>
        <v>0</v>
      </c>
    </row>
    <row r="1306" spans="1:26" ht="12" hidden="1" thickBot="1">
      <c r="A1306" s="588" t="s">
        <v>1465</v>
      </c>
      <c r="B1306" s="522" t="s">
        <v>722</v>
      </c>
      <c r="C1306" s="522" t="s">
        <v>725</v>
      </c>
      <c r="D1306" s="523" t="s">
        <v>228</v>
      </c>
      <c r="E1306" s="960"/>
      <c r="F1306" s="961"/>
      <c r="G1306" s="961"/>
      <c r="H1306" s="961"/>
      <c r="I1306" s="961"/>
      <c r="J1306" s="962"/>
      <c r="K1306" s="962"/>
      <c r="L1306" s="961"/>
      <c r="M1306" s="961"/>
      <c r="N1306" s="961"/>
      <c r="O1306" s="962"/>
      <c r="P1306" s="962"/>
      <c r="Q1306" s="962"/>
      <c r="R1306" s="961"/>
      <c r="S1306" s="527">
        <f t="shared" si="171"/>
        <v>0</v>
      </c>
      <c r="T1306" s="528">
        <f t="shared" si="172"/>
        <v>0</v>
      </c>
      <c r="U1306" s="527">
        <f t="shared" si="173"/>
        <v>0</v>
      </c>
      <c r="W1306" s="326">
        <f t="shared" si="169"/>
        <v>0</v>
      </c>
      <c r="X1306" s="261">
        <f t="shared" si="174"/>
        <v>0</v>
      </c>
      <c r="Z1306" s="1016">
        <f t="shared" si="170"/>
        <v>0</v>
      </c>
    </row>
    <row r="1307" spans="1:26" ht="12" thickBot="1">
      <c r="A1307" s="588" t="s">
        <v>1465</v>
      </c>
      <c r="B1307" s="522" t="s">
        <v>233</v>
      </c>
      <c r="C1307" s="522" t="s">
        <v>651</v>
      </c>
      <c r="D1307" s="522" t="s">
        <v>20</v>
      </c>
      <c r="E1307" s="960">
        <v>14105</v>
      </c>
      <c r="F1307" s="962"/>
      <c r="G1307" s="961">
        <f>ROUND(E1307*0.0638,0)</f>
        <v>900</v>
      </c>
      <c r="H1307" s="961"/>
      <c r="I1307" s="961"/>
      <c r="J1307" s="962"/>
      <c r="K1307" s="962"/>
      <c r="L1307" s="962"/>
      <c r="M1307" s="961">
        <f>ROUND(E1307*0.00077,0)</f>
        <v>11</v>
      </c>
      <c r="N1307" s="961">
        <f>ROUND(E1307*0.00374,0)</f>
        <v>53</v>
      </c>
      <c r="O1307" s="962"/>
      <c r="P1307" s="962"/>
      <c r="Q1307" s="962"/>
      <c r="R1307" s="961">
        <f>SUM(F1307:Q1307)</f>
        <v>964</v>
      </c>
      <c r="S1307" s="527">
        <f>E1307*0.0638</f>
        <v>899.89899999999989</v>
      </c>
      <c r="T1307" s="528">
        <f t="shared" si="172"/>
        <v>0</v>
      </c>
      <c r="U1307" s="527">
        <f t="shared" si="173"/>
        <v>53</v>
      </c>
      <c r="W1307" s="326">
        <f t="shared" si="169"/>
        <v>964</v>
      </c>
      <c r="X1307" s="261">
        <f t="shared" si="174"/>
        <v>0</v>
      </c>
      <c r="Z1307" s="1016">
        <f t="shared" si="170"/>
        <v>900</v>
      </c>
    </row>
    <row r="1308" spans="1:26" ht="12" hidden="1" thickBot="1">
      <c r="A1308" s="588" t="s">
        <v>1465</v>
      </c>
      <c r="B1308" s="522" t="s">
        <v>232</v>
      </c>
      <c r="C1308" s="522" t="s">
        <v>651</v>
      </c>
      <c r="D1308" s="522" t="s">
        <v>20</v>
      </c>
      <c r="E1308" s="960"/>
      <c r="F1308" s="962"/>
      <c r="G1308" s="961"/>
      <c r="H1308" s="961"/>
      <c r="I1308" s="961"/>
      <c r="J1308" s="962"/>
      <c r="K1308" s="962"/>
      <c r="L1308" s="962"/>
      <c r="M1308" s="961"/>
      <c r="N1308" s="961"/>
      <c r="O1308" s="962"/>
      <c r="P1308" s="962"/>
      <c r="Q1308" s="962"/>
      <c r="R1308" s="961"/>
      <c r="S1308" s="527">
        <f t="shared" si="171"/>
        <v>0</v>
      </c>
      <c r="T1308" s="528">
        <f t="shared" si="172"/>
        <v>0</v>
      </c>
      <c r="U1308" s="527">
        <f t="shared" si="173"/>
        <v>0</v>
      </c>
      <c r="W1308" s="326">
        <f t="shared" si="169"/>
        <v>0</v>
      </c>
      <c r="X1308" s="261">
        <f t="shared" si="174"/>
        <v>0</v>
      </c>
      <c r="Z1308" s="1016">
        <f t="shared" si="170"/>
        <v>0</v>
      </c>
    </row>
    <row r="1309" spans="1:26" ht="12" thickBot="1">
      <c r="A1309" s="588" t="s">
        <v>1465</v>
      </c>
      <c r="B1309" s="522" t="s">
        <v>184</v>
      </c>
      <c r="C1309" s="522" t="s">
        <v>59</v>
      </c>
      <c r="D1309" s="523" t="s">
        <v>21</v>
      </c>
      <c r="E1309" s="960">
        <v>97932</v>
      </c>
      <c r="F1309" s="961">
        <f>'1022'!D396*3.25</f>
        <v>2427.75</v>
      </c>
      <c r="G1309" s="961">
        <f>ROUND(E1309*0.07978,0)</f>
        <v>7813</v>
      </c>
      <c r="H1309" s="961"/>
      <c r="I1309" s="961"/>
      <c r="J1309" s="962"/>
      <c r="K1309" s="962"/>
      <c r="L1309" s="962"/>
      <c r="M1309" s="961">
        <f>ROUND(E1309*0.00077,0)</f>
        <v>75</v>
      </c>
      <c r="N1309" s="961">
        <f>ROUND(E1309*0.00374,0)</f>
        <v>366</v>
      </c>
      <c r="O1309" s="962"/>
      <c r="P1309" s="962"/>
      <c r="Q1309" s="962"/>
      <c r="R1309" s="961">
        <f>SUM(F1309:Q1309)</f>
        <v>10681.75</v>
      </c>
      <c r="S1309" s="527">
        <f t="shared" si="171"/>
        <v>7813</v>
      </c>
      <c r="T1309" s="528">
        <f t="shared" si="172"/>
        <v>0</v>
      </c>
      <c r="U1309" s="527">
        <f t="shared" si="173"/>
        <v>366</v>
      </c>
      <c r="W1309" s="326">
        <f t="shared" si="169"/>
        <v>10681.75</v>
      </c>
      <c r="X1309" s="261">
        <f t="shared" si="174"/>
        <v>0</v>
      </c>
      <c r="Z1309" s="1016">
        <f t="shared" si="170"/>
        <v>10240.75</v>
      </c>
    </row>
    <row r="1310" spans="1:26" ht="12" hidden="1" thickBot="1">
      <c r="A1310" s="588" t="s">
        <v>1465</v>
      </c>
      <c r="B1310" s="522" t="s">
        <v>652</v>
      </c>
      <c r="C1310" s="522" t="s">
        <v>676</v>
      </c>
      <c r="D1310" s="523" t="s">
        <v>21</v>
      </c>
      <c r="E1310" s="960"/>
      <c r="F1310" s="961"/>
      <c r="G1310" s="961"/>
      <c r="H1310" s="961"/>
      <c r="I1310" s="961"/>
      <c r="J1310" s="962"/>
      <c r="K1310" s="962"/>
      <c r="L1310" s="962"/>
      <c r="M1310" s="961"/>
      <c r="N1310" s="961"/>
      <c r="O1310" s="962"/>
      <c r="P1310" s="962"/>
      <c r="Q1310" s="962"/>
      <c r="R1310" s="961"/>
      <c r="S1310" s="527">
        <f t="shared" si="171"/>
        <v>0</v>
      </c>
      <c r="T1310" s="528">
        <f t="shared" si="172"/>
        <v>0</v>
      </c>
      <c r="U1310" s="527">
        <f t="shared" si="173"/>
        <v>0</v>
      </c>
      <c r="W1310" s="326">
        <f t="shared" si="169"/>
        <v>0</v>
      </c>
      <c r="X1310" s="261">
        <f t="shared" si="174"/>
        <v>0</v>
      </c>
      <c r="Z1310" s="1016">
        <f t="shared" si="170"/>
        <v>0</v>
      </c>
    </row>
    <row r="1311" spans="1:26" ht="12" hidden="1" thickBot="1">
      <c r="A1311" s="588" t="s">
        <v>1465</v>
      </c>
      <c r="B1311" s="522" t="s">
        <v>728</v>
      </c>
      <c r="C1311" s="522" t="s">
        <v>726</v>
      </c>
      <c r="D1311" s="523" t="s">
        <v>727</v>
      </c>
      <c r="E1311" s="962"/>
      <c r="F1311" s="962"/>
      <c r="G1311" s="962"/>
      <c r="H1311" s="962"/>
      <c r="I1311" s="962"/>
      <c r="J1311" s="962"/>
      <c r="K1311" s="962"/>
      <c r="L1311" s="962"/>
      <c r="M1311" s="962"/>
      <c r="N1311" s="962"/>
      <c r="O1311" s="962"/>
      <c r="P1311" s="962"/>
      <c r="Q1311" s="962"/>
      <c r="R1311" s="961"/>
      <c r="S1311" s="527">
        <f t="shared" si="171"/>
        <v>0</v>
      </c>
      <c r="T1311" s="528">
        <f t="shared" si="172"/>
        <v>0</v>
      </c>
      <c r="U1311" s="527">
        <f t="shared" si="173"/>
        <v>0</v>
      </c>
      <c r="W1311" s="326">
        <f t="shared" si="169"/>
        <v>0</v>
      </c>
      <c r="X1311" s="261">
        <f t="shared" si="174"/>
        <v>0</v>
      </c>
      <c r="Z1311" s="1016">
        <f t="shared" si="170"/>
        <v>0</v>
      </c>
    </row>
    <row r="1312" spans="1:26" ht="12" hidden="1" thickBot="1">
      <c r="A1312" s="588" t="s">
        <v>1465</v>
      </c>
      <c r="B1312" s="522" t="s">
        <v>1043</v>
      </c>
      <c r="C1312" s="522" t="s">
        <v>1044</v>
      </c>
      <c r="D1312" s="523" t="s">
        <v>1052</v>
      </c>
      <c r="E1312" s="962"/>
      <c r="F1312" s="962"/>
      <c r="G1312" s="962"/>
      <c r="H1312" s="962"/>
      <c r="I1312" s="962"/>
      <c r="J1312" s="962"/>
      <c r="K1312" s="962"/>
      <c r="L1312" s="962"/>
      <c r="M1312" s="962"/>
      <c r="N1312" s="962"/>
      <c r="O1312" s="962"/>
      <c r="P1312" s="962"/>
      <c r="Q1312" s="962"/>
      <c r="R1312" s="961"/>
      <c r="S1312" s="527">
        <f t="shared" si="171"/>
        <v>0</v>
      </c>
      <c r="T1312" s="528">
        <f t="shared" si="172"/>
        <v>0</v>
      </c>
      <c r="U1312" s="527">
        <f t="shared" si="173"/>
        <v>0</v>
      </c>
      <c r="W1312" s="326">
        <f t="shared" si="169"/>
        <v>0</v>
      </c>
      <c r="X1312" s="261">
        <f t="shared" si="174"/>
        <v>0</v>
      </c>
      <c r="Z1312" s="1016">
        <f t="shared" si="170"/>
        <v>0</v>
      </c>
    </row>
    <row r="1313" spans="1:26" ht="12" hidden="1" thickBot="1">
      <c r="A1313" s="588" t="s">
        <v>1465</v>
      </c>
      <c r="B1313" s="522" t="s">
        <v>185</v>
      </c>
      <c r="C1313" s="522" t="s">
        <v>1353</v>
      </c>
      <c r="D1313" s="523" t="s">
        <v>224</v>
      </c>
      <c r="E1313" s="960"/>
      <c r="F1313" s="961"/>
      <c r="G1313" s="961"/>
      <c r="H1313" s="961"/>
      <c r="I1313" s="961"/>
      <c r="J1313" s="962"/>
      <c r="K1313" s="962"/>
      <c r="L1313" s="961"/>
      <c r="M1313" s="961"/>
      <c r="N1313" s="961"/>
      <c r="O1313" s="961"/>
      <c r="P1313" s="962"/>
      <c r="Q1313" s="962"/>
      <c r="R1313" s="961"/>
      <c r="S1313" s="527">
        <f t="shared" si="171"/>
        <v>0</v>
      </c>
      <c r="T1313" s="528">
        <f t="shared" si="172"/>
        <v>0</v>
      </c>
      <c r="U1313" s="527">
        <f t="shared" si="173"/>
        <v>0</v>
      </c>
      <c r="W1313" s="326">
        <f t="shared" si="169"/>
        <v>0</v>
      </c>
      <c r="X1313" s="261">
        <f t="shared" si="174"/>
        <v>0</v>
      </c>
      <c r="Z1313" s="1016">
        <f t="shared" si="170"/>
        <v>0</v>
      </c>
    </row>
    <row r="1314" spans="1:26" ht="12" hidden="1" thickBot="1">
      <c r="A1314" s="588" t="s">
        <v>1465</v>
      </c>
      <c r="B1314" s="522" t="s">
        <v>186</v>
      </c>
      <c r="C1314" s="522" t="s">
        <v>1354</v>
      </c>
      <c r="D1314" s="523" t="s">
        <v>18</v>
      </c>
      <c r="E1314" s="960"/>
      <c r="F1314" s="961"/>
      <c r="G1314" s="961"/>
      <c r="H1314" s="961"/>
      <c r="I1314" s="961"/>
      <c r="J1314" s="962"/>
      <c r="K1314" s="962"/>
      <c r="L1314" s="961"/>
      <c r="M1314" s="961"/>
      <c r="N1314" s="961"/>
      <c r="O1314" s="961"/>
      <c r="P1314" s="962"/>
      <c r="Q1314" s="962"/>
      <c r="R1314" s="961"/>
      <c r="S1314" s="527">
        <f t="shared" si="171"/>
        <v>0</v>
      </c>
      <c r="T1314" s="528">
        <f t="shared" si="172"/>
        <v>0</v>
      </c>
      <c r="U1314" s="527">
        <f t="shared" si="173"/>
        <v>0</v>
      </c>
      <c r="W1314" s="326">
        <f t="shared" si="169"/>
        <v>0</v>
      </c>
      <c r="X1314" s="261">
        <f t="shared" si="174"/>
        <v>0</v>
      </c>
      <c r="Z1314" s="1016">
        <f t="shared" si="170"/>
        <v>0</v>
      </c>
    </row>
    <row r="1315" spans="1:26" ht="12" hidden="1" thickBot="1">
      <c r="A1315" s="588" t="s">
        <v>1465</v>
      </c>
      <c r="B1315" s="522" t="s">
        <v>750</v>
      </c>
      <c r="C1315" s="522" t="s">
        <v>748</v>
      </c>
      <c r="D1315" s="522"/>
      <c r="E1315" s="962"/>
      <c r="F1315" s="962"/>
      <c r="G1315" s="962"/>
      <c r="H1315" s="962"/>
      <c r="I1315" s="962"/>
      <c r="J1315" s="962"/>
      <c r="K1315" s="962"/>
      <c r="L1315" s="962"/>
      <c r="M1315" s="962"/>
      <c r="N1315" s="962"/>
      <c r="O1315" s="962"/>
      <c r="P1315" s="962"/>
      <c r="Q1315" s="962"/>
      <c r="R1315" s="962"/>
      <c r="S1315" s="527">
        <f t="shared" si="171"/>
        <v>0</v>
      </c>
      <c r="T1315" s="528">
        <f t="shared" si="172"/>
        <v>0</v>
      </c>
      <c r="U1315" s="527">
        <f t="shared" si="173"/>
        <v>0</v>
      </c>
      <c r="W1315" s="326">
        <f t="shared" si="169"/>
        <v>0</v>
      </c>
      <c r="X1315" s="261">
        <f t="shared" si="174"/>
        <v>0</v>
      </c>
      <c r="Z1315" s="1016">
        <f t="shared" si="170"/>
        <v>0</v>
      </c>
    </row>
    <row r="1316" spans="1:26" ht="12" hidden="1" thickBot="1">
      <c r="A1316" s="588" t="s">
        <v>1465</v>
      </c>
      <c r="B1316" s="522" t="s">
        <v>187</v>
      </c>
      <c r="C1316" s="522" t="s">
        <v>457</v>
      </c>
      <c r="D1316" s="542" t="s">
        <v>78</v>
      </c>
      <c r="E1316" s="962"/>
      <c r="F1316" s="962"/>
      <c r="G1316" s="962"/>
      <c r="H1316" s="962"/>
      <c r="I1316" s="962"/>
      <c r="J1316" s="962"/>
      <c r="K1316" s="962"/>
      <c r="L1316" s="962"/>
      <c r="M1316" s="962"/>
      <c r="N1316" s="962"/>
      <c r="O1316" s="962"/>
      <c r="P1316" s="961">
        <v>-989829</v>
      </c>
      <c r="Q1316" s="962"/>
      <c r="R1316" s="961">
        <v>-989829</v>
      </c>
      <c r="S1316" s="527">
        <f t="shared" si="171"/>
        <v>0</v>
      </c>
      <c r="T1316" s="528">
        <f t="shared" si="172"/>
        <v>0</v>
      </c>
      <c r="U1316" s="527">
        <f t="shared" si="173"/>
        <v>0</v>
      </c>
      <c r="W1316" s="326">
        <f t="shared" si="169"/>
        <v>-989829</v>
      </c>
      <c r="X1316" s="261">
        <f t="shared" si="174"/>
        <v>0</v>
      </c>
      <c r="Z1316" s="1016">
        <f t="shared" si="170"/>
        <v>0</v>
      </c>
    </row>
    <row r="1317" spans="1:26" ht="12" hidden="1" thickBot="1">
      <c r="A1317" s="588" t="s">
        <v>1465</v>
      </c>
      <c r="B1317" s="522" t="s">
        <v>188</v>
      </c>
      <c r="C1317" s="522" t="s">
        <v>458</v>
      </c>
      <c r="D1317" s="522"/>
      <c r="E1317" s="962"/>
      <c r="F1317" s="962"/>
      <c r="G1317" s="962"/>
      <c r="H1317" s="962"/>
      <c r="I1317" s="962"/>
      <c r="J1317" s="962"/>
      <c r="K1317" s="962"/>
      <c r="L1317" s="962"/>
      <c r="M1317" s="962"/>
      <c r="N1317" s="962"/>
      <c r="O1317" s="962"/>
      <c r="P1317" s="961"/>
      <c r="Q1317" s="962"/>
      <c r="R1317" s="961"/>
      <c r="S1317" s="527">
        <f t="shared" si="171"/>
        <v>0</v>
      </c>
      <c r="T1317" s="528">
        <f t="shared" si="172"/>
        <v>0</v>
      </c>
      <c r="U1317" s="527">
        <f t="shared" si="173"/>
        <v>0</v>
      </c>
      <c r="W1317" s="326">
        <f t="shared" si="169"/>
        <v>0</v>
      </c>
      <c r="X1317" s="261">
        <f t="shared" si="174"/>
        <v>0</v>
      </c>
      <c r="Z1317" s="1016">
        <f t="shared" si="170"/>
        <v>0</v>
      </c>
    </row>
    <row r="1318" spans="1:26" ht="12" hidden="1" thickBot="1">
      <c r="A1318" s="588" t="s">
        <v>1465</v>
      </c>
      <c r="B1318" s="522" t="s">
        <v>1045</v>
      </c>
      <c r="C1318" s="522" t="s">
        <v>1046</v>
      </c>
      <c r="D1318" s="522"/>
      <c r="E1318" s="962"/>
      <c r="F1318" s="962"/>
      <c r="G1318" s="962"/>
      <c r="H1318" s="962"/>
      <c r="I1318" s="962"/>
      <c r="J1318" s="962"/>
      <c r="K1318" s="962"/>
      <c r="L1318" s="962"/>
      <c r="M1318" s="962"/>
      <c r="N1318" s="962"/>
      <c r="O1318" s="962"/>
      <c r="P1318" s="961"/>
      <c r="Q1318" s="962"/>
      <c r="R1318" s="961"/>
      <c r="S1318" s="527">
        <f t="shared" si="171"/>
        <v>0</v>
      </c>
      <c r="T1318" s="528">
        <f t="shared" si="172"/>
        <v>0</v>
      </c>
      <c r="U1318" s="527">
        <f t="shared" si="173"/>
        <v>0</v>
      </c>
      <c r="W1318" s="326">
        <f t="shared" si="169"/>
        <v>0</v>
      </c>
      <c r="X1318" s="261">
        <f t="shared" si="174"/>
        <v>0</v>
      </c>
      <c r="Z1318" s="1016">
        <f t="shared" si="170"/>
        <v>0</v>
      </c>
    </row>
    <row r="1319" spans="1:26" ht="12" hidden="1" thickBot="1">
      <c r="A1319" s="588" t="s">
        <v>1465</v>
      </c>
      <c r="B1319" s="522" t="s">
        <v>945</v>
      </c>
      <c r="C1319" s="522" t="s">
        <v>946</v>
      </c>
      <c r="D1319" s="522"/>
      <c r="E1319" s="962"/>
      <c r="F1319" s="962"/>
      <c r="G1319" s="962"/>
      <c r="H1319" s="962"/>
      <c r="I1319" s="962"/>
      <c r="J1319" s="962"/>
      <c r="K1319" s="962"/>
      <c r="L1319" s="962"/>
      <c r="M1319" s="962"/>
      <c r="N1319" s="962"/>
      <c r="O1319" s="962"/>
      <c r="P1319" s="962"/>
      <c r="Q1319" s="962"/>
      <c r="R1319" s="962"/>
      <c r="S1319" s="527">
        <f t="shared" si="171"/>
        <v>0</v>
      </c>
      <c r="T1319" s="528">
        <f t="shared" si="172"/>
        <v>0</v>
      </c>
      <c r="U1319" s="527">
        <f t="shared" si="173"/>
        <v>0</v>
      </c>
      <c r="W1319" s="326">
        <f t="shared" si="169"/>
        <v>0</v>
      </c>
      <c r="X1319" s="261">
        <f t="shared" si="174"/>
        <v>0</v>
      </c>
      <c r="Z1319" s="1016">
        <f t="shared" si="170"/>
        <v>0</v>
      </c>
    </row>
    <row r="1320" spans="1:26" ht="12" hidden="1" thickBot="1">
      <c r="A1320" s="588" t="s">
        <v>1465</v>
      </c>
      <c r="B1320" s="522" t="s">
        <v>947</v>
      </c>
      <c r="C1320" s="522" t="s">
        <v>948</v>
      </c>
      <c r="D1320" s="522"/>
      <c r="E1320" s="962"/>
      <c r="F1320" s="962"/>
      <c r="G1320" s="962"/>
      <c r="H1320" s="962"/>
      <c r="I1320" s="962"/>
      <c r="J1320" s="962"/>
      <c r="K1320" s="962"/>
      <c r="L1320" s="962"/>
      <c r="M1320" s="962"/>
      <c r="N1320" s="962"/>
      <c r="O1320" s="962"/>
      <c r="P1320" s="962"/>
      <c r="Q1320" s="962"/>
      <c r="R1320" s="962"/>
      <c r="S1320" s="527"/>
      <c r="T1320" s="528"/>
      <c r="U1320" s="527"/>
      <c r="W1320" s="326">
        <f t="shared" si="169"/>
        <v>0</v>
      </c>
      <c r="X1320" s="261"/>
      <c r="Z1320" s="1016">
        <f t="shared" si="170"/>
        <v>0</v>
      </c>
    </row>
    <row r="1321" spans="1:26" ht="12" hidden="1" thickBot="1">
      <c r="A1321" s="588" t="s">
        <v>1465</v>
      </c>
      <c r="B1321" s="522" t="s">
        <v>189</v>
      </c>
      <c r="C1321" s="522" t="s">
        <v>208</v>
      </c>
      <c r="D1321" s="533" t="s">
        <v>675</v>
      </c>
      <c r="E1321" s="960">
        <v>45507524</v>
      </c>
      <c r="F1321" s="961">
        <v>750</v>
      </c>
      <c r="G1321" s="961">
        <v>167923</v>
      </c>
      <c r="H1321" s="961">
        <v>1316078</v>
      </c>
      <c r="I1321" s="962"/>
      <c r="J1321" s="961">
        <v>51887</v>
      </c>
      <c r="K1321" s="961">
        <v>668312</v>
      </c>
      <c r="L1321" s="961"/>
      <c r="M1321" s="961">
        <v>35018</v>
      </c>
      <c r="N1321" s="961"/>
      <c r="O1321" s="961">
        <v>170390</v>
      </c>
      <c r="P1321" s="962"/>
      <c r="Q1321" s="962"/>
      <c r="R1321" s="961">
        <v>2410357</v>
      </c>
      <c r="S1321" s="527">
        <f>G1321+H1321+I1321</f>
        <v>1484001</v>
      </c>
      <c r="T1321" s="528">
        <f>J1321+K1321</f>
        <v>720199</v>
      </c>
      <c r="U1321" s="527">
        <f>N1321+O1321</f>
        <v>170390</v>
      </c>
      <c r="W1321" s="326">
        <f t="shared" si="169"/>
        <v>2410358</v>
      </c>
      <c r="X1321" s="261"/>
      <c r="Z1321" s="1016">
        <f t="shared" si="170"/>
        <v>2204950</v>
      </c>
    </row>
    <row r="1322" spans="1:26" ht="12" hidden="1" thickBot="1">
      <c r="A1322" s="588" t="s">
        <v>1465</v>
      </c>
      <c r="B1322" s="522" t="s">
        <v>209</v>
      </c>
      <c r="C1322" s="522" t="s">
        <v>210</v>
      </c>
      <c r="D1322" s="522"/>
      <c r="E1322" s="960"/>
      <c r="F1322" s="962"/>
      <c r="G1322" s="961"/>
      <c r="H1322" s="962"/>
      <c r="I1322" s="962"/>
      <c r="J1322" s="962"/>
      <c r="K1322" s="961"/>
      <c r="L1322" s="962"/>
      <c r="M1322" s="961"/>
      <c r="N1322" s="962"/>
      <c r="O1322" s="962"/>
      <c r="P1322" s="962"/>
      <c r="Q1322" s="962"/>
      <c r="R1322" s="961"/>
      <c r="S1322" s="527">
        <f t="shared" ref="S1322:S1384" si="175">G1322+H1322+I1322</f>
        <v>0</v>
      </c>
      <c r="T1322" s="528">
        <f t="shared" ref="T1322:T1384" si="176">J1322+K1322</f>
        <v>0</v>
      </c>
      <c r="U1322" s="527">
        <f t="shared" ref="U1322:U1384" si="177">N1322+O1322</f>
        <v>0</v>
      </c>
      <c r="W1322" s="326">
        <f t="shared" si="169"/>
        <v>0</v>
      </c>
      <c r="X1322" s="261">
        <f t="shared" ref="X1322:X1384" si="178">W1322-R1322</f>
        <v>0</v>
      </c>
      <c r="Z1322" s="1016">
        <f t="shared" si="170"/>
        <v>0</v>
      </c>
    </row>
    <row r="1323" spans="1:26" ht="12" hidden="1" thickBot="1">
      <c r="A1323" s="588" t="s">
        <v>1465</v>
      </c>
      <c r="B1323" s="522" t="s">
        <v>211</v>
      </c>
      <c r="C1323" s="522" t="s">
        <v>212</v>
      </c>
      <c r="D1323" s="522"/>
      <c r="E1323" s="960"/>
      <c r="F1323" s="962"/>
      <c r="G1323" s="961"/>
      <c r="H1323" s="962"/>
      <c r="I1323" s="962"/>
      <c r="J1323" s="962"/>
      <c r="K1323" s="961"/>
      <c r="L1323" s="962"/>
      <c r="M1323" s="961"/>
      <c r="N1323" s="962"/>
      <c r="O1323" s="962"/>
      <c r="P1323" s="962"/>
      <c r="Q1323" s="962"/>
      <c r="R1323" s="961"/>
      <c r="S1323" s="527">
        <f t="shared" si="175"/>
        <v>0</v>
      </c>
      <c r="T1323" s="528">
        <f t="shared" si="176"/>
        <v>0</v>
      </c>
      <c r="U1323" s="527">
        <f t="shared" si="177"/>
        <v>0</v>
      </c>
      <c r="W1323" s="326">
        <f t="shared" si="169"/>
        <v>0</v>
      </c>
      <c r="X1323" s="261">
        <f t="shared" si="178"/>
        <v>0</v>
      </c>
      <c r="Z1323" s="1016">
        <f t="shared" si="170"/>
        <v>0</v>
      </c>
    </row>
    <row r="1324" spans="1:26" ht="12" hidden="1" thickBot="1">
      <c r="A1324" s="588" t="s">
        <v>1465</v>
      </c>
      <c r="B1324" s="522" t="s">
        <v>213</v>
      </c>
      <c r="C1324" s="522" t="s">
        <v>214</v>
      </c>
      <c r="D1324" s="522"/>
      <c r="E1324" s="960"/>
      <c r="F1324" s="962"/>
      <c r="G1324" s="961"/>
      <c r="H1324" s="962"/>
      <c r="I1324" s="962"/>
      <c r="J1324" s="962"/>
      <c r="K1324" s="961"/>
      <c r="L1324" s="962"/>
      <c r="M1324" s="961"/>
      <c r="N1324" s="962"/>
      <c r="O1324" s="962"/>
      <c r="P1324" s="962"/>
      <c r="Q1324" s="962"/>
      <c r="R1324" s="961"/>
      <c r="S1324" s="527">
        <f t="shared" si="175"/>
        <v>0</v>
      </c>
      <c r="T1324" s="528">
        <f t="shared" si="176"/>
        <v>0</v>
      </c>
      <c r="U1324" s="527">
        <f t="shared" si="177"/>
        <v>0</v>
      </c>
      <c r="W1324" s="326">
        <f t="shared" si="169"/>
        <v>0</v>
      </c>
      <c r="X1324" s="261">
        <f t="shared" si="178"/>
        <v>0</v>
      </c>
      <c r="Z1324" s="1016">
        <f t="shared" si="170"/>
        <v>0</v>
      </c>
    </row>
    <row r="1325" spans="1:26" ht="12" hidden="1" thickBot="1">
      <c r="A1325" s="588" t="s">
        <v>1465</v>
      </c>
      <c r="B1325" s="522" t="s">
        <v>949</v>
      </c>
      <c r="C1325" s="522" t="s">
        <v>943</v>
      </c>
      <c r="D1325" s="522"/>
      <c r="E1325" s="962"/>
      <c r="F1325" s="962"/>
      <c r="G1325" s="962"/>
      <c r="H1325" s="962"/>
      <c r="I1325" s="962"/>
      <c r="J1325" s="962"/>
      <c r="K1325" s="962"/>
      <c r="L1325" s="962"/>
      <c r="M1325" s="962"/>
      <c r="N1325" s="962"/>
      <c r="O1325" s="962"/>
      <c r="P1325" s="962"/>
      <c r="Q1325" s="962"/>
      <c r="R1325" s="962"/>
      <c r="S1325" s="527">
        <f t="shared" si="175"/>
        <v>0</v>
      </c>
      <c r="T1325" s="528">
        <f t="shared" si="176"/>
        <v>0</v>
      </c>
      <c r="U1325" s="527">
        <f t="shared" si="177"/>
        <v>0</v>
      </c>
      <c r="W1325" s="326">
        <f t="shared" si="169"/>
        <v>0</v>
      </c>
      <c r="X1325" s="261">
        <f t="shared" si="178"/>
        <v>0</v>
      </c>
      <c r="Z1325" s="1016">
        <f t="shared" si="170"/>
        <v>0</v>
      </c>
    </row>
    <row r="1326" spans="1:26" ht="12" hidden="1" thickBot="1">
      <c r="A1326" s="588" t="s">
        <v>1465</v>
      </c>
      <c r="B1326" s="522" t="s">
        <v>190</v>
      </c>
      <c r="C1326" s="522" t="s">
        <v>111</v>
      </c>
      <c r="D1326" s="533" t="s">
        <v>15</v>
      </c>
      <c r="E1326" s="960">
        <v>379965026</v>
      </c>
      <c r="F1326" s="961">
        <v>4596597</v>
      </c>
      <c r="G1326" s="961">
        <v>17239013</v>
      </c>
      <c r="H1326" s="961">
        <v>10988589</v>
      </c>
      <c r="I1326" s="961">
        <v>1196890</v>
      </c>
      <c r="J1326" s="962"/>
      <c r="K1326" s="962"/>
      <c r="L1326" s="961">
        <v>647362</v>
      </c>
      <c r="M1326" s="961">
        <v>292381</v>
      </c>
      <c r="N1326" s="961">
        <v>1422673</v>
      </c>
      <c r="O1326" s="962"/>
      <c r="P1326" s="962"/>
      <c r="Q1326" s="961"/>
      <c r="R1326" s="961">
        <v>36383504</v>
      </c>
      <c r="S1326" s="527">
        <f t="shared" si="175"/>
        <v>29424492</v>
      </c>
      <c r="T1326" s="528">
        <f t="shared" si="176"/>
        <v>0</v>
      </c>
      <c r="U1326" s="527">
        <f t="shared" si="177"/>
        <v>1422673</v>
      </c>
      <c r="W1326" s="326">
        <f t="shared" si="169"/>
        <v>36383505</v>
      </c>
      <c r="X1326" s="261">
        <f t="shared" si="178"/>
        <v>1</v>
      </c>
      <c r="Z1326" s="1016">
        <f t="shared" si="170"/>
        <v>34021089</v>
      </c>
    </row>
    <row r="1327" spans="1:26" ht="12" hidden="1" thickBot="1">
      <c r="A1327" s="588" t="s">
        <v>1465</v>
      </c>
      <c r="B1327" s="522" t="s">
        <v>191</v>
      </c>
      <c r="C1327" s="522" t="s">
        <v>215</v>
      </c>
      <c r="D1327" s="533" t="s">
        <v>15</v>
      </c>
      <c r="E1327" s="960"/>
      <c r="F1327" s="961"/>
      <c r="G1327" s="961"/>
      <c r="H1327" s="961"/>
      <c r="I1327" s="961"/>
      <c r="J1327" s="962"/>
      <c r="K1327" s="962"/>
      <c r="L1327" s="961"/>
      <c r="M1327" s="961"/>
      <c r="N1327" s="961"/>
      <c r="O1327" s="962"/>
      <c r="P1327" s="962"/>
      <c r="Q1327" s="962"/>
      <c r="R1327" s="961"/>
      <c r="S1327" s="527">
        <f t="shared" si="175"/>
        <v>0</v>
      </c>
      <c r="T1327" s="528">
        <f t="shared" si="176"/>
        <v>0</v>
      </c>
      <c r="U1327" s="527">
        <f t="shared" si="177"/>
        <v>0</v>
      </c>
      <c r="W1327" s="326">
        <f t="shared" si="169"/>
        <v>0</v>
      </c>
      <c r="X1327" s="261">
        <f t="shared" si="178"/>
        <v>0</v>
      </c>
      <c r="Z1327" s="1016">
        <f t="shared" si="170"/>
        <v>0</v>
      </c>
    </row>
    <row r="1328" spans="1:26" ht="12" hidden="1" thickBot="1">
      <c r="A1328" s="588" t="s">
        <v>1465</v>
      </c>
      <c r="B1328" s="522" t="s">
        <v>192</v>
      </c>
      <c r="C1328" s="522" t="s">
        <v>216</v>
      </c>
      <c r="D1328" s="533" t="s">
        <v>15</v>
      </c>
      <c r="E1328" s="960"/>
      <c r="F1328" s="961"/>
      <c r="G1328" s="961"/>
      <c r="H1328" s="961"/>
      <c r="I1328" s="961"/>
      <c r="J1328" s="962"/>
      <c r="K1328" s="962"/>
      <c r="L1328" s="961"/>
      <c r="M1328" s="961"/>
      <c r="N1328" s="961"/>
      <c r="O1328" s="962"/>
      <c r="P1328" s="962"/>
      <c r="Q1328" s="962"/>
      <c r="R1328" s="961"/>
      <c r="S1328" s="527">
        <f t="shared" si="175"/>
        <v>0</v>
      </c>
      <c r="T1328" s="528">
        <f t="shared" si="176"/>
        <v>0</v>
      </c>
      <c r="U1328" s="527">
        <f t="shared" si="177"/>
        <v>0</v>
      </c>
      <c r="W1328" s="326">
        <f t="shared" si="169"/>
        <v>0</v>
      </c>
      <c r="X1328" s="261">
        <f t="shared" si="178"/>
        <v>0</v>
      </c>
      <c r="Z1328" s="1016">
        <f t="shared" si="170"/>
        <v>0</v>
      </c>
    </row>
    <row r="1329" spans="1:26" ht="12" hidden="1" thickBot="1">
      <c r="A1329" s="588" t="s">
        <v>1465</v>
      </c>
      <c r="B1329" s="522" t="s">
        <v>477</v>
      </c>
      <c r="C1329" s="522" t="s">
        <v>1263</v>
      </c>
      <c r="D1329" s="542" t="s">
        <v>807</v>
      </c>
      <c r="E1329" s="960"/>
      <c r="F1329" s="961"/>
      <c r="G1329" s="961"/>
      <c r="H1329" s="961"/>
      <c r="I1329" s="961"/>
      <c r="J1329" s="962"/>
      <c r="K1329" s="962"/>
      <c r="L1329" s="961"/>
      <c r="M1329" s="961"/>
      <c r="N1329" s="961"/>
      <c r="O1329" s="962"/>
      <c r="P1329" s="962"/>
      <c r="Q1329" s="962"/>
      <c r="R1329" s="961"/>
      <c r="S1329" s="527">
        <f t="shared" si="175"/>
        <v>0</v>
      </c>
      <c r="T1329" s="528">
        <f t="shared" si="176"/>
        <v>0</v>
      </c>
      <c r="U1329" s="527">
        <f t="shared" si="177"/>
        <v>0</v>
      </c>
      <c r="W1329" s="326">
        <f t="shared" si="169"/>
        <v>0</v>
      </c>
      <c r="X1329" s="261">
        <f t="shared" si="178"/>
        <v>0</v>
      </c>
      <c r="Z1329" s="1016">
        <f t="shared" si="170"/>
        <v>0</v>
      </c>
    </row>
    <row r="1330" spans="1:26" ht="12" hidden="1" thickBot="1">
      <c r="A1330" s="588" t="s">
        <v>1465</v>
      </c>
      <c r="B1330" s="522" t="s">
        <v>193</v>
      </c>
      <c r="C1330" s="522" t="s">
        <v>217</v>
      </c>
      <c r="D1330" s="533" t="s">
        <v>15</v>
      </c>
      <c r="E1330" s="960"/>
      <c r="F1330" s="961"/>
      <c r="G1330" s="961"/>
      <c r="H1330" s="961"/>
      <c r="I1330" s="961"/>
      <c r="J1330" s="962"/>
      <c r="K1330" s="962"/>
      <c r="L1330" s="961"/>
      <c r="M1330" s="961"/>
      <c r="N1330" s="961"/>
      <c r="O1330" s="962"/>
      <c r="P1330" s="962"/>
      <c r="Q1330" s="962"/>
      <c r="R1330" s="961"/>
      <c r="S1330" s="527">
        <f t="shared" si="175"/>
        <v>0</v>
      </c>
      <c r="T1330" s="528">
        <f t="shared" si="176"/>
        <v>0</v>
      </c>
      <c r="U1330" s="527">
        <f t="shared" si="177"/>
        <v>0</v>
      </c>
      <c r="W1330" s="326">
        <f t="shared" si="169"/>
        <v>0</v>
      </c>
      <c r="X1330" s="261">
        <f t="shared" si="178"/>
        <v>0</v>
      </c>
      <c r="Z1330" s="1016">
        <f t="shared" si="170"/>
        <v>0</v>
      </c>
    </row>
    <row r="1331" spans="1:26" ht="12" hidden="1" thickBot="1">
      <c r="A1331" s="588" t="s">
        <v>1465</v>
      </c>
      <c r="B1331" s="522" t="s">
        <v>194</v>
      </c>
      <c r="C1331" s="522" t="s">
        <v>218</v>
      </c>
      <c r="D1331" s="533" t="s">
        <v>15</v>
      </c>
      <c r="E1331" s="960"/>
      <c r="F1331" s="961"/>
      <c r="G1331" s="961"/>
      <c r="H1331" s="961"/>
      <c r="I1331" s="961"/>
      <c r="J1331" s="962"/>
      <c r="K1331" s="962"/>
      <c r="L1331" s="961"/>
      <c r="M1331" s="961"/>
      <c r="N1331" s="961"/>
      <c r="O1331" s="962"/>
      <c r="P1331" s="962"/>
      <c r="Q1331" s="962"/>
      <c r="R1331" s="961"/>
      <c r="S1331" s="527">
        <f t="shared" si="175"/>
        <v>0</v>
      </c>
      <c r="T1331" s="528">
        <f t="shared" si="176"/>
        <v>0</v>
      </c>
      <c r="U1331" s="527">
        <f t="shared" si="177"/>
        <v>0</v>
      </c>
      <c r="W1331" s="326">
        <f t="shared" si="169"/>
        <v>0</v>
      </c>
      <c r="X1331" s="261">
        <f t="shared" si="178"/>
        <v>0</v>
      </c>
      <c r="Z1331" s="1016">
        <f t="shared" si="170"/>
        <v>0</v>
      </c>
    </row>
    <row r="1332" spans="1:26" ht="12" hidden="1" thickBot="1">
      <c r="A1332" s="588" t="s">
        <v>1465</v>
      </c>
      <c r="B1332" s="522" t="s">
        <v>950</v>
      </c>
      <c r="C1332" s="522" t="s">
        <v>951</v>
      </c>
      <c r="D1332" s="522"/>
      <c r="E1332" s="962"/>
      <c r="F1332" s="962"/>
      <c r="G1332" s="962"/>
      <c r="H1332" s="962"/>
      <c r="I1332" s="962"/>
      <c r="J1332" s="962"/>
      <c r="K1332" s="962"/>
      <c r="L1332" s="962"/>
      <c r="M1332" s="962"/>
      <c r="N1332" s="962"/>
      <c r="O1332" s="962"/>
      <c r="P1332" s="962"/>
      <c r="Q1332" s="962"/>
      <c r="R1332" s="962"/>
      <c r="S1332" s="527">
        <f t="shared" si="175"/>
        <v>0</v>
      </c>
      <c r="T1332" s="528">
        <f t="shared" si="176"/>
        <v>0</v>
      </c>
      <c r="U1332" s="527">
        <f t="shared" si="177"/>
        <v>0</v>
      </c>
      <c r="W1332" s="326">
        <f t="shared" si="169"/>
        <v>0</v>
      </c>
      <c r="X1332" s="261">
        <f t="shared" si="178"/>
        <v>0</v>
      </c>
      <c r="Z1332" s="1016">
        <f t="shared" si="170"/>
        <v>0</v>
      </c>
    </row>
    <row r="1333" spans="1:26" ht="12" hidden="1" thickBot="1">
      <c r="A1333" s="588" t="s">
        <v>1465</v>
      </c>
      <c r="B1333" s="522" t="s">
        <v>339</v>
      </c>
      <c r="C1333" s="522" t="s">
        <v>952</v>
      </c>
      <c r="D1333" s="523" t="s">
        <v>1035</v>
      </c>
      <c r="E1333" s="960"/>
      <c r="F1333" s="962"/>
      <c r="G1333" s="961"/>
      <c r="H1333" s="962"/>
      <c r="I1333" s="962"/>
      <c r="J1333" s="962"/>
      <c r="K1333" s="962"/>
      <c r="L1333" s="962"/>
      <c r="M1333" s="961"/>
      <c r="N1333" s="961"/>
      <c r="O1333" s="962"/>
      <c r="P1333" s="962"/>
      <c r="Q1333" s="961"/>
      <c r="R1333" s="961"/>
      <c r="S1333" s="527">
        <f t="shared" si="175"/>
        <v>0</v>
      </c>
      <c r="T1333" s="528">
        <f t="shared" si="176"/>
        <v>0</v>
      </c>
      <c r="U1333" s="527">
        <f t="shared" si="177"/>
        <v>0</v>
      </c>
      <c r="W1333" s="326">
        <f t="shared" si="169"/>
        <v>0</v>
      </c>
      <c r="X1333" s="261">
        <f t="shared" si="178"/>
        <v>0</v>
      </c>
      <c r="Z1333" s="1016">
        <f t="shared" si="170"/>
        <v>0</v>
      </c>
    </row>
    <row r="1334" spans="1:26" ht="12" hidden="1" thickBot="1">
      <c r="A1334" s="588" t="s">
        <v>1465</v>
      </c>
      <c r="B1334" s="522" t="s">
        <v>344</v>
      </c>
      <c r="C1334" s="522" t="s">
        <v>953</v>
      </c>
      <c r="D1334" s="523" t="s">
        <v>1035</v>
      </c>
      <c r="E1334" s="960"/>
      <c r="F1334" s="962"/>
      <c r="G1334" s="961"/>
      <c r="H1334" s="962"/>
      <c r="I1334" s="962"/>
      <c r="J1334" s="962"/>
      <c r="K1334" s="962"/>
      <c r="L1334" s="962"/>
      <c r="M1334" s="961"/>
      <c r="N1334" s="961"/>
      <c r="O1334" s="962"/>
      <c r="P1334" s="962"/>
      <c r="Q1334" s="961"/>
      <c r="R1334" s="961"/>
      <c r="S1334" s="527">
        <f t="shared" si="175"/>
        <v>0</v>
      </c>
      <c r="T1334" s="528">
        <f t="shared" si="176"/>
        <v>0</v>
      </c>
      <c r="U1334" s="527">
        <f t="shared" si="177"/>
        <v>0</v>
      </c>
      <c r="W1334" s="326">
        <f t="shared" si="169"/>
        <v>0</v>
      </c>
      <c r="X1334" s="261">
        <f t="shared" si="178"/>
        <v>0</v>
      </c>
      <c r="Z1334" s="1016">
        <f t="shared" si="170"/>
        <v>0</v>
      </c>
    </row>
    <row r="1335" spans="1:26" ht="12" hidden="1" thickBot="1">
      <c r="A1335" s="588" t="s">
        <v>1465</v>
      </c>
      <c r="B1335" s="522" t="s">
        <v>347</v>
      </c>
      <c r="C1335" s="522" t="s">
        <v>954</v>
      </c>
      <c r="D1335" s="523" t="s">
        <v>1035</v>
      </c>
      <c r="E1335" s="960"/>
      <c r="F1335" s="962"/>
      <c r="G1335" s="961"/>
      <c r="H1335" s="962"/>
      <c r="I1335" s="962"/>
      <c r="J1335" s="962"/>
      <c r="K1335" s="962"/>
      <c r="L1335" s="962"/>
      <c r="M1335" s="961"/>
      <c r="N1335" s="961"/>
      <c r="O1335" s="962"/>
      <c r="P1335" s="962"/>
      <c r="Q1335" s="961"/>
      <c r="R1335" s="961"/>
      <c r="S1335" s="527">
        <f t="shared" si="175"/>
        <v>0</v>
      </c>
      <c r="T1335" s="528">
        <f t="shared" si="176"/>
        <v>0</v>
      </c>
      <c r="U1335" s="527">
        <f t="shared" si="177"/>
        <v>0</v>
      </c>
      <c r="W1335" s="326">
        <f t="shared" si="169"/>
        <v>0</v>
      </c>
      <c r="X1335" s="261">
        <f t="shared" si="178"/>
        <v>0</v>
      </c>
      <c r="Z1335" s="1016">
        <f t="shared" si="170"/>
        <v>0</v>
      </c>
    </row>
    <row r="1336" spans="1:26" ht="12" hidden="1" thickBot="1">
      <c r="A1336" s="588" t="s">
        <v>1465</v>
      </c>
      <c r="B1336" s="522" t="s">
        <v>348</v>
      </c>
      <c r="C1336" s="522" t="s">
        <v>955</v>
      </c>
      <c r="D1336" s="523" t="s">
        <v>1035</v>
      </c>
      <c r="E1336" s="960"/>
      <c r="F1336" s="962"/>
      <c r="G1336" s="961"/>
      <c r="H1336" s="962"/>
      <c r="I1336" s="962"/>
      <c r="J1336" s="962"/>
      <c r="K1336" s="962"/>
      <c r="L1336" s="962"/>
      <c r="M1336" s="961"/>
      <c r="N1336" s="961"/>
      <c r="O1336" s="962"/>
      <c r="P1336" s="962"/>
      <c r="Q1336" s="961"/>
      <c r="R1336" s="961"/>
      <c r="S1336" s="527">
        <f t="shared" si="175"/>
        <v>0</v>
      </c>
      <c r="T1336" s="528">
        <f t="shared" si="176"/>
        <v>0</v>
      </c>
      <c r="U1336" s="527">
        <f t="shared" si="177"/>
        <v>0</v>
      </c>
      <c r="W1336" s="326">
        <f t="shared" si="169"/>
        <v>0</v>
      </c>
      <c r="X1336" s="261">
        <f t="shared" si="178"/>
        <v>0</v>
      </c>
      <c r="Z1336" s="1016">
        <f t="shared" si="170"/>
        <v>0</v>
      </c>
    </row>
    <row r="1337" spans="1:26" ht="12" hidden="1" thickBot="1">
      <c r="A1337" s="588" t="s">
        <v>1465</v>
      </c>
      <c r="B1337" s="522" t="s">
        <v>349</v>
      </c>
      <c r="C1337" s="522" t="s">
        <v>956</v>
      </c>
      <c r="D1337" s="523" t="s">
        <v>1035</v>
      </c>
      <c r="E1337" s="960"/>
      <c r="F1337" s="962"/>
      <c r="G1337" s="961"/>
      <c r="H1337" s="962"/>
      <c r="I1337" s="962"/>
      <c r="J1337" s="962"/>
      <c r="K1337" s="962"/>
      <c r="L1337" s="962"/>
      <c r="M1337" s="961"/>
      <c r="N1337" s="961"/>
      <c r="O1337" s="962"/>
      <c r="P1337" s="962"/>
      <c r="Q1337" s="961"/>
      <c r="R1337" s="961"/>
      <c r="S1337" s="527">
        <f t="shared" si="175"/>
        <v>0</v>
      </c>
      <c r="T1337" s="528">
        <f t="shared" si="176"/>
        <v>0</v>
      </c>
      <c r="U1337" s="527">
        <f t="shared" si="177"/>
        <v>0</v>
      </c>
      <c r="W1337" s="326">
        <f t="shared" si="169"/>
        <v>0</v>
      </c>
      <c r="X1337" s="261">
        <f t="shared" si="178"/>
        <v>0</v>
      </c>
      <c r="Z1337" s="1016">
        <f t="shared" si="170"/>
        <v>0</v>
      </c>
    </row>
    <row r="1338" spans="1:26" ht="12" hidden="1" thickBot="1">
      <c r="A1338" s="588" t="s">
        <v>1465</v>
      </c>
      <c r="B1338" s="522" t="s">
        <v>351</v>
      </c>
      <c r="C1338" s="522" t="s">
        <v>957</v>
      </c>
      <c r="D1338" s="523" t="s">
        <v>1035</v>
      </c>
      <c r="E1338" s="960"/>
      <c r="F1338" s="962"/>
      <c r="G1338" s="961"/>
      <c r="H1338" s="962"/>
      <c r="I1338" s="962"/>
      <c r="J1338" s="962"/>
      <c r="K1338" s="962"/>
      <c r="L1338" s="962"/>
      <c r="M1338" s="961"/>
      <c r="N1338" s="961"/>
      <c r="O1338" s="962"/>
      <c r="P1338" s="962"/>
      <c r="Q1338" s="961"/>
      <c r="R1338" s="961"/>
      <c r="S1338" s="527">
        <f t="shared" si="175"/>
        <v>0</v>
      </c>
      <c r="T1338" s="528">
        <f t="shared" si="176"/>
        <v>0</v>
      </c>
      <c r="U1338" s="527">
        <f t="shared" si="177"/>
        <v>0</v>
      </c>
      <c r="W1338" s="326">
        <f t="shared" ref="W1338:W1400" si="179">SUM(F1338:Q1338)</f>
        <v>0</v>
      </c>
      <c r="X1338" s="261">
        <f t="shared" si="178"/>
        <v>0</v>
      </c>
      <c r="Z1338" s="1016">
        <f t="shared" si="170"/>
        <v>0</v>
      </c>
    </row>
    <row r="1339" spans="1:26" ht="12" hidden="1" thickBot="1">
      <c r="A1339" s="588" t="s">
        <v>1465</v>
      </c>
      <c r="B1339" s="522" t="s">
        <v>352</v>
      </c>
      <c r="C1339" s="522" t="s">
        <v>958</v>
      </c>
      <c r="D1339" s="523" t="s">
        <v>1035</v>
      </c>
      <c r="E1339" s="960"/>
      <c r="F1339" s="962"/>
      <c r="G1339" s="961"/>
      <c r="H1339" s="962"/>
      <c r="I1339" s="962"/>
      <c r="J1339" s="962"/>
      <c r="K1339" s="962"/>
      <c r="L1339" s="962"/>
      <c r="M1339" s="961"/>
      <c r="N1339" s="961"/>
      <c r="O1339" s="962"/>
      <c r="P1339" s="962"/>
      <c r="Q1339" s="961"/>
      <c r="R1339" s="961"/>
      <c r="S1339" s="527">
        <f t="shared" si="175"/>
        <v>0</v>
      </c>
      <c r="T1339" s="528">
        <f t="shared" si="176"/>
        <v>0</v>
      </c>
      <c r="U1339" s="527">
        <f t="shared" si="177"/>
        <v>0</v>
      </c>
      <c r="W1339" s="326">
        <f t="shared" si="179"/>
        <v>0</v>
      </c>
      <c r="X1339" s="261">
        <f t="shared" si="178"/>
        <v>0</v>
      </c>
      <c r="Z1339" s="1016">
        <f t="shared" si="170"/>
        <v>0</v>
      </c>
    </row>
    <row r="1340" spans="1:26" ht="12" hidden="1" thickBot="1">
      <c r="A1340" s="588" t="s">
        <v>1465</v>
      </c>
      <c r="B1340" s="522" t="s">
        <v>354</v>
      </c>
      <c r="C1340" s="522" t="s">
        <v>959</v>
      </c>
      <c r="D1340" s="523" t="s">
        <v>1035</v>
      </c>
      <c r="E1340" s="960"/>
      <c r="F1340" s="962"/>
      <c r="G1340" s="961"/>
      <c r="H1340" s="962"/>
      <c r="I1340" s="962"/>
      <c r="J1340" s="962"/>
      <c r="K1340" s="962"/>
      <c r="L1340" s="962"/>
      <c r="M1340" s="961"/>
      <c r="N1340" s="961"/>
      <c r="O1340" s="962"/>
      <c r="P1340" s="962"/>
      <c r="Q1340" s="961"/>
      <c r="R1340" s="961"/>
      <c r="S1340" s="527">
        <f t="shared" si="175"/>
        <v>0</v>
      </c>
      <c r="T1340" s="528">
        <f t="shared" si="176"/>
        <v>0</v>
      </c>
      <c r="U1340" s="527">
        <f t="shared" si="177"/>
        <v>0</v>
      </c>
      <c r="W1340" s="326">
        <f t="shared" si="179"/>
        <v>0</v>
      </c>
      <c r="X1340" s="261">
        <f t="shared" si="178"/>
        <v>0</v>
      </c>
      <c r="Z1340" s="1016">
        <f t="shared" si="170"/>
        <v>0</v>
      </c>
    </row>
    <row r="1341" spans="1:26" ht="12" hidden="1" thickBot="1">
      <c r="A1341" s="588" t="s">
        <v>1465</v>
      </c>
      <c r="B1341" s="522" t="s">
        <v>355</v>
      </c>
      <c r="C1341" s="522" t="s">
        <v>960</v>
      </c>
      <c r="D1341" s="523" t="s">
        <v>1035</v>
      </c>
      <c r="E1341" s="960"/>
      <c r="F1341" s="962"/>
      <c r="G1341" s="961"/>
      <c r="H1341" s="962"/>
      <c r="I1341" s="962"/>
      <c r="J1341" s="962"/>
      <c r="K1341" s="962"/>
      <c r="L1341" s="962"/>
      <c r="M1341" s="961"/>
      <c r="N1341" s="961"/>
      <c r="O1341" s="962"/>
      <c r="P1341" s="962"/>
      <c r="Q1341" s="961"/>
      <c r="R1341" s="961"/>
      <c r="S1341" s="527">
        <f t="shared" si="175"/>
        <v>0</v>
      </c>
      <c r="T1341" s="528">
        <f t="shared" si="176"/>
        <v>0</v>
      </c>
      <c r="U1341" s="527">
        <f t="shared" si="177"/>
        <v>0</v>
      </c>
      <c r="W1341" s="326">
        <f t="shared" si="179"/>
        <v>0</v>
      </c>
      <c r="X1341" s="261">
        <f t="shared" si="178"/>
        <v>0</v>
      </c>
      <c r="Z1341" s="1016">
        <f t="shared" si="170"/>
        <v>0</v>
      </c>
    </row>
    <row r="1342" spans="1:26" ht="12" hidden="1" thickBot="1">
      <c r="A1342" s="588" t="s">
        <v>1465</v>
      </c>
      <c r="B1342" s="522" t="s">
        <v>341</v>
      </c>
      <c r="C1342" s="522" t="s">
        <v>961</v>
      </c>
      <c r="D1342" s="523" t="s">
        <v>1035</v>
      </c>
      <c r="E1342" s="960"/>
      <c r="F1342" s="962"/>
      <c r="G1342" s="961"/>
      <c r="H1342" s="962"/>
      <c r="I1342" s="962"/>
      <c r="J1342" s="962"/>
      <c r="K1342" s="962"/>
      <c r="L1342" s="962"/>
      <c r="M1342" s="961"/>
      <c r="N1342" s="961"/>
      <c r="O1342" s="962"/>
      <c r="P1342" s="962"/>
      <c r="Q1342" s="961"/>
      <c r="R1342" s="961"/>
      <c r="S1342" s="527">
        <f t="shared" si="175"/>
        <v>0</v>
      </c>
      <c r="T1342" s="528">
        <f t="shared" si="176"/>
        <v>0</v>
      </c>
      <c r="U1342" s="527">
        <f t="shared" si="177"/>
        <v>0</v>
      </c>
      <c r="W1342" s="326">
        <f t="shared" si="179"/>
        <v>0</v>
      </c>
      <c r="X1342" s="261">
        <f t="shared" si="178"/>
        <v>0</v>
      </c>
      <c r="Z1342" s="1016">
        <f t="shared" si="170"/>
        <v>0</v>
      </c>
    </row>
    <row r="1343" spans="1:26" ht="12" hidden="1" thickBot="1">
      <c r="A1343" s="588" t="s">
        <v>1465</v>
      </c>
      <c r="B1343" s="522" t="s">
        <v>350</v>
      </c>
      <c r="C1343" s="522" t="s">
        <v>962</v>
      </c>
      <c r="D1343" s="523" t="s">
        <v>1035</v>
      </c>
      <c r="E1343" s="960"/>
      <c r="F1343" s="962"/>
      <c r="G1343" s="961"/>
      <c r="H1343" s="962"/>
      <c r="I1343" s="962"/>
      <c r="J1343" s="962"/>
      <c r="K1343" s="962"/>
      <c r="L1343" s="962"/>
      <c r="M1343" s="961"/>
      <c r="N1343" s="961"/>
      <c r="O1343" s="962"/>
      <c r="P1343" s="962"/>
      <c r="Q1343" s="961"/>
      <c r="R1343" s="961"/>
      <c r="S1343" s="527">
        <f t="shared" si="175"/>
        <v>0</v>
      </c>
      <c r="T1343" s="528">
        <f t="shared" si="176"/>
        <v>0</v>
      </c>
      <c r="U1343" s="527">
        <f t="shared" si="177"/>
        <v>0</v>
      </c>
      <c r="W1343" s="326">
        <f t="shared" si="179"/>
        <v>0</v>
      </c>
      <c r="X1343" s="261">
        <f t="shared" si="178"/>
        <v>0</v>
      </c>
      <c r="Z1343" s="1016">
        <f t="shared" si="170"/>
        <v>0</v>
      </c>
    </row>
    <row r="1344" spans="1:26" ht="12" hidden="1" thickBot="1">
      <c r="A1344" s="588" t="s">
        <v>1465</v>
      </c>
      <c r="B1344" s="522" t="s">
        <v>342</v>
      </c>
      <c r="C1344" s="522" t="s">
        <v>963</v>
      </c>
      <c r="D1344" s="523" t="s">
        <v>1035</v>
      </c>
      <c r="E1344" s="960"/>
      <c r="F1344" s="962"/>
      <c r="G1344" s="961"/>
      <c r="H1344" s="962"/>
      <c r="I1344" s="962"/>
      <c r="J1344" s="962"/>
      <c r="K1344" s="962"/>
      <c r="L1344" s="962"/>
      <c r="M1344" s="961"/>
      <c r="N1344" s="961"/>
      <c r="O1344" s="962"/>
      <c r="P1344" s="962"/>
      <c r="Q1344" s="961"/>
      <c r="R1344" s="961"/>
      <c r="S1344" s="527">
        <f t="shared" si="175"/>
        <v>0</v>
      </c>
      <c r="T1344" s="528">
        <f t="shared" si="176"/>
        <v>0</v>
      </c>
      <c r="U1344" s="527">
        <f t="shared" si="177"/>
        <v>0</v>
      </c>
      <c r="W1344" s="326">
        <f t="shared" si="179"/>
        <v>0</v>
      </c>
      <c r="X1344" s="261">
        <f t="shared" si="178"/>
        <v>0</v>
      </c>
      <c r="Z1344" s="1016">
        <f t="shared" si="170"/>
        <v>0</v>
      </c>
    </row>
    <row r="1345" spans="1:26" ht="12" hidden="1" thickBot="1">
      <c r="A1345" s="588" t="s">
        <v>1465</v>
      </c>
      <c r="B1345" s="522" t="s">
        <v>346</v>
      </c>
      <c r="C1345" s="522" t="s">
        <v>964</v>
      </c>
      <c r="D1345" s="523" t="s">
        <v>1035</v>
      </c>
      <c r="E1345" s="960"/>
      <c r="F1345" s="962"/>
      <c r="G1345" s="961"/>
      <c r="H1345" s="962"/>
      <c r="I1345" s="962"/>
      <c r="J1345" s="962"/>
      <c r="K1345" s="962"/>
      <c r="L1345" s="962"/>
      <c r="M1345" s="961"/>
      <c r="N1345" s="961"/>
      <c r="O1345" s="962"/>
      <c r="P1345" s="962"/>
      <c r="Q1345" s="961"/>
      <c r="R1345" s="961"/>
      <c r="S1345" s="527">
        <f t="shared" si="175"/>
        <v>0</v>
      </c>
      <c r="T1345" s="528">
        <f t="shared" si="176"/>
        <v>0</v>
      </c>
      <c r="U1345" s="527">
        <f t="shared" si="177"/>
        <v>0</v>
      </c>
      <c r="W1345" s="326">
        <f t="shared" si="179"/>
        <v>0</v>
      </c>
      <c r="X1345" s="261">
        <f t="shared" si="178"/>
        <v>0</v>
      </c>
      <c r="Z1345" s="1016">
        <f t="shared" si="170"/>
        <v>0</v>
      </c>
    </row>
    <row r="1346" spans="1:26" ht="12" hidden="1" thickBot="1">
      <c r="A1346" s="588" t="s">
        <v>1465</v>
      </c>
      <c r="B1346" s="522" t="s">
        <v>353</v>
      </c>
      <c r="C1346" s="522" t="s">
        <v>965</v>
      </c>
      <c r="D1346" s="523" t="s">
        <v>1035</v>
      </c>
      <c r="E1346" s="960"/>
      <c r="F1346" s="962"/>
      <c r="G1346" s="961"/>
      <c r="H1346" s="962"/>
      <c r="I1346" s="962"/>
      <c r="J1346" s="962"/>
      <c r="K1346" s="962"/>
      <c r="L1346" s="962"/>
      <c r="M1346" s="961"/>
      <c r="N1346" s="961"/>
      <c r="O1346" s="962"/>
      <c r="P1346" s="962"/>
      <c r="Q1346" s="961"/>
      <c r="R1346" s="961"/>
      <c r="S1346" s="527">
        <f t="shared" si="175"/>
        <v>0</v>
      </c>
      <c r="T1346" s="528">
        <f t="shared" si="176"/>
        <v>0</v>
      </c>
      <c r="U1346" s="527">
        <f t="shared" si="177"/>
        <v>0</v>
      </c>
      <c r="W1346" s="326">
        <f t="shared" si="179"/>
        <v>0</v>
      </c>
      <c r="X1346" s="261">
        <f t="shared" si="178"/>
        <v>0</v>
      </c>
      <c r="Z1346" s="1016">
        <f t="shared" ref="Z1346:Z1408" si="180">SUM(F1346:K1346)</f>
        <v>0</v>
      </c>
    </row>
    <row r="1347" spans="1:26" ht="12" hidden="1" thickBot="1">
      <c r="A1347" s="588" t="s">
        <v>1465</v>
      </c>
      <c r="B1347" s="522" t="s">
        <v>345</v>
      </c>
      <c r="C1347" s="522" t="s">
        <v>966</v>
      </c>
      <c r="D1347" s="523" t="s">
        <v>1035</v>
      </c>
      <c r="E1347" s="960"/>
      <c r="F1347" s="962"/>
      <c r="G1347" s="961"/>
      <c r="H1347" s="962"/>
      <c r="I1347" s="962"/>
      <c r="J1347" s="962"/>
      <c r="K1347" s="962"/>
      <c r="L1347" s="962"/>
      <c r="M1347" s="961"/>
      <c r="N1347" s="961"/>
      <c r="O1347" s="962"/>
      <c r="P1347" s="962"/>
      <c r="Q1347" s="961"/>
      <c r="R1347" s="961"/>
      <c r="S1347" s="527">
        <f t="shared" si="175"/>
        <v>0</v>
      </c>
      <c r="T1347" s="528">
        <f t="shared" si="176"/>
        <v>0</v>
      </c>
      <c r="U1347" s="527">
        <f t="shared" si="177"/>
        <v>0</v>
      </c>
      <c r="W1347" s="326">
        <f t="shared" si="179"/>
        <v>0</v>
      </c>
      <c r="X1347" s="261">
        <f t="shared" si="178"/>
        <v>0</v>
      </c>
      <c r="Z1347" s="1016">
        <f t="shared" si="180"/>
        <v>0</v>
      </c>
    </row>
    <row r="1348" spans="1:26" ht="12" hidden="1" thickBot="1">
      <c r="A1348" s="588" t="s">
        <v>1465</v>
      </c>
      <c r="B1348" s="522" t="s">
        <v>343</v>
      </c>
      <c r="C1348" s="522" t="s">
        <v>967</v>
      </c>
      <c r="D1348" s="523" t="s">
        <v>1035</v>
      </c>
      <c r="E1348" s="960"/>
      <c r="F1348" s="962"/>
      <c r="G1348" s="961"/>
      <c r="H1348" s="962"/>
      <c r="I1348" s="962"/>
      <c r="J1348" s="962"/>
      <c r="K1348" s="962"/>
      <c r="L1348" s="962"/>
      <c r="M1348" s="961"/>
      <c r="N1348" s="961"/>
      <c r="O1348" s="962"/>
      <c r="P1348" s="962"/>
      <c r="Q1348" s="961"/>
      <c r="R1348" s="961"/>
      <c r="S1348" s="527">
        <f t="shared" si="175"/>
        <v>0</v>
      </c>
      <c r="T1348" s="528">
        <f t="shared" si="176"/>
        <v>0</v>
      </c>
      <c r="U1348" s="527">
        <f t="shared" si="177"/>
        <v>0</v>
      </c>
      <c r="W1348" s="326">
        <f t="shared" si="179"/>
        <v>0</v>
      </c>
      <c r="X1348" s="261">
        <f t="shared" si="178"/>
        <v>0</v>
      </c>
      <c r="Z1348" s="1016">
        <f t="shared" si="180"/>
        <v>0</v>
      </c>
    </row>
    <row r="1349" spans="1:26" ht="12" hidden="1" thickBot="1">
      <c r="A1349" s="588" t="s">
        <v>1465</v>
      </c>
      <c r="B1349" s="522" t="s">
        <v>472</v>
      </c>
      <c r="C1349" s="522" t="s">
        <v>968</v>
      </c>
      <c r="D1349" s="523" t="s">
        <v>1035</v>
      </c>
      <c r="E1349" s="960"/>
      <c r="F1349" s="962"/>
      <c r="G1349" s="961"/>
      <c r="H1349" s="962"/>
      <c r="I1349" s="962"/>
      <c r="J1349" s="962"/>
      <c r="K1349" s="962"/>
      <c r="L1349" s="962"/>
      <c r="M1349" s="961"/>
      <c r="N1349" s="961"/>
      <c r="O1349" s="962"/>
      <c r="P1349" s="962"/>
      <c r="Q1349" s="962"/>
      <c r="R1349" s="961"/>
      <c r="S1349" s="527">
        <f t="shared" si="175"/>
        <v>0</v>
      </c>
      <c r="T1349" s="528">
        <f t="shared" si="176"/>
        <v>0</v>
      </c>
      <c r="U1349" s="527">
        <f t="shared" si="177"/>
        <v>0</v>
      </c>
      <c r="W1349" s="326">
        <f t="shared" si="179"/>
        <v>0</v>
      </c>
      <c r="X1349" s="261">
        <f t="shared" si="178"/>
        <v>0</v>
      </c>
      <c r="Z1349" s="1016">
        <f t="shared" si="180"/>
        <v>0</v>
      </c>
    </row>
    <row r="1350" spans="1:26" ht="12" hidden="1" thickBot="1">
      <c r="A1350" s="588" t="s">
        <v>1465</v>
      </c>
      <c r="B1350" s="522" t="s">
        <v>382</v>
      </c>
      <c r="C1350" s="522" t="s">
        <v>969</v>
      </c>
      <c r="D1350" s="533" t="s">
        <v>1035</v>
      </c>
      <c r="E1350" s="960"/>
      <c r="F1350" s="962"/>
      <c r="G1350" s="961"/>
      <c r="H1350" s="962"/>
      <c r="I1350" s="962"/>
      <c r="J1350" s="962"/>
      <c r="K1350" s="962"/>
      <c r="L1350" s="962"/>
      <c r="M1350" s="961"/>
      <c r="N1350" s="961"/>
      <c r="O1350" s="962"/>
      <c r="P1350" s="962"/>
      <c r="Q1350" s="961"/>
      <c r="R1350" s="961"/>
      <c r="S1350" s="527">
        <f t="shared" si="175"/>
        <v>0</v>
      </c>
      <c r="T1350" s="528">
        <f t="shared" si="176"/>
        <v>0</v>
      </c>
      <c r="U1350" s="527">
        <f t="shared" si="177"/>
        <v>0</v>
      </c>
      <c r="W1350" s="326">
        <f t="shared" si="179"/>
        <v>0</v>
      </c>
      <c r="X1350" s="261">
        <f t="shared" si="178"/>
        <v>0</v>
      </c>
      <c r="Z1350" s="1016">
        <f t="shared" si="180"/>
        <v>0</v>
      </c>
    </row>
    <row r="1351" spans="1:26" ht="12" hidden="1" thickBot="1">
      <c r="A1351" s="588" t="s">
        <v>1465</v>
      </c>
      <c r="B1351" s="522" t="s">
        <v>402</v>
      </c>
      <c r="C1351" s="522" t="s">
        <v>970</v>
      </c>
      <c r="D1351" s="533" t="s">
        <v>1036</v>
      </c>
      <c r="E1351" s="960"/>
      <c r="F1351" s="962"/>
      <c r="G1351" s="961"/>
      <c r="H1351" s="962"/>
      <c r="I1351" s="962"/>
      <c r="J1351" s="962"/>
      <c r="K1351" s="962"/>
      <c r="L1351" s="962"/>
      <c r="M1351" s="961"/>
      <c r="N1351" s="961"/>
      <c r="O1351" s="962"/>
      <c r="P1351" s="962"/>
      <c r="Q1351" s="961"/>
      <c r="R1351" s="961"/>
      <c r="S1351" s="527">
        <f t="shared" si="175"/>
        <v>0</v>
      </c>
      <c r="T1351" s="528">
        <f t="shared" si="176"/>
        <v>0</v>
      </c>
      <c r="U1351" s="527">
        <f t="shared" si="177"/>
        <v>0</v>
      </c>
      <c r="W1351" s="326">
        <f t="shared" si="179"/>
        <v>0</v>
      </c>
      <c r="X1351" s="261">
        <f t="shared" si="178"/>
        <v>0</v>
      </c>
      <c r="Z1351" s="1016">
        <f t="shared" si="180"/>
        <v>0</v>
      </c>
    </row>
    <row r="1352" spans="1:26" ht="12" hidden="1" thickBot="1">
      <c r="A1352" s="588" t="s">
        <v>1465</v>
      </c>
      <c r="B1352" s="522" t="s">
        <v>398</v>
      </c>
      <c r="C1352" s="522" t="s">
        <v>971</v>
      </c>
      <c r="D1352" s="533" t="s">
        <v>1036</v>
      </c>
      <c r="E1352" s="960"/>
      <c r="F1352" s="962"/>
      <c r="G1352" s="961"/>
      <c r="H1352" s="962"/>
      <c r="I1352" s="962"/>
      <c r="J1352" s="962"/>
      <c r="K1352" s="962"/>
      <c r="L1352" s="962"/>
      <c r="M1352" s="961"/>
      <c r="N1352" s="961"/>
      <c r="O1352" s="962"/>
      <c r="P1352" s="962"/>
      <c r="Q1352" s="961"/>
      <c r="R1352" s="961"/>
      <c r="S1352" s="527">
        <f t="shared" si="175"/>
        <v>0</v>
      </c>
      <c r="T1352" s="528">
        <f t="shared" si="176"/>
        <v>0</v>
      </c>
      <c r="U1352" s="527">
        <f t="shared" si="177"/>
        <v>0</v>
      </c>
      <c r="W1352" s="326">
        <f t="shared" si="179"/>
        <v>0</v>
      </c>
      <c r="X1352" s="261">
        <f t="shared" si="178"/>
        <v>0</v>
      </c>
      <c r="Z1352" s="1016">
        <f t="shared" si="180"/>
        <v>0</v>
      </c>
    </row>
    <row r="1353" spans="1:26" ht="12" hidden="1" thickBot="1">
      <c r="A1353" s="588" t="s">
        <v>1465</v>
      </c>
      <c r="B1353" s="522" t="s">
        <v>376</v>
      </c>
      <c r="C1353" s="522" t="s">
        <v>972</v>
      </c>
      <c r="D1353" s="533" t="s">
        <v>1036</v>
      </c>
      <c r="E1353" s="960"/>
      <c r="F1353" s="962"/>
      <c r="G1353" s="961"/>
      <c r="H1353" s="962"/>
      <c r="I1353" s="962"/>
      <c r="J1353" s="962"/>
      <c r="K1353" s="962"/>
      <c r="L1353" s="962"/>
      <c r="M1353" s="961"/>
      <c r="N1353" s="961"/>
      <c r="O1353" s="962"/>
      <c r="P1353" s="962"/>
      <c r="Q1353" s="961"/>
      <c r="R1353" s="961"/>
      <c r="S1353" s="527">
        <f t="shared" si="175"/>
        <v>0</v>
      </c>
      <c r="T1353" s="528">
        <f t="shared" si="176"/>
        <v>0</v>
      </c>
      <c r="U1353" s="527">
        <f t="shared" si="177"/>
        <v>0</v>
      </c>
      <c r="W1353" s="326">
        <f t="shared" si="179"/>
        <v>0</v>
      </c>
      <c r="X1353" s="261">
        <f t="shared" si="178"/>
        <v>0</v>
      </c>
      <c r="Z1353" s="1016">
        <f t="shared" si="180"/>
        <v>0</v>
      </c>
    </row>
    <row r="1354" spans="1:26" ht="12" hidden="1" thickBot="1">
      <c r="A1354" s="588" t="s">
        <v>1465</v>
      </c>
      <c r="B1354" s="522" t="s">
        <v>384</v>
      </c>
      <c r="C1354" s="522" t="s">
        <v>973</v>
      </c>
      <c r="D1354" s="533" t="s">
        <v>1035</v>
      </c>
      <c r="E1354" s="960"/>
      <c r="F1354" s="962"/>
      <c r="G1354" s="961"/>
      <c r="H1354" s="962"/>
      <c r="I1354" s="962"/>
      <c r="J1354" s="962"/>
      <c r="K1354" s="962"/>
      <c r="L1354" s="962"/>
      <c r="M1354" s="961"/>
      <c r="N1354" s="961"/>
      <c r="O1354" s="962"/>
      <c r="P1354" s="962"/>
      <c r="Q1354" s="961"/>
      <c r="R1354" s="961"/>
      <c r="S1354" s="527">
        <f t="shared" si="175"/>
        <v>0</v>
      </c>
      <c r="T1354" s="528">
        <f t="shared" si="176"/>
        <v>0</v>
      </c>
      <c r="U1354" s="527">
        <f t="shared" si="177"/>
        <v>0</v>
      </c>
      <c r="W1354" s="326">
        <f t="shared" si="179"/>
        <v>0</v>
      </c>
      <c r="X1354" s="261">
        <f t="shared" si="178"/>
        <v>0</v>
      </c>
      <c r="Z1354" s="1016">
        <f t="shared" si="180"/>
        <v>0</v>
      </c>
    </row>
    <row r="1355" spans="1:26" ht="12" hidden="1" thickBot="1">
      <c r="A1355" s="588" t="s">
        <v>1465</v>
      </c>
      <c r="B1355" s="522" t="s">
        <v>386</v>
      </c>
      <c r="C1355" s="522" t="s">
        <v>974</v>
      </c>
      <c r="D1355" s="533" t="s">
        <v>1036</v>
      </c>
      <c r="E1355" s="960"/>
      <c r="F1355" s="962"/>
      <c r="G1355" s="961"/>
      <c r="H1355" s="962"/>
      <c r="I1355" s="962"/>
      <c r="J1355" s="962"/>
      <c r="K1355" s="962"/>
      <c r="L1355" s="962"/>
      <c r="M1355" s="961"/>
      <c r="N1355" s="961"/>
      <c r="O1355" s="962"/>
      <c r="P1355" s="962"/>
      <c r="Q1355" s="961"/>
      <c r="R1355" s="961"/>
      <c r="S1355" s="527">
        <f t="shared" si="175"/>
        <v>0</v>
      </c>
      <c r="T1355" s="528">
        <f t="shared" si="176"/>
        <v>0</v>
      </c>
      <c r="U1355" s="527">
        <f t="shared" si="177"/>
        <v>0</v>
      </c>
      <c r="W1355" s="326">
        <f t="shared" si="179"/>
        <v>0</v>
      </c>
      <c r="X1355" s="261">
        <f t="shared" si="178"/>
        <v>0</v>
      </c>
      <c r="Z1355" s="1016">
        <f t="shared" si="180"/>
        <v>0</v>
      </c>
    </row>
    <row r="1356" spans="1:26" ht="12" hidden="1" thickBot="1">
      <c r="A1356" s="588" t="s">
        <v>1465</v>
      </c>
      <c r="B1356" s="522" t="s">
        <v>409</v>
      </c>
      <c r="C1356" s="522" t="s">
        <v>975</v>
      </c>
      <c r="D1356" s="533" t="s">
        <v>1036</v>
      </c>
      <c r="E1356" s="960"/>
      <c r="F1356" s="962"/>
      <c r="G1356" s="961"/>
      <c r="H1356" s="962"/>
      <c r="I1356" s="962"/>
      <c r="J1356" s="962"/>
      <c r="K1356" s="962"/>
      <c r="L1356" s="962"/>
      <c r="M1356" s="961"/>
      <c r="N1356" s="961"/>
      <c r="O1356" s="962"/>
      <c r="P1356" s="962"/>
      <c r="Q1356" s="961"/>
      <c r="R1356" s="961"/>
      <c r="S1356" s="527">
        <f t="shared" si="175"/>
        <v>0</v>
      </c>
      <c r="T1356" s="528">
        <f t="shared" si="176"/>
        <v>0</v>
      </c>
      <c r="U1356" s="527">
        <f t="shared" si="177"/>
        <v>0</v>
      </c>
      <c r="W1356" s="326">
        <f t="shared" si="179"/>
        <v>0</v>
      </c>
      <c r="X1356" s="261">
        <f t="shared" si="178"/>
        <v>0</v>
      </c>
      <c r="Z1356" s="1016">
        <f t="shared" si="180"/>
        <v>0</v>
      </c>
    </row>
    <row r="1357" spans="1:26" ht="12" hidden="1" thickBot="1">
      <c r="A1357" s="588" t="s">
        <v>1465</v>
      </c>
      <c r="B1357" s="522" t="s">
        <v>387</v>
      </c>
      <c r="C1357" s="522" t="s">
        <v>976</v>
      </c>
      <c r="D1357" s="533" t="s">
        <v>1035</v>
      </c>
      <c r="E1357" s="960"/>
      <c r="F1357" s="962"/>
      <c r="G1357" s="961"/>
      <c r="H1357" s="962"/>
      <c r="I1357" s="962"/>
      <c r="J1357" s="962"/>
      <c r="K1357" s="962"/>
      <c r="L1357" s="962"/>
      <c r="M1357" s="961"/>
      <c r="N1357" s="961"/>
      <c r="O1357" s="962"/>
      <c r="P1357" s="962"/>
      <c r="Q1357" s="961"/>
      <c r="R1357" s="961"/>
      <c r="S1357" s="527">
        <f t="shared" si="175"/>
        <v>0</v>
      </c>
      <c r="T1357" s="528">
        <f t="shared" si="176"/>
        <v>0</v>
      </c>
      <c r="U1357" s="527">
        <f t="shared" si="177"/>
        <v>0</v>
      </c>
      <c r="W1357" s="326">
        <f t="shared" si="179"/>
        <v>0</v>
      </c>
      <c r="X1357" s="261">
        <f t="shared" si="178"/>
        <v>0</v>
      </c>
      <c r="Z1357" s="1016">
        <f t="shared" si="180"/>
        <v>0</v>
      </c>
    </row>
    <row r="1358" spans="1:26" ht="12" hidden="1" thickBot="1">
      <c r="A1358" s="588" t="s">
        <v>1465</v>
      </c>
      <c r="B1358" s="522" t="s">
        <v>410</v>
      </c>
      <c r="C1358" s="522" t="s">
        <v>977</v>
      </c>
      <c r="D1358" s="533" t="s">
        <v>1035</v>
      </c>
      <c r="E1358" s="960"/>
      <c r="F1358" s="962"/>
      <c r="G1358" s="961"/>
      <c r="H1358" s="962"/>
      <c r="I1358" s="962"/>
      <c r="J1358" s="962"/>
      <c r="K1358" s="962"/>
      <c r="L1358" s="962"/>
      <c r="M1358" s="961"/>
      <c r="N1358" s="961"/>
      <c r="O1358" s="962"/>
      <c r="P1358" s="962"/>
      <c r="Q1358" s="961"/>
      <c r="R1358" s="961"/>
      <c r="S1358" s="527">
        <f t="shared" si="175"/>
        <v>0</v>
      </c>
      <c r="T1358" s="528">
        <f t="shared" si="176"/>
        <v>0</v>
      </c>
      <c r="U1358" s="527">
        <f t="shared" si="177"/>
        <v>0</v>
      </c>
      <c r="W1358" s="326">
        <f t="shared" si="179"/>
        <v>0</v>
      </c>
      <c r="X1358" s="261">
        <f t="shared" si="178"/>
        <v>0</v>
      </c>
      <c r="Z1358" s="1016">
        <f t="shared" si="180"/>
        <v>0</v>
      </c>
    </row>
    <row r="1359" spans="1:26" ht="12" hidden="1" thickBot="1">
      <c r="A1359" s="588" t="s">
        <v>1465</v>
      </c>
      <c r="B1359" s="522" t="s">
        <v>405</v>
      </c>
      <c r="C1359" s="522" t="s">
        <v>978</v>
      </c>
      <c r="D1359" s="533" t="s">
        <v>1035</v>
      </c>
      <c r="E1359" s="960"/>
      <c r="F1359" s="962"/>
      <c r="G1359" s="961"/>
      <c r="H1359" s="962"/>
      <c r="I1359" s="962"/>
      <c r="J1359" s="962"/>
      <c r="K1359" s="962"/>
      <c r="L1359" s="962"/>
      <c r="M1359" s="961"/>
      <c r="N1359" s="961"/>
      <c r="O1359" s="962"/>
      <c r="P1359" s="962"/>
      <c r="Q1359" s="961"/>
      <c r="R1359" s="961"/>
      <c r="S1359" s="527">
        <f t="shared" si="175"/>
        <v>0</v>
      </c>
      <c r="T1359" s="528">
        <f t="shared" si="176"/>
        <v>0</v>
      </c>
      <c r="U1359" s="527">
        <f t="shared" si="177"/>
        <v>0</v>
      </c>
      <c r="W1359" s="326">
        <f t="shared" si="179"/>
        <v>0</v>
      </c>
      <c r="X1359" s="261">
        <f t="shared" si="178"/>
        <v>0</v>
      </c>
      <c r="Z1359" s="1016">
        <f t="shared" si="180"/>
        <v>0</v>
      </c>
    </row>
    <row r="1360" spans="1:26" ht="12" hidden="1" thickBot="1">
      <c r="A1360" s="588" t="s">
        <v>1465</v>
      </c>
      <c r="B1360" s="522" t="s">
        <v>326</v>
      </c>
      <c r="C1360" s="522" t="s">
        <v>979</v>
      </c>
      <c r="D1360" s="533" t="s">
        <v>1036</v>
      </c>
      <c r="E1360" s="960"/>
      <c r="F1360" s="962"/>
      <c r="G1360" s="961"/>
      <c r="H1360" s="962"/>
      <c r="I1360" s="962"/>
      <c r="J1360" s="962"/>
      <c r="K1360" s="962"/>
      <c r="L1360" s="962"/>
      <c r="M1360" s="961"/>
      <c r="N1360" s="961"/>
      <c r="O1360" s="962"/>
      <c r="P1360" s="962"/>
      <c r="Q1360" s="961"/>
      <c r="R1360" s="961"/>
      <c r="S1360" s="527">
        <f t="shared" si="175"/>
        <v>0</v>
      </c>
      <c r="T1360" s="528">
        <f t="shared" si="176"/>
        <v>0</v>
      </c>
      <c r="U1360" s="527">
        <f t="shared" si="177"/>
        <v>0</v>
      </c>
      <c r="W1360" s="326">
        <f t="shared" si="179"/>
        <v>0</v>
      </c>
      <c r="X1360" s="261">
        <f t="shared" si="178"/>
        <v>0</v>
      </c>
      <c r="Z1360" s="1016">
        <f t="shared" si="180"/>
        <v>0</v>
      </c>
    </row>
    <row r="1361" spans="1:26" ht="12" hidden="1" thickBot="1">
      <c r="A1361" s="588" t="s">
        <v>1465</v>
      </c>
      <c r="B1361" s="522" t="s">
        <v>356</v>
      </c>
      <c r="C1361" s="522" t="s">
        <v>980</v>
      </c>
      <c r="D1361" s="533" t="s">
        <v>1036</v>
      </c>
      <c r="E1361" s="960"/>
      <c r="F1361" s="962"/>
      <c r="G1361" s="961"/>
      <c r="H1361" s="962"/>
      <c r="I1361" s="962"/>
      <c r="J1361" s="962"/>
      <c r="K1361" s="962"/>
      <c r="L1361" s="962"/>
      <c r="M1361" s="961"/>
      <c r="N1361" s="961"/>
      <c r="O1361" s="962"/>
      <c r="P1361" s="962"/>
      <c r="Q1361" s="961"/>
      <c r="R1361" s="961"/>
      <c r="S1361" s="527">
        <f t="shared" si="175"/>
        <v>0</v>
      </c>
      <c r="T1361" s="528">
        <f t="shared" si="176"/>
        <v>0</v>
      </c>
      <c r="U1361" s="527">
        <f t="shared" si="177"/>
        <v>0</v>
      </c>
      <c r="W1361" s="326">
        <f t="shared" si="179"/>
        <v>0</v>
      </c>
      <c r="X1361" s="261">
        <f t="shared" si="178"/>
        <v>0</v>
      </c>
      <c r="Z1361" s="1016">
        <f t="shared" si="180"/>
        <v>0</v>
      </c>
    </row>
    <row r="1362" spans="1:26" ht="12" hidden="1" thickBot="1">
      <c r="A1362" s="588" t="s">
        <v>1465</v>
      </c>
      <c r="B1362" s="522" t="s">
        <v>374</v>
      </c>
      <c r="C1362" s="522" t="s">
        <v>981</v>
      </c>
      <c r="D1362" s="533" t="s">
        <v>1036</v>
      </c>
      <c r="E1362" s="960"/>
      <c r="F1362" s="962"/>
      <c r="G1362" s="961"/>
      <c r="H1362" s="962"/>
      <c r="I1362" s="962"/>
      <c r="J1362" s="962"/>
      <c r="K1362" s="962"/>
      <c r="L1362" s="962"/>
      <c r="M1362" s="961"/>
      <c r="N1362" s="961"/>
      <c r="O1362" s="962"/>
      <c r="P1362" s="962"/>
      <c r="Q1362" s="961"/>
      <c r="R1362" s="961"/>
      <c r="S1362" s="527">
        <f t="shared" si="175"/>
        <v>0</v>
      </c>
      <c r="T1362" s="528">
        <f t="shared" si="176"/>
        <v>0</v>
      </c>
      <c r="U1362" s="527">
        <f t="shared" si="177"/>
        <v>0</v>
      </c>
      <c r="W1362" s="326">
        <f t="shared" si="179"/>
        <v>0</v>
      </c>
      <c r="X1362" s="261">
        <f t="shared" si="178"/>
        <v>0</v>
      </c>
      <c r="Z1362" s="1016">
        <f t="shared" si="180"/>
        <v>0</v>
      </c>
    </row>
    <row r="1363" spans="1:26" ht="12" hidden="1" thickBot="1">
      <c r="A1363" s="588" t="s">
        <v>1465</v>
      </c>
      <c r="B1363" s="522" t="s">
        <v>399</v>
      </c>
      <c r="C1363" s="522" t="s">
        <v>982</v>
      </c>
      <c r="D1363" s="533" t="s">
        <v>1036</v>
      </c>
      <c r="E1363" s="960"/>
      <c r="F1363" s="962"/>
      <c r="G1363" s="961"/>
      <c r="H1363" s="962"/>
      <c r="I1363" s="962"/>
      <c r="J1363" s="962"/>
      <c r="K1363" s="962"/>
      <c r="L1363" s="962"/>
      <c r="M1363" s="961"/>
      <c r="N1363" s="961"/>
      <c r="O1363" s="962"/>
      <c r="P1363" s="962"/>
      <c r="Q1363" s="961"/>
      <c r="R1363" s="961"/>
      <c r="S1363" s="527">
        <f t="shared" si="175"/>
        <v>0</v>
      </c>
      <c r="T1363" s="528">
        <f t="shared" si="176"/>
        <v>0</v>
      </c>
      <c r="U1363" s="527">
        <f t="shared" si="177"/>
        <v>0</v>
      </c>
      <c r="W1363" s="326">
        <f t="shared" si="179"/>
        <v>0</v>
      </c>
      <c r="X1363" s="261">
        <f t="shared" si="178"/>
        <v>0</v>
      </c>
      <c r="Z1363" s="1016">
        <f t="shared" si="180"/>
        <v>0</v>
      </c>
    </row>
    <row r="1364" spans="1:26" ht="12" hidden="1" thickBot="1">
      <c r="A1364" s="588" t="s">
        <v>1465</v>
      </c>
      <c r="B1364" s="522" t="s">
        <v>391</v>
      </c>
      <c r="C1364" s="522" t="s">
        <v>983</v>
      </c>
      <c r="D1364" s="533" t="s">
        <v>1036</v>
      </c>
      <c r="E1364" s="960"/>
      <c r="F1364" s="962"/>
      <c r="G1364" s="961"/>
      <c r="H1364" s="962"/>
      <c r="I1364" s="962"/>
      <c r="J1364" s="962"/>
      <c r="K1364" s="962"/>
      <c r="L1364" s="962"/>
      <c r="M1364" s="961"/>
      <c r="N1364" s="961"/>
      <c r="O1364" s="962"/>
      <c r="P1364" s="962"/>
      <c r="Q1364" s="961"/>
      <c r="R1364" s="961"/>
      <c r="S1364" s="527">
        <f t="shared" si="175"/>
        <v>0</v>
      </c>
      <c r="T1364" s="528">
        <f t="shared" si="176"/>
        <v>0</v>
      </c>
      <c r="U1364" s="527">
        <f t="shared" si="177"/>
        <v>0</v>
      </c>
      <c r="W1364" s="326">
        <f t="shared" si="179"/>
        <v>0</v>
      </c>
      <c r="X1364" s="261">
        <f t="shared" si="178"/>
        <v>0</v>
      </c>
      <c r="Z1364" s="1016">
        <f t="shared" si="180"/>
        <v>0</v>
      </c>
    </row>
    <row r="1365" spans="1:26" ht="12" hidden="1" thickBot="1">
      <c r="A1365" s="588" t="s">
        <v>1465</v>
      </c>
      <c r="B1365" s="522" t="s">
        <v>416</v>
      </c>
      <c r="C1365" s="522" t="s">
        <v>984</v>
      </c>
      <c r="D1365" s="533" t="s">
        <v>1035</v>
      </c>
      <c r="E1365" s="960"/>
      <c r="F1365" s="962"/>
      <c r="G1365" s="961"/>
      <c r="H1365" s="962"/>
      <c r="I1365" s="962"/>
      <c r="J1365" s="962"/>
      <c r="K1365" s="962"/>
      <c r="L1365" s="962"/>
      <c r="M1365" s="961"/>
      <c r="N1365" s="961"/>
      <c r="O1365" s="962"/>
      <c r="P1365" s="962"/>
      <c r="Q1365" s="961"/>
      <c r="R1365" s="961"/>
      <c r="S1365" s="527">
        <f t="shared" si="175"/>
        <v>0</v>
      </c>
      <c r="T1365" s="528">
        <f t="shared" si="176"/>
        <v>0</v>
      </c>
      <c r="U1365" s="527">
        <f t="shared" si="177"/>
        <v>0</v>
      </c>
      <c r="W1365" s="326">
        <f t="shared" si="179"/>
        <v>0</v>
      </c>
      <c r="X1365" s="261">
        <f t="shared" si="178"/>
        <v>0</v>
      </c>
      <c r="Z1365" s="1016">
        <f t="shared" si="180"/>
        <v>0</v>
      </c>
    </row>
    <row r="1366" spans="1:26" ht="12" hidden="1" thickBot="1">
      <c r="A1366" s="588" t="s">
        <v>1465</v>
      </c>
      <c r="B1366" s="522" t="s">
        <v>407</v>
      </c>
      <c r="C1366" s="522" t="s">
        <v>985</v>
      </c>
      <c r="D1366" s="533" t="s">
        <v>1035</v>
      </c>
      <c r="E1366" s="960"/>
      <c r="F1366" s="962"/>
      <c r="G1366" s="961"/>
      <c r="H1366" s="962"/>
      <c r="I1366" s="962"/>
      <c r="J1366" s="962"/>
      <c r="K1366" s="962"/>
      <c r="L1366" s="962"/>
      <c r="M1366" s="961"/>
      <c r="N1366" s="961"/>
      <c r="O1366" s="962"/>
      <c r="P1366" s="962"/>
      <c r="Q1366" s="961"/>
      <c r="R1366" s="961"/>
      <c r="S1366" s="527">
        <f t="shared" si="175"/>
        <v>0</v>
      </c>
      <c r="T1366" s="528">
        <f t="shared" si="176"/>
        <v>0</v>
      </c>
      <c r="U1366" s="527">
        <f t="shared" si="177"/>
        <v>0</v>
      </c>
      <c r="W1366" s="326">
        <f t="shared" si="179"/>
        <v>0</v>
      </c>
      <c r="X1366" s="261">
        <f t="shared" si="178"/>
        <v>0</v>
      </c>
      <c r="Z1366" s="1016">
        <f t="shared" si="180"/>
        <v>0</v>
      </c>
    </row>
    <row r="1367" spans="1:26" ht="12" hidden="1" thickBot="1">
      <c r="A1367" s="588" t="s">
        <v>1465</v>
      </c>
      <c r="B1367" s="522" t="s">
        <v>373</v>
      </c>
      <c r="C1367" s="522" t="s">
        <v>986</v>
      </c>
      <c r="D1367" s="533" t="s">
        <v>1036</v>
      </c>
      <c r="E1367" s="960"/>
      <c r="F1367" s="962"/>
      <c r="G1367" s="961"/>
      <c r="H1367" s="962"/>
      <c r="I1367" s="962"/>
      <c r="J1367" s="962"/>
      <c r="K1367" s="962"/>
      <c r="L1367" s="962"/>
      <c r="M1367" s="961"/>
      <c r="N1367" s="961"/>
      <c r="O1367" s="962"/>
      <c r="P1367" s="962"/>
      <c r="Q1367" s="961"/>
      <c r="R1367" s="961"/>
      <c r="S1367" s="527">
        <f t="shared" si="175"/>
        <v>0</v>
      </c>
      <c r="T1367" s="528">
        <f t="shared" si="176"/>
        <v>0</v>
      </c>
      <c r="U1367" s="527">
        <f t="shared" si="177"/>
        <v>0</v>
      </c>
      <c r="W1367" s="326">
        <f t="shared" si="179"/>
        <v>0</v>
      </c>
      <c r="X1367" s="261">
        <f t="shared" si="178"/>
        <v>0</v>
      </c>
      <c r="Z1367" s="1016">
        <f t="shared" si="180"/>
        <v>0</v>
      </c>
    </row>
    <row r="1368" spans="1:26" ht="12" hidden="1" thickBot="1">
      <c r="A1368" s="588" t="s">
        <v>1465</v>
      </c>
      <c r="B1368" s="522" t="s">
        <v>375</v>
      </c>
      <c r="C1368" s="522" t="s">
        <v>987</v>
      </c>
      <c r="D1368" s="533" t="s">
        <v>1036</v>
      </c>
      <c r="E1368" s="960"/>
      <c r="F1368" s="962"/>
      <c r="G1368" s="961"/>
      <c r="H1368" s="962"/>
      <c r="I1368" s="962"/>
      <c r="J1368" s="962"/>
      <c r="K1368" s="962"/>
      <c r="L1368" s="962"/>
      <c r="M1368" s="961"/>
      <c r="N1368" s="961"/>
      <c r="O1368" s="962"/>
      <c r="P1368" s="962"/>
      <c r="Q1368" s="961"/>
      <c r="R1368" s="961"/>
      <c r="S1368" s="527">
        <f t="shared" si="175"/>
        <v>0</v>
      </c>
      <c r="T1368" s="528">
        <f t="shared" si="176"/>
        <v>0</v>
      </c>
      <c r="U1368" s="527">
        <f t="shared" si="177"/>
        <v>0</v>
      </c>
      <c r="W1368" s="326">
        <f t="shared" si="179"/>
        <v>0</v>
      </c>
      <c r="X1368" s="261">
        <f t="shared" si="178"/>
        <v>0</v>
      </c>
      <c r="Z1368" s="1016">
        <f t="shared" si="180"/>
        <v>0</v>
      </c>
    </row>
    <row r="1369" spans="1:26" ht="12" hidden="1" thickBot="1">
      <c r="A1369" s="588" t="s">
        <v>1465</v>
      </c>
      <c r="B1369" s="522" t="s">
        <v>401</v>
      </c>
      <c r="C1369" s="522" t="s">
        <v>988</v>
      </c>
      <c r="D1369" s="533" t="s">
        <v>1036</v>
      </c>
      <c r="E1369" s="960"/>
      <c r="F1369" s="962"/>
      <c r="G1369" s="961"/>
      <c r="H1369" s="962"/>
      <c r="I1369" s="962"/>
      <c r="J1369" s="962"/>
      <c r="K1369" s="962"/>
      <c r="L1369" s="962"/>
      <c r="M1369" s="961"/>
      <c r="N1369" s="961"/>
      <c r="O1369" s="962"/>
      <c r="P1369" s="962"/>
      <c r="Q1369" s="961"/>
      <c r="R1369" s="961"/>
      <c r="S1369" s="527">
        <f t="shared" si="175"/>
        <v>0</v>
      </c>
      <c r="T1369" s="528">
        <f t="shared" si="176"/>
        <v>0</v>
      </c>
      <c r="U1369" s="527">
        <f t="shared" si="177"/>
        <v>0</v>
      </c>
      <c r="W1369" s="326">
        <f t="shared" si="179"/>
        <v>0</v>
      </c>
      <c r="X1369" s="261">
        <f t="shared" si="178"/>
        <v>0</v>
      </c>
      <c r="Z1369" s="1016">
        <f t="shared" si="180"/>
        <v>0</v>
      </c>
    </row>
    <row r="1370" spans="1:26" ht="12" hidden="1" thickBot="1">
      <c r="A1370" s="588" t="s">
        <v>1465</v>
      </c>
      <c r="B1370" s="522" t="s">
        <v>328</v>
      </c>
      <c r="C1370" s="522" t="s">
        <v>989</v>
      </c>
      <c r="D1370" s="533" t="s">
        <v>1036</v>
      </c>
      <c r="E1370" s="960"/>
      <c r="F1370" s="962"/>
      <c r="G1370" s="961"/>
      <c r="H1370" s="962"/>
      <c r="I1370" s="962"/>
      <c r="J1370" s="962"/>
      <c r="K1370" s="962"/>
      <c r="L1370" s="962"/>
      <c r="M1370" s="961"/>
      <c r="N1370" s="961"/>
      <c r="O1370" s="962"/>
      <c r="P1370" s="962"/>
      <c r="Q1370" s="961"/>
      <c r="R1370" s="961"/>
      <c r="S1370" s="527">
        <f t="shared" si="175"/>
        <v>0</v>
      </c>
      <c r="T1370" s="528">
        <f t="shared" si="176"/>
        <v>0</v>
      </c>
      <c r="U1370" s="527">
        <f t="shared" si="177"/>
        <v>0</v>
      </c>
      <c r="W1370" s="326">
        <f t="shared" si="179"/>
        <v>0</v>
      </c>
      <c r="X1370" s="261">
        <f t="shared" si="178"/>
        <v>0</v>
      </c>
      <c r="Z1370" s="1016">
        <f t="shared" si="180"/>
        <v>0</v>
      </c>
    </row>
    <row r="1371" spans="1:26" ht="12" hidden="1" thickBot="1">
      <c r="A1371" s="588" t="s">
        <v>1465</v>
      </c>
      <c r="B1371" s="522" t="s">
        <v>437</v>
      </c>
      <c r="C1371" s="522" t="s">
        <v>990</v>
      </c>
      <c r="D1371" s="533" t="s">
        <v>1036</v>
      </c>
      <c r="E1371" s="960"/>
      <c r="F1371" s="962"/>
      <c r="G1371" s="961"/>
      <c r="H1371" s="962"/>
      <c r="I1371" s="962"/>
      <c r="J1371" s="962"/>
      <c r="K1371" s="962"/>
      <c r="L1371" s="962"/>
      <c r="M1371" s="961"/>
      <c r="N1371" s="961"/>
      <c r="O1371" s="962"/>
      <c r="P1371" s="962"/>
      <c r="Q1371" s="961"/>
      <c r="R1371" s="961"/>
      <c r="S1371" s="527">
        <f t="shared" si="175"/>
        <v>0</v>
      </c>
      <c r="T1371" s="528">
        <f t="shared" si="176"/>
        <v>0</v>
      </c>
      <c r="U1371" s="527">
        <f t="shared" si="177"/>
        <v>0</v>
      </c>
      <c r="W1371" s="326">
        <f t="shared" si="179"/>
        <v>0</v>
      </c>
      <c r="X1371" s="261">
        <f t="shared" si="178"/>
        <v>0</v>
      </c>
      <c r="Z1371" s="1016">
        <f t="shared" si="180"/>
        <v>0</v>
      </c>
    </row>
    <row r="1372" spans="1:26" ht="12" hidden="1" thickBot="1">
      <c r="A1372" s="588" t="s">
        <v>1465</v>
      </c>
      <c r="B1372" s="522" t="s">
        <v>338</v>
      </c>
      <c r="C1372" s="522" t="s">
        <v>991</v>
      </c>
      <c r="D1372" s="533" t="s">
        <v>1035</v>
      </c>
      <c r="E1372" s="960"/>
      <c r="F1372" s="962"/>
      <c r="G1372" s="961"/>
      <c r="H1372" s="962"/>
      <c r="I1372" s="962"/>
      <c r="J1372" s="962"/>
      <c r="K1372" s="962"/>
      <c r="L1372" s="962"/>
      <c r="M1372" s="961"/>
      <c r="N1372" s="961"/>
      <c r="O1372" s="962"/>
      <c r="P1372" s="962"/>
      <c r="Q1372" s="961"/>
      <c r="R1372" s="961"/>
      <c r="S1372" s="527">
        <f t="shared" si="175"/>
        <v>0</v>
      </c>
      <c r="T1372" s="528">
        <f t="shared" si="176"/>
        <v>0</v>
      </c>
      <c r="U1372" s="527">
        <f t="shared" si="177"/>
        <v>0</v>
      </c>
      <c r="W1372" s="326">
        <f t="shared" si="179"/>
        <v>0</v>
      </c>
      <c r="X1372" s="261">
        <f t="shared" si="178"/>
        <v>0</v>
      </c>
      <c r="Z1372" s="1016">
        <f t="shared" si="180"/>
        <v>0</v>
      </c>
    </row>
    <row r="1373" spans="1:26" ht="12" hidden="1" thickBot="1">
      <c r="A1373" s="588" t="s">
        <v>1465</v>
      </c>
      <c r="B1373" s="522" t="s">
        <v>370</v>
      </c>
      <c r="C1373" s="522" t="s">
        <v>992</v>
      </c>
      <c r="D1373" s="533" t="s">
        <v>1035</v>
      </c>
      <c r="E1373" s="960"/>
      <c r="F1373" s="962"/>
      <c r="G1373" s="961"/>
      <c r="H1373" s="962"/>
      <c r="I1373" s="962"/>
      <c r="J1373" s="962"/>
      <c r="K1373" s="962"/>
      <c r="L1373" s="962"/>
      <c r="M1373" s="961"/>
      <c r="N1373" s="961"/>
      <c r="O1373" s="962"/>
      <c r="P1373" s="962"/>
      <c r="Q1373" s="961"/>
      <c r="R1373" s="961"/>
      <c r="S1373" s="527">
        <f t="shared" si="175"/>
        <v>0</v>
      </c>
      <c r="T1373" s="528">
        <f t="shared" si="176"/>
        <v>0</v>
      </c>
      <c r="U1373" s="527">
        <f t="shared" si="177"/>
        <v>0</v>
      </c>
      <c r="W1373" s="326">
        <f t="shared" si="179"/>
        <v>0</v>
      </c>
      <c r="X1373" s="261">
        <f t="shared" si="178"/>
        <v>0</v>
      </c>
      <c r="Z1373" s="1016">
        <f t="shared" si="180"/>
        <v>0</v>
      </c>
    </row>
    <row r="1374" spans="1:26" ht="12" hidden="1" thickBot="1">
      <c r="A1374" s="588" t="s">
        <v>1465</v>
      </c>
      <c r="B1374" s="522" t="s">
        <v>333</v>
      </c>
      <c r="C1374" s="522" t="s">
        <v>993</v>
      </c>
      <c r="D1374" s="533" t="s">
        <v>1035</v>
      </c>
      <c r="E1374" s="960"/>
      <c r="F1374" s="962"/>
      <c r="G1374" s="961"/>
      <c r="H1374" s="962"/>
      <c r="I1374" s="962"/>
      <c r="J1374" s="962"/>
      <c r="K1374" s="962"/>
      <c r="L1374" s="962"/>
      <c r="M1374" s="961"/>
      <c r="N1374" s="961"/>
      <c r="O1374" s="962"/>
      <c r="P1374" s="962"/>
      <c r="Q1374" s="961"/>
      <c r="R1374" s="961"/>
      <c r="S1374" s="527">
        <f t="shared" si="175"/>
        <v>0</v>
      </c>
      <c r="T1374" s="528">
        <f t="shared" si="176"/>
        <v>0</v>
      </c>
      <c r="U1374" s="527">
        <f t="shared" si="177"/>
        <v>0</v>
      </c>
      <c r="W1374" s="326">
        <f t="shared" si="179"/>
        <v>0</v>
      </c>
      <c r="X1374" s="261">
        <f t="shared" si="178"/>
        <v>0</v>
      </c>
      <c r="Z1374" s="1016">
        <f t="shared" si="180"/>
        <v>0</v>
      </c>
    </row>
    <row r="1375" spans="1:26" ht="12" hidden="1" thickBot="1">
      <c r="A1375" s="588" t="s">
        <v>1465</v>
      </c>
      <c r="B1375" s="522" t="s">
        <v>336</v>
      </c>
      <c r="C1375" s="522" t="s">
        <v>994</v>
      </c>
      <c r="D1375" s="533" t="s">
        <v>1036</v>
      </c>
      <c r="E1375" s="960"/>
      <c r="F1375" s="962"/>
      <c r="G1375" s="961"/>
      <c r="H1375" s="962"/>
      <c r="I1375" s="962"/>
      <c r="J1375" s="962"/>
      <c r="K1375" s="962"/>
      <c r="L1375" s="962"/>
      <c r="M1375" s="961"/>
      <c r="N1375" s="961"/>
      <c r="O1375" s="962"/>
      <c r="P1375" s="962"/>
      <c r="Q1375" s="961"/>
      <c r="R1375" s="961"/>
      <c r="S1375" s="527">
        <f t="shared" si="175"/>
        <v>0</v>
      </c>
      <c r="T1375" s="528">
        <f t="shared" si="176"/>
        <v>0</v>
      </c>
      <c r="U1375" s="527">
        <f t="shared" si="177"/>
        <v>0</v>
      </c>
      <c r="W1375" s="326">
        <f t="shared" si="179"/>
        <v>0</v>
      </c>
      <c r="X1375" s="261">
        <f t="shared" si="178"/>
        <v>0</v>
      </c>
      <c r="Z1375" s="1016">
        <f t="shared" si="180"/>
        <v>0</v>
      </c>
    </row>
    <row r="1376" spans="1:26" ht="12" hidden="1" thickBot="1">
      <c r="A1376" s="588" t="s">
        <v>1465</v>
      </c>
      <c r="B1376" s="522" t="s">
        <v>368</v>
      </c>
      <c r="C1376" s="522" t="s">
        <v>995</v>
      </c>
      <c r="D1376" s="533" t="s">
        <v>1036</v>
      </c>
      <c r="E1376" s="960"/>
      <c r="F1376" s="962"/>
      <c r="G1376" s="961"/>
      <c r="H1376" s="962"/>
      <c r="I1376" s="962"/>
      <c r="J1376" s="962"/>
      <c r="K1376" s="962"/>
      <c r="L1376" s="962"/>
      <c r="M1376" s="961"/>
      <c r="N1376" s="961"/>
      <c r="O1376" s="962"/>
      <c r="P1376" s="962"/>
      <c r="Q1376" s="961"/>
      <c r="R1376" s="961"/>
      <c r="S1376" s="527">
        <f t="shared" si="175"/>
        <v>0</v>
      </c>
      <c r="T1376" s="528">
        <f t="shared" si="176"/>
        <v>0</v>
      </c>
      <c r="U1376" s="527">
        <f t="shared" si="177"/>
        <v>0</v>
      </c>
      <c r="W1376" s="326">
        <f t="shared" si="179"/>
        <v>0</v>
      </c>
      <c r="X1376" s="261">
        <f t="shared" si="178"/>
        <v>0</v>
      </c>
      <c r="Z1376" s="1016">
        <f t="shared" si="180"/>
        <v>0</v>
      </c>
    </row>
    <row r="1377" spans="1:26" ht="12" hidden="1" thickBot="1">
      <c r="A1377" s="588" t="s">
        <v>1465</v>
      </c>
      <c r="B1377" s="522" t="s">
        <v>400</v>
      </c>
      <c r="C1377" s="522" t="s">
        <v>996</v>
      </c>
      <c r="D1377" s="533" t="s">
        <v>1036</v>
      </c>
      <c r="E1377" s="960"/>
      <c r="F1377" s="962"/>
      <c r="G1377" s="961"/>
      <c r="H1377" s="962"/>
      <c r="I1377" s="962"/>
      <c r="J1377" s="962"/>
      <c r="K1377" s="962"/>
      <c r="L1377" s="962"/>
      <c r="M1377" s="961"/>
      <c r="N1377" s="961"/>
      <c r="O1377" s="962"/>
      <c r="P1377" s="962"/>
      <c r="Q1377" s="961"/>
      <c r="R1377" s="961"/>
      <c r="S1377" s="527">
        <f t="shared" si="175"/>
        <v>0</v>
      </c>
      <c r="T1377" s="528">
        <f t="shared" si="176"/>
        <v>0</v>
      </c>
      <c r="U1377" s="527">
        <f t="shared" si="177"/>
        <v>0</v>
      </c>
      <c r="W1377" s="326">
        <f t="shared" si="179"/>
        <v>0</v>
      </c>
      <c r="X1377" s="261">
        <f t="shared" si="178"/>
        <v>0</v>
      </c>
      <c r="Z1377" s="1016">
        <f t="shared" si="180"/>
        <v>0</v>
      </c>
    </row>
    <row r="1378" spans="1:26" ht="12" hidden="1" thickBot="1">
      <c r="A1378" s="588" t="s">
        <v>1465</v>
      </c>
      <c r="B1378" s="522" t="s">
        <v>327</v>
      </c>
      <c r="C1378" s="522" t="s">
        <v>997</v>
      </c>
      <c r="D1378" s="533" t="s">
        <v>1036</v>
      </c>
      <c r="E1378" s="960"/>
      <c r="F1378" s="962"/>
      <c r="G1378" s="961"/>
      <c r="H1378" s="962"/>
      <c r="I1378" s="962"/>
      <c r="J1378" s="962"/>
      <c r="K1378" s="962"/>
      <c r="L1378" s="962"/>
      <c r="M1378" s="961"/>
      <c r="N1378" s="961"/>
      <c r="O1378" s="962"/>
      <c r="P1378" s="962"/>
      <c r="Q1378" s="961"/>
      <c r="R1378" s="961"/>
      <c r="S1378" s="527">
        <f t="shared" si="175"/>
        <v>0</v>
      </c>
      <c r="T1378" s="528">
        <f t="shared" si="176"/>
        <v>0</v>
      </c>
      <c r="U1378" s="527">
        <f t="shared" si="177"/>
        <v>0</v>
      </c>
      <c r="W1378" s="326">
        <f t="shared" si="179"/>
        <v>0</v>
      </c>
      <c r="X1378" s="261">
        <f t="shared" si="178"/>
        <v>0</v>
      </c>
      <c r="Z1378" s="1016">
        <f t="shared" si="180"/>
        <v>0</v>
      </c>
    </row>
    <row r="1379" spans="1:26" ht="12" hidden="1" thickBot="1">
      <c r="A1379" s="588" t="s">
        <v>1465</v>
      </c>
      <c r="B1379" s="522" t="s">
        <v>357</v>
      </c>
      <c r="C1379" s="522" t="s">
        <v>998</v>
      </c>
      <c r="D1379" s="533" t="s">
        <v>1036</v>
      </c>
      <c r="E1379" s="960"/>
      <c r="F1379" s="962"/>
      <c r="G1379" s="961"/>
      <c r="H1379" s="962"/>
      <c r="I1379" s="962"/>
      <c r="J1379" s="962"/>
      <c r="K1379" s="962"/>
      <c r="L1379" s="962"/>
      <c r="M1379" s="961"/>
      <c r="N1379" s="961"/>
      <c r="O1379" s="962"/>
      <c r="P1379" s="962"/>
      <c r="Q1379" s="961"/>
      <c r="R1379" s="961"/>
      <c r="S1379" s="527">
        <f t="shared" si="175"/>
        <v>0</v>
      </c>
      <c r="T1379" s="528">
        <f t="shared" si="176"/>
        <v>0</v>
      </c>
      <c r="U1379" s="527">
        <f t="shared" si="177"/>
        <v>0</v>
      </c>
      <c r="W1379" s="326">
        <f t="shared" si="179"/>
        <v>0</v>
      </c>
      <c r="X1379" s="261">
        <f t="shared" si="178"/>
        <v>0</v>
      </c>
      <c r="Z1379" s="1016">
        <f t="shared" si="180"/>
        <v>0</v>
      </c>
    </row>
    <row r="1380" spans="1:26" ht="12" hidden="1" thickBot="1">
      <c r="A1380" s="588" t="s">
        <v>1465</v>
      </c>
      <c r="B1380" s="522" t="s">
        <v>331</v>
      </c>
      <c r="C1380" s="522" t="s">
        <v>999</v>
      </c>
      <c r="D1380" s="533" t="s">
        <v>1036</v>
      </c>
      <c r="E1380" s="960"/>
      <c r="F1380" s="962"/>
      <c r="G1380" s="961"/>
      <c r="H1380" s="962"/>
      <c r="I1380" s="962"/>
      <c r="J1380" s="962"/>
      <c r="K1380" s="962"/>
      <c r="L1380" s="962"/>
      <c r="M1380" s="961"/>
      <c r="N1380" s="961"/>
      <c r="O1380" s="962"/>
      <c r="P1380" s="962"/>
      <c r="Q1380" s="961"/>
      <c r="R1380" s="961"/>
      <c r="S1380" s="527">
        <f t="shared" si="175"/>
        <v>0</v>
      </c>
      <c r="T1380" s="528">
        <f t="shared" si="176"/>
        <v>0</v>
      </c>
      <c r="U1380" s="527">
        <f t="shared" si="177"/>
        <v>0</v>
      </c>
      <c r="W1380" s="326">
        <f t="shared" si="179"/>
        <v>0</v>
      </c>
      <c r="X1380" s="261">
        <f t="shared" si="178"/>
        <v>0</v>
      </c>
      <c r="Z1380" s="1016">
        <f t="shared" si="180"/>
        <v>0</v>
      </c>
    </row>
    <row r="1381" spans="1:26" ht="12" hidden="1" thickBot="1">
      <c r="A1381" s="588" t="s">
        <v>1465</v>
      </c>
      <c r="B1381" s="522" t="s">
        <v>335</v>
      </c>
      <c r="C1381" s="522" t="s">
        <v>1000</v>
      </c>
      <c r="D1381" s="533" t="s">
        <v>1036</v>
      </c>
      <c r="E1381" s="960"/>
      <c r="F1381" s="962"/>
      <c r="G1381" s="961"/>
      <c r="H1381" s="962"/>
      <c r="I1381" s="962"/>
      <c r="J1381" s="962"/>
      <c r="K1381" s="962"/>
      <c r="L1381" s="962"/>
      <c r="M1381" s="961"/>
      <c r="N1381" s="961"/>
      <c r="O1381" s="962"/>
      <c r="P1381" s="962"/>
      <c r="Q1381" s="961"/>
      <c r="R1381" s="961"/>
      <c r="S1381" s="527">
        <f t="shared" si="175"/>
        <v>0</v>
      </c>
      <c r="T1381" s="528">
        <f t="shared" si="176"/>
        <v>0</v>
      </c>
      <c r="U1381" s="527">
        <f t="shared" si="177"/>
        <v>0</v>
      </c>
      <c r="W1381" s="326">
        <f t="shared" si="179"/>
        <v>0</v>
      </c>
      <c r="X1381" s="261">
        <f t="shared" si="178"/>
        <v>0</v>
      </c>
      <c r="Z1381" s="1016">
        <f t="shared" si="180"/>
        <v>0</v>
      </c>
    </row>
    <row r="1382" spans="1:26" ht="12" hidden="1" thickBot="1">
      <c r="A1382" s="588" t="s">
        <v>1465</v>
      </c>
      <c r="B1382" s="522" t="s">
        <v>372</v>
      </c>
      <c r="C1382" s="522" t="s">
        <v>1001</v>
      </c>
      <c r="D1382" s="533" t="s">
        <v>1036</v>
      </c>
      <c r="E1382" s="960"/>
      <c r="F1382" s="962"/>
      <c r="G1382" s="961"/>
      <c r="H1382" s="962"/>
      <c r="I1382" s="962"/>
      <c r="J1382" s="962"/>
      <c r="K1382" s="962"/>
      <c r="L1382" s="962"/>
      <c r="M1382" s="961"/>
      <c r="N1382" s="961"/>
      <c r="O1382" s="962"/>
      <c r="P1382" s="962"/>
      <c r="Q1382" s="961"/>
      <c r="R1382" s="961"/>
      <c r="S1382" s="527">
        <f t="shared" si="175"/>
        <v>0</v>
      </c>
      <c r="T1382" s="528">
        <f t="shared" si="176"/>
        <v>0</v>
      </c>
      <c r="U1382" s="527">
        <f t="shared" si="177"/>
        <v>0</v>
      </c>
      <c r="W1382" s="326">
        <f t="shared" si="179"/>
        <v>0</v>
      </c>
      <c r="X1382" s="261">
        <f t="shared" si="178"/>
        <v>0</v>
      </c>
      <c r="Z1382" s="1016">
        <f t="shared" si="180"/>
        <v>0</v>
      </c>
    </row>
    <row r="1383" spans="1:26" ht="12" hidden="1" thickBot="1">
      <c r="A1383" s="588" t="s">
        <v>1465</v>
      </c>
      <c r="B1383" s="522" t="s">
        <v>381</v>
      </c>
      <c r="C1383" s="522" t="s">
        <v>1002</v>
      </c>
      <c r="D1383" s="533" t="s">
        <v>1035</v>
      </c>
      <c r="E1383" s="960"/>
      <c r="F1383" s="962"/>
      <c r="G1383" s="961"/>
      <c r="H1383" s="962"/>
      <c r="I1383" s="962"/>
      <c r="J1383" s="962"/>
      <c r="K1383" s="962"/>
      <c r="L1383" s="962"/>
      <c r="M1383" s="961"/>
      <c r="N1383" s="961"/>
      <c r="O1383" s="962"/>
      <c r="P1383" s="962"/>
      <c r="Q1383" s="961"/>
      <c r="R1383" s="961"/>
      <c r="S1383" s="527">
        <f t="shared" si="175"/>
        <v>0</v>
      </c>
      <c r="T1383" s="528">
        <f t="shared" si="176"/>
        <v>0</v>
      </c>
      <c r="U1383" s="527">
        <f t="shared" si="177"/>
        <v>0</v>
      </c>
      <c r="W1383" s="326">
        <f t="shared" si="179"/>
        <v>0</v>
      </c>
      <c r="X1383" s="261">
        <f t="shared" si="178"/>
        <v>0</v>
      </c>
      <c r="Z1383" s="1016">
        <f t="shared" si="180"/>
        <v>0</v>
      </c>
    </row>
    <row r="1384" spans="1:26" ht="12" hidden="1" thickBot="1">
      <c r="A1384" s="588" t="s">
        <v>1465</v>
      </c>
      <c r="B1384" s="522" t="s">
        <v>404</v>
      </c>
      <c r="C1384" s="522" t="s">
        <v>1003</v>
      </c>
      <c r="D1384" s="533" t="s">
        <v>1035</v>
      </c>
      <c r="E1384" s="960"/>
      <c r="F1384" s="962"/>
      <c r="G1384" s="961"/>
      <c r="H1384" s="962"/>
      <c r="I1384" s="962"/>
      <c r="J1384" s="962"/>
      <c r="K1384" s="962"/>
      <c r="L1384" s="962"/>
      <c r="M1384" s="961"/>
      <c r="N1384" s="961"/>
      <c r="O1384" s="962"/>
      <c r="P1384" s="962"/>
      <c r="Q1384" s="961"/>
      <c r="R1384" s="961"/>
      <c r="S1384" s="527">
        <f t="shared" si="175"/>
        <v>0</v>
      </c>
      <c r="T1384" s="528">
        <f t="shared" si="176"/>
        <v>0</v>
      </c>
      <c r="U1384" s="527">
        <f t="shared" si="177"/>
        <v>0</v>
      </c>
      <c r="W1384" s="326">
        <f t="shared" si="179"/>
        <v>0</v>
      </c>
      <c r="X1384" s="261">
        <f t="shared" si="178"/>
        <v>0</v>
      </c>
      <c r="Z1384" s="1016">
        <f t="shared" si="180"/>
        <v>0</v>
      </c>
    </row>
    <row r="1385" spans="1:26" ht="12" hidden="1" thickBot="1">
      <c r="A1385" s="588" t="s">
        <v>1465</v>
      </c>
      <c r="B1385" s="522" t="s">
        <v>361</v>
      </c>
      <c r="C1385" s="522" t="s">
        <v>1004</v>
      </c>
      <c r="D1385" s="533" t="s">
        <v>1035</v>
      </c>
      <c r="E1385" s="960"/>
      <c r="F1385" s="962"/>
      <c r="G1385" s="961"/>
      <c r="H1385" s="962"/>
      <c r="I1385" s="962"/>
      <c r="J1385" s="962"/>
      <c r="K1385" s="962"/>
      <c r="L1385" s="962"/>
      <c r="M1385" s="961"/>
      <c r="N1385" s="961"/>
      <c r="O1385" s="962"/>
      <c r="P1385" s="962"/>
      <c r="Q1385" s="961"/>
      <c r="R1385" s="961"/>
      <c r="S1385" s="527">
        <f t="shared" ref="S1385:S1448" si="181">G1385+H1385+I1385</f>
        <v>0</v>
      </c>
      <c r="T1385" s="528">
        <f t="shared" ref="T1385:T1448" si="182">J1385+K1385</f>
        <v>0</v>
      </c>
      <c r="U1385" s="527">
        <f t="shared" ref="U1385:U1448" si="183">N1385+O1385</f>
        <v>0</v>
      </c>
      <c r="W1385" s="326">
        <f t="shared" si="179"/>
        <v>0</v>
      </c>
      <c r="X1385" s="261">
        <f t="shared" ref="X1385:X1448" si="184">W1385-R1385</f>
        <v>0</v>
      </c>
      <c r="Z1385" s="1016">
        <f t="shared" si="180"/>
        <v>0</v>
      </c>
    </row>
    <row r="1386" spans="1:26" ht="12" hidden="1" thickBot="1">
      <c r="A1386" s="588" t="s">
        <v>1465</v>
      </c>
      <c r="B1386" s="522" t="s">
        <v>393</v>
      </c>
      <c r="C1386" s="522" t="s">
        <v>1005</v>
      </c>
      <c r="D1386" s="533" t="s">
        <v>1035</v>
      </c>
      <c r="E1386" s="960"/>
      <c r="F1386" s="962"/>
      <c r="G1386" s="961"/>
      <c r="H1386" s="962"/>
      <c r="I1386" s="962"/>
      <c r="J1386" s="962"/>
      <c r="K1386" s="962"/>
      <c r="L1386" s="962"/>
      <c r="M1386" s="961"/>
      <c r="N1386" s="961"/>
      <c r="O1386" s="962"/>
      <c r="P1386" s="962"/>
      <c r="Q1386" s="961"/>
      <c r="R1386" s="961"/>
      <c r="S1386" s="527">
        <f t="shared" si="181"/>
        <v>0</v>
      </c>
      <c r="T1386" s="528">
        <f t="shared" si="182"/>
        <v>0</v>
      </c>
      <c r="U1386" s="527">
        <f t="shared" si="183"/>
        <v>0</v>
      </c>
      <c r="W1386" s="326">
        <f t="shared" si="179"/>
        <v>0</v>
      </c>
      <c r="X1386" s="261">
        <f t="shared" si="184"/>
        <v>0</v>
      </c>
      <c r="Z1386" s="1016">
        <f t="shared" si="180"/>
        <v>0</v>
      </c>
    </row>
    <row r="1387" spans="1:26" ht="12" hidden="1" thickBot="1">
      <c r="A1387" s="588" t="s">
        <v>1465</v>
      </c>
      <c r="B1387" s="522" t="s">
        <v>1356</v>
      </c>
      <c r="C1387" s="522" t="s">
        <v>1357</v>
      </c>
      <c r="D1387" s="533" t="s">
        <v>756</v>
      </c>
      <c r="E1387" s="960"/>
      <c r="F1387" s="962"/>
      <c r="G1387" s="962"/>
      <c r="H1387" s="962"/>
      <c r="I1387" s="962"/>
      <c r="J1387" s="962"/>
      <c r="K1387" s="962"/>
      <c r="L1387" s="962"/>
      <c r="M1387" s="962"/>
      <c r="N1387" s="962"/>
      <c r="O1387" s="962"/>
      <c r="P1387" s="962"/>
      <c r="Q1387" s="962"/>
      <c r="R1387" s="962"/>
      <c r="S1387" s="527">
        <f t="shared" si="181"/>
        <v>0</v>
      </c>
      <c r="T1387" s="528">
        <f t="shared" si="182"/>
        <v>0</v>
      </c>
      <c r="U1387" s="527">
        <f t="shared" si="183"/>
        <v>0</v>
      </c>
      <c r="W1387" s="326">
        <f t="shared" si="179"/>
        <v>0</v>
      </c>
      <c r="X1387" s="261">
        <f t="shared" si="184"/>
        <v>0</v>
      </c>
      <c r="Z1387" s="1016">
        <f t="shared" si="180"/>
        <v>0</v>
      </c>
    </row>
    <row r="1388" spans="1:26" ht="12" hidden="1" thickBot="1">
      <c r="A1388" s="588" t="s">
        <v>1465</v>
      </c>
      <c r="B1388" s="522" t="s">
        <v>379</v>
      </c>
      <c r="C1388" s="522" t="s">
        <v>1006</v>
      </c>
      <c r="D1388" s="533" t="s">
        <v>1036</v>
      </c>
      <c r="E1388" s="960"/>
      <c r="F1388" s="962"/>
      <c r="G1388" s="961"/>
      <c r="H1388" s="962"/>
      <c r="I1388" s="962"/>
      <c r="J1388" s="962"/>
      <c r="K1388" s="962"/>
      <c r="L1388" s="962"/>
      <c r="M1388" s="961"/>
      <c r="N1388" s="961"/>
      <c r="O1388" s="962"/>
      <c r="P1388" s="962"/>
      <c r="Q1388" s="961"/>
      <c r="R1388" s="961"/>
      <c r="S1388" s="527">
        <f t="shared" si="181"/>
        <v>0</v>
      </c>
      <c r="T1388" s="528">
        <f t="shared" si="182"/>
        <v>0</v>
      </c>
      <c r="U1388" s="527">
        <f t="shared" si="183"/>
        <v>0</v>
      </c>
      <c r="W1388" s="326">
        <f t="shared" si="179"/>
        <v>0</v>
      </c>
      <c r="X1388" s="261">
        <f t="shared" si="184"/>
        <v>0</v>
      </c>
      <c r="Z1388" s="1016">
        <f t="shared" si="180"/>
        <v>0</v>
      </c>
    </row>
    <row r="1389" spans="1:26" ht="12" hidden="1" thickBot="1">
      <c r="A1389" s="588" t="s">
        <v>1465</v>
      </c>
      <c r="B1389" s="522" t="s">
        <v>389</v>
      </c>
      <c r="C1389" s="522" t="s">
        <v>1007</v>
      </c>
      <c r="D1389" s="533" t="s">
        <v>1035</v>
      </c>
      <c r="E1389" s="960"/>
      <c r="F1389" s="962"/>
      <c r="G1389" s="961"/>
      <c r="H1389" s="962"/>
      <c r="I1389" s="962"/>
      <c r="J1389" s="962"/>
      <c r="K1389" s="962"/>
      <c r="L1389" s="962"/>
      <c r="M1389" s="961"/>
      <c r="N1389" s="961"/>
      <c r="O1389" s="962"/>
      <c r="P1389" s="962"/>
      <c r="Q1389" s="961"/>
      <c r="R1389" s="961"/>
      <c r="S1389" s="527">
        <f t="shared" si="181"/>
        <v>0</v>
      </c>
      <c r="T1389" s="528">
        <f t="shared" si="182"/>
        <v>0</v>
      </c>
      <c r="U1389" s="527">
        <f t="shared" si="183"/>
        <v>0</v>
      </c>
      <c r="W1389" s="326">
        <f t="shared" si="179"/>
        <v>0</v>
      </c>
      <c r="X1389" s="261">
        <f t="shared" si="184"/>
        <v>0</v>
      </c>
      <c r="Z1389" s="1016">
        <f t="shared" si="180"/>
        <v>0</v>
      </c>
    </row>
    <row r="1390" spans="1:26" ht="12" hidden="1" thickBot="1">
      <c r="A1390" s="588" t="s">
        <v>1465</v>
      </c>
      <c r="B1390" s="522" t="s">
        <v>412</v>
      </c>
      <c r="C1390" s="522" t="s">
        <v>1008</v>
      </c>
      <c r="D1390" s="533" t="s">
        <v>1035</v>
      </c>
      <c r="E1390" s="960"/>
      <c r="F1390" s="962"/>
      <c r="G1390" s="961"/>
      <c r="H1390" s="962"/>
      <c r="I1390" s="962"/>
      <c r="J1390" s="962"/>
      <c r="K1390" s="962"/>
      <c r="L1390" s="962"/>
      <c r="M1390" s="961"/>
      <c r="N1390" s="961"/>
      <c r="O1390" s="962"/>
      <c r="P1390" s="962"/>
      <c r="Q1390" s="961"/>
      <c r="R1390" s="961"/>
      <c r="S1390" s="527">
        <f t="shared" si="181"/>
        <v>0</v>
      </c>
      <c r="T1390" s="528">
        <f t="shared" si="182"/>
        <v>0</v>
      </c>
      <c r="U1390" s="527">
        <f t="shared" si="183"/>
        <v>0</v>
      </c>
      <c r="W1390" s="326">
        <f t="shared" si="179"/>
        <v>0</v>
      </c>
      <c r="X1390" s="261">
        <f t="shared" si="184"/>
        <v>0</v>
      </c>
      <c r="Z1390" s="1016">
        <f t="shared" si="180"/>
        <v>0</v>
      </c>
    </row>
    <row r="1391" spans="1:26" ht="12" hidden="1" thickBot="1">
      <c r="A1391" s="588" t="s">
        <v>1465</v>
      </c>
      <c r="B1391" s="522" t="s">
        <v>367</v>
      </c>
      <c r="C1391" s="522" t="s">
        <v>1009</v>
      </c>
      <c r="D1391" s="533" t="s">
        <v>1036</v>
      </c>
      <c r="E1391" s="960"/>
      <c r="F1391" s="962"/>
      <c r="G1391" s="961"/>
      <c r="H1391" s="962"/>
      <c r="I1391" s="962"/>
      <c r="J1391" s="962"/>
      <c r="K1391" s="962"/>
      <c r="L1391" s="962"/>
      <c r="M1391" s="961"/>
      <c r="N1391" s="961"/>
      <c r="O1391" s="962"/>
      <c r="P1391" s="962"/>
      <c r="Q1391" s="961"/>
      <c r="R1391" s="961"/>
      <c r="S1391" s="527">
        <f t="shared" si="181"/>
        <v>0</v>
      </c>
      <c r="T1391" s="528">
        <f t="shared" si="182"/>
        <v>0</v>
      </c>
      <c r="U1391" s="527">
        <f t="shared" si="183"/>
        <v>0</v>
      </c>
      <c r="W1391" s="326">
        <f t="shared" si="179"/>
        <v>0</v>
      </c>
      <c r="X1391" s="261">
        <f t="shared" si="184"/>
        <v>0</v>
      </c>
      <c r="Z1391" s="1016">
        <f t="shared" si="180"/>
        <v>0</v>
      </c>
    </row>
    <row r="1392" spans="1:26" ht="12" hidden="1" thickBot="1">
      <c r="A1392" s="588" t="s">
        <v>1465</v>
      </c>
      <c r="B1392" s="522" t="s">
        <v>330</v>
      </c>
      <c r="C1392" s="522" t="s">
        <v>1010</v>
      </c>
      <c r="D1392" s="533" t="s">
        <v>1036</v>
      </c>
      <c r="E1392" s="960"/>
      <c r="F1392" s="962"/>
      <c r="G1392" s="961"/>
      <c r="H1392" s="962"/>
      <c r="I1392" s="962"/>
      <c r="J1392" s="962"/>
      <c r="K1392" s="962"/>
      <c r="L1392" s="962"/>
      <c r="M1392" s="961"/>
      <c r="N1392" s="961"/>
      <c r="O1392" s="962"/>
      <c r="P1392" s="962"/>
      <c r="Q1392" s="961"/>
      <c r="R1392" s="961"/>
      <c r="S1392" s="527">
        <f t="shared" si="181"/>
        <v>0</v>
      </c>
      <c r="T1392" s="528">
        <f t="shared" si="182"/>
        <v>0</v>
      </c>
      <c r="U1392" s="527">
        <f t="shared" si="183"/>
        <v>0</v>
      </c>
      <c r="W1392" s="326">
        <f t="shared" si="179"/>
        <v>0</v>
      </c>
      <c r="X1392" s="261">
        <f t="shared" si="184"/>
        <v>0</v>
      </c>
      <c r="Z1392" s="1016">
        <f t="shared" si="180"/>
        <v>0</v>
      </c>
    </row>
    <row r="1393" spans="1:26" ht="12" hidden="1" thickBot="1">
      <c r="A1393" s="588" t="s">
        <v>1465</v>
      </c>
      <c r="B1393" s="522" t="s">
        <v>371</v>
      </c>
      <c r="C1393" s="522" t="s">
        <v>1011</v>
      </c>
      <c r="D1393" s="533" t="s">
        <v>1036</v>
      </c>
      <c r="E1393" s="960"/>
      <c r="F1393" s="962"/>
      <c r="G1393" s="961"/>
      <c r="H1393" s="962"/>
      <c r="I1393" s="962"/>
      <c r="J1393" s="962"/>
      <c r="K1393" s="962"/>
      <c r="L1393" s="962"/>
      <c r="M1393" s="961"/>
      <c r="N1393" s="961"/>
      <c r="O1393" s="962"/>
      <c r="P1393" s="962"/>
      <c r="Q1393" s="961"/>
      <c r="R1393" s="961"/>
      <c r="S1393" s="527">
        <f t="shared" si="181"/>
        <v>0</v>
      </c>
      <c r="T1393" s="528">
        <f t="shared" si="182"/>
        <v>0</v>
      </c>
      <c r="U1393" s="527">
        <f t="shared" si="183"/>
        <v>0</v>
      </c>
      <c r="W1393" s="326">
        <f t="shared" si="179"/>
        <v>0</v>
      </c>
      <c r="X1393" s="261">
        <f t="shared" si="184"/>
        <v>0</v>
      </c>
      <c r="Z1393" s="1016">
        <f t="shared" si="180"/>
        <v>0</v>
      </c>
    </row>
    <row r="1394" spans="1:26" ht="12" hidden="1" thickBot="1">
      <c r="A1394" s="588" t="s">
        <v>1465</v>
      </c>
      <c r="B1394" s="522" t="s">
        <v>380</v>
      </c>
      <c r="C1394" s="522" t="s">
        <v>1012</v>
      </c>
      <c r="D1394" s="533" t="s">
        <v>1035</v>
      </c>
      <c r="E1394" s="960"/>
      <c r="F1394" s="962"/>
      <c r="G1394" s="961"/>
      <c r="H1394" s="962"/>
      <c r="I1394" s="962"/>
      <c r="J1394" s="962"/>
      <c r="K1394" s="962"/>
      <c r="L1394" s="962"/>
      <c r="M1394" s="961"/>
      <c r="N1394" s="961"/>
      <c r="O1394" s="962"/>
      <c r="P1394" s="962"/>
      <c r="Q1394" s="961"/>
      <c r="R1394" s="961"/>
      <c r="S1394" s="527">
        <f t="shared" si="181"/>
        <v>0</v>
      </c>
      <c r="T1394" s="528">
        <f t="shared" si="182"/>
        <v>0</v>
      </c>
      <c r="U1394" s="527">
        <f t="shared" si="183"/>
        <v>0</v>
      </c>
      <c r="W1394" s="326">
        <f t="shared" si="179"/>
        <v>0</v>
      </c>
      <c r="X1394" s="261">
        <f t="shared" si="184"/>
        <v>0</v>
      </c>
      <c r="Z1394" s="1016">
        <f t="shared" si="180"/>
        <v>0</v>
      </c>
    </row>
    <row r="1395" spans="1:26" ht="12" hidden="1" thickBot="1">
      <c r="A1395" s="588" t="s">
        <v>1465</v>
      </c>
      <c r="B1395" s="522" t="s">
        <v>403</v>
      </c>
      <c r="C1395" s="522" t="s">
        <v>1013</v>
      </c>
      <c r="D1395" s="533" t="s">
        <v>1035</v>
      </c>
      <c r="E1395" s="960"/>
      <c r="F1395" s="962"/>
      <c r="G1395" s="961"/>
      <c r="H1395" s="962"/>
      <c r="I1395" s="962"/>
      <c r="J1395" s="962"/>
      <c r="K1395" s="962"/>
      <c r="L1395" s="962"/>
      <c r="M1395" s="961"/>
      <c r="N1395" s="961"/>
      <c r="O1395" s="962"/>
      <c r="P1395" s="962"/>
      <c r="Q1395" s="961"/>
      <c r="R1395" s="961"/>
      <c r="S1395" s="527">
        <f t="shared" si="181"/>
        <v>0</v>
      </c>
      <c r="T1395" s="528">
        <f t="shared" si="182"/>
        <v>0</v>
      </c>
      <c r="U1395" s="527">
        <f t="shared" si="183"/>
        <v>0</v>
      </c>
      <c r="W1395" s="326">
        <f t="shared" si="179"/>
        <v>0</v>
      </c>
      <c r="X1395" s="261">
        <f t="shared" si="184"/>
        <v>0</v>
      </c>
      <c r="Z1395" s="1016">
        <f t="shared" si="180"/>
        <v>0</v>
      </c>
    </row>
    <row r="1396" spans="1:26" ht="12" hidden="1" thickBot="1">
      <c r="A1396" s="588" t="s">
        <v>1465</v>
      </c>
      <c r="B1396" s="522" t="s">
        <v>360</v>
      </c>
      <c r="C1396" s="522" t="s">
        <v>1014</v>
      </c>
      <c r="D1396" s="533" t="s">
        <v>1035</v>
      </c>
      <c r="E1396" s="960"/>
      <c r="F1396" s="962"/>
      <c r="G1396" s="961"/>
      <c r="H1396" s="962"/>
      <c r="I1396" s="962"/>
      <c r="J1396" s="962"/>
      <c r="K1396" s="962"/>
      <c r="L1396" s="962"/>
      <c r="M1396" s="961"/>
      <c r="N1396" s="961"/>
      <c r="O1396" s="962"/>
      <c r="P1396" s="962"/>
      <c r="Q1396" s="961"/>
      <c r="R1396" s="961"/>
      <c r="S1396" s="527">
        <f t="shared" si="181"/>
        <v>0</v>
      </c>
      <c r="T1396" s="528">
        <f t="shared" si="182"/>
        <v>0</v>
      </c>
      <c r="U1396" s="527">
        <f t="shared" si="183"/>
        <v>0</v>
      </c>
      <c r="W1396" s="326">
        <f t="shared" si="179"/>
        <v>0</v>
      </c>
      <c r="X1396" s="261">
        <f t="shared" si="184"/>
        <v>0</v>
      </c>
      <c r="Z1396" s="1016">
        <f t="shared" si="180"/>
        <v>0</v>
      </c>
    </row>
    <row r="1397" spans="1:26" ht="12" hidden="1" thickBot="1">
      <c r="A1397" s="588" t="s">
        <v>1465</v>
      </c>
      <c r="B1397" s="522" t="s">
        <v>392</v>
      </c>
      <c r="C1397" s="522" t="s">
        <v>1015</v>
      </c>
      <c r="D1397" s="533" t="s">
        <v>1035</v>
      </c>
      <c r="E1397" s="960"/>
      <c r="F1397" s="962"/>
      <c r="G1397" s="961"/>
      <c r="H1397" s="962"/>
      <c r="I1397" s="962"/>
      <c r="J1397" s="962"/>
      <c r="K1397" s="962"/>
      <c r="L1397" s="962"/>
      <c r="M1397" s="961"/>
      <c r="N1397" s="961"/>
      <c r="O1397" s="962"/>
      <c r="P1397" s="962"/>
      <c r="Q1397" s="961"/>
      <c r="R1397" s="961"/>
      <c r="S1397" s="527">
        <f t="shared" si="181"/>
        <v>0</v>
      </c>
      <c r="T1397" s="528">
        <f t="shared" si="182"/>
        <v>0</v>
      </c>
      <c r="U1397" s="527">
        <f t="shared" si="183"/>
        <v>0</v>
      </c>
      <c r="W1397" s="326">
        <f t="shared" si="179"/>
        <v>0</v>
      </c>
      <c r="X1397" s="261">
        <f t="shared" si="184"/>
        <v>0</v>
      </c>
      <c r="Z1397" s="1016">
        <f t="shared" si="180"/>
        <v>0</v>
      </c>
    </row>
    <row r="1398" spans="1:26" ht="12" hidden="1" thickBot="1">
      <c r="A1398" s="588" t="s">
        <v>1465</v>
      </c>
      <c r="B1398" s="522" t="s">
        <v>390</v>
      </c>
      <c r="C1398" s="522" t="s">
        <v>1016</v>
      </c>
      <c r="D1398" s="533" t="s">
        <v>1035</v>
      </c>
      <c r="E1398" s="960"/>
      <c r="F1398" s="962"/>
      <c r="G1398" s="961"/>
      <c r="H1398" s="962"/>
      <c r="I1398" s="962"/>
      <c r="J1398" s="962"/>
      <c r="K1398" s="962"/>
      <c r="L1398" s="962"/>
      <c r="M1398" s="961"/>
      <c r="N1398" s="961"/>
      <c r="O1398" s="962"/>
      <c r="P1398" s="962"/>
      <c r="Q1398" s="961"/>
      <c r="R1398" s="961"/>
      <c r="S1398" s="527">
        <f t="shared" si="181"/>
        <v>0</v>
      </c>
      <c r="T1398" s="528">
        <f t="shared" si="182"/>
        <v>0</v>
      </c>
      <c r="U1398" s="527">
        <f t="shared" si="183"/>
        <v>0</v>
      </c>
      <c r="W1398" s="326">
        <f t="shared" si="179"/>
        <v>0</v>
      </c>
      <c r="X1398" s="261">
        <f t="shared" si="184"/>
        <v>0</v>
      </c>
      <c r="Z1398" s="1016">
        <f t="shared" si="180"/>
        <v>0</v>
      </c>
    </row>
    <row r="1399" spans="1:26" ht="12" hidden="1" thickBot="1">
      <c r="A1399" s="588" t="s">
        <v>1465</v>
      </c>
      <c r="B1399" s="522" t="s">
        <v>414</v>
      </c>
      <c r="C1399" s="522" t="s">
        <v>1017</v>
      </c>
      <c r="D1399" s="533" t="s">
        <v>1035</v>
      </c>
      <c r="E1399" s="960"/>
      <c r="F1399" s="962"/>
      <c r="G1399" s="961"/>
      <c r="H1399" s="962"/>
      <c r="I1399" s="962"/>
      <c r="J1399" s="962"/>
      <c r="K1399" s="962"/>
      <c r="L1399" s="962"/>
      <c r="M1399" s="961"/>
      <c r="N1399" s="961"/>
      <c r="O1399" s="962"/>
      <c r="P1399" s="962"/>
      <c r="Q1399" s="961"/>
      <c r="R1399" s="961"/>
      <c r="S1399" s="527">
        <f t="shared" si="181"/>
        <v>0</v>
      </c>
      <c r="T1399" s="528">
        <f t="shared" si="182"/>
        <v>0</v>
      </c>
      <c r="U1399" s="527">
        <f t="shared" si="183"/>
        <v>0</v>
      </c>
      <c r="W1399" s="326">
        <f t="shared" si="179"/>
        <v>0</v>
      </c>
      <c r="X1399" s="261">
        <f t="shared" si="184"/>
        <v>0</v>
      </c>
      <c r="Z1399" s="1016">
        <f t="shared" si="180"/>
        <v>0</v>
      </c>
    </row>
    <row r="1400" spans="1:26" ht="12" hidden="1" thickBot="1">
      <c r="A1400" s="588" t="s">
        <v>1465</v>
      </c>
      <c r="B1400" s="522" t="s">
        <v>364</v>
      </c>
      <c r="C1400" s="522" t="s">
        <v>1018</v>
      </c>
      <c r="D1400" s="533" t="s">
        <v>1035</v>
      </c>
      <c r="E1400" s="960"/>
      <c r="F1400" s="962"/>
      <c r="G1400" s="961"/>
      <c r="H1400" s="962"/>
      <c r="I1400" s="962"/>
      <c r="J1400" s="962"/>
      <c r="K1400" s="962"/>
      <c r="L1400" s="962"/>
      <c r="M1400" s="961"/>
      <c r="N1400" s="961"/>
      <c r="O1400" s="962"/>
      <c r="P1400" s="962"/>
      <c r="Q1400" s="961"/>
      <c r="R1400" s="961"/>
      <c r="S1400" s="527">
        <f t="shared" si="181"/>
        <v>0</v>
      </c>
      <c r="T1400" s="528">
        <f t="shared" si="182"/>
        <v>0</v>
      </c>
      <c r="U1400" s="527">
        <f t="shared" si="183"/>
        <v>0</v>
      </c>
      <c r="W1400" s="326">
        <f t="shared" si="179"/>
        <v>0</v>
      </c>
      <c r="X1400" s="261">
        <f t="shared" si="184"/>
        <v>0</v>
      </c>
      <c r="Z1400" s="1016">
        <f t="shared" si="180"/>
        <v>0</v>
      </c>
    </row>
    <row r="1401" spans="1:26" ht="12" hidden="1" thickBot="1">
      <c r="A1401" s="588" t="s">
        <v>1465</v>
      </c>
      <c r="B1401" s="522" t="s">
        <v>396</v>
      </c>
      <c r="C1401" s="522" t="s">
        <v>1019</v>
      </c>
      <c r="D1401" s="533" t="s">
        <v>1035</v>
      </c>
      <c r="E1401" s="960"/>
      <c r="F1401" s="962"/>
      <c r="G1401" s="961"/>
      <c r="H1401" s="962"/>
      <c r="I1401" s="962"/>
      <c r="J1401" s="962"/>
      <c r="K1401" s="962"/>
      <c r="L1401" s="962"/>
      <c r="M1401" s="961"/>
      <c r="N1401" s="961"/>
      <c r="O1401" s="962"/>
      <c r="P1401" s="962"/>
      <c r="Q1401" s="961"/>
      <c r="R1401" s="961"/>
      <c r="S1401" s="527">
        <f t="shared" si="181"/>
        <v>0</v>
      </c>
      <c r="T1401" s="528">
        <f t="shared" si="182"/>
        <v>0</v>
      </c>
      <c r="U1401" s="527">
        <f t="shared" si="183"/>
        <v>0</v>
      </c>
      <c r="W1401" s="326">
        <f t="shared" ref="W1401:W1464" si="185">SUM(F1401:Q1401)</f>
        <v>0</v>
      </c>
      <c r="X1401" s="261">
        <f t="shared" si="184"/>
        <v>0</v>
      </c>
      <c r="Z1401" s="1016">
        <f t="shared" si="180"/>
        <v>0</v>
      </c>
    </row>
    <row r="1402" spans="1:26" ht="12" hidden="1" thickBot="1">
      <c r="A1402" s="588" t="s">
        <v>1465</v>
      </c>
      <c r="B1402" s="522" t="s">
        <v>415</v>
      </c>
      <c r="C1402" s="522" t="s">
        <v>1020</v>
      </c>
      <c r="D1402" s="533" t="s">
        <v>1035</v>
      </c>
      <c r="E1402" s="960"/>
      <c r="F1402" s="962"/>
      <c r="G1402" s="961"/>
      <c r="H1402" s="962"/>
      <c r="I1402" s="962"/>
      <c r="J1402" s="962"/>
      <c r="K1402" s="962"/>
      <c r="L1402" s="962"/>
      <c r="M1402" s="961"/>
      <c r="N1402" s="961"/>
      <c r="O1402" s="962"/>
      <c r="P1402" s="962"/>
      <c r="Q1402" s="961"/>
      <c r="R1402" s="961"/>
      <c r="S1402" s="527">
        <f t="shared" si="181"/>
        <v>0</v>
      </c>
      <c r="T1402" s="528">
        <f t="shared" si="182"/>
        <v>0</v>
      </c>
      <c r="U1402" s="527">
        <f t="shared" si="183"/>
        <v>0</v>
      </c>
      <c r="W1402" s="326">
        <f t="shared" si="185"/>
        <v>0</v>
      </c>
      <c r="X1402" s="261">
        <f t="shared" si="184"/>
        <v>0</v>
      </c>
      <c r="Z1402" s="1016">
        <f t="shared" si="180"/>
        <v>0</v>
      </c>
    </row>
    <row r="1403" spans="1:26" ht="12" hidden="1" thickBot="1">
      <c r="A1403" s="588" t="s">
        <v>1465</v>
      </c>
      <c r="B1403" s="522" t="s">
        <v>365</v>
      </c>
      <c r="C1403" s="522" t="s">
        <v>1021</v>
      </c>
      <c r="D1403" s="533" t="s">
        <v>1035</v>
      </c>
      <c r="E1403" s="960"/>
      <c r="F1403" s="962"/>
      <c r="G1403" s="961"/>
      <c r="H1403" s="962"/>
      <c r="I1403" s="962"/>
      <c r="J1403" s="962"/>
      <c r="K1403" s="962"/>
      <c r="L1403" s="962"/>
      <c r="M1403" s="961"/>
      <c r="N1403" s="961"/>
      <c r="O1403" s="962"/>
      <c r="P1403" s="962"/>
      <c r="Q1403" s="961"/>
      <c r="R1403" s="961"/>
      <c r="S1403" s="527">
        <f t="shared" si="181"/>
        <v>0</v>
      </c>
      <c r="T1403" s="528">
        <f t="shared" si="182"/>
        <v>0</v>
      </c>
      <c r="U1403" s="527">
        <f t="shared" si="183"/>
        <v>0</v>
      </c>
      <c r="W1403" s="326">
        <f t="shared" si="185"/>
        <v>0</v>
      </c>
      <c r="X1403" s="261">
        <f t="shared" si="184"/>
        <v>0</v>
      </c>
      <c r="Z1403" s="1016">
        <f t="shared" si="180"/>
        <v>0</v>
      </c>
    </row>
    <row r="1404" spans="1:26" ht="12" hidden="1" thickBot="1">
      <c r="A1404" s="588" t="s">
        <v>1465</v>
      </c>
      <c r="B1404" s="522" t="s">
        <v>397</v>
      </c>
      <c r="C1404" s="522" t="s">
        <v>1022</v>
      </c>
      <c r="D1404" s="533" t="s">
        <v>1035</v>
      </c>
      <c r="E1404" s="960"/>
      <c r="F1404" s="962"/>
      <c r="G1404" s="961"/>
      <c r="H1404" s="962"/>
      <c r="I1404" s="962"/>
      <c r="J1404" s="962"/>
      <c r="K1404" s="962"/>
      <c r="L1404" s="962"/>
      <c r="M1404" s="961"/>
      <c r="N1404" s="961"/>
      <c r="O1404" s="962"/>
      <c r="P1404" s="962"/>
      <c r="Q1404" s="961"/>
      <c r="R1404" s="961"/>
      <c r="S1404" s="527">
        <f t="shared" si="181"/>
        <v>0</v>
      </c>
      <c r="T1404" s="528">
        <f t="shared" si="182"/>
        <v>0</v>
      </c>
      <c r="U1404" s="527">
        <f t="shared" si="183"/>
        <v>0</v>
      </c>
      <c r="W1404" s="326">
        <f t="shared" si="185"/>
        <v>0</v>
      </c>
      <c r="X1404" s="261">
        <f t="shared" si="184"/>
        <v>0</v>
      </c>
      <c r="Z1404" s="1016">
        <f t="shared" si="180"/>
        <v>0</v>
      </c>
    </row>
    <row r="1405" spans="1:26" ht="12" hidden="1" thickBot="1">
      <c r="A1405" s="588" t="s">
        <v>1465</v>
      </c>
      <c r="B1405" s="522" t="s">
        <v>337</v>
      </c>
      <c r="C1405" s="522" t="s">
        <v>1023</v>
      </c>
      <c r="D1405" s="533" t="s">
        <v>1035</v>
      </c>
      <c r="E1405" s="960"/>
      <c r="F1405" s="962"/>
      <c r="G1405" s="961"/>
      <c r="H1405" s="962"/>
      <c r="I1405" s="962"/>
      <c r="J1405" s="962"/>
      <c r="K1405" s="962"/>
      <c r="L1405" s="962"/>
      <c r="M1405" s="961"/>
      <c r="N1405" s="961"/>
      <c r="O1405" s="962"/>
      <c r="P1405" s="962"/>
      <c r="Q1405" s="961"/>
      <c r="R1405" s="961"/>
      <c r="S1405" s="527">
        <f t="shared" si="181"/>
        <v>0</v>
      </c>
      <c r="T1405" s="528">
        <f t="shared" si="182"/>
        <v>0</v>
      </c>
      <c r="U1405" s="527">
        <f t="shared" si="183"/>
        <v>0</v>
      </c>
      <c r="W1405" s="326">
        <f t="shared" si="185"/>
        <v>0</v>
      </c>
      <c r="X1405" s="261">
        <f t="shared" si="184"/>
        <v>0</v>
      </c>
      <c r="Z1405" s="1016">
        <f t="shared" si="180"/>
        <v>0</v>
      </c>
    </row>
    <row r="1406" spans="1:26" ht="12" hidden="1" thickBot="1">
      <c r="A1406" s="588" t="s">
        <v>1465</v>
      </c>
      <c r="B1406" s="522" t="s">
        <v>369</v>
      </c>
      <c r="C1406" s="522" t="s">
        <v>1024</v>
      </c>
      <c r="D1406" s="533" t="s">
        <v>1035</v>
      </c>
      <c r="E1406" s="960"/>
      <c r="F1406" s="962"/>
      <c r="G1406" s="961"/>
      <c r="H1406" s="962"/>
      <c r="I1406" s="962"/>
      <c r="J1406" s="962"/>
      <c r="K1406" s="962"/>
      <c r="L1406" s="962"/>
      <c r="M1406" s="961"/>
      <c r="N1406" s="961"/>
      <c r="O1406" s="962"/>
      <c r="P1406" s="962"/>
      <c r="Q1406" s="961"/>
      <c r="R1406" s="961"/>
      <c r="S1406" s="527">
        <f t="shared" si="181"/>
        <v>0</v>
      </c>
      <c r="T1406" s="528">
        <f t="shared" si="182"/>
        <v>0</v>
      </c>
      <c r="U1406" s="527">
        <f t="shared" si="183"/>
        <v>0</v>
      </c>
      <c r="W1406" s="326">
        <f t="shared" si="185"/>
        <v>0</v>
      </c>
      <c r="X1406" s="261">
        <f t="shared" si="184"/>
        <v>0</v>
      </c>
      <c r="Z1406" s="1016">
        <f t="shared" si="180"/>
        <v>0</v>
      </c>
    </row>
    <row r="1407" spans="1:26" ht="12" hidden="1" thickBot="1">
      <c r="A1407" s="588" t="s">
        <v>1465</v>
      </c>
      <c r="B1407" s="522" t="s">
        <v>715</v>
      </c>
      <c r="C1407" s="522" t="s">
        <v>1025</v>
      </c>
      <c r="D1407" s="533" t="s">
        <v>1035</v>
      </c>
      <c r="E1407" s="960"/>
      <c r="F1407" s="962"/>
      <c r="G1407" s="961"/>
      <c r="H1407" s="962"/>
      <c r="I1407" s="962"/>
      <c r="J1407" s="962"/>
      <c r="K1407" s="962"/>
      <c r="L1407" s="962"/>
      <c r="M1407" s="961"/>
      <c r="N1407" s="961"/>
      <c r="O1407" s="962"/>
      <c r="P1407" s="962"/>
      <c r="Q1407" s="962"/>
      <c r="R1407" s="961"/>
      <c r="S1407" s="527">
        <f t="shared" si="181"/>
        <v>0</v>
      </c>
      <c r="T1407" s="528">
        <f t="shared" si="182"/>
        <v>0</v>
      </c>
      <c r="U1407" s="527">
        <f t="shared" si="183"/>
        <v>0</v>
      </c>
      <c r="W1407" s="326">
        <f t="shared" si="185"/>
        <v>0</v>
      </c>
      <c r="X1407" s="261">
        <f t="shared" si="184"/>
        <v>0</v>
      </c>
      <c r="Z1407" s="1016">
        <f t="shared" si="180"/>
        <v>0</v>
      </c>
    </row>
    <row r="1408" spans="1:26" ht="12" hidden="1" thickBot="1">
      <c r="A1408" s="588" t="s">
        <v>1465</v>
      </c>
      <c r="B1408" s="522" t="s">
        <v>332</v>
      </c>
      <c r="C1408" s="522" t="s">
        <v>1026</v>
      </c>
      <c r="D1408" s="533" t="s">
        <v>1035</v>
      </c>
      <c r="E1408" s="960"/>
      <c r="F1408" s="962"/>
      <c r="G1408" s="961"/>
      <c r="H1408" s="962"/>
      <c r="I1408" s="962"/>
      <c r="J1408" s="962"/>
      <c r="K1408" s="962"/>
      <c r="L1408" s="962"/>
      <c r="M1408" s="961"/>
      <c r="N1408" s="961"/>
      <c r="O1408" s="962"/>
      <c r="P1408" s="962"/>
      <c r="Q1408" s="961"/>
      <c r="R1408" s="961"/>
      <c r="S1408" s="527">
        <f t="shared" si="181"/>
        <v>0</v>
      </c>
      <c r="T1408" s="528">
        <f t="shared" si="182"/>
        <v>0</v>
      </c>
      <c r="U1408" s="527">
        <f t="shared" si="183"/>
        <v>0</v>
      </c>
      <c r="W1408" s="326">
        <f t="shared" si="185"/>
        <v>0</v>
      </c>
      <c r="X1408" s="261">
        <f t="shared" si="184"/>
        <v>0</v>
      </c>
      <c r="Z1408" s="1016">
        <f t="shared" si="180"/>
        <v>0</v>
      </c>
    </row>
    <row r="1409" spans="1:26" ht="12" hidden="1" thickBot="1">
      <c r="A1409" s="588" t="s">
        <v>1465</v>
      </c>
      <c r="B1409" s="522" t="s">
        <v>334</v>
      </c>
      <c r="C1409" s="522" t="s">
        <v>1027</v>
      </c>
      <c r="D1409" s="533" t="s">
        <v>1035</v>
      </c>
      <c r="E1409" s="960"/>
      <c r="F1409" s="962"/>
      <c r="G1409" s="961"/>
      <c r="H1409" s="962"/>
      <c r="I1409" s="962"/>
      <c r="J1409" s="962"/>
      <c r="K1409" s="962"/>
      <c r="L1409" s="962"/>
      <c r="M1409" s="961"/>
      <c r="N1409" s="961"/>
      <c r="O1409" s="962"/>
      <c r="P1409" s="962"/>
      <c r="Q1409" s="961"/>
      <c r="R1409" s="961"/>
      <c r="S1409" s="527">
        <f t="shared" si="181"/>
        <v>0</v>
      </c>
      <c r="T1409" s="528">
        <f t="shared" si="182"/>
        <v>0</v>
      </c>
      <c r="U1409" s="527">
        <f t="shared" si="183"/>
        <v>0</v>
      </c>
      <c r="W1409" s="326">
        <f t="shared" si="185"/>
        <v>0</v>
      </c>
      <c r="X1409" s="261">
        <f t="shared" si="184"/>
        <v>0</v>
      </c>
      <c r="Z1409" s="1016">
        <f t="shared" ref="Z1409:Z1472" si="186">SUM(F1409:K1409)</f>
        <v>0</v>
      </c>
    </row>
    <row r="1410" spans="1:26" ht="12" hidden="1" thickBot="1">
      <c r="A1410" s="588" t="s">
        <v>1465</v>
      </c>
      <c r="B1410" s="522" t="s">
        <v>366</v>
      </c>
      <c r="C1410" s="522" t="s">
        <v>1028</v>
      </c>
      <c r="D1410" s="533" t="s">
        <v>1035</v>
      </c>
      <c r="E1410" s="960"/>
      <c r="F1410" s="962"/>
      <c r="G1410" s="961"/>
      <c r="H1410" s="962"/>
      <c r="I1410" s="962"/>
      <c r="J1410" s="962"/>
      <c r="K1410" s="962"/>
      <c r="L1410" s="962"/>
      <c r="M1410" s="961"/>
      <c r="N1410" s="961"/>
      <c r="O1410" s="962"/>
      <c r="P1410" s="962"/>
      <c r="Q1410" s="961"/>
      <c r="R1410" s="961"/>
      <c r="S1410" s="527">
        <f t="shared" si="181"/>
        <v>0</v>
      </c>
      <c r="T1410" s="528">
        <f t="shared" si="182"/>
        <v>0</v>
      </c>
      <c r="U1410" s="527">
        <f t="shared" si="183"/>
        <v>0</v>
      </c>
      <c r="W1410" s="326">
        <f t="shared" si="185"/>
        <v>0</v>
      </c>
      <c r="X1410" s="261">
        <f t="shared" si="184"/>
        <v>0</v>
      </c>
      <c r="Z1410" s="1016">
        <f t="shared" si="186"/>
        <v>0</v>
      </c>
    </row>
    <row r="1411" spans="1:26" ht="12" hidden="1" thickBot="1">
      <c r="A1411" s="588" t="s">
        <v>1465</v>
      </c>
      <c r="B1411" s="522" t="s">
        <v>329</v>
      </c>
      <c r="C1411" s="522" t="s">
        <v>1029</v>
      </c>
      <c r="D1411" s="533" t="s">
        <v>1035</v>
      </c>
      <c r="E1411" s="960"/>
      <c r="F1411" s="962"/>
      <c r="G1411" s="961"/>
      <c r="H1411" s="962"/>
      <c r="I1411" s="962"/>
      <c r="J1411" s="962"/>
      <c r="K1411" s="962"/>
      <c r="L1411" s="962"/>
      <c r="M1411" s="961"/>
      <c r="N1411" s="961"/>
      <c r="O1411" s="962"/>
      <c r="P1411" s="962"/>
      <c r="Q1411" s="961"/>
      <c r="R1411" s="961"/>
      <c r="S1411" s="527">
        <f t="shared" si="181"/>
        <v>0</v>
      </c>
      <c r="T1411" s="528">
        <f t="shared" si="182"/>
        <v>0</v>
      </c>
      <c r="U1411" s="527">
        <f t="shared" si="183"/>
        <v>0</v>
      </c>
      <c r="W1411" s="326">
        <f t="shared" si="185"/>
        <v>0</v>
      </c>
      <c r="X1411" s="261">
        <f t="shared" si="184"/>
        <v>0</v>
      </c>
      <c r="Z1411" s="1016">
        <f t="shared" si="186"/>
        <v>0</v>
      </c>
    </row>
    <row r="1412" spans="1:26" ht="12" hidden="1" thickBot="1">
      <c r="A1412" s="588" t="s">
        <v>1465</v>
      </c>
      <c r="B1412" s="522" t="s">
        <v>683</v>
      </c>
      <c r="C1412" s="522" t="s">
        <v>1047</v>
      </c>
      <c r="D1412" s="533" t="s">
        <v>1035</v>
      </c>
      <c r="E1412" s="960"/>
      <c r="F1412" s="962"/>
      <c r="G1412" s="961"/>
      <c r="H1412" s="962"/>
      <c r="I1412" s="962"/>
      <c r="J1412" s="962"/>
      <c r="K1412" s="962"/>
      <c r="L1412" s="962"/>
      <c r="M1412" s="961"/>
      <c r="N1412" s="961"/>
      <c r="O1412" s="962"/>
      <c r="P1412" s="962"/>
      <c r="Q1412" s="962"/>
      <c r="R1412" s="961"/>
      <c r="S1412" s="527">
        <f t="shared" si="181"/>
        <v>0</v>
      </c>
      <c r="T1412" s="528">
        <f t="shared" si="182"/>
        <v>0</v>
      </c>
      <c r="U1412" s="527">
        <f t="shared" si="183"/>
        <v>0</v>
      </c>
      <c r="W1412" s="326">
        <f t="shared" si="185"/>
        <v>0</v>
      </c>
      <c r="X1412" s="261">
        <f t="shared" si="184"/>
        <v>0</v>
      </c>
      <c r="Z1412" s="1016">
        <f t="shared" si="186"/>
        <v>0</v>
      </c>
    </row>
    <row r="1413" spans="1:26" ht="12" hidden="1" thickBot="1">
      <c r="A1413" s="588" t="s">
        <v>1465</v>
      </c>
      <c r="B1413" s="522" t="s">
        <v>463</v>
      </c>
      <c r="C1413" s="522" t="s">
        <v>1030</v>
      </c>
      <c r="D1413" s="533" t="s">
        <v>1035</v>
      </c>
      <c r="E1413" s="960"/>
      <c r="F1413" s="962"/>
      <c r="G1413" s="961"/>
      <c r="H1413" s="962"/>
      <c r="I1413" s="962"/>
      <c r="J1413" s="962"/>
      <c r="K1413" s="962"/>
      <c r="L1413" s="962"/>
      <c r="M1413" s="961"/>
      <c r="N1413" s="961"/>
      <c r="O1413" s="962"/>
      <c r="P1413" s="962"/>
      <c r="Q1413" s="962"/>
      <c r="R1413" s="961"/>
      <c r="S1413" s="527">
        <f t="shared" si="181"/>
        <v>0</v>
      </c>
      <c r="T1413" s="528">
        <f t="shared" si="182"/>
        <v>0</v>
      </c>
      <c r="U1413" s="527">
        <f t="shared" si="183"/>
        <v>0</v>
      </c>
      <c r="W1413" s="326">
        <f t="shared" si="185"/>
        <v>0</v>
      </c>
      <c r="X1413" s="261">
        <f t="shared" si="184"/>
        <v>0</v>
      </c>
      <c r="Z1413" s="1016">
        <f t="shared" si="186"/>
        <v>0</v>
      </c>
    </row>
    <row r="1414" spans="1:26" ht="12" hidden="1" thickBot="1">
      <c r="A1414" s="588" t="s">
        <v>1465</v>
      </c>
      <c r="B1414" s="522" t="s">
        <v>653</v>
      </c>
      <c r="C1414" s="522" t="s">
        <v>1031</v>
      </c>
      <c r="D1414" s="533" t="s">
        <v>1035</v>
      </c>
      <c r="E1414" s="960"/>
      <c r="F1414" s="962"/>
      <c r="G1414" s="961"/>
      <c r="H1414" s="962"/>
      <c r="I1414" s="962"/>
      <c r="J1414" s="962"/>
      <c r="K1414" s="962"/>
      <c r="L1414" s="962"/>
      <c r="M1414" s="961"/>
      <c r="N1414" s="961"/>
      <c r="O1414" s="962"/>
      <c r="P1414" s="962"/>
      <c r="Q1414" s="962"/>
      <c r="R1414" s="961"/>
      <c r="S1414" s="527">
        <f t="shared" si="181"/>
        <v>0</v>
      </c>
      <c r="T1414" s="528">
        <f t="shared" si="182"/>
        <v>0</v>
      </c>
      <c r="U1414" s="527">
        <f t="shared" si="183"/>
        <v>0</v>
      </c>
      <c r="W1414" s="326">
        <f t="shared" si="185"/>
        <v>0</v>
      </c>
      <c r="X1414" s="261">
        <f t="shared" si="184"/>
        <v>0</v>
      </c>
      <c r="Z1414" s="1016">
        <f t="shared" si="186"/>
        <v>0</v>
      </c>
    </row>
    <row r="1415" spans="1:26" ht="12" thickBot="1">
      <c r="A1415" s="588" t="s">
        <v>1465</v>
      </c>
      <c r="B1415" s="522" t="s">
        <v>79</v>
      </c>
      <c r="C1415" s="522" t="s">
        <v>444</v>
      </c>
      <c r="D1415" s="522" t="s">
        <v>79</v>
      </c>
      <c r="E1415" s="989">
        <f>10604013-E1307-E1309</f>
        <v>10491976</v>
      </c>
      <c r="F1415" s="989"/>
      <c r="G1415" s="989">
        <f>1787418-G1307-F1309-G1309-1</f>
        <v>1776276.25</v>
      </c>
      <c r="H1415" s="989">
        <v>306668</v>
      </c>
      <c r="I1415" s="989"/>
      <c r="J1415" s="989"/>
      <c r="K1415" s="989"/>
      <c r="L1415" s="989"/>
      <c r="M1415" s="989">
        <f>8160-M1307-M1309</f>
        <v>8074</v>
      </c>
      <c r="N1415" s="989">
        <f>39704-N1307-N1309</f>
        <v>39285</v>
      </c>
      <c r="O1415" s="989"/>
      <c r="P1415" s="989"/>
      <c r="Q1415" s="989"/>
      <c r="R1415" s="961">
        <f>SUM(F1415:Q1415)</f>
        <v>2130303.25</v>
      </c>
      <c r="S1415" s="527">
        <f t="shared" si="181"/>
        <v>2082944.25</v>
      </c>
      <c r="T1415" s="528">
        <f t="shared" si="182"/>
        <v>0</v>
      </c>
      <c r="U1415" s="527">
        <f t="shared" si="183"/>
        <v>39285</v>
      </c>
      <c r="W1415" s="326">
        <f t="shared" si="185"/>
        <v>2130303.25</v>
      </c>
      <c r="X1415" s="261">
        <f t="shared" si="184"/>
        <v>0</v>
      </c>
      <c r="Z1415" s="1016">
        <f t="shared" si="186"/>
        <v>2082944.25</v>
      </c>
    </row>
    <row r="1416" spans="1:26" ht="12" hidden="1" thickBot="1">
      <c r="A1416" s="588" t="s">
        <v>1465</v>
      </c>
      <c r="B1416" s="522" t="s">
        <v>474</v>
      </c>
      <c r="C1416" s="522" t="s">
        <v>473</v>
      </c>
      <c r="D1416" s="522"/>
      <c r="E1416" s="962"/>
      <c r="F1416" s="962"/>
      <c r="G1416" s="962"/>
      <c r="H1416" s="962"/>
      <c r="I1416" s="962"/>
      <c r="J1416" s="962"/>
      <c r="K1416" s="962"/>
      <c r="L1416" s="962"/>
      <c r="M1416" s="962"/>
      <c r="N1416" s="962"/>
      <c r="O1416" s="962"/>
      <c r="P1416" s="962"/>
      <c r="Q1416" s="962"/>
      <c r="R1416" s="961"/>
      <c r="S1416" s="527">
        <f t="shared" si="181"/>
        <v>0</v>
      </c>
      <c r="T1416" s="528">
        <f t="shared" si="182"/>
        <v>0</v>
      </c>
      <c r="U1416" s="527">
        <f t="shared" si="183"/>
        <v>0</v>
      </c>
      <c r="W1416" s="326">
        <f t="shared" si="185"/>
        <v>0</v>
      </c>
      <c r="X1416" s="261">
        <f t="shared" si="184"/>
        <v>0</v>
      </c>
      <c r="Z1416" s="1016">
        <f t="shared" si="186"/>
        <v>0</v>
      </c>
    </row>
    <row r="1417" spans="1:26" ht="12" hidden="1" thickBot="1">
      <c r="A1417" s="588" t="s">
        <v>1465</v>
      </c>
      <c r="B1417" s="522" t="s">
        <v>476</v>
      </c>
      <c r="C1417" s="522" t="s">
        <v>475</v>
      </c>
      <c r="D1417" s="522"/>
      <c r="E1417" s="962"/>
      <c r="F1417" s="962"/>
      <c r="G1417" s="962"/>
      <c r="H1417" s="962"/>
      <c r="I1417" s="962"/>
      <c r="J1417" s="962"/>
      <c r="K1417" s="962"/>
      <c r="L1417" s="962"/>
      <c r="M1417" s="962"/>
      <c r="N1417" s="962"/>
      <c r="O1417" s="962"/>
      <c r="P1417" s="962"/>
      <c r="Q1417" s="962"/>
      <c r="R1417" s="961"/>
      <c r="S1417" s="527">
        <f t="shared" si="181"/>
        <v>0</v>
      </c>
      <c r="T1417" s="528">
        <f t="shared" si="182"/>
        <v>0</v>
      </c>
      <c r="U1417" s="527">
        <f t="shared" si="183"/>
        <v>0</v>
      </c>
      <c r="W1417" s="326">
        <f t="shared" si="185"/>
        <v>0</v>
      </c>
      <c r="X1417" s="261">
        <f t="shared" si="184"/>
        <v>0</v>
      </c>
      <c r="Z1417" s="1016">
        <f t="shared" si="186"/>
        <v>0</v>
      </c>
    </row>
    <row r="1418" spans="1:26" ht="12" hidden="1" thickBot="1">
      <c r="A1418" s="588" t="s">
        <v>1465</v>
      </c>
      <c r="B1418" s="522" t="s">
        <v>443</v>
      </c>
      <c r="C1418" s="522" t="s">
        <v>442</v>
      </c>
      <c r="D1418" s="522"/>
      <c r="E1418" s="962"/>
      <c r="F1418" s="961"/>
      <c r="G1418" s="962"/>
      <c r="H1418" s="962"/>
      <c r="I1418" s="962"/>
      <c r="J1418" s="962"/>
      <c r="K1418" s="962"/>
      <c r="L1418" s="962"/>
      <c r="M1418" s="962"/>
      <c r="N1418" s="962"/>
      <c r="O1418" s="962"/>
      <c r="P1418" s="962"/>
      <c r="Q1418" s="962"/>
      <c r="R1418" s="961"/>
      <c r="S1418" s="527">
        <f t="shared" si="181"/>
        <v>0</v>
      </c>
      <c r="T1418" s="528">
        <f t="shared" si="182"/>
        <v>0</v>
      </c>
      <c r="U1418" s="527">
        <f t="shared" si="183"/>
        <v>0</v>
      </c>
      <c r="W1418" s="326">
        <f t="shared" si="185"/>
        <v>0</v>
      </c>
      <c r="X1418" s="261">
        <f t="shared" si="184"/>
        <v>0</v>
      </c>
      <c r="Z1418" s="1016">
        <f t="shared" si="186"/>
        <v>0</v>
      </c>
    </row>
    <row r="1419" spans="1:26" ht="12" hidden="1" thickBot="1">
      <c r="A1419" s="588" t="s">
        <v>1465</v>
      </c>
      <c r="B1419" s="522" t="s">
        <v>710</v>
      </c>
      <c r="C1419" s="522" t="s">
        <v>711</v>
      </c>
      <c r="D1419" s="522"/>
      <c r="E1419" s="962"/>
      <c r="F1419" s="962"/>
      <c r="G1419" s="962"/>
      <c r="H1419" s="962"/>
      <c r="I1419" s="962"/>
      <c r="J1419" s="962"/>
      <c r="K1419" s="962"/>
      <c r="L1419" s="962"/>
      <c r="M1419" s="962"/>
      <c r="N1419" s="962"/>
      <c r="O1419" s="962"/>
      <c r="P1419" s="962"/>
      <c r="Q1419" s="962"/>
      <c r="R1419" s="961"/>
      <c r="S1419" s="527">
        <f t="shared" si="181"/>
        <v>0</v>
      </c>
      <c r="T1419" s="528">
        <f t="shared" si="182"/>
        <v>0</v>
      </c>
      <c r="U1419" s="527">
        <f t="shared" si="183"/>
        <v>0</v>
      </c>
      <c r="W1419" s="326">
        <f t="shared" si="185"/>
        <v>0</v>
      </c>
      <c r="X1419" s="261">
        <f t="shared" si="184"/>
        <v>0</v>
      </c>
      <c r="Z1419" s="1016">
        <f t="shared" si="186"/>
        <v>0</v>
      </c>
    </row>
    <row r="1420" spans="1:26" ht="12" hidden="1" thickBot="1">
      <c r="A1420" s="588" t="s">
        <v>1465</v>
      </c>
      <c r="B1420" s="522" t="s">
        <v>1048</v>
      </c>
      <c r="C1420" s="522" t="s">
        <v>1049</v>
      </c>
      <c r="D1420" s="522"/>
      <c r="E1420" s="962"/>
      <c r="F1420" s="962"/>
      <c r="G1420" s="962"/>
      <c r="H1420" s="962"/>
      <c r="I1420" s="962"/>
      <c r="J1420" s="962"/>
      <c r="K1420" s="962"/>
      <c r="L1420" s="962"/>
      <c r="M1420" s="962"/>
      <c r="N1420" s="962"/>
      <c r="O1420" s="962"/>
      <c r="P1420" s="962"/>
      <c r="Q1420" s="962"/>
      <c r="R1420" s="961"/>
      <c r="S1420" s="527">
        <f t="shared" si="181"/>
        <v>0</v>
      </c>
      <c r="T1420" s="528">
        <f t="shared" si="182"/>
        <v>0</v>
      </c>
      <c r="U1420" s="527">
        <f t="shared" si="183"/>
        <v>0</v>
      </c>
      <c r="W1420" s="326">
        <f t="shared" si="185"/>
        <v>0</v>
      </c>
      <c r="X1420" s="261">
        <f t="shared" si="184"/>
        <v>0</v>
      </c>
      <c r="Z1420" s="1016">
        <f t="shared" si="186"/>
        <v>0</v>
      </c>
    </row>
    <row r="1421" spans="1:26" ht="12" hidden="1" thickBot="1">
      <c r="A1421" s="588" t="s">
        <v>1465</v>
      </c>
      <c r="B1421" s="522" t="s">
        <v>1355</v>
      </c>
      <c r="C1421" s="522" t="s">
        <v>111</v>
      </c>
      <c r="D1421" s="522"/>
      <c r="E1421" s="960"/>
      <c r="F1421" s="961"/>
      <c r="G1421" s="961"/>
      <c r="H1421" s="961"/>
      <c r="I1421" s="962"/>
      <c r="J1421" s="962"/>
      <c r="K1421" s="962"/>
      <c r="L1421" s="962"/>
      <c r="M1421" s="962"/>
      <c r="N1421" s="962"/>
      <c r="O1421" s="962"/>
      <c r="P1421" s="962"/>
      <c r="Q1421" s="962"/>
      <c r="R1421" s="961"/>
      <c r="S1421" s="527">
        <f t="shared" si="181"/>
        <v>0</v>
      </c>
      <c r="T1421" s="528">
        <f t="shared" si="182"/>
        <v>0</v>
      </c>
      <c r="U1421" s="527">
        <f t="shared" si="183"/>
        <v>0</v>
      </c>
      <c r="W1421" s="326">
        <f t="shared" si="185"/>
        <v>0</v>
      </c>
      <c r="X1421" s="261">
        <f t="shared" si="184"/>
        <v>0</v>
      </c>
      <c r="Z1421" s="1016">
        <f t="shared" si="186"/>
        <v>0</v>
      </c>
    </row>
    <row r="1422" spans="1:26" ht="12" hidden="1" thickBot="1">
      <c r="A1422" s="588" t="s">
        <v>1465</v>
      </c>
      <c r="B1422" s="522" t="s">
        <v>450</v>
      </c>
      <c r="C1422" s="522" t="s">
        <v>1050</v>
      </c>
      <c r="D1422" s="522"/>
      <c r="E1422" s="960"/>
      <c r="F1422" s="961"/>
      <c r="G1422" s="961"/>
      <c r="H1422" s="961"/>
      <c r="I1422" s="962"/>
      <c r="J1422" s="962"/>
      <c r="K1422" s="962"/>
      <c r="L1422" s="962"/>
      <c r="M1422" s="962"/>
      <c r="N1422" s="962"/>
      <c r="O1422" s="962"/>
      <c r="P1422" s="962"/>
      <c r="Q1422" s="962"/>
      <c r="R1422" s="961"/>
      <c r="S1422" s="527">
        <f t="shared" si="181"/>
        <v>0</v>
      </c>
      <c r="T1422" s="528">
        <f t="shared" si="182"/>
        <v>0</v>
      </c>
      <c r="U1422" s="527">
        <f t="shared" si="183"/>
        <v>0</v>
      </c>
      <c r="W1422" s="326">
        <f t="shared" si="185"/>
        <v>0</v>
      </c>
      <c r="X1422" s="261">
        <f t="shared" si="184"/>
        <v>0</v>
      </c>
      <c r="Z1422" s="1016">
        <f t="shared" si="186"/>
        <v>0</v>
      </c>
    </row>
    <row r="1423" spans="1:26" ht="12" hidden="1" thickBot="1">
      <c r="A1423" s="588" t="s">
        <v>1465</v>
      </c>
      <c r="B1423" s="543" t="s">
        <v>9</v>
      </c>
      <c r="C1423" s="544"/>
      <c r="D1423" s="538"/>
      <c r="E1423" s="539"/>
      <c r="F1423" s="540"/>
      <c r="G1423" s="540"/>
      <c r="H1423" s="540"/>
      <c r="I1423" s="540"/>
      <c r="J1423" s="540"/>
      <c r="K1423" s="540"/>
      <c r="L1423" s="540"/>
      <c r="M1423" s="540"/>
      <c r="N1423" s="540"/>
      <c r="O1423" s="540"/>
      <c r="P1423" s="540"/>
      <c r="Q1423" s="540"/>
      <c r="R1423" s="540"/>
      <c r="S1423" s="527">
        <f t="shared" si="181"/>
        <v>0</v>
      </c>
      <c r="T1423" s="528">
        <f t="shared" si="182"/>
        <v>0</v>
      </c>
      <c r="U1423" s="527">
        <f t="shared" si="183"/>
        <v>0</v>
      </c>
      <c r="W1423" s="326">
        <f t="shared" si="185"/>
        <v>0</v>
      </c>
      <c r="X1423" s="261">
        <f t="shared" si="184"/>
        <v>0</v>
      </c>
      <c r="Z1423" s="1016">
        <f t="shared" si="186"/>
        <v>0</v>
      </c>
    </row>
    <row r="1424" spans="1:26" ht="12" hidden="1" thickBot="1">
      <c r="A1424" s="588" t="s">
        <v>1466</v>
      </c>
      <c r="B1424" s="522" t="s">
        <v>440</v>
      </c>
      <c r="C1424" s="522" t="s">
        <v>460</v>
      </c>
      <c r="D1424" s="522"/>
      <c r="E1424" s="960"/>
      <c r="F1424" s="961"/>
      <c r="G1424" s="961"/>
      <c r="H1424" s="962"/>
      <c r="I1424" s="962"/>
      <c r="J1424" s="962"/>
      <c r="K1424" s="962"/>
      <c r="L1424" s="962"/>
      <c r="M1424" s="962"/>
      <c r="N1424" s="962"/>
      <c r="O1424" s="962"/>
      <c r="P1424" s="962"/>
      <c r="Q1424" s="962"/>
      <c r="R1424" s="961"/>
      <c r="S1424" s="527">
        <f t="shared" si="181"/>
        <v>0</v>
      </c>
      <c r="T1424" s="528">
        <f t="shared" si="182"/>
        <v>0</v>
      </c>
      <c r="U1424" s="527">
        <f t="shared" si="183"/>
        <v>0</v>
      </c>
      <c r="W1424" s="326">
        <f t="shared" si="185"/>
        <v>0</v>
      </c>
      <c r="X1424" s="261">
        <f t="shared" si="184"/>
        <v>0</v>
      </c>
      <c r="Z1424" s="1016">
        <f t="shared" si="186"/>
        <v>0</v>
      </c>
    </row>
    <row r="1425" spans="1:26" ht="12" hidden="1" thickBot="1">
      <c r="A1425" s="588" t="s">
        <v>1466</v>
      </c>
      <c r="B1425" s="522" t="s">
        <v>441</v>
      </c>
      <c r="C1425" s="522" t="s">
        <v>461</v>
      </c>
      <c r="D1425" s="522"/>
      <c r="E1425" s="960"/>
      <c r="F1425" s="961"/>
      <c r="G1425" s="961"/>
      <c r="H1425" s="962"/>
      <c r="I1425" s="962"/>
      <c r="J1425" s="962"/>
      <c r="K1425" s="962"/>
      <c r="L1425" s="962"/>
      <c r="M1425" s="962"/>
      <c r="N1425" s="962"/>
      <c r="O1425" s="962"/>
      <c r="P1425" s="962"/>
      <c r="Q1425" s="962"/>
      <c r="R1425" s="961"/>
      <c r="S1425" s="527">
        <f t="shared" si="181"/>
        <v>0</v>
      </c>
      <c r="T1425" s="528">
        <f t="shared" si="182"/>
        <v>0</v>
      </c>
      <c r="U1425" s="527">
        <f t="shared" si="183"/>
        <v>0</v>
      </c>
      <c r="W1425" s="326">
        <f t="shared" si="185"/>
        <v>0</v>
      </c>
      <c r="X1425" s="261">
        <f t="shared" si="184"/>
        <v>0</v>
      </c>
      <c r="Z1425" s="1016">
        <f t="shared" si="186"/>
        <v>0</v>
      </c>
    </row>
    <row r="1426" spans="1:26" ht="12" hidden="1" thickBot="1">
      <c r="A1426" s="588" t="s">
        <v>1466</v>
      </c>
      <c r="B1426" s="522" t="s">
        <v>449</v>
      </c>
      <c r="C1426" s="522" t="s">
        <v>448</v>
      </c>
      <c r="D1426" s="522"/>
      <c r="E1426" s="960"/>
      <c r="F1426" s="962"/>
      <c r="G1426" s="961"/>
      <c r="H1426" s="962"/>
      <c r="I1426" s="962"/>
      <c r="J1426" s="962"/>
      <c r="K1426" s="962"/>
      <c r="L1426" s="962"/>
      <c r="M1426" s="962"/>
      <c r="N1426" s="962"/>
      <c r="O1426" s="962"/>
      <c r="P1426" s="962"/>
      <c r="Q1426" s="962"/>
      <c r="R1426" s="961"/>
      <c r="S1426" s="527">
        <f t="shared" si="181"/>
        <v>0</v>
      </c>
      <c r="T1426" s="528">
        <f t="shared" si="182"/>
        <v>0</v>
      </c>
      <c r="U1426" s="527">
        <f t="shared" si="183"/>
        <v>0</v>
      </c>
      <c r="W1426" s="326">
        <f t="shared" si="185"/>
        <v>0</v>
      </c>
      <c r="X1426" s="261">
        <f t="shared" si="184"/>
        <v>0</v>
      </c>
      <c r="Z1426" s="1016">
        <f t="shared" si="186"/>
        <v>0</v>
      </c>
    </row>
    <row r="1427" spans="1:26" ht="12" hidden="1" thickBot="1">
      <c r="A1427" s="588" t="s">
        <v>1466</v>
      </c>
      <c r="B1427" s="522" t="s">
        <v>447</v>
      </c>
      <c r="C1427" s="522" t="s">
        <v>446</v>
      </c>
      <c r="D1427" s="522"/>
      <c r="E1427" s="960"/>
      <c r="F1427" s="962"/>
      <c r="G1427" s="961"/>
      <c r="H1427" s="962"/>
      <c r="I1427" s="962"/>
      <c r="J1427" s="962"/>
      <c r="K1427" s="962"/>
      <c r="L1427" s="962"/>
      <c r="M1427" s="962"/>
      <c r="N1427" s="962"/>
      <c r="O1427" s="962"/>
      <c r="P1427" s="962"/>
      <c r="Q1427" s="962"/>
      <c r="R1427" s="961"/>
      <c r="S1427" s="527">
        <f t="shared" si="181"/>
        <v>0</v>
      </c>
      <c r="T1427" s="528">
        <f t="shared" si="182"/>
        <v>0</v>
      </c>
      <c r="U1427" s="527">
        <f t="shared" si="183"/>
        <v>0</v>
      </c>
      <c r="W1427" s="326">
        <f t="shared" si="185"/>
        <v>0</v>
      </c>
      <c r="X1427" s="261">
        <f t="shared" si="184"/>
        <v>0</v>
      </c>
      <c r="Z1427" s="1016">
        <f t="shared" si="186"/>
        <v>0</v>
      </c>
    </row>
    <row r="1428" spans="1:26" ht="12" hidden="1" thickBot="1">
      <c r="A1428" s="588" t="s">
        <v>1466</v>
      </c>
      <c r="B1428" s="522" t="s">
        <v>942</v>
      </c>
      <c r="C1428" s="522" t="s">
        <v>943</v>
      </c>
      <c r="D1428" s="522"/>
      <c r="E1428" s="962"/>
      <c r="F1428" s="962"/>
      <c r="G1428" s="962"/>
      <c r="H1428" s="962"/>
      <c r="I1428" s="962"/>
      <c r="J1428" s="962"/>
      <c r="K1428" s="962"/>
      <c r="L1428" s="962"/>
      <c r="M1428" s="962"/>
      <c r="N1428" s="962"/>
      <c r="O1428" s="962"/>
      <c r="P1428" s="962"/>
      <c r="Q1428" s="962"/>
      <c r="R1428" s="962"/>
      <c r="S1428" s="527">
        <f t="shared" si="181"/>
        <v>0</v>
      </c>
      <c r="T1428" s="528">
        <f t="shared" si="182"/>
        <v>0</v>
      </c>
      <c r="U1428" s="527">
        <f t="shared" si="183"/>
        <v>0</v>
      </c>
      <c r="W1428" s="326">
        <f t="shared" si="185"/>
        <v>0</v>
      </c>
      <c r="X1428" s="261">
        <f t="shared" si="184"/>
        <v>0</v>
      </c>
      <c r="Z1428" s="1016">
        <f t="shared" si="186"/>
        <v>0</v>
      </c>
    </row>
    <row r="1429" spans="1:26" ht="12" hidden="1" thickBot="1">
      <c r="A1429" s="588" t="s">
        <v>1466</v>
      </c>
      <c r="B1429" s="522" t="s">
        <v>168</v>
      </c>
      <c r="C1429" s="522" t="s">
        <v>58</v>
      </c>
      <c r="D1429" s="523" t="s">
        <v>19</v>
      </c>
      <c r="E1429" s="960">
        <v>129791083</v>
      </c>
      <c r="F1429" s="961">
        <v>24000</v>
      </c>
      <c r="G1429" s="961">
        <v>963050</v>
      </c>
      <c r="H1429" s="961">
        <v>3753558</v>
      </c>
      <c r="I1429" s="962"/>
      <c r="J1429" s="961">
        <v>205676</v>
      </c>
      <c r="K1429" s="961">
        <v>2108166</v>
      </c>
      <c r="L1429" s="961">
        <v>0</v>
      </c>
      <c r="M1429" s="961">
        <v>317934</v>
      </c>
      <c r="N1429" s="961"/>
      <c r="O1429" s="961">
        <v>501921</v>
      </c>
      <c r="P1429" s="962"/>
      <c r="Q1429" s="962"/>
      <c r="R1429" s="961">
        <v>7874306</v>
      </c>
      <c r="S1429" s="527">
        <f t="shared" si="181"/>
        <v>4716608</v>
      </c>
      <c r="T1429" s="528">
        <f t="shared" si="182"/>
        <v>2313842</v>
      </c>
      <c r="U1429" s="527">
        <f t="shared" si="183"/>
        <v>501921</v>
      </c>
      <c r="W1429" s="326">
        <f t="shared" si="185"/>
        <v>7874305</v>
      </c>
      <c r="X1429" s="261">
        <f t="shared" si="184"/>
        <v>-1</v>
      </c>
      <c r="Z1429" s="1016">
        <f t="shared" si="186"/>
        <v>7054450</v>
      </c>
    </row>
    <row r="1430" spans="1:26" ht="12" hidden="1" thickBot="1">
      <c r="A1430" s="588" t="s">
        <v>1466</v>
      </c>
      <c r="B1430" s="522" t="s">
        <v>169</v>
      </c>
      <c r="C1430" s="522" t="s">
        <v>196</v>
      </c>
      <c r="D1430" s="523" t="s">
        <v>26</v>
      </c>
      <c r="E1430" s="960">
        <v>18873291</v>
      </c>
      <c r="F1430" s="961">
        <v>36720</v>
      </c>
      <c r="G1430" s="961">
        <v>126451</v>
      </c>
      <c r="H1430" s="961">
        <v>545816</v>
      </c>
      <c r="I1430" s="962"/>
      <c r="J1430" s="961">
        <v>57775</v>
      </c>
      <c r="K1430" s="961">
        <v>647298</v>
      </c>
      <c r="L1430" s="961">
        <v>38179</v>
      </c>
      <c r="M1430" s="961">
        <v>46232</v>
      </c>
      <c r="N1430" s="961"/>
      <c r="O1430" s="961">
        <v>72986</v>
      </c>
      <c r="P1430" s="962"/>
      <c r="Q1430" s="962"/>
      <c r="R1430" s="961">
        <v>1571456</v>
      </c>
      <c r="S1430" s="527">
        <f t="shared" si="181"/>
        <v>672267</v>
      </c>
      <c r="T1430" s="528">
        <f t="shared" si="182"/>
        <v>705073</v>
      </c>
      <c r="U1430" s="527">
        <f t="shared" si="183"/>
        <v>72986</v>
      </c>
      <c r="W1430" s="326">
        <f t="shared" si="185"/>
        <v>1571457</v>
      </c>
      <c r="X1430" s="261">
        <f t="shared" si="184"/>
        <v>1</v>
      </c>
      <c r="Z1430" s="1016">
        <f t="shared" si="186"/>
        <v>1414060</v>
      </c>
    </row>
    <row r="1431" spans="1:26" ht="12" hidden="1" thickBot="1">
      <c r="A1431" s="588" t="s">
        <v>1466</v>
      </c>
      <c r="B1431" s="522" t="s">
        <v>170</v>
      </c>
      <c r="C1431" s="522" t="s">
        <v>197</v>
      </c>
      <c r="D1431" s="523" t="s">
        <v>25</v>
      </c>
      <c r="E1431" s="960">
        <v>165279163</v>
      </c>
      <c r="F1431" s="961">
        <v>433350</v>
      </c>
      <c r="G1431" s="961">
        <v>1110676</v>
      </c>
      <c r="H1431" s="961">
        <v>4779873</v>
      </c>
      <c r="I1431" s="962"/>
      <c r="J1431" s="961">
        <v>578065</v>
      </c>
      <c r="K1431" s="961">
        <v>6487170</v>
      </c>
      <c r="L1431" s="961">
        <v>334346</v>
      </c>
      <c r="M1431" s="961">
        <v>404865</v>
      </c>
      <c r="N1431" s="961"/>
      <c r="O1431" s="961">
        <v>639159</v>
      </c>
      <c r="P1431" s="962"/>
      <c r="Q1431" s="962"/>
      <c r="R1431" s="961">
        <v>14767504</v>
      </c>
      <c r="S1431" s="527">
        <f t="shared" si="181"/>
        <v>5890549</v>
      </c>
      <c r="T1431" s="528">
        <f t="shared" si="182"/>
        <v>7065235</v>
      </c>
      <c r="U1431" s="527">
        <f t="shared" si="183"/>
        <v>639159</v>
      </c>
      <c r="W1431" s="326">
        <f t="shared" si="185"/>
        <v>14767504</v>
      </c>
      <c r="X1431" s="261">
        <f t="shared" si="184"/>
        <v>0</v>
      </c>
      <c r="Z1431" s="1016">
        <f t="shared" si="186"/>
        <v>13389134</v>
      </c>
    </row>
    <row r="1432" spans="1:26" ht="12" hidden="1" thickBot="1">
      <c r="A1432" s="588" t="s">
        <v>1466</v>
      </c>
      <c r="B1432" s="522" t="s">
        <v>171</v>
      </c>
      <c r="C1432" s="522" t="s">
        <v>198</v>
      </c>
      <c r="D1432" s="542" t="s">
        <v>221</v>
      </c>
      <c r="E1432" s="960">
        <v>240299969</v>
      </c>
      <c r="F1432" s="961">
        <v>15600</v>
      </c>
      <c r="G1432" s="961">
        <v>2097819</v>
      </c>
      <c r="H1432" s="961">
        <v>6949475</v>
      </c>
      <c r="I1432" s="962"/>
      <c r="J1432" s="961">
        <v>381112</v>
      </c>
      <c r="K1432" s="961">
        <v>3849680</v>
      </c>
      <c r="L1432" s="961">
        <v>486107</v>
      </c>
      <c r="M1432" s="961">
        <v>588635</v>
      </c>
      <c r="N1432" s="961"/>
      <c r="O1432" s="961">
        <v>929275</v>
      </c>
      <c r="P1432" s="962"/>
      <c r="Q1432" s="962"/>
      <c r="R1432" s="961">
        <v>15297703</v>
      </c>
      <c r="S1432" s="527">
        <f t="shared" si="181"/>
        <v>9047294</v>
      </c>
      <c r="T1432" s="528">
        <f t="shared" si="182"/>
        <v>4230792</v>
      </c>
      <c r="U1432" s="527">
        <f t="shared" si="183"/>
        <v>929275</v>
      </c>
      <c r="W1432" s="326">
        <f t="shared" si="185"/>
        <v>15297703</v>
      </c>
      <c r="X1432" s="261">
        <f t="shared" si="184"/>
        <v>0</v>
      </c>
      <c r="Z1432" s="1016">
        <f t="shared" si="186"/>
        <v>13293686</v>
      </c>
    </row>
    <row r="1433" spans="1:26" ht="12" hidden="1" thickBot="1">
      <c r="A1433" s="588" t="s">
        <v>1466</v>
      </c>
      <c r="B1433" s="522" t="s">
        <v>172</v>
      </c>
      <c r="C1433" s="522" t="s">
        <v>199</v>
      </c>
      <c r="D1433" s="523" t="s">
        <v>26</v>
      </c>
      <c r="E1433" s="960"/>
      <c r="F1433" s="961"/>
      <c r="G1433" s="961"/>
      <c r="H1433" s="961"/>
      <c r="I1433" s="962"/>
      <c r="J1433" s="961"/>
      <c r="K1433" s="961"/>
      <c r="L1433" s="961"/>
      <c r="M1433" s="961"/>
      <c r="N1433" s="961"/>
      <c r="O1433" s="961"/>
      <c r="P1433" s="962"/>
      <c r="Q1433" s="962"/>
      <c r="R1433" s="961"/>
      <c r="S1433" s="527">
        <f t="shared" si="181"/>
        <v>0</v>
      </c>
      <c r="T1433" s="528">
        <f t="shared" si="182"/>
        <v>0</v>
      </c>
      <c r="U1433" s="527">
        <f t="shared" si="183"/>
        <v>0</v>
      </c>
      <c r="W1433" s="326">
        <f t="shared" si="185"/>
        <v>0</v>
      </c>
      <c r="X1433" s="261">
        <f t="shared" si="184"/>
        <v>0</v>
      </c>
      <c r="Z1433" s="1016">
        <f t="shared" si="186"/>
        <v>0</v>
      </c>
    </row>
    <row r="1434" spans="1:26" ht="12" hidden="1" thickBot="1">
      <c r="A1434" s="588" t="s">
        <v>1466</v>
      </c>
      <c r="B1434" s="522" t="s">
        <v>173</v>
      </c>
      <c r="C1434" s="522" t="s">
        <v>200</v>
      </c>
      <c r="D1434" s="535" t="s">
        <v>25</v>
      </c>
      <c r="E1434" s="960"/>
      <c r="F1434" s="961"/>
      <c r="G1434" s="961"/>
      <c r="H1434" s="961"/>
      <c r="I1434" s="962"/>
      <c r="J1434" s="961"/>
      <c r="K1434" s="961"/>
      <c r="L1434" s="961"/>
      <c r="M1434" s="961"/>
      <c r="N1434" s="961"/>
      <c r="O1434" s="961"/>
      <c r="P1434" s="962"/>
      <c r="Q1434" s="962"/>
      <c r="R1434" s="961"/>
      <c r="S1434" s="527">
        <f t="shared" si="181"/>
        <v>0</v>
      </c>
      <c r="T1434" s="528">
        <f t="shared" si="182"/>
        <v>0</v>
      </c>
      <c r="U1434" s="527">
        <f t="shared" si="183"/>
        <v>0</v>
      </c>
      <c r="W1434" s="326">
        <f t="shared" si="185"/>
        <v>0</v>
      </c>
      <c r="X1434" s="261">
        <f t="shared" si="184"/>
        <v>0</v>
      </c>
      <c r="Z1434" s="1016">
        <f t="shared" si="186"/>
        <v>0</v>
      </c>
    </row>
    <row r="1435" spans="1:26" ht="12" hidden="1" thickBot="1">
      <c r="A1435" s="588" t="s">
        <v>1466</v>
      </c>
      <c r="B1435" s="522" t="s">
        <v>174</v>
      </c>
      <c r="C1435" s="522" t="s">
        <v>201</v>
      </c>
      <c r="D1435" s="523" t="s">
        <v>221</v>
      </c>
      <c r="E1435" s="960">
        <v>100603039</v>
      </c>
      <c r="F1435" s="961">
        <v>54600</v>
      </c>
      <c r="G1435" s="961">
        <v>878265</v>
      </c>
      <c r="H1435" s="961">
        <v>2909440</v>
      </c>
      <c r="I1435" s="962"/>
      <c r="J1435" s="961">
        <v>200014</v>
      </c>
      <c r="K1435" s="961">
        <v>2020167</v>
      </c>
      <c r="L1435" s="961">
        <v>203512</v>
      </c>
      <c r="M1435" s="961">
        <v>246436</v>
      </c>
      <c r="N1435" s="961"/>
      <c r="O1435" s="961">
        <v>389047</v>
      </c>
      <c r="P1435" s="962"/>
      <c r="Q1435" s="962"/>
      <c r="R1435" s="961">
        <v>6901479</v>
      </c>
      <c r="S1435" s="527">
        <f t="shared" si="181"/>
        <v>3787705</v>
      </c>
      <c r="T1435" s="528">
        <f t="shared" si="182"/>
        <v>2220181</v>
      </c>
      <c r="U1435" s="527">
        <f t="shared" si="183"/>
        <v>389047</v>
      </c>
      <c r="W1435" s="326">
        <f t="shared" si="185"/>
        <v>6901481</v>
      </c>
      <c r="X1435" s="261">
        <f t="shared" si="184"/>
        <v>2</v>
      </c>
      <c r="Z1435" s="1016">
        <f t="shared" si="186"/>
        <v>6062486</v>
      </c>
    </row>
    <row r="1436" spans="1:26" ht="12" hidden="1" thickBot="1">
      <c r="A1436" s="588" t="s">
        <v>1466</v>
      </c>
      <c r="B1436" s="522" t="s">
        <v>175</v>
      </c>
      <c r="C1436" s="522" t="s">
        <v>202</v>
      </c>
      <c r="D1436" s="523" t="s">
        <v>220</v>
      </c>
      <c r="E1436" s="960">
        <v>108841166</v>
      </c>
      <c r="F1436" s="961">
        <v>90600</v>
      </c>
      <c r="G1436" s="961">
        <v>958891</v>
      </c>
      <c r="H1436" s="961">
        <v>3147687</v>
      </c>
      <c r="I1436" s="962"/>
      <c r="J1436" s="961">
        <v>246831</v>
      </c>
      <c r="K1436" s="961">
        <v>2518994</v>
      </c>
      <c r="L1436" s="961">
        <v>220177</v>
      </c>
      <c r="M1436" s="961">
        <v>266616</v>
      </c>
      <c r="N1436" s="961"/>
      <c r="O1436" s="961">
        <v>420905</v>
      </c>
      <c r="P1436" s="962"/>
      <c r="Q1436" s="962"/>
      <c r="R1436" s="961">
        <v>7870699</v>
      </c>
      <c r="S1436" s="527">
        <f t="shared" si="181"/>
        <v>4106578</v>
      </c>
      <c r="T1436" s="528">
        <f t="shared" si="182"/>
        <v>2765825</v>
      </c>
      <c r="U1436" s="527">
        <f t="shared" si="183"/>
        <v>420905</v>
      </c>
      <c r="W1436" s="326">
        <f t="shared" si="185"/>
        <v>7870701</v>
      </c>
      <c r="X1436" s="261">
        <f t="shared" si="184"/>
        <v>2</v>
      </c>
      <c r="Z1436" s="1016">
        <f t="shared" si="186"/>
        <v>6963003</v>
      </c>
    </row>
    <row r="1437" spans="1:26" ht="12" hidden="1" thickBot="1">
      <c r="A1437" s="588" t="s">
        <v>1466</v>
      </c>
      <c r="B1437" s="522" t="s">
        <v>176</v>
      </c>
      <c r="C1437" s="522" t="s">
        <v>203</v>
      </c>
      <c r="D1437" s="523" t="s">
        <v>25</v>
      </c>
      <c r="E1437" s="960"/>
      <c r="F1437" s="961"/>
      <c r="G1437" s="961"/>
      <c r="H1437" s="961"/>
      <c r="I1437" s="962"/>
      <c r="J1437" s="961"/>
      <c r="K1437" s="961"/>
      <c r="L1437" s="961"/>
      <c r="M1437" s="961"/>
      <c r="N1437" s="961"/>
      <c r="O1437" s="961"/>
      <c r="P1437" s="962"/>
      <c r="Q1437" s="962"/>
      <c r="R1437" s="961"/>
      <c r="S1437" s="527">
        <f t="shared" si="181"/>
        <v>0</v>
      </c>
      <c r="T1437" s="528">
        <f t="shared" si="182"/>
        <v>0</v>
      </c>
      <c r="U1437" s="527">
        <f t="shared" si="183"/>
        <v>0</v>
      </c>
      <c r="W1437" s="326">
        <f t="shared" si="185"/>
        <v>0</v>
      </c>
      <c r="X1437" s="261">
        <f t="shared" si="184"/>
        <v>0</v>
      </c>
      <c r="Z1437" s="1016">
        <f t="shared" si="186"/>
        <v>0</v>
      </c>
    </row>
    <row r="1438" spans="1:26" ht="12" hidden="1" thickBot="1">
      <c r="A1438" s="588" t="s">
        <v>1466</v>
      </c>
      <c r="B1438" s="522" t="s">
        <v>944</v>
      </c>
      <c r="C1438" s="522" t="s">
        <v>943</v>
      </c>
      <c r="D1438" s="522"/>
      <c r="E1438" s="962"/>
      <c r="F1438" s="962"/>
      <c r="G1438" s="962"/>
      <c r="H1438" s="962"/>
      <c r="I1438" s="962"/>
      <c r="J1438" s="962"/>
      <c r="K1438" s="962"/>
      <c r="L1438" s="962"/>
      <c r="M1438" s="962"/>
      <c r="N1438" s="962"/>
      <c r="O1438" s="962"/>
      <c r="P1438" s="962"/>
      <c r="Q1438" s="962"/>
      <c r="R1438" s="962"/>
      <c r="S1438" s="527">
        <f t="shared" si="181"/>
        <v>0</v>
      </c>
      <c r="T1438" s="528">
        <f t="shared" si="182"/>
        <v>0</v>
      </c>
      <c r="U1438" s="527">
        <f t="shared" si="183"/>
        <v>0</v>
      </c>
      <c r="W1438" s="326">
        <f t="shared" si="185"/>
        <v>0</v>
      </c>
      <c r="X1438" s="261">
        <f t="shared" si="184"/>
        <v>0</v>
      </c>
      <c r="Z1438" s="1016">
        <f t="shared" si="186"/>
        <v>0</v>
      </c>
    </row>
    <row r="1439" spans="1:26" ht="12" hidden="1" thickBot="1">
      <c r="A1439" s="588" t="s">
        <v>1466</v>
      </c>
      <c r="B1439" s="522" t="s">
        <v>177</v>
      </c>
      <c r="C1439" s="522" t="s">
        <v>494</v>
      </c>
      <c r="D1439" s="522" t="s">
        <v>224</v>
      </c>
      <c r="E1439" s="960">
        <v>53225861</v>
      </c>
      <c r="F1439" s="961">
        <v>1268572</v>
      </c>
      <c r="G1439" s="961">
        <v>3120100</v>
      </c>
      <c r="H1439" s="961">
        <v>1539292</v>
      </c>
      <c r="I1439" s="961">
        <v>250694</v>
      </c>
      <c r="J1439" s="962"/>
      <c r="K1439" s="961"/>
      <c r="L1439" s="961">
        <v>107672</v>
      </c>
      <c r="M1439" s="961">
        <v>130381</v>
      </c>
      <c r="N1439" s="961"/>
      <c r="O1439" s="961">
        <v>205832</v>
      </c>
      <c r="P1439" s="962"/>
      <c r="Q1439" s="961"/>
      <c r="R1439" s="961">
        <v>6622543</v>
      </c>
      <c r="S1439" s="527">
        <f t="shared" si="181"/>
        <v>4910086</v>
      </c>
      <c r="T1439" s="528">
        <f t="shared" si="182"/>
        <v>0</v>
      </c>
      <c r="U1439" s="527">
        <f t="shared" si="183"/>
        <v>205832</v>
      </c>
      <c r="W1439" s="326">
        <f t="shared" si="185"/>
        <v>6622543</v>
      </c>
      <c r="X1439" s="261">
        <f t="shared" si="184"/>
        <v>0</v>
      </c>
      <c r="Z1439" s="1016">
        <f t="shared" si="186"/>
        <v>6178658</v>
      </c>
    </row>
    <row r="1440" spans="1:26" ht="12" hidden="1" thickBot="1">
      <c r="A1440" s="588" t="s">
        <v>1466</v>
      </c>
      <c r="B1440" s="522" t="s">
        <v>178</v>
      </c>
      <c r="C1440" s="522" t="s">
        <v>1352</v>
      </c>
      <c r="D1440" s="542" t="s">
        <v>224</v>
      </c>
      <c r="E1440" s="960"/>
      <c r="F1440" s="961"/>
      <c r="G1440" s="961"/>
      <c r="H1440" s="961"/>
      <c r="I1440" s="961"/>
      <c r="J1440" s="962"/>
      <c r="K1440" s="962"/>
      <c r="L1440" s="961"/>
      <c r="M1440" s="961"/>
      <c r="N1440" s="961"/>
      <c r="O1440" s="961"/>
      <c r="P1440" s="962"/>
      <c r="Q1440" s="962"/>
      <c r="R1440" s="961"/>
      <c r="S1440" s="527">
        <f t="shared" si="181"/>
        <v>0</v>
      </c>
      <c r="T1440" s="528">
        <f t="shared" si="182"/>
        <v>0</v>
      </c>
      <c r="U1440" s="527">
        <f t="shared" si="183"/>
        <v>0</v>
      </c>
      <c r="W1440" s="326">
        <f t="shared" si="185"/>
        <v>0</v>
      </c>
      <c r="X1440" s="261">
        <f t="shared" si="184"/>
        <v>0</v>
      </c>
      <c r="Z1440" s="1016">
        <f t="shared" si="186"/>
        <v>0</v>
      </c>
    </row>
    <row r="1441" spans="1:26" ht="12" hidden="1" thickBot="1">
      <c r="A1441" s="588" t="s">
        <v>1466</v>
      </c>
      <c r="B1441" s="522" t="s">
        <v>179</v>
      </c>
      <c r="C1441" s="522" t="s">
        <v>64</v>
      </c>
      <c r="D1441" s="523" t="s">
        <v>18</v>
      </c>
      <c r="E1441" s="960">
        <v>77573970</v>
      </c>
      <c r="F1441" s="961">
        <v>648948</v>
      </c>
      <c r="G1441" s="961">
        <v>4547386</v>
      </c>
      <c r="H1441" s="961">
        <v>2243439</v>
      </c>
      <c r="I1441" s="961">
        <v>365373</v>
      </c>
      <c r="J1441" s="962"/>
      <c r="K1441" s="962"/>
      <c r="L1441" s="961">
        <v>156926</v>
      </c>
      <c r="M1441" s="961">
        <v>190024</v>
      </c>
      <c r="N1441" s="961"/>
      <c r="O1441" s="961">
        <v>299990</v>
      </c>
      <c r="P1441" s="962"/>
      <c r="Q1441" s="962"/>
      <c r="R1441" s="961">
        <v>8452087</v>
      </c>
      <c r="S1441" s="527">
        <f t="shared" si="181"/>
        <v>7156198</v>
      </c>
      <c r="T1441" s="528">
        <f t="shared" si="182"/>
        <v>0</v>
      </c>
      <c r="U1441" s="527">
        <f t="shared" si="183"/>
        <v>299990</v>
      </c>
      <c r="W1441" s="326">
        <f t="shared" si="185"/>
        <v>8452086</v>
      </c>
      <c r="X1441" s="261">
        <f t="shared" si="184"/>
        <v>-1</v>
      </c>
      <c r="Z1441" s="1016">
        <f t="shared" si="186"/>
        <v>7805146</v>
      </c>
    </row>
    <row r="1442" spans="1:26" ht="12" hidden="1" thickBot="1">
      <c r="A1442" s="588" t="s">
        <v>1466</v>
      </c>
      <c r="B1442" s="522" t="s">
        <v>180</v>
      </c>
      <c r="C1442" s="522" t="s">
        <v>204</v>
      </c>
      <c r="D1442" s="536" t="s">
        <v>219</v>
      </c>
      <c r="E1442" s="960">
        <v>624557</v>
      </c>
      <c r="F1442" s="961">
        <v>7440</v>
      </c>
      <c r="G1442" s="961">
        <v>26437</v>
      </c>
      <c r="H1442" s="961">
        <v>18062</v>
      </c>
      <c r="I1442" s="961">
        <v>1967</v>
      </c>
      <c r="J1442" s="962"/>
      <c r="K1442" s="962"/>
      <c r="L1442" s="961">
        <v>1263</v>
      </c>
      <c r="M1442" s="961">
        <v>1530</v>
      </c>
      <c r="N1442" s="961">
        <v>2415</v>
      </c>
      <c r="O1442" s="962"/>
      <c r="P1442" s="962"/>
      <c r="Q1442" s="962"/>
      <c r="R1442" s="961">
        <v>59116</v>
      </c>
      <c r="S1442" s="527">
        <f t="shared" si="181"/>
        <v>46466</v>
      </c>
      <c r="T1442" s="528">
        <f t="shared" si="182"/>
        <v>0</v>
      </c>
      <c r="U1442" s="527">
        <f t="shared" si="183"/>
        <v>2415</v>
      </c>
      <c r="W1442" s="326">
        <f t="shared" si="185"/>
        <v>59114</v>
      </c>
      <c r="X1442" s="261">
        <f t="shared" si="184"/>
        <v>-2</v>
      </c>
      <c r="Z1442" s="1016">
        <f t="shared" si="186"/>
        <v>53906</v>
      </c>
    </row>
    <row r="1443" spans="1:26" ht="12" hidden="1" thickBot="1">
      <c r="A1443" s="588" t="s">
        <v>1466</v>
      </c>
      <c r="B1443" s="522" t="s">
        <v>181</v>
      </c>
      <c r="C1443" s="522" t="s">
        <v>205</v>
      </c>
      <c r="D1443" s="536" t="s">
        <v>219</v>
      </c>
      <c r="E1443" s="960"/>
      <c r="F1443" s="961"/>
      <c r="G1443" s="961"/>
      <c r="H1443" s="961"/>
      <c r="I1443" s="961"/>
      <c r="J1443" s="962"/>
      <c r="K1443" s="962"/>
      <c r="L1443" s="961"/>
      <c r="M1443" s="961"/>
      <c r="N1443" s="961"/>
      <c r="O1443" s="962"/>
      <c r="P1443" s="962"/>
      <c r="Q1443" s="962"/>
      <c r="R1443" s="961"/>
      <c r="S1443" s="527">
        <f t="shared" si="181"/>
        <v>0</v>
      </c>
      <c r="T1443" s="528">
        <f t="shared" si="182"/>
        <v>0</v>
      </c>
      <c r="U1443" s="527">
        <f t="shared" si="183"/>
        <v>0</v>
      </c>
      <c r="W1443" s="326">
        <f t="shared" si="185"/>
        <v>0</v>
      </c>
      <c r="X1443" s="261">
        <f t="shared" si="184"/>
        <v>0</v>
      </c>
      <c r="Z1443" s="1016">
        <f t="shared" si="186"/>
        <v>0</v>
      </c>
    </row>
    <row r="1444" spans="1:26" ht="12" hidden="1" thickBot="1">
      <c r="A1444" s="588" t="s">
        <v>1466</v>
      </c>
      <c r="B1444" s="522" t="s">
        <v>182</v>
      </c>
      <c r="C1444" s="522" t="s">
        <v>206</v>
      </c>
      <c r="D1444" s="533" t="s">
        <v>228</v>
      </c>
      <c r="E1444" s="960"/>
      <c r="F1444" s="961"/>
      <c r="G1444" s="961"/>
      <c r="H1444" s="961"/>
      <c r="I1444" s="961"/>
      <c r="J1444" s="962"/>
      <c r="K1444" s="962"/>
      <c r="L1444" s="961"/>
      <c r="M1444" s="961"/>
      <c r="N1444" s="961"/>
      <c r="O1444" s="962"/>
      <c r="P1444" s="962"/>
      <c r="Q1444" s="962"/>
      <c r="R1444" s="961"/>
      <c r="S1444" s="527">
        <f t="shared" si="181"/>
        <v>0</v>
      </c>
      <c r="T1444" s="528">
        <f t="shared" si="182"/>
        <v>0</v>
      </c>
      <c r="U1444" s="527">
        <f t="shared" si="183"/>
        <v>0</v>
      </c>
      <c r="W1444" s="326">
        <f t="shared" si="185"/>
        <v>0</v>
      </c>
      <c r="X1444" s="261">
        <f t="shared" si="184"/>
        <v>0</v>
      </c>
      <c r="Z1444" s="1016">
        <f t="shared" si="186"/>
        <v>0</v>
      </c>
    </row>
    <row r="1445" spans="1:26" ht="12" hidden="1" thickBot="1">
      <c r="A1445" s="588" t="s">
        <v>1466</v>
      </c>
      <c r="B1445" s="522" t="s">
        <v>183</v>
      </c>
      <c r="C1445" s="522" t="s">
        <v>207</v>
      </c>
      <c r="D1445" s="535" t="s">
        <v>228</v>
      </c>
      <c r="E1445" s="960">
        <v>11575861</v>
      </c>
      <c r="F1445" s="961">
        <v>9030</v>
      </c>
      <c r="G1445" s="961">
        <v>490006</v>
      </c>
      <c r="H1445" s="961">
        <v>334774</v>
      </c>
      <c r="I1445" s="961">
        <v>36464</v>
      </c>
      <c r="J1445" s="962"/>
      <c r="K1445" s="962"/>
      <c r="L1445" s="961">
        <v>23417</v>
      </c>
      <c r="M1445" s="961">
        <v>28356</v>
      </c>
      <c r="N1445" s="961">
        <v>44766</v>
      </c>
      <c r="O1445" s="962"/>
      <c r="P1445" s="962"/>
      <c r="Q1445" s="962"/>
      <c r="R1445" s="961">
        <v>966813</v>
      </c>
      <c r="S1445" s="527">
        <f t="shared" si="181"/>
        <v>861244</v>
      </c>
      <c r="T1445" s="528">
        <f t="shared" si="182"/>
        <v>0</v>
      </c>
      <c r="U1445" s="527">
        <f t="shared" si="183"/>
        <v>44766</v>
      </c>
      <c r="W1445" s="326">
        <f t="shared" si="185"/>
        <v>966813</v>
      </c>
      <c r="X1445" s="261">
        <f t="shared" si="184"/>
        <v>0</v>
      </c>
      <c r="Z1445" s="1016">
        <f t="shared" si="186"/>
        <v>870274</v>
      </c>
    </row>
    <row r="1446" spans="1:26" ht="12" hidden="1" thickBot="1">
      <c r="A1446" s="588" t="s">
        <v>1466</v>
      </c>
      <c r="B1446" s="522" t="s">
        <v>720</v>
      </c>
      <c r="C1446" s="522" t="s">
        <v>723</v>
      </c>
      <c r="D1446" s="535" t="s">
        <v>228</v>
      </c>
      <c r="E1446" s="960"/>
      <c r="F1446" s="961"/>
      <c r="G1446" s="961"/>
      <c r="H1446" s="961"/>
      <c r="I1446" s="961"/>
      <c r="J1446" s="962"/>
      <c r="K1446" s="962"/>
      <c r="L1446" s="961"/>
      <c r="M1446" s="961"/>
      <c r="N1446" s="961"/>
      <c r="O1446" s="962"/>
      <c r="P1446" s="962"/>
      <c r="Q1446" s="962"/>
      <c r="R1446" s="961"/>
      <c r="S1446" s="527">
        <f t="shared" si="181"/>
        <v>0</v>
      </c>
      <c r="T1446" s="528">
        <f t="shared" si="182"/>
        <v>0</v>
      </c>
      <c r="U1446" s="527">
        <f t="shared" si="183"/>
        <v>0</v>
      </c>
      <c r="W1446" s="326">
        <f t="shared" si="185"/>
        <v>0</v>
      </c>
      <c r="X1446" s="261">
        <f t="shared" si="184"/>
        <v>0</v>
      </c>
      <c r="Z1446" s="1016">
        <f t="shared" si="186"/>
        <v>0</v>
      </c>
    </row>
    <row r="1447" spans="1:26" ht="12" hidden="1" thickBot="1">
      <c r="A1447" s="588" t="s">
        <v>1466</v>
      </c>
      <c r="B1447" s="522" t="s">
        <v>721</v>
      </c>
      <c r="C1447" s="522" t="s">
        <v>724</v>
      </c>
      <c r="D1447" s="535" t="s">
        <v>219</v>
      </c>
      <c r="E1447" s="960"/>
      <c r="F1447" s="961"/>
      <c r="G1447" s="961"/>
      <c r="H1447" s="961"/>
      <c r="I1447" s="961"/>
      <c r="J1447" s="962"/>
      <c r="K1447" s="962"/>
      <c r="L1447" s="961"/>
      <c r="M1447" s="961"/>
      <c r="N1447" s="961"/>
      <c r="O1447" s="962"/>
      <c r="P1447" s="962"/>
      <c r="Q1447" s="962"/>
      <c r="R1447" s="961"/>
      <c r="S1447" s="527">
        <f t="shared" si="181"/>
        <v>0</v>
      </c>
      <c r="T1447" s="528">
        <f t="shared" si="182"/>
        <v>0</v>
      </c>
      <c r="U1447" s="527">
        <f t="shared" si="183"/>
        <v>0</v>
      </c>
      <c r="W1447" s="326">
        <f t="shared" si="185"/>
        <v>0</v>
      </c>
      <c r="X1447" s="261">
        <f t="shared" si="184"/>
        <v>0</v>
      </c>
      <c r="Z1447" s="1016">
        <f t="shared" si="186"/>
        <v>0</v>
      </c>
    </row>
    <row r="1448" spans="1:26" ht="12" hidden="1" thickBot="1">
      <c r="A1448" s="588" t="s">
        <v>1466</v>
      </c>
      <c r="B1448" s="522" t="s">
        <v>722</v>
      </c>
      <c r="C1448" s="522" t="s">
        <v>725</v>
      </c>
      <c r="D1448" s="523" t="s">
        <v>228</v>
      </c>
      <c r="E1448" s="960"/>
      <c r="F1448" s="961"/>
      <c r="G1448" s="961"/>
      <c r="H1448" s="961"/>
      <c r="I1448" s="961"/>
      <c r="J1448" s="962"/>
      <c r="K1448" s="962"/>
      <c r="L1448" s="961"/>
      <c r="M1448" s="961"/>
      <c r="N1448" s="961"/>
      <c r="O1448" s="962"/>
      <c r="P1448" s="962"/>
      <c r="Q1448" s="962"/>
      <c r="R1448" s="961"/>
      <c r="S1448" s="527">
        <f t="shared" si="181"/>
        <v>0</v>
      </c>
      <c r="T1448" s="528">
        <f t="shared" si="182"/>
        <v>0</v>
      </c>
      <c r="U1448" s="527">
        <f t="shared" si="183"/>
        <v>0</v>
      </c>
      <c r="W1448" s="326">
        <f t="shared" si="185"/>
        <v>0</v>
      </c>
      <c r="X1448" s="261">
        <f t="shared" si="184"/>
        <v>0</v>
      </c>
      <c r="Z1448" s="1016">
        <f t="shared" si="186"/>
        <v>0</v>
      </c>
    </row>
    <row r="1449" spans="1:26" ht="12" thickBot="1">
      <c r="A1449" s="588" t="s">
        <v>1466</v>
      </c>
      <c r="B1449" s="522" t="s">
        <v>233</v>
      </c>
      <c r="C1449" s="522" t="s">
        <v>651</v>
      </c>
      <c r="D1449" s="522" t="s">
        <v>20</v>
      </c>
      <c r="E1449" s="960">
        <v>15644</v>
      </c>
      <c r="F1449" s="962"/>
      <c r="G1449" s="961">
        <f>ROUND(E1449*0.0638,0)</f>
        <v>998</v>
      </c>
      <c r="H1449" s="961"/>
      <c r="I1449" s="961"/>
      <c r="J1449" s="962"/>
      <c r="K1449" s="962"/>
      <c r="L1449" s="962"/>
      <c r="M1449" s="961">
        <f>ROUND(E1449*0.00245,0)</f>
        <v>38</v>
      </c>
      <c r="N1449" s="961">
        <f>ROUND(E1449*0.00387,0)</f>
        <v>61</v>
      </c>
      <c r="O1449" s="962"/>
      <c r="P1449" s="962"/>
      <c r="Q1449" s="962"/>
      <c r="R1449" s="961">
        <f>SUM(F1449:Q1449)</f>
        <v>1097</v>
      </c>
      <c r="S1449" s="527">
        <f>E1449*0.0638</f>
        <v>998.08719999999994</v>
      </c>
      <c r="T1449" s="528">
        <f t="shared" ref="T1449:T1474" si="187">J1449+K1449</f>
        <v>0</v>
      </c>
      <c r="U1449" s="527">
        <f t="shared" ref="U1449:U1474" si="188">N1449+O1449</f>
        <v>61</v>
      </c>
      <c r="W1449" s="326">
        <f t="shared" si="185"/>
        <v>1097</v>
      </c>
      <c r="X1449" s="261">
        <f t="shared" ref="X1449:X1474" si="189">W1449-R1449</f>
        <v>0</v>
      </c>
      <c r="Z1449" s="1016">
        <f t="shared" si="186"/>
        <v>998</v>
      </c>
    </row>
    <row r="1450" spans="1:26" ht="12" hidden="1" thickBot="1">
      <c r="A1450" s="588" t="s">
        <v>1466</v>
      </c>
      <c r="B1450" s="522" t="s">
        <v>232</v>
      </c>
      <c r="C1450" s="522" t="s">
        <v>651</v>
      </c>
      <c r="D1450" s="522" t="s">
        <v>20</v>
      </c>
      <c r="E1450" s="960"/>
      <c r="F1450" s="962"/>
      <c r="G1450" s="961"/>
      <c r="H1450" s="961"/>
      <c r="I1450" s="961"/>
      <c r="J1450" s="962"/>
      <c r="K1450" s="962"/>
      <c r="L1450" s="962"/>
      <c r="M1450" s="961"/>
      <c r="N1450" s="961"/>
      <c r="O1450" s="962"/>
      <c r="P1450" s="962"/>
      <c r="Q1450" s="962"/>
      <c r="R1450" s="961"/>
      <c r="S1450" s="527">
        <f t="shared" ref="S1450:S1474" si="190">G1450+H1450+I1450</f>
        <v>0</v>
      </c>
      <c r="T1450" s="528">
        <f t="shared" si="187"/>
        <v>0</v>
      </c>
      <c r="U1450" s="527">
        <f t="shared" si="188"/>
        <v>0</v>
      </c>
      <c r="W1450" s="326">
        <f t="shared" si="185"/>
        <v>0</v>
      </c>
      <c r="X1450" s="261">
        <f t="shared" si="189"/>
        <v>0</v>
      </c>
      <c r="Z1450" s="1016">
        <f t="shared" si="186"/>
        <v>0</v>
      </c>
    </row>
    <row r="1451" spans="1:26" ht="12" thickBot="1">
      <c r="A1451" s="588" t="s">
        <v>1466</v>
      </c>
      <c r="B1451" s="522" t="s">
        <v>184</v>
      </c>
      <c r="C1451" s="522" t="s">
        <v>59</v>
      </c>
      <c r="D1451" s="523" t="s">
        <v>21</v>
      </c>
      <c r="E1451" s="960">
        <v>98259</v>
      </c>
      <c r="F1451" s="961">
        <f>'1022'!D436*3.25</f>
        <v>2427.75</v>
      </c>
      <c r="G1451" s="961">
        <f>ROUND(E1451*0.07978,0)</f>
        <v>7839</v>
      </c>
      <c r="H1451" s="961"/>
      <c r="I1451" s="961"/>
      <c r="J1451" s="962"/>
      <c r="K1451" s="962"/>
      <c r="L1451" s="962"/>
      <c r="M1451" s="961">
        <f>ROUND(E1451*0.00245,0)</f>
        <v>241</v>
      </c>
      <c r="N1451" s="961">
        <f>ROUND(E1451*0.00387,0)</f>
        <v>380</v>
      </c>
      <c r="O1451" s="962"/>
      <c r="P1451" s="962"/>
      <c r="Q1451" s="962"/>
      <c r="R1451" s="961">
        <f>SUM(F1451:Q1451)</f>
        <v>10887.75</v>
      </c>
      <c r="S1451" s="527">
        <f t="shared" si="190"/>
        <v>7839</v>
      </c>
      <c r="T1451" s="528">
        <f t="shared" si="187"/>
        <v>0</v>
      </c>
      <c r="U1451" s="527">
        <f t="shared" si="188"/>
        <v>380</v>
      </c>
      <c r="W1451" s="326">
        <f t="shared" si="185"/>
        <v>10887.75</v>
      </c>
      <c r="X1451" s="261">
        <f t="shared" si="189"/>
        <v>0</v>
      </c>
      <c r="Z1451" s="1016">
        <f t="shared" si="186"/>
        <v>10266.75</v>
      </c>
    </row>
    <row r="1452" spans="1:26" ht="12" hidden="1" thickBot="1">
      <c r="A1452" s="588" t="s">
        <v>1466</v>
      </c>
      <c r="B1452" s="522" t="s">
        <v>652</v>
      </c>
      <c r="C1452" s="522" t="s">
        <v>676</v>
      </c>
      <c r="D1452" s="523" t="s">
        <v>21</v>
      </c>
      <c r="E1452" s="960"/>
      <c r="F1452" s="961"/>
      <c r="G1452" s="961"/>
      <c r="H1452" s="961"/>
      <c r="I1452" s="961"/>
      <c r="J1452" s="962"/>
      <c r="K1452" s="962"/>
      <c r="L1452" s="962"/>
      <c r="M1452" s="961"/>
      <c r="N1452" s="961"/>
      <c r="O1452" s="962"/>
      <c r="P1452" s="962"/>
      <c r="Q1452" s="962"/>
      <c r="R1452" s="961"/>
      <c r="S1452" s="527">
        <f t="shared" si="190"/>
        <v>0</v>
      </c>
      <c r="T1452" s="528">
        <f t="shared" si="187"/>
        <v>0</v>
      </c>
      <c r="U1452" s="527">
        <f t="shared" si="188"/>
        <v>0</v>
      </c>
      <c r="W1452" s="326">
        <f t="shared" si="185"/>
        <v>0</v>
      </c>
      <c r="X1452" s="261">
        <f t="shared" si="189"/>
        <v>0</v>
      </c>
      <c r="Z1452" s="1016">
        <f t="shared" si="186"/>
        <v>0</v>
      </c>
    </row>
    <row r="1453" spans="1:26" ht="12" hidden="1" thickBot="1">
      <c r="A1453" s="588" t="s">
        <v>1466</v>
      </c>
      <c r="B1453" s="522" t="s">
        <v>728</v>
      </c>
      <c r="C1453" s="522" t="s">
        <v>726</v>
      </c>
      <c r="D1453" s="523" t="s">
        <v>727</v>
      </c>
      <c r="E1453" s="962"/>
      <c r="F1453" s="962"/>
      <c r="G1453" s="962"/>
      <c r="H1453" s="962"/>
      <c r="I1453" s="962"/>
      <c r="J1453" s="962"/>
      <c r="K1453" s="962"/>
      <c r="L1453" s="962"/>
      <c r="M1453" s="962"/>
      <c r="N1453" s="962"/>
      <c r="O1453" s="962"/>
      <c r="P1453" s="962"/>
      <c r="Q1453" s="962"/>
      <c r="R1453" s="961"/>
      <c r="S1453" s="527">
        <f t="shared" si="190"/>
        <v>0</v>
      </c>
      <c r="T1453" s="528">
        <f t="shared" si="187"/>
        <v>0</v>
      </c>
      <c r="U1453" s="527">
        <f t="shared" si="188"/>
        <v>0</v>
      </c>
      <c r="W1453" s="326">
        <f t="shared" si="185"/>
        <v>0</v>
      </c>
      <c r="X1453" s="261">
        <f t="shared" si="189"/>
        <v>0</v>
      </c>
      <c r="Z1453" s="1016">
        <f t="shared" si="186"/>
        <v>0</v>
      </c>
    </row>
    <row r="1454" spans="1:26" ht="12" hidden="1" thickBot="1">
      <c r="A1454" s="588" t="s">
        <v>1466</v>
      </c>
      <c r="B1454" s="522" t="s">
        <v>1043</v>
      </c>
      <c r="C1454" s="522" t="s">
        <v>1044</v>
      </c>
      <c r="D1454" s="523" t="s">
        <v>1052</v>
      </c>
      <c r="E1454" s="962"/>
      <c r="F1454" s="962"/>
      <c r="G1454" s="962"/>
      <c r="H1454" s="962"/>
      <c r="I1454" s="962"/>
      <c r="J1454" s="962"/>
      <c r="K1454" s="962"/>
      <c r="L1454" s="962"/>
      <c r="M1454" s="962"/>
      <c r="N1454" s="962"/>
      <c r="O1454" s="962"/>
      <c r="P1454" s="962"/>
      <c r="Q1454" s="962"/>
      <c r="R1454" s="961"/>
      <c r="S1454" s="527">
        <f t="shared" si="190"/>
        <v>0</v>
      </c>
      <c r="T1454" s="528">
        <f t="shared" si="187"/>
        <v>0</v>
      </c>
      <c r="U1454" s="527">
        <f t="shared" si="188"/>
        <v>0</v>
      </c>
      <c r="W1454" s="326">
        <f t="shared" si="185"/>
        <v>0</v>
      </c>
      <c r="X1454" s="261">
        <f t="shared" si="189"/>
        <v>0</v>
      </c>
      <c r="Z1454" s="1016">
        <f t="shared" si="186"/>
        <v>0</v>
      </c>
    </row>
    <row r="1455" spans="1:26" ht="12" hidden="1" thickBot="1">
      <c r="A1455" s="588" t="s">
        <v>1466</v>
      </c>
      <c r="B1455" s="522" t="s">
        <v>185</v>
      </c>
      <c r="C1455" s="522" t="s">
        <v>1353</v>
      </c>
      <c r="D1455" s="523" t="s">
        <v>224</v>
      </c>
      <c r="E1455" s="960"/>
      <c r="F1455" s="961"/>
      <c r="G1455" s="961"/>
      <c r="H1455" s="961"/>
      <c r="I1455" s="961"/>
      <c r="J1455" s="962"/>
      <c r="K1455" s="962"/>
      <c r="L1455" s="961"/>
      <c r="M1455" s="961"/>
      <c r="N1455" s="961"/>
      <c r="O1455" s="961"/>
      <c r="P1455" s="962"/>
      <c r="Q1455" s="962"/>
      <c r="R1455" s="961"/>
      <c r="S1455" s="527">
        <f t="shared" si="190"/>
        <v>0</v>
      </c>
      <c r="T1455" s="528">
        <f t="shared" si="187"/>
        <v>0</v>
      </c>
      <c r="U1455" s="527">
        <f t="shared" si="188"/>
        <v>0</v>
      </c>
      <c r="W1455" s="326">
        <f t="shared" si="185"/>
        <v>0</v>
      </c>
      <c r="X1455" s="261">
        <f t="shared" si="189"/>
        <v>0</v>
      </c>
      <c r="Z1455" s="1016">
        <f t="shared" si="186"/>
        <v>0</v>
      </c>
    </row>
    <row r="1456" spans="1:26" ht="12" hidden="1" thickBot="1">
      <c r="A1456" s="588" t="s">
        <v>1466</v>
      </c>
      <c r="B1456" s="522" t="s">
        <v>186</v>
      </c>
      <c r="C1456" s="522" t="s">
        <v>1354</v>
      </c>
      <c r="D1456" s="523" t="s">
        <v>18</v>
      </c>
      <c r="E1456" s="960"/>
      <c r="F1456" s="961"/>
      <c r="G1456" s="961"/>
      <c r="H1456" s="961"/>
      <c r="I1456" s="961"/>
      <c r="J1456" s="962"/>
      <c r="K1456" s="962"/>
      <c r="L1456" s="961"/>
      <c r="M1456" s="961"/>
      <c r="N1456" s="961"/>
      <c r="O1456" s="961"/>
      <c r="P1456" s="962"/>
      <c r="Q1456" s="962"/>
      <c r="R1456" s="961"/>
      <c r="S1456" s="527">
        <f t="shared" si="190"/>
        <v>0</v>
      </c>
      <c r="T1456" s="528">
        <f t="shared" si="187"/>
        <v>0</v>
      </c>
      <c r="U1456" s="527">
        <f t="shared" si="188"/>
        <v>0</v>
      </c>
      <c r="W1456" s="326">
        <f t="shared" si="185"/>
        <v>0</v>
      </c>
      <c r="X1456" s="261">
        <f t="shared" si="189"/>
        <v>0</v>
      </c>
      <c r="Z1456" s="1016">
        <f t="shared" si="186"/>
        <v>0</v>
      </c>
    </row>
    <row r="1457" spans="1:26" ht="12" hidden="1" thickBot="1">
      <c r="A1457" s="588" t="s">
        <v>1466</v>
      </c>
      <c r="B1457" s="522" t="s">
        <v>187</v>
      </c>
      <c r="C1457" s="522" t="s">
        <v>457</v>
      </c>
      <c r="D1457" s="542" t="s">
        <v>78</v>
      </c>
      <c r="E1457" s="962"/>
      <c r="F1457" s="962"/>
      <c r="G1457" s="962"/>
      <c r="H1457" s="962"/>
      <c r="I1457" s="962"/>
      <c r="J1457" s="962"/>
      <c r="K1457" s="962"/>
      <c r="L1457" s="962"/>
      <c r="M1457" s="962"/>
      <c r="N1457" s="962"/>
      <c r="O1457" s="962"/>
      <c r="P1457" s="961">
        <v>-989829</v>
      </c>
      <c r="Q1457" s="962"/>
      <c r="R1457" s="961">
        <v>-989829</v>
      </c>
      <c r="S1457" s="527">
        <f t="shared" si="190"/>
        <v>0</v>
      </c>
      <c r="T1457" s="528">
        <f t="shared" si="187"/>
        <v>0</v>
      </c>
      <c r="U1457" s="527">
        <f t="shared" si="188"/>
        <v>0</v>
      </c>
      <c r="W1457" s="326">
        <f t="shared" si="185"/>
        <v>-989829</v>
      </c>
      <c r="X1457" s="261">
        <f t="shared" si="189"/>
        <v>0</v>
      </c>
      <c r="Z1457" s="1016">
        <f t="shared" si="186"/>
        <v>0</v>
      </c>
    </row>
    <row r="1458" spans="1:26" ht="12" hidden="1" thickBot="1">
      <c r="A1458" s="588" t="s">
        <v>1466</v>
      </c>
      <c r="B1458" s="522" t="s">
        <v>188</v>
      </c>
      <c r="C1458" s="522" t="s">
        <v>458</v>
      </c>
      <c r="D1458" s="522"/>
      <c r="E1458" s="962"/>
      <c r="F1458" s="962"/>
      <c r="G1458" s="962"/>
      <c r="H1458" s="962"/>
      <c r="I1458" s="962"/>
      <c r="J1458" s="962"/>
      <c r="K1458" s="962"/>
      <c r="L1458" s="962"/>
      <c r="M1458" s="962"/>
      <c r="N1458" s="962"/>
      <c r="O1458" s="962"/>
      <c r="P1458" s="961"/>
      <c r="Q1458" s="962"/>
      <c r="R1458" s="961"/>
      <c r="S1458" s="527">
        <f t="shared" si="190"/>
        <v>0</v>
      </c>
      <c r="T1458" s="528">
        <f t="shared" si="187"/>
        <v>0</v>
      </c>
      <c r="U1458" s="527">
        <f t="shared" si="188"/>
        <v>0</v>
      </c>
      <c r="W1458" s="326">
        <f t="shared" si="185"/>
        <v>0</v>
      </c>
      <c r="X1458" s="261">
        <f t="shared" si="189"/>
        <v>0</v>
      </c>
      <c r="Z1458" s="1016">
        <f t="shared" si="186"/>
        <v>0</v>
      </c>
    </row>
    <row r="1459" spans="1:26" ht="12" hidden="1" thickBot="1">
      <c r="A1459" s="588" t="s">
        <v>1466</v>
      </c>
      <c r="B1459" s="522" t="s">
        <v>1045</v>
      </c>
      <c r="C1459" s="522" t="s">
        <v>1046</v>
      </c>
      <c r="D1459" s="522"/>
      <c r="E1459" s="962"/>
      <c r="F1459" s="962"/>
      <c r="G1459" s="962"/>
      <c r="H1459" s="962"/>
      <c r="I1459" s="962"/>
      <c r="J1459" s="962"/>
      <c r="K1459" s="962"/>
      <c r="L1459" s="962"/>
      <c r="M1459" s="962"/>
      <c r="N1459" s="962"/>
      <c r="O1459" s="962"/>
      <c r="P1459" s="961"/>
      <c r="Q1459" s="962"/>
      <c r="R1459" s="961"/>
      <c r="S1459" s="527">
        <f t="shared" si="190"/>
        <v>0</v>
      </c>
      <c r="T1459" s="528">
        <f t="shared" si="187"/>
        <v>0</v>
      </c>
      <c r="U1459" s="527">
        <f t="shared" si="188"/>
        <v>0</v>
      </c>
      <c r="W1459" s="326">
        <f t="shared" si="185"/>
        <v>0</v>
      </c>
      <c r="X1459" s="261">
        <f t="shared" si="189"/>
        <v>0</v>
      </c>
      <c r="Z1459" s="1016">
        <f t="shared" si="186"/>
        <v>0</v>
      </c>
    </row>
    <row r="1460" spans="1:26" ht="12" hidden="1" thickBot="1">
      <c r="A1460" s="588" t="s">
        <v>1466</v>
      </c>
      <c r="B1460" s="522" t="s">
        <v>945</v>
      </c>
      <c r="C1460" s="522" t="s">
        <v>946</v>
      </c>
      <c r="D1460" s="522"/>
      <c r="E1460" s="962"/>
      <c r="F1460" s="962"/>
      <c r="G1460" s="962"/>
      <c r="H1460" s="962"/>
      <c r="I1460" s="962"/>
      <c r="J1460" s="962"/>
      <c r="K1460" s="962"/>
      <c r="L1460" s="962"/>
      <c r="M1460" s="962"/>
      <c r="N1460" s="962"/>
      <c r="O1460" s="962"/>
      <c r="P1460" s="962"/>
      <c r="Q1460" s="962"/>
      <c r="R1460" s="962"/>
      <c r="S1460" s="527">
        <f t="shared" si="190"/>
        <v>0</v>
      </c>
      <c r="T1460" s="528">
        <f t="shared" si="187"/>
        <v>0</v>
      </c>
      <c r="U1460" s="527">
        <f t="shared" si="188"/>
        <v>0</v>
      </c>
      <c r="W1460" s="326">
        <f t="shared" si="185"/>
        <v>0</v>
      </c>
      <c r="X1460" s="261">
        <f t="shared" si="189"/>
        <v>0</v>
      </c>
      <c r="Z1460" s="1016">
        <f t="shared" si="186"/>
        <v>0</v>
      </c>
    </row>
    <row r="1461" spans="1:26" ht="12" hidden="1" thickBot="1">
      <c r="A1461" s="588" t="s">
        <v>1466</v>
      </c>
      <c r="B1461" s="522" t="s">
        <v>947</v>
      </c>
      <c r="C1461" s="522" t="s">
        <v>948</v>
      </c>
      <c r="D1461" s="522"/>
      <c r="E1461" s="962"/>
      <c r="F1461" s="962"/>
      <c r="G1461" s="962"/>
      <c r="H1461" s="962"/>
      <c r="I1461" s="962"/>
      <c r="J1461" s="962"/>
      <c r="K1461" s="962"/>
      <c r="L1461" s="962"/>
      <c r="M1461" s="962"/>
      <c r="N1461" s="962"/>
      <c r="O1461" s="962"/>
      <c r="P1461" s="962"/>
      <c r="Q1461" s="962"/>
      <c r="R1461" s="962"/>
      <c r="S1461" s="527">
        <f t="shared" si="190"/>
        <v>0</v>
      </c>
      <c r="T1461" s="528">
        <f t="shared" si="187"/>
        <v>0</v>
      </c>
      <c r="U1461" s="527">
        <f t="shared" si="188"/>
        <v>0</v>
      </c>
      <c r="W1461" s="326">
        <f t="shared" si="185"/>
        <v>0</v>
      </c>
      <c r="X1461" s="261">
        <f t="shared" si="189"/>
        <v>0</v>
      </c>
      <c r="Z1461" s="1016">
        <f t="shared" si="186"/>
        <v>0</v>
      </c>
    </row>
    <row r="1462" spans="1:26" ht="12" hidden="1" thickBot="1">
      <c r="A1462" s="588" t="s">
        <v>1466</v>
      </c>
      <c r="B1462" s="522" t="s">
        <v>189</v>
      </c>
      <c r="C1462" s="522" t="s">
        <v>208</v>
      </c>
      <c r="D1462" s="533" t="s">
        <v>675</v>
      </c>
      <c r="E1462" s="960">
        <v>44497248</v>
      </c>
      <c r="F1462" s="961">
        <v>750</v>
      </c>
      <c r="G1462" s="961">
        <v>164195</v>
      </c>
      <c r="H1462" s="961">
        <v>1286860</v>
      </c>
      <c r="I1462" s="962"/>
      <c r="J1462" s="961">
        <v>51887</v>
      </c>
      <c r="K1462" s="961">
        <v>668312</v>
      </c>
      <c r="L1462" s="961"/>
      <c r="M1462" s="961">
        <v>109000</v>
      </c>
      <c r="N1462" s="961"/>
      <c r="O1462" s="961">
        <v>172077</v>
      </c>
      <c r="P1462" s="962"/>
      <c r="Q1462" s="962"/>
      <c r="R1462" s="961">
        <v>2453082</v>
      </c>
      <c r="S1462" s="527">
        <f t="shared" si="190"/>
        <v>1451055</v>
      </c>
      <c r="T1462" s="528">
        <f t="shared" si="187"/>
        <v>720199</v>
      </c>
      <c r="U1462" s="527">
        <f t="shared" si="188"/>
        <v>172077</v>
      </c>
      <c r="W1462" s="326">
        <f t="shared" si="185"/>
        <v>2453081</v>
      </c>
      <c r="X1462" s="261">
        <f t="shared" si="189"/>
        <v>-1</v>
      </c>
      <c r="Z1462" s="1016">
        <f t="shared" si="186"/>
        <v>2172004</v>
      </c>
    </row>
    <row r="1463" spans="1:26" ht="12" hidden="1" thickBot="1">
      <c r="A1463" s="588" t="s">
        <v>1466</v>
      </c>
      <c r="B1463" s="522" t="s">
        <v>209</v>
      </c>
      <c r="C1463" s="522" t="s">
        <v>210</v>
      </c>
      <c r="D1463" s="522"/>
      <c r="E1463" s="960"/>
      <c r="F1463" s="962"/>
      <c r="G1463" s="961"/>
      <c r="H1463" s="962"/>
      <c r="I1463" s="962"/>
      <c r="J1463" s="962"/>
      <c r="K1463" s="961"/>
      <c r="L1463" s="962"/>
      <c r="M1463" s="961"/>
      <c r="N1463" s="962"/>
      <c r="O1463" s="962"/>
      <c r="P1463" s="962"/>
      <c r="Q1463" s="962"/>
      <c r="R1463" s="961"/>
      <c r="S1463" s="527">
        <f t="shared" si="190"/>
        <v>0</v>
      </c>
      <c r="T1463" s="528">
        <f t="shared" si="187"/>
        <v>0</v>
      </c>
      <c r="U1463" s="527">
        <f t="shared" si="188"/>
        <v>0</v>
      </c>
      <c r="W1463" s="326">
        <f t="shared" si="185"/>
        <v>0</v>
      </c>
      <c r="X1463" s="261">
        <f t="shared" si="189"/>
        <v>0</v>
      </c>
      <c r="Z1463" s="1016">
        <f t="shared" si="186"/>
        <v>0</v>
      </c>
    </row>
    <row r="1464" spans="1:26" ht="12" hidden="1" thickBot="1">
      <c r="A1464" s="588" t="s">
        <v>1466</v>
      </c>
      <c r="B1464" s="522" t="s">
        <v>211</v>
      </c>
      <c r="C1464" s="522" t="s">
        <v>212</v>
      </c>
      <c r="D1464" s="522"/>
      <c r="E1464" s="960"/>
      <c r="F1464" s="962"/>
      <c r="G1464" s="961"/>
      <c r="H1464" s="962"/>
      <c r="I1464" s="962"/>
      <c r="J1464" s="962"/>
      <c r="K1464" s="961"/>
      <c r="L1464" s="962"/>
      <c r="M1464" s="961"/>
      <c r="N1464" s="962"/>
      <c r="O1464" s="962"/>
      <c r="P1464" s="962"/>
      <c r="Q1464" s="962"/>
      <c r="R1464" s="961"/>
      <c r="S1464" s="527">
        <f t="shared" si="190"/>
        <v>0</v>
      </c>
      <c r="T1464" s="528">
        <f t="shared" si="187"/>
        <v>0</v>
      </c>
      <c r="U1464" s="527">
        <f t="shared" si="188"/>
        <v>0</v>
      </c>
      <c r="W1464" s="326">
        <f t="shared" si="185"/>
        <v>0</v>
      </c>
      <c r="X1464" s="261">
        <f t="shared" si="189"/>
        <v>0</v>
      </c>
      <c r="Z1464" s="1016">
        <f t="shared" si="186"/>
        <v>0</v>
      </c>
    </row>
    <row r="1465" spans="1:26" ht="12" hidden="1" thickBot="1">
      <c r="A1465" s="588" t="s">
        <v>1466</v>
      </c>
      <c r="B1465" s="522" t="s">
        <v>213</v>
      </c>
      <c r="C1465" s="522" t="s">
        <v>214</v>
      </c>
      <c r="D1465" s="522"/>
      <c r="E1465" s="960"/>
      <c r="F1465" s="962"/>
      <c r="G1465" s="961"/>
      <c r="H1465" s="962"/>
      <c r="I1465" s="962"/>
      <c r="J1465" s="962"/>
      <c r="K1465" s="961"/>
      <c r="L1465" s="962"/>
      <c r="M1465" s="961"/>
      <c r="N1465" s="962"/>
      <c r="O1465" s="962"/>
      <c r="P1465" s="962"/>
      <c r="Q1465" s="962"/>
      <c r="R1465" s="961"/>
      <c r="S1465" s="527">
        <f t="shared" si="190"/>
        <v>0</v>
      </c>
      <c r="T1465" s="528">
        <f t="shared" si="187"/>
        <v>0</v>
      </c>
      <c r="U1465" s="527">
        <f t="shared" si="188"/>
        <v>0</v>
      </c>
      <c r="W1465" s="326">
        <f t="shared" ref="W1465:W1525" si="191">SUM(F1465:Q1465)</f>
        <v>0</v>
      </c>
      <c r="X1465" s="261">
        <f t="shared" si="189"/>
        <v>0</v>
      </c>
      <c r="Z1465" s="1016">
        <f t="shared" si="186"/>
        <v>0</v>
      </c>
    </row>
    <row r="1466" spans="1:26" ht="12" hidden="1" thickBot="1">
      <c r="A1466" s="588" t="s">
        <v>1466</v>
      </c>
      <c r="B1466" s="522" t="s">
        <v>949</v>
      </c>
      <c r="C1466" s="522" t="s">
        <v>943</v>
      </c>
      <c r="D1466" s="522"/>
      <c r="E1466" s="962"/>
      <c r="F1466" s="962"/>
      <c r="G1466" s="962"/>
      <c r="H1466" s="962"/>
      <c r="I1466" s="962"/>
      <c r="J1466" s="962"/>
      <c r="K1466" s="962"/>
      <c r="L1466" s="962"/>
      <c r="M1466" s="962"/>
      <c r="N1466" s="962"/>
      <c r="O1466" s="962"/>
      <c r="P1466" s="962"/>
      <c r="Q1466" s="962"/>
      <c r="R1466" s="962"/>
      <c r="S1466" s="527">
        <f t="shared" si="190"/>
        <v>0</v>
      </c>
      <c r="T1466" s="528">
        <f t="shared" si="187"/>
        <v>0</v>
      </c>
      <c r="U1466" s="527">
        <f t="shared" si="188"/>
        <v>0</v>
      </c>
      <c r="W1466" s="326">
        <f t="shared" si="191"/>
        <v>0</v>
      </c>
      <c r="X1466" s="261">
        <f t="shared" si="189"/>
        <v>0</v>
      </c>
      <c r="Z1466" s="1016">
        <f t="shared" si="186"/>
        <v>0</v>
      </c>
    </row>
    <row r="1467" spans="1:26" ht="12" hidden="1" thickBot="1">
      <c r="A1467" s="588" t="s">
        <v>1466</v>
      </c>
      <c r="B1467" s="522" t="s">
        <v>190</v>
      </c>
      <c r="C1467" s="522" t="s">
        <v>111</v>
      </c>
      <c r="D1467" s="533" t="s">
        <v>15</v>
      </c>
      <c r="E1467" s="960">
        <v>412194813</v>
      </c>
      <c r="F1467" s="961">
        <v>4598658</v>
      </c>
      <c r="G1467" s="961">
        <v>18701279</v>
      </c>
      <c r="H1467" s="961">
        <v>11920674</v>
      </c>
      <c r="I1467" s="961">
        <v>1298414</v>
      </c>
      <c r="J1467" s="962"/>
      <c r="K1467" s="962"/>
      <c r="L1467" s="961">
        <v>833836</v>
      </c>
      <c r="M1467" s="961">
        <v>1009706</v>
      </c>
      <c r="N1467" s="961">
        <v>1594018</v>
      </c>
      <c r="O1467" s="962"/>
      <c r="P1467" s="962"/>
      <c r="Q1467" s="961"/>
      <c r="R1467" s="961">
        <v>39956584</v>
      </c>
      <c r="S1467" s="527">
        <f t="shared" si="190"/>
        <v>31920367</v>
      </c>
      <c r="T1467" s="528">
        <f t="shared" si="187"/>
        <v>0</v>
      </c>
      <c r="U1467" s="527">
        <f t="shared" si="188"/>
        <v>1594018</v>
      </c>
      <c r="W1467" s="326">
        <f t="shared" si="191"/>
        <v>39956585</v>
      </c>
      <c r="X1467" s="261">
        <f t="shared" si="189"/>
        <v>1</v>
      </c>
      <c r="Z1467" s="1016">
        <f t="shared" si="186"/>
        <v>36519025</v>
      </c>
    </row>
    <row r="1468" spans="1:26" ht="12" hidden="1" thickBot="1">
      <c r="A1468" s="588" t="s">
        <v>1466</v>
      </c>
      <c r="B1468" s="522" t="s">
        <v>191</v>
      </c>
      <c r="C1468" s="522" t="s">
        <v>215</v>
      </c>
      <c r="D1468" s="533" t="s">
        <v>15</v>
      </c>
      <c r="E1468" s="960"/>
      <c r="F1468" s="961"/>
      <c r="G1468" s="961"/>
      <c r="H1468" s="961"/>
      <c r="I1468" s="961"/>
      <c r="J1468" s="962"/>
      <c r="K1468" s="962"/>
      <c r="L1468" s="961"/>
      <c r="M1468" s="961"/>
      <c r="N1468" s="961"/>
      <c r="O1468" s="962"/>
      <c r="P1468" s="962"/>
      <c r="Q1468" s="961"/>
      <c r="R1468" s="961"/>
      <c r="S1468" s="527">
        <f t="shared" si="190"/>
        <v>0</v>
      </c>
      <c r="T1468" s="528">
        <f t="shared" si="187"/>
        <v>0</v>
      </c>
      <c r="U1468" s="527">
        <f t="shared" si="188"/>
        <v>0</v>
      </c>
      <c r="W1468" s="326">
        <f t="shared" si="191"/>
        <v>0</v>
      </c>
      <c r="X1468" s="261">
        <f t="shared" si="189"/>
        <v>0</v>
      </c>
      <c r="Z1468" s="1016">
        <f t="shared" si="186"/>
        <v>0</v>
      </c>
    </row>
    <row r="1469" spans="1:26" ht="12" hidden="1" thickBot="1">
      <c r="A1469" s="588" t="s">
        <v>1466</v>
      </c>
      <c r="B1469" s="522" t="s">
        <v>192</v>
      </c>
      <c r="C1469" s="522" t="s">
        <v>216</v>
      </c>
      <c r="D1469" s="533" t="s">
        <v>15</v>
      </c>
      <c r="E1469" s="960"/>
      <c r="F1469" s="961"/>
      <c r="G1469" s="961"/>
      <c r="H1469" s="961"/>
      <c r="I1469" s="961"/>
      <c r="J1469" s="962"/>
      <c r="K1469" s="962"/>
      <c r="L1469" s="961"/>
      <c r="M1469" s="961"/>
      <c r="N1469" s="961"/>
      <c r="O1469" s="962"/>
      <c r="P1469" s="962"/>
      <c r="Q1469" s="962"/>
      <c r="R1469" s="961"/>
      <c r="S1469" s="527">
        <f t="shared" si="190"/>
        <v>0</v>
      </c>
      <c r="T1469" s="528">
        <f t="shared" si="187"/>
        <v>0</v>
      </c>
      <c r="U1469" s="527">
        <f t="shared" si="188"/>
        <v>0</v>
      </c>
      <c r="W1469" s="326">
        <f t="shared" si="191"/>
        <v>0</v>
      </c>
      <c r="X1469" s="261">
        <f t="shared" si="189"/>
        <v>0</v>
      </c>
      <c r="Z1469" s="1016">
        <f t="shared" si="186"/>
        <v>0</v>
      </c>
    </row>
    <row r="1470" spans="1:26" ht="12" hidden="1" thickBot="1">
      <c r="A1470" s="588" t="s">
        <v>1466</v>
      </c>
      <c r="B1470" s="522" t="s">
        <v>477</v>
      </c>
      <c r="C1470" s="522" t="s">
        <v>1263</v>
      </c>
      <c r="D1470" s="542" t="s">
        <v>807</v>
      </c>
      <c r="E1470" s="960"/>
      <c r="F1470" s="961"/>
      <c r="G1470" s="961"/>
      <c r="H1470" s="961"/>
      <c r="I1470" s="961"/>
      <c r="J1470" s="962"/>
      <c r="K1470" s="962"/>
      <c r="L1470" s="961"/>
      <c r="M1470" s="961"/>
      <c r="N1470" s="961"/>
      <c r="O1470" s="962"/>
      <c r="P1470" s="962"/>
      <c r="Q1470" s="962"/>
      <c r="R1470" s="961"/>
      <c r="S1470" s="527">
        <f t="shared" si="190"/>
        <v>0</v>
      </c>
      <c r="T1470" s="528">
        <f t="shared" si="187"/>
        <v>0</v>
      </c>
      <c r="U1470" s="527">
        <f t="shared" si="188"/>
        <v>0</v>
      </c>
      <c r="W1470" s="326">
        <f t="shared" si="191"/>
        <v>0</v>
      </c>
      <c r="X1470" s="261">
        <f t="shared" si="189"/>
        <v>0</v>
      </c>
      <c r="Z1470" s="1016">
        <f t="shared" si="186"/>
        <v>0</v>
      </c>
    </row>
    <row r="1471" spans="1:26" ht="12" hidden="1" thickBot="1">
      <c r="A1471" s="588" t="s">
        <v>1466</v>
      </c>
      <c r="B1471" s="522" t="s">
        <v>193</v>
      </c>
      <c r="C1471" s="522" t="s">
        <v>217</v>
      </c>
      <c r="D1471" s="533" t="s">
        <v>15</v>
      </c>
      <c r="E1471" s="960"/>
      <c r="F1471" s="961"/>
      <c r="G1471" s="961"/>
      <c r="H1471" s="961"/>
      <c r="I1471" s="961"/>
      <c r="J1471" s="962"/>
      <c r="K1471" s="962"/>
      <c r="L1471" s="961"/>
      <c r="M1471" s="961"/>
      <c r="N1471" s="961"/>
      <c r="O1471" s="962"/>
      <c r="P1471" s="962"/>
      <c r="Q1471" s="962"/>
      <c r="R1471" s="961"/>
      <c r="S1471" s="527">
        <f t="shared" si="190"/>
        <v>0</v>
      </c>
      <c r="T1471" s="528">
        <f t="shared" si="187"/>
        <v>0</v>
      </c>
      <c r="U1471" s="527">
        <f t="shared" si="188"/>
        <v>0</v>
      </c>
      <c r="W1471" s="326">
        <f t="shared" si="191"/>
        <v>0</v>
      </c>
      <c r="X1471" s="261">
        <f t="shared" si="189"/>
        <v>0</v>
      </c>
      <c r="Z1471" s="1016">
        <f t="shared" si="186"/>
        <v>0</v>
      </c>
    </row>
    <row r="1472" spans="1:26" ht="12" hidden="1" thickBot="1">
      <c r="A1472" s="588" t="s">
        <v>1466</v>
      </c>
      <c r="B1472" s="522" t="s">
        <v>194</v>
      </c>
      <c r="C1472" s="522" t="s">
        <v>218</v>
      </c>
      <c r="D1472" s="533" t="s">
        <v>15</v>
      </c>
      <c r="E1472" s="960"/>
      <c r="F1472" s="961"/>
      <c r="G1472" s="961"/>
      <c r="H1472" s="961"/>
      <c r="I1472" s="961"/>
      <c r="J1472" s="962"/>
      <c r="K1472" s="962"/>
      <c r="L1472" s="961"/>
      <c r="M1472" s="961"/>
      <c r="N1472" s="961"/>
      <c r="O1472" s="962"/>
      <c r="P1472" s="962"/>
      <c r="Q1472" s="962"/>
      <c r="R1472" s="961"/>
      <c r="S1472" s="527">
        <f t="shared" si="190"/>
        <v>0</v>
      </c>
      <c r="T1472" s="528">
        <f t="shared" si="187"/>
        <v>0</v>
      </c>
      <c r="U1472" s="527">
        <f t="shared" si="188"/>
        <v>0</v>
      </c>
      <c r="W1472" s="326">
        <f t="shared" si="191"/>
        <v>0</v>
      </c>
      <c r="X1472" s="261">
        <f t="shared" si="189"/>
        <v>0</v>
      </c>
      <c r="Z1472" s="1016">
        <f t="shared" si="186"/>
        <v>0</v>
      </c>
    </row>
    <row r="1473" spans="1:26" ht="12" hidden="1" thickBot="1">
      <c r="A1473" s="588" t="s">
        <v>1466</v>
      </c>
      <c r="B1473" s="522" t="s">
        <v>950</v>
      </c>
      <c r="C1473" s="522" t="s">
        <v>951</v>
      </c>
      <c r="D1473" s="522"/>
      <c r="E1473" s="962"/>
      <c r="F1473" s="962"/>
      <c r="G1473" s="962"/>
      <c r="H1473" s="962"/>
      <c r="I1473" s="962"/>
      <c r="J1473" s="962"/>
      <c r="K1473" s="962"/>
      <c r="L1473" s="962"/>
      <c r="M1473" s="962"/>
      <c r="N1473" s="962"/>
      <c r="O1473" s="962"/>
      <c r="P1473" s="962"/>
      <c r="Q1473" s="962"/>
      <c r="R1473" s="962"/>
      <c r="S1473" s="527">
        <f t="shared" si="190"/>
        <v>0</v>
      </c>
      <c r="T1473" s="528">
        <f t="shared" si="187"/>
        <v>0</v>
      </c>
      <c r="U1473" s="527">
        <f t="shared" si="188"/>
        <v>0</v>
      </c>
      <c r="W1473" s="326">
        <f t="shared" si="191"/>
        <v>0</v>
      </c>
      <c r="X1473" s="261">
        <f t="shared" si="189"/>
        <v>0</v>
      </c>
      <c r="Z1473" s="1016">
        <f t="shared" ref="Z1473:Z1533" si="192">SUM(F1473:K1473)</f>
        <v>0</v>
      </c>
    </row>
    <row r="1474" spans="1:26" ht="12" hidden="1" thickBot="1">
      <c r="A1474" s="588" t="s">
        <v>1466</v>
      </c>
      <c r="B1474" s="522" t="s">
        <v>339</v>
      </c>
      <c r="C1474" s="522" t="s">
        <v>952</v>
      </c>
      <c r="D1474" s="523" t="s">
        <v>1035</v>
      </c>
      <c r="E1474" s="960"/>
      <c r="F1474" s="962"/>
      <c r="G1474" s="961"/>
      <c r="H1474" s="962"/>
      <c r="I1474" s="962"/>
      <c r="J1474" s="962"/>
      <c r="K1474" s="962"/>
      <c r="L1474" s="962"/>
      <c r="M1474" s="961"/>
      <c r="N1474" s="961"/>
      <c r="O1474" s="962"/>
      <c r="P1474" s="962"/>
      <c r="Q1474" s="961"/>
      <c r="R1474" s="961"/>
      <c r="S1474" s="527">
        <f t="shared" si="190"/>
        <v>0</v>
      </c>
      <c r="T1474" s="528">
        <f t="shared" si="187"/>
        <v>0</v>
      </c>
      <c r="U1474" s="527">
        <f t="shared" si="188"/>
        <v>0</v>
      </c>
      <c r="W1474" s="326">
        <f t="shared" si="191"/>
        <v>0</v>
      </c>
      <c r="X1474" s="261">
        <f t="shared" si="189"/>
        <v>0</v>
      </c>
      <c r="Z1474" s="1016">
        <f t="shared" si="192"/>
        <v>0</v>
      </c>
    </row>
    <row r="1475" spans="1:26" ht="12" hidden="1" thickBot="1">
      <c r="A1475" s="588" t="s">
        <v>1466</v>
      </c>
      <c r="B1475" s="522" t="s">
        <v>344</v>
      </c>
      <c r="C1475" s="522" t="s">
        <v>953</v>
      </c>
      <c r="D1475" s="523" t="s">
        <v>1035</v>
      </c>
      <c r="E1475" s="960"/>
      <c r="F1475" s="962"/>
      <c r="G1475" s="961"/>
      <c r="H1475" s="962"/>
      <c r="I1475" s="962"/>
      <c r="J1475" s="962"/>
      <c r="K1475" s="962"/>
      <c r="L1475" s="962"/>
      <c r="M1475" s="961"/>
      <c r="N1475" s="961"/>
      <c r="O1475" s="962"/>
      <c r="P1475" s="962"/>
      <c r="Q1475" s="961"/>
      <c r="R1475" s="961"/>
      <c r="S1475" s="527">
        <f>G1475+H1475+I1475</f>
        <v>0</v>
      </c>
      <c r="T1475" s="528">
        <f>J1475+K1475</f>
        <v>0</v>
      </c>
      <c r="U1475" s="527">
        <f>N1475+O1475</f>
        <v>0</v>
      </c>
      <c r="W1475" s="326">
        <f t="shared" si="191"/>
        <v>0</v>
      </c>
      <c r="X1475" s="261"/>
      <c r="Z1475" s="1016">
        <f t="shared" si="192"/>
        <v>0</v>
      </c>
    </row>
    <row r="1476" spans="1:26" ht="12" hidden="1" thickBot="1">
      <c r="A1476" s="588" t="s">
        <v>1466</v>
      </c>
      <c r="B1476" s="522" t="s">
        <v>347</v>
      </c>
      <c r="C1476" s="522" t="s">
        <v>954</v>
      </c>
      <c r="D1476" s="523" t="s">
        <v>1035</v>
      </c>
      <c r="E1476" s="960"/>
      <c r="F1476" s="962"/>
      <c r="G1476" s="961"/>
      <c r="H1476" s="962"/>
      <c r="I1476" s="962"/>
      <c r="J1476" s="962"/>
      <c r="K1476" s="962"/>
      <c r="L1476" s="962"/>
      <c r="M1476" s="961"/>
      <c r="N1476" s="961"/>
      <c r="O1476" s="962"/>
      <c r="P1476" s="962"/>
      <c r="Q1476" s="961"/>
      <c r="R1476" s="961"/>
      <c r="S1476" s="527">
        <f>G1476+H1476+I1476</f>
        <v>0</v>
      </c>
      <c r="T1476" s="528">
        <f>J1476+K1476</f>
        <v>0</v>
      </c>
      <c r="U1476" s="527">
        <f>N1476+O1476</f>
        <v>0</v>
      </c>
      <c r="W1476" s="326">
        <f t="shared" si="191"/>
        <v>0</v>
      </c>
      <c r="X1476" s="261"/>
      <c r="Z1476" s="1016">
        <f t="shared" si="192"/>
        <v>0</v>
      </c>
    </row>
    <row r="1477" spans="1:26" ht="12" hidden="1" thickBot="1">
      <c r="A1477" s="588" t="s">
        <v>1466</v>
      </c>
      <c r="B1477" s="522" t="s">
        <v>348</v>
      </c>
      <c r="C1477" s="522" t="s">
        <v>955</v>
      </c>
      <c r="D1477" s="523" t="s">
        <v>1035</v>
      </c>
      <c r="E1477" s="960"/>
      <c r="F1477" s="962"/>
      <c r="G1477" s="961"/>
      <c r="H1477" s="962"/>
      <c r="I1477" s="962"/>
      <c r="J1477" s="962"/>
      <c r="K1477" s="962"/>
      <c r="L1477" s="962"/>
      <c r="M1477" s="961"/>
      <c r="N1477" s="961"/>
      <c r="O1477" s="962"/>
      <c r="P1477" s="962"/>
      <c r="Q1477" s="961"/>
      <c r="R1477" s="961"/>
      <c r="S1477" s="527">
        <f t="shared" ref="S1477:S1502" si="193">G1477+H1477+I1477</f>
        <v>0</v>
      </c>
      <c r="T1477" s="528">
        <f t="shared" ref="T1477:T1502" si="194">J1477+K1477</f>
        <v>0</v>
      </c>
      <c r="U1477" s="527">
        <f t="shared" ref="U1477:U1537" si="195">N1477+O1477</f>
        <v>0</v>
      </c>
      <c r="W1477" s="326">
        <f t="shared" si="191"/>
        <v>0</v>
      </c>
      <c r="X1477" s="261">
        <f t="shared" ref="X1477:X1502" si="196">W1477-R1477</f>
        <v>0</v>
      </c>
      <c r="Z1477" s="1016">
        <f t="shared" si="192"/>
        <v>0</v>
      </c>
    </row>
    <row r="1478" spans="1:26" ht="12" hidden="1" thickBot="1">
      <c r="A1478" s="588" t="s">
        <v>1466</v>
      </c>
      <c r="B1478" s="522" t="s">
        <v>349</v>
      </c>
      <c r="C1478" s="522" t="s">
        <v>956</v>
      </c>
      <c r="D1478" s="523" t="s">
        <v>1035</v>
      </c>
      <c r="E1478" s="960"/>
      <c r="F1478" s="962"/>
      <c r="G1478" s="961"/>
      <c r="H1478" s="962"/>
      <c r="I1478" s="962"/>
      <c r="J1478" s="962"/>
      <c r="K1478" s="962"/>
      <c r="L1478" s="962"/>
      <c r="M1478" s="961"/>
      <c r="N1478" s="961"/>
      <c r="O1478" s="962"/>
      <c r="P1478" s="962"/>
      <c r="Q1478" s="961"/>
      <c r="R1478" s="961"/>
      <c r="S1478" s="527">
        <f t="shared" si="193"/>
        <v>0</v>
      </c>
      <c r="T1478" s="528">
        <f t="shared" si="194"/>
        <v>0</v>
      </c>
      <c r="U1478" s="527">
        <f t="shared" si="195"/>
        <v>0</v>
      </c>
      <c r="W1478" s="326">
        <f t="shared" si="191"/>
        <v>0</v>
      </c>
      <c r="X1478" s="261">
        <f t="shared" si="196"/>
        <v>0</v>
      </c>
      <c r="Z1478" s="1016">
        <f t="shared" si="192"/>
        <v>0</v>
      </c>
    </row>
    <row r="1479" spans="1:26" ht="12" hidden="1" thickBot="1">
      <c r="A1479" s="588" t="s">
        <v>1466</v>
      </c>
      <c r="B1479" s="522" t="s">
        <v>351</v>
      </c>
      <c r="C1479" s="522" t="s">
        <v>957</v>
      </c>
      <c r="D1479" s="523" t="s">
        <v>1035</v>
      </c>
      <c r="E1479" s="960"/>
      <c r="F1479" s="962"/>
      <c r="G1479" s="961"/>
      <c r="H1479" s="962"/>
      <c r="I1479" s="962"/>
      <c r="J1479" s="962"/>
      <c r="K1479" s="962"/>
      <c r="L1479" s="962"/>
      <c r="M1479" s="961"/>
      <c r="N1479" s="961"/>
      <c r="O1479" s="962"/>
      <c r="P1479" s="962"/>
      <c r="Q1479" s="961"/>
      <c r="R1479" s="961"/>
      <c r="S1479" s="527">
        <f t="shared" si="193"/>
        <v>0</v>
      </c>
      <c r="T1479" s="528">
        <f t="shared" si="194"/>
        <v>0</v>
      </c>
      <c r="U1479" s="527">
        <f t="shared" si="195"/>
        <v>0</v>
      </c>
      <c r="W1479" s="326">
        <f t="shared" si="191"/>
        <v>0</v>
      </c>
      <c r="X1479" s="261">
        <f t="shared" si="196"/>
        <v>0</v>
      </c>
      <c r="Z1479" s="1016">
        <f t="shared" si="192"/>
        <v>0</v>
      </c>
    </row>
    <row r="1480" spans="1:26" ht="12" hidden="1" thickBot="1">
      <c r="A1480" s="588" t="s">
        <v>1466</v>
      </c>
      <c r="B1480" s="522" t="s">
        <v>352</v>
      </c>
      <c r="C1480" s="522" t="s">
        <v>958</v>
      </c>
      <c r="D1480" s="523" t="s">
        <v>1035</v>
      </c>
      <c r="E1480" s="960"/>
      <c r="F1480" s="962"/>
      <c r="G1480" s="961"/>
      <c r="H1480" s="962"/>
      <c r="I1480" s="962"/>
      <c r="J1480" s="962"/>
      <c r="K1480" s="962"/>
      <c r="L1480" s="962"/>
      <c r="M1480" s="961"/>
      <c r="N1480" s="961"/>
      <c r="O1480" s="962"/>
      <c r="P1480" s="962"/>
      <c r="Q1480" s="961"/>
      <c r="R1480" s="961"/>
      <c r="S1480" s="527">
        <f t="shared" si="193"/>
        <v>0</v>
      </c>
      <c r="T1480" s="528">
        <f t="shared" si="194"/>
        <v>0</v>
      </c>
      <c r="U1480" s="527">
        <f t="shared" si="195"/>
        <v>0</v>
      </c>
      <c r="W1480" s="326">
        <f t="shared" si="191"/>
        <v>0</v>
      </c>
      <c r="X1480" s="261">
        <f t="shared" si="196"/>
        <v>0</v>
      </c>
      <c r="Z1480" s="1016">
        <f t="shared" si="192"/>
        <v>0</v>
      </c>
    </row>
    <row r="1481" spans="1:26" ht="12" hidden="1" thickBot="1">
      <c r="A1481" s="588" t="s">
        <v>1466</v>
      </c>
      <c r="B1481" s="522" t="s">
        <v>354</v>
      </c>
      <c r="C1481" s="522" t="s">
        <v>959</v>
      </c>
      <c r="D1481" s="523" t="s">
        <v>1035</v>
      </c>
      <c r="E1481" s="960"/>
      <c r="F1481" s="962"/>
      <c r="G1481" s="961"/>
      <c r="H1481" s="962"/>
      <c r="I1481" s="962"/>
      <c r="J1481" s="962"/>
      <c r="K1481" s="962"/>
      <c r="L1481" s="962"/>
      <c r="M1481" s="961"/>
      <c r="N1481" s="961"/>
      <c r="O1481" s="962"/>
      <c r="P1481" s="962"/>
      <c r="Q1481" s="961"/>
      <c r="R1481" s="961"/>
      <c r="S1481" s="527">
        <f t="shared" si="193"/>
        <v>0</v>
      </c>
      <c r="T1481" s="528">
        <f t="shared" si="194"/>
        <v>0</v>
      </c>
      <c r="U1481" s="527">
        <f t="shared" si="195"/>
        <v>0</v>
      </c>
      <c r="W1481" s="326">
        <f t="shared" si="191"/>
        <v>0</v>
      </c>
      <c r="X1481" s="261">
        <f t="shared" si="196"/>
        <v>0</v>
      </c>
      <c r="Z1481" s="1016">
        <f t="shared" si="192"/>
        <v>0</v>
      </c>
    </row>
    <row r="1482" spans="1:26" ht="12" hidden="1" thickBot="1">
      <c r="A1482" s="588" t="s">
        <v>1466</v>
      </c>
      <c r="B1482" s="522" t="s">
        <v>355</v>
      </c>
      <c r="C1482" s="522" t="s">
        <v>960</v>
      </c>
      <c r="D1482" s="523" t="s">
        <v>1035</v>
      </c>
      <c r="E1482" s="960"/>
      <c r="F1482" s="962"/>
      <c r="G1482" s="961"/>
      <c r="H1482" s="962"/>
      <c r="I1482" s="962"/>
      <c r="J1482" s="962"/>
      <c r="K1482" s="962"/>
      <c r="L1482" s="962"/>
      <c r="M1482" s="961"/>
      <c r="N1482" s="961"/>
      <c r="O1482" s="962"/>
      <c r="P1482" s="962"/>
      <c r="Q1482" s="961"/>
      <c r="R1482" s="961"/>
      <c r="S1482" s="527">
        <f t="shared" si="193"/>
        <v>0</v>
      </c>
      <c r="T1482" s="528">
        <f t="shared" si="194"/>
        <v>0</v>
      </c>
      <c r="U1482" s="527">
        <f t="shared" si="195"/>
        <v>0</v>
      </c>
      <c r="W1482" s="326">
        <f t="shared" si="191"/>
        <v>0</v>
      </c>
      <c r="X1482" s="261">
        <f t="shared" si="196"/>
        <v>0</v>
      </c>
      <c r="Z1482" s="1016">
        <f t="shared" si="192"/>
        <v>0</v>
      </c>
    </row>
    <row r="1483" spans="1:26" ht="12" hidden="1" thickBot="1">
      <c r="A1483" s="588" t="s">
        <v>1466</v>
      </c>
      <c r="B1483" s="522" t="s">
        <v>341</v>
      </c>
      <c r="C1483" s="522" t="s">
        <v>961</v>
      </c>
      <c r="D1483" s="523" t="s">
        <v>1035</v>
      </c>
      <c r="E1483" s="960"/>
      <c r="F1483" s="962"/>
      <c r="G1483" s="961"/>
      <c r="H1483" s="962"/>
      <c r="I1483" s="962"/>
      <c r="J1483" s="962"/>
      <c r="K1483" s="962"/>
      <c r="L1483" s="962"/>
      <c r="M1483" s="961"/>
      <c r="N1483" s="961"/>
      <c r="O1483" s="962"/>
      <c r="P1483" s="962"/>
      <c r="Q1483" s="961"/>
      <c r="R1483" s="961"/>
      <c r="S1483" s="527">
        <f t="shared" si="193"/>
        <v>0</v>
      </c>
      <c r="T1483" s="528">
        <f t="shared" si="194"/>
        <v>0</v>
      </c>
      <c r="U1483" s="527">
        <f t="shared" si="195"/>
        <v>0</v>
      </c>
      <c r="W1483" s="326">
        <f t="shared" si="191"/>
        <v>0</v>
      </c>
      <c r="X1483" s="261">
        <f t="shared" si="196"/>
        <v>0</v>
      </c>
      <c r="Z1483" s="1016">
        <f t="shared" si="192"/>
        <v>0</v>
      </c>
    </row>
    <row r="1484" spans="1:26" ht="12" hidden="1" thickBot="1">
      <c r="A1484" s="588" t="s">
        <v>1466</v>
      </c>
      <c r="B1484" s="522" t="s">
        <v>350</v>
      </c>
      <c r="C1484" s="522" t="s">
        <v>962</v>
      </c>
      <c r="D1484" s="523" t="s">
        <v>1035</v>
      </c>
      <c r="E1484" s="960"/>
      <c r="F1484" s="962"/>
      <c r="G1484" s="961"/>
      <c r="H1484" s="962"/>
      <c r="I1484" s="962"/>
      <c r="J1484" s="962"/>
      <c r="K1484" s="962"/>
      <c r="L1484" s="962"/>
      <c r="M1484" s="961"/>
      <c r="N1484" s="961"/>
      <c r="O1484" s="962"/>
      <c r="P1484" s="962"/>
      <c r="Q1484" s="961"/>
      <c r="R1484" s="961"/>
      <c r="S1484" s="527">
        <f t="shared" si="193"/>
        <v>0</v>
      </c>
      <c r="T1484" s="528">
        <f t="shared" si="194"/>
        <v>0</v>
      </c>
      <c r="U1484" s="527">
        <f t="shared" si="195"/>
        <v>0</v>
      </c>
      <c r="W1484" s="326">
        <f t="shared" si="191"/>
        <v>0</v>
      </c>
      <c r="X1484" s="261">
        <f t="shared" si="196"/>
        <v>0</v>
      </c>
      <c r="Z1484" s="1016">
        <f t="shared" si="192"/>
        <v>0</v>
      </c>
    </row>
    <row r="1485" spans="1:26" ht="12" hidden="1" thickBot="1">
      <c r="A1485" s="588" t="s">
        <v>1466</v>
      </c>
      <c r="B1485" s="522" t="s">
        <v>342</v>
      </c>
      <c r="C1485" s="522" t="s">
        <v>963</v>
      </c>
      <c r="D1485" s="523" t="s">
        <v>1035</v>
      </c>
      <c r="E1485" s="960"/>
      <c r="F1485" s="962"/>
      <c r="G1485" s="961"/>
      <c r="H1485" s="962"/>
      <c r="I1485" s="962"/>
      <c r="J1485" s="962"/>
      <c r="K1485" s="962"/>
      <c r="L1485" s="962"/>
      <c r="M1485" s="961"/>
      <c r="N1485" s="961"/>
      <c r="O1485" s="962"/>
      <c r="P1485" s="962"/>
      <c r="Q1485" s="961"/>
      <c r="R1485" s="961"/>
      <c r="S1485" s="527">
        <f t="shared" si="193"/>
        <v>0</v>
      </c>
      <c r="T1485" s="528">
        <f t="shared" si="194"/>
        <v>0</v>
      </c>
      <c r="U1485" s="527">
        <f t="shared" si="195"/>
        <v>0</v>
      </c>
      <c r="W1485" s="326">
        <f t="shared" si="191"/>
        <v>0</v>
      </c>
      <c r="X1485" s="261">
        <f t="shared" si="196"/>
        <v>0</v>
      </c>
      <c r="Z1485" s="1016">
        <f t="shared" si="192"/>
        <v>0</v>
      </c>
    </row>
    <row r="1486" spans="1:26" ht="12" hidden="1" thickBot="1">
      <c r="A1486" s="588" t="s">
        <v>1466</v>
      </c>
      <c r="B1486" s="522" t="s">
        <v>346</v>
      </c>
      <c r="C1486" s="522" t="s">
        <v>964</v>
      </c>
      <c r="D1486" s="523" t="s">
        <v>1035</v>
      </c>
      <c r="E1486" s="960"/>
      <c r="F1486" s="962"/>
      <c r="G1486" s="961"/>
      <c r="H1486" s="962"/>
      <c r="I1486" s="962"/>
      <c r="J1486" s="962"/>
      <c r="K1486" s="962"/>
      <c r="L1486" s="962"/>
      <c r="M1486" s="961"/>
      <c r="N1486" s="961"/>
      <c r="O1486" s="962"/>
      <c r="P1486" s="962"/>
      <c r="Q1486" s="961"/>
      <c r="R1486" s="961"/>
      <c r="S1486" s="527">
        <f t="shared" si="193"/>
        <v>0</v>
      </c>
      <c r="T1486" s="528">
        <f t="shared" si="194"/>
        <v>0</v>
      </c>
      <c r="U1486" s="527">
        <f t="shared" si="195"/>
        <v>0</v>
      </c>
      <c r="W1486" s="326">
        <f t="shared" si="191"/>
        <v>0</v>
      </c>
      <c r="X1486" s="261">
        <f t="shared" si="196"/>
        <v>0</v>
      </c>
      <c r="Z1486" s="1016">
        <f t="shared" si="192"/>
        <v>0</v>
      </c>
    </row>
    <row r="1487" spans="1:26" ht="12" hidden="1" thickBot="1">
      <c r="A1487" s="588" t="s">
        <v>1466</v>
      </c>
      <c r="B1487" s="522" t="s">
        <v>353</v>
      </c>
      <c r="C1487" s="522" t="s">
        <v>965</v>
      </c>
      <c r="D1487" s="523" t="s">
        <v>1035</v>
      </c>
      <c r="E1487" s="960"/>
      <c r="F1487" s="962"/>
      <c r="G1487" s="961"/>
      <c r="H1487" s="962"/>
      <c r="I1487" s="962"/>
      <c r="J1487" s="962"/>
      <c r="K1487" s="962"/>
      <c r="L1487" s="962"/>
      <c r="M1487" s="961"/>
      <c r="N1487" s="961"/>
      <c r="O1487" s="962"/>
      <c r="P1487" s="962"/>
      <c r="Q1487" s="961"/>
      <c r="R1487" s="961"/>
      <c r="S1487" s="527">
        <f t="shared" si="193"/>
        <v>0</v>
      </c>
      <c r="T1487" s="528">
        <f t="shared" si="194"/>
        <v>0</v>
      </c>
      <c r="U1487" s="527">
        <f t="shared" si="195"/>
        <v>0</v>
      </c>
      <c r="W1487" s="326">
        <f t="shared" si="191"/>
        <v>0</v>
      </c>
      <c r="X1487" s="261">
        <f t="shared" si="196"/>
        <v>0</v>
      </c>
      <c r="Z1487" s="1016">
        <f t="shared" si="192"/>
        <v>0</v>
      </c>
    </row>
    <row r="1488" spans="1:26" ht="12" hidden="1" thickBot="1">
      <c r="A1488" s="588" t="s">
        <v>1466</v>
      </c>
      <c r="B1488" s="522" t="s">
        <v>345</v>
      </c>
      <c r="C1488" s="522" t="s">
        <v>966</v>
      </c>
      <c r="D1488" s="523" t="s">
        <v>1035</v>
      </c>
      <c r="E1488" s="960"/>
      <c r="F1488" s="962"/>
      <c r="G1488" s="961"/>
      <c r="H1488" s="962"/>
      <c r="I1488" s="962"/>
      <c r="J1488" s="962"/>
      <c r="K1488" s="962"/>
      <c r="L1488" s="962"/>
      <c r="M1488" s="961"/>
      <c r="N1488" s="961"/>
      <c r="O1488" s="962"/>
      <c r="P1488" s="962"/>
      <c r="Q1488" s="961"/>
      <c r="R1488" s="961"/>
      <c r="S1488" s="527">
        <f t="shared" si="193"/>
        <v>0</v>
      </c>
      <c r="T1488" s="528">
        <f t="shared" si="194"/>
        <v>0</v>
      </c>
      <c r="U1488" s="527">
        <f t="shared" si="195"/>
        <v>0</v>
      </c>
      <c r="W1488" s="326">
        <f t="shared" si="191"/>
        <v>0</v>
      </c>
      <c r="X1488" s="261">
        <f t="shared" si="196"/>
        <v>0</v>
      </c>
      <c r="Z1488" s="1016">
        <f t="shared" si="192"/>
        <v>0</v>
      </c>
    </row>
    <row r="1489" spans="1:26" ht="12" hidden="1" thickBot="1">
      <c r="A1489" s="588" t="s">
        <v>1466</v>
      </c>
      <c r="B1489" s="522" t="s">
        <v>343</v>
      </c>
      <c r="C1489" s="522" t="s">
        <v>967</v>
      </c>
      <c r="D1489" s="523" t="s">
        <v>1035</v>
      </c>
      <c r="E1489" s="960"/>
      <c r="F1489" s="962"/>
      <c r="G1489" s="961"/>
      <c r="H1489" s="962"/>
      <c r="I1489" s="962"/>
      <c r="J1489" s="962"/>
      <c r="K1489" s="962"/>
      <c r="L1489" s="962"/>
      <c r="M1489" s="961"/>
      <c r="N1489" s="961"/>
      <c r="O1489" s="962"/>
      <c r="P1489" s="962"/>
      <c r="Q1489" s="961"/>
      <c r="R1489" s="961"/>
      <c r="S1489" s="527">
        <f t="shared" si="193"/>
        <v>0</v>
      </c>
      <c r="T1489" s="528">
        <f t="shared" si="194"/>
        <v>0</v>
      </c>
      <c r="U1489" s="527">
        <f t="shared" si="195"/>
        <v>0</v>
      </c>
      <c r="W1489" s="326">
        <f t="shared" si="191"/>
        <v>0</v>
      </c>
      <c r="X1489" s="261">
        <f t="shared" si="196"/>
        <v>0</v>
      </c>
      <c r="Z1489" s="1016">
        <f t="shared" si="192"/>
        <v>0</v>
      </c>
    </row>
    <row r="1490" spans="1:26" ht="12" hidden="1" thickBot="1">
      <c r="A1490" s="588" t="s">
        <v>1466</v>
      </c>
      <c r="B1490" s="522" t="s">
        <v>472</v>
      </c>
      <c r="C1490" s="522" t="s">
        <v>968</v>
      </c>
      <c r="D1490" s="523" t="s">
        <v>1035</v>
      </c>
      <c r="E1490" s="960"/>
      <c r="F1490" s="962"/>
      <c r="G1490" s="961"/>
      <c r="H1490" s="962"/>
      <c r="I1490" s="962"/>
      <c r="J1490" s="962"/>
      <c r="K1490" s="962"/>
      <c r="L1490" s="962"/>
      <c r="M1490" s="961"/>
      <c r="N1490" s="961"/>
      <c r="O1490" s="962"/>
      <c r="P1490" s="962"/>
      <c r="Q1490" s="962"/>
      <c r="R1490" s="961"/>
      <c r="S1490" s="527">
        <f t="shared" si="193"/>
        <v>0</v>
      </c>
      <c r="T1490" s="528">
        <f t="shared" si="194"/>
        <v>0</v>
      </c>
      <c r="U1490" s="527">
        <f t="shared" si="195"/>
        <v>0</v>
      </c>
      <c r="W1490" s="326">
        <f t="shared" si="191"/>
        <v>0</v>
      </c>
      <c r="X1490" s="261">
        <f t="shared" si="196"/>
        <v>0</v>
      </c>
      <c r="Z1490" s="1016">
        <f t="shared" si="192"/>
        <v>0</v>
      </c>
    </row>
    <row r="1491" spans="1:26" ht="12" hidden="1" thickBot="1">
      <c r="A1491" s="588" t="s">
        <v>1466</v>
      </c>
      <c r="B1491" s="522" t="s">
        <v>382</v>
      </c>
      <c r="C1491" s="522" t="s">
        <v>969</v>
      </c>
      <c r="D1491" s="533" t="s">
        <v>1035</v>
      </c>
      <c r="E1491" s="960"/>
      <c r="F1491" s="962"/>
      <c r="G1491" s="961"/>
      <c r="H1491" s="962"/>
      <c r="I1491" s="962"/>
      <c r="J1491" s="962"/>
      <c r="K1491" s="962"/>
      <c r="L1491" s="962"/>
      <c r="M1491" s="961"/>
      <c r="N1491" s="961"/>
      <c r="O1491" s="962"/>
      <c r="P1491" s="962"/>
      <c r="Q1491" s="961"/>
      <c r="R1491" s="961"/>
      <c r="S1491" s="527">
        <f t="shared" si="193"/>
        <v>0</v>
      </c>
      <c r="T1491" s="528">
        <f t="shared" si="194"/>
        <v>0</v>
      </c>
      <c r="U1491" s="527">
        <f t="shared" si="195"/>
        <v>0</v>
      </c>
      <c r="W1491" s="326">
        <f t="shared" si="191"/>
        <v>0</v>
      </c>
      <c r="X1491" s="261">
        <f t="shared" si="196"/>
        <v>0</v>
      </c>
      <c r="Z1491" s="1016">
        <f t="shared" si="192"/>
        <v>0</v>
      </c>
    </row>
    <row r="1492" spans="1:26" ht="12" hidden="1" thickBot="1">
      <c r="A1492" s="588" t="s">
        <v>1466</v>
      </c>
      <c r="B1492" s="522" t="s">
        <v>402</v>
      </c>
      <c r="C1492" s="522" t="s">
        <v>970</v>
      </c>
      <c r="D1492" s="533" t="s">
        <v>1036</v>
      </c>
      <c r="E1492" s="960"/>
      <c r="F1492" s="962"/>
      <c r="G1492" s="961"/>
      <c r="H1492" s="962"/>
      <c r="I1492" s="962"/>
      <c r="J1492" s="962"/>
      <c r="K1492" s="962"/>
      <c r="L1492" s="962"/>
      <c r="M1492" s="961"/>
      <c r="N1492" s="961"/>
      <c r="O1492" s="962"/>
      <c r="P1492" s="962"/>
      <c r="Q1492" s="961"/>
      <c r="R1492" s="961"/>
      <c r="S1492" s="527">
        <f t="shared" si="193"/>
        <v>0</v>
      </c>
      <c r="T1492" s="528">
        <f t="shared" si="194"/>
        <v>0</v>
      </c>
      <c r="U1492" s="527">
        <f t="shared" si="195"/>
        <v>0</v>
      </c>
      <c r="W1492" s="326">
        <f t="shared" si="191"/>
        <v>0</v>
      </c>
      <c r="X1492" s="261">
        <f t="shared" si="196"/>
        <v>0</v>
      </c>
      <c r="Z1492" s="1016">
        <f t="shared" si="192"/>
        <v>0</v>
      </c>
    </row>
    <row r="1493" spans="1:26" ht="12" hidden="1" thickBot="1">
      <c r="A1493" s="588" t="s">
        <v>1466</v>
      </c>
      <c r="B1493" s="522" t="s">
        <v>398</v>
      </c>
      <c r="C1493" s="522" t="s">
        <v>971</v>
      </c>
      <c r="D1493" s="533" t="s">
        <v>1036</v>
      </c>
      <c r="E1493" s="960"/>
      <c r="F1493" s="962"/>
      <c r="G1493" s="961"/>
      <c r="H1493" s="962"/>
      <c r="I1493" s="962"/>
      <c r="J1493" s="962"/>
      <c r="K1493" s="962"/>
      <c r="L1493" s="962"/>
      <c r="M1493" s="961"/>
      <c r="N1493" s="961"/>
      <c r="O1493" s="962"/>
      <c r="P1493" s="962"/>
      <c r="Q1493" s="961"/>
      <c r="R1493" s="961"/>
      <c r="S1493" s="527">
        <f t="shared" si="193"/>
        <v>0</v>
      </c>
      <c r="T1493" s="528">
        <f t="shared" si="194"/>
        <v>0</v>
      </c>
      <c r="U1493" s="527">
        <f t="shared" si="195"/>
        <v>0</v>
      </c>
      <c r="W1493" s="326">
        <f t="shared" si="191"/>
        <v>0</v>
      </c>
      <c r="X1493" s="261">
        <f t="shared" si="196"/>
        <v>0</v>
      </c>
      <c r="Z1493" s="1016">
        <f t="shared" si="192"/>
        <v>0</v>
      </c>
    </row>
    <row r="1494" spans="1:26" ht="12" hidden="1" thickBot="1">
      <c r="A1494" s="588" t="s">
        <v>1466</v>
      </c>
      <c r="B1494" s="522" t="s">
        <v>376</v>
      </c>
      <c r="C1494" s="522" t="s">
        <v>972</v>
      </c>
      <c r="D1494" s="533" t="s">
        <v>1036</v>
      </c>
      <c r="E1494" s="960"/>
      <c r="F1494" s="962"/>
      <c r="G1494" s="961"/>
      <c r="H1494" s="962"/>
      <c r="I1494" s="962"/>
      <c r="J1494" s="962"/>
      <c r="K1494" s="962"/>
      <c r="L1494" s="962"/>
      <c r="M1494" s="961"/>
      <c r="N1494" s="961"/>
      <c r="O1494" s="962"/>
      <c r="P1494" s="962"/>
      <c r="Q1494" s="961"/>
      <c r="R1494" s="961"/>
      <c r="S1494" s="527">
        <f t="shared" si="193"/>
        <v>0</v>
      </c>
      <c r="T1494" s="528">
        <f t="shared" si="194"/>
        <v>0</v>
      </c>
      <c r="U1494" s="527">
        <f t="shared" si="195"/>
        <v>0</v>
      </c>
      <c r="W1494" s="326">
        <f t="shared" si="191"/>
        <v>0</v>
      </c>
      <c r="X1494" s="261">
        <f t="shared" si="196"/>
        <v>0</v>
      </c>
      <c r="Z1494" s="1016">
        <f t="shared" si="192"/>
        <v>0</v>
      </c>
    </row>
    <row r="1495" spans="1:26" ht="12" hidden="1" thickBot="1">
      <c r="A1495" s="588" t="s">
        <v>1466</v>
      </c>
      <c r="B1495" s="522" t="s">
        <v>384</v>
      </c>
      <c r="C1495" s="522" t="s">
        <v>973</v>
      </c>
      <c r="D1495" s="533" t="s">
        <v>1035</v>
      </c>
      <c r="E1495" s="960"/>
      <c r="F1495" s="962"/>
      <c r="G1495" s="961"/>
      <c r="H1495" s="962"/>
      <c r="I1495" s="962"/>
      <c r="J1495" s="962"/>
      <c r="K1495" s="962"/>
      <c r="L1495" s="962"/>
      <c r="M1495" s="961"/>
      <c r="N1495" s="961"/>
      <c r="O1495" s="962"/>
      <c r="P1495" s="962"/>
      <c r="Q1495" s="961"/>
      <c r="R1495" s="961"/>
      <c r="S1495" s="527">
        <f t="shared" si="193"/>
        <v>0</v>
      </c>
      <c r="T1495" s="528">
        <f t="shared" si="194"/>
        <v>0</v>
      </c>
      <c r="U1495" s="527">
        <f t="shared" si="195"/>
        <v>0</v>
      </c>
      <c r="W1495" s="326">
        <f t="shared" si="191"/>
        <v>0</v>
      </c>
      <c r="X1495" s="261">
        <f t="shared" si="196"/>
        <v>0</v>
      </c>
      <c r="Z1495" s="1016">
        <f t="shared" si="192"/>
        <v>0</v>
      </c>
    </row>
    <row r="1496" spans="1:26" ht="12" hidden="1" thickBot="1">
      <c r="A1496" s="588" t="s">
        <v>1466</v>
      </c>
      <c r="B1496" s="522" t="s">
        <v>386</v>
      </c>
      <c r="C1496" s="522" t="s">
        <v>974</v>
      </c>
      <c r="D1496" s="533" t="s">
        <v>1036</v>
      </c>
      <c r="E1496" s="960"/>
      <c r="F1496" s="962"/>
      <c r="G1496" s="961"/>
      <c r="H1496" s="962"/>
      <c r="I1496" s="962"/>
      <c r="J1496" s="962"/>
      <c r="K1496" s="962"/>
      <c r="L1496" s="962"/>
      <c r="M1496" s="961"/>
      <c r="N1496" s="961"/>
      <c r="O1496" s="962"/>
      <c r="P1496" s="962"/>
      <c r="Q1496" s="961"/>
      <c r="R1496" s="961"/>
      <c r="S1496" s="527">
        <f t="shared" si="193"/>
        <v>0</v>
      </c>
      <c r="T1496" s="528">
        <f t="shared" si="194"/>
        <v>0</v>
      </c>
      <c r="U1496" s="527">
        <f t="shared" si="195"/>
        <v>0</v>
      </c>
      <c r="W1496" s="326">
        <f t="shared" si="191"/>
        <v>0</v>
      </c>
      <c r="X1496" s="261">
        <f t="shared" si="196"/>
        <v>0</v>
      </c>
      <c r="Z1496" s="1016">
        <f t="shared" si="192"/>
        <v>0</v>
      </c>
    </row>
    <row r="1497" spans="1:26" ht="12" hidden="1" thickBot="1">
      <c r="A1497" s="588" t="s">
        <v>1466</v>
      </c>
      <c r="B1497" s="522" t="s">
        <v>409</v>
      </c>
      <c r="C1497" s="522" t="s">
        <v>975</v>
      </c>
      <c r="D1497" s="533" t="s">
        <v>1036</v>
      </c>
      <c r="E1497" s="960"/>
      <c r="F1497" s="962"/>
      <c r="G1497" s="961"/>
      <c r="H1497" s="962"/>
      <c r="I1497" s="962"/>
      <c r="J1497" s="962"/>
      <c r="K1497" s="962"/>
      <c r="L1497" s="962"/>
      <c r="M1497" s="961"/>
      <c r="N1497" s="961"/>
      <c r="O1497" s="962"/>
      <c r="P1497" s="962"/>
      <c r="Q1497" s="961"/>
      <c r="R1497" s="961"/>
      <c r="S1497" s="527">
        <f t="shared" si="193"/>
        <v>0</v>
      </c>
      <c r="T1497" s="528">
        <f t="shared" si="194"/>
        <v>0</v>
      </c>
      <c r="U1497" s="527">
        <f t="shared" si="195"/>
        <v>0</v>
      </c>
      <c r="W1497" s="326">
        <f t="shared" si="191"/>
        <v>0</v>
      </c>
      <c r="X1497" s="261">
        <f t="shared" si="196"/>
        <v>0</v>
      </c>
      <c r="Z1497" s="1016">
        <f t="shared" si="192"/>
        <v>0</v>
      </c>
    </row>
    <row r="1498" spans="1:26" ht="12" hidden="1" thickBot="1">
      <c r="A1498" s="588" t="s">
        <v>1466</v>
      </c>
      <c r="B1498" s="522" t="s">
        <v>387</v>
      </c>
      <c r="C1498" s="522" t="s">
        <v>976</v>
      </c>
      <c r="D1498" s="533" t="s">
        <v>1035</v>
      </c>
      <c r="E1498" s="960"/>
      <c r="F1498" s="962"/>
      <c r="G1498" s="961"/>
      <c r="H1498" s="962"/>
      <c r="I1498" s="962"/>
      <c r="J1498" s="962"/>
      <c r="K1498" s="962"/>
      <c r="L1498" s="962"/>
      <c r="M1498" s="961"/>
      <c r="N1498" s="961"/>
      <c r="O1498" s="962"/>
      <c r="P1498" s="962"/>
      <c r="Q1498" s="961"/>
      <c r="R1498" s="961"/>
      <c r="S1498" s="527">
        <f t="shared" si="193"/>
        <v>0</v>
      </c>
      <c r="T1498" s="528">
        <f t="shared" si="194"/>
        <v>0</v>
      </c>
      <c r="U1498" s="527">
        <f t="shared" si="195"/>
        <v>0</v>
      </c>
      <c r="W1498" s="326">
        <f t="shared" si="191"/>
        <v>0</v>
      </c>
      <c r="X1498" s="261">
        <f t="shared" si="196"/>
        <v>0</v>
      </c>
      <c r="Z1498" s="1016">
        <f t="shared" si="192"/>
        <v>0</v>
      </c>
    </row>
    <row r="1499" spans="1:26" ht="12" hidden="1" thickBot="1">
      <c r="A1499" s="588" t="s">
        <v>1466</v>
      </c>
      <c r="B1499" s="522" t="s">
        <v>410</v>
      </c>
      <c r="C1499" s="522" t="s">
        <v>977</v>
      </c>
      <c r="D1499" s="533" t="s">
        <v>1035</v>
      </c>
      <c r="E1499" s="960"/>
      <c r="F1499" s="962"/>
      <c r="G1499" s="961"/>
      <c r="H1499" s="962"/>
      <c r="I1499" s="962"/>
      <c r="J1499" s="962"/>
      <c r="K1499" s="962"/>
      <c r="L1499" s="962"/>
      <c r="M1499" s="961"/>
      <c r="N1499" s="961"/>
      <c r="O1499" s="962"/>
      <c r="P1499" s="962"/>
      <c r="Q1499" s="961"/>
      <c r="R1499" s="961"/>
      <c r="S1499" s="527">
        <f t="shared" si="193"/>
        <v>0</v>
      </c>
      <c r="T1499" s="528">
        <f t="shared" si="194"/>
        <v>0</v>
      </c>
      <c r="U1499" s="527">
        <f t="shared" si="195"/>
        <v>0</v>
      </c>
      <c r="W1499" s="326">
        <f t="shared" si="191"/>
        <v>0</v>
      </c>
      <c r="X1499" s="261">
        <f t="shared" si="196"/>
        <v>0</v>
      </c>
      <c r="Z1499" s="1016">
        <f t="shared" si="192"/>
        <v>0</v>
      </c>
    </row>
    <row r="1500" spans="1:26" ht="12" hidden="1" thickBot="1">
      <c r="A1500" s="588" t="s">
        <v>1466</v>
      </c>
      <c r="B1500" s="522" t="s">
        <v>405</v>
      </c>
      <c r="C1500" s="522" t="s">
        <v>978</v>
      </c>
      <c r="D1500" s="533" t="s">
        <v>1035</v>
      </c>
      <c r="E1500" s="960"/>
      <c r="F1500" s="962"/>
      <c r="G1500" s="961"/>
      <c r="H1500" s="962"/>
      <c r="I1500" s="962"/>
      <c r="J1500" s="962"/>
      <c r="K1500" s="962"/>
      <c r="L1500" s="962"/>
      <c r="M1500" s="961"/>
      <c r="N1500" s="961"/>
      <c r="O1500" s="962"/>
      <c r="P1500" s="962"/>
      <c r="Q1500" s="961"/>
      <c r="R1500" s="961"/>
      <c r="S1500" s="527">
        <f t="shared" si="193"/>
        <v>0</v>
      </c>
      <c r="T1500" s="528">
        <f t="shared" si="194"/>
        <v>0</v>
      </c>
      <c r="U1500" s="527">
        <f t="shared" si="195"/>
        <v>0</v>
      </c>
      <c r="W1500" s="326">
        <f t="shared" si="191"/>
        <v>0</v>
      </c>
      <c r="X1500" s="261">
        <f t="shared" si="196"/>
        <v>0</v>
      </c>
      <c r="Z1500" s="1016">
        <f t="shared" si="192"/>
        <v>0</v>
      </c>
    </row>
    <row r="1501" spans="1:26" ht="12" hidden="1" thickBot="1">
      <c r="A1501" s="588" t="s">
        <v>1466</v>
      </c>
      <c r="B1501" s="522" t="s">
        <v>326</v>
      </c>
      <c r="C1501" s="522" t="s">
        <v>979</v>
      </c>
      <c r="D1501" s="533" t="s">
        <v>1036</v>
      </c>
      <c r="E1501" s="960"/>
      <c r="F1501" s="962"/>
      <c r="G1501" s="961"/>
      <c r="H1501" s="962"/>
      <c r="I1501" s="962"/>
      <c r="J1501" s="962"/>
      <c r="K1501" s="962"/>
      <c r="L1501" s="962"/>
      <c r="M1501" s="961"/>
      <c r="N1501" s="961"/>
      <c r="O1501" s="962"/>
      <c r="P1501" s="962"/>
      <c r="Q1501" s="961"/>
      <c r="R1501" s="961"/>
      <c r="S1501" s="527">
        <f t="shared" si="193"/>
        <v>0</v>
      </c>
      <c r="T1501" s="528">
        <f t="shared" si="194"/>
        <v>0</v>
      </c>
      <c r="U1501" s="527">
        <f t="shared" si="195"/>
        <v>0</v>
      </c>
      <c r="W1501" s="326">
        <f t="shared" si="191"/>
        <v>0</v>
      </c>
      <c r="X1501" s="261">
        <f t="shared" si="196"/>
        <v>0</v>
      </c>
      <c r="Z1501" s="1016">
        <f t="shared" si="192"/>
        <v>0</v>
      </c>
    </row>
    <row r="1502" spans="1:26" ht="12" hidden="1" thickBot="1">
      <c r="A1502" s="588" t="s">
        <v>1466</v>
      </c>
      <c r="B1502" s="522" t="s">
        <v>356</v>
      </c>
      <c r="C1502" s="522" t="s">
        <v>980</v>
      </c>
      <c r="D1502" s="533" t="s">
        <v>1036</v>
      </c>
      <c r="E1502" s="960"/>
      <c r="F1502" s="962"/>
      <c r="G1502" s="961"/>
      <c r="H1502" s="962"/>
      <c r="I1502" s="962"/>
      <c r="J1502" s="962"/>
      <c r="K1502" s="962"/>
      <c r="L1502" s="962"/>
      <c r="M1502" s="961"/>
      <c r="N1502" s="961"/>
      <c r="O1502" s="962"/>
      <c r="P1502" s="962"/>
      <c r="Q1502" s="961"/>
      <c r="R1502" s="961"/>
      <c r="S1502" s="527">
        <f t="shared" si="193"/>
        <v>0</v>
      </c>
      <c r="T1502" s="528">
        <f t="shared" si="194"/>
        <v>0</v>
      </c>
      <c r="U1502" s="527">
        <f t="shared" si="195"/>
        <v>0</v>
      </c>
      <c r="W1502" s="326">
        <f t="shared" si="191"/>
        <v>0</v>
      </c>
      <c r="X1502" s="261">
        <f t="shared" si="196"/>
        <v>0</v>
      </c>
      <c r="Z1502" s="1016">
        <f t="shared" si="192"/>
        <v>0</v>
      </c>
    </row>
    <row r="1503" spans="1:26" ht="12" hidden="1" thickBot="1">
      <c r="A1503" s="588" t="s">
        <v>1466</v>
      </c>
      <c r="B1503" s="522" t="s">
        <v>374</v>
      </c>
      <c r="C1503" s="522" t="s">
        <v>981</v>
      </c>
      <c r="D1503" s="533" t="s">
        <v>1036</v>
      </c>
      <c r="E1503" s="960"/>
      <c r="F1503" s="962"/>
      <c r="G1503" s="961"/>
      <c r="H1503" s="962"/>
      <c r="I1503" s="962"/>
      <c r="J1503" s="962"/>
      <c r="K1503" s="962"/>
      <c r="L1503" s="962"/>
      <c r="M1503" s="961"/>
      <c r="N1503" s="961"/>
      <c r="O1503" s="962"/>
      <c r="P1503" s="962"/>
      <c r="Q1503" s="961"/>
      <c r="R1503" s="961"/>
      <c r="S1503" s="527">
        <f t="shared" ref="S1503:S1565" si="197">G1503+H1503+I1503</f>
        <v>0</v>
      </c>
      <c r="T1503" s="528">
        <f t="shared" ref="T1503:T1565" si="198">J1503+K1503</f>
        <v>0</v>
      </c>
      <c r="U1503" s="527">
        <f t="shared" si="195"/>
        <v>0</v>
      </c>
      <c r="W1503" s="326">
        <f t="shared" si="191"/>
        <v>0</v>
      </c>
      <c r="X1503" s="261">
        <f t="shared" ref="X1503:X1565" si="199">W1503-R1503</f>
        <v>0</v>
      </c>
      <c r="Z1503" s="1016">
        <f t="shared" si="192"/>
        <v>0</v>
      </c>
    </row>
    <row r="1504" spans="1:26" ht="12" hidden="1" thickBot="1">
      <c r="A1504" s="588" t="s">
        <v>1466</v>
      </c>
      <c r="B1504" s="522" t="s">
        <v>399</v>
      </c>
      <c r="C1504" s="522" t="s">
        <v>982</v>
      </c>
      <c r="D1504" s="533" t="s">
        <v>1036</v>
      </c>
      <c r="E1504" s="960"/>
      <c r="F1504" s="962"/>
      <c r="G1504" s="961"/>
      <c r="H1504" s="962"/>
      <c r="I1504" s="962"/>
      <c r="J1504" s="962"/>
      <c r="K1504" s="962"/>
      <c r="L1504" s="962"/>
      <c r="M1504" s="961"/>
      <c r="N1504" s="961"/>
      <c r="O1504" s="962"/>
      <c r="P1504" s="962"/>
      <c r="Q1504" s="961"/>
      <c r="R1504" s="961"/>
      <c r="S1504" s="527">
        <f t="shared" si="197"/>
        <v>0</v>
      </c>
      <c r="T1504" s="528">
        <f t="shared" si="198"/>
        <v>0</v>
      </c>
      <c r="U1504" s="527">
        <f t="shared" si="195"/>
        <v>0</v>
      </c>
      <c r="W1504" s="326">
        <f t="shared" si="191"/>
        <v>0</v>
      </c>
      <c r="X1504" s="261">
        <f t="shared" si="199"/>
        <v>0</v>
      </c>
      <c r="Z1504" s="1016">
        <f t="shared" si="192"/>
        <v>0</v>
      </c>
    </row>
    <row r="1505" spans="1:26" ht="12" hidden="1" thickBot="1">
      <c r="A1505" s="588" t="s">
        <v>1466</v>
      </c>
      <c r="B1505" s="522" t="s">
        <v>391</v>
      </c>
      <c r="C1505" s="522" t="s">
        <v>983</v>
      </c>
      <c r="D1505" s="533" t="s">
        <v>1036</v>
      </c>
      <c r="E1505" s="960"/>
      <c r="F1505" s="962"/>
      <c r="G1505" s="961"/>
      <c r="H1505" s="962"/>
      <c r="I1505" s="962"/>
      <c r="J1505" s="962"/>
      <c r="K1505" s="962"/>
      <c r="L1505" s="962"/>
      <c r="M1505" s="961"/>
      <c r="N1505" s="961"/>
      <c r="O1505" s="962"/>
      <c r="P1505" s="962"/>
      <c r="Q1505" s="961"/>
      <c r="R1505" s="961"/>
      <c r="S1505" s="527">
        <f t="shared" si="197"/>
        <v>0</v>
      </c>
      <c r="T1505" s="528">
        <f t="shared" si="198"/>
        <v>0</v>
      </c>
      <c r="U1505" s="527">
        <f t="shared" si="195"/>
        <v>0</v>
      </c>
      <c r="W1505" s="326">
        <f t="shared" si="191"/>
        <v>0</v>
      </c>
      <c r="X1505" s="261">
        <f t="shared" si="199"/>
        <v>0</v>
      </c>
      <c r="Z1505" s="1016">
        <f t="shared" si="192"/>
        <v>0</v>
      </c>
    </row>
    <row r="1506" spans="1:26" ht="12" hidden="1" thickBot="1">
      <c r="A1506" s="588" t="s">
        <v>1466</v>
      </c>
      <c r="B1506" s="522" t="s">
        <v>416</v>
      </c>
      <c r="C1506" s="522" t="s">
        <v>984</v>
      </c>
      <c r="D1506" s="533" t="s">
        <v>1035</v>
      </c>
      <c r="E1506" s="960"/>
      <c r="F1506" s="962"/>
      <c r="G1506" s="961"/>
      <c r="H1506" s="962"/>
      <c r="I1506" s="962"/>
      <c r="J1506" s="962"/>
      <c r="K1506" s="962"/>
      <c r="L1506" s="962"/>
      <c r="M1506" s="961"/>
      <c r="N1506" s="961"/>
      <c r="O1506" s="962"/>
      <c r="P1506" s="962"/>
      <c r="Q1506" s="961"/>
      <c r="R1506" s="961"/>
      <c r="S1506" s="527">
        <f t="shared" si="197"/>
        <v>0</v>
      </c>
      <c r="T1506" s="528">
        <f t="shared" si="198"/>
        <v>0</v>
      </c>
      <c r="U1506" s="527">
        <f t="shared" si="195"/>
        <v>0</v>
      </c>
      <c r="W1506" s="326">
        <f t="shared" si="191"/>
        <v>0</v>
      </c>
      <c r="X1506" s="261">
        <f t="shared" si="199"/>
        <v>0</v>
      </c>
      <c r="Z1506" s="1016">
        <f t="shared" si="192"/>
        <v>0</v>
      </c>
    </row>
    <row r="1507" spans="1:26" ht="12" hidden="1" thickBot="1">
      <c r="A1507" s="588" t="s">
        <v>1466</v>
      </c>
      <c r="B1507" s="522" t="s">
        <v>407</v>
      </c>
      <c r="C1507" s="522" t="s">
        <v>985</v>
      </c>
      <c r="D1507" s="533" t="s">
        <v>1035</v>
      </c>
      <c r="E1507" s="960"/>
      <c r="F1507" s="962"/>
      <c r="G1507" s="961"/>
      <c r="H1507" s="962"/>
      <c r="I1507" s="962"/>
      <c r="J1507" s="962"/>
      <c r="K1507" s="962"/>
      <c r="L1507" s="962"/>
      <c r="M1507" s="961"/>
      <c r="N1507" s="961"/>
      <c r="O1507" s="962"/>
      <c r="P1507" s="962"/>
      <c r="Q1507" s="961"/>
      <c r="R1507" s="961"/>
      <c r="S1507" s="527">
        <f t="shared" si="197"/>
        <v>0</v>
      </c>
      <c r="T1507" s="528">
        <f t="shared" si="198"/>
        <v>0</v>
      </c>
      <c r="U1507" s="527">
        <f t="shared" si="195"/>
        <v>0</v>
      </c>
      <c r="W1507" s="326">
        <f t="shared" si="191"/>
        <v>0</v>
      </c>
      <c r="X1507" s="261">
        <f t="shared" si="199"/>
        <v>0</v>
      </c>
      <c r="Z1507" s="1016">
        <f t="shared" si="192"/>
        <v>0</v>
      </c>
    </row>
    <row r="1508" spans="1:26" ht="12" hidden="1" thickBot="1">
      <c r="A1508" s="588" t="s">
        <v>1466</v>
      </c>
      <c r="B1508" s="522" t="s">
        <v>373</v>
      </c>
      <c r="C1508" s="522" t="s">
        <v>986</v>
      </c>
      <c r="D1508" s="533" t="s">
        <v>1036</v>
      </c>
      <c r="E1508" s="960"/>
      <c r="F1508" s="962"/>
      <c r="G1508" s="961"/>
      <c r="H1508" s="962"/>
      <c r="I1508" s="962"/>
      <c r="J1508" s="962"/>
      <c r="K1508" s="962"/>
      <c r="L1508" s="962"/>
      <c r="M1508" s="961"/>
      <c r="N1508" s="961"/>
      <c r="O1508" s="962"/>
      <c r="P1508" s="962"/>
      <c r="Q1508" s="961"/>
      <c r="R1508" s="961"/>
      <c r="S1508" s="527">
        <f t="shared" si="197"/>
        <v>0</v>
      </c>
      <c r="T1508" s="528">
        <f t="shared" si="198"/>
        <v>0</v>
      </c>
      <c r="U1508" s="527">
        <f t="shared" si="195"/>
        <v>0</v>
      </c>
      <c r="W1508" s="326">
        <f t="shared" si="191"/>
        <v>0</v>
      </c>
      <c r="X1508" s="261">
        <f t="shared" si="199"/>
        <v>0</v>
      </c>
      <c r="Z1508" s="1016">
        <f t="shared" si="192"/>
        <v>0</v>
      </c>
    </row>
    <row r="1509" spans="1:26" ht="12" hidden="1" thickBot="1">
      <c r="A1509" s="588" t="s">
        <v>1466</v>
      </c>
      <c r="B1509" s="522" t="s">
        <v>375</v>
      </c>
      <c r="C1509" s="522" t="s">
        <v>987</v>
      </c>
      <c r="D1509" s="533" t="s">
        <v>1036</v>
      </c>
      <c r="E1509" s="960"/>
      <c r="F1509" s="962"/>
      <c r="G1509" s="961"/>
      <c r="H1509" s="962"/>
      <c r="I1509" s="962"/>
      <c r="J1509" s="962"/>
      <c r="K1509" s="962"/>
      <c r="L1509" s="962"/>
      <c r="M1509" s="961"/>
      <c r="N1509" s="961"/>
      <c r="O1509" s="962"/>
      <c r="P1509" s="962"/>
      <c r="Q1509" s="961"/>
      <c r="R1509" s="961"/>
      <c r="S1509" s="527">
        <f t="shared" si="197"/>
        <v>0</v>
      </c>
      <c r="T1509" s="528">
        <f t="shared" si="198"/>
        <v>0</v>
      </c>
      <c r="U1509" s="527">
        <f t="shared" si="195"/>
        <v>0</v>
      </c>
      <c r="W1509" s="326">
        <f t="shared" si="191"/>
        <v>0</v>
      </c>
      <c r="X1509" s="261">
        <f t="shared" si="199"/>
        <v>0</v>
      </c>
      <c r="Z1509" s="1016">
        <f t="shared" si="192"/>
        <v>0</v>
      </c>
    </row>
    <row r="1510" spans="1:26" ht="12" hidden="1" thickBot="1">
      <c r="A1510" s="588" t="s">
        <v>1466</v>
      </c>
      <c r="B1510" s="522" t="s">
        <v>401</v>
      </c>
      <c r="C1510" s="522" t="s">
        <v>988</v>
      </c>
      <c r="D1510" s="533" t="s">
        <v>1036</v>
      </c>
      <c r="E1510" s="960"/>
      <c r="F1510" s="962"/>
      <c r="G1510" s="961"/>
      <c r="H1510" s="962"/>
      <c r="I1510" s="962"/>
      <c r="J1510" s="962"/>
      <c r="K1510" s="962"/>
      <c r="L1510" s="962"/>
      <c r="M1510" s="961"/>
      <c r="N1510" s="961"/>
      <c r="O1510" s="962"/>
      <c r="P1510" s="962"/>
      <c r="Q1510" s="961"/>
      <c r="R1510" s="961"/>
      <c r="S1510" s="527">
        <f t="shared" si="197"/>
        <v>0</v>
      </c>
      <c r="T1510" s="528">
        <f t="shared" si="198"/>
        <v>0</v>
      </c>
      <c r="U1510" s="527">
        <f t="shared" si="195"/>
        <v>0</v>
      </c>
      <c r="W1510" s="326">
        <f t="shared" si="191"/>
        <v>0</v>
      </c>
      <c r="X1510" s="261">
        <f t="shared" si="199"/>
        <v>0</v>
      </c>
      <c r="Z1510" s="1016">
        <f t="shared" si="192"/>
        <v>0</v>
      </c>
    </row>
    <row r="1511" spans="1:26" ht="12" hidden="1" thickBot="1">
      <c r="A1511" s="588" t="s">
        <v>1466</v>
      </c>
      <c r="B1511" s="522" t="s">
        <v>328</v>
      </c>
      <c r="C1511" s="522" t="s">
        <v>989</v>
      </c>
      <c r="D1511" s="533" t="s">
        <v>1036</v>
      </c>
      <c r="E1511" s="960"/>
      <c r="F1511" s="962"/>
      <c r="G1511" s="961"/>
      <c r="H1511" s="962"/>
      <c r="I1511" s="962"/>
      <c r="J1511" s="962"/>
      <c r="K1511" s="962"/>
      <c r="L1511" s="962"/>
      <c r="M1511" s="961"/>
      <c r="N1511" s="961"/>
      <c r="O1511" s="962"/>
      <c r="P1511" s="962"/>
      <c r="Q1511" s="961"/>
      <c r="R1511" s="961"/>
      <c r="S1511" s="527">
        <f t="shared" si="197"/>
        <v>0</v>
      </c>
      <c r="T1511" s="528">
        <f t="shared" si="198"/>
        <v>0</v>
      </c>
      <c r="U1511" s="527">
        <f t="shared" si="195"/>
        <v>0</v>
      </c>
      <c r="W1511" s="326">
        <f t="shared" si="191"/>
        <v>0</v>
      </c>
      <c r="X1511" s="261">
        <f t="shared" si="199"/>
        <v>0</v>
      </c>
      <c r="Z1511" s="1016">
        <f t="shared" si="192"/>
        <v>0</v>
      </c>
    </row>
    <row r="1512" spans="1:26" ht="12" hidden="1" thickBot="1">
      <c r="A1512" s="588" t="s">
        <v>1466</v>
      </c>
      <c r="B1512" s="522" t="s">
        <v>437</v>
      </c>
      <c r="C1512" s="522" t="s">
        <v>990</v>
      </c>
      <c r="D1512" s="533" t="s">
        <v>1036</v>
      </c>
      <c r="E1512" s="960"/>
      <c r="F1512" s="962"/>
      <c r="G1512" s="961"/>
      <c r="H1512" s="962"/>
      <c r="I1512" s="962"/>
      <c r="J1512" s="962"/>
      <c r="K1512" s="962"/>
      <c r="L1512" s="962"/>
      <c r="M1512" s="961"/>
      <c r="N1512" s="961"/>
      <c r="O1512" s="962"/>
      <c r="P1512" s="962"/>
      <c r="Q1512" s="961"/>
      <c r="R1512" s="961"/>
      <c r="S1512" s="527">
        <f t="shared" si="197"/>
        <v>0</v>
      </c>
      <c r="T1512" s="528">
        <f t="shared" si="198"/>
        <v>0</v>
      </c>
      <c r="U1512" s="527">
        <f t="shared" si="195"/>
        <v>0</v>
      </c>
      <c r="W1512" s="326">
        <f t="shared" si="191"/>
        <v>0</v>
      </c>
      <c r="X1512" s="261">
        <f t="shared" si="199"/>
        <v>0</v>
      </c>
      <c r="Z1512" s="1016">
        <f t="shared" si="192"/>
        <v>0</v>
      </c>
    </row>
    <row r="1513" spans="1:26" ht="12" hidden="1" thickBot="1">
      <c r="A1513" s="588" t="s">
        <v>1466</v>
      </c>
      <c r="B1513" s="522" t="s">
        <v>338</v>
      </c>
      <c r="C1513" s="522" t="s">
        <v>991</v>
      </c>
      <c r="D1513" s="533" t="s">
        <v>1035</v>
      </c>
      <c r="E1513" s="960"/>
      <c r="F1513" s="962"/>
      <c r="G1513" s="961"/>
      <c r="H1513" s="962"/>
      <c r="I1513" s="962"/>
      <c r="J1513" s="962"/>
      <c r="K1513" s="962"/>
      <c r="L1513" s="962"/>
      <c r="M1513" s="961"/>
      <c r="N1513" s="961"/>
      <c r="O1513" s="962"/>
      <c r="P1513" s="962"/>
      <c r="Q1513" s="961"/>
      <c r="R1513" s="961"/>
      <c r="S1513" s="527">
        <f t="shared" si="197"/>
        <v>0</v>
      </c>
      <c r="T1513" s="528">
        <f t="shared" si="198"/>
        <v>0</v>
      </c>
      <c r="U1513" s="527">
        <f t="shared" si="195"/>
        <v>0</v>
      </c>
      <c r="W1513" s="326">
        <f t="shared" si="191"/>
        <v>0</v>
      </c>
      <c r="X1513" s="261">
        <f t="shared" si="199"/>
        <v>0</v>
      </c>
      <c r="Z1513" s="1016">
        <f t="shared" si="192"/>
        <v>0</v>
      </c>
    </row>
    <row r="1514" spans="1:26" ht="12" hidden="1" thickBot="1">
      <c r="A1514" s="588" t="s">
        <v>1466</v>
      </c>
      <c r="B1514" s="522" t="s">
        <v>370</v>
      </c>
      <c r="C1514" s="522" t="s">
        <v>992</v>
      </c>
      <c r="D1514" s="533" t="s">
        <v>1035</v>
      </c>
      <c r="E1514" s="960"/>
      <c r="F1514" s="962"/>
      <c r="G1514" s="961"/>
      <c r="H1514" s="962"/>
      <c r="I1514" s="962"/>
      <c r="J1514" s="962"/>
      <c r="K1514" s="962"/>
      <c r="L1514" s="962"/>
      <c r="M1514" s="961"/>
      <c r="N1514" s="961"/>
      <c r="O1514" s="962"/>
      <c r="P1514" s="962"/>
      <c r="Q1514" s="961"/>
      <c r="R1514" s="961"/>
      <c r="S1514" s="527">
        <f t="shared" si="197"/>
        <v>0</v>
      </c>
      <c r="T1514" s="528">
        <f t="shared" si="198"/>
        <v>0</v>
      </c>
      <c r="U1514" s="527">
        <f t="shared" si="195"/>
        <v>0</v>
      </c>
      <c r="W1514" s="326">
        <f t="shared" si="191"/>
        <v>0</v>
      </c>
      <c r="X1514" s="261">
        <f t="shared" si="199"/>
        <v>0</v>
      </c>
      <c r="Z1514" s="1016">
        <f t="shared" si="192"/>
        <v>0</v>
      </c>
    </row>
    <row r="1515" spans="1:26" ht="12" hidden="1" thickBot="1">
      <c r="A1515" s="588" t="s">
        <v>1466</v>
      </c>
      <c r="B1515" s="522" t="s">
        <v>333</v>
      </c>
      <c r="C1515" s="522" t="s">
        <v>993</v>
      </c>
      <c r="D1515" s="533" t="s">
        <v>1035</v>
      </c>
      <c r="E1515" s="960"/>
      <c r="F1515" s="962"/>
      <c r="G1515" s="961"/>
      <c r="H1515" s="962"/>
      <c r="I1515" s="962"/>
      <c r="J1515" s="962"/>
      <c r="K1515" s="962"/>
      <c r="L1515" s="962"/>
      <c r="M1515" s="961"/>
      <c r="N1515" s="961"/>
      <c r="O1515" s="962"/>
      <c r="P1515" s="962"/>
      <c r="Q1515" s="961"/>
      <c r="R1515" s="961"/>
      <c r="S1515" s="527">
        <f t="shared" si="197"/>
        <v>0</v>
      </c>
      <c r="T1515" s="528">
        <f t="shared" si="198"/>
        <v>0</v>
      </c>
      <c r="U1515" s="527">
        <f t="shared" si="195"/>
        <v>0</v>
      </c>
      <c r="W1515" s="326">
        <f t="shared" si="191"/>
        <v>0</v>
      </c>
      <c r="X1515" s="261">
        <f t="shared" si="199"/>
        <v>0</v>
      </c>
      <c r="Z1515" s="1016">
        <f t="shared" si="192"/>
        <v>0</v>
      </c>
    </row>
    <row r="1516" spans="1:26" ht="12" hidden="1" thickBot="1">
      <c r="A1516" s="588" t="s">
        <v>1466</v>
      </c>
      <c r="B1516" s="522" t="s">
        <v>336</v>
      </c>
      <c r="C1516" s="522" t="s">
        <v>994</v>
      </c>
      <c r="D1516" s="533" t="s">
        <v>1036</v>
      </c>
      <c r="E1516" s="960"/>
      <c r="F1516" s="962"/>
      <c r="G1516" s="961"/>
      <c r="H1516" s="962"/>
      <c r="I1516" s="962"/>
      <c r="J1516" s="962"/>
      <c r="K1516" s="962"/>
      <c r="L1516" s="962"/>
      <c r="M1516" s="961"/>
      <c r="N1516" s="961"/>
      <c r="O1516" s="962"/>
      <c r="P1516" s="962"/>
      <c r="Q1516" s="961"/>
      <c r="R1516" s="961"/>
      <c r="S1516" s="527">
        <f t="shared" si="197"/>
        <v>0</v>
      </c>
      <c r="T1516" s="528">
        <f t="shared" si="198"/>
        <v>0</v>
      </c>
      <c r="U1516" s="527">
        <f t="shared" si="195"/>
        <v>0</v>
      </c>
      <c r="W1516" s="326">
        <f t="shared" si="191"/>
        <v>0</v>
      </c>
      <c r="X1516" s="261">
        <f t="shared" si="199"/>
        <v>0</v>
      </c>
      <c r="Z1516" s="1016">
        <f t="shared" si="192"/>
        <v>0</v>
      </c>
    </row>
    <row r="1517" spans="1:26" ht="12" hidden="1" thickBot="1">
      <c r="A1517" s="588" t="s">
        <v>1466</v>
      </c>
      <c r="B1517" s="522" t="s">
        <v>368</v>
      </c>
      <c r="C1517" s="522" t="s">
        <v>995</v>
      </c>
      <c r="D1517" s="533" t="s">
        <v>1036</v>
      </c>
      <c r="E1517" s="960"/>
      <c r="F1517" s="962"/>
      <c r="G1517" s="961"/>
      <c r="H1517" s="962"/>
      <c r="I1517" s="962"/>
      <c r="J1517" s="962"/>
      <c r="K1517" s="962"/>
      <c r="L1517" s="962"/>
      <c r="M1517" s="961"/>
      <c r="N1517" s="961"/>
      <c r="O1517" s="962"/>
      <c r="P1517" s="962"/>
      <c r="Q1517" s="961"/>
      <c r="R1517" s="961"/>
      <c r="S1517" s="527">
        <f t="shared" si="197"/>
        <v>0</v>
      </c>
      <c r="T1517" s="528">
        <f t="shared" si="198"/>
        <v>0</v>
      </c>
      <c r="U1517" s="527">
        <f t="shared" si="195"/>
        <v>0</v>
      </c>
      <c r="W1517" s="326">
        <f t="shared" si="191"/>
        <v>0</v>
      </c>
      <c r="X1517" s="261">
        <f t="shared" si="199"/>
        <v>0</v>
      </c>
      <c r="Z1517" s="1016">
        <f t="shared" si="192"/>
        <v>0</v>
      </c>
    </row>
    <row r="1518" spans="1:26" ht="12" hidden="1" thickBot="1">
      <c r="A1518" s="588" t="s">
        <v>1466</v>
      </c>
      <c r="B1518" s="522" t="s">
        <v>400</v>
      </c>
      <c r="C1518" s="522" t="s">
        <v>996</v>
      </c>
      <c r="D1518" s="533" t="s">
        <v>1036</v>
      </c>
      <c r="E1518" s="960"/>
      <c r="F1518" s="962"/>
      <c r="G1518" s="961"/>
      <c r="H1518" s="962"/>
      <c r="I1518" s="962"/>
      <c r="J1518" s="962"/>
      <c r="K1518" s="962"/>
      <c r="L1518" s="962"/>
      <c r="M1518" s="961"/>
      <c r="N1518" s="961"/>
      <c r="O1518" s="962"/>
      <c r="P1518" s="962"/>
      <c r="Q1518" s="961"/>
      <c r="R1518" s="961"/>
      <c r="S1518" s="527">
        <f t="shared" si="197"/>
        <v>0</v>
      </c>
      <c r="T1518" s="528">
        <f t="shared" si="198"/>
        <v>0</v>
      </c>
      <c r="U1518" s="527">
        <f t="shared" si="195"/>
        <v>0</v>
      </c>
      <c r="W1518" s="326">
        <f t="shared" si="191"/>
        <v>0</v>
      </c>
      <c r="X1518" s="261">
        <f t="shared" si="199"/>
        <v>0</v>
      </c>
      <c r="Z1518" s="1016">
        <f t="shared" si="192"/>
        <v>0</v>
      </c>
    </row>
    <row r="1519" spans="1:26" ht="12" hidden="1" thickBot="1">
      <c r="A1519" s="588" t="s">
        <v>1466</v>
      </c>
      <c r="B1519" s="522" t="s">
        <v>327</v>
      </c>
      <c r="C1519" s="522" t="s">
        <v>997</v>
      </c>
      <c r="D1519" s="533" t="s">
        <v>1036</v>
      </c>
      <c r="E1519" s="960"/>
      <c r="F1519" s="962"/>
      <c r="G1519" s="961"/>
      <c r="H1519" s="962"/>
      <c r="I1519" s="962"/>
      <c r="J1519" s="962"/>
      <c r="K1519" s="962"/>
      <c r="L1519" s="962"/>
      <c r="M1519" s="961"/>
      <c r="N1519" s="961"/>
      <c r="O1519" s="962"/>
      <c r="P1519" s="962"/>
      <c r="Q1519" s="961"/>
      <c r="R1519" s="961"/>
      <c r="S1519" s="527">
        <f t="shared" si="197"/>
        <v>0</v>
      </c>
      <c r="T1519" s="528">
        <f t="shared" si="198"/>
        <v>0</v>
      </c>
      <c r="U1519" s="527">
        <f t="shared" si="195"/>
        <v>0</v>
      </c>
      <c r="W1519" s="326">
        <f t="shared" si="191"/>
        <v>0</v>
      </c>
      <c r="X1519" s="261">
        <f t="shared" si="199"/>
        <v>0</v>
      </c>
      <c r="Z1519" s="1016">
        <f t="shared" si="192"/>
        <v>0</v>
      </c>
    </row>
    <row r="1520" spans="1:26" ht="12" hidden="1" thickBot="1">
      <c r="A1520" s="588" t="s">
        <v>1466</v>
      </c>
      <c r="B1520" s="522" t="s">
        <v>357</v>
      </c>
      <c r="C1520" s="522" t="s">
        <v>998</v>
      </c>
      <c r="D1520" s="533" t="s">
        <v>1036</v>
      </c>
      <c r="E1520" s="960"/>
      <c r="F1520" s="962"/>
      <c r="G1520" s="961"/>
      <c r="H1520" s="962"/>
      <c r="I1520" s="962"/>
      <c r="J1520" s="962"/>
      <c r="K1520" s="962"/>
      <c r="L1520" s="962"/>
      <c r="M1520" s="961"/>
      <c r="N1520" s="961"/>
      <c r="O1520" s="962"/>
      <c r="P1520" s="962"/>
      <c r="Q1520" s="961"/>
      <c r="R1520" s="961"/>
      <c r="S1520" s="527">
        <f t="shared" si="197"/>
        <v>0</v>
      </c>
      <c r="T1520" s="528">
        <f t="shared" si="198"/>
        <v>0</v>
      </c>
      <c r="U1520" s="527">
        <f t="shared" si="195"/>
        <v>0</v>
      </c>
      <c r="W1520" s="326">
        <f t="shared" si="191"/>
        <v>0</v>
      </c>
      <c r="X1520" s="261">
        <f t="shared" si="199"/>
        <v>0</v>
      </c>
      <c r="Z1520" s="1016">
        <f t="shared" si="192"/>
        <v>0</v>
      </c>
    </row>
    <row r="1521" spans="1:26" ht="12" hidden="1" thickBot="1">
      <c r="A1521" s="588" t="s">
        <v>1466</v>
      </c>
      <c r="B1521" s="522" t="s">
        <v>331</v>
      </c>
      <c r="C1521" s="522" t="s">
        <v>999</v>
      </c>
      <c r="D1521" s="533" t="s">
        <v>1036</v>
      </c>
      <c r="E1521" s="960"/>
      <c r="F1521" s="962"/>
      <c r="G1521" s="961"/>
      <c r="H1521" s="962"/>
      <c r="I1521" s="962"/>
      <c r="J1521" s="962"/>
      <c r="K1521" s="962"/>
      <c r="L1521" s="962"/>
      <c r="M1521" s="961"/>
      <c r="N1521" s="961"/>
      <c r="O1521" s="962"/>
      <c r="P1521" s="962"/>
      <c r="Q1521" s="961"/>
      <c r="R1521" s="961"/>
      <c r="S1521" s="527">
        <f t="shared" si="197"/>
        <v>0</v>
      </c>
      <c r="T1521" s="528">
        <f t="shared" si="198"/>
        <v>0</v>
      </c>
      <c r="U1521" s="527">
        <f t="shared" si="195"/>
        <v>0</v>
      </c>
      <c r="W1521" s="326">
        <f t="shared" si="191"/>
        <v>0</v>
      </c>
      <c r="X1521" s="261">
        <f t="shared" si="199"/>
        <v>0</v>
      </c>
      <c r="Z1521" s="1016">
        <f t="shared" si="192"/>
        <v>0</v>
      </c>
    </row>
    <row r="1522" spans="1:26" ht="12" hidden="1" thickBot="1">
      <c r="A1522" s="588" t="s">
        <v>1466</v>
      </c>
      <c r="B1522" s="522" t="s">
        <v>335</v>
      </c>
      <c r="C1522" s="522" t="s">
        <v>1000</v>
      </c>
      <c r="D1522" s="533" t="s">
        <v>1036</v>
      </c>
      <c r="E1522" s="960"/>
      <c r="F1522" s="962"/>
      <c r="G1522" s="961"/>
      <c r="H1522" s="962"/>
      <c r="I1522" s="962"/>
      <c r="J1522" s="962"/>
      <c r="K1522" s="962"/>
      <c r="L1522" s="962"/>
      <c r="M1522" s="961"/>
      <c r="N1522" s="961"/>
      <c r="O1522" s="962"/>
      <c r="P1522" s="962"/>
      <c r="Q1522" s="961"/>
      <c r="R1522" s="961"/>
      <c r="S1522" s="527">
        <f t="shared" si="197"/>
        <v>0</v>
      </c>
      <c r="T1522" s="528">
        <f t="shared" si="198"/>
        <v>0</v>
      </c>
      <c r="U1522" s="527">
        <f t="shared" si="195"/>
        <v>0</v>
      </c>
      <c r="W1522" s="326">
        <f t="shared" si="191"/>
        <v>0</v>
      </c>
      <c r="X1522" s="261">
        <f t="shared" si="199"/>
        <v>0</v>
      </c>
      <c r="Z1522" s="1016">
        <f t="shared" si="192"/>
        <v>0</v>
      </c>
    </row>
    <row r="1523" spans="1:26" ht="12" hidden="1" thickBot="1">
      <c r="A1523" s="588" t="s">
        <v>1466</v>
      </c>
      <c r="B1523" s="522" t="s">
        <v>372</v>
      </c>
      <c r="C1523" s="522" t="s">
        <v>1001</v>
      </c>
      <c r="D1523" s="533" t="s">
        <v>1036</v>
      </c>
      <c r="E1523" s="960"/>
      <c r="F1523" s="962"/>
      <c r="G1523" s="961"/>
      <c r="H1523" s="962"/>
      <c r="I1523" s="962"/>
      <c r="J1523" s="962"/>
      <c r="K1523" s="962"/>
      <c r="L1523" s="962"/>
      <c r="M1523" s="961"/>
      <c r="N1523" s="961"/>
      <c r="O1523" s="962"/>
      <c r="P1523" s="962"/>
      <c r="Q1523" s="961"/>
      <c r="R1523" s="961"/>
      <c r="S1523" s="527">
        <f t="shared" si="197"/>
        <v>0</v>
      </c>
      <c r="T1523" s="528">
        <f t="shared" si="198"/>
        <v>0</v>
      </c>
      <c r="U1523" s="527">
        <f t="shared" si="195"/>
        <v>0</v>
      </c>
      <c r="W1523" s="326">
        <f t="shared" si="191"/>
        <v>0</v>
      </c>
      <c r="X1523" s="261">
        <f t="shared" si="199"/>
        <v>0</v>
      </c>
      <c r="Z1523" s="1016">
        <f t="shared" si="192"/>
        <v>0</v>
      </c>
    </row>
    <row r="1524" spans="1:26" ht="12" hidden="1" thickBot="1">
      <c r="A1524" s="588" t="s">
        <v>1466</v>
      </c>
      <c r="B1524" s="522" t="s">
        <v>381</v>
      </c>
      <c r="C1524" s="522" t="s">
        <v>1002</v>
      </c>
      <c r="D1524" s="533" t="s">
        <v>1035</v>
      </c>
      <c r="E1524" s="960"/>
      <c r="F1524" s="962"/>
      <c r="G1524" s="961"/>
      <c r="H1524" s="962"/>
      <c r="I1524" s="962"/>
      <c r="J1524" s="962"/>
      <c r="K1524" s="962"/>
      <c r="L1524" s="962"/>
      <c r="M1524" s="961"/>
      <c r="N1524" s="961"/>
      <c r="O1524" s="962"/>
      <c r="P1524" s="962"/>
      <c r="Q1524" s="961"/>
      <c r="R1524" s="961"/>
      <c r="S1524" s="527">
        <f t="shared" si="197"/>
        <v>0</v>
      </c>
      <c r="T1524" s="528">
        <f t="shared" si="198"/>
        <v>0</v>
      </c>
      <c r="U1524" s="527">
        <f t="shared" si="195"/>
        <v>0</v>
      </c>
      <c r="W1524" s="326">
        <f t="shared" si="191"/>
        <v>0</v>
      </c>
      <c r="X1524" s="261">
        <f t="shared" si="199"/>
        <v>0</v>
      </c>
      <c r="Z1524" s="1016">
        <f t="shared" si="192"/>
        <v>0</v>
      </c>
    </row>
    <row r="1525" spans="1:26" ht="12" hidden="1" thickBot="1">
      <c r="A1525" s="588" t="s">
        <v>1466</v>
      </c>
      <c r="B1525" s="522" t="s">
        <v>404</v>
      </c>
      <c r="C1525" s="522" t="s">
        <v>1003</v>
      </c>
      <c r="D1525" s="533" t="s">
        <v>1035</v>
      </c>
      <c r="E1525" s="960"/>
      <c r="F1525" s="962"/>
      <c r="G1525" s="961"/>
      <c r="H1525" s="962"/>
      <c r="I1525" s="962"/>
      <c r="J1525" s="962"/>
      <c r="K1525" s="962"/>
      <c r="L1525" s="962"/>
      <c r="M1525" s="961"/>
      <c r="N1525" s="961"/>
      <c r="O1525" s="962"/>
      <c r="P1525" s="962"/>
      <c r="Q1525" s="961"/>
      <c r="R1525" s="961"/>
      <c r="S1525" s="527">
        <f t="shared" si="197"/>
        <v>0</v>
      </c>
      <c r="T1525" s="528">
        <f t="shared" si="198"/>
        <v>0</v>
      </c>
      <c r="U1525" s="527">
        <f t="shared" si="195"/>
        <v>0</v>
      </c>
      <c r="W1525" s="326">
        <f t="shared" si="191"/>
        <v>0</v>
      </c>
      <c r="X1525" s="261">
        <f t="shared" si="199"/>
        <v>0</v>
      </c>
      <c r="Z1525" s="1016">
        <f t="shared" si="192"/>
        <v>0</v>
      </c>
    </row>
    <row r="1526" spans="1:26" ht="12" hidden="1" thickBot="1">
      <c r="A1526" s="588" t="s">
        <v>1466</v>
      </c>
      <c r="B1526" s="522" t="s">
        <v>361</v>
      </c>
      <c r="C1526" s="522" t="s">
        <v>1004</v>
      </c>
      <c r="D1526" s="533" t="s">
        <v>1035</v>
      </c>
      <c r="E1526" s="960"/>
      <c r="F1526" s="962"/>
      <c r="G1526" s="961"/>
      <c r="H1526" s="962"/>
      <c r="I1526" s="962"/>
      <c r="J1526" s="962"/>
      <c r="K1526" s="962"/>
      <c r="L1526" s="962"/>
      <c r="M1526" s="961"/>
      <c r="N1526" s="961"/>
      <c r="O1526" s="962"/>
      <c r="P1526" s="962"/>
      <c r="Q1526" s="961"/>
      <c r="R1526" s="961"/>
      <c r="S1526" s="527">
        <f t="shared" si="197"/>
        <v>0</v>
      </c>
      <c r="T1526" s="528">
        <f t="shared" si="198"/>
        <v>0</v>
      </c>
      <c r="U1526" s="527">
        <f t="shared" si="195"/>
        <v>0</v>
      </c>
      <c r="W1526" s="326">
        <f t="shared" ref="W1526:W1589" si="200">SUM(F1526:Q1526)</f>
        <v>0</v>
      </c>
      <c r="X1526" s="261">
        <f t="shared" si="199"/>
        <v>0</v>
      </c>
      <c r="Z1526" s="1016">
        <f t="shared" si="192"/>
        <v>0</v>
      </c>
    </row>
    <row r="1527" spans="1:26" ht="12" hidden="1" thickBot="1">
      <c r="A1527" s="588" t="s">
        <v>1466</v>
      </c>
      <c r="B1527" s="522" t="s">
        <v>393</v>
      </c>
      <c r="C1527" s="522" t="s">
        <v>1005</v>
      </c>
      <c r="D1527" s="533" t="s">
        <v>1035</v>
      </c>
      <c r="E1527" s="960"/>
      <c r="F1527" s="962"/>
      <c r="G1527" s="961"/>
      <c r="H1527" s="962"/>
      <c r="I1527" s="962"/>
      <c r="J1527" s="962"/>
      <c r="K1527" s="962"/>
      <c r="L1527" s="962"/>
      <c r="M1527" s="961"/>
      <c r="N1527" s="961"/>
      <c r="O1527" s="962"/>
      <c r="P1527" s="962"/>
      <c r="Q1527" s="961"/>
      <c r="R1527" s="961"/>
      <c r="S1527" s="527">
        <f t="shared" si="197"/>
        <v>0</v>
      </c>
      <c r="T1527" s="528">
        <f t="shared" si="198"/>
        <v>0</v>
      </c>
      <c r="U1527" s="527">
        <f t="shared" si="195"/>
        <v>0</v>
      </c>
      <c r="W1527" s="326">
        <f t="shared" si="200"/>
        <v>0</v>
      </c>
      <c r="X1527" s="261">
        <f t="shared" si="199"/>
        <v>0</v>
      </c>
      <c r="Z1527" s="1016">
        <f t="shared" si="192"/>
        <v>0</v>
      </c>
    </row>
    <row r="1528" spans="1:26" ht="12" hidden="1" thickBot="1">
      <c r="A1528" s="588" t="s">
        <v>1466</v>
      </c>
      <c r="B1528" s="522" t="s">
        <v>1356</v>
      </c>
      <c r="C1528" s="522" t="s">
        <v>1357</v>
      </c>
      <c r="D1528" s="533" t="s">
        <v>756</v>
      </c>
      <c r="E1528" s="960"/>
      <c r="F1528" s="962"/>
      <c r="G1528" s="962"/>
      <c r="H1528" s="962"/>
      <c r="I1528" s="962"/>
      <c r="J1528" s="962"/>
      <c r="K1528" s="962"/>
      <c r="L1528" s="962"/>
      <c r="M1528" s="962"/>
      <c r="N1528" s="962"/>
      <c r="O1528" s="962"/>
      <c r="P1528" s="962"/>
      <c r="Q1528" s="962"/>
      <c r="R1528" s="962"/>
      <c r="S1528" s="527">
        <f t="shared" si="197"/>
        <v>0</v>
      </c>
      <c r="T1528" s="528">
        <f t="shared" si="198"/>
        <v>0</v>
      </c>
      <c r="U1528" s="527">
        <f t="shared" si="195"/>
        <v>0</v>
      </c>
      <c r="W1528" s="326">
        <f t="shared" si="200"/>
        <v>0</v>
      </c>
      <c r="X1528" s="261">
        <f t="shared" si="199"/>
        <v>0</v>
      </c>
      <c r="Z1528" s="1016">
        <f t="shared" si="192"/>
        <v>0</v>
      </c>
    </row>
    <row r="1529" spans="1:26" ht="12" hidden="1" thickBot="1">
      <c r="A1529" s="588" t="s">
        <v>1466</v>
      </c>
      <c r="B1529" s="522" t="s">
        <v>379</v>
      </c>
      <c r="C1529" s="522" t="s">
        <v>1006</v>
      </c>
      <c r="D1529" s="533" t="s">
        <v>1036</v>
      </c>
      <c r="E1529" s="960"/>
      <c r="F1529" s="962"/>
      <c r="G1529" s="961"/>
      <c r="H1529" s="962"/>
      <c r="I1529" s="962"/>
      <c r="J1529" s="962"/>
      <c r="K1529" s="962"/>
      <c r="L1529" s="962"/>
      <c r="M1529" s="961"/>
      <c r="N1529" s="961"/>
      <c r="O1529" s="962"/>
      <c r="P1529" s="962"/>
      <c r="Q1529" s="961"/>
      <c r="R1529" s="961"/>
      <c r="S1529" s="527">
        <f t="shared" si="197"/>
        <v>0</v>
      </c>
      <c r="T1529" s="528">
        <f t="shared" si="198"/>
        <v>0</v>
      </c>
      <c r="U1529" s="527">
        <f t="shared" si="195"/>
        <v>0</v>
      </c>
      <c r="W1529" s="326">
        <f t="shared" si="200"/>
        <v>0</v>
      </c>
      <c r="X1529" s="261">
        <f t="shared" si="199"/>
        <v>0</v>
      </c>
      <c r="Z1529" s="1016">
        <f t="shared" si="192"/>
        <v>0</v>
      </c>
    </row>
    <row r="1530" spans="1:26" ht="12" hidden="1" thickBot="1">
      <c r="A1530" s="588" t="s">
        <v>1466</v>
      </c>
      <c r="B1530" s="522" t="s">
        <v>389</v>
      </c>
      <c r="C1530" s="522" t="s">
        <v>1007</v>
      </c>
      <c r="D1530" s="533" t="s">
        <v>1035</v>
      </c>
      <c r="E1530" s="960"/>
      <c r="F1530" s="962"/>
      <c r="G1530" s="961"/>
      <c r="H1530" s="962"/>
      <c r="I1530" s="962"/>
      <c r="J1530" s="962"/>
      <c r="K1530" s="962"/>
      <c r="L1530" s="962"/>
      <c r="M1530" s="961"/>
      <c r="N1530" s="961"/>
      <c r="O1530" s="962"/>
      <c r="P1530" s="962"/>
      <c r="Q1530" s="961"/>
      <c r="R1530" s="961"/>
      <c r="S1530" s="527">
        <f t="shared" si="197"/>
        <v>0</v>
      </c>
      <c r="T1530" s="528">
        <f t="shared" si="198"/>
        <v>0</v>
      </c>
      <c r="U1530" s="527">
        <f t="shared" si="195"/>
        <v>0</v>
      </c>
      <c r="W1530" s="326">
        <f t="shared" si="200"/>
        <v>0</v>
      </c>
      <c r="X1530" s="261">
        <f t="shared" si="199"/>
        <v>0</v>
      </c>
      <c r="Z1530" s="1016">
        <f t="shared" si="192"/>
        <v>0</v>
      </c>
    </row>
    <row r="1531" spans="1:26" ht="12" hidden="1" thickBot="1">
      <c r="A1531" s="588" t="s">
        <v>1466</v>
      </c>
      <c r="B1531" s="522" t="s">
        <v>412</v>
      </c>
      <c r="C1531" s="522" t="s">
        <v>1008</v>
      </c>
      <c r="D1531" s="533" t="s">
        <v>1035</v>
      </c>
      <c r="E1531" s="960"/>
      <c r="F1531" s="962"/>
      <c r="G1531" s="961"/>
      <c r="H1531" s="962"/>
      <c r="I1531" s="962"/>
      <c r="J1531" s="962"/>
      <c r="K1531" s="962"/>
      <c r="L1531" s="962"/>
      <c r="M1531" s="961"/>
      <c r="N1531" s="961"/>
      <c r="O1531" s="962"/>
      <c r="P1531" s="962"/>
      <c r="Q1531" s="961"/>
      <c r="R1531" s="961"/>
      <c r="S1531" s="527">
        <f t="shared" si="197"/>
        <v>0</v>
      </c>
      <c r="T1531" s="528">
        <f t="shared" si="198"/>
        <v>0</v>
      </c>
      <c r="U1531" s="527">
        <f t="shared" si="195"/>
        <v>0</v>
      </c>
      <c r="W1531" s="326">
        <f t="shared" si="200"/>
        <v>0</v>
      </c>
      <c r="X1531" s="261">
        <f t="shared" si="199"/>
        <v>0</v>
      </c>
      <c r="Z1531" s="1016">
        <f t="shared" si="192"/>
        <v>0</v>
      </c>
    </row>
    <row r="1532" spans="1:26" ht="12" hidden="1" thickBot="1">
      <c r="A1532" s="588" t="s">
        <v>1466</v>
      </c>
      <c r="B1532" s="522" t="s">
        <v>367</v>
      </c>
      <c r="C1532" s="522" t="s">
        <v>1009</v>
      </c>
      <c r="D1532" s="533" t="s">
        <v>1036</v>
      </c>
      <c r="E1532" s="960"/>
      <c r="F1532" s="962"/>
      <c r="G1532" s="961"/>
      <c r="H1532" s="962"/>
      <c r="I1532" s="962"/>
      <c r="J1532" s="962"/>
      <c r="K1532" s="962"/>
      <c r="L1532" s="962"/>
      <c r="M1532" s="961"/>
      <c r="N1532" s="961"/>
      <c r="O1532" s="962"/>
      <c r="P1532" s="962"/>
      <c r="Q1532" s="961"/>
      <c r="R1532" s="961"/>
      <c r="S1532" s="527">
        <f t="shared" si="197"/>
        <v>0</v>
      </c>
      <c r="T1532" s="528">
        <f t="shared" si="198"/>
        <v>0</v>
      </c>
      <c r="U1532" s="527">
        <f t="shared" si="195"/>
        <v>0</v>
      </c>
      <c r="W1532" s="326">
        <f t="shared" si="200"/>
        <v>0</v>
      </c>
      <c r="X1532" s="261">
        <f t="shared" si="199"/>
        <v>0</v>
      </c>
      <c r="Z1532" s="1016">
        <f t="shared" si="192"/>
        <v>0</v>
      </c>
    </row>
    <row r="1533" spans="1:26" ht="12" hidden="1" thickBot="1">
      <c r="A1533" s="588" t="s">
        <v>1466</v>
      </c>
      <c r="B1533" s="522" t="s">
        <v>330</v>
      </c>
      <c r="C1533" s="522" t="s">
        <v>1010</v>
      </c>
      <c r="D1533" s="533" t="s">
        <v>1036</v>
      </c>
      <c r="E1533" s="960"/>
      <c r="F1533" s="962"/>
      <c r="G1533" s="961"/>
      <c r="H1533" s="962"/>
      <c r="I1533" s="962"/>
      <c r="J1533" s="962"/>
      <c r="K1533" s="962"/>
      <c r="L1533" s="962"/>
      <c r="M1533" s="961"/>
      <c r="N1533" s="961"/>
      <c r="O1533" s="962"/>
      <c r="P1533" s="962"/>
      <c r="Q1533" s="961"/>
      <c r="R1533" s="961"/>
      <c r="S1533" s="527">
        <f t="shared" si="197"/>
        <v>0</v>
      </c>
      <c r="T1533" s="528">
        <f t="shared" si="198"/>
        <v>0</v>
      </c>
      <c r="U1533" s="527">
        <f t="shared" si="195"/>
        <v>0</v>
      </c>
      <c r="W1533" s="326">
        <f t="shared" si="200"/>
        <v>0</v>
      </c>
      <c r="X1533" s="261">
        <f t="shared" si="199"/>
        <v>0</v>
      </c>
      <c r="Z1533" s="1016">
        <f t="shared" si="192"/>
        <v>0</v>
      </c>
    </row>
    <row r="1534" spans="1:26" ht="12" hidden="1" thickBot="1">
      <c r="A1534" s="588" t="s">
        <v>1466</v>
      </c>
      <c r="B1534" s="522" t="s">
        <v>371</v>
      </c>
      <c r="C1534" s="522" t="s">
        <v>1011</v>
      </c>
      <c r="D1534" s="533" t="s">
        <v>1036</v>
      </c>
      <c r="E1534" s="960"/>
      <c r="F1534" s="962"/>
      <c r="G1534" s="961"/>
      <c r="H1534" s="962"/>
      <c r="I1534" s="962"/>
      <c r="J1534" s="962"/>
      <c r="K1534" s="962"/>
      <c r="L1534" s="962"/>
      <c r="M1534" s="961"/>
      <c r="N1534" s="961"/>
      <c r="O1534" s="962"/>
      <c r="P1534" s="962"/>
      <c r="Q1534" s="961"/>
      <c r="R1534" s="961"/>
      <c r="S1534" s="527">
        <f t="shared" si="197"/>
        <v>0</v>
      </c>
      <c r="T1534" s="528">
        <f t="shared" si="198"/>
        <v>0</v>
      </c>
      <c r="U1534" s="527">
        <f t="shared" si="195"/>
        <v>0</v>
      </c>
      <c r="W1534" s="326">
        <f t="shared" si="200"/>
        <v>0</v>
      </c>
      <c r="X1534" s="261">
        <f t="shared" si="199"/>
        <v>0</v>
      </c>
      <c r="Z1534" s="1016">
        <f t="shared" ref="Z1534:Z1597" si="201">SUM(F1534:K1534)</f>
        <v>0</v>
      </c>
    </row>
    <row r="1535" spans="1:26" ht="12" hidden="1" thickBot="1">
      <c r="A1535" s="588" t="s">
        <v>1466</v>
      </c>
      <c r="B1535" s="522" t="s">
        <v>380</v>
      </c>
      <c r="C1535" s="522" t="s">
        <v>1012</v>
      </c>
      <c r="D1535" s="533" t="s">
        <v>1035</v>
      </c>
      <c r="E1535" s="960"/>
      <c r="F1535" s="962"/>
      <c r="G1535" s="961"/>
      <c r="H1535" s="962"/>
      <c r="I1535" s="962"/>
      <c r="J1535" s="962"/>
      <c r="K1535" s="962"/>
      <c r="L1535" s="962"/>
      <c r="M1535" s="961"/>
      <c r="N1535" s="961"/>
      <c r="O1535" s="962"/>
      <c r="P1535" s="962"/>
      <c r="Q1535" s="961"/>
      <c r="R1535" s="961"/>
      <c r="S1535" s="527">
        <f t="shared" si="197"/>
        <v>0</v>
      </c>
      <c r="T1535" s="528">
        <f t="shared" si="198"/>
        <v>0</v>
      </c>
      <c r="U1535" s="527">
        <f t="shared" si="195"/>
        <v>0</v>
      </c>
      <c r="W1535" s="326">
        <f t="shared" si="200"/>
        <v>0</v>
      </c>
      <c r="X1535" s="261">
        <f t="shared" si="199"/>
        <v>0</v>
      </c>
      <c r="Z1535" s="1016">
        <f t="shared" si="201"/>
        <v>0</v>
      </c>
    </row>
    <row r="1536" spans="1:26" ht="12" hidden="1" thickBot="1">
      <c r="A1536" s="588" t="s">
        <v>1466</v>
      </c>
      <c r="B1536" s="522" t="s">
        <v>403</v>
      </c>
      <c r="C1536" s="522" t="s">
        <v>1013</v>
      </c>
      <c r="D1536" s="533" t="s">
        <v>1035</v>
      </c>
      <c r="E1536" s="960"/>
      <c r="F1536" s="962"/>
      <c r="G1536" s="961"/>
      <c r="H1536" s="962"/>
      <c r="I1536" s="962"/>
      <c r="J1536" s="962"/>
      <c r="K1536" s="962"/>
      <c r="L1536" s="962"/>
      <c r="M1536" s="961"/>
      <c r="N1536" s="961"/>
      <c r="O1536" s="962"/>
      <c r="P1536" s="962"/>
      <c r="Q1536" s="961"/>
      <c r="R1536" s="961"/>
      <c r="S1536" s="527">
        <f t="shared" si="197"/>
        <v>0</v>
      </c>
      <c r="T1536" s="528">
        <f t="shared" si="198"/>
        <v>0</v>
      </c>
      <c r="U1536" s="527">
        <f t="shared" si="195"/>
        <v>0</v>
      </c>
      <c r="W1536" s="326">
        <f t="shared" si="200"/>
        <v>0</v>
      </c>
      <c r="X1536" s="261">
        <f t="shared" si="199"/>
        <v>0</v>
      </c>
      <c r="Z1536" s="1016">
        <f t="shared" si="201"/>
        <v>0</v>
      </c>
    </row>
    <row r="1537" spans="1:26" ht="12" hidden="1" thickBot="1">
      <c r="A1537" s="588" t="s">
        <v>1466</v>
      </c>
      <c r="B1537" s="522" t="s">
        <v>360</v>
      </c>
      <c r="C1537" s="522" t="s">
        <v>1014</v>
      </c>
      <c r="D1537" s="533" t="s">
        <v>1035</v>
      </c>
      <c r="E1537" s="960"/>
      <c r="F1537" s="962"/>
      <c r="G1537" s="961"/>
      <c r="H1537" s="962"/>
      <c r="I1537" s="962"/>
      <c r="J1537" s="962"/>
      <c r="K1537" s="962"/>
      <c r="L1537" s="962"/>
      <c r="M1537" s="961"/>
      <c r="N1537" s="961"/>
      <c r="O1537" s="962"/>
      <c r="P1537" s="962"/>
      <c r="Q1537" s="961"/>
      <c r="R1537" s="961"/>
      <c r="S1537" s="527">
        <f t="shared" si="197"/>
        <v>0</v>
      </c>
      <c r="T1537" s="528">
        <f t="shared" si="198"/>
        <v>0</v>
      </c>
      <c r="U1537" s="527">
        <f t="shared" si="195"/>
        <v>0</v>
      </c>
      <c r="W1537" s="326">
        <f t="shared" si="200"/>
        <v>0</v>
      </c>
      <c r="X1537" s="261">
        <f t="shared" si="199"/>
        <v>0</v>
      </c>
      <c r="Z1537" s="1016">
        <f t="shared" si="201"/>
        <v>0</v>
      </c>
    </row>
    <row r="1538" spans="1:26" ht="12" hidden="1" thickBot="1">
      <c r="A1538" s="588" t="s">
        <v>1466</v>
      </c>
      <c r="B1538" s="522" t="s">
        <v>392</v>
      </c>
      <c r="C1538" s="522" t="s">
        <v>1015</v>
      </c>
      <c r="D1538" s="533" t="s">
        <v>1035</v>
      </c>
      <c r="E1538" s="960"/>
      <c r="F1538" s="962"/>
      <c r="G1538" s="961"/>
      <c r="H1538" s="962"/>
      <c r="I1538" s="962"/>
      <c r="J1538" s="962"/>
      <c r="K1538" s="962"/>
      <c r="L1538" s="962"/>
      <c r="M1538" s="961"/>
      <c r="N1538" s="961"/>
      <c r="O1538" s="962"/>
      <c r="P1538" s="962"/>
      <c r="Q1538" s="961"/>
      <c r="R1538" s="961"/>
      <c r="S1538" s="527">
        <f t="shared" si="197"/>
        <v>0</v>
      </c>
      <c r="T1538" s="528">
        <f t="shared" si="198"/>
        <v>0</v>
      </c>
      <c r="U1538" s="527">
        <f t="shared" ref="U1538:U1601" si="202">N1538+O1538</f>
        <v>0</v>
      </c>
      <c r="W1538" s="326">
        <f t="shared" si="200"/>
        <v>0</v>
      </c>
      <c r="X1538" s="261">
        <f t="shared" si="199"/>
        <v>0</v>
      </c>
      <c r="Z1538" s="1016">
        <f t="shared" si="201"/>
        <v>0</v>
      </c>
    </row>
    <row r="1539" spans="1:26" ht="12" hidden="1" thickBot="1">
      <c r="A1539" s="588" t="s">
        <v>1466</v>
      </c>
      <c r="B1539" s="522" t="s">
        <v>390</v>
      </c>
      <c r="C1539" s="522" t="s">
        <v>1016</v>
      </c>
      <c r="D1539" s="533" t="s">
        <v>1035</v>
      </c>
      <c r="E1539" s="960"/>
      <c r="F1539" s="962"/>
      <c r="G1539" s="961"/>
      <c r="H1539" s="962"/>
      <c r="I1539" s="962"/>
      <c r="J1539" s="962"/>
      <c r="K1539" s="962"/>
      <c r="L1539" s="962"/>
      <c r="M1539" s="961"/>
      <c r="N1539" s="961"/>
      <c r="O1539" s="962"/>
      <c r="P1539" s="962"/>
      <c r="Q1539" s="961"/>
      <c r="R1539" s="961"/>
      <c r="S1539" s="527">
        <f t="shared" si="197"/>
        <v>0</v>
      </c>
      <c r="T1539" s="528">
        <f t="shared" si="198"/>
        <v>0</v>
      </c>
      <c r="U1539" s="527">
        <f t="shared" si="202"/>
        <v>0</v>
      </c>
      <c r="W1539" s="326">
        <f t="shared" si="200"/>
        <v>0</v>
      </c>
      <c r="X1539" s="261">
        <f t="shared" si="199"/>
        <v>0</v>
      </c>
      <c r="Z1539" s="1016">
        <f t="shared" si="201"/>
        <v>0</v>
      </c>
    </row>
    <row r="1540" spans="1:26" ht="12" hidden="1" thickBot="1">
      <c r="A1540" s="588" t="s">
        <v>1466</v>
      </c>
      <c r="B1540" s="522" t="s">
        <v>414</v>
      </c>
      <c r="C1540" s="522" t="s">
        <v>1017</v>
      </c>
      <c r="D1540" s="533" t="s">
        <v>1035</v>
      </c>
      <c r="E1540" s="960"/>
      <c r="F1540" s="962"/>
      <c r="G1540" s="961"/>
      <c r="H1540" s="962"/>
      <c r="I1540" s="962"/>
      <c r="J1540" s="962"/>
      <c r="K1540" s="962"/>
      <c r="L1540" s="962"/>
      <c r="M1540" s="961"/>
      <c r="N1540" s="961"/>
      <c r="O1540" s="962"/>
      <c r="P1540" s="962"/>
      <c r="Q1540" s="961"/>
      <c r="R1540" s="961"/>
      <c r="S1540" s="527">
        <f t="shared" si="197"/>
        <v>0</v>
      </c>
      <c r="T1540" s="528">
        <f t="shared" si="198"/>
        <v>0</v>
      </c>
      <c r="U1540" s="527">
        <f t="shared" si="202"/>
        <v>0</v>
      </c>
      <c r="W1540" s="326">
        <f t="shared" si="200"/>
        <v>0</v>
      </c>
      <c r="X1540" s="261">
        <f t="shared" si="199"/>
        <v>0</v>
      </c>
      <c r="Z1540" s="1016">
        <f t="shared" si="201"/>
        <v>0</v>
      </c>
    </row>
    <row r="1541" spans="1:26" ht="12" hidden="1" thickBot="1">
      <c r="A1541" s="588" t="s">
        <v>1466</v>
      </c>
      <c r="B1541" s="522" t="s">
        <v>364</v>
      </c>
      <c r="C1541" s="522" t="s">
        <v>1018</v>
      </c>
      <c r="D1541" s="533" t="s">
        <v>1035</v>
      </c>
      <c r="E1541" s="960"/>
      <c r="F1541" s="962"/>
      <c r="G1541" s="961"/>
      <c r="H1541" s="962"/>
      <c r="I1541" s="962"/>
      <c r="J1541" s="962"/>
      <c r="K1541" s="962"/>
      <c r="L1541" s="962"/>
      <c r="M1541" s="961"/>
      <c r="N1541" s="961"/>
      <c r="O1541" s="962"/>
      <c r="P1541" s="962"/>
      <c r="Q1541" s="961"/>
      <c r="R1541" s="961"/>
      <c r="S1541" s="527">
        <f t="shared" si="197"/>
        <v>0</v>
      </c>
      <c r="T1541" s="528">
        <f t="shared" si="198"/>
        <v>0</v>
      </c>
      <c r="U1541" s="527">
        <f t="shared" si="202"/>
        <v>0</v>
      </c>
      <c r="W1541" s="326">
        <f t="shared" si="200"/>
        <v>0</v>
      </c>
      <c r="X1541" s="261">
        <f t="shared" si="199"/>
        <v>0</v>
      </c>
      <c r="Z1541" s="1016">
        <f t="shared" si="201"/>
        <v>0</v>
      </c>
    </row>
    <row r="1542" spans="1:26" ht="12" hidden="1" thickBot="1">
      <c r="A1542" s="588" t="s">
        <v>1466</v>
      </c>
      <c r="B1542" s="522" t="s">
        <v>396</v>
      </c>
      <c r="C1542" s="522" t="s">
        <v>1019</v>
      </c>
      <c r="D1542" s="533" t="s">
        <v>1035</v>
      </c>
      <c r="E1542" s="960"/>
      <c r="F1542" s="962"/>
      <c r="G1542" s="961"/>
      <c r="H1542" s="962"/>
      <c r="I1542" s="962"/>
      <c r="J1542" s="962"/>
      <c r="K1542" s="962"/>
      <c r="L1542" s="962"/>
      <c r="M1542" s="961"/>
      <c r="N1542" s="961"/>
      <c r="O1542" s="962"/>
      <c r="P1542" s="962"/>
      <c r="Q1542" s="961"/>
      <c r="R1542" s="961"/>
      <c r="S1542" s="527">
        <f t="shared" si="197"/>
        <v>0</v>
      </c>
      <c r="T1542" s="528">
        <f t="shared" si="198"/>
        <v>0</v>
      </c>
      <c r="U1542" s="527">
        <f t="shared" si="202"/>
        <v>0</v>
      </c>
      <c r="W1542" s="326">
        <f t="shared" si="200"/>
        <v>0</v>
      </c>
      <c r="X1542" s="261">
        <f t="shared" si="199"/>
        <v>0</v>
      </c>
      <c r="Z1542" s="1016">
        <f t="shared" si="201"/>
        <v>0</v>
      </c>
    </row>
    <row r="1543" spans="1:26" ht="12" hidden="1" thickBot="1">
      <c r="A1543" s="588" t="s">
        <v>1466</v>
      </c>
      <c r="B1543" s="522" t="s">
        <v>415</v>
      </c>
      <c r="C1543" s="522" t="s">
        <v>1020</v>
      </c>
      <c r="D1543" s="533" t="s">
        <v>1035</v>
      </c>
      <c r="E1543" s="960"/>
      <c r="F1543" s="962"/>
      <c r="G1543" s="961"/>
      <c r="H1543" s="962"/>
      <c r="I1543" s="962"/>
      <c r="J1543" s="962"/>
      <c r="K1543" s="962"/>
      <c r="L1543" s="962"/>
      <c r="M1543" s="961"/>
      <c r="N1543" s="961"/>
      <c r="O1543" s="962"/>
      <c r="P1543" s="962"/>
      <c r="Q1543" s="961"/>
      <c r="R1543" s="961"/>
      <c r="S1543" s="527">
        <f t="shared" si="197"/>
        <v>0</v>
      </c>
      <c r="T1543" s="528">
        <f t="shared" si="198"/>
        <v>0</v>
      </c>
      <c r="U1543" s="527">
        <f t="shared" si="202"/>
        <v>0</v>
      </c>
      <c r="W1543" s="326">
        <f t="shared" si="200"/>
        <v>0</v>
      </c>
      <c r="X1543" s="261">
        <f t="shared" si="199"/>
        <v>0</v>
      </c>
      <c r="Z1543" s="1016">
        <f t="shared" si="201"/>
        <v>0</v>
      </c>
    </row>
    <row r="1544" spans="1:26" ht="12" hidden="1" thickBot="1">
      <c r="A1544" s="588" t="s">
        <v>1466</v>
      </c>
      <c r="B1544" s="522" t="s">
        <v>365</v>
      </c>
      <c r="C1544" s="522" t="s">
        <v>1021</v>
      </c>
      <c r="D1544" s="533" t="s">
        <v>1035</v>
      </c>
      <c r="E1544" s="960"/>
      <c r="F1544" s="962"/>
      <c r="G1544" s="961"/>
      <c r="H1544" s="962"/>
      <c r="I1544" s="962"/>
      <c r="J1544" s="962"/>
      <c r="K1544" s="962"/>
      <c r="L1544" s="962"/>
      <c r="M1544" s="961"/>
      <c r="N1544" s="961"/>
      <c r="O1544" s="962"/>
      <c r="P1544" s="962"/>
      <c r="Q1544" s="961"/>
      <c r="R1544" s="961"/>
      <c r="S1544" s="527">
        <f t="shared" si="197"/>
        <v>0</v>
      </c>
      <c r="T1544" s="528">
        <f t="shared" si="198"/>
        <v>0</v>
      </c>
      <c r="U1544" s="527">
        <f t="shared" si="202"/>
        <v>0</v>
      </c>
      <c r="W1544" s="326">
        <f t="shared" si="200"/>
        <v>0</v>
      </c>
      <c r="X1544" s="261">
        <f t="shared" si="199"/>
        <v>0</v>
      </c>
      <c r="Z1544" s="1016">
        <f t="shared" si="201"/>
        <v>0</v>
      </c>
    </row>
    <row r="1545" spans="1:26" ht="12" hidden="1" thickBot="1">
      <c r="A1545" s="588" t="s">
        <v>1466</v>
      </c>
      <c r="B1545" s="522" t="s">
        <v>397</v>
      </c>
      <c r="C1545" s="522" t="s">
        <v>1022</v>
      </c>
      <c r="D1545" s="533" t="s">
        <v>1035</v>
      </c>
      <c r="E1545" s="960"/>
      <c r="F1545" s="962"/>
      <c r="G1545" s="961"/>
      <c r="H1545" s="962"/>
      <c r="I1545" s="962"/>
      <c r="J1545" s="962"/>
      <c r="K1545" s="962"/>
      <c r="L1545" s="962"/>
      <c r="M1545" s="961"/>
      <c r="N1545" s="961"/>
      <c r="O1545" s="962"/>
      <c r="P1545" s="962"/>
      <c r="Q1545" s="961"/>
      <c r="R1545" s="961"/>
      <c r="S1545" s="527">
        <f t="shared" si="197"/>
        <v>0</v>
      </c>
      <c r="T1545" s="528">
        <f t="shared" si="198"/>
        <v>0</v>
      </c>
      <c r="U1545" s="527">
        <f t="shared" si="202"/>
        <v>0</v>
      </c>
      <c r="W1545" s="326">
        <f t="shared" si="200"/>
        <v>0</v>
      </c>
      <c r="X1545" s="261">
        <f t="shared" si="199"/>
        <v>0</v>
      </c>
      <c r="Z1545" s="1016">
        <f t="shared" si="201"/>
        <v>0</v>
      </c>
    </row>
    <row r="1546" spans="1:26" ht="12" hidden="1" thickBot="1">
      <c r="A1546" s="588" t="s">
        <v>1466</v>
      </c>
      <c r="B1546" s="522" t="s">
        <v>337</v>
      </c>
      <c r="C1546" s="522" t="s">
        <v>1023</v>
      </c>
      <c r="D1546" s="533" t="s">
        <v>1035</v>
      </c>
      <c r="E1546" s="960"/>
      <c r="F1546" s="962"/>
      <c r="G1546" s="961"/>
      <c r="H1546" s="962"/>
      <c r="I1546" s="962"/>
      <c r="J1546" s="962"/>
      <c r="K1546" s="962"/>
      <c r="L1546" s="962"/>
      <c r="M1546" s="961"/>
      <c r="N1546" s="961"/>
      <c r="O1546" s="962"/>
      <c r="P1546" s="962"/>
      <c r="Q1546" s="961"/>
      <c r="R1546" s="961"/>
      <c r="S1546" s="527">
        <f t="shared" si="197"/>
        <v>0</v>
      </c>
      <c r="T1546" s="528">
        <f t="shared" si="198"/>
        <v>0</v>
      </c>
      <c r="U1546" s="527">
        <f t="shared" si="202"/>
        <v>0</v>
      </c>
      <c r="W1546" s="326">
        <f t="shared" si="200"/>
        <v>0</v>
      </c>
      <c r="X1546" s="261">
        <f t="shared" si="199"/>
        <v>0</v>
      </c>
      <c r="Z1546" s="1016">
        <f t="shared" si="201"/>
        <v>0</v>
      </c>
    </row>
    <row r="1547" spans="1:26" ht="12" hidden="1" thickBot="1">
      <c r="A1547" s="588" t="s">
        <v>1466</v>
      </c>
      <c r="B1547" s="522" t="s">
        <v>369</v>
      </c>
      <c r="C1547" s="522" t="s">
        <v>1024</v>
      </c>
      <c r="D1547" s="533" t="s">
        <v>1035</v>
      </c>
      <c r="E1547" s="960"/>
      <c r="F1547" s="962"/>
      <c r="G1547" s="961"/>
      <c r="H1547" s="962"/>
      <c r="I1547" s="962"/>
      <c r="J1547" s="962"/>
      <c r="K1547" s="962"/>
      <c r="L1547" s="962"/>
      <c r="M1547" s="961"/>
      <c r="N1547" s="961"/>
      <c r="O1547" s="962"/>
      <c r="P1547" s="962"/>
      <c r="Q1547" s="961"/>
      <c r="R1547" s="961"/>
      <c r="S1547" s="527">
        <f t="shared" si="197"/>
        <v>0</v>
      </c>
      <c r="T1547" s="528">
        <f t="shared" si="198"/>
        <v>0</v>
      </c>
      <c r="U1547" s="527">
        <f t="shared" si="202"/>
        <v>0</v>
      </c>
      <c r="W1547" s="326">
        <f t="shared" si="200"/>
        <v>0</v>
      </c>
      <c r="X1547" s="261">
        <f t="shared" si="199"/>
        <v>0</v>
      </c>
      <c r="Z1547" s="1016">
        <f t="shared" si="201"/>
        <v>0</v>
      </c>
    </row>
    <row r="1548" spans="1:26" ht="12" hidden="1" thickBot="1">
      <c r="A1548" s="588" t="s">
        <v>1466</v>
      </c>
      <c r="B1548" s="522" t="s">
        <v>715</v>
      </c>
      <c r="C1548" s="522" t="s">
        <v>1025</v>
      </c>
      <c r="D1548" s="533" t="s">
        <v>1035</v>
      </c>
      <c r="E1548" s="960"/>
      <c r="F1548" s="962"/>
      <c r="G1548" s="961"/>
      <c r="H1548" s="962"/>
      <c r="I1548" s="962"/>
      <c r="J1548" s="962"/>
      <c r="K1548" s="962"/>
      <c r="L1548" s="962"/>
      <c r="M1548" s="961"/>
      <c r="N1548" s="961"/>
      <c r="O1548" s="962"/>
      <c r="P1548" s="962"/>
      <c r="Q1548" s="962"/>
      <c r="R1548" s="961"/>
      <c r="S1548" s="527">
        <f t="shared" si="197"/>
        <v>0</v>
      </c>
      <c r="T1548" s="528">
        <f t="shared" si="198"/>
        <v>0</v>
      </c>
      <c r="U1548" s="527">
        <f t="shared" si="202"/>
        <v>0</v>
      </c>
      <c r="W1548" s="326">
        <f t="shared" si="200"/>
        <v>0</v>
      </c>
      <c r="X1548" s="261">
        <f t="shared" si="199"/>
        <v>0</v>
      </c>
      <c r="Z1548" s="1016">
        <f t="shared" si="201"/>
        <v>0</v>
      </c>
    </row>
    <row r="1549" spans="1:26" ht="12" hidden="1" thickBot="1">
      <c r="A1549" s="588" t="s">
        <v>1466</v>
      </c>
      <c r="B1549" s="522" t="s">
        <v>332</v>
      </c>
      <c r="C1549" s="522" t="s">
        <v>1026</v>
      </c>
      <c r="D1549" s="533" t="s">
        <v>1035</v>
      </c>
      <c r="E1549" s="960"/>
      <c r="F1549" s="962"/>
      <c r="G1549" s="961"/>
      <c r="H1549" s="962"/>
      <c r="I1549" s="962"/>
      <c r="J1549" s="962"/>
      <c r="K1549" s="962"/>
      <c r="L1549" s="962"/>
      <c r="M1549" s="961"/>
      <c r="N1549" s="961"/>
      <c r="O1549" s="962"/>
      <c r="P1549" s="962"/>
      <c r="Q1549" s="961"/>
      <c r="R1549" s="961"/>
      <c r="S1549" s="527">
        <f t="shared" si="197"/>
        <v>0</v>
      </c>
      <c r="T1549" s="528">
        <f t="shared" si="198"/>
        <v>0</v>
      </c>
      <c r="U1549" s="527">
        <f t="shared" si="202"/>
        <v>0</v>
      </c>
      <c r="W1549" s="326">
        <f t="shared" si="200"/>
        <v>0</v>
      </c>
      <c r="X1549" s="261">
        <f t="shared" si="199"/>
        <v>0</v>
      </c>
      <c r="Z1549" s="1016">
        <f t="shared" si="201"/>
        <v>0</v>
      </c>
    </row>
    <row r="1550" spans="1:26" ht="12" hidden="1" thickBot="1">
      <c r="A1550" s="588" t="s">
        <v>1466</v>
      </c>
      <c r="B1550" s="522" t="s">
        <v>334</v>
      </c>
      <c r="C1550" s="522" t="s">
        <v>1027</v>
      </c>
      <c r="D1550" s="533" t="s">
        <v>1035</v>
      </c>
      <c r="E1550" s="960"/>
      <c r="F1550" s="962"/>
      <c r="G1550" s="961"/>
      <c r="H1550" s="962"/>
      <c r="I1550" s="962"/>
      <c r="J1550" s="962"/>
      <c r="K1550" s="962"/>
      <c r="L1550" s="962"/>
      <c r="M1550" s="961"/>
      <c r="N1550" s="961"/>
      <c r="O1550" s="962"/>
      <c r="P1550" s="962"/>
      <c r="Q1550" s="961"/>
      <c r="R1550" s="961"/>
      <c r="S1550" s="527">
        <f t="shared" si="197"/>
        <v>0</v>
      </c>
      <c r="T1550" s="528">
        <f t="shared" si="198"/>
        <v>0</v>
      </c>
      <c r="U1550" s="527">
        <f t="shared" si="202"/>
        <v>0</v>
      </c>
      <c r="W1550" s="326">
        <f t="shared" si="200"/>
        <v>0</v>
      </c>
      <c r="X1550" s="261">
        <f t="shared" si="199"/>
        <v>0</v>
      </c>
      <c r="Z1550" s="1016">
        <f t="shared" si="201"/>
        <v>0</v>
      </c>
    </row>
    <row r="1551" spans="1:26" ht="12" hidden="1" thickBot="1">
      <c r="A1551" s="588" t="s">
        <v>1466</v>
      </c>
      <c r="B1551" s="522" t="s">
        <v>366</v>
      </c>
      <c r="C1551" s="522" t="s">
        <v>1028</v>
      </c>
      <c r="D1551" s="533" t="s">
        <v>1035</v>
      </c>
      <c r="E1551" s="960"/>
      <c r="F1551" s="962"/>
      <c r="G1551" s="961"/>
      <c r="H1551" s="962"/>
      <c r="I1551" s="962"/>
      <c r="J1551" s="962"/>
      <c r="K1551" s="962"/>
      <c r="L1551" s="962"/>
      <c r="M1551" s="961"/>
      <c r="N1551" s="961"/>
      <c r="O1551" s="962"/>
      <c r="P1551" s="962"/>
      <c r="Q1551" s="961"/>
      <c r="R1551" s="961"/>
      <c r="S1551" s="527">
        <f t="shared" si="197"/>
        <v>0</v>
      </c>
      <c r="T1551" s="528">
        <f t="shared" si="198"/>
        <v>0</v>
      </c>
      <c r="U1551" s="527">
        <f t="shared" si="202"/>
        <v>0</v>
      </c>
      <c r="W1551" s="326">
        <f t="shared" si="200"/>
        <v>0</v>
      </c>
      <c r="X1551" s="261">
        <f t="shared" si="199"/>
        <v>0</v>
      </c>
      <c r="Z1551" s="1016">
        <f t="shared" si="201"/>
        <v>0</v>
      </c>
    </row>
    <row r="1552" spans="1:26" ht="12" hidden="1" thickBot="1">
      <c r="A1552" s="588" t="s">
        <v>1466</v>
      </c>
      <c r="B1552" s="522" t="s">
        <v>329</v>
      </c>
      <c r="C1552" s="522" t="s">
        <v>1029</v>
      </c>
      <c r="D1552" s="533" t="s">
        <v>1035</v>
      </c>
      <c r="E1552" s="960"/>
      <c r="F1552" s="962"/>
      <c r="G1552" s="961"/>
      <c r="H1552" s="962"/>
      <c r="I1552" s="962"/>
      <c r="J1552" s="962"/>
      <c r="K1552" s="962"/>
      <c r="L1552" s="962"/>
      <c r="M1552" s="961"/>
      <c r="N1552" s="961"/>
      <c r="O1552" s="962"/>
      <c r="P1552" s="962"/>
      <c r="Q1552" s="961"/>
      <c r="R1552" s="961"/>
      <c r="S1552" s="527">
        <f t="shared" si="197"/>
        <v>0</v>
      </c>
      <c r="T1552" s="528">
        <f t="shared" si="198"/>
        <v>0</v>
      </c>
      <c r="U1552" s="527">
        <f t="shared" si="202"/>
        <v>0</v>
      </c>
      <c r="W1552" s="326">
        <f t="shared" si="200"/>
        <v>0</v>
      </c>
      <c r="X1552" s="261">
        <f t="shared" si="199"/>
        <v>0</v>
      </c>
      <c r="Z1552" s="1016">
        <f t="shared" si="201"/>
        <v>0</v>
      </c>
    </row>
    <row r="1553" spans="1:26" ht="12" hidden="1" thickBot="1">
      <c r="A1553" s="588" t="s">
        <v>1466</v>
      </c>
      <c r="B1553" s="522" t="s">
        <v>683</v>
      </c>
      <c r="C1553" s="522" t="s">
        <v>1047</v>
      </c>
      <c r="D1553" s="533" t="s">
        <v>1035</v>
      </c>
      <c r="E1553" s="960"/>
      <c r="F1553" s="962"/>
      <c r="G1553" s="961"/>
      <c r="H1553" s="962"/>
      <c r="I1553" s="962"/>
      <c r="J1553" s="962"/>
      <c r="K1553" s="962"/>
      <c r="L1553" s="962"/>
      <c r="M1553" s="961"/>
      <c r="N1553" s="961"/>
      <c r="O1553" s="962"/>
      <c r="P1553" s="962"/>
      <c r="Q1553" s="962"/>
      <c r="R1553" s="961"/>
      <c r="S1553" s="527">
        <f t="shared" si="197"/>
        <v>0</v>
      </c>
      <c r="T1553" s="528">
        <f t="shared" si="198"/>
        <v>0</v>
      </c>
      <c r="U1553" s="527">
        <f t="shared" si="202"/>
        <v>0</v>
      </c>
      <c r="W1553" s="326">
        <f t="shared" si="200"/>
        <v>0</v>
      </c>
      <c r="X1553" s="261">
        <f t="shared" si="199"/>
        <v>0</v>
      </c>
      <c r="Z1553" s="1016">
        <f t="shared" si="201"/>
        <v>0</v>
      </c>
    </row>
    <row r="1554" spans="1:26" ht="12" hidden="1" thickBot="1">
      <c r="A1554" s="588" t="s">
        <v>1466</v>
      </c>
      <c r="B1554" s="522" t="s">
        <v>463</v>
      </c>
      <c r="C1554" s="522" t="s">
        <v>1030</v>
      </c>
      <c r="D1554" s="533" t="s">
        <v>1035</v>
      </c>
      <c r="E1554" s="960"/>
      <c r="F1554" s="962"/>
      <c r="G1554" s="961"/>
      <c r="H1554" s="962"/>
      <c r="I1554" s="962"/>
      <c r="J1554" s="962"/>
      <c r="K1554" s="962"/>
      <c r="L1554" s="962"/>
      <c r="M1554" s="961"/>
      <c r="N1554" s="961"/>
      <c r="O1554" s="962"/>
      <c r="P1554" s="962"/>
      <c r="Q1554" s="962"/>
      <c r="R1554" s="961"/>
      <c r="S1554" s="527">
        <f t="shared" si="197"/>
        <v>0</v>
      </c>
      <c r="T1554" s="528">
        <f t="shared" si="198"/>
        <v>0</v>
      </c>
      <c r="U1554" s="527">
        <f t="shared" si="202"/>
        <v>0</v>
      </c>
      <c r="W1554" s="326">
        <f t="shared" si="200"/>
        <v>0</v>
      </c>
      <c r="X1554" s="261">
        <f t="shared" si="199"/>
        <v>0</v>
      </c>
      <c r="Z1554" s="1016">
        <f t="shared" si="201"/>
        <v>0</v>
      </c>
    </row>
    <row r="1555" spans="1:26" ht="12" hidden="1" thickBot="1">
      <c r="A1555" s="588" t="s">
        <v>1466</v>
      </c>
      <c r="B1555" s="522" t="s">
        <v>653</v>
      </c>
      <c r="C1555" s="522" t="s">
        <v>1031</v>
      </c>
      <c r="D1555" s="533" t="s">
        <v>1035</v>
      </c>
      <c r="E1555" s="960"/>
      <c r="F1555" s="962"/>
      <c r="G1555" s="961"/>
      <c r="H1555" s="962"/>
      <c r="I1555" s="962"/>
      <c r="J1555" s="962"/>
      <c r="K1555" s="962"/>
      <c r="L1555" s="962"/>
      <c r="M1555" s="961"/>
      <c r="N1555" s="961"/>
      <c r="O1555" s="962"/>
      <c r="P1555" s="962"/>
      <c r="Q1555" s="962"/>
      <c r="R1555" s="961"/>
      <c r="S1555" s="527">
        <f t="shared" si="197"/>
        <v>0</v>
      </c>
      <c r="T1555" s="528">
        <f t="shared" si="198"/>
        <v>0</v>
      </c>
      <c r="U1555" s="527">
        <f t="shared" si="202"/>
        <v>0</v>
      </c>
      <c r="W1555" s="326">
        <f t="shared" si="200"/>
        <v>0</v>
      </c>
      <c r="X1555" s="261">
        <f t="shared" si="199"/>
        <v>0</v>
      </c>
      <c r="Z1555" s="1016">
        <f t="shared" si="201"/>
        <v>0</v>
      </c>
    </row>
    <row r="1556" spans="1:26" ht="12" thickBot="1">
      <c r="A1556" s="588" t="s">
        <v>1466</v>
      </c>
      <c r="B1556" s="522" t="s">
        <v>79</v>
      </c>
      <c r="C1556" s="522" t="s">
        <v>444</v>
      </c>
      <c r="D1556" s="522" t="s">
        <v>79</v>
      </c>
      <c r="E1556" s="989">
        <f>10329144-E1449-E1451</f>
        <v>10215241</v>
      </c>
      <c r="F1556" s="989"/>
      <c r="G1556" s="989">
        <f>1728612-G1449-F1451-G1451</f>
        <v>1717347.25</v>
      </c>
      <c r="H1556" s="989">
        <v>298719</v>
      </c>
      <c r="I1556" s="989"/>
      <c r="J1556" s="989"/>
      <c r="K1556" s="989"/>
      <c r="L1556" s="989"/>
      <c r="M1556" s="989">
        <f>25302-M1449-M1451</f>
        <v>25023</v>
      </c>
      <c r="N1556" s="989">
        <f>39944-N1449-N1451</f>
        <v>39503</v>
      </c>
      <c r="O1556" s="989"/>
      <c r="P1556" s="989"/>
      <c r="Q1556" s="989"/>
      <c r="R1556" s="961">
        <f>SUM(F1556:Q1556)</f>
        <v>2080592.25</v>
      </c>
      <c r="S1556" s="527">
        <f t="shared" si="197"/>
        <v>2016066.25</v>
      </c>
      <c r="T1556" s="528">
        <f t="shared" si="198"/>
        <v>0</v>
      </c>
      <c r="U1556" s="527">
        <f t="shared" si="202"/>
        <v>39503</v>
      </c>
      <c r="W1556" s="326">
        <f t="shared" si="200"/>
        <v>2080592.25</v>
      </c>
      <c r="X1556" s="261">
        <f t="shared" si="199"/>
        <v>0</v>
      </c>
      <c r="Z1556" s="1016">
        <f t="shared" si="201"/>
        <v>2016066.25</v>
      </c>
    </row>
    <row r="1557" spans="1:26" ht="12" hidden="1" thickBot="1">
      <c r="A1557" s="588" t="s">
        <v>1466</v>
      </c>
      <c r="B1557" s="522" t="s">
        <v>474</v>
      </c>
      <c r="C1557" s="522" t="s">
        <v>473</v>
      </c>
      <c r="D1557" s="522"/>
      <c r="E1557" s="962"/>
      <c r="F1557" s="962"/>
      <c r="G1557" s="962"/>
      <c r="H1557" s="962"/>
      <c r="I1557" s="962"/>
      <c r="J1557" s="962"/>
      <c r="K1557" s="962"/>
      <c r="L1557" s="962"/>
      <c r="M1557" s="962"/>
      <c r="N1557" s="962"/>
      <c r="O1557" s="962"/>
      <c r="P1557" s="962"/>
      <c r="Q1557" s="962"/>
      <c r="R1557" s="961"/>
      <c r="S1557" s="527">
        <f t="shared" si="197"/>
        <v>0</v>
      </c>
      <c r="T1557" s="528">
        <f t="shared" si="198"/>
        <v>0</v>
      </c>
      <c r="U1557" s="527">
        <f t="shared" si="202"/>
        <v>0</v>
      </c>
      <c r="W1557" s="326">
        <f t="shared" si="200"/>
        <v>0</v>
      </c>
      <c r="X1557" s="261">
        <f t="shared" si="199"/>
        <v>0</v>
      </c>
      <c r="Z1557" s="1016">
        <f t="shared" si="201"/>
        <v>0</v>
      </c>
    </row>
    <row r="1558" spans="1:26" ht="12" hidden="1" thickBot="1">
      <c r="A1558" s="588" t="s">
        <v>1466</v>
      </c>
      <c r="B1558" s="522" t="s">
        <v>476</v>
      </c>
      <c r="C1558" s="522" t="s">
        <v>475</v>
      </c>
      <c r="D1558" s="522"/>
      <c r="E1558" s="962"/>
      <c r="F1558" s="962"/>
      <c r="G1558" s="962"/>
      <c r="H1558" s="962"/>
      <c r="I1558" s="962"/>
      <c r="J1558" s="962"/>
      <c r="K1558" s="962"/>
      <c r="L1558" s="962"/>
      <c r="M1558" s="962"/>
      <c r="N1558" s="962"/>
      <c r="O1558" s="962"/>
      <c r="P1558" s="962"/>
      <c r="Q1558" s="962"/>
      <c r="R1558" s="961"/>
      <c r="S1558" s="527">
        <f t="shared" si="197"/>
        <v>0</v>
      </c>
      <c r="T1558" s="528">
        <f t="shared" si="198"/>
        <v>0</v>
      </c>
      <c r="U1558" s="527">
        <f t="shared" si="202"/>
        <v>0</v>
      </c>
      <c r="W1558" s="326">
        <f t="shared" si="200"/>
        <v>0</v>
      </c>
      <c r="X1558" s="261">
        <f t="shared" si="199"/>
        <v>0</v>
      </c>
      <c r="Z1558" s="1016">
        <f t="shared" si="201"/>
        <v>0</v>
      </c>
    </row>
    <row r="1559" spans="1:26" ht="12" hidden="1" thickBot="1">
      <c r="A1559" s="588" t="s">
        <v>1466</v>
      </c>
      <c r="B1559" s="522" t="s">
        <v>443</v>
      </c>
      <c r="C1559" s="522" t="s">
        <v>442</v>
      </c>
      <c r="D1559" s="522"/>
      <c r="E1559" s="962"/>
      <c r="F1559" s="961"/>
      <c r="G1559" s="962"/>
      <c r="H1559" s="962"/>
      <c r="I1559" s="962"/>
      <c r="J1559" s="962"/>
      <c r="K1559" s="962"/>
      <c r="L1559" s="962"/>
      <c r="M1559" s="962"/>
      <c r="N1559" s="962"/>
      <c r="O1559" s="962"/>
      <c r="P1559" s="962"/>
      <c r="Q1559" s="962"/>
      <c r="R1559" s="961"/>
      <c r="S1559" s="527">
        <f t="shared" si="197"/>
        <v>0</v>
      </c>
      <c r="T1559" s="528">
        <f t="shared" si="198"/>
        <v>0</v>
      </c>
      <c r="U1559" s="527">
        <f t="shared" si="202"/>
        <v>0</v>
      </c>
      <c r="W1559" s="326">
        <f t="shared" si="200"/>
        <v>0</v>
      </c>
      <c r="X1559" s="261">
        <f t="shared" si="199"/>
        <v>0</v>
      </c>
      <c r="Z1559" s="1016">
        <f t="shared" si="201"/>
        <v>0</v>
      </c>
    </row>
    <row r="1560" spans="1:26" ht="12" hidden="1" thickBot="1">
      <c r="A1560" s="588" t="s">
        <v>1466</v>
      </c>
      <c r="B1560" s="522" t="s">
        <v>710</v>
      </c>
      <c r="C1560" s="522" t="s">
        <v>711</v>
      </c>
      <c r="D1560" s="522"/>
      <c r="E1560" s="962"/>
      <c r="F1560" s="962"/>
      <c r="G1560" s="962"/>
      <c r="H1560" s="962"/>
      <c r="I1560" s="962"/>
      <c r="J1560" s="962"/>
      <c r="K1560" s="962"/>
      <c r="L1560" s="962"/>
      <c r="M1560" s="962"/>
      <c r="N1560" s="962"/>
      <c r="O1560" s="962"/>
      <c r="P1560" s="962"/>
      <c r="Q1560" s="962"/>
      <c r="R1560" s="961"/>
      <c r="S1560" s="527">
        <f t="shared" si="197"/>
        <v>0</v>
      </c>
      <c r="T1560" s="528">
        <f t="shared" si="198"/>
        <v>0</v>
      </c>
      <c r="U1560" s="527">
        <f t="shared" si="202"/>
        <v>0</v>
      </c>
      <c r="W1560" s="326">
        <f t="shared" si="200"/>
        <v>0</v>
      </c>
      <c r="X1560" s="261">
        <f t="shared" si="199"/>
        <v>0</v>
      </c>
      <c r="Z1560" s="1016">
        <f t="shared" si="201"/>
        <v>0</v>
      </c>
    </row>
    <row r="1561" spans="1:26" ht="12" hidden="1" thickBot="1">
      <c r="A1561" s="588" t="s">
        <v>1466</v>
      </c>
      <c r="B1561" s="522" t="s">
        <v>1048</v>
      </c>
      <c r="C1561" s="522" t="s">
        <v>1049</v>
      </c>
      <c r="D1561" s="522"/>
      <c r="E1561" s="962"/>
      <c r="F1561" s="962"/>
      <c r="G1561" s="962"/>
      <c r="H1561" s="962"/>
      <c r="I1561" s="962"/>
      <c r="J1561" s="962"/>
      <c r="K1561" s="962"/>
      <c r="L1561" s="962"/>
      <c r="M1561" s="962"/>
      <c r="N1561" s="962"/>
      <c r="O1561" s="962"/>
      <c r="P1561" s="962"/>
      <c r="Q1561" s="962"/>
      <c r="R1561" s="961"/>
      <c r="S1561" s="527">
        <f t="shared" si="197"/>
        <v>0</v>
      </c>
      <c r="T1561" s="528">
        <f t="shared" si="198"/>
        <v>0</v>
      </c>
      <c r="U1561" s="527">
        <f t="shared" si="202"/>
        <v>0</v>
      </c>
      <c r="W1561" s="326">
        <f t="shared" si="200"/>
        <v>0</v>
      </c>
      <c r="X1561" s="261">
        <f t="shared" si="199"/>
        <v>0</v>
      </c>
      <c r="Z1561" s="1016">
        <f t="shared" si="201"/>
        <v>0</v>
      </c>
    </row>
    <row r="1562" spans="1:26" ht="12" hidden="1" thickBot="1">
      <c r="A1562" s="588" t="s">
        <v>1466</v>
      </c>
      <c r="B1562" s="522" t="s">
        <v>1355</v>
      </c>
      <c r="C1562" s="522" t="s">
        <v>111</v>
      </c>
      <c r="D1562" s="522"/>
      <c r="E1562" s="960"/>
      <c r="F1562" s="961"/>
      <c r="G1562" s="961"/>
      <c r="H1562" s="961"/>
      <c r="I1562" s="962"/>
      <c r="J1562" s="962"/>
      <c r="K1562" s="962"/>
      <c r="L1562" s="962"/>
      <c r="M1562" s="962"/>
      <c r="N1562" s="962"/>
      <c r="O1562" s="962"/>
      <c r="P1562" s="962"/>
      <c r="Q1562" s="962"/>
      <c r="R1562" s="961"/>
      <c r="S1562" s="527">
        <f t="shared" si="197"/>
        <v>0</v>
      </c>
      <c r="T1562" s="528">
        <f t="shared" si="198"/>
        <v>0</v>
      </c>
      <c r="U1562" s="527">
        <f t="shared" si="202"/>
        <v>0</v>
      </c>
      <c r="W1562" s="326">
        <f t="shared" si="200"/>
        <v>0</v>
      </c>
      <c r="X1562" s="261">
        <f t="shared" si="199"/>
        <v>0</v>
      </c>
      <c r="Z1562" s="1016">
        <f t="shared" si="201"/>
        <v>0</v>
      </c>
    </row>
    <row r="1563" spans="1:26" ht="12" hidden="1" thickBot="1">
      <c r="A1563" s="588" t="s">
        <v>1466</v>
      </c>
      <c r="B1563" s="522" t="s">
        <v>450</v>
      </c>
      <c r="C1563" s="522" t="s">
        <v>1050</v>
      </c>
      <c r="D1563" s="522"/>
      <c r="E1563" s="960"/>
      <c r="F1563" s="961"/>
      <c r="G1563" s="961"/>
      <c r="H1563" s="961"/>
      <c r="I1563" s="962"/>
      <c r="J1563" s="962"/>
      <c r="K1563" s="962"/>
      <c r="L1563" s="962"/>
      <c r="M1563" s="962"/>
      <c r="N1563" s="962"/>
      <c r="O1563" s="962"/>
      <c r="P1563" s="962"/>
      <c r="Q1563" s="962"/>
      <c r="R1563" s="961"/>
      <c r="S1563" s="527">
        <f t="shared" si="197"/>
        <v>0</v>
      </c>
      <c r="T1563" s="528">
        <f t="shared" si="198"/>
        <v>0</v>
      </c>
      <c r="U1563" s="527">
        <f t="shared" si="202"/>
        <v>0</v>
      </c>
      <c r="W1563" s="326">
        <f t="shared" si="200"/>
        <v>0</v>
      </c>
      <c r="X1563" s="261">
        <f t="shared" si="199"/>
        <v>0</v>
      </c>
      <c r="Z1563" s="1016">
        <f t="shared" si="201"/>
        <v>0</v>
      </c>
    </row>
    <row r="1564" spans="1:26" ht="12" hidden="1" thickBot="1">
      <c r="A1564" s="588" t="s">
        <v>1466</v>
      </c>
      <c r="B1564" s="543" t="s">
        <v>9</v>
      </c>
      <c r="C1564" s="544"/>
      <c r="D1564" s="538"/>
      <c r="E1564" s="539"/>
      <c r="F1564" s="540"/>
      <c r="G1564" s="540"/>
      <c r="H1564" s="540"/>
      <c r="I1564" s="540"/>
      <c r="J1564" s="540"/>
      <c r="K1564" s="540"/>
      <c r="L1564" s="540"/>
      <c r="M1564" s="540"/>
      <c r="N1564" s="540"/>
      <c r="O1564" s="540"/>
      <c r="P1564" s="540"/>
      <c r="Q1564" s="540"/>
      <c r="R1564" s="540"/>
      <c r="S1564" s="527">
        <f t="shared" si="197"/>
        <v>0</v>
      </c>
      <c r="T1564" s="528">
        <f t="shared" si="198"/>
        <v>0</v>
      </c>
      <c r="U1564" s="527">
        <f t="shared" si="202"/>
        <v>0</v>
      </c>
      <c r="W1564" s="326">
        <f t="shared" si="200"/>
        <v>0</v>
      </c>
      <c r="X1564" s="261">
        <f t="shared" si="199"/>
        <v>0</v>
      </c>
      <c r="Z1564" s="1016">
        <f t="shared" si="201"/>
        <v>0</v>
      </c>
    </row>
    <row r="1565" spans="1:26" ht="12" hidden="1" thickBot="1">
      <c r="A1565" s="588" t="s">
        <v>1467</v>
      </c>
      <c r="B1565" s="522" t="s">
        <v>440</v>
      </c>
      <c r="C1565" s="522" t="s">
        <v>460</v>
      </c>
      <c r="D1565" s="522"/>
      <c r="E1565" s="960"/>
      <c r="F1565" s="961"/>
      <c r="G1565" s="961"/>
      <c r="H1565" s="962"/>
      <c r="I1565" s="962"/>
      <c r="J1565" s="962"/>
      <c r="K1565" s="962"/>
      <c r="L1565" s="962"/>
      <c r="M1565" s="962"/>
      <c r="N1565" s="962"/>
      <c r="O1565" s="962"/>
      <c r="P1565" s="962"/>
      <c r="Q1565" s="962"/>
      <c r="R1565" s="961"/>
      <c r="S1565" s="527">
        <f t="shared" si="197"/>
        <v>0</v>
      </c>
      <c r="T1565" s="528">
        <f t="shared" si="198"/>
        <v>0</v>
      </c>
      <c r="U1565" s="527">
        <f t="shared" si="202"/>
        <v>0</v>
      </c>
      <c r="W1565" s="326">
        <f t="shared" si="200"/>
        <v>0</v>
      </c>
      <c r="X1565" s="261">
        <f t="shared" si="199"/>
        <v>0</v>
      </c>
      <c r="Z1565" s="1016">
        <f t="shared" si="201"/>
        <v>0</v>
      </c>
    </row>
    <row r="1566" spans="1:26" ht="12" hidden="1" thickBot="1">
      <c r="A1566" s="588" t="s">
        <v>1467</v>
      </c>
      <c r="B1566" s="522" t="s">
        <v>441</v>
      </c>
      <c r="C1566" s="522" t="s">
        <v>461</v>
      </c>
      <c r="D1566" s="522"/>
      <c r="E1566" s="960"/>
      <c r="F1566" s="961"/>
      <c r="G1566" s="961"/>
      <c r="H1566" s="962"/>
      <c r="I1566" s="962"/>
      <c r="J1566" s="962"/>
      <c r="K1566" s="962"/>
      <c r="L1566" s="962"/>
      <c r="M1566" s="962"/>
      <c r="N1566" s="962"/>
      <c r="O1566" s="962"/>
      <c r="P1566" s="962"/>
      <c r="Q1566" s="962"/>
      <c r="R1566" s="961"/>
      <c r="S1566" s="527">
        <f t="shared" ref="S1566:S1629" si="203">G1566+H1566+I1566</f>
        <v>0</v>
      </c>
      <c r="T1566" s="528">
        <f t="shared" ref="T1566:T1629" si="204">J1566+K1566</f>
        <v>0</v>
      </c>
      <c r="U1566" s="527">
        <f t="shared" si="202"/>
        <v>0</v>
      </c>
      <c r="W1566" s="326">
        <f t="shared" si="200"/>
        <v>0</v>
      </c>
      <c r="X1566" s="261">
        <f t="shared" ref="X1566:X1629" si="205">W1566-R1566</f>
        <v>0</v>
      </c>
      <c r="Z1566" s="1016">
        <f t="shared" si="201"/>
        <v>0</v>
      </c>
    </row>
    <row r="1567" spans="1:26" ht="12" hidden="1" thickBot="1">
      <c r="A1567" s="588" t="s">
        <v>1467</v>
      </c>
      <c r="B1567" s="522" t="s">
        <v>449</v>
      </c>
      <c r="C1567" s="522" t="s">
        <v>448</v>
      </c>
      <c r="D1567" s="522"/>
      <c r="E1567" s="960"/>
      <c r="F1567" s="962"/>
      <c r="G1567" s="961"/>
      <c r="H1567" s="962"/>
      <c r="I1567" s="962"/>
      <c r="J1567" s="962"/>
      <c r="K1567" s="962"/>
      <c r="L1567" s="962"/>
      <c r="M1567" s="962"/>
      <c r="N1567" s="962"/>
      <c r="O1567" s="962"/>
      <c r="P1567" s="962"/>
      <c r="Q1567" s="962"/>
      <c r="R1567" s="961"/>
      <c r="S1567" s="527">
        <f t="shared" si="203"/>
        <v>0</v>
      </c>
      <c r="T1567" s="528">
        <f t="shared" si="204"/>
        <v>0</v>
      </c>
      <c r="U1567" s="527">
        <f t="shared" si="202"/>
        <v>0</v>
      </c>
      <c r="W1567" s="326">
        <f t="shared" si="200"/>
        <v>0</v>
      </c>
      <c r="X1567" s="261">
        <f t="shared" si="205"/>
        <v>0</v>
      </c>
      <c r="Z1567" s="1016">
        <f t="shared" si="201"/>
        <v>0</v>
      </c>
    </row>
    <row r="1568" spans="1:26" ht="12" hidden="1" thickBot="1">
      <c r="A1568" s="588" t="s">
        <v>1467</v>
      </c>
      <c r="B1568" s="522" t="s">
        <v>447</v>
      </c>
      <c r="C1568" s="522" t="s">
        <v>446</v>
      </c>
      <c r="D1568" s="522"/>
      <c r="E1568" s="960"/>
      <c r="F1568" s="962"/>
      <c r="G1568" s="961"/>
      <c r="H1568" s="962"/>
      <c r="I1568" s="962"/>
      <c r="J1568" s="962"/>
      <c r="K1568" s="962"/>
      <c r="L1568" s="962"/>
      <c r="M1568" s="962"/>
      <c r="N1568" s="962"/>
      <c r="O1568" s="962"/>
      <c r="P1568" s="962"/>
      <c r="Q1568" s="962"/>
      <c r="R1568" s="961"/>
      <c r="S1568" s="527">
        <f t="shared" si="203"/>
        <v>0</v>
      </c>
      <c r="T1568" s="528">
        <f t="shared" si="204"/>
        <v>0</v>
      </c>
      <c r="U1568" s="527">
        <f t="shared" si="202"/>
        <v>0</v>
      </c>
      <c r="W1568" s="326">
        <f t="shared" si="200"/>
        <v>0</v>
      </c>
      <c r="X1568" s="261">
        <f t="shared" si="205"/>
        <v>0</v>
      </c>
      <c r="Z1568" s="1016">
        <f t="shared" si="201"/>
        <v>0</v>
      </c>
    </row>
    <row r="1569" spans="1:26" ht="12" hidden="1" thickBot="1">
      <c r="A1569" s="588" t="s">
        <v>1467</v>
      </c>
      <c r="B1569" s="522" t="s">
        <v>942</v>
      </c>
      <c r="C1569" s="522" t="s">
        <v>943</v>
      </c>
      <c r="D1569" s="522"/>
      <c r="E1569" s="962"/>
      <c r="F1569" s="962"/>
      <c r="G1569" s="962"/>
      <c r="H1569" s="962"/>
      <c r="I1569" s="962"/>
      <c r="J1569" s="962"/>
      <c r="K1569" s="962"/>
      <c r="L1569" s="962"/>
      <c r="M1569" s="962"/>
      <c r="N1569" s="962"/>
      <c r="O1569" s="962"/>
      <c r="P1569" s="962"/>
      <c r="Q1569" s="962"/>
      <c r="R1569" s="962"/>
      <c r="S1569" s="527">
        <f t="shared" si="203"/>
        <v>0</v>
      </c>
      <c r="T1569" s="528">
        <f t="shared" si="204"/>
        <v>0</v>
      </c>
      <c r="U1569" s="527">
        <f t="shared" si="202"/>
        <v>0</v>
      </c>
      <c r="W1569" s="326">
        <f t="shared" si="200"/>
        <v>0</v>
      </c>
      <c r="X1569" s="261">
        <f t="shared" si="205"/>
        <v>0</v>
      </c>
      <c r="Z1569" s="1016">
        <f t="shared" si="201"/>
        <v>0</v>
      </c>
    </row>
    <row r="1570" spans="1:26" ht="12" hidden="1" thickBot="1">
      <c r="A1570" s="588" t="s">
        <v>1467</v>
      </c>
      <c r="B1570" s="522" t="s">
        <v>168</v>
      </c>
      <c r="C1570" s="522" t="s">
        <v>58</v>
      </c>
      <c r="D1570" s="523" t="s">
        <v>19</v>
      </c>
      <c r="E1570" s="960">
        <v>134177811</v>
      </c>
      <c r="F1570" s="961">
        <v>24000</v>
      </c>
      <c r="G1570" s="961">
        <v>995599</v>
      </c>
      <c r="H1570" s="961">
        <v>3880422</v>
      </c>
      <c r="I1570" s="962"/>
      <c r="J1570" s="961">
        <v>210242</v>
      </c>
      <c r="K1570" s="961">
        <v>2162086</v>
      </c>
      <c r="L1570" s="961">
        <v>0</v>
      </c>
      <c r="M1570" s="961">
        <v>484800</v>
      </c>
      <c r="N1570" s="961"/>
      <c r="O1570" s="961">
        <v>426583</v>
      </c>
      <c r="P1570" s="962"/>
      <c r="Q1570" s="962"/>
      <c r="R1570" s="961">
        <v>8183733</v>
      </c>
      <c r="S1570" s="527">
        <f>G1570+H1570+I1570</f>
        <v>4876021</v>
      </c>
      <c r="T1570" s="528">
        <f>J1570+K1570</f>
        <v>2372328</v>
      </c>
      <c r="U1570" s="527">
        <f t="shared" si="202"/>
        <v>426583</v>
      </c>
      <c r="W1570" s="326">
        <f t="shared" si="200"/>
        <v>8183732</v>
      </c>
      <c r="X1570" s="261">
        <f t="shared" si="205"/>
        <v>-1</v>
      </c>
      <c r="Z1570" s="1016">
        <f t="shared" si="201"/>
        <v>7272349</v>
      </c>
    </row>
    <row r="1571" spans="1:26" ht="12" hidden="1" thickBot="1">
      <c r="A1571" s="588" t="s">
        <v>1467</v>
      </c>
      <c r="B1571" s="522" t="s">
        <v>169</v>
      </c>
      <c r="C1571" s="522" t="s">
        <v>196</v>
      </c>
      <c r="D1571" s="523" t="s">
        <v>26</v>
      </c>
      <c r="E1571" s="960">
        <v>18871437</v>
      </c>
      <c r="F1571" s="961">
        <v>36380</v>
      </c>
      <c r="G1571" s="961">
        <v>126439</v>
      </c>
      <c r="H1571" s="961">
        <v>545762</v>
      </c>
      <c r="I1571" s="962"/>
      <c r="J1571" s="961">
        <v>57689</v>
      </c>
      <c r="K1571" s="961">
        <v>646332</v>
      </c>
      <c r="L1571" s="961">
        <v>40132</v>
      </c>
      <c r="M1571" s="961">
        <v>68185</v>
      </c>
      <c r="N1571" s="961"/>
      <c r="O1571" s="961">
        <v>59997</v>
      </c>
      <c r="P1571" s="962"/>
      <c r="Q1571" s="962"/>
      <c r="R1571" s="961">
        <v>1580915</v>
      </c>
      <c r="S1571" s="527">
        <f t="shared" si="203"/>
        <v>672201</v>
      </c>
      <c r="T1571" s="528">
        <f t="shared" si="204"/>
        <v>704021</v>
      </c>
      <c r="U1571" s="527">
        <f t="shared" si="202"/>
        <v>59997</v>
      </c>
      <c r="W1571" s="326">
        <f t="shared" si="200"/>
        <v>1580916</v>
      </c>
      <c r="X1571" s="261">
        <f t="shared" si="205"/>
        <v>1</v>
      </c>
      <c r="Z1571" s="1016">
        <f t="shared" si="201"/>
        <v>1412602</v>
      </c>
    </row>
    <row r="1572" spans="1:26" ht="12" hidden="1" thickBot="1">
      <c r="A1572" s="588" t="s">
        <v>1467</v>
      </c>
      <c r="B1572" s="522" t="s">
        <v>170</v>
      </c>
      <c r="C1572" s="522" t="s">
        <v>197</v>
      </c>
      <c r="D1572" s="523" t="s">
        <v>25</v>
      </c>
      <c r="E1572" s="960">
        <v>178534635</v>
      </c>
      <c r="F1572" s="961">
        <v>432000</v>
      </c>
      <c r="G1572" s="961">
        <v>1199753</v>
      </c>
      <c r="H1572" s="961">
        <v>5163222</v>
      </c>
      <c r="I1572" s="962"/>
      <c r="J1572" s="961">
        <v>623766</v>
      </c>
      <c r="K1572" s="961">
        <v>7000044</v>
      </c>
      <c r="L1572" s="961">
        <v>379668</v>
      </c>
      <c r="M1572" s="961">
        <v>645066</v>
      </c>
      <c r="N1572" s="961"/>
      <c r="O1572" s="961">
        <v>567604</v>
      </c>
      <c r="P1572" s="962"/>
      <c r="Q1572" s="961"/>
      <c r="R1572" s="961">
        <v>16011123</v>
      </c>
      <c r="S1572" s="527">
        <f t="shared" si="203"/>
        <v>6362975</v>
      </c>
      <c r="T1572" s="528">
        <f t="shared" si="204"/>
        <v>7623810</v>
      </c>
      <c r="U1572" s="527">
        <f t="shared" si="202"/>
        <v>567604</v>
      </c>
      <c r="W1572" s="326">
        <f t="shared" si="200"/>
        <v>16011123</v>
      </c>
      <c r="X1572" s="261">
        <f t="shared" si="205"/>
        <v>0</v>
      </c>
      <c r="Z1572" s="1016">
        <f t="shared" si="201"/>
        <v>14418785</v>
      </c>
    </row>
    <row r="1573" spans="1:26" ht="12" hidden="1" thickBot="1">
      <c r="A1573" s="588" t="s">
        <v>1467</v>
      </c>
      <c r="B1573" s="522" t="s">
        <v>171</v>
      </c>
      <c r="C1573" s="522" t="s">
        <v>198</v>
      </c>
      <c r="D1573" s="542" t="s">
        <v>221</v>
      </c>
      <c r="E1573" s="960">
        <v>240013581</v>
      </c>
      <c r="F1573" s="961">
        <v>15600</v>
      </c>
      <c r="G1573" s="961">
        <v>2095319</v>
      </c>
      <c r="H1573" s="961">
        <v>6941193</v>
      </c>
      <c r="I1573" s="962"/>
      <c r="J1573" s="961">
        <v>378617</v>
      </c>
      <c r="K1573" s="961">
        <v>3813271</v>
      </c>
      <c r="L1573" s="961">
        <v>510408</v>
      </c>
      <c r="M1573" s="961">
        <v>867196</v>
      </c>
      <c r="N1573" s="961"/>
      <c r="O1573" s="961">
        <v>763060</v>
      </c>
      <c r="P1573" s="962"/>
      <c r="Q1573" s="962"/>
      <c r="R1573" s="961">
        <v>15384664</v>
      </c>
      <c r="S1573" s="527">
        <f t="shared" si="203"/>
        <v>9036512</v>
      </c>
      <c r="T1573" s="528">
        <f t="shared" si="204"/>
        <v>4191888</v>
      </c>
      <c r="U1573" s="527">
        <f t="shared" si="202"/>
        <v>763060</v>
      </c>
      <c r="W1573" s="326">
        <f t="shared" si="200"/>
        <v>15384664</v>
      </c>
      <c r="X1573" s="261">
        <f t="shared" si="205"/>
        <v>0</v>
      </c>
      <c r="Z1573" s="1016">
        <f t="shared" si="201"/>
        <v>13244000</v>
      </c>
    </row>
    <row r="1574" spans="1:26" ht="12" hidden="1" thickBot="1">
      <c r="A1574" s="588" t="s">
        <v>1467</v>
      </c>
      <c r="B1574" s="522" t="s">
        <v>172</v>
      </c>
      <c r="C1574" s="522" t="s">
        <v>199</v>
      </c>
      <c r="D1574" s="523" t="s">
        <v>26</v>
      </c>
      <c r="E1574" s="960"/>
      <c r="F1574" s="961"/>
      <c r="G1574" s="961"/>
      <c r="H1574" s="961"/>
      <c r="I1574" s="962"/>
      <c r="J1574" s="961"/>
      <c r="K1574" s="961"/>
      <c r="L1574" s="961"/>
      <c r="M1574" s="961"/>
      <c r="N1574" s="961"/>
      <c r="O1574" s="961"/>
      <c r="P1574" s="962"/>
      <c r="Q1574" s="962"/>
      <c r="R1574" s="961"/>
      <c r="S1574" s="527">
        <f t="shared" si="203"/>
        <v>0</v>
      </c>
      <c r="T1574" s="528">
        <f t="shared" si="204"/>
        <v>0</v>
      </c>
      <c r="U1574" s="527">
        <f t="shared" si="202"/>
        <v>0</v>
      </c>
      <c r="W1574" s="326">
        <f t="shared" si="200"/>
        <v>0</v>
      </c>
      <c r="X1574" s="261">
        <f t="shared" si="205"/>
        <v>0</v>
      </c>
      <c r="Z1574" s="1016">
        <f t="shared" si="201"/>
        <v>0</v>
      </c>
    </row>
    <row r="1575" spans="1:26" ht="12" hidden="1" thickBot="1">
      <c r="A1575" s="588" t="s">
        <v>1467</v>
      </c>
      <c r="B1575" s="522" t="s">
        <v>173</v>
      </c>
      <c r="C1575" s="522" t="s">
        <v>200</v>
      </c>
      <c r="D1575" s="535" t="s">
        <v>25</v>
      </c>
      <c r="E1575" s="960"/>
      <c r="F1575" s="961"/>
      <c r="G1575" s="961"/>
      <c r="H1575" s="961"/>
      <c r="I1575" s="962"/>
      <c r="J1575" s="961"/>
      <c r="K1575" s="961"/>
      <c r="L1575" s="961"/>
      <c r="M1575" s="961"/>
      <c r="N1575" s="961"/>
      <c r="O1575" s="961"/>
      <c r="P1575" s="962"/>
      <c r="Q1575" s="962"/>
      <c r="R1575" s="961"/>
      <c r="S1575" s="527">
        <f t="shared" si="203"/>
        <v>0</v>
      </c>
      <c r="T1575" s="528">
        <f t="shared" si="204"/>
        <v>0</v>
      </c>
      <c r="U1575" s="527">
        <f t="shared" si="202"/>
        <v>0</v>
      </c>
      <c r="W1575" s="326">
        <f t="shared" si="200"/>
        <v>0</v>
      </c>
      <c r="X1575" s="261">
        <f t="shared" si="205"/>
        <v>0</v>
      </c>
      <c r="Z1575" s="1016">
        <f t="shared" si="201"/>
        <v>0</v>
      </c>
    </row>
    <row r="1576" spans="1:26" ht="12" hidden="1" thickBot="1">
      <c r="A1576" s="588" t="s">
        <v>1467</v>
      </c>
      <c r="B1576" s="522" t="s">
        <v>174</v>
      </c>
      <c r="C1576" s="522" t="s">
        <v>201</v>
      </c>
      <c r="D1576" s="523" t="s">
        <v>221</v>
      </c>
      <c r="E1576" s="960">
        <v>100462503</v>
      </c>
      <c r="F1576" s="961">
        <v>55200</v>
      </c>
      <c r="G1576" s="961">
        <v>877038</v>
      </c>
      <c r="H1576" s="961">
        <v>2905376</v>
      </c>
      <c r="I1576" s="962"/>
      <c r="J1576" s="961">
        <v>189717</v>
      </c>
      <c r="K1576" s="961">
        <v>1917556</v>
      </c>
      <c r="L1576" s="961">
        <v>213642</v>
      </c>
      <c r="M1576" s="961">
        <v>362982</v>
      </c>
      <c r="N1576" s="961"/>
      <c r="O1576" s="961">
        <v>319394</v>
      </c>
      <c r="P1576" s="962"/>
      <c r="Q1576" s="962"/>
      <c r="R1576" s="961">
        <v>6840904</v>
      </c>
      <c r="S1576" s="527">
        <f t="shared" si="203"/>
        <v>3782414</v>
      </c>
      <c r="T1576" s="528">
        <f t="shared" si="204"/>
        <v>2107273</v>
      </c>
      <c r="U1576" s="527">
        <f t="shared" si="202"/>
        <v>319394</v>
      </c>
      <c r="W1576" s="326">
        <f t="shared" si="200"/>
        <v>6840905</v>
      </c>
      <c r="X1576" s="261">
        <f t="shared" si="205"/>
        <v>1</v>
      </c>
      <c r="Z1576" s="1016">
        <f t="shared" si="201"/>
        <v>5944887</v>
      </c>
    </row>
    <row r="1577" spans="1:26" ht="12" hidden="1" thickBot="1">
      <c r="A1577" s="588" t="s">
        <v>1467</v>
      </c>
      <c r="B1577" s="522" t="s">
        <v>175</v>
      </c>
      <c r="C1577" s="522" t="s">
        <v>202</v>
      </c>
      <c r="D1577" s="523" t="s">
        <v>220</v>
      </c>
      <c r="E1577" s="960">
        <v>117631384</v>
      </c>
      <c r="F1577" s="961">
        <v>90800</v>
      </c>
      <c r="G1577" s="961">
        <v>1036332</v>
      </c>
      <c r="H1577" s="961">
        <v>3401900</v>
      </c>
      <c r="I1577" s="962"/>
      <c r="J1577" s="961">
        <v>266834</v>
      </c>
      <c r="K1577" s="961">
        <v>2723130</v>
      </c>
      <c r="L1577" s="961">
        <v>250153</v>
      </c>
      <c r="M1577" s="961">
        <v>425016</v>
      </c>
      <c r="N1577" s="961"/>
      <c r="O1577" s="961">
        <v>373978</v>
      </c>
      <c r="P1577" s="962"/>
      <c r="Q1577" s="962"/>
      <c r="R1577" s="961">
        <v>8568142</v>
      </c>
      <c r="S1577" s="527">
        <f t="shared" si="203"/>
        <v>4438232</v>
      </c>
      <c r="T1577" s="528">
        <f t="shared" si="204"/>
        <v>2989964</v>
      </c>
      <c r="U1577" s="527">
        <f t="shared" si="202"/>
        <v>373978</v>
      </c>
      <c r="W1577" s="326">
        <f t="shared" si="200"/>
        <v>8568143</v>
      </c>
      <c r="X1577" s="261">
        <f t="shared" si="205"/>
        <v>1</v>
      </c>
      <c r="Z1577" s="1016">
        <f t="shared" si="201"/>
        <v>7518996</v>
      </c>
    </row>
    <row r="1578" spans="1:26" ht="12" hidden="1" thickBot="1">
      <c r="A1578" s="588" t="s">
        <v>1467</v>
      </c>
      <c r="B1578" s="522" t="s">
        <v>176</v>
      </c>
      <c r="C1578" s="522" t="s">
        <v>203</v>
      </c>
      <c r="D1578" s="523" t="s">
        <v>25</v>
      </c>
      <c r="E1578" s="960"/>
      <c r="F1578" s="961"/>
      <c r="G1578" s="961"/>
      <c r="H1578" s="961"/>
      <c r="I1578" s="962"/>
      <c r="J1578" s="961"/>
      <c r="K1578" s="961"/>
      <c r="L1578" s="961"/>
      <c r="M1578" s="961"/>
      <c r="N1578" s="961"/>
      <c r="O1578" s="961"/>
      <c r="P1578" s="962"/>
      <c r="Q1578" s="962"/>
      <c r="R1578" s="961"/>
      <c r="S1578" s="527">
        <f t="shared" si="203"/>
        <v>0</v>
      </c>
      <c r="T1578" s="528">
        <f t="shared" si="204"/>
        <v>0</v>
      </c>
      <c r="U1578" s="527">
        <f t="shared" si="202"/>
        <v>0</v>
      </c>
      <c r="W1578" s="326">
        <f t="shared" si="200"/>
        <v>0</v>
      </c>
      <c r="X1578" s="261">
        <f t="shared" si="205"/>
        <v>0</v>
      </c>
      <c r="Z1578" s="1016">
        <f t="shared" si="201"/>
        <v>0</v>
      </c>
    </row>
    <row r="1579" spans="1:26" ht="12" hidden="1" thickBot="1">
      <c r="A1579" s="588" t="s">
        <v>1467</v>
      </c>
      <c r="B1579" s="522" t="s">
        <v>944</v>
      </c>
      <c r="C1579" s="522" t="s">
        <v>943</v>
      </c>
      <c r="D1579" s="522"/>
      <c r="E1579" s="962"/>
      <c r="F1579" s="962"/>
      <c r="G1579" s="962"/>
      <c r="H1579" s="962"/>
      <c r="I1579" s="962"/>
      <c r="J1579" s="962"/>
      <c r="K1579" s="962"/>
      <c r="L1579" s="962"/>
      <c r="M1579" s="962"/>
      <c r="N1579" s="962"/>
      <c r="O1579" s="962"/>
      <c r="P1579" s="962"/>
      <c r="Q1579" s="962"/>
      <c r="R1579" s="962"/>
      <c r="S1579" s="527">
        <f t="shared" si="203"/>
        <v>0</v>
      </c>
      <c r="T1579" s="528">
        <f t="shared" si="204"/>
        <v>0</v>
      </c>
      <c r="U1579" s="527">
        <f t="shared" si="202"/>
        <v>0</v>
      </c>
      <c r="W1579" s="326">
        <f t="shared" si="200"/>
        <v>0</v>
      </c>
      <c r="X1579" s="261">
        <f t="shared" si="205"/>
        <v>0</v>
      </c>
      <c r="Z1579" s="1016">
        <f t="shared" si="201"/>
        <v>0</v>
      </c>
    </row>
    <row r="1580" spans="1:26" ht="12" hidden="1" thickBot="1">
      <c r="A1580" s="588" t="s">
        <v>1467</v>
      </c>
      <c r="B1580" s="522" t="s">
        <v>177</v>
      </c>
      <c r="C1580" s="522" t="s">
        <v>494</v>
      </c>
      <c r="D1580" s="522" t="s">
        <v>224</v>
      </c>
      <c r="E1580" s="960">
        <v>65046378</v>
      </c>
      <c r="F1580" s="961">
        <v>1268727</v>
      </c>
      <c r="G1580" s="961">
        <v>3813019</v>
      </c>
      <c r="H1580" s="961">
        <v>1881141</v>
      </c>
      <c r="I1580" s="961">
        <v>306368</v>
      </c>
      <c r="J1580" s="962"/>
      <c r="K1580" s="961"/>
      <c r="L1580" s="961">
        <v>138326</v>
      </c>
      <c r="M1580" s="961">
        <v>235020</v>
      </c>
      <c r="N1580" s="961"/>
      <c r="O1580" s="961">
        <v>206798</v>
      </c>
      <c r="P1580" s="962"/>
      <c r="Q1580" s="961"/>
      <c r="R1580" s="961">
        <v>7849400</v>
      </c>
      <c r="S1580" s="527">
        <f t="shared" si="203"/>
        <v>6000528</v>
      </c>
      <c r="T1580" s="528">
        <f t="shared" si="204"/>
        <v>0</v>
      </c>
      <c r="U1580" s="527">
        <f t="shared" si="202"/>
        <v>206798</v>
      </c>
      <c r="W1580" s="326">
        <f t="shared" si="200"/>
        <v>7849399</v>
      </c>
      <c r="X1580" s="261">
        <f t="shared" si="205"/>
        <v>-1</v>
      </c>
      <c r="Z1580" s="1016">
        <f t="shared" si="201"/>
        <v>7269255</v>
      </c>
    </row>
    <row r="1581" spans="1:26" ht="12" hidden="1" thickBot="1">
      <c r="A1581" s="588" t="s">
        <v>1467</v>
      </c>
      <c r="B1581" s="522" t="s">
        <v>178</v>
      </c>
      <c r="C1581" s="522" t="s">
        <v>1352</v>
      </c>
      <c r="D1581" s="542" t="s">
        <v>224</v>
      </c>
      <c r="E1581" s="960"/>
      <c r="F1581" s="961"/>
      <c r="G1581" s="961"/>
      <c r="H1581" s="961"/>
      <c r="I1581" s="961"/>
      <c r="J1581" s="962"/>
      <c r="K1581" s="962"/>
      <c r="L1581" s="961"/>
      <c r="M1581" s="961"/>
      <c r="N1581" s="961"/>
      <c r="O1581" s="961"/>
      <c r="P1581" s="962"/>
      <c r="Q1581" s="962"/>
      <c r="R1581" s="961"/>
      <c r="S1581" s="527">
        <f t="shared" si="203"/>
        <v>0</v>
      </c>
      <c r="T1581" s="528">
        <f t="shared" si="204"/>
        <v>0</v>
      </c>
      <c r="U1581" s="527">
        <f t="shared" si="202"/>
        <v>0</v>
      </c>
      <c r="W1581" s="326">
        <f t="shared" si="200"/>
        <v>0</v>
      </c>
      <c r="X1581" s="261">
        <f t="shared" si="205"/>
        <v>0</v>
      </c>
      <c r="Z1581" s="1016">
        <f t="shared" si="201"/>
        <v>0</v>
      </c>
    </row>
    <row r="1582" spans="1:26" ht="12" hidden="1" thickBot="1">
      <c r="A1582" s="588" t="s">
        <v>1467</v>
      </c>
      <c r="B1582" s="522" t="s">
        <v>179</v>
      </c>
      <c r="C1582" s="522" t="s">
        <v>64</v>
      </c>
      <c r="D1582" s="523" t="s">
        <v>18</v>
      </c>
      <c r="E1582" s="960">
        <v>95315025</v>
      </c>
      <c r="F1582" s="961">
        <v>649027</v>
      </c>
      <c r="G1582" s="961">
        <v>5587367</v>
      </c>
      <c r="H1582" s="961">
        <v>2756511</v>
      </c>
      <c r="I1582" s="961">
        <v>448934</v>
      </c>
      <c r="J1582" s="962"/>
      <c r="K1582" s="962"/>
      <c r="L1582" s="961">
        <v>202695</v>
      </c>
      <c r="M1582" s="961">
        <v>344384</v>
      </c>
      <c r="N1582" s="961"/>
      <c r="O1582" s="961">
        <v>303029</v>
      </c>
      <c r="P1582" s="962"/>
      <c r="Q1582" s="962"/>
      <c r="R1582" s="961">
        <v>10291946</v>
      </c>
      <c r="S1582" s="527">
        <f t="shared" si="203"/>
        <v>8792812</v>
      </c>
      <c r="T1582" s="528">
        <f t="shared" si="204"/>
        <v>0</v>
      </c>
      <c r="U1582" s="527">
        <f t="shared" si="202"/>
        <v>303029</v>
      </c>
      <c r="W1582" s="326">
        <f t="shared" si="200"/>
        <v>10291947</v>
      </c>
      <c r="X1582" s="261">
        <f t="shared" si="205"/>
        <v>1</v>
      </c>
      <c r="Z1582" s="1016">
        <f t="shared" si="201"/>
        <v>9441839</v>
      </c>
    </row>
    <row r="1583" spans="1:26" ht="12" hidden="1" thickBot="1">
      <c r="A1583" s="588" t="s">
        <v>1467</v>
      </c>
      <c r="B1583" s="522" t="s">
        <v>180</v>
      </c>
      <c r="C1583" s="522" t="s">
        <v>204</v>
      </c>
      <c r="D1583" s="536" t="s">
        <v>219</v>
      </c>
      <c r="E1583" s="960">
        <v>706313</v>
      </c>
      <c r="F1583" s="961">
        <v>7420</v>
      </c>
      <c r="G1583" s="961">
        <v>29898</v>
      </c>
      <c r="H1583" s="961">
        <v>20427</v>
      </c>
      <c r="I1583" s="961">
        <v>2225</v>
      </c>
      <c r="J1583" s="962"/>
      <c r="K1583" s="962"/>
      <c r="L1583" s="961">
        <v>1502</v>
      </c>
      <c r="M1583" s="961">
        <v>2552</v>
      </c>
      <c r="N1583" s="961">
        <v>2246</v>
      </c>
      <c r="O1583" s="962"/>
      <c r="P1583" s="962"/>
      <c r="Q1583" s="962"/>
      <c r="R1583" s="961">
        <v>66269</v>
      </c>
      <c r="S1583" s="527">
        <f t="shared" si="203"/>
        <v>52550</v>
      </c>
      <c r="T1583" s="528">
        <f t="shared" si="204"/>
        <v>0</v>
      </c>
      <c r="U1583" s="527">
        <f t="shared" si="202"/>
        <v>2246</v>
      </c>
      <c r="W1583" s="326">
        <f t="shared" si="200"/>
        <v>66270</v>
      </c>
      <c r="X1583" s="261">
        <f t="shared" si="205"/>
        <v>1</v>
      </c>
      <c r="Z1583" s="1016">
        <f t="shared" si="201"/>
        <v>59970</v>
      </c>
    </row>
    <row r="1584" spans="1:26" ht="12" hidden="1" thickBot="1">
      <c r="A1584" s="588" t="s">
        <v>1467</v>
      </c>
      <c r="B1584" s="522" t="s">
        <v>181</v>
      </c>
      <c r="C1584" s="522" t="s">
        <v>205</v>
      </c>
      <c r="D1584" s="536" t="s">
        <v>219</v>
      </c>
      <c r="E1584" s="960"/>
      <c r="F1584" s="961"/>
      <c r="G1584" s="961"/>
      <c r="H1584" s="961"/>
      <c r="I1584" s="961"/>
      <c r="J1584" s="962"/>
      <c r="K1584" s="962"/>
      <c r="L1584" s="961"/>
      <c r="M1584" s="961"/>
      <c r="N1584" s="961"/>
      <c r="O1584" s="962"/>
      <c r="P1584" s="962"/>
      <c r="Q1584" s="962"/>
      <c r="R1584" s="961"/>
      <c r="S1584" s="527">
        <f t="shared" si="203"/>
        <v>0</v>
      </c>
      <c r="T1584" s="528">
        <f t="shared" si="204"/>
        <v>0</v>
      </c>
      <c r="U1584" s="527">
        <f t="shared" si="202"/>
        <v>0</v>
      </c>
      <c r="W1584" s="326">
        <f t="shared" si="200"/>
        <v>0</v>
      </c>
      <c r="X1584" s="261">
        <f t="shared" si="205"/>
        <v>0</v>
      </c>
      <c r="Z1584" s="1016">
        <f t="shared" si="201"/>
        <v>0</v>
      </c>
    </row>
    <row r="1585" spans="1:26" ht="12" hidden="1" thickBot="1">
      <c r="A1585" s="588" t="s">
        <v>1467</v>
      </c>
      <c r="B1585" s="522" t="s">
        <v>182</v>
      </c>
      <c r="C1585" s="522" t="s">
        <v>206</v>
      </c>
      <c r="D1585" s="533" t="s">
        <v>228</v>
      </c>
      <c r="E1585" s="960"/>
      <c r="F1585" s="961"/>
      <c r="G1585" s="961"/>
      <c r="H1585" s="961"/>
      <c r="I1585" s="961"/>
      <c r="J1585" s="962"/>
      <c r="K1585" s="962"/>
      <c r="L1585" s="961"/>
      <c r="M1585" s="961"/>
      <c r="N1585" s="961"/>
      <c r="O1585" s="962"/>
      <c r="P1585" s="962"/>
      <c r="Q1585" s="962"/>
      <c r="R1585" s="961"/>
      <c r="S1585" s="527">
        <f t="shared" si="203"/>
        <v>0</v>
      </c>
      <c r="T1585" s="528">
        <f t="shared" si="204"/>
        <v>0</v>
      </c>
      <c r="U1585" s="527">
        <f t="shared" si="202"/>
        <v>0</v>
      </c>
      <c r="W1585" s="326">
        <f t="shared" si="200"/>
        <v>0</v>
      </c>
      <c r="X1585" s="261">
        <f t="shared" si="205"/>
        <v>0</v>
      </c>
      <c r="Z1585" s="1016">
        <f t="shared" si="201"/>
        <v>0</v>
      </c>
    </row>
    <row r="1586" spans="1:26" ht="12" hidden="1" thickBot="1">
      <c r="A1586" s="588" t="s">
        <v>1467</v>
      </c>
      <c r="B1586" s="522" t="s">
        <v>183</v>
      </c>
      <c r="C1586" s="522" t="s">
        <v>207</v>
      </c>
      <c r="D1586" s="535" t="s">
        <v>228</v>
      </c>
      <c r="E1586" s="960">
        <v>13091164</v>
      </c>
      <c r="F1586" s="961">
        <v>8995</v>
      </c>
      <c r="G1586" s="961">
        <v>554149</v>
      </c>
      <c r="H1586" s="961">
        <v>378596</v>
      </c>
      <c r="I1586" s="961">
        <v>41237</v>
      </c>
      <c r="J1586" s="962"/>
      <c r="K1586" s="962"/>
      <c r="L1586" s="961">
        <v>27839</v>
      </c>
      <c r="M1586" s="961">
        <v>47300</v>
      </c>
      <c r="N1586" s="961">
        <v>41620</v>
      </c>
      <c r="O1586" s="962"/>
      <c r="P1586" s="962"/>
      <c r="Q1586" s="962"/>
      <c r="R1586" s="961">
        <v>1099737</v>
      </c>
      <c r="S1586" s="527">
        <f t="shared" si="203"/>
        <v>973982</v>
      </c>
      <c r="T1586" s="528">
        <f t="shared" si="204"/>
        <v>0</v>
      </c>
      <c r="U1586" s="527">
        <f t="shared" si="202"/>
        <v>41620</v>
      </c>
      <c r="W1586" s="326">
        <f t="shared" si="200"/>
        <v>1099736</v>
      </c>
      <c r="X1586" s="261">
        <f t="shared" si="205"/>
        <v>-1</v>
      </c>
      <c r="Z1586" s="1016">
        <f t="shared" si="201"/>
        <v>982977</v>
      </c>
    </row>
    <row r="1587" spans="1:26" ht="12" hidden="1" thickBot="1">
      <c r="A1587" s="588" t="s">
        <v>1467</v>
      </c>
      <c r="B1587" s="522" t="s">
        <v>720</v>
      </c>
      <c r="C1587" s="522" t="s">
        <v>723</v>
      </c>
      <c r="D1587" s="535" t="s">
        <v>228</v>
      </c>
      <c r="E1587" s="960"/>
      <c r="F1587" s="961"/>
      <c r="G1587" s="961"/>
      <c r="H1587" s="961"/>
      <c r="I1587" s="961"/>
      <c r="J1587" s="962"/>
      <c r="K1587" s="962"/>
      <c r="L1587" s="961"/>
      <c r="M1587" s="961"/>
      <c r="N1587" s="961"/>
      <c r="O1587" s="962"/>
      <c r="P1587" s="962"/>
      <c r="Q1587" s="962"/>
      <c r="R1587" s="961"/>
      <c r="S1587" s="527">
        <f t="shared" si="203"/>
        <v>0</v>
      </c>
      <c r="T1587" s="528">
        <f t="shared" si="204"/>
        <v>0</v>
      </c>
      <c r="U1587" s="527">
        <f t="shared" si="202"/>
        <v>0</v>
      </c>
      <c r="W1587" s="326">
        <f t="shared" si="200"/>
        <v>0</v>
      </c>
      <c r="X1587" s="261">
        <f t="shared" si="205"/>
        <v>0</v>
      </c>
      <c r="Z1587" s="1016">
        <f t="shared" si="201"/>
        <v>0</v>
      </c>
    </row>
    <row r="1588" spans="1:26" ht="12" hidden="1" thickBot="1">
      <c r="A1588" s="588" t="s">
        <v>1467</v>
      </c>
      <c r="B1588" s="522" t="s">
        <v>721</v>
      </c>
      <c r="C1588" s="522" t="s">
        <v>724</v>
      </c>
      <c r="D1588" s="535" t="s">
        <v>219</v>
      </c>
      <c r="E1588" s="960"/>
      <c r="F1588" s="961"/>
      <c r="G1588" s="961"/>
      <c r="H1588" s="961"/>
      <c r="I1588" s="961"/>
      <c r="J1588" s="962"/>
      <c r="K1588" s="962"/>
      <c r="L1588" s="961"/>
      <c r="M1588" s="961"/>
      <c r="N1588" s="961"/>
      <c r="O1588" s="962"/>
      <c r="P1588" s="962"/>
      <c r="Q1588" s="962"/>
      <c r="R1588" s="961"/>
      <c r="S1588" s="527">
        <f t="shared" si="203"/>
        <v>0</v>
      </c>
      <c r="T1588" s="528">
        <f t="shared" si="204"/>
        <v>0</v>
      </c>
      <c r="U1588" s="527">
        <f t="shared" si="202"/>
        <v>0</v>
      </c>
      <c r="W1588" s="326">
        <f t="shared" si="200"/>
        <v>0</v>
      </c>
      <c r="X1588" s="261">
        <f t="shared" si="205"/>
        <v>0</v>
      </c>
      <c r="Z1588" s="1016">
        <f t="shared" si="201"/>
        <v>0</v>
      </c>
    </row>
    <row r="1589" spans="1:26" ht="12" hidden="1" thickBot="1">
      <c r="A1589" s="588" t="s">
        <v>1467</v>
      </c>
      <c r="B1589" s="522" t="s">
        <v>722</v>
      </c>
      <c r="C1589" s="522" t="s">
        <v>725</v>
      </c>
      <c r="D1589" s="523" t="s">
        <v>228</v>
      </c>
      <c r="E1589" s="960"/>
      <c r="F1589" s="961"/>
      <c r="G1589" s="961"/>
      <c r="H1589" s="961"/>
      <c r="I1589" s="961"/>
      <c r="J1589" s="962"/>
      <c r="K1589" s="962"/>
      <c r="L1589" s="961"/>
      <c r="M1589" s="961"/>
      <c r="N1589" s="961"/>
      <c r="O1589" s="962"/>
      <c r="P1589" s="962"/>
      <c r="Q1589" s="962"/>
      <c r="R1589" s="961"/>
      <c r="S1589" s="527">
        <f t="shared" si="203"/>
        <v>0</v>
      </c>
      <c r="T1589" s="528">
        <f t="shared" si="204"/>
        <v>0</v>
      </c>
      <c r="U1589" s="527">
        <f t="shared" si="202"/>
        <v>0</v>
      </c>
      <c r="W1589" s="326">
        <f t="shared" si="200"/>
        <v>0</v>
      </c>
      <c r="X1589" s="261">
        <f t="shared" si="205"/>
        <v>0</v>
      </c>
      <c r="Z1589" s="1016">
        <f t="shared" si="201"/>
        <v>0</v>
      </c>
    </row>
    <row r="1590" spans="1:26" ht="12" thickBot="1">
      <c r="A1590" s="588" t="s">
        <v>1467</v>
      </c>
      <c r="B1590" s="522" t="s">
        <v>233</v>
      </c>
      <c r="C1590" s="522" t="s">
        <v>651</v>
      </c>
      <c r="D1590" s="522" t="s">
        <v>20</v>
      </c>
      <c r="E1590" s="960">
        <v>19258</v>
      </c>
      <c r="F1590" s="962"/>
      <c r="G1590" s="961">
        <f>ROUND(E1590*0.0638,0)</f>
        <v>1229</v>
      </c>
      <c r="H1590" s="961"/>
      <c r="I1590" s="961"/>
      <c r="J1590" s="962"/>
      <c r="K1590" s="962"/>
      <c r="L1590" s="962"/>
      <c r="M1590" s="961">
        <f>ROUND(E1590*0.00361,0)</f>
        <v>70</v>
      </c>
      <c r="N1590" s="961">
        <f>ROUND(E1590*0.00318,0)</f>
        <v>61</v>
      </c>
      <c r="O1590" s="962"/>
      <c r="P1590" s="962"/>
      <c r="Q1590" s="962"/>
      <c r="R1590" s="961">
        <f>SUM(F1590:Q1590)</f>
        <v>1360</v>
      </c>
      <c r="S1590" s="527">
        <f>E1590*0.0638</f>
        <v>1228.6604</v>
      </c>
      <c r="T1590" s="528">
        <f t="shared" si="204"/>
        <v>0</v>
      </c>
      <c r="U1590" s="527">
        <f t="shared" si="202"/>
        <v>61</v>
      </c>
      <c r="W1590" s="326">
        <f t="shared" ref="W1590:W1652" si="206">SUM(F1590:Q1590)</f>
        <v>1360</v>
      </c>
      <c r="X1590" s="261">
        <f t="shared" si="205"/>
        <v>0</v>
      </c>
      <c r="Z1590" s="1016">
        <f t="shared" si="201"/>
        <v>1229</v>
      </c>
    </row>
    <row r="1591" spans="1:26" ht="12" hidden="1" thickBot="1">
      <c r="A1591" s="588" t="s">
        <v>1467</v>
      </c>
      <c r="B1591" s="522" t="s">
        <v>232</v>
      </c>
      <c r="C1591" s="522" t="s">
        <v>651</v>
      </c>
      <c r="D1591" s="522" t="s">
        <v>20</v>
      </c>
      <c r="E1591" s="960"/>
      <c r="F1591" s="962"/>
      <c r="G1591" s="961"/>
      <c r="H1591" s="961"/>
      <c r="I1591" s="961"/>
      <c r="J1591" s="962"/>
      <c r="K1591" s="962"/>
      <c r="L1591" s="962"/>
      <c r="M1591" s="961"/>
      <c r="N1591" s="961"/>
      <c r="O1591" s="962"/>
      <c r="P1591" s="962"/>
      <c r="Q1591" s="962"/>
      <c r="R1591" s="961"/>
      <c r="S1591" s="527">
        <f t="shared" si="203"/>
        <v>0</v>
      </c>
      <c r="T1591" s="528">
        <f t="shared" si="204"/>
        <v>0</v>
      </c>
      <c r="U1591" s="527">
        <f t="shared" si="202"/>
        <v>0</v>
      </c>
      <c r="W1591" s="326">
        <f t="shared" si="206"/>
        <v>0</v>
      </c>
      <c r="X1591" s="261">
        <f t="shared" si="205"/>
        <v>0</v>
      </c>
      <c r="Z1591" s="1016">
        <f t="shared" si="201"/>
        <v>0</v>
      </c>
    </row>
    <row r="1592" spans="1:26" ht="12" thickBot="1">
      <c r="A1592" s="588" t="s">
        <v>1467</v>
      </c>
      <c r="B1592" s="522" t="s">
        <v>184</v>
      </c>
      <c r="C1592" s="522" t="s">
        <v>59</v>
      </c>
      <c r="D1592" s="523" t="s">
        <v>21</v>
      </c>
      <c r="E1592" s="960">
        <v>112853</v>
      </c>
      <c r="F1592" s="961">
        <f>'1022'!D476*3.25</f>
        <v>2427.75</v>
      </c>
      <c r="G1592" s="961">
        <f>ROUND(E1592*0.07978,0)</f>
        <v>9003</v>
      </c>
      <c r="H1592" s="961"/>
      <c r="I1592" s="961"/>
      <c r="J1592" s="962"/>
      <c r="K1592" s="962"/>
      <c r="L1592" s="962"/>
      <c r="M1592" s="961">
        <f>ROUND(E1592*0.00361,0)</f>
        <v>407</v>
      </c>
      <c r="N1592" s="961">
        <f>ROUND(E1592*0.00318,0)</f>
        <v>359</v>
      </c>
      <c r="O1592" s="962"/>
      <c r="P1592" s="962"/>
      <c r="Q1592" s="962"/>
      <c r="R1592" s="961">
        <f>SUM(F1592:Q1592)</f>
        <v>12196.75</v>
      </c>
      <c r="S1592" s="527">
        <f t="shared" si="203"/>
        <v>9003</v>
      </c>
      <c r="T1592" s="528">
        <f t="shared" si="204"/>
        <v>0</v>
      </c>
      <c r="U1592" s="527">
        <f t="shared" si="202"/>
        <v>359</v>
      </c>
      <c r="W1592" s="326">
        <f t="shared" si="206"/>
        <v>12196.75</v>
      </c>
      <c r="X1592" s="261">
        <f t="shared" si="205"/>
        <v>0</v>
      </c>
      <c r="Z1592" s="1016">
        <f t="shared" si="201"/>
        <v>11430.75</v>
      </c>
    </row>
    <row r="1593" spans="1:26" ht="12" hidden="1" thickBot="1">
      <c r="A1593" s="588" t="s">
        <v>1467</v>
      </c>
      <c r="B1593" s="522" t="s">
        <v>652</v>
      </c>
      <c r="C1593" s="522" t="s">
        <v>676</v>
      </c>
      <c r="D1593" s="523" t="s">
        <v>21</v>
      </c>
      <c r="E1593" s="960"/>
      <c r="F1593" s="961"/>
      <c r="G1593" s="961"/>
      <c r="H1593" s="961"/>
      <c r="I1593" s="961"/>
      <c r="J1593" s="962"/>
      <c r="K1593" s="962"/>
      <c r="L1593" s="962"/>
      <c r="M1593" s="961"/>
      <c r="N1593" s="961"/>
      <c r="O1593" s="962"/>
      <c r="P1593" s="962"/>
      <c r="Q1593" s="962"/>
      <c r="R1593" s="961"/>
      <c r="S1593" s="527">
        <f t="shared" si="203"/>
        <v>0</v>
      </c>
      <c r="T1593" s="528">
        <f t="shared" si="204"/>
        <v>0</v>
      </c>
      <c r="U1593" s="527">
        <f t="shared" si="202"/>
        <v>0</v>
      </c>
      <c r="W1593" s="326">
        <f t="shared" si="206"/>
        <v>0</v>
      </c>
      <c r="X1593" s="261">
        <f t="shared" si="205"/>
        <v>0</v>
      </c>
      <c r="Z1593" s="1016">
        <f t="shared" si="201"/>
        <v>0</v>
      </c>
    </row>
    <row r="1594" spans="1:26" ht="12" hidden="1" thickBot="1">
      <c r="A1594" s="588" t="s">
        <v>1467</v>
      </c>
      <c r="B1594" s="522" t="s">
        <v>728</v>
      </c>
      <c r="C1594" s="522" t="s">
        <v>726</v>
      </c>
      <c r="D1594" s="523" t="s">
        <v>727</v>
      </c>
      <c r="E1594" s="962"/>
      <c r="F1594" s="962"/>
      <c r="G1594" s="962"/>
      <c r="H1594" s="962"/>
      <c r="I1594" s="962"/>
      <c r="J1594" s="962"/>
      <c r="K1594" s="962"/>
      <c r="L1594" s="962"/>
      <c r="M1594" s="962"/>
      <c r="N1594" s="962"/>
      <c r="O1594" s="962"/>
      <c r="P1594" s="962"/>
      <c r="Q1594" s="962"/>
      <c r="R1594" s="961"/>
      <c r="S1594" s="527">
        <f t="shared" si="203"/>
        <v>0</v>
      </c>
      <c r="T1594" s="528">
        <f t="shared" si="204"/>
        <v>0</v>
      </c>
      <c r="U1594" s="527">
        <f t="shared" si="202"/>
        <v>0</v>
      </c>
      <c r="W1594" s="326">
        <f t="shared" si="206"/>
        <v>0</v>
      </c>
      <c r="X1594" s="261">
        <f t="shared" si="205"/>
        <v>0</v>
      </c>
      <c r="Z1594" s="1016">
        <f t="shared" si="201"/>
        <v>0</v>
      </c>
    </row>
    <row r="1595" spans="1:26" ht="12" hidden="1" thickBot="1">
      <c r="A1595" s="588" t="s">
        <v>1467</v>
      </c>
      <c r="B1595" s="522" t="s">
        <v>1043</v>
      </c>
      <c r="C1595" s="522" t="s">
        <v>1044</v>
      </c>
      <c r="D1595" s="523" t="s">
        <v>1052</v>
      </c>
      <c r="E1595" s="962"/>
      <c r="F1595" s="962"/>
      <c r="G1595" s="962"/>
      <c r="H1595" s="962"/>
      <c r="I1595" s="962"/>
      <c r="J1595" s="962"/>
      <c r="K1595" s="962"/>
      <c r="L1595" s="962"/>
      <c r="M1595" s="962"/>
      <c r="N1595" s="962"/>
      <c r="O1595" s="962"/>
      <c r="P1595" s="962"/>
      <c r="Q1595" s="962"/>
      <c r="R1595" s="961"/>
      <c r="S1595" s="527">
        <f t="shared" si="203"/>
        <v>0</v>
      </c>
      <c r="T1595" s="528">
        <f t="shared" si="204"/>
        <v>0</v>
      </c>
      <c r="U1595" s="527">
        <f t="shared" si="202"/>
        <v>0</v>
      </c>
      <c r="W1595" s="326">
        <f t="shared" si="206"/>
        <v>0</v>
      </c>
      <c r="X1595" s="261">
        <f t="shared" si="205"/>
        <v>0</v>
      </c>
      <c r="Z1595" s="1016">
        <f t="shared" si="201"/>
        <v>0</v>
      </c>
    </row>
    <row r="1596" spans="1:26" ht="12" hidden="1" thickBot="1">
      <c r="A1596" s="588" t="s">
        <v>1467</v>
      </c>
      <c r="B1596" s="522" t="s">
        <v>185</v>
      </c>
      <c r="C1596" s="522" t="s">
        <v>1353</v>
      </c>
      <c r="D1596" s="523" t="s">
        <v>224</v>
      </c>
      <c r="E1596" s="960"/>
      <c r="F1596" s="961"/>
      <c r="G1596" s="961"/>
      <c r="H1596" s="961"/>
      <c r="I1596" s="961"/>
      <c r="J1596" s="962"/>
      <c r="K1596" s="962"/>
      <c r="L1596" s="961"/>
      <c r="M1596" s="961"/>
      <c r="N1596" s="961"/>
      <c r="O1596" s="961"/>
      <c r="P1596" s="962"/>
      <c r="Q1596" s="962"/>
      <c r="R1596" s="961"/>
      <c r="S1596" s="527">
        <f t="shared" si="203"/>
        <v>0</v>
      </c>
      <c r="T1596" s="528">
        <f t="shared" si="204"/>
        <v>0</v>
      </c>
      <c r="U1596" s="527">
        <f t="shared" si="202"/>
        <v>0</v>
      </c>
      <c r="W1596" s="326">
        <f t="shared" si="206"/>
        <v>0</v>
      </c>
      <c r="X1596" s="261">
        <f t="shared" si="205"/>
        <v>0</v>
      </c>
      <c r="Z1596" s="1016">
        <f t="shared" si="201"/>
        <v>0</v>
      </c>
    </row>
    <row r="1597" spans="1:26" ht="12" hidden="1" thickBot="1">
      <c r="A1597" s="588" t="s">
        <v>1467</v>
      </c>
      <c r="B1597" s="522" t="s">
        <v>186</v>
      </c>
      <c r="C1597" s="522" t="s">
        <v>1354</v>
      </c>
      <c r="D1597" s="523" t="s">
        <v>18</v>
      </c>
      <c r="E1597" s="960"/>
      <c r="F1597" s="961"/>
      <c r="G1597" s="961"/>
      <c r="H1597" s="961"/>
      <c r="I1597" s="961"/>
      <c r="J1597" s="962"/>
      <c r="K1597" s="962"/>
      <c r="L1597" s="961"/>
      <c r="M1597" s="961"/>
      <c r="N1597" s="961"/>
      <c r="O1597" s="961"/>
      <c r="P1597" s="962"/>
      <c r="Q1597" s="962"/>
      <c r="R1597" s="961"/>
      <c r="S1597" s="527">
        <f t="shared" si="203"/>
        <v>0</v>
      </c>
      <c r="T1597" s="528">
        <f t="shared" si="204"/>
        <v>0</v>
      </c>
      <c r="U1597" s="527">
        <f t="shared" si="202"/>
        <v>0</v>
      </c>
      <c r="W1597" s="326">
        <f t="shared" si="206"/>
        <v>0</v>
      </c>
      <c r="X1597" s="261">
        <f t="shared" si="205"/>
        <v>0</v>
      </c>
      <c r="Z1597" s="1016">
        <f t="shared" si="201"/>
        <v>0</v>
      </c>
    </row>
    <row r="1598" spans="1:26" ht="12" hidden="1" thickBot="1">
      <c r="A1598" s="588" t="s">
        <v>1467</v>
      </c>
      <c r="B1598" s="522" t="s">
        <v>750</v>
      </c>
      <c r="C1598" s="522" t="s">
        <v>748</v>
      </c>
      <c r="D1598" s="522"/>
      <c r="E1598" s="962"/>
      <c r="F1598" s="962"/>
      <c r="G1598" s="962"/>
      <c r="H1598" s="962"/>
      <c r="I1598" s="962"/>
      <c r="J1598" s="962"/>
      <c r="K1598" s="962"/>
      <c r="L1598" s="962"/>
      <c r="M1598" s="962"/>
      <c r="N1598" s="962"/>
      <c r="O1598" s="962"/>
      <c r="P1598" s="962"/>
      <c r="Q1598" s="962"/>
      <c r="R1598" s="962"/>
      <c r="S1598" s="527">
        <f t="shared" si="203"/>
        <v>0</v>
      </c>
      <c r="T1598" s="528">
        <f t="shared" si="204"/>
        <v>0</v>
      </c>
      <c r="U1598" s="527">
        <f t="shared" si="202"/>
        <v>0</v>
      </c>
      <c r="W1598" s="326">
        <f t="shared" si="206"/>
        <v>0</v>
      </c>
      <c r="X1598" s="261">
        <f t="shared" si="205"/>
        <v>0</v>
      </c>
      <c r="Z1598" s="1016">
        <f t="shared" ref="Z1598:Z1660" si="207">SUM(F1598:K1598)</f>
        <v>0</v>
      </c>
    </row>
    <row r="1599" spans="1:26" ht="12" hidden="1" thickBot="1">
      <c r="A1599" s="588" t="s">
        <v>1467</v>
      </c>
      <c r="B1599" s="522" t="s">
        <v>187</v>
      </c>
      <c r="C1599" s="522" t="s">
        <v>457</v>
      </c>
      <c r="D1599" s="542" t="s">
        <v>78</v>
      </c>
      <c r="E1599" s="962"/>
      <c r="F1599" s="962"/>
      <c r="G1599" s="962"/>
      <c r="H1599" s="962"/>
      <c r="I1599" s="962"/>
      <c r="J1599" s="962"/>
      <c r="K1599" s="962"/>
      <c r="L1599" s="962"/>
      <c r="M1599" s="962"/>
      <c r="N1599" s="962"/>
      <c r="O1599" s="962"/>
      <c r="P1599" s="961">
        <v>-989829</v>
      </c>
      <c r="Q1599" s="962"/>
      <c r="R1599" s="961">
        <v>-989829</v>
      </c>
      <c r="S1599" s="527">
        <f t="shared" si="203"/>
        <v>0</v>
      </c>
      <c r="T1599" s="528">
        <f t="shared" si="204"/>
        <v>0</v>
      </c>
      <c r="U1599" s="527">
        <f t="shared" si="202"/>
        <v>0</v>
      </c>
      <c r="W1599" s="326">
        <f t="shared" si="206"/>
        <v>-989829</v>
      </c>
      <c r="X1599" s="261">
        <f t="shared" si="205"/>
        <v>0</v>
      </c>
      <c r="Z1599" s="1016">
        <f t="shared" si="207"/>
        <v>0</v>
      </c>
    </row>
    <row r="1600" spans="1:26" ht="12" hidden="1" thickBot="1">
      <c r="A1600" s="588" t="s">
        <v>1467</v>
      </c>
      <c r="B1600" s="522" t="s">
        <v>188</v>
      </c>
      <c r="C1600" s="522" t="s">
        <v>458</v>
      </c>
      <c r="D1600" s="522"/>
      <c r="E1600" s="962"/>
      <c r="F1600" s="962"/>
      <c r="G1600" s="962"/>
      <c r="H1600" s="962"/>
      <c r="I1600" s="962"/>
      <c r="J1600" s="962"/>
      <c r="K1600" s="962"/>
      <c r="L1600" s="962"/>
      <c r="M1600" s="962"/>
      <c r="N1600" s="962"/>
      <c r="O1600" s="962"/>
      <c r="P1600" s="961"/>
      <c r="Q1600" s="962"/>
      <c r="R1600" s="961"/>
      <c r="S1600" s="527">
        <f t="shared" si="203"/>
        <v>0</v>
      </c>
      <c r="T1600" s="528">
        <f t="shared" si="204"/>
        <v>0</v>
      </c>
      <c r="U1600" s="527">
        <f t="shared" si="202"/>
        <v>0</v>
      </c>
      <c r="W1600" s="326">
        <f t="shared" si="206"/>
        <v>0</v>
      </c>
      <c r="X1600" s="261">
        <f t="shared" si="205"/>
        <v>0</v>
      </c>
      <c r="Z1600" s="1016">
        <f t="shared" si="207"/>
        <v>0</v>
      </c>
    </row>
    <row r="1601" spans="1:26" ht="12" hidden="1" thickBot="1">
      <c r="A1601" s="588" t="s">
        <v>1467</v>
      </c>
      <c r="B1601" s="522" t="s">
        <v>1045</v>
      </c>
      <c r="C1601" s="522" t="s">
        <v>1046</v>
      </c>
      <c r="D1601" s="522"/>
      <c r="E1601" s="962"/>
      <c r="F1601" s="962"/>
      <c r="G1601" s="962"/>
      <c r="H1601" s="962"/>
      <c r="I1601" s="962"/>
      <c r="J1601" s="962"/>
      <c r="K1601" s="962"/>
      <c r="L1601" s="962"/>
      <c r="M1601" s="962"/>
      <c r="N1601" s="962"/>
      <c r="O1601" s="962"/>
      <c r="P1601" s="961"/>
      <c r="Q1601" s="962"/>
      <c r="R1601" s="961"/>
      <c r="S1601" s="527">
        <f t="shared" si="203"/>
        <v>0</v>
      </c>
      <c r="T1601" s="528">
        <f t="shared" si="204"/>
        <v>0</v>
      </c>
      <c r="U1601" s="527">
        <f t="shared" si="202"/>
        <v>0</v>
      </c>
      <c r="W1601" s="326">
        <f t="shared" si="206"/>
        <v>0</v>
      </c>
      <c r="X1601" s="261">
        <f t="shared" si="205"/>
        <v>0</v>
      </c>
      <c r="Z1601" s="1016">
        <f t="shared" si="207"/>
        <v>0</v>
      </c>
    </row>
    <row r="1602" spans="1:26" ht="12" hidden="1" thickBot="1">
      <c r="A1602" s="588" t="s">
        <v>1467</v>
      </c>
      <c r="B1602" s="522" t="s">
        <v>945</v>
      </c>
      <c r="C1602" s="522" t="s">
        <v>946</v>
      </c>
      <c r="D1602" s="522"/>
      <c r="E1602" s="962"/>
      <c r="F1602" s="962"/>
      <c r="G1602" s="962"/>
      <c r="H1602" s="962"/>
      <c r="I1602" s="962"/>
      <c r="J1602" s="962"/>
      <c r="K1602" s="962"/>
      <c r="L1602" s="962"/>
      <c r="M1602" s="962"/>
      <c r="N1602" s="962"/>
      <c r="O1602" s="962"/>
      <c r="P1602" s="962"/>
      <c r="Q1602" s="962"/>
      <c r="R1602" s="962"/>
      <c r="S1602" s="527">
        <f t="shared" si="203"/>
        <v>0</v>
      </c>
      <c r="T1602" s="528">
        <f t="shared" si="204"/>
        <v>0</v>
      </c>
      <c r="U1602" s="527">
        <f t="shared" ref="U1602:U1629" si="208">N1602+O1602</f>
        <v>0</v>
      </c>
      <c r="W1602" s="326">
        <f t="shared" si="206"/>
        <v>0</v>
      </c>
      <c r="X1602" s="261">
        <f t="shared" si="205"/>
        <v>0</v>
      </c>
      <c r="Z1602" s="1016">
        <f t="shared" si="207"/>
        <v>0</v>
      </c>
    </row>
    <row r="1603" spans="1:26" ht="12" hidden="1" thickBot="1">
      <c r="A1603" s="588" t="s">
        <v>1467</v>
      </c>
      <c r="B1603" s="522" t="s">
        <v>947</v>
      </c>
      <c r="C1603" s="522" t="s">
        <v>948</v>
      </c>
      <c r="D1603" s="522"/>
      <c r="E1603" s="962"/>
      <c r="F1603" s="962"/>
      <c r="G1603" s="962"/>
      <c r="H1603" s="962"/>
      <c r="I1603" s="962"/>
      <c r="J1603" s="962"/>
      <c r="K1603" s="962"/>
      <c r="L1603" s="962"/>
      <c r="M1603" s="962"/>
      <c r="N1603" s="962"/>
      <c r="O1603" s="962"/>
      <c r="P1603" s="962"/>
      <c r="Q1603" s="962"/>
      <c r="R1603" s="962"/>
      <c r="S1603" s="527">
        <f t="shared" si="203"/>
        <v>0</v>
      </c>
      <c r="T1603" s="528">
        <f t="shared" si="204"/>
        <v>0</v>
      </c>
      <c r="U1603" s="527">
        <f t="shared" si="208"/>
        <v>0</v>
      </c>
      <c r="W1603" s="326">
        <f t="shared" si="206"/>
        <v>0</v>
      </c>
      <c r="X1603" s="261">
        <f t="shared" si="205"/>
        <v>0</v>
      </c>
      <c r="Z1603" s="1016">
        <f t="shared" si="207"/>
        <v>0</v>
      </c>
    </row>
    <row r="1604" spans="1:26" ht="12" hidden="1" thickBot="1">
      <c r="A1604" s="588" t="s">
        <v>1467</v>
      </c>
      <c r="B1604" s="522" t="s">
        <v>189</v>
      </c>
      <c r="C1604" s="522" t="s">
        <v>208</v>
      </c>
      <c r="D1604" s="533" t="s">
        <v>675</v>
      </c>
      <c r="E1604" s="960">
        <v>48145895</v>
      </c>
      <c r="F1604" s="961">
        <v>750</v>
      </c>
      <c r="G1604" s="961">
        <v>177658</v>
      </c>
      <c r="H1604" s="961">
        <v>1392379</v>
      </c>
      <c r="I1604" s="962"/>
      <c r="J1604" s="961">
        <v>51887</v>
      </c>
      <c r="K1604" s="961">
        <v>668312</v>
      </c>
      <c r="L1604" s="961"/>
      <c r="M1604" s="961">
        <v>173957</v>
      </c>
      <c r="N1604" s="961"/>
      <c r="O1604" s="961">
        <v>153067</v>
      </c>
      <c r="P1604" s="962"/>
      <c r="Q1604" s="962"/>
      <c r="R1604" s="961">
        <v>2618011</v>
      </c>
      <c r="S1604" s="527">
        <f t="shared" si="203"/>
        <v>1570037</v>
      </c>
      <c r="T1604" s="528">
        <f t="shared" si="204"/>
        <v>720199</v>
      </c>
      <c r="U1604" s="527">
        <f t="shared" si="208"/>
        <v>153067</v>
      </c>
      <c r="W1604" s="326">
        <f t="shared" si="206"/>
        <v>2618010</v>
      </c>
      <c r="X1604" s="261">
        <f t="shared" si="205"/>
        <v>-1</v>
      </c>
      <c r="Z1604" s="1016">
        <f t="shared" si="207"/>
        <v>2290986</v>
      </c>
    </row>
    <row r="1605" spans="1:26" ht="12" hidden="1" thickBot="1">
      <c r="A1605" s="588" t="s">
        <v>1467</v>
      </c>
      <c r="B1605" s="522" t="s">
        <v>209</v>
      </c>
      <c r="C1605" s="522" t="s">
        <v>210</v>
      </c>
      <c r="D1605" s="522"/>
      <c r="E1605" s="960"/>
      <c r="F1605" s="962"/>
      <c r="G1605" s="961"/>
      <c r="H1605" s="962"/>
      <c r="I1605" s="962"/>
      <c r="J1605" s="962"/>
      <c r="K1605" s="961"/>
      <c r="L1605" s="962"/>
      <c r="M1605" s="961"/>
      <c r="N1605" s="962"/>
      <c r="O1605" s="962"/>
      <c r="P1605" s="962"/>
      <c r="Q1605" s="962"/>
      <c r="R1605" s="961"/>
      <c r="S1605" s="527">
        <f t="shared" si="203"/>
        <v>0</v>
      </c>
      <c r="T1605" s="528">
        <f t="shared" si="204"/>
        <v>0</v>
      </c>
      <c r="U1605" s="527">
        <f t="shared" si="208"/>
        <v>0</v>
      </c>
      <c r="W1605" s="326">
        <f t="shared" si="206"/>
        <v>0</v>
      </c>
      <c r="X1605" s="261">
        <f t="shared" si="205"/>
        <v>0</v>
      </c>
      <c r="Z1605" s="1016">
        <f t="shared" si="207"/>
        <v>0</v>
      </c>
    </row>
    <row r="1606" spans="1:26" ht="12" hidden="1" thickBot="1">
      <c r="A1606" s="588" t="s">
        <v>1467</v>
      </c>
      <c r="B1606" s="522" t="s">
        <v>211</v>
      </c>
      <c r="C1606" s="522" t="s">
        <v>212</v>
      </c>
      <c r="D1606" s="522"/>
      <c r="E1606" s="960"/>
      <c r="F1606" s="962"/>
      <c r="G1606" s="961"/>
      <c r="H1606" s="962"/>
      <c r="I1606" s="962"/>
      <c r="J1606" s="962"/>
      <c r="K1606" s="961"/>
      <c r="L1606" s="962"/>
      <c r="M1606" s="961"/>
      <c r="N1606" s="962"/>
      <c r="O1606" s="962"/>
      <c r="P1606" s="962"/>
      <c r="Q1606" s="962"/>
      <c r="R1606" s="961"/>
      <c r="S1606" s="527">
        <f t="shared" si="203"/>
        <v>0</v>
      </c>
      <c r="T1606" s="528">
        <f t="shared" si="204"/>
        <v>0</v>
      </c>
      <c r="U1606" s="527">
        <f t="shared" si="208"/>
        <v>0</v>
      </c>
      <c r="W1606" s="326">
        <f t="shared" si="206"/>
        <v>0</v>
      </c>
      <c r="X1606" s="261">
        <f t="shared" si="205"/>
        <v>0</v>
      </c>
      <c r="Z1606" s="1016">
        <f t="shared" si="207"/>
        <v>0</v>
      </c>
    </row>
    <row r="1607" spans="1:26" ht="12" hidden="1" thickBot="1">
      <c r="A1607" s="588" t="s">
        <v>1467</v>
      </c>
      <c r="B1607" s="522" t="s">
        <v>213</v>
      </c>
      <c r="C1607" s="522" t="s">
        <v>214</v>
      </c>
      <c r="D1607" s="522"/>
      <c r="E1607" s="960"/>
      <c r="F1607" s="962"/>
      <c r="G1607" s="961"/>
      <c r="H1607" s="962"/>
      <c r="I1607" s="962"/>
      <c r="J1607" s="962"/>
      <c r="K1607" s="961"/>
      <c r="L1607" s="962"/>
      <c r="M1607" s="961"/>
      <c r="N1607" s="962"/>
      <c r="O1607" s="962"/>
      <c r="P1607" s="962"/>
      <c r="Q1607" s="962"/>
      <c r="R1607" s="961"/>
      <c r="S1607" s="527">
        <f t="shared" si="203"/>
        <v>0</v>
      </c>
      <c r="T1607" s="528">
        <f t="shared" si="204"/>
        <v>0</v>
      </c>
      <c r="U1607" s="527">
        <f t="shared" si="208"/>
        <v>0</v>
      </c>
      <c r="W1607" s="326">
        <f t="shared" si="206"/>
        <v>0</v>
      </c>
      <c r="X1607" s="261">
        <f t="shared" si="205"/>
        <v>0</v>
      </c>
      <c r="Z1607" s="1016">
        <f t="shared" si="207"/>
        <v>0</v>
      </c>
    </row>
    <row r="1608" spans="1:26" ht="12" hidden="1" thickBot="1">
      <c r="A1608" s="588" t="s">
        <v>1467</v>
      </c>
      <c r="B1608" s="522" t="s">
        <v>949</v>
      </c>
      <c r="C1608" s="522" t="s">
        <v>943</v>
      </c>
      <c r="D1608" s="522"/>
      <c r="E1608" s="962"/>
      <c r="F1608" s="962"/>
      <c r="G1608" s="962"/>
      <c r="H1608" s="962"/>
      <c r="I1608" s="962"/>
      <c r="J1608" s="962"/>
      <c r="K1608" s="962"/>
      <c r="L1608" s="962"/>
      <c r="M1608" s="962"/>
      <c r="N1608" s="962"/>
      <c r="O1608" s="962"/>
      <c r="P1608" s="962"/>
      <c r="Q1608" s="962"/>
      <c r="R1608" s="962"/>
      <c r="S1608" s="527">
        <f t="shared" si="203"/>
        <v>0</v>
      </c>
      <c r="T1608" s="528">
        <f t="shared" si="204"/>
        <v>0</v>
      </c>
      <c r="U1608" s="527">
        <f t="shared" si="208"/>
        <v>0</v>
      </c>
      <c r="W1608" s="326">
        <f t="shared" si="206"/>
        <v>0</v>
      </c>
      <c r="X1608" s="261">
        <f t="shared" si="205"/>
        <v>0</v>
      </c>
      <c r="Z1608" s="1016">
        <f t="shared" si="207"/>
        <v>0</v>
      </c>
    </row>
    <row r="1609" spans="1:26" ht="12" hidden="1" thickBot="1">
      <c r="A1609" s="588" t="s">
        <v>1467</v>
      </c>
      <c r="B1609" s="522" t="s">
        <v>190</v>
      </c>
      <c r="C1609" s="522" t="s">
        <v>111</v>
      </c>
      <c r="D1609" s="533" t="s">
        <v>15</v>
      </c>
      <c r="E1609" s="960">
        <v>595382951</v>
      </c>
      <c r="F1609" s="961">
        <v>4600719</v>
      </c>
      <c r="G1609" s="961">
        <v>27012524</v>
      </c>
      <c r="H1609" s="961">
        <v>17218475</v>
      </c>
      <c r="I1609" s="961">
        <v>1875456</v>
      </c>
      <c r="J1609" s="962"/>
      <c r="K1609" s="962"/>
      <c r="L1609" s="961">
        <v>1266130</v>
      </c>
      <c r="M1609" s="961">
        <v>2151186</v>
      </c>
      <c r="N1609" s="961">
        <v>1892864</v>
      </c>
      <c r="O1609" s="962"/>
      <c r="P1609" s="962"/>
      <c r="Q1609" s="961"/>
      <c r="R1609" s="961">
        <v>56017355</v>
      </c>
      <c r="S1609" s="527">
        <f t="shared" si="203"/>
        <v>46106455</v>
      </c>
      <c r="T1609" s="528">
        <f t="shared" si="204"/>
        <v>0</v>
      </c>
      <c r="U1609" s="527">
        <f t="shared" si="208"/>
        <v>1892864</v>
      </c>
      <c r="W1609" s="326">
        <f t="shared" si="206"/>
        <v>56017354</v>
      </c>
      <c r="X1609" s="261">
        <f t="shared" si="205"/>
        <v>-1</v>
      </c>
      <c r="Z1609" s="1016">
        <f t="shared" si="207"/>
        <v>50707174</v>
      </c>
    </row>
    <row r="1610" spans="1:26" ht="12" hidden="1" thickBot="1">
      <c r="A1610" s="588" t="s">
        <v>1467</v>
      </c>
      <c r="B1610" s="522" t="s">
        <v>191</v>
      </c>
      <c r="C1610" s="522" t="s">
        <v>215</v>
      </c>
      <c r="D1610" s="533" t="s">
        <v>15</v>
      </c>
      <c r="E1610" s="960"/>
      <c r="F1610" s="961"/>
      <c r="G1610" s="961"/>
      <c r="H1610" s="961"/>
      <c r="I1610" s="961"/>
      <c r="J1610" s="962"/>
      <c r="K1610" s="962"/>
      <c r="L1610" s="961"/>
      <c r="M1610" s="961"/>
      <c r="N1610" s="961"/>
      <c r="O1610" s="962"/>
      <c r="P1610" s="962"/>
      <c r="Q1610" s="961"/>
      <c r="R1610" s="961"/>
      <c r="S1610" s="527">
        <f t="shared" si="203"/>
        <v>0</v>
      </c>
      <c r="T1610" s="528">
        <f t="shared" si="204"/>
        <v>0</v>
      </c>
      <c r="U1610" s="527">
        <f t="shared" si="208"/>
        <v>0</v>
      </c>
      <c r="W1610" s="326">
        <f t="shared" si="206"/>
        <v>0</v>
      </c>
      <c r="X1610" s="261">
        <f t="shared" si="205"/>
        <v>0</v>
      </c>
      <c r="Z1610" s="1016">
        <f t="shared" si="207"/>
        <v>0</v>
      </c>
    </row>
    <row r="1611" spans="1:26" ht="12" hidden="1" thickBot="1">
      <c r="A1611" s="588" t="s">
        <v>1467</v>
      </c>
      <c r="B1611" s="522" t="s">
        <v>192</v>
      </c>
      <c r="C1611" s="522" t="s">
        <v>216</v>
      </c>
      <c r="D1611" s="533" t="s">
        <v>15</v>
      </c>
      <c r="E1611" s="960"/>
      <c r="F1611" s="961"/>
      <c r="G1611" s="961"/>
      <c r="H1611" s="961"/>
      <c r="I1611" s="961"/>
      <c r="J1611" s="962"/>
      <c r="K1611" s="962"/>
      <c r="L1611" s="961"/>
      <c r="M1611" s="961"/>
      <c r="N1611" s="961"/>
      <c r="O1611" s="962"/>
      <c r="P1611" s="962"/>
      <c r="Q1611" s="962"/>
      <c r="R1611" s="961"/>
      <c r="S1611" s="527">
        <f t="shared" si="203"/>
        <v>0</v>
      </c>
      <c r="T1611" s="528">
        <f t="shared" si="204"/>
        <v>0</v>
      </c>
      <c r="U1611" s="527">
        <f t="shared" si="208"/>
        <v>0</v>
      </c>
      <c r="W1611" s="326">
        <f t="shared" si="206"/>
        <v>0</v>
      </c>
      <c r="X1611" s="261">
        <f t="shared" si="205"/>
        <v>0</v>
      </c>
      <c r="Z1611" s="1016">
        <f t="shared" si="207"/>
        <v>0</v>
      </c>
    </row>
    <row r="1612" spans="1:26" ht="12" hidden="1" thickBot="1">
      <c r="A1612" s="588" t="s">
        <v>1467</v>
      </c>
      <c r="B1612" s="522" t="s">
        <v>477</v>
      </c>
      <c r="C1612" s="522" t="s">
        <v>1263</v>
      </c>
      <c r="D1612" s="542" t="s">
        <v>807</v>
      </c>
      <c r="E1612" s="960"/>
      <c r="F1612" s="961"/>
      <c r="G1612" s="961"/>
      <c r="H1612" s="961"/>
      <c r="I1612" s="961"/>
      <c r="J1612" s="962"/>
      <c r="K1612" s="962"/>
      <c r="L1612" s="961"/>
      <c r="M1612" s="961"/>
      <c r="N1612" s="961"/>
      <c r="O1612" s="962"/>
      <c r="P1612" s="962"/>
      <c r="Q1612" s="962"/>
      <c r="R1612" s="961"/>
      <c r="S1612" s="527">
        <f t="shared" si="203"/>
        <v>0</v>
      </c>
      <c r="T1612" s="528">
        <f t="shared" si="204"/>
        <v>0</v>
      </c>
      <c r="U1612" s="527">
        <f t="shared" si="208"/>
        <v>0</v>
      </c>
      <c r="W1612" s="326">
        <f t="shared" si="206"/>
        <v>0</v>
      </c>
      <c r="X1612" s="261">
        <f t="shared" si="205"/>
        <v>0</v>
      </c>
      <c r="Z1612" s="1016">
        <f t="shared" si="207"/>
        <v>0</v>
      </c>
    </row>
    <row r="1613" spans="1:26" ht="12" hidden="1" thickBot="1">
      <c r="A1613" s="588" t="s">
        <v>1467</v>
      </c>
      <c r="B1613" s="522" t="s">
        <v>193</v>
      </c>
      <c r="C1613" s="522" t="s">
        <v>217</v>
      </c>
      <c r="D1613" s="533" t="s">
        <v>15</v>
      </c>
      <c r="E1613" s="960"/>
      <c r="F1613" s="961"/>
      <c r="G1613" s="961"/>
      <c r="H1613" s="961"/>
      <c r="I1613" s="961"/>
      <c r="J1613" s="962"/>
      <c r="K1613" s="962"/>
      <c r="L1613" s="961"/>
      <c r="M1613" s="961"/>
      <c r="N1613" s="961"/>
      <c r="O1613" s="962"/>
      <c r="P1613" s="962"/>
      <c r="Q1613" s="962"/>
      <c r="R1613" s="961"/>
      <c r="S1613" s="527">
        <f t="shared" si="203"/>
        <v>0</v>
      </c>
      <c r="T1613" s="528">
        <f t="shared" si="204"/>
        <v>0</v>
      </c>
      <c r="U1613" s="527">
        <f t="shared" si="208"/>
        <v>0</v>
      </c>
      <c r="W1613" s="326">
        <f t="shared" si="206"/>
        <v>0</v>
      </c>
      <c r="X1613" s="261">
        <f t="shared" si="205"/>
        <v>0</v>
      </c>
      <c r="Z1613" s="1016">
        <f t="shared" si="207"/>
        <v>0</v>
      </c>
    </row>
    <row r="1614" spans="1:26" ht="12" hidden="1" thickBot="1">
      <c r="A1614" s="588" t="s">
        <v>1467</v>
      </c>
      <c r="B1614" s="522" t="s">
        <v>194</v>
      </c>
      <c r="C1614" s="522" t="s">
        <v>218</v>
      </c>
      <c r="D1614" s="533" t="s">
        <v>15</v>
      </c>
      <c r="E1614" s="960"/>
      <c r="F1614" s="961"/>
      <c r="G1614" s="961"/>
      <c r="H1614" s="961"/>
      <c r="I1614" s="961"/>
      <c r="J1614" s="962"/>
      <c r="K1614" s="962"/>
      <c r="L1614" s="961"/>
      <c r="M1614" s="961"/>
      <c r="N1614" s="961"/>
      <c r="O1614" s="962"/>
      <c r="P1614" s="962"/>
      <c r="Q1614" s="962"/>
      <c r="R1614" s="961"/>
      <c r="S1614" s="527">
        <f t="shared" si="203"/>
        <v>0</v>
      </c>
      <c r="T1614" s="528">
        <f t="shared" si="204"/>
        <v>0</v>
      </c>
      <c r="U1614" s="527">
        <f t="shared" si="208"/>
        <v>0</v>
      </c>
      <c r="W1614" s="326">
        <f t="shared" si="206"/>
        <v>0</v>
      </c>
      <c r="X1614" s="261">
        <f t="shared" si="205"/>
        <v>0</v>
      </c>
      <c r="Z1614" s="1016">
        <f t="shared" si="207"/>
        <v>0</v>
      </c>
    </row>
    <row r="1615" spans="1:26" ht="12" hidden="1" thickBot="1">
      <c r="A1615" s="588" t="s">
        <v>1467</v>
      </c>
      <c r="B1615" s="522" t="s">
        <v>950</v>
      </c>
      <c r="C1615" s="522" t="s">
        <v>951</v>
      </c>
      <c r="D1615" s="522"/>
      <c r="E1615" s="962"/>
      <c r="F1615" s="962"/>
      <c r="G1615" s="962"/>
      <c r="H1615" s="962"/>
      <c r="I1615" s="962"/>
      <c r="J1615" s="962"/>
      <c r="K1615" s="962"/>
      <c r="L1615" s="962"/>
      <c r="M1615" s="962"/>
      <c r="N1615" s="962"/>
      <c r="O1615" s="962"/>
      <c r="P1615" s="962"/>
      <c r="Q1615" s="962"/>
      <c r="R1615" s="962"/>
      <c r="S1615" s="527">
        <f t="shared" si="203"/>
        <v>0</v>
      </c>
      <c r="T1615" s="528">
        <f t="shared" si="204"/>
        <v>0</v>
      </c>
      <c r="U1615" s="527">
        <f t="shared" si="208"/>
        <v>0</v>
      </c>
      <c r="W1615" s="326">
        <f t="shared" si="206"/>
        <v>0</v>
      </c>
      <c r="X1615" s="261">
        <f t="shared" si="205"/>
        <v>0</v>
      </c>
      <c r="Z1615" s="1016">
        <f t="shared" si="207"/>
        <v>0</v>
      </c>
    </row>
    <row r="1616" spans="1:26" ht="12" hidden="1" thickBot="1">
      <c r="A1616" s="588" t="s">
        <v>1467</v>
      </c>
      <c r="B1616" s="522" t="s">
        <v>339</v>
      </c>
      <c r="C1616" s="522" t="s">
        <v>952</v>
      </c>
      <c r="D1616" s="523" t="s">
        <v>1035</v>
      </c>
      <c r="E1616" s="960"/>
      <c r="F1616" s="962"/>
      <c r="G1616" s="961"/>
      <c r="H1616" s="962"/>
      <c r="I1616" s="962"/>
      <c r="J1616" s="962"/>
      <c r="K1616" s="962"/>
      <c r="L1616" s="962"/>
      <c r="M1616" s="961"/>
      <c r="N1616" s="961"/>
      <c r="O1616" s="962"/>
      <c r="P1616" s="962"/>
      <c r="Q1616" s="961"/>
      <c r="R1616" s="961"/>
      <c r="S1616" s="527">
        <f t="shared" si="203"/>
        <v>0</v>
      </c>
      <c r="T1616" s="528">
        <f t="shared" si="204"/>
        <v>0</v>
      </c>
      <c r="U1616" s="527">
        <f t="shared" si="208"/>
        <v>0</v>
      </c>
      <c r="W1616" s="326">
        <f t="shared" si="206"/>
        <v>0</v>
      </c>
      <c r="X1616" s="261">
        <f t="shared" si="205"/>
        <v>0</v>
      </c>
      <c r="Z1616" s="1016">
        <f t="shared" si="207"/>
        <v>0</v>
      </c>
    </row>
    <row r="1617" spans="1:26" ht="12" hidden="1" thickBot="1">
      <c r="A1617" s="588" t="s">
        <v>1467</v>
      </c>
      <c r="B1617" s="522" t="s">
        <v>344</v>
      </c>
      <c r="C1617" s="522" t="s">
        <v>953</v>
      </c>
      <c r="D1617" s="523" t="s">
        <v>1035</v>
      </c>
      <c r="E1617" s="960"/>
      <c r="F1617" s="962"/>
      <c r="G1617" s="961"/>
      <c r="H1617" s="962"/>
      <c r="I1617" s="962"/>
      <c r="J1617" s="962"/>
      <c r="K1617" s="962"/>
      <c r="L1617" s="962"/>
      <c r="M1617" s="961"/>
      <c r="N1617" s="961"/>
      <c r="O1617" s="962"/>
      <c r="P1617" s="962"/>
      <c r="Q1617" s="961"/>
      <c r="R1617" s="961"/>
      <c r="S1617" s="527">
        <f t="shared" si="203"/>
        <v>0</v>
      </c>
      <c r="T1617" s="528">
        <f t="shared" si="204"/>
        <v>0</v>
      </c>
      <c r="U1617" s="527">
        <f t="shared" si="208"/>
        <v>0</v>
      </c>
      <c r="W1617" s="326">
        <f t="shared" si="206"/>
        <v>0</v>
      </c>
      <c r="X1617" s="261">
        <f t="shared" si="205"/>
        <v>0</v>
      </c>
      <c r="Z1617" s="1016">
        <f t="shared" si="207"/>
        <v>0</v>
      </c>
    </row>
    <row r="1618" spans="1:26" ht="12" hidden="1" thickBot="1">
      <c r="A1618" s="588" t="s">
        <v>1467</v>
      </c>
      <c r="B1618" s="522" t="s">
        <v>347</v>
      </c>
      <c r="C1618" s="522" t="s">
        <v>954</v>
      </c>
      <c r="D1618" s="523" t="s">
        <v>1035</v>
      </c>
      <c r="E1618" s="960"/>
      <c r="F1618" s="962"/>
      <c r="G1618" s="961"/>
      <c r="H1618" s="962"/>
      <c r="I1618" s="962"/>
      <c r="J1618" s="962"/>
      <c r="K1618" s="962"/>
      <c r="L1618" s="962"/>
      <c r="M1618" s="961"/>
      <c r="N1618" s="961"/>
      <c r="O1618" s="962"/>
      <c r="P1618" s="962"/>
      <c r="Q1618" s="961"/>
      <c r="R1618" s="961"/>
      <c r="S1618" s="527">
        <f t="shared" si="203"/>
        <v>0</v>
      </c>
      <c r="T1618" s="528">
        <f t="shared" si="204"/>
        <v>0</v>
      </c>
      <c r="U1618" s="527">
        <f t="shared" si="208"/>
        <v>0</v>
      </c>
      <c r="W1618" s="326">
        <f t="shared" si="206"/>
        <v>0</v>
      </c>
      <c r="X1618" s="261">
        <f t="shared" si="205"/>
        <v>0</v>
      </c>
      <c r="Z1618" s="1016">
        <f t="shared" si="207"/>
        <v>0</v>
      </c>
    </row>
    <row r="1619" spans="1:26" ht="12" hidden="1" thickBot="1">
      <c r="A1619" s="588" t="s">
        <v>1467</v>
      </c>
      <c r="B1619" s="522" t="s">
        <v>348</v>
      </c>
      <c r="C1619" s="522" t="s">
        <v>955</v>
      </c>
      <c r="D1619" s="523" t="s">
        <v>1035</v>
      </c>
      <c r="E1619" s="960"/>
      <c r="F1619" s="962"/>
      <c r="G1619" s="961"/>
      <c r="H1619" s="962"/>
      <c r="I1619" s="962"/>
      <c r="J1619" s="962"/>
      <c r="K1619" s="962"/>
      <c r="L1619" s="962"/>
      <c r="M1619" s="961"/>
      <c r="N1619" s="961"/>
      <c r="O1619" s="962"/>
      <c r="P1619" s="962"/>
      <c r="Q1619" s="961"/>
      <c r="R1619" s="961"/>
      <c r="S1619" s="527">
        <f t="shared" si="203"/>
        <v>0</v>
      </c>
      <c r="T1619" s="528">
        <f t="shared" si="204"/>
        <v>0</v>
      </c>
      <c r="U1619" s="527">
        <f t="shared" si="208"/>
        <v>0</v>
      </c>
      <c r="W1619" s="326">
        <f t="shared" si="206"/>
        <v>0</v>
      </c>
      <c r="X1619" s="261">
        <f t="shared" si="205"/>
        <v>0</v>
      </c>
      <c r="Z1619" s="1016">
        <f t="shared" si="207"/>
        <v>0</v>
      </c>
    </row>
    <row r="1620" spans="1:26" ht="12" hidden="1" thickBot="1">
      <c r="A1620" s="588" t="s">
        <v>1467</v>
      </c>
      <c r="B1620" s="522" t="s">
        <v>349</v>
      </c>
      <c r="C1620" s="522" t="s">
        <v>956</v>
      </c>
      <c r="D1620" s="523" t="s">
        <v>1035</v>
      </c>
      <c r="E1620" s="960"/>
      <c r="F1620" s="962"/>
      <c r="G1620" s="961"/>
      <c r="H1620" s="962"/>
      <c r="I1620" s="962"/>
      <c r="J1620" s="962"/>
      <c r="K1620" s="962"/>
      <c r="L1620" s="962"/>
      <c r="M1620" s="961"/>
      <c r="N1620" s="961"/>
      <c r="O1620" s="962"/>
      <c r="P1620" s="962"/>
      <c r="Q1620" s="961"/>
      <c r="R1620" s="961"/>
      <c r="S1620" s="527">
        <f t="shared" si="203"/>
        <v>0</v>
      </c>
      <c r="T1620" s="528">
        <f t="shared" si="204"/>
        <v>0</v>
      </c>
      <c r="U1620" s="527">
        <f t="shared" si="208"/>
        <v>0</v>
      </c>
      <c r="W1620" s="326">
        <f t="shared" si="206"/>
        <v>0</v>
      </c>
      <c r="X1620" s="261">
        <f t="shared" si="205"/>
        <v>0</v>
      </c>
      <c r="Z1620" s="1016">
        <f t="shared" si="207"/>
        <v>0</v>
      </c>
    </row>
    <row r="1621" spans="1:26" ht="12" hidden="1" thickBot="1">
      <c r="A1621" s="588" t="s">
        <v>1467</v>
      </c>
      <c r="B1621" s="522" t="s">
        <v>351</v>
      </c>
      <c r="C1621" s="522" t="s">
        <v>957</v>
      </c>
      <c r="D1621" s="523" t="s">
        <v>1035</v>
      </c>
      <c r="E1621" s="960"/>
      <c r="F1621" s="962"/>
      <c r="G1621" s="961"/>
      <c r="H1621" s="962"/>
      <c r="I1621" s="962"/>
      <c r="J1621" s="962"/>
      <c r="K1621" s="962"/>
      <c r="L1621" s="962"/>
      <c r="M1621" s="961"/>
      <c r="N1621" s="961"/>
      <c r="O1621" s="962"/>
      <c r="P1621" s="962"/>
      <c r="Q1621" s="961"/>
      <c r="R1621" s="961"/>
      <c r="S1621" s="527">
        <f t="shared" si="203"/>
        <v>0</v>
      </c>
      <c r="T1621" s="528">
        <f t="shared" si="204"/>
        <v>0</v>
      </c>
      <c r="U1621" s="527">
        <f t="shared" si="208"/>
        <v>0</v>
      </c>
      <c r="W1621" s="326">
        <f t="shared" si="206"/>
        <v>0</v>
      </c>
      <c r="X1621" s="261">
        <f t="shared" si="205"/>
        <v>0</v>
      </c>
      <c r="Z1621" s="1016">
        <f t="shared" si="207"/>
        <v>0</v>
      </c>
    </row>
    <row r="1622" spans="1:26" ht="12" hidden="1" thickBot="1">
      <c r="A1622" s="588" t="s">
        <v>1467</v>
      </c>
      <c r="B1622" s="522" t="s">
        <v>352</v>
      </c>
      <c r="C1622" s="522" t="s">
        <v>958</v>
      </c>
      <c r="D1622" s="523" t="s">
        <v>1035</v>
      </c>
      <c r="E1622" s="960"/>
      <c r="F1622" s="962"/>
      <c r="G1622" s="961"/>
      <c r="H1622" s="962"/>
      <c r="I1622" s="962"/>
      <c r="J1622" s="962"/>
      <c r="K1622" s="962"/>
      <c r="L1622" s="962"/>
      <c r="M1622" s="961"/>
      <c r="N1622" s="961"/>
      <c r="O1622" s="962"/>
      <c r="P1622" s="962"/>
      <c r="Q1622" s="961"/>
      <c r="R1622" s="961"/>
      <c r="S1622" s="527">
        <f t="shared" si="203"/>
        <v>0</v>
      </c>
      <c r="T1622" s="528">
        <f t="shared" si="204"/>
        <v>0</v>
      </c>
      <c r="U1622" s="527">
        <f t="shared" si="208"/>
        <v>0</v>
      </c>
      <c r="W1622" s="326">
        <f t="shared" si="206"/>
        <v>0</v>
      </c>
      <c r="X1622" s="261">
        <f t="shared" si="205"/>
        <v>0</v>
      </c>
      <c r="Z1622" s="1016">
        <f t="shared" si="207"/>
        <v>0</v>
      </c>
    </row>
    <row r="1623" spans="1:26" ht="12" hidden="1" thickBot="1">
      <c r="A1623" s="588" t="s">
        <v>1467</v>
      </c>
      <c r="B1623" s="522" t="s">
        <v>354</v>
      </c>
      <c r="C1623" s="522" t="s">
        <v>959</v>
      </c>
      <c r="D1623" s="523" t="s">
        <v>1035</v>
      </c>
      <c r="E1623" s="960"/>
      <c r="F1623" s="962"/>
      <c r="G1623" s="961"/>
      <c r="H1623" s="962"/>
      <c r="I1623" s="962"/>
      <c r="J1623" s="962"/>
      <c r="K1623" s="962"/>
      <c r="L1623" s="962"/>
      <c r="M1623" s="961"/>
      <c r="N1623" s="961"/>
      <c r="O1623" s="962"/>
      <c r="P1623" s="962"/>
      <c r="Q1623" s="961"/>
      <c r="R1623" s="961"/>
      <c r="S1623" s="527">
        <f t="shared" si="203"/>
        <v>0</v>
      </c>
      <c r="T1623" s="528">
        <f t="shared" si="204"/>
        <v>0</v>
      </c>
      <c r="U1623" s="527">
        <f t="shared" si="208"/>
        <v>0</v>
      </c>
      <c r="W1623" s="326">
        <f t="shared" si="206"/>
        <v>0</v>
      </c>
      <c r="X1623" s="261">
        <f t="shared" si="205"/>
        <v>0</v>
      </c>
      <c r="Z1623" s="1016">
        <f t="shared" si="207"/>
        <v>0</v>
      </c>
    </row>
    <row r="1624" spans="1:26" ht="12" hidden="1" thickBot="1">
      <c r="A1624" s="588" t="s">
        <v>1467</v>
      </c>
      <c r="B1624" s="522" t="s">
        <v>355</v>
      </c>
      <c r="C1624" s="522" t="s">
        <v>960</v>
      </c>
      <c r="D1624" s="523" t="s">
        <v>1035</v>
      </c>
      <c r="E1624" s="960"/>
      <c r="F1624" s="962"/>
      <c r="G1624" s="961"/>
      <c r="H1624" s="962"/>
      <c r="I1624" s="962"/>
      <c r="J1624" s="962"/>
      <c r="K1624" s="962"/>
      <c r="L1624" s="962"/>
      <c r="M1624" s="961"/>
      <c r="N1624" s="961"/>
      <c r="O1624" s="962"/>
      <c r="P1624" s="962"/>
      <c r="Q1624" s="961"/>
      <c r="R1624" s="961"/>
      <c r="S1624" s="527">
        <f t="shared" si="203"/>
        <v>0</v>
      </c>
      <c r="T1624" s="528">
        <f t="shared" si="204"/>
        <v>0</v>
      </c>
      <c r="U1624" s="527">
        <f t="shared" si="208"/>
        <v>0</v>
      </c>
      <c r="W1624" s="326">
        <f t="shared" si="206"/>
        <v>0</v>
      </c>
      <c r="X1624" s="261">
        <f t="shared" si="205"/>
        <v>0</v>
      </c>
      <c r="Z1624" s="1016">
        <f t="shared" si="207"/>
        <v>0</v>
      </c>
    </row>
    <row r="1625" spans="1:26" ht="12" hidden="1" thickBot="1">
      <c r="A1625" s="588" t="s">
        <v>1467</v>
      </c>
      <c r="B1625" s="522" t="s">
        <v>341</v>
      </c>
      <c r="C1625" s="522" t="s">
        <v>961</v>
      </c>
      <c r="D1625" s="523" t="s">
        <v>1035</v>
      </c>
      <c r="E1625" s="960"/>
      <c r="F1625" s="962"/>
      <c r="G1625" s="961"/>
      <c r="H1625" s="962"/>
      <c r="I1625" s="962"/>
      <c r="J1625" s="962"/>
      <c r="K1625" s="962"/>
      <c r="L1625" s="962"/>
      <c r="M1625" s="961"/>
      <c r="N1625" s="961"/>
      <c r="O1625" s="962"/>
      <c r="P1625" s="962"/>
      <c r="Q1625" s="961"/>
      <c r="R1625" s="961"/>
      <c r="S1625" s="527">
        <f t="shared" si="203"/>
        <v>0</v>
      </c>
      <c r="T1625" s="528">
        <f t="shared" si="204"/>
        <v>0</v>
      </c>
      <c r="U1625" s="527">
        <f t="shared" si="208"/>
        <v>0</v>
      </c>
      <c r="W1625" s="326">
        <f t="shared" si="206"/>
        <v>0</v>
      </c>
      <c r="X1625" s="261">
        <f t="shared" si="205"/>
        <v>0</v>
      </c>
      <c r="Z1625" s="1016">
        <f t="shared" si="207"/>
        <v>0</v>
      </c>
    </row>
    <row r="1626" spans="1:26" ht="12" hidden="1" thickBot="1">
      <c r="A1626" s="588" t="s">
        <v>1467</v>
      </c>
      <c r="B1626" s="522" t="s">
        <v>350</v>
      </c>
      <c r="C1626" s="522" t="s">
        <v>962</v>
      </c>
      <c r="D1626" s="523" t="s">
        <v>1035</v>
      </c>
      <c r="E1626" s="960"/>
      <c r="F1626" s="962"/>
      <c r="G1626" s="961"/>
      <c r="H1626" s="962"/>
      <c r="I1626" s="962"/>
      <c r="J1626" s="962"/>
      <c r="K1626" s="962"/>
      <c r="L1626" s="962"/>
      <c r="M1626" s="961"/>
      <c r="N1626" s="961"/>
      <c r="O1626" s="962"/>
      <c r="P1626" s="962"/>
      <c r="Q1626" s="961"/>
      <c r="R1626" s="961"/>
      <c r="S1626" s="527">
        <f t="shared" si="203"/>
        <v>0</v>
      </c>
      <c r="T1626" s="528">
        <f t="shared" si="204"/>
        <v>0</v>
      </c>
      <c r="U1626" s="527">
        <f t="shared" si="208"/>
        <v>0</v>
      </c>
      <c r="W1626" s="326">
        <f t="shared" si="206"/>
        <v>0</v>
      </c>
      <c r="X1626" s="261">
        <f t="shared" si="205"/>
        <v>0</v>
      </c>
      <c r="Z1626" s="1016">
        <f t="shared" si="207"/>
        <v>0</v>
      </c>
    </row>
    <row r="1627" spans="1:26" ht="12" hidden="1" thickBot="1">
      <c r="A1627" s="588" t="s">
        <v>1467</v>
      </c>
      <c r="B1627" s="522" t="s">
        <v>342</v>
      </c>
      <c r="C1627" s="522" t="s">
        <v>963</v>
      </c>
      <c r="D1627" s="523" t="s">
        <v>1035</v>
      </c>
      <c r="E1627" s="960"/>
      <c r="F1627" s="962"/>
      <c r="G1627" s="961"/>
      <c r="H1627" s="962"/>
      <c r="I1627" s="962"/>
      <c r="J1627" s="962"/>
      <c r="K1627" s="962"/>
      <c r="L1627" s="962"/>
      <c r="M1627" s="961"/>
      <c r="N1627" s="961"/>
      <c r="O1627" s="962"/>
      <c r="P1627" s="962"/>
      <c r="Q1627" s="961"/>
      <c r="R1627" s="961"/>
      <c r="S1627" s="527">
        <f t="shared" si="203"/>
        <v>0</v>
      </c>
      <c r="T1627" s="528">
        <f t="shared" si="204"/>
        <v>0</v>
      </c>
      <c r="U1627" s="527">
        <f t="shared" si="208"/>
        <v>0</v>
      </c>
      <c r="W1627" s="326">
        <f t="shared" si="206"/>
        <v>0</v>
      </c>
      <c r="X1627" s="261">
        <f t="shared" si="205"/>
        <v>0</v>
      </c>
      <c r="Z1627" s="1016">
        <f t="shared" si="207"/>
        <v>0</v>
      </c>
    </row>
    <row r="1628" spans="1:26" ht="12" hidden="1" thickBot="1">
      <c r="A1628" s="588" t="s">
        <v>1467</v>
      </c>
      <c r="B1628" s="522" t="s">
        <v>346</v>
      </c>
      <c r="C1628" s="522" t="s">
        <v>964</v>
      </c>
      <c r="D1628" s="523" t="s">
        <v>1035</v>
      </c>
      <c r="E1628" s="960"/>
      <c r="F1628" s="962"/>
      <c r="G1628" s="961"/>
      <c r="H1628" s="962"/>
      <c r="I1628" s="962"/>
      <c r="J1628" s="962"/>
      <c r="K1628" s="962"/>
      <c r="L1628" s="962"/>
      <c r="M1628" s="961"/>
      <c r="N1628" s="961"/>
      <c r="O1628" s="962"/>
      <c r="P1628" s="962"/>
      <c r="Q1628" s="961"/>
      <c r="R1628" s="961"/>
      <c r="S1628" s="527">
        <f t="shared" si="203"/>
        <v>0</v>
      </c>
      <c r="T1628" s="528">
        <f t="shared" si="204"/>
        <v>0</v>
      </c>
      <c r="U1628" s="527">
        <f t="shared" si="208"/>
        <v>0</v>
      </c>
      <c r="W1628" s="326">
        <f t="shared" si="206"/>
        <v>0</v>
      </c>
      <c r="X1628" s="261">
        <f t="shared" si="205"/>
        <v>0</v>
      </c>
      <c r="Z1628" s="1016">
        <f t="shared" si="207"/>
        <v>0</v>
      </c>
    </row>
    <row r="1629" spans="1:26" ht="12" hidden="1" thickBot="1">
      <c r="A1629" s="588" t="s">
        <v>1467</v>
      </c>
      <c r="B1629" s="522" t="s">
        <v>353</v>
      </c>
      <c r="C1629" s="522" t="s">
        <v>965</v>
      </c>
      <c r="D1629" s="523" t="s">
        <v>1035</v>
      </c>
      <c r="E1629" s="960"/>
      <c r="F1629" s="962"/>
      <c r="G1629" s="961"/>
      <c r="H1629" s="962"/>
      <c r="I1629" s="962"/>
      <c r="J1629" s="962"/>
      <c r="K1629" s="962"/>
      <c r="L1629" s="962"/>
      <c r="M1629" s="961"/>
      <c r="N1629" s="961"/>
      <c r="O1629" s="962"/>
      <c r="P1629" s="962"/>
      <c r="Q1629" s="961"/>
      <c r="R1629" s="961"/>
      <c r="S1629" s="527">
        <f t="shared" si="203"/>
        <v>0</v>
      </c>
      <c r="T1629" s="528">
        <f t="shared" si="204"/>
        <v>0</v>
      </c>
      <c r="U1629" s="527">
        <f t="shared" si="208"/>
        <v>0</v>
      </c>
      <c r="W1629" s="326">
        <f t="shared" si="206"/>
        <v>0</v>
      </c>
      <c r="X1629" s="261">
        <f t="shared" si="205"/>
        <v>0</v>
      </c>
      <c r="Z1629" s="1016">
        <f t="shared" si="207"/>
        <v>0</v>
      </c>
    </row>
    <row r="1630" spans="1:26" ht="12" hidden="1" thickBot="1">
      <c r="A1630" s="588" t="s">
        <v>1467</v>
      </c>
      <c r="B1630" s="522" t="s">
        <v>345</v>
      </c>
      <c r="C1630" s="522" t="s">
        <v>966</v>
      </c>
      <c r="D1630" s="523" t="s">
        <v>1035</v>
      </c>
      <c r="E1630" s="960"/>
      <c r="F1630" s="962"/>
      <c r="G1630" s="961"/>
      <c r="H1630" s="962"/>
      <c r="I1630" s="962"/>
      <c r="J1630" s="962"/>
      <c r="K1630" s="962"/>
      <c r="L1630" s="962"/>
      <c r="M1630" s="961"/>
      <c r="N1630" s="961"/>
      <c r="O1630" s="962"/>
      <c r="P1630" s="962"/>
      <c r="Q1630" s="961"/>
      <c r="R1630" s="961"/>
      <c r="S1630" s="527"/>
      <c r="T1630" s="528"/>
      <c r="U1630" s="527"/>
      <c r="W1630" s="326">
        <f t="shared" si="206"/>
        <v>0</v>
      </c>
      <c r="X1630" s="261"/>
      <c r="Z1630" s="1016">
        <f t="shared" si="207"/>
        <v>0</v>
      </c>
    </row>
    <row r="1631" spans="1:26" ht="12" hidden="1" thickBot="1">
      <c r="A1631" s="588" t="s">
        <v>1467</v>
      </c>
      <c r="B1631" s="522" t="s">
        <v>343</v>
      </c>
      <c r="C1631" s="522" t="s">
        <v>967</v>
      </c>
      <c r="D1631" s="523" t="s">
        <v>1035</v>
      </c>
      <c r="E1631" s="960"/>
      <c r="F1631" s="962"/>
      <c r="G1631" s="961"/>
      <c r="H1631" s="962"/>
      <c r="I1631" s="962"/>
      <c r="J1631" s="962"/>
      <c r="K1631" s="962"/>
      <c r="L1631" s="962"/>
      <c r="M1631" s="961"/>
      <c r="N1631" s="961"/>
      <c r="O1631" s="962"/>
      <c r="P1631" s="962"/>
      <c r="Q1631" s="961"/>
      <c r="R1631" s="961"/>
      <c r="S1631" s="527"/>
      <c r="T1631" s="528"/>
      <c r="U1631" s="527"/>
      <c r="W1631" s="326">
        <f t="shared" si="206"/>
        <v>0</v>
      </c>
      <c r="X1631" s="261"/>
      <c r="Z1631" s="1016">
        <f t="shared" si="207"/>
        <v>0</v>
      </c>
    </row>
    <row r="1632" spans="1:26" ht="12" hidden="1" thickBot="1">
      <c r="A1632" s="588" t="s">
        <v>1467</v>
      </c>
      <c r="B1632" s="522" t="s">
        <v>472</v>
      </c>
      <c r="C1632" s="522" t="s">
        <v>968</v>
      </c>
      <c r="D1632" s="523" t="s">
        <v>1035</v>
      </c>
      <c r="E1632" s="960"/>
      <c r="F1632" s="962"/>
      <c r="G1632" s="961"/>
      <c r="H1632" s="962"/>
      <c r="I1632" s="962"/>
      <c r="J1632" s="962"/>
      <c r="K1632" s="962"/>
      <c r="L1632" s="962"/>
      <c r="M1632" s="961"/>
      <c r="N1632" s="961"/>
      <c r="O1632" s="962"/>
      <c r="P1632" s="962"/>
      <c r="Q1632" s="962"/>
      <c r="R1632" s="961"/>
      <c r="S1632" s="527">
        <f t="shared" ref="S1632:S1682" si="209">G1632+H1632+I1632</f>
        <v>0</v>
      </c>
      <c r="T1632" s="528">
        <f t="shared" ref="T1632:T1682" si="210">J1632+K1632</f>
        <v>0</v>
      </c>
      <c r="U1632" s="527">
        <f t="shared" ref="U1632:U1694" si="211">N1632+O1632</f>
        <v>0</v>
      </c>
      <c r="W1632" s="326">
        <f t="shared" si="206"/>
        <v>0</v>
      </c>
      <c r="X1632" s="261">
        <f t="shared" ref="X1632:X1682" si="212">W1632-R1632</f>
        <v>0</v>
      </c>
      <c r="Z1632" s="1016">
        <f t="shared" si="207"/>
        <v>0</v>
      </c>
    </row>
    <row r="1633" spans="1:26" ht="12" hidden="1" thickBot="1">
      <c r="A1633" s="588" t="s">
        <v>1467</v>
      </c>
      <c r="B1633" s="522" t="s">
        <v>382</v>
      </c>
      <c r="C1633" s="522" t="s">
        <v>969</v>
      </c>
      <c r="D1633" s="533" t="s">
        <v>1035</v>
      </c>
      <c r="E1633" s="960"/>
      <c r="F1633" s="962"/>
      <c r="G1633" s="961"/>
      <c r="H1633" s="962"/>
      <c r="I1633" s="962"/>
      <c r="J1633" s="962"/>
      <c r="K1633" s="962"/>
      <c r="L1633" s="962"/>
      <c r="M1633" s="961"/>
      <c r="N1633" s="961"/>
      <c r="O1633" s="962"/>
      <c r="P1633" s="962"/>
      <c r="Q1633" s="961"/>
      <c r="R1633" s="961"/>
      <c r="S1633" s="527">
        <f t="shared" si="209"/>
        <v>0</v>
      </c>
      <c r="T1633" s="528">
        <f t="shared" si="210"/>
        <v>0</v>
      </c>
      <c r="U1633" s="527">
        <f t="shared" si="211"/>
        <v>0</v>
      </c>
      <c r="W1633" s="326">
        <f t="shared" si="206"/>
        <v>0</v>
      </c>
      <c r="X1633" s="261">
        <f t="shared" si="212"/>
        <v>0</v>
      </c>
      <c r="Z1633" s="1016">
        <f t="shared" si="207"/>
        <v>0</v>
      </c>
    </row>
    <row r="1634" spans="1:26" ht="12" hidden="1" thickBot="1">
      <c r="A1634" s="588" t="s">
        <v>1467</v>
      </c>
      <c r="B1634" s="522" t="s">
        <v>402</v>
      </c>
      <c r="C1634" s="522" t="s">
        <v>970</v>
      </c>
      <c r="D1634" s="533" t="s">
        <v>1036</v>
      </c>
      <c r="E1634" s="960"/>
      <c r="F1634" s="962"/>
      <c r="G1634" s="961"/>
      <c r="H1634" s="962"/>
      <c r="I1634" s="962"/>
      <c r="J1634" s="962"/>
      <c r="K1634" s="962"/>
      <c r="L1634" s="962"/>
      <c r="M1634" s="961"/>
      <c r="N1634" s="961"/>
      <c r="O1634" s="962"/>
      <c r="P1634" s="962"/>
      <c r="Q1634" s="961"/>
      <c r="R1634" s="961"/>
      <c r="S1634" s="527">
        <f t="shared" si="209"/>
        <v>0</v>
      </c>
      <c r="T1634" s="528">
        <f t="shared" si="210"/>
        <v>0</v>
      </c>
      <c r="U1634" s="527">
        <f t="shared" si="211"/>
        <v>0</v>
      </c>
      <c r="W1634" s="326">
        <f t="shared" si="206"/>
        <v>0</v>
      </c>
      <c r="X1634" s="261">
        <f t="shared" si="212"/>
        <v>0</v>
      </c>
      <c r="Z1634" s="1016">
        <f t="shared" si="207"/>
        <v>0</v>
      </c>
    </row>
    <row r="1635" spans="1:26" ht="12" hidden="1" thickBot="1">
      <c r="A1635" s="588" t="s">
        <v>1467</v>
      </c>
      <c r="B1635" s="522" t="s">
        <v>398</v>
      </c>
      <c r="C1635" s="522" t="s">
        <v>971</v>
      </c>
      <c r="D1635" s="533" t="s">
        <v>1036</v>
      </c>
      <c r="E1635" s="960"/>
      <c r="F1635" s="962"/>
      <c r="G1635" s="961"/>
      <c r="H1635" s="962"/>
      <c r="I1635" s="962"/>
      <c r="J1635" s="962"/>
      <c r="K1635" s="962"/>
      <c r="L1635" s="962"/>
      <c r="M1635" s="961"/>
      <c r="N1635" s="961"/>
      <c r="O1635" s="962"/>
      <c r="P1635" s="962"/>
      <c r="Q1635" s="961"/>
      <c r="R1635" s="961"/>
      <c r="S1635" s="527">
        <f t="shared" si="209"/>
        <v>0</v>
      </c>
      <c r="T1635" s="528">
        <f t="shared" si="210"/>
        <v>0</v>
      </c>
      <c r="U1635" s="527">
        <f t="shared" si="211"/>
        <v>0</v>
      </c>
      <c r="W1635" s="326">
        <f t="shared" si="206"/>
        <v>0</v>
      </c>
      <c r="X1635" s="261">
        <f t="shared" si="212"/>
        <v>0</v>
      </c>
      <c r="Z1635" s="1016">
        <f t="shared" si="207"/>
        <v>0</v>
      </c>
    </row>
    <row r="1636" spans="1:26" ht="12" hidden="1" thickBot="1">
      <c r="A1636" s="588" t="s">
        <v>1467</v>
      </c>
      <c r="B1636" s="522" t="s">
        <v>376</v>
      </c>
      <c r="C1636" s="522" t="s">
        <v>972</v>
      </c>
      <c r="D1636" s="533" t="s">
        <v>1036</v>
      </c>
      <c r="E1636" s="960"/>
      <c r="F1636" s="962"/>
      <c r="G1636" s="961"/>
      <c r="H1636" s="962"/>
      <c r="I1636" s="962"/>
      <c r="J1636" s="962"/>
      <c r="K1636" s="962"/>
      <c r="L1636" s="962"/>
      <c r="M1636" s="961"/>
      <c r="N1636" s="961"/>
      <c r="O1636" s="962"/>
      <c r="P1636" s="962"/>
      <c r="Q1636" s="961"/>
      <c r="R1636" s="961"/>
      <c r="S1636" s="527">
        <f t="shared" si="209"/>
        <v>0</v>
      </c>
      <c r="T1636" s="528">
        <f t="shared" si="210"/>
        <v>0</v>
      </c>
      <c r="U1636" s="527">
        <f t="shared" si="211"/>
        <v>0</v>
      </c>
      <c r="W1636" s="326">
        <f t="shared" si="206"/>
        <v>0</v>
      </c>
      <c r="X1636" s="261">
        <f t="shared" si="212"/>
        <v>0</v>
      </c>
      <c r="Z1636" s="1016">
        <f t="shared" si="207"/>
        <v>0</v>
      </c>
    </row>
    <row r="1637" spans="1:26" ht="12" hidden="1" thickBot="1">
      <c r="A1637" s="588" t="s">
        <v>1467</v>
      </c>
      <c r="B1637" s="522" t="s">
        <v>384</v>
      </c>
      <c r="C1637" s="522" t="s">
        <v>973</v>
      </c>
      <c r="D1637" s="533" t="s">
        <v>1035</v>
      </c>
      <c r="E1637" s="960"/>
      <c r="F1637" s="962"/>
      <c r="G1637" s="961"/>
      <c r="H1637" s="962"/>
      <c r="I1637" s="962"/>
      <c r="J1637" s="962"/>
      <c r="K1637" s="962"/>
      <c r="L1637" s="962"/>
      <c r="M1637" s="961"/>
      <c r="N1637" s="961"/>
      <c r="O1637" s="962"/>
      <c r="P1637" s="962"/>
      <c r="Q1637" s="961"/>
      <c r="R1637" s="961"/>
      <c r="S1637" s="527">
        <f t="shared" si="209"/>
        <v>0</v>
      </c>
      <c r="T1637" s="528">
        <f t="shared" si="210"/>
        <v>0</v>
      </c>
      <c r="U1637" s="527">
        <f t="shared" si="211"/>
        <v>0</v>
      </c>
      <c r="W1637" s="326">
        <f t="shared" si="206"/>
        <v>0</v>
      </c>
      <c r="X1637" s="261">
        <f t="shared" si="212"/>
        <v>0</v>
      </c>
      <c r="Z1637" s="1016">
        <f t="shared" si="207"/>
        <v>0</v>
      </c>
    </row>
    <row r="1638" spans="1:26" ht="12" hidden="1" thickBot="1">
      <c r="A1638" s="588" t="s">
        <v>1467</v>
      </c>
      <c r="B1638" s="522" t="s">
        <v>386</v>
      </c>
      <c r="C1638" s="522" t="s">
        <v>974</v>
      </c>
      <c r="D1638" s="533" t="s">
        <v>1036</v>
      </c>
      <c r="E1638" s="960"/>
      <c r="F1638" s="962"/>
      <c r="G1638" s="961"/>
      <c r="H1638" s="962"/>
      <c r="I1638" s="962"/>
      <c r="J1638" s="962"/>
      <c r="K1638" s="962"/>
      <c r="L1638" s="962"/>
      <c r="M1638" s="961"/>
      <c r="N1638" s="961"/>
      <c r="O1638" s="962"/>
      <c r="P1638" s="962"/>
      <c r="Q1638" s="961"/>
      <c r="R1638" s="961"/>
      <c r="S1638" s="527">
        <f t="shared" si="209"/>
        <v>0</v>
      </c>
      <c r="T1638" s="528">
        <f t="shared" si="210"/>
        <v>0</v>
      </c>
      <c r="U1638" s="527">
        <f t="shared" si="211"/>
        <v>0</v>
      </c>
      <c r="W1638" s="326">
        <f t="shared" si="206"/>
        <v>0</v>
      </c>
      <c r="X1638" s="261">
        <f t="shared" si="212"/>
        <v>0</v>
      </c>
      <c r="Z1638" s="1016">
        <f t="shared" si="207"/>
        <v>0</v>
      </c>
    </row>
    <row r="1639" spans="1:26" ht="12" hidden="1" thickBot="1">
      <c r="A1639" s="588" t="s">
        <v>1467</v>
      </c>
      <c r="B1639" s="522" t="s">
        <v>409</v>
      </c>
      <c r="C1639" s="522" t="s">
        <v>975</v>
      </c>
      <c r="D1639" s="533" t="s">
        <v>1036</v>
      </c>
      <c r="E1639" s="960"/>
      <c r="F1639" s="962"/>
      <c r="G1639" s="961"/>
      <c r="H1639" s="962"/>
      <c r="I1639" s="962"/>
      <c r="J1639" s="962"/>
      <c r="K1639" s="962"/>
      <c r="L1639" s="962"/>
      <c r="M1639" s="961"/>
      <c r="N1639" s="961"/>
      <c r="O1639" s="962"/>
      <c r="P1639" s="962"/>
      <c r="Q1639" s="961"/>
      <c r="R1639" s="961"/>
      <c r="S1639" s="527">
        <f t="shared" si="209"/>
        <v>0</v>
      </c>
      <c r="T1639" s="528">
        <f t="shared" si="210"/>
        <v>0</v>
      </c>
      <c r="U1639" s="527">
        <f t="shared" si="211"/>
        <v>0</v>
      </c>
      <c r="W1639" s="326">
        <f t="shared" si="206"/>
        <v>0</v>
      </c>
      <c r="X1639" s="261">
        <f t="shared" si="212"/>
        <v>0</v>
      </c>
      <c r="Z1639" s="1016">
        <f t="shared" si="207"/>
        <v>0</v>
      </c>
    </row>
    <row r="1640" spans="1:26" ht="12" hidden="1" thickBot="1">
      <c r="A1640" s="588" t="s">
        <v>1467</v>
      </c>
      <c r="B1640" s="522" t="s">
        <v>387</v>
      </c>
      <c r="C1640" s="522" t="s">
        <v>976</v>
      </c>
      <c r="D1640" s="533" t="s">
        <v>1035</v>
      </c>
      <c r="E1640" s="960"/>
      <c r="F1640" s="962"/>
      <c r="G1640" s="961"/>
      <c r="H1640" s="962"/>
      <c r="I1640" s="962"/>
      <c r="J1640" s="962"/>
      <c r="K1640" s="962"/>
      <c r="L1640" s="962"/>
      <c r="M1640" s="961"/>
      <c r="N1640" s="961"/>
      <c r="O1640" s="962"/>
      <c r="P1640" s="962"/>
      <c r="Q1640" s="961"/>
      <c r="R1640" s="961"/>
      <c r="S1640" s="527">
        <f t="shared" si="209"/>
        <v>0</v>
      </c>
      <c r="T1640" s="528">
        <f t="shared" si="210"/>
        <v>0</v>
      </c>
      <c r="U1640" s="527">
        <f t="shared" si="211"/>
        <v>0</v>
      </c>
      <c r="W1640" s="326">
        <f t="shared" si="206"/>
        <v>0</v>
      </c>
      <c r="X1640" s="261">
        <f t="shared" si="212"/>
        <v>0</v>
      </c>
      <c r="Z1640" s="1016">
        <f t="shared" si="207"/>
        <v>0</v>
      </c>
    </row>
    <row r="1641" spans="1:26" ht="12" hidden="1" thickBot="1">
      <c r="A1641" s="588" t="s">
        <v>1467</v>
      </c>
      <c r="B1641" s="522" t="s">
        <v>410</v>
      </c>
      <c r="C1641" s="522" t="s">
        <v>977</v>
      </c>
      <c r="D1641" s="533" t="s">
        <v>1035</v>
      </c>
      <c r="E1641" s="960"/>
      <c r="F1641" s="962"/>
      <c r="G1641" s="961"/>
      <c r="H1641" s="962"/>
      <c r="I1641" s="962"/>
      <c r="J1641" s="962"/>
      <c r="K1641" s="962"/>
      <c r="L1641" s="962"/>
      <c r="M1641" s="961"/>
      <c r="N1641" s="961"/>
      <c r="O1641" s="962"/>
      <c r="P1641" s="962"/>
      <c r="Q1641" s="961"/>
      <c r="R1641" s="961"/>
      <c r="S1641" s="527">
        <f t="shared" si="209"/>
        <v>0</v>
      </c>
      <c r="T1641" s="528">
        <f t="shared" si="210"/>
        <v>0</v>
      </c>
      <c r="U1641" s="527">
        <f t="shared" si="211"/>
        <v>0</v>
      </c>
      <c r="W1641" s="326">
        <f t="shared" si="206"/>
        <v>0</v>
      </c>
      <c r="X1641" s="261">
        <f t="shared" si="212"/>
        <v>0</v>
      </c>
      <c r="Z1641" s="1016">
        <f t="shared" si="207"/>
        <v>0</v>
      </c>
    </row>
    <row r="1642" spans="1:26" ht="12" hidden="1" thickBot="1">
      <c r="A1642" s="588" t="s">
        <v>1467</v>
      </c>
      <c r="B1642" s="522" t="s">
        <v>405</v>
      </c>
      <c r="C1642" s="522" t="s">
        <v>978</v>
      </c>
      <c r="D1642" s="533" t="s">
        <v>1035</v>
      </c>
      <c r="E1642" s="960"/>
      <c r="F1642" s="962"/>
      <c r="G1642" s="961"/>
      <c r="H1642" s="962"/>
      <c r="I1642" s="962"/>
      <c r="J1642" s="962"/>
      <c r="K1642" s="962"/>
      <c r="L1642" s="962"/>
      <c r="M1642" s="961"/>
      <c r="N1642" s="961"/>
      <c r="O1642" s="962"/>
      <c r="P1642" s="962"/>
      <c r="Q1642" s="961"/>
      <c r="R1642" s="961"/>
      <c r="S1642" s="527">
        <f t="shared" si="209"/>
        <v>0</v>
      </c>
      <c r="T1642" s="528">
        <f t="shared" si="210"/>
        <v>0</v>
      </c>
      <c r="U1642" s="527">
        <f t="shared" si="211"/>
        <v>0</v>
      </c>
      <c r="W1642" s="326">
        <f t="shared" si="206"/>
        <v>0</v>
      </c>
      <c r="X1642" s="261">
        <f t="shared" si="212"/>
        <v>0</v>
      </c>
      <c r="Z1642" s="1016">
        <f t="shared" si="207"/>
        <v>0</v>
      </c>
    </row>
    <row r="1643" spans="1:26" ht="12" hidden="1" thickBot="1">
      <c r="A1643" s="588" t="s">
        <v>1467</v>
      </c>
      <c r="B1643" s="522" t="s">
        <v>326</v>
      </c>
      <c r="C1643" s="522" t="s">
        <v>979</v>
      </c>
      <c r="D1643" s="533" t="s">
        <v>1036</v>
      </c>
      <c r="E1643" s="960"/>
      <c r="F1643" s="962"/>
      <c r="G1643" s="961"/>
      <c r="H1643" s="962"/>
      <c r="I1643" s="962"/>
      <c r="J1643" s="962"/>
      <c r="K1643" s="962"/>
      <c r="L1643" s="962"/>
      <c r="M1643" s="961"/>
      <c r="N1643" s="961"/>
      <c r="O1643" s="962"/>
      <c r="P1643" s="962"/>
      <c r="Q1643" s="961"/>
      <c r="R1643" s="961"/>
      <c r="S1643" s="527">
        <f t="shared" si="209"/>
        <v>0</v>
      </c>
      <c r="T1643" s="528">
        <f t="shared" si="210"/>
        <v>0</v>
      </c>
      <c r="U1643" s="527">
        <f t="shared" si="211"/>
        <v>0</v>
      </c>
      <c r="W1643" s="326">
        <f t="shared" si="206"/>
        <v>0</v>
      </c>
      <c r="X1643" s="261">
        <f t="shared" si="212"/>
        <v>0</v>
      </c>
      <c r="Z1643" s="1016">
        <f t="shared" si="207"/>
        <v>0</v>
      </c>
    </row>
    <row r="1644" spans="1:26" ht="12" hidden="1" thickBot="1">
      <c r="A1644" s="588" t="s">
        <v>1467</v>
      </c>
      <c r="B1644" s="522" t="s">
        <v>356</v>
      </c>
      <c r="C1644" s="522" t="s">
        <v>980</v>
      </c>
      <c r="D1644" s="533" t="s">
        <v>1036</v>
      </c>
      <c r="E1644" s="960"/>
      <c r="F1644" s="962"/>
      <c r="G1644" s="961"/>
      <c r="H1644" s="962"/>
      <c r="I1644" s="962"/>
      <c r="J1644" s="962"/>
      <c r="K1644" s="962"/>
      <c r="L1644" s="962"/>
      <c r="M1644" s="961"/>
      <c r="N1644" s="961"/>
      <c r="O1644" s="962"/>
      <c r="P1644" s="962"/>
      <c r="Q1644" s="961"/>
      <c r="R1644" s="961"/>
      <c r="S1644" s="527">
        <f t="shared" si="209"/>
        <v>0</v>
      </c>
      <c r="T1644" s="528">
        <f t="shared" si="210"/>
        <v>0</v>
      </c>
      <c r="U1644" s="527">
        <f t="shared" si="211"/>
        <v>0</v>
      </c>
      <c r="W1644" s="326">
        <f t="shared" si="206"/>
        <v>0</v>
      </c>
      <c r="X1644" s="261">
        <f t="shared" si="212"/>
        <v>0</v>
      </c>
      <c r="Z1644" s="1016">
        <f t="shared" si="207"/>
        <v>0</v>
      </c>
    </row>
    <row r="1645" spans="1:26" ht="12" hidden="1" thickBot="1">
      <c r="A1645" s="588" t="s">
        <v>1467</v>
      </c>
      <c r="B1645" s="522" t="s">
        <v>374</v>
      </c>
      <c r="C1645" s="522" t="s">
        <v>981</v>
      </c>
      <c r="D1645" s="533" t="s">
        <v>1036</v>
      </c>
      <c r="E1645" s="960"/>
      <c r="F1645" s="962"/>
      <c r="G1645" s="961"/>
      <c r="H1645" s="962"/>
      <c r="I1645" s="962"/>
      <c r="J1645" s="962"/>
      <c r="K1645" s="962"/>
      <c r="L1645" s="962"/>
      <c r="M1645" s="961"/>
      <c r="N1645" s="961"/>
      <c r="O1645" s="962"/>
      <c r="P1645" s="962"/>
      <c r="Q1645" s="961"/>
      <c r="R1645" s="961"/>
      <c r="S1645" s="527">
        <f t="shared" si="209"/>
        <v>0</v>
      </c>
      <c r="T1645" s="528">
        <f t="shared" si="210"/>
        <v>0</v>
      </c>
      <c r="U1645" s="527">
        <f t="shared" si="211"/>
        <v>0</v>
      </c>
      <c r="W1645" s="326">
        <f t="shared" si="206"/>
        <v>0</v>
      </c>
      <c r="X1645" s="261">
        <f t="shared" si="212"/>
        <v>0</v>
      </c>
      <c r="Z1645" s="1016">
        <f t="shared" si="207"/>
        <v>0</v>
      </c>
    </row>
    <row r="1646" spans="1:26" ht="12" hidden="1" thickBot="1">
      <c r="A1646" s="588" t="s">
        <v>1467</v>
      </c>
      <c r="B1646" s="522" t="s">
        <v>399</v>
      </c>
      <c r="C1646" s="522" t="s">
        <v>982</v>
      </c>
      <c r="D1646" s="533" t="s">
        <v>1036</v>
      </c>
      <c r="E1646" s="960"/>
      <c r="F1646" s="962"/>
      <c r="G1646" s="961"/>
      <c r="H1646" s="962"/>
      <c r="I1646" s="962"/>
      <c r="J1646" s="962"/>
      <c r="K1646" s="962"/>
      <c r="L1646" s="962"/>
      <c r="M1646" s="961"/>
      <c r="N1646" s="961"/>
      <c r="O1646" s="962"/>
      <c r="P1646" s="962"/>
      <c r="Q1646" s="961"/>
      <c r="R1646" s="961"/>
      <c r="S1646" s="527">
        <f t="shared" si="209"/>
        <v>0</v>
      </c>
      <c r="T1646" s="528">
        <f t="shared" si="210"/>
        <v>0</v>
      </c>
      <c r="U1646" s="527">
        <f t="shared" si="211"/>
        <v>0</v>
      </c>
      <c r="W1646" s="326">
        <f t="shared" si="206"/>
        <v>0</v>
      </c>
      <c r="X1646" s="261">
        <f t="shared" si="212"/>
        <v>0</v>
      </c>
      <c r="Z1646" s="1016">
        <f t="shared" si="207"/>
        <v>0</v>
      </c>
    </row>
    <row r="1647" spans="1:26" ht="12" hidden="1" thickBot="1">
      <c r="A1647" s="588" t="s">
        <v>1467</v>
      </c>
      <c r="B1647" s="522" t="s">
        <v>391</v>
      </c>
      <c r="C1647" s="522" t="s">
        <v>983</v>
      </c>
      <c r="D1647" s="533" t="s">
        <v>1036</v>
      </c>
      <c r="E1647" s="960"/>
      <c r="F1647" s="962"/>
      <c r="G1647" s="961"/>
      <c r="H1647" s="962"/>
      <c r="I1647" s="962"/>
      <c r="J1647" s="962"/>
      <c r="K1647" s="962"/>
      <c r="L1647" s="962"/>
      <c r="M1647" s="961"/>
      <c r="N1647" s="961"/>
      <c r="O1647" s="962"/>
      <c r="P1647" s="962"/>
      <c r="Q1647" s="961"/>
      <c r="R1647" s="961"/>
      <c r="S1647" s="527">
        <f t="shared" si="209"/>
        <v>0</v>
      </c>
      <c r="T1647" s="528">
        <f t="shared" si="210"/>
        <v>0</v>
      </c>
      <c r="U1647" s="527">
        <f t="shared" si="211"/>
        <v>0</v>
      </c>
      <c r="W1647" s="326">
        <f t="shared" si="206"/>
        <v>0</v>
      </c>
      <c r="X1647" s="261">
        <f t="shared" si="212"/>
        <v>0</v>
      </c>
      <c r="Z1647" s="1016">
        <f t="shared" si="207"/>
        <v>0</v>
      </c>
    </row>
    <row r="1648" spans="1:26" ht="12" hidden="1" thickBot="1">
      <c r="A1648" s="588" t="s">
        <v>1467</v>
      </c>
      <c r="B1648" s="522" t="s">
        <v>416</v>
      </c>
      <c r="C1648" s="522" t="s">
        <v>984</v>
      </c>
      <c r="D1648" s="533" t="s">
        <v>1035</v>
      </c>
      <c r="E1648" s="960"/>
      <c r="F1648" s="962"/>
      <c r="G1648" s="961"/>
      <c r="H1648" s="962"/>
      <c r="I1648" s="962"/>
      <c r="J1648" s="962"/>
      <c r="K1648" s="962"/>
      <c r="L1648" s="962"/>
      <c r="M1648" s="961"/>
      <c r="N1648" s="961"/>
      <c r="O1648" s="962"/>
      <c r="P1648" s="962"/>
      <c r="Q1648" s="961"/>
      <c r="R1648" s="961"/>
      <c r="S1648" s="527">
        <f t="shared" si="209"/>
        <v>0</v>
      </c>
      <c r="T1648" s="528">
        <f t="shared" si="210"/>
        <v>0</v>
      </c>
      <c r="U1648" s="527">
        <f t="shared" si="211"/>
        <v>0</v>
      </c>
      <c r="W1648" s="326">
        <f t="shared" si="206"/>
        <v>0</v>
      </c>
      <c r="X1648" s="261">
        <f t="shared" si="212"/>
        <v>0</v>
      </c>
      <c r="Z1648" s="1016">
        <f t="shared" si="207"/>
        <v>0</v>
      </c>
    </row>
    <row r="1649" spans="1:26" ht="12" hidden="1" thickBot="1">
      <c r="A1649" s="588" t="s">
        <v>1467</v>
      </c>
      <c r="B1649" s="522" t="s">
        <v>407</v>
      </c>
      <c r="C1649" s="522" t="s">
        <v>985</v>
      </c>
      <c r="D1649" s="533" t="s">
        <v>1035</v>
      </c>
      <c r="E1649" s="960"/>
      <c r="F1649" s="962"/>
      <c r="G1649" s="961"/>
      <c r="H1649" s="962"/>
      <c r="I1649" s="962"/>
      <c r="J1649" s="962"/>
      <c r="K1649" s="962"/>
      <c r="L1649" s="962"/>
      <c r="M1649" s="961"/>
      <c r="N1649" s="961"/>
      <c r="O1649" s="962"/>
      <c r="P1649" s="962"/>
      <c r="Q1649" s="961"/>
      <c r="R1649" s="961"/>
      <c r="S1649" s="527">
        <f t="shared" si="209"/>
        <v>0</v>
      </c>
      <c r="T1649" s="528">
        <f t="shared" si="210"/>
        <v>0</v>
      </c>
      <c r="U1649" s="527">
        <f t="shared" si="211"/>
        <v>0</v>
      </c>
      <c r="W1649" s="326">
        <f t="shared" si="206"/>
        <v>0</v>
      </c>
      <c r="X1649" s="261">
        <f t="shared" si="212"/>
        <v>0</v>
      </c>
      <c r="Z1649" s="1016">
        <f t="shared" si="207"/>
        <v>0</v>
      </c>
    </row>
    <row r="1650" spans="1:26" ht="12" hidden="1" thickBot="1">
      <c r="A1650" s="588" t="s">
        <v>1467</v>
      </c>
      <c r="B1650" s="522" t="s">
        <v>373</v>
      </c>
      <c r="C1650" s="522" t="s">
        <v>986</v>
      </c>
      <c r="D1650" s="533" t="s">
        <v>1036</v>
      </c>
      <c r="E1650" s="960"/>
      <c r="F1650" s="962"/>
      <c r="G1650" s="961"/>
      <c r="H1650" s="962"/>
      <c r="I1650" s="962"/>
      <c r="J1650" s="962"/>
      <c r="K1650" s="962"/>
      <c r="L1650" s="962"/>
      <c r="M1650" s="961"/>
      <c r="N1650" s="961"/>
      <c r="O1650" s="962"/>
      <c r="P1650" s="962"/>
      <c r="Q1650" s="961"/>
      <c r="R1650" s="961"/>
      <c r="S1650" s="527">
        <f t="shared" si="209"/>
        <v>0</v>
      </c>
      <c r="T1650" s="528">
        <f t="shared" si="210"/>
        <v>0</v>
      </c>
      <c r="U1650" s="527">
        <f t="shared" si="211"/>
        <v>0</v>
      </c>
      <c r="W1650" s="326">
        <f t="shared" si="206"/>
        <v>0</v>
      </c>
      <c r="X1650" s="261">
        <f t="shared" si="212"/>
        <v>0</v>
      </c>
      <c r="Z1650" s="1016">
        <f t="shared" si="207"/>
        <v>0</v>
      </c>
    </row>
    <row r="1651" spans="1:26" ht="12" hidden="1" thickBot="1">
      <c r="A1651" s="588" t="s">
        <v>1467</v>
      </c>
      <c r="B1651" s="522" t="s">
        <v>375</v>
      </c>
      <c r="C1651" s="522" t="s">
        <v>987</v>
      </c>
      <c r="D1651" s="533" t="s">
        <v>1036</v>
      </c>
      <c r="E1651" s="960"/>
      <c r="F1651" s="962"/>
      <c r="G1651" s="961"/>
      <c r="H1651" s="962"/>
      <c r="I1651" s="962"/>
      <c r="J1651" s="962"/>
      <c r="K1651" s="962"/>
      <c r="L1651" s="962"/>
      <c r="M1651" s="961"/>
      <c r="N1651" s="961"/>
      <c r="O1651" s="962"/>
      <c r="P1651" s="962"/>
      <c r="Q1651" s="961"/>
      <c r="R1651" s="961"/>
      <c r="S1651" s="527">
        <f t="shared" si="209"/>
        <v>0</v>
      </c>
      <c r="T1651" s="528">
        <f t="shared" si="210"/>
        <v>0</v>
      </c>
      <c r="U1651" s="527">
        <f t="shared" si="211"/>
        <v>0</v>
      </c>
      <c r="W1651" s="326">
        <f t="shared" si="206"/>
        <v>0</v>
      </c>
      <c r="X1651" s="261">
        <f t="shared" si="212"/>
        <v>0</v>
      </c>
      <c r="Z1651" s="1016">
        <f t="shared" si="207"/>
        <v>0</v>
      </c>
    </row>
    <row r="1652" spans="1:26" ht="12" hidden="1" thickBot="1">
      <c r="A1652" s="588" t="s">
        <v>1467</v>
      </c>
      <c r="B1652" s="522" t="s">
        <v>401</v>
      </c>
      <c r="C1652" s="522" t="s">
        <v>988</v>
      </c>
      <c r="D1652" s="533" t="s">
        <v>1036</v>
      </c>
      <c r="E1652" s="960"/>
      <c r="F1652" s="962"/>
      <c r="G1652" s="961"/>
      <c r="H1652" s="962"/>
      <c r="I1652" s="962"/>
      <c r="J1652" s="962"/>
      <c r="K1652" s="962"/>
      <c r="L1652" s="962"/>
      <c r="M1652" s="961"/>
      <c r="N1652" s="961"/>
      <c r="O1652" s="962"/>
      <c r="P1652" s="962"/>
      <c r="Q1652" s="961"/>
      <c r="R1652" s="961"/>
      <c r="S1652" s="527">
        <f t="shared" si="209"/>
        <v>0</v>
      </c>
      <c r="T1652" s="528">
        <f t="shared" si="210"/>
        <v>0</v>
      </c>
      <c r="U1652" s="527">
        <f t="shared" si="211"/>
        <v>0</v>
      </c>
      <c r="W1652" s="326">
        <f t="shared" si="206"/>
        <v>0</v>
      </c>
      <c r="X1652" s="261">
        <f t="shared" si="212"/>
        <v>0</v>
      </c>
      <c r="Z1652" s="1016">
        <f t="shared" si="207"/>
        <v>0</v>
      </c>
    </row>
    <row r="1653" spans="1:26" ht="12" hidden="1" thickBot="1">
      <c r="A1653" s="588" t="s">
        <v>1467</v>
      </c>
      <c r="B1653" s="522" t="s">
        <v>328</v>
      </c>
      <c r="C1653" s="522" t="s">
        <v>989</v>
      </c>
      <c r="D1653" s="533" t="s">
        <v>1036</v>
      </c>
      <c r="E1653" s="960"/>
      <c r="F1653" s="962"/>
      <c r="G1653" s="961"/>
      <c r="H1653" s="962"/>
      <c r="I1653" s="962"/>
      <c r="J1653" s="962"/>
      <c r="K1653" s="962"/>
      <c r="L1653" s="962"/>
      <c r="M1653" s="961"/>
      <c r="N1653" s="961"/>
      <c r="O1653" s="962"/>
      <c r="P1653" s="962"/>
      <c r="Q1653" s="961"/>
      <c r="R1653" s="961"/>
      <c r="S1653" s="527">
        <f t="shared" si="209"/>
        <v>0</v>
      </c>
      <c r="T1653" s="528">
        <f t="shared" si="210"/>
        <v>0</v>
      </c>
      <c r="U1653" s="527">
        <f t="shared" si="211"/>
        <v>0</v>
      </c>
      <c r="W1653" s="326">
        <f t="shared" ref="W1653:W1706" si="213">SUM(F1653:Q1653)</f>
        <v>0</v>
      </c>
      <c r="X1653" s="261">
        <f t="shared" si="212"/>
        <v>0</v>
      </c>
      <c r="Z1653" s="1016">
        <f t="shared" si="207"/>
        <v>0</v>
      </c>
    </row>
    <row r="1654" spans="1:26" ht="12" hidden="1" thickBot="1">
      <c r="A1654" s="588" t="s">
        <v>1467</v>
      </c>
      <c r="B1654" s="522" t="s">
        <v>437</v>
      </c>
      <c r="C1654" s="522" t="s">
        <v>990</v>
      </c>
      <c r="D1654" s="533" t="s">
        <v>1036</v>
      </c>
      <c r="E1654" s="960"/>
      <c r="F1654" s="962"/>
      <c r="G1654" s="961"/>
      <c r="H1654" s="962"/>
      <c r="I1654" s="962"/>
      <c r="J1654" s="962"/>
      <c r="K1654" s="962"/>
      <c r="L1654" s="962"/>
      <c r="M1654" s="961"/>
      <c r="N1654" s="961"/>
      <c r="O1654" s="962"/>
      <c r="P1654" s="962"/>
      <c r="Q1654" s="961"/>
      <c r="R1654" s="961"/>
      <c r="S1654" s="527">
        <f t="shared" si="209"/>
        <v>0</v>
      </c>
      <c r="T1654" s="528">
        <f t="shared" si="210"/>
        <v>0</v>
      </c>
      <c r="U1654" s="527">
        <f t="shared" si="211"/>
        <v>0</v>
      </c>
      <c r="W1654" s="326">
        <f t="shared" si="213"/>
        <v>0</v>
      </c>
      <c r="X1654" s="261">
        <f t="shared" si="212"/>
        <v>0</v>
      </c>
      <c r="Z1654" s="1016">
        <f t="shared" si="207"/>
        <v>0</v>
      </c>
    </row>
    <row r="1655" spans="1:26" ht="12" hidden="1" thickBot="1">
      <c r="A1655" s="588" t="s">
        <v>1467</v>
      </c>
      <c r="B1655" s="522" t="s">
        <v>338</v>
      </c>
      <c r="C1655" s="522" t="s">
        <v>991</v>
      </c>
      <c r="D1655" s="533" t="s">
        <v>1035</v>
      </c>
      <c r="E1655" s="960"/>
      <c r="F1655" s="962"/>
      <c r="G1655" s="961"/>
      <c r="H1655" s="962"/>
      <c r="I1655" s="962"/>
      <c r="J1655" s="962"/>
      <c r="K1655" s="962"/>
      <c r="L1655" s="962"/>
      <c r="M1655" s="961"/>
      <c r="N1655" s="961"/>
      <c r="O1655" s="962"/>
      <c r="P1655" s="962"/>
      <c r="Q1655" s="961"/>
      <c r="R1655" s="961"/>
      <c r="S1655" s="527">
        <f t="shared" si="209"/>
        <v>0</v>
      </c>
      <c r="T1655" s="528">
        <f t="shared" si="210"/>
        <v>0</v>
      </c>
      <c r="U1655" s="527">
        <f t="shared" si="211"/>
        <v>0</v>
      </c>
      <c r="W1655" s="326">
        <f t="shared" si="213"/>
        <v>0</v>
      </c>
      <c r="X1655" s="261">
        <f t="shared" si="212"/>
        <v>0</v>
      </c>
      <c r="Z1655" s="1016">
        <f t="shared" si="207"/>
        <v>0</v>
      </c>
    </row>
    <row r="1656" spans="1:26" ht="12" hidden="1" thickBot="1">
      <c r="A1656" s="588" t="s">
        <v>1467</v>
      </c>
      <c r="B1656" s="522" t="s">
        <v>370</v>
      </c>
      <c r="C1656" s="522" t="s">
        <v>992</v>
      </c>
      <c r="D1656" s="533" t="s">
        <v>1035</v>
      </c>
      <c r="E1656" s="960"/>
      <c r="F1656" s="962"/>
      <c r="G1656" s="961"/>
      <c r="H1656" s="962"/>
      <c r="I1656" s="962"/>
      <c r="J1656" s="962"/>
      <c r="K1656" s="962"/>
      <c r="L1656" s="962"/>
      <c r="M1656" s="961"/>
      <c r="N1656" s="961"/>
      <c r="O1656" s="962"/>
      <c r="P1656" s="962"/>
      <c r="Q1656" s="961"/>
      <c r="R1656" s="961"/>
      <c r="S1656" s="527">
        <f t="shared" si="209"/>
        <v>0</v>
      </c>
      <c r="T1656" s="528">
        <f t="shared" si="210"/>
        <v>0</v>
      </c>
      <c r="U1656" s="527">
        <f t="shared" si="211"/>
        <v>0</v>
      </c>
      <c r="W1656" s="326">
        <f t="shared" si="213"/>
        <v>0</v>
      </c>
      <c r="X1656" s="261">
        <f t="shared" si="212"/>
        <v>0</v>
      </c>
      <c r="Z1656" s="1016">
        <f t="shared" si="207"/>
        <v>0</v>
      </c>
    </row>
    <row r="1657" spans="1:26" ht="12" hidden="1" thickBot="1">
      <c r="A1657" s="588" t="s">
        <v>1467</v>
      </c>
      <c r="B1657" s="522" t="s">
        <v>333</v>
      </c>
      <c r="C1657" s="522" t="s">
        <v>993</v>
      </c>
      <c r="D1657" s="533" t="s">
        <v>1035</v>
      </c>
      <c r="E1657" s="960"/>
      <c r="F1657" s="962"/>
      <c r="G1657" s="961"/>
      <c r="H1657" s="962"/>
      <c r="I1657" s="962"/>
      <c r="J1657" s="962"/>
      <c r="K1657" s="962"/>
      <c r="L1657" s="962"/>
      <c r="M1657" s="961"/>
      <c r="N1657" s="961"/>
      <c r="O1657" s="962"/>
      <c r="P1657" s="962"/>
      <c r="Q1657" s="961"/>
      <c r="R1657" s="961"/>
      <c r="S1657" s="527">
        <f t="shared" si="209"/>
        <v>0</v>
      </c>
      <c r="T1657" s="528">
        <f t="shared" si="210"/>
        <v>0</v>
      </c>
      <c r="U1657" s="527">
        <f t="shared" si="211"/>
        <v>0</v>
      </c>
      <c r="W1657" s="326">
        <f t="shared" si="213"/>
        <v>0</v>
      </c>
      <c r="X1657" s="261">
        <f t="shared" si="212"/>
        <v>0</v>
      </c>
      <c r="Z1657" s="1016">
        <f t="shared" si="207"/>
        <v>0</v>
      </c>
    </row>
    <row r="1658" spans="1:26" ht="12" hidden="1" thickBot="1">
      <c r="A1658" s="588" t="s">
        <v>1467</v>
      </c>
      <c r="B1658" s="522" t="s">
        <v>336</v>
      </c>
      <c r="C1658" s="522" t="s">
        <v>994</v>
      </c>
      <c r="D1658" s="533" t="s">
        <v>1036</v>
      </c>
      <c r="E1658" s="960"/>
      <c r="F1658" s="962"/>
      <c r="G1658" s="961"/>
      <c r="H1658" s="962"/>
      <c r="I1658" s="962"/>
      <c r="J1658" s="962"/>
      <c r="K1658" s="962"/>
      <c r="L1658" s="962"/>
      <c r="M1658" s="961"/>
      <c r="N1658" s="961"/>
      <c r="O1658" s="962"/>
      <c r="P1658" s="962"/>
      <c r="Q1658" s="961"/>
      <c r="R1658" s="961"/>
      <c r="S1658" s="527">
        <f t="shared" si="209"/>
        <v>0</v>
      </c>
      <c r="T1658" s="528">
        <f t="shared" si="210"/>
        <v>0</v>
      </c>
      <c r="U1658" s="527">
        <f t="shared" si="211"/>
        <v>0</v>
      </c>
      <c r="W1658" s="326">
        <f t="shared" si="213"/>
        <v>0</v>
      </c>
      <c r="X1658" s="261">
        <f t="shared" si="212"/>
        <v>0</v>
      </c>
      <c r="Z1658" s="1016">
        <f t="shared" si="207"/>
        <v>0</v>
      </c>
    </row>
    <row r="1659" spans="1:26" ht="12" hidden="1" thickBot="1">
      <c r="A1659" s="588" t="s">
        <v>1467</v>
      </c>
      <c r="B1659" s="522" t="s">
        <v>368</v>
      </c>
      <c r="C1659" s="522" t="s">
        <v>995</v>
      </c>
      <c r="D1659" s="533" t="s">
        <v>1036</v>
      </c>
      <c r="E1659" s="960"/>
      <c r="F1659" s="962"/>
      <c r="G1659" s="961"/>
      <c r="H1659" s="962"/>
      <c r="I1659" s="962"/>
      <c r="J1659" s="962"/>
      <c r="K1659" s="962"/>
      <c r="L1659" s="962"/>
      <c r="M1659" s="961"/>
      <c r="N1659" s="961"/>
      <c r="O1659" s="962"/>
      <c r="P1659" s="962"/>
      <c r="Q1659" s="961"/>
      <c r="R1659" s="961"/>
      <c r="S1659" s="527">
        <f t="shared" si="209"/>
        <v>0</v>
      </c>
      <c r="T1659" s="528">
        <f t="shared" si="210"/>
        <v>0</v>
      </c>
      <c r="U1659" s="527">
        <f t="shared" si="211"/>
        <v>0</v>
      </c>
      <c r="W1659" s="326">
        <f t="shared" si="213"/>
        <v>0</v>
      </c>
      <c r="X1659" s="261">
        <f t="shared" si="212"/>
        <v>0</v>
      </c>
      <c r="Z1659" s="1016">
        <f t="shared" si="207"/>
        <v>0</v>
      </c>
    </row>
    <row r="1660" spans="1:26" ht="12" hidden="1" thickBot="1">
      <c r="A1660" s="588" t="s">
        <v>1467</v>
      </c>
      <c r="B1660" s="522" t="s">
        <v>400</v>
      </c>
      <c r="C1660" s="522" t="s">
        <v>996</v>
      </c>
      <c r="D1660" s="533" t="s">
        <v>1036</v>
      </c>
      <c r="E1660" s="960"/>
      <c r="F1660" s="962"/>
      <c r="G1660" s="961"/>
      <c r="H1660" s="962"/>
      <c r="I1660" s="962"/>
      <c r="J1660" s="962"/>
      <c r="K1660" s="962"/>
      <c r="L1660" s="962"/>
      <c r="M1660" s="961"/>
      <c r="N1660" s="961"/>
      <c r="O1660" s="962"/>
      <c r="P1660" s="962"/>
      <c r="Q1660" s="961"/>
      <c r="R1660" s="961"/>
      <c r="S1660" s="527">
        <f t="shared" si="209"/>
        <v>0</v>
      </c>
      <c r="T1660" s="528">
        <f t="shared" si="210"/>
        <v>0</v>
      </c>
      <c r="U1660" s="527">
        <f t="shared" si="211"/>
        <v>0</v>
      </c>
      <c r="W1660" s="326">
        <f t="shared" si="213"/>
        <v>0</v>
      </c>
      <c r="X1660" s="261">
        <f t="shared" si="212"/>
        <v>0</v>
      </c>
      <c r="Z1660" s="1016">
        <f t="shared" si="207"/>
        <v>0</v>
      </c>
    </row>
    <row r="1661" spans="1:26" ht="12" hidden="1" thickBot="1">
      <c r="A1661" s="588" t="s">
        <v>1467</v>
      </c>
      <c r="B1661" s="522" t="s">
        <v>327</v>
      </c>
      <c r="C1661" s="522" t="s">
        <v>997</v>
      </c>
      <c r="D1661" s="533" t="s">
        <v>1036</v>
      </c>
      <c r="E1661" s="960"/>
      <c r="F1661" s="962"/>
      <c r="G1661" s="961"/>
      <c r="H1661" s="962"/>
      <c r="I1661" s="962"/>
      <c r="J1661" s="962"/>
      <c r="K1661" s="962"/>
      <c r="L1661" s="962"/>
      <c r="M1661" s="961"/>
      <c r="N1661" s="961"/>
      <c r="O1661" s="962"/>
      <c r="P1661" s="962"/>
      <c r="Q1661" s="961"/>
      <c r="R1661" s="961"/>
      <c r="S1661" s="527">
        <f t="shared" si="209"/>
        <v>0</v>
      </c>
      <c r="T1661" s="528">
        <f t="shared" si="210"/>
        <v>0</v>
      </c>
      <c r="U1661" s="527">
        <f t="shared" si="211"/>
        <v>0</v>
      </c>
      <c r="W1661" s="326">
        <f t="shared" si="213"/>
        <v>0</v>
      </c>
      <c r="X1661" s="261">
        <f t="shared" si="212"/>
        <v>0</v>
      </c>
      <c r="Z1661" s="1016">
        <f t="shared" ref="Z1661:Z1706" si="214">SUM(F1661:K1661)</f>
        <v>0</v>
      </c>
    </row>
    <row r="1662" spans="1:26" ht="12" hidden="1" thickBot="1">
      <c r="A1662" s="588" t="s">
        <v>1467</v>
      </c>
      <c r="B1662" s="522" t="s">
        <v>357</v>
      </c>
      <c r="C1662" s="522" t="s">
        <v>998</v>
      </c>
      <c r="D1662" s="533" t="s">
        <v>1036</v>
      </c>
      <c r="E1662" s="960"/>
      <c r="F1662" s="962"/>
      <c r="G1662" s="961"/>
      <c r="H1662" s="962"/>
      <c r="I1662" s="962"/>
      <c r="J1662" s="962"/>
      <c r="K1662" s="962"/>
      <c r="L1662" s="962"/>
      <c r="M1662" s="961"/>
      <c r="N1662" s="961"/>
      <c r="O1662" s="962"/>
      <c r="P1662" s="962"/>
      <c r="Q1662" s="961"/>
      <c r="R1662" s="961"/>
      <c r="S1662" s="527">
        <f t="shared" si="209"/>
        <v>0</v>
      </c>
      <c r="T1662" s="528">
        <f t="shared" si="210"/>
        <v>0</v>
      </c>
      <c r="U1662" s="527">
        <f t="shared" si="211"/>
        <v>0</v>
      </c>
      <c r="W1662" s="326">
        <f t="shared" si="213"/>
        <v>0</v>
      </c>
      <c r="X1662" s="261">
        <f t="shared" si="212"/>
        <v>0</v>
      </c>
      <c r="Z1662" s="1016">
        <f t="shared" si="214"/>
        <v>0</v>
      </c>
    </row>
    <row r="1663" spans="1:26" ht="12" hidden="1" thickBot="1">
      <c r="A1663" s="588" t="s">
        <v>1467</v>
      </c>
      <c r="B1663" s="522" t="s">
        <v>331</v>
      </c>
      <c r="C1663" s="522" t="s">
        <v>999</v>
      </c>
      <c r="D1663" s="533" t="s">
        <v>1036</v>
      </c>
      <c r="E1663" s="960"/>
      <c r="F1663" s="962"/>
      <c r="G1663" s="961"/>
      <c r="H1663" s="962"/>
      <c r="I1663" s="962"/>
      <c r="J1663" s="962"/>
      <c r="K1663" s="962"/>
      <c r="L1663" s="962"/>
      <c r="M1663" s="961"/>
      <c r="N1663" s="961"/>
      <c r="O1663" s="962"/>
      <c r="P1663" s="962"/>
      <c r="Q1663" s="961"/>
      <c r="R1663" s="961"/>
      <c r="S1663" s="527">
        <f t="shared" si="209"/>
        <v>0</v>
      </c>
      <c r="T1663" s="528">
        <f t="shared" si="210"/>
        <v>0</v>
      </c>
      <c r="U1663" s="527">
        <f t="shared" si="211"/>
        <v>0</v>
      </c>
      <c r="W1663" s="326">
        <f t="shared" si="213"/>
        <v>0</v>
      </c>
      <c r="X1663" s="261">
        <f t="shared" si="212"/>
        <v>0</v>
      </c>
      <c r="Z1663" s="1016">
        <f t="shared" si="214"/>
        <v>0</v>
      </c>
    </row>
    <row r="1664" spans="1:26" ht="12" hidden="1" thickBot="1">
      <c r="A1664" s="588" t="s">
        <v>1467</v>
      </c>
      <c r="B1664" s="522" t="s">
        <v>335</v>
      </c>
      <c r="C1664" s="522" t="s">
        <v>1000</v>
      </c>
      <c r="D1664" s="533" t="s">
        <v>1036</v>
      </c>
      <c r="E1664" s="960"/>
      <c r="F1664" s="962"/>
      <c r="G1664" s="961"/>
      <c r="H1664" s="962"/>
      <c r="I1664" s="962"/>
      <c r="J1664" s="962"/>
      <c r="K1664" s="962"/>
      <c r="L1664" s="962"/>
      <c r="M1664" s="961"/>
      <c r="N1664" s="961"/>
      <c r="O1664" s="962"/>
      <c r="P1664" s="962"/>
      <c r="Q1664" s="961"/>
      <c r="R1664" s="961"/>
      <c r="S1664" s="527">
        <f t="shared" si="209"/>
        <v>0</v>
      </c>
      <c r="T1664" s="528">
        <f t="shared" si="210"/>
        <v>0</v>
      </c>
      <c r="U1664" s="527">
        <f t="shared" si="211"/>
        <v>0</v>
      </c>
      <c r="W1664" s="326">
        <f t="shared" si="213"/>
        <v>0</v>
      </c>
      <c r="X1664" s="261">
        <f t="shared" si="212"/>
        <v>0</v>
      </c>
      <c r="Z1664" s="1016">
        <f t="shared" si="214"/>
        <v>0</v>
      </c>
    </row>
    <row r="1665" spans="1:26" ht="12" hidden="1" thickBot="1">
      <c r="A1665" s="588" t="s">
        <v>1467</v>
      </c>
      <c r="B1665" s="522" t="s">
        <v>372</v>
      </c>
      <c r="C1665" s="522" t="s">
        <v>1001</v>
      </c>
      <c r="D1665" s="533" t="s">
        <v>1036</v>
      </c>
      <c r="E1665" s="960"/>
      <c r="F1665" s="962"/>
      <c r="G1665" s="961"/>
      <c r="H1665" s="962"/>
      <c r="I1665" s="962"/>
      <c r="J1665" s="962"/>
      <c r="K1665" s="962"/>
      <c r="L1665" s="962"/>
      <c r="M1665" s="961"/>
      <c r="N1665" s="961"/>
      <c r="O1665" s="962"/>
      <c r="P1665" s="962"/>
      <c r="Q1665" s="961"/>
      <c r="R1665" s="961"/>
      <c r="S1665" s="527">
        <f t="shared" si="209"/>
        <v>0</v>
      </c>
      <c r="T1665" s="528">
        <f t="shared" si="210"/>
        <v>0</v>
      </c>
      <c r="U1665" s="527">
        <f t="shared" si="211"/>
        <v>0</v>
      </c>
      <c r="W1665" s="326">
        <f t="shared" si="213"/>
        <v>0</v>
      </c>
      <c r="X1665" s="261">
        <f t="shared" si="212"/>
        <v>0</v>
      </c>
      <c r="Z1665" s="1016">
        <f t="shared" si="214"/>
        <v>0</v>
      </c>
    </row>
    <row r="1666" spans="1:26" ht="12" hidden="1" thickBot="1">
      <c r="A1666" s="588" t="s">
        <v>1467</v>
      </c>
      <c r="B1666" s="522" t="s">
        <v>381</v>
      </c>
      <c r="C1666" s="522" t="s">
        <v>1002</v>
      </c>
      <c r="D1666" s="533" t="s">
        <v>1035</v>
      </c>
      <c r="E1666" s="960"/>
      <c r="F1666" s="962"/>
      <c r="G1666" s="961"/>
      <c r="H1666" s="962"/>
      <c r="I1666" s="962"/>
      <c r="J1666" s="962"/>
      <c r="K1666" s="962"/>
      <c r="L1666" s="962"/>
      <c r="M1666" s="961"/>
      <c r="N1666" s="961"/>
      <c r="O1666" s="962"/>
      <c r="P1666" s="962"/>
      <c r="Q1666" s="961"/>
      <c r="R1666" s="961"/>
      <c r="S1666" s="527">
        <f t="shared" si="209"/>
        <v>0</v>
      </c>
      <c r="T1666" s="528">
        <f t="shared" si="210"/>
        <v>0</v>
      </c>
      <c r="U1666" s="527">
        <f t="shared" si="211"/>
        <v>0</v>
      </c>
      <c r="W1666" s="326">
        <f t="shared" si="213"/>
        <v>0</v>
      </c>
      <c r="X1666" s="261">
        <f t="shared" si="212"/>
        <v>0</v>
      </c>
      <c r="Z1666" s="1016">
        <f t="shared" si="214"/>
        <v>0</v>
      </c>
    </row>
    <row r="1667" spans="1:26" ht="12" hidden="1" thickBot="1">
      <c r="A1667" s="588" t="s">
        <v>1467</v>
      </c>
      <c r="B1667" s="522" t="s">
        <v>404</v>
      </c>
      <c r="C1667" s="522" t="s">
        <v>1003</v>
      </c>
      <c r="D1667" s="533" t="s">
        <v>1035</v>
      </c>
      <c r="E1667" s="960"/>
      <c r="F1667" s="962"/>
      <c r="G1667" s="961"/>
      <c r="H1667" s="962"/>
      <c r="I1667" s="962"/>
      <c r="J1667" s="962"/>
      <c r="K1667" s="962"/>
      <c r="L1667" s="962"/>
      <c r="M1667" s="961"/>
      <c r="N1667" s="961"/>
      <c r="O1667" s="962"/>
      <c r="P1667" s="962"/>
      <c r="Q1667" s="961"/>
      <c r="R1667" s="961"/>
      <c r="S1667" s="527">
        <f t="shared" si="209"/>
        <v>0</v>
      </c>
      <c r="T1667" s="528">
        <f t="shared" si="210"/>
        <v>0</v>
      </c>
      <c r="U1667" s="527">
        <f t="shared" si="211"/>
        <v>0</v>
      </c>
      <c r="W1667" s="326">
        <f t="shared" si="213"/>
        <v>0</v>
      </c>
      <c r="X1667" s="261">
        <f t="shared" si="212"/>
        <v>0</v>
      </c>
      <c r="Z1667" s="1016">
        <f t="shared" si="214"/>
        <v>0</v>
      </c>
    </row>
    <row r="1668" spans="1:26" ht="12" hidden="1" thickBot="1">
      <c r="A1668" s="588" t="s">
        <v>1467</v>
      </c>
      <c r="B1668" s="522" t="s">
        <v>361</v>
      </c>
      <c r="C1668" s="522" t="s">
        <v>1004</v>
      </c>
      <c r="D1668" s="533" t="s">
        <v>1035</v>
      </c>
      <c r="E1668" s="960"/>
      <c r="F1668" s="962"/>
      <c r="G1668" s="961"/>
      <c r="H1668" s="962"/>
      <c r="I1668" s="962"/>
      <c r="J1668" s="962"/>
      <c r="K1668" s="962"/>
      <c r="L1668" s="962"/>
      <c r="M1668" s="961"/>
      <c r="N1668" s="961"/>
      <c r="O1668" s="962"/>
      <c r="P1668" s="962"/>
      <c r="Q1668" s="961"/>
      <c r="R1668" s="961"/>
      <c r="S1668" s="527">
        <f t="shared" si="209"/>
        <v>0</v>
      </c>
      <c r="T1668" s="528">
        <f t="shared" si="210"/>
        <v>0</v>
      </c>
      <c r="U1668" s="527">
        <f t="shared" si="211"/>
        <v>0</v>
      </c>
      <c r="W1668" s="326">
        <f t="shared" si="213"/>
        <v>0</v>
      </c>
      <c r="X1668" s="261">
        <f t="shared" si="212"/>
        <v>0</v>
      </c>
      <c r="Z1668" s="1016">
        <f t="shared" si="214"/>
        <v>0</v>
      </c>
    </row>
    <row r="1669" spans="1:26" ht="12" hidden="1" thickBot="1">
      <c r="A1669" s="588" t="s">
        <v>1467</v>
      </c>
      <c r="B1669" s="522" t="s">
        <v>393</v>
      </c>
      <c r="C1669" s="522" t="s">
        <v>1005</v>
      </c>
      <c r="D1669" s="533" t="s">
        <v>1035</v>
      </c>
      <c r="E1669" s="960"/>
      <c r="F1669" s="962"/>
      <c r="G1669" s="961"/>
      <c r="H1669" s="962"/>
      <c r="I1669" s="962"/>
      <c r="J1669" s="962"/>
      <c r="K1669" s="962"/>
      <c r="L1669" s="962"/>
      <c r="M1669" s="961"/>
      <c r="N1669" s="961"/>
      <c r="O1669" s="962"/>
      <c r="P1669" s="962"/>
      <c r="Q1669" s="961"/>
      <c r="R1669" s="961"/>
      <c r="S1669" s="527">
        <f t="shared" si="209"/>
        <v>0</v>
      </c>
      <c r="T1669" s="528">
        <f t="shared" si="210"/>
        <v>0</v>
      </c>
      <c r="U1669" s="527">
        <f t="shared" si="211"/>
        <v>0</v>
      </c>
      <c r="W1669" s="326">
        <f t="shared" si="213"/>
        <v>0</v>
      </c>
      <c r="X1669" s="261">
        <f t="shared" si="212"/>
        <v>0</v>
      </c>
      <c r="Z1669" s="1016">
        <f t="shared" si="214"/>
        <v>0</v>
      </c>
    </row>
    <row r="1670" spans="1:26" ht="12" hidden="1" thickBot="1">
      <c r="A1670" s="588" t="s">
        <v>1467</v>
      </c>
      <c r="B1670" s="522" t="s">
        <v>1356</v>
      </c>
      <c r="C1670" s="522" t="s">
        <v>1357</v>
      </c>
      <c r="D1670" s="533" t="s">
        <v>756</v>
      </c>
      <c r="E1670" s="960"/>
      <c r="F1670" s="962"/>
      <c r="G1670" s="962"/>
      <c r="H1670" s="962"/>
      <c r="I1670" s="962"/>
      <c r="J1670" s="962"/>
      <c r="K1670" s="962"/>
      <c r="L1670" s="962"/>
      <c r="M1670" s="962"/>
      <c r="N1670" s="962"/>
      <c r="O1670" s="962"/>
      <c r="P1670" s="962"/>
      <c r="Q1670" s="962"/>
      <c r="R1670" s="962"/>
      <c r="S1670" s="527">
        <f t="shared" si="209"/>
        <v>0</v>
      </c>
      <c r="T1670" s="528">
        <f t="shared" si="210"/>
        <v>0</v>
      </c>
      <c r="U1670" s="527">
        <f t="shared" si="211"/>
        <v>0</v>
      </c>
      <c r="W1670" s="326">
        <f t="shared" si="213"/>
        <v>0</v>
      </c>
      <c r="X1670" s="261">
        <f t="shared" si="212"/>
        <v>0</v>
      </c>
      <c r="Z1670" s="1016">
        <f t="shared" si="214"/>
        <v>0</v>
      </c>
    </row>
    <row r="1671" spans="1:26" ht="12" hidden="1" thickBot="1">
      <c r="A1671" s="588" t="s">
        <v>1467</v>
      </c>
      <c r="B1671" s="522" t="s">
        <v>379</v>
      </c>
      <c r="C1671" s="522" t="s">
        <v>1006</v>
      </c>
      <c r="D1671" s="533" t="s">
        <v>1036</v>
      </c>
      <c r="E1671" s="960"/>
      <c r="F1671" s="962"/>
      <c r="G1671" s="961"/>
      <c r="H1671" s="962"/>
      <c r="I1671" s="962"/>
      <c r="J1671" s="962"/>
      <c r="K1671" s="962"/>
      <c r="L1671" s="962"/>
      <c r="M1671" s="961"/>
      <c r="N1671" s="961"/>
      <c r="O1671" s="962"/>
      <c r="P1671" s="962"/>
      <c r="Q1671" s="961"/>
      <c r="R1671" s="961"/>
      <c r="S1671" s="527">
        <f t="shared" si="209"/>
        <v>0</v>
      </c>
      <c r="T1671" s="528">
        <f t="shared" si="210"/>
        <v>0</v>
      </c>
      <c r="U1671" s="527">
        <f t="shared" si="211"/>
        <v>0</v>
      </c>
      <c r="W1671" s="326">
        <f t="shared" si="213"/>
        <v>0</v>
      </c>
      <c r="X1671" s="261">
        <f t="shared" si="212"/>
        <v>0</v>
      </c>
      <c r="Z1671" s="1016">
        <f t="shared" si="214"/>
        <v>0</v>
      </c>
    </row>
    <row r="1672" spans="1:26" ht="12" hidden="1" thickBot="1">
      <c r="A1672" s="588" t="s">
        <v>1467</v>
      </c>
      <c r="B1672" s="522" t="s">
        <v>389</v>
      </c>
      <c r="C1672" s="522" t="s">
        <v>1007</v>
      </c>
      <c r="D1672" s="533" t="s">
        <v>1035</v>
      </c>
      <c r="E1672" s="960"/>
      <c r="F1672" s="962"/>
      <c r="G1672" s="961"/>
      <c r="H1672" s="962"/>
      <c r="I1672" s="962"/>
      <c r="J1672" s="962"/>
      <c r="K1672" s="962"/>
      <c r="L1672" s="962"/>
      <c r="M1672" s="961"/>
      <c r="N1672" s="961"/>
      <c r="O1672" s="962"/>
      <c r="P1672" s="962"/>
      <c r="Q1672" s="961"/>
      <c r="R1672" s="961"/>
      <c r="S1672" s="527">
        <f t="shared" si="209"/>
        <v>0</v>
      </c>
      <c r="T1672" s="528">
        <f t="shared" si="210"/>
        <v>0</v>
      </c>
      <c r="U1672" s="527">
        <f t="shared" si="211"/>
        <v>0</v>
      </c>
      <c r="W1672" s="326">
        <f t="shared" si="213"/>
        <v>0</v>
      </c>
      <c r="X1672" s="261">
        <f t="shared" si="212"/>
        <v>0</v>
      </c>
      <c r="Z1672" s="1016">
        <f t="shared" si="214"/>
        <v>0</v>
      </c>
    </row>
    <row r="1673" spans="1:26" ht="12" hidden="1" thickBot="1">
      <c r="A1673" s="588" t="s">
        <v>1467</v>
      </c>
      <c r="B1673" s="522" t="s">
        <v>412</v>
      </c>
      <c r="C1673" s="522" t="s">
        <v>1008</v>
      </c>
      <c r="D1673" s="533" t="s">
        <v>1035</v>
      </c>
      <c r="E1673" s="960"/>
      <c r="F1673" s="962"/>
      <c r="G1673" s="961"/>
      <c r="H1673" s="962"/>
      <c r="I1673" s="962"/>
      <c r="J1673" s="962"/>
      <c r="K1673" s="962"/>
      <c r="L1673" s="962"/>
      <c r="M1673" s="961"/>
      <c r="N1673" s="961"/>
      <c r="O1673" s="962"/>
      <c r="P1673" s="962"/>
      <c r="Q1673" s="961"/>
      <c r="R1673" s="961"/>
      <c r="S1673" s="527">
        <f t="shared" si="209"/>
        <v>0</v>
      </c>
      <c r="T1673" s="528">
        <f t="shared" si="210"/>
        <v>0</v>
      </c>
      <c r="U1673" s="527">
        <f t="shared" si="211"/>
        <v>0</v>
      </c>
      <c r="W1673" s="326">
        <f t="shared" si="213"/>
        <v>0</v>
      </c>
      <c r="X1673" s="261">
        <f t="shared" si="212"/>
        <v>0</v>
      </c>
      <c r="Z1673" s="1016">
        <f t="shared" si="214"/>
        <v>0</v>
      </c>
    </row>
    <row r="1674" spans="1:26" ht="12" hidden="1" thickBot="1">
      <c r="A1674" s="588" t="s">
        <v>1467</v>
      </c>
      <c r="B1674" s="522" t="s">
        <v>367</v>
      </c>
      <c r="C1674" s="522" t="s">
        <v>1009</v>
      </c>
      <c r="D1674" s="533" t="s">
        <v>1036</v>
      </c>
      <c r="E1674" s="960"/>
      <c r="F1674" s="962"/>
      <c r="G1674" s="961"/>
      <c r="H1674" s="962"/>
      <c r="I1674" s="962"/>
      <c r="J1674" s="962"/>
      <c r="K1674" s="962"/>
      <c r="L1674" s="962"/>
      <c r="M1674" s="961"/>
      <c r="N1674" s="961"/>
      <c r="O1674" s="962"/>
      <c r="P1674" s="962"/>
      <c r="Q1674" s="961"/>
      <c r="R1674" s="961"/>
      <c r="S1674" s="527">
        <f t="shared" si="209"/>
        <v>0</v>
      </c>
      <c r="T1674" s="528">
        <f t="shared" si="210"/>
        <v>0</v>
      </c>
      <c r="U1674" s="527">
        <f t="shared" si="211"/>
        <v>0</v>
      </c>
      <c r="W1674" s="326">
        <f t="shared" si="213"/>
        <v>0</v>
      </c>
      <c r="X1674" s="261">
        <f t="shared" si="212"/>
        <v>0</v>
      </c>
      <c r="Z1674" s="1016">
        <f t="shared" si="214"/>
        <v>0</v>
      </c>
    </row>
    <row r="1675" spans="1:26" ht="12" hidden="1" thickBot="1">
      <c r="A1675" s="588" t="s">
        <v>1467</v>
      </c>
      <c r="B1675" s="522" t="s">
        <v>330</v>
      </c>
      <c r="C1675" s="522" t="s">
        <v>1010</v>
      </c>
      <c r="D1675" s="533" t="s">
        <v>1036</v>
      </c>
      <c r="E1675" s="960"/>
      <c r="F1675" s="962"/>
      <c r="G1675" s="961"/>
      <c r="H1675" s="962"/>
      <c r="I1675" s="962"/>
      <c r="J1675" s="962"/>
      <c r="K1675" s="962"/>
      <c r="L1675" s="962"/>
      <c r="M1675" s="961"/>
      <c r="N1675" s="961"/>
      <c r="O1675" s="962"/>
      <c r="P1675" s="962"/>
      <c r="Q1675" s="961"/>
      <c r="R1675" s="961"/>
      <c r="S1675" s="527">
        <f t="shared" si="209"/>
        <v>0</v>
      </c>
      <c r="T1675" s="528">
        <f t="shared" si="210"/>
        <v>0</v>
      </c>
      <c r="U1675" s="527">
        <f t="shared" si="211"/>
        <v>0</v>
      </c>
      <c r="W1675" s="326">
        <f t="shared" si="213"/>
        <v>0</v>
      </c>
      <c r="X1675" s="261">
        <f t="shared" si="212"/>
        <v>0</v>
      </c>
      <c r="Z1675" s="1016">
        <f t="shared" si="214"/>
        <v>0</v>
      </c>
    </row>
    <row r="1676" spans="1:26" ht="12" hidden="1" thickBot="1">
      <c r="A1676" s="588" t="s">
        <v>1467</v>
      </c>
      <c r="B1676" s="522" t="s">
        <v>371</v>
      </c>
      <c r="C1676" s="522" t="s">
        <v>1011</v>
      </c>
      <c r="D1676" s="533" t="s">
        <v>1036</v>
      </c>
      <c r="E1676" s="960"/>
      <c r="F1676" s="962"/>
      <c r="G1676" s="961"/>
      <c r="H1676" s="962"/>
      <c r="I1676" s="962"/>
      <c r="J1676" s="962"/>
      <c r="K1676" s="962"/>
      <c r="L1676" s="962"/>
      <c r="M1676" s="961"/>
      <c r="N1676" s="961"/>
      <c r="O1676" s="962"/>
      <c r="P1676" s="962"/>
      <c r="Q1676" s="961"/>
      <c r="R1676" s="961"/>
      <c r="S1676" s="527">
        <f t="shared" si="209"/>
        <v>0</v>
      </c>
      <c r="T1676" s="528">
        <f t="shared" si="210"/>
        <v>0</v>
      </c>
      <c r="U1676" s="527">
        <f t="shared" si="211"/>
        <v>0</v>
      </c>
      <c r="W1676" s="326">
        <f t="shared" si="213"/>
        <v>0</v>
      </c>
      <c r="X1676" s="261">
        <f t="shared" si="212"/>
        <v>0</v>
      </c>
      <c r="Z1676" s="1016">
        <f t="shared" si="214"/>
        <v>0</v>
      </c>
    </row>
    <row r="1677" spans="1:26" ht="12" hidden="1" thickBot="1">
      <c r="A1677" s="588" t="s">
        <v>1467</v>
      </c>
      <c r="B1677" s="522" t="s">
        <v>380</v>
      </c>
      <c r="C1677" s="522" t="s">
        <v>1012</v>
      </c>
      <c r="D1677" s="533" t="s">
        <v>1035</v>
      </c>
      <c r="E1677" s="960"/>
      <c r="F1677" s="962"/>
      <c r="G1677" s="961"/>
      <c r="H1677" s="962"/>
      <c r="I1677" s="962"/>
      <c r="J1677" s="962"/>
      <c r="K1677" s="962"/>
      <c r="L1677" s="962"/>
      <c r="M1677" s="961"/>
      <c r="N1677" s="961"/>
      <c r="O1677" s="962"/>
      <c r="P1677" s="962"/>
      <c r="Q1677" s="961"/>
      <c r="R1677" s="961"/>
      <c r="S1677" s="527">
        <f t="shared" si="209"/>
        <v>0</v>
      </c>
      <c r="T1677" s="528">
        <f t="shared" si="210"/>
        <v>0</v>
      </c>
      <c r="U1677" s="527">
        <f t="shared" si="211"/>
        <v>0</v>
      </c>
      <c r="W1677" s="326">
        <f t="shared" si="213"/>
        <v>0</v>
      </c>
      <c r="X1677" s="261">
        <f t="shared" si="212"/>
        <v>0</v>
      </c>
      <c r="Z1677" s="1016">
        <f t="shared" si="214"/>
        <v>0</v>
      </c>
    </row>
    <row r="1678" spans="1:26" ht="12" hidden="1" thickBot="1">
      <c r="A1678" s="588" t="s">
        <v>1467</v>
      </c>
      <c r="B1678" s="522" t="s">
        <v>403</v>
      </c>
      <c r="C1678" s="522" t="s">
        <v>1013</v>
      </c>
      <c r="D1678" s="533" t="s">
        <v>1035</v>
      </c>
      <c r="E1678" s="960"/>
      <c r="F1678" s="962"/>
      <c r="G1678" s="961"/>
      <c r="H1678" s="962"/>
      <c r="I1678" s="962"/>
      <c r="J1678" s="962"/>
      <c r="K1678" s="962"/>
      <c r="L1678" s="962"/>
      <c r="M1678" s="961"/>
      <c r="N1678" s="961"/>
      <c r="O1678" s="962"/>
      <c r="P1678" s="962"/>
      <c r="Q1678" s="961"/>
      <c r="R1678" s="961"/>
      <c r="S1678" s="527">
        <f t="shared" si="209"/>
        <v>0</v>
      </c>
      <c r="T1678" s="528">
        <f t="shared" si="210"/>
        <v>0</v>
      </c>
      <c r="U1678" s="527">
        <f t="shared" si="211"/>
        <v>0</v>
      </c>
      <c r="W1678" s="326">
        <f t="shared" si="213"/>
        <v>0</v>
      </c>
      <c r="X1678" s="261">
        <f t="shared" si="212"/>
        <v>0</v>
      </c>
      <c r="Z1678" s="1016">
        <f t="shared" si="214"/>
        <v>0</v>
      </c>
    </row>
    <row r="1679" spans="1:26" ht="12" hidden="1" thickBot="1">
      <c r="A1679" s="588" t="s">
        <v>1467</v>
      </c>
      <c r="B1679" s="522" t="s">
        <v>360</v>
      </c>
      <c r="C1679" s="522" t="s">
        <v>1014</v>
      </c>
      <c r="D1679" s="533" t="s">
        <v>1035</v>
      </c>
      <c r="E1679" s="960"/>
      <c r="F1679" s="962"/>
      <c r="G1679" s="961"/>
      <c r="H1679" s="962"/>
      <c r="I1679" s="962"/>
      <c r="J1679" s="962"/>
      <c r="K1679" s="962"/>
      <c r="L1679" s="962"/>
      <c r="M1679" s="961"/>
      <c r="N1679" s="961"/>
      <c r="O1679" s="962"/>
      <c r="P1679" s="962"/>
      <c r="Q1679" s="961"/>
      <c r="R1679" s="961"/>
      <c r="S1679" s="527">
        <f t="shared" si="209"/>
        <v>0</v>
      </c>
      <c r="T1679" s="528">
        <f t="shared" si="210"/>
        <v>0</v>
      </c>
      <c r="U1679" s="527">
        <f t="shared" si="211"/>
        <v>0</v>
      </c>
      <c r="W1679" s="326">
        <f t="shared" si="213"/>
        <v>0</v>
      </c>
      <c r="X1679" s="261">
        <f t="shared" si="212"/>
        <v>0</v>
      </c>
      <c r="Z1679" s="1016">
        <f t="shared" si="214"/>
        <v>0</v>
      </c>
    </row>
    <row r="1680" spans="1:26" ht="12" hidden="1" thickBot="1">
      <c r="A1680" s="588" t="s">
        <v>1467</v>
      </c>
      <c r="B1680" s="522" t="s">
        <v>392</v>
      </c>
      <c r="C1680" s="522" t="s">
        <v>1015</v>
      </c>
      <c r="D1680" s="533" t="s">
        <v>1035</v>
      </c>
      <c r="E1680" s="960"/>
      <c r="F1680" s="962"/>
      <c r="G1680" s="961"/>
      <c r="H1680" s="962"/>
      <c r="I1680" s="962"/>
      <c r="J1680" s="962"/>
      <c r="K1680" s="962"/>
      <c r="L1680" s="962"/>
      <c r="M1680" s="961"/>
      <c r="N1680" s="961"/>
      <c r="O1680" s="962"/>
      <c r="P1680" s="962"/>
      <c r="Q1680" s="961"/>
      <c r="R1680" s="961"/>
      <c r="S1680" s="527">
        <f t="shared" si="209"/>
        <v>0</v>
      </c>
      <c r="T1680" s="528">
        <f t="shared" si="210"/>
        <v>0</v>
      </c>
      <c r="U1680" s="527">
        <f t="shared" si="211"/>
        <v>0</v>
      </c>
      <c r="W1680" s="326">
        <f t="shared" si="213"/>
        <v>0</v>
      </c>
      <c r="X1680" s="261">
        <f t="shared" si="212"/>
        <v>0</v>
      </c>
      <c r="Z1680" s="1016">
        <f t="shared" si="214"/>
        <v>0</v>
      </c>
    </row>
    <row r="1681" spans="1:26" ht="12" hidden="1" thickBot="1">
      <c r="A1681" s="588" t="s">
        <v>1467</v>
      </c>
      <c r="B1681" s="522" t="s">
        <v>390</v>
      </c>
      <c r="C1681" s="522" t="s">
        <v>1016</v>
      </c>
      <c r="D1681" s="533" t="s">
        <v>1035</v>
      </c>
      <c r="E1681" s="960"/>
      <c r="F1681" s="962"/>
      <c r="G1681" s="961"/>
      <c r="H1681" s="962"/>
      <c r="I1681" s="962"/>
      <c r="J1681" s="962"/>
      <c r="K1681" s="962"/>
      <c r="L1681" s="962"/>
      <c r="M1681" s="961"/>
      <c r="N1681" s="961"/>
      <c r="O1681" s="962"/>
      <c r="P1681" s="962"/>
      <c r="Q1681" s="961"/>
      <c r="R1681" s="961"/>
      <c r="S1681" s="527">
        <f t="shared" si="209"/>
        <v>0</v>
      </c>
      <c r="T1681" s="528">
        <f t="shared" si="210"/>
        <v>0</v>
      </c>
      <c r="U1681" s="527">
        <f t="shared" si="211"/>
        <v>0</v>
      </c>
      <c r="W1681" s="326">
        <f t="shared" si="213"/>
        <v>0</v>
      </c>
      <c r="X1681" s="261">
        <f t="shared" si="212"/>
        <v>0</v>
      </c>
      <c r="Z1681" s="1016">
        <f t="shared" si="214"/>
        <v>0</v>
      </c>
    </row>
    <row r="1682" spans="1:26" ht="12" hidden="1" thickBot="1">
      <c r="A1682" s="588" t="s">
        <v>1467</v>
      </c>
      <c r="B1682" s="522" t="s">
        <v>414</v>
      </c>
      <c r="C1682" s="522" t="s">
        <v>1017</v>
      </c>
      <c r="D1682" s="533" t="s">
        <v>1035</v>
      </c>
      <c r="E1682" s="960"/>
      <c r="F1682" s="962"/>
      <c r="G1682" s="961"/>
      <c r="H1682" s="962"/>
      <c r="I1682" s="962"/>
      <c r="J1682" s="962"/>
      <c r="K1682" s="962"/>
      <c r="L1682" s="962"/>
      <c r="M1682" s="961"/>
      <c r="N1682" s="961"/>
      <c r="O1682" s="962"/>
      <c r="P1682" s="962"/>
      <c r="Q1682" s="961"/>
      <c r="R1682" s="961"/>
      <c r="S1682" s="527">
        <f t="shared" si="209"/>
        <v>0</v>
      </c>
      <c r="T1682" s="528">
        <f t="shared" si="210"/>
        <v>0</v>
      </c>
      <c r="U1682" s="527">
        <f t="shared" si="211"/>
        <v>0</v>
      </c>
      <c r="W1682" s="326">
        <f t="shared" si="213"/>
        <v>0</v>
      </c>
      <c r="X1682" s="261">
        <f t="shared" si="212"/>
        <v>0</v>
      </c>
      <c r="Z1682" s="1016">
        <f t="shared" si="214"/>
        <v>0</v>
      </c>
    </row>
    <row r="1683" spans="1:26" ht="12" hidden="1" thickBot="1">
      <c r="A1683" s="588" t="s">
        <v>1467</v>
      </c>
      <c r="B1683" s="522" t="s">
        <v>364</v>
      </c>
      <c r="C1683" s="522" t="s">
        <v>1018</v>
      </c>
      <c r="D1683" s="533" t="s">
        <v>1035</v>
      </c>
      <c r="E1683" s="960"/>
      <c r="F1683" s="962"/>
      <c r="G1683" s="961"/>
      <c r="H1683" s="962"/>
      <c r="I1683" s="962"/>
      <c r="J1683" s="962"/>
      <c r="K1683" s="962"/>
      <c r="L1683" s="962"/>
      <c r="M1683" s="961"/>
      <c r="N1683" s="961"/>
      <c r="O1683" s="962"/>
      <c r="P1683" s="962"/>
      <c r="Q1683" s="961"/>
      <c r="R1683" s="961"/>
      <c r="S1683" s="527">
        <f t="shared" ref="S1683:S1706" si="215">G1683+H1683+I1683</f>
        <v>0</v>
      </c>
      <c r="T1683" s="528">
        <f t="shared" ref="T1683:T1706" si="216">J1683+K1683</f>
        <v>0</v>
      </c>
      <c r="U1683" s="527">
        <f t="shared" si="211"/>
        <v>0</v>
      </c>
      <c r="W1683" s="326">
        <f t="shared" si="213"/>
        <v>0</v>
      </c>
      <c r="X1683" s="261">
        <f t="shared" ref="X1683:X1706" si="217">W1683-R1683</f>
        <v>0</v>
      </c>
      <c r="Z1683" s="1016">
        <f t="shared" si="214"/>
        <v>0</v>
      </c>
    </row>
    <row r="1684" spans="1:26" ht="12" hidden="1" thickBot="1">
      <c r="A1684" s="588" t="s">
        <v>1467</v>
      </c>
      <c r="B1684" s="522" t="s">
        <v>396</v>
      </c>
      <c r="C1684" s="522" t="s">
        <v>1019</v>
      </c>
      <c r="D1684" s="533" t="s">
        <v>1035</v>
      </c>
      <c r="E1684" s="960"/>
      <c r="F1684" s="962"/>
      <c r="G1684" s="961"/>
      <c r="H1684" s="962"/>
      <c r="I1684" s="962"/>
      <c r="J1684" s="962"/>
      <c r="K1684" s="962"/>
      <c r="L1684" s="962"/>
      <c r="M1684" s="961"/>
      <c r="N1684" s="961"/>
      <c r="O1684" s="962"/>
      <c r="P1684" s="962"/>
      <c r="Q1684" s="961"/>
      <c r="R1684" s="961"/>
      <c r="S1684" s="527">
        <f t="shared" si="215"/>
        <v>0</v>
      </c>
      <c r="T1684" s="528">
        <f t="shared" si="216"/>
        <v>0</v>
      </c>
      <c r="U1684" s="527">
        <f t="shared" si="211"/>
        <v>0</v>
      </c>
      <c r="W1684" s="326">
        <f t="shared" si="213"/>
        <v>0</v>
      </c>
      <c r="X1684" s="261">
        <f t="shared" si="217"/>
        <v>0</v>
      </c>
      <c r="Z1684" s="1016">
        <f t="shared" si="214"/>
        <v>0</v>
      </c>
    </row>
    <row r="1685" spans="1:26" ht="12" hidden="1" thickBot="1">
      <c r="A1685" s="588" t="s">
        <v>1467</v>
      </c>
      <c r="B1685" s="522" t="s">
        <v>415</v>
      </c>
      <c r="C1685" s="522" t="s">
        <v>1020</v>
      </c>
      <c r="D1685" s="533" t="s">
        <v>1035</v>
      </c>
      <c r="E1685" s="960"/>
      <c r="F1685" s="962"/>
      <c r="G1685" s="961"/>
      <c r="H1685" s="962"/>
      <c r="I1685" s="962"/>
      <c r="J1685" s="962"/>
      <c r="K1685" s="962"/>
      <c r="L1685" s="962"/>
      <c r="M1685" s="961"/>
      <c r="N1685" s="961"/>
      <c r="O1685" s="962"/>
      <c r="P1685" s="962"/>
      <c r="Q1685" s="961"/>
      <c r="R1685" s="961"/>
      <c r="S1685" s="527">
        <f t="shared" si="215"/>
        <v>0</v>
      </c>
      <c r="T1685" s="528">
        <f t="shared" si="216"/>
        <v>0</v>
      </c>
      <c r="U1685" s="527">
        <f t="shared" si="211"/>
        <v>0</v>
      </c>
      <c r="W1685" s="326">
        <f t="shared" si="213"/>
        <v>0</v>
      </c>
      <c r="X1685" s="261">
        <f t="shared" si="217"/>
        <v>0</v>
      </c>
      <c r="Z1685" s="1016">
        <f t="shared" si="214"/>
        <v>0</v>
      </c>
    </row>
    <row r="1686" spans="1:26" ht="12" hidden="1" thickBot="1">
      <c r="A1686" s="588" t="s">
        <v>1467</v>
      </c>
      <c r="B1686" s="522" t="s">
        <v>365</v>
      </c>
      <c r="C1686" s="522" t="s">
        <v>1021</v>
      </c>
      <c r="D1686" s="533" t="s">
        <v>1035</v>
      </c>
      <c r="E1686" s="960"/>
      <c r="F1686" s="962"/>
      <c r="G1686" s="961"/>
      <c r="H1686" s="962"/>
      <c r="I1686" s="962"/>
      <c r="J1686" s="962"/>
      <c r="K1686" s="962"/>
      <c r="L1686" s="962"/>
      <c r="M1686" s="961"/>
      <c r="N1686" s="961"/>
      <c r="O1686" s="962"/>
      <c r="P1686" s="962"/>
      <c r="Q1686" s="961"/>
      <c r="R1686" s="961"/>
      <c r="S1686" s="527">
        <f t="shared" si="215"/>
        <v>0</v>
      </c>
      <c r="T1686" s="528">
        <f t="shared" si="216"/>
        <v>0</v>
      </c>
      <c r="U1686" s="527">
        <f t="shared" si="211"/>
        <v>0</v>
      </c>
      <c r="W1686" s="326">
        <f t="shared" si="213"/>
        <v>0</v>
      </c>
      <c r="X1686" s="261">
        <f t="shared" si="217"/>
        <v>0</v>
      </c>
      <c r="Z1686" s="1016">
        <f t="shared" si="214"/>
        <v>0</v>
      </c>
    </row>
    <row r="1687" spans="1:26" ht="12" hidden="1" thickBot="1">
      <c r="A1687" s="588" t="s">
        <v>1467</v>
      </c>
      <c r="B1687" s="522" t="s">
        <v>397</v>
      </c>
      <c r="C1687" s="522" t="s">
        <v>1022</v>
      </c>
      <c r="D1687" s="533" t="s">
        <v>1035</v>
      </c>
      <c r="E1687" s="960"/>
      <c r="F1687" s="962"/>
      <c r="G1687" s="961"/>
      <c r="H1687" s="962"/>
      <c r="I1687" s="962"/>
      <c r="J1687" s="962"/>
      <c r="K1687" s="962"/>
      <c r="L1687" s="962"/>
      <c r="M1687" s="961"/>
      <c r="N1687" s="961"/>
      <c r="O1687" s="962"/>
      <c r="P1687" s="962"/>
      <c r="Q1687" s="961"/>
      <c r="R1687" s="961"/>
      <c r="S1687" s="527">
        <f t="shared" si="215"/>
        <v>0</v>
      </c>
      <c r="T1687" s="528">
        <f t="shared" si="216"/>
        <v>0</v>
      </c>
      <c r="U1687" s="527">
        <f t="shared" si="211"/>
        <v>0</v>
      </c>
      <c r="W1687" s="326">
        <f t="shared" si="213"/>
        <v>0</v>
      </c>
      <c r="X1687" s="261">
        <f t="shared" si="217"/>
        <v>0</v>
      </c>
      <c r="Z1687" s="1016">
        <f t="shared" si="214"/>
        <v>0</v>
      </c>
    </row>
    <row r="1688" spans="1:26" ht="12" hidden="1" thickBot="1">
      <c r="A1688" s="588" t="s">
        <v>1467</v>
      </c>
      <c r="B1688" s="522" t="s">
        <v>337</v>
      </c>
      <c r="C1688" s="522" t="s">
        <v>1023</v>
      </c>
      <c r="D1688" s="533" t="s">
        <v>1035</v>
      </c>
      <c r="E1688" s="960"/>
      <c r="F1688" s="962"/>
      <c r="G1688" s="961"/>
      <c r="H1688" s="962"/>
      <c r="I1688" s="962"/>
      <c r="J1688" s="962"/>
      <c r="K1688" s="962"/>
      <c r="L1688" s="962"/>
      <c r="M1688" s="961"/>
      <c r="N1688" s="961"/>
      <c r="O1688" s="962"/>
      <c r="P1688" s="962"/>
      <c r="Q1688" s="961"/>
      <c r="R1688" s="961"/>
      <c r="S1688" s="527">
        <f t="shared" si="215"/>
        <v>0</v>
      </c>
      <c r="T1688" s="528">
        <f t="shared" si="216"/>
        <v>0</v>
      </c>
      <c r="U1688" s="527">
        <f t="shared" si="211"/>
        <v>0</v>
      </c>
      <c r="W1688" s="326">
        <f t="shared" si="213"/>
        <v>0</v>
      </c>
      <c r="X1688" s="261">
        <f t="shared" si="217"/>
        <v>0</v>
      </c>
      <c r="Z1688" s="1016">
        <f t="shared" si="214"/>
        <v>0</v>
      </c>
    </row>
    <row r="1689" spans="1:26" ht="12" hidden="1" thickBot="1">
      <c r="A1689" s="588" t="s">
        <v>1467</v>
      </c>
      <c r="B1689" s="522" t="s">
        <v>369</v>
      </c>
      <c r="C1689" s="522" t="s">
        <v>1024</v>
      </c>
      <c r="D1689" s="533" t="s">
        <v>1035</v>
      </c>
      <c r="E1689" s="960"/>
      <c r="F1689" s="962"/>
      <c r="G1689" s="961"/>
      <c r="H1689" s="962"/>
      <c r="I1689" s="962"/>
      <c r="J1689" s="962"/>
      <c r="K1689" s="962"/>
      <c r="L1689" s="962"/>
      <c r="M1689" s="961"/>
      <c r="N1689" s="961"/>
      <c r="O1689" s="962"/>
      <c r="P1689" s="962"/>
      <c r="Q1689" s="961"/>
      <c r="R1689" s="961"/>
      <c r="S1689" s="527">
        <f t="shared" si="215"/>
        <v>0</v>
      </c>
      <c r="T1689" s="528">
        <f t="shared" si="216"/>
        <v>0</v>
      </c>
      <c r="U1689" s="527">
        <f t="shared" si="211"/>
        <v>0</v>
      </c>
      <c r="W1689" s="326">
        <f t="shared" si="213"/>
        <v>0</v>
      </c>
      <c r="X1689" s="261">
        <f t="shared" si="217"/>
        <v>0</v>
      </c>
      <c r="Z1689" s="1016">
        <f t="shared" si="214"/>
        <v>0</v>
      </c>
    </row>
    <row r="1690" spans="1:26" ht="12" hidden="1" thickBot="1">
      <c r="A1690" s="588" t="s">
        <v>1467</v>
      </c>
      <c r="B1690" s="522" t="s">
        <v>715</v>
      </c>
      <c r="C1690" s="522" t="s">
        <v>1025</v>
      </c>
      <c r="D1690" s="533" t="s">
        <v>1035</v>
      </c>
      <c r="E1690" s="960"/>
      <c r="F1690" s="962"/>
      <c r="G1690" s="961"/>
      <c r="H1690" s="962"/>
      <c r="I1690" s="962"/>
      <c r="J1690" s="962"/>
      <c r="K1690" s="962"/>
      <c r="L1690" s="962"/>
      <c r="M1690" s="961"/>
      <c r="N1690" s="961"/>
      <c r="O1690" s="962"/>
      <c r="P1690" s="962"/>
      <c r="Q1690" s="962"/>
      <c r="R1690" s="961"/>
      <c r="S1690" s="527">
        <f t="shared" si="215"/>
        <v>0</v>
      </c>
      <c r="T1690" s="528">
        <f t="shared" si="216"/>
        <v>0</v>
      </c>
      <c r="U1690" s="527">
        <f t="shared" si="211"/>
        <v>0</v>
      </c>
      <c r="W1690" s="326">
        <f t="shared" si="213"/>
        <v>0</v>
      </c>
      <c r="X1690" s="261">
        <f t="shared" si="217"/>
        <v>0</v>
      </c>
      <c r="Z1690" s="1016">
        <f t="shared" si="214"/>
        <v>0</v>
      </c>
    </row>
    <row r="1691" spans="1:26" ht="12" hidden="1" thickBot="1">
      <c r="A1691" s="588" t="s">
        <v>1467</v>
      </c>
      <c r="B1691" s="522" t="s">
        <v>332</v>
      </c>
      <c r="C1691" s="522" t="s">
        <v>1026</v>
      </c>
      <c r="D1691" s="533" t="s">
        <v>1035</v>
      </c>
      <c r="E1691" s="960"/>
      <c r="F1691" s="962"/>
      <c r="G1691" s="961"/>
      <c r="H1691" s="962"/>
      <c r="I1691" s="962"/>
      <c r="J1691" s="962"/>
      <c r="K1691" s="962"/>
      <c r="L1691" s="962"/>
      <c r="M1691" s="961"/>
      <c r="N1691" s="961"/>
      <c r="O1691" s="962"/>
      <c r="P1691" s="962"/>
      <c r="Q1691" s="961"/>
      <c r="R1691" s="961"/>
      <c r="S1691" s="527">
        <f t="shared" si="215"/>
        <v>0</v>
      </c>
      <c r="T1691" s="528">
        <f t="shared" si="216"/>
        <v>0</v>
      </c>
      <c r="U1691" s="527">
        <f t="shared" si="211"/>
        <v>0</v>
      </c>
      <c r="W1691" s="326">
        <f t="shared" si="213"/>
        <v>0</v>
      </c>
      <c r="X1691" s="261">
        <f t="shared" si="217"/>
        <v>0</v>
      </c>
      <c r="Z1691" s="1016">
        <f t="shared" si="214"/>
        <v>0</v>
      </c>
    </row>
    <row r="1692" spans="1:26" ht="12" hidden="1" thickBot="1">
      <c r="A1692" s="588" t="s">
        <v>1467</v>
      </c>
      <c r="B1692" s="522" t="s">
        <v>334</v>
      </c>
      <c r="C1692" s="522" t="s">
        <v>1027</v>
      </c>
      <c r="D1692" s="533" t="s">
        <v>1035</v>
      </c>
      <c r="E1692" s="960"/>
      <c r="F1692" s="962"/>
      <c r="G1692" s="961"/>
      <c r="H1692" s="962"/>
      <c r="I1692" s="962"/>
      <c r="J1692" s="962"/>
      <c r="K1692" s="962"/>
      <c r="L1692" s="962"/>
      <c r="M1692" s="961"/>
      <c r="N1692" s="961"/>
      <c r="O1692" s="962"/>
      <c r="P1692" s="962"/>
      <c r="Q1692" s="961"/>
      <c r="R1692" s="961"/>
      <c r="S1692" s="527">
        <f t="shared" si="215"/>
        <v>0</v>
      </c>
      <c r="T1692" s="528">
        <f t="shared" si="216"/>
        <v>0</v>
      </c>
      <c r="U1692" s="527">
        <f t="shared" si="211"/>
        <v>0</v>
      </c>
      <c r="W1692" s="326">
        <f t="shared" si="213"/>
        <v>0</v>
      </c>
      <c r="X1692" s="261">
        <f t="shared" si="217"/>
        <v>0</v>
      </c>
      <c r="Z1692" s="1016">
        <f t="shared" si="214"/>
        <v>0</v>
      </c>
    </row>
    <row r="1693" spans="1:26" ht="12" hidden="1" thickBot="1">
      <c r="A1693" s="588" t="s">
        <v>1467</v>
      </c>
      <c r="B1693" s="522" t="s">
        <v>366</v>
      </c>
      <c r="C1693" s="522" t="s">
        <v>1028</v>
      </c>
      <c r="D1693" s="533" t="s">
        <v>1035</v>
      </c>
      <c r="E1693" s="960"/>
      <c r="F1693" s="962"/>
      <c r="G1693" s="961"/>
      <c r="H1693" s="962"/>
      <c r="I1693" s="962"/>
      <c r="J1693" s="962"/>
      <c r="K1693" s="962"/>
      <c r="L1693" s="962"/>
      <c r="M1693" s="961"/>
      <c r="N1693" s="961"/>
      <c r="O1693" s="962"/>
      <c r="P1693" s="962"/>
      <c r="Q1693" s="961"/>
      <c r="R1693" s="961"/>
      <c r="S1693" s="527">
        <f t="shared" si="215"/>
        <v>0</v>
      </c>
      <c r="T1693" s="528">
        <f t="shared" si="216"/>
        <v>0</v>
      </c>
      <c r="U1693" s="527">
        <f t="shared" si="211"/>
        <v>0</v>
      </c>
      <c r="W1693" s="326">
        <f t="shared" si="213"/>
        <v>0</v>
      </c>
      <c r="X1693" s="261">
        <f t="shared" si="217"/>
        <v>0</v>
      </c>
      <c r="Z1693" s="1016">
        <f t="shared" si="214"/>
        <v>0</v>
      </c>
    </row>
    <row r="1694" spans="1:26" ht="12" hidden="1" thickBot="1">
      <c r="A1694" s="588" t="s">
        <v>1467</v>
      </c>
      <c r="B1694" s="522" t="s">
        <v>329</v>
      </c>
      <c r="C1694" s="522" t="s">
        <v>1029</v>
      </c>
      <c r="D1694" s="533" t="s">
        <v>1035</v>
      </c>
      <c r="E1694" s="960"/>
      <c r="F1694" s="962"/>
      <c r="G1694" s="961"/>
      <c r="H1694" s="962"/>
      <c r="I1694" s="962"/>
      <c r="J1694" s="962"/>
      <c r="K1694" s="962"/>
      <c r="L1694" s="962"/>
      <c r="M1694" s="961"/>
      <c r="N1694" s="961"/>
      <c r="O1694" s="962"/>
      <c r="P1694" s="962"/>
      <c r="Q1694" s="961"/>
      <c r="R1694" s="961"/>
      <c r="S1694" s="527">
        <f t="shared" si="215"/>
        <v>0</v>
      </c>
      <c r="T1694" s="528">
        <f t="shared" si="216"/>
        <v>0</v>
      </c>
      <c r="U1694" s="527">
        <f t="shared" si="211"/>
        <v>0</v>
      </c>
      <c r="W1694" s="326">
        <f t="shared" si="213"/>
        <v>0</v>
      </c>
      <c r="X1694" s="261">
        <f t="shared" si="217"/>
        <v>0</v>
      </c>
      <c r="Z1694" s="1016">
        <f t="shared" si="214"/>
        <v>0</v>
      </c>
    </row>
    <row r="1695" spans="1:26" ht="12" hidden="1" thickBot="1">
      <c r="A1695" s="588" t="s">
        <v>1467</v>
      </c>
      <c r="B1695" s="522" t="s">
        <v>683</v>
      </c>
      <c r="C1695" s="522" t="s">
        <v>1047</v>
      </c>
      <c r="D1695" s="533" t="s">
        <v>1035</v>
      </c>
      <c r="E1695" s="960"/>
      <c r="F1695" s="962"/>
      <c r="G1695" s="961"/>
      <c r="H1695" s="962"/>
      <c r="I1695" s="962"/>
      <c r="J1695" s="962"/>
      <c r="K1695" s="962"/>
      <c r="L1695" s="962"/>
      <c r="M1695" s="961"/>
      <c r="N1695" s="961"/>
      <c r="O1695" s="962"/>
      <c r="P1695" s="962"/>
      <c r="Q1695" s="962"/>
      <c r="R1695" s="961"/>
      <c r="S1695" s="527">
        <f t="shared" si="215"/>
        <v>0</v>
      </c>
      <c r="T1695" s="528">
        <f t="shared" si="216"/>
        <v>0</v>
      </c>
      <c r="U1695" s="527">
        <f t="shared" ref="U1695:U1706" si="218">N1695+O1695</f>
        <v>0</v>
      </c>
      <c r="W1695" s="326">
        <f t="shared" si="213"/>
        <v>0</v>
      </c>
      <c r="X1695" s="261">
        <f t="shared" si="217"/>
        <v>0</v>
      </c>
      <c r="Z1695" s="1016">
        <f t="shared" si="214"/>
        <v>0</v>
      </c>
    </row>
    <row r="1696" spans="1:26" ht="12" hidden="1" thickBot="1">
      <c r="A1696" s="588" t="s">
        <v>1467</v>
      </c>
      <c r="B1696" s="522" t="s">
        <v>463</v>
      </c>
      <c r="C1696" s="522" t="s">
        <v>1030</v>
      </c>
      <c r="D1696" s="533" t="s">
        <v>1035</v>
      </c>
      <c r="E1696" s="960"/>
      <c r="F1696" s="962"/>
      <c r="G1696" s="961"/>
      <c r="H1696" s="962"/>
      <c r="I1696" s="962"/>
      <c r="J1696" s="962"/>
      <c r="K1696" s="962"/>
      <c r="L1696" s="962"/>
      <c r="M1696" s="961"/>
      <c r="N1696" s="961"/>
      <c r="O1696" s="962"/>
      <c r="P1696" s="962"/>
      <c r="Q1696" s="962"/>
      <c r="R1696" s="961"/>
      <c r="S1696" s="527">
        <f t="shared" si="215"/>
        <v>0</v>
      </c>
      <c r="T1696" s="528">
        <f t="shared" si="216"/>
        <v>0</v>
      </c>
      <c r="U1696" s="527">
        <f t="shared" si="218"/>
        <v>0</v>
      </c>
      <c r="W1696" s="326">
        <f t="shared" si="213"/>
        <v>0</v>
      </c>
      <c r="X1696" s="261">
        <f t="shared" si="217"/>
        <v>0</v>
      </c>
      <c r="Z1696" s="1016">
        <f t="shared" si="214"/>
        <v>0</v>
      </c>
    </row>
    <row r="1697" spans="1:26" ht="12" hidden="1" thickBot="1">
      <c r="A1697" s="588" t="s">
        <v>1467</v>
      </c>
      <c r="B1697" s="522" t="s">
        <v>653</v>
      </c>
      <c r="C1697" s="522" t="s">
        <v>1031</v>
      </c>
      <c r="D1697" s="533" t="s">
        <v>1035</v>
      </c>
      <c r="E1697" s="960"/>
      <c r="F1697" s="962"/>
      <c r="G1697" s="961"/>
      <c r="H1697" s="962"/>
      <c r="I1697" s="962"/>
      <c r="J1697" s="962"/>
      <c r="K1697" s="962"/>
      <c r="L1697" s="962"/>
      <c r="M1697" s="961"/>
      <c r="N1697" s="961"/>
      <c r="O1697" s="962"/>
      <c r="P1697" s="962"/>
      <c r="Q1697" s="962"/>
      <c r="R1697" s="961"/>
      <c r="S1697" s="527">
        <f t="shared" si="215"/>
        <v>0</v>
      </c>
      <c r="T1697" s="528">
        <f t="shared" si="216"/>
        <v>0</v>
      </c>
      <c r="U1697" s="527">
        <f t="shared" si="218"/>
        <v>0</v>
      </c>
      <c r="W1697" s="326">
        <f t="shared" si="213"/>
        <v>0</v>
      </c>
      <c r="X1697" s="261">
        <f t="shared" si="217"/>
        <v>0</v>
      </c>
      <c r="Z1697" s="1016">
        <f t="shared" si="214"/>
        <v>0</v>
      </c>
    </row>
    <row r="1698" spans="1:26" ht="12" thickBot="1">
      <c r="A1698" s="588" t="s">
        <v>1467</v>
      </c>
      <c r="B1698" s="522" t="s">
        <v>79</v>
      </c>
      <c r="C1698" s="522" t="s">
        <v>444</v>
      </c>
      <c r="D1698" s="522" t="s">
        <v>79</v>
      </c>
      <c r="E1698" s="989">
        <f>11721927-E1590-E1592</f>
        <v>11589816</v>
      </c>
      <c r="F1698" s="989"/>
      <c r="G1698" s="989">
        <f>1711708-G1590-F1592-G1592</f>
        <v>1699048.25</v>
      </c>
      <c r="H1698" s="989">
        <v>338998</v>
      </c>
      <c r="I1698" s="989"/>
      <c r="J1698" s="989"/>
      <c r="K1698" s="989"/>
      <c r="L1698" s="989"/>
      <c r="M1698" s="989">
        <f>42353-M1590-M1592</f>
        <v>41876</v>
      </c>
      <c r="N1698" s="989">
        <f>37267-N1590-N1592</f>
        <v>36847</v>
      </c>
      <c r="O1698" s="989"/>
      <c r="P1698" s="989"/>
      <c r="Q1698" s="989"/>
      <c r="R1698" s="961">
        <f>SUM(F1698:Q1698)</f>
        <v>2116769.25</v>
      </c>
      <c r="S1698" s="527">
        <f t="shared" si="215"/>
        <v>2038046.25</v>
      </c>
      <c r="T1698" s="528">
        <f t="shared" si="216"/>
        <v>0</v>
      </c>
      <c r="U1698" s="527">
        <f t="shared" si="218"/>
        <v>36847</v>
      </c>
      <c r="W1698" s="326">
        <f t="shared" si="213"/>
        <v>2116769.25</v>
      </c>
      <c r="X1698" s="261">
        <f t="shared" si="217"/>
        <v>0</v>
      </c>
      <c r="Z1698" s="1016">
        <f t="shared" si="214"/>
        <v>2038046.25</v>
      </c>
    </row>
    <row r="1699" spans="1:26" ht="12" hidden="1" thickBot="1">
      <c r="A1699" s="588" t="s">
        <v>1467</v>
      </c>
      <c r="B1699" s="522" t="s">
        <v>474</v>
      </c>
      <c r="C1699" s="522" t="s">
        <v>473</v>
      </c>
      <c r="D1699" s="522"/>
      <c r="E1699" s="962"/>
      <c r="F1699" s="962"/>
      <c r="G1699" s="962"/>
      <c r="H1699" s="962"/>
      <c r="I1699" s="962"/>
      <c r="J1699" s="962"/>
      <c r="K1699" s="962"/>
      <c r="L1699" s="962"/>
      <c r="M1699" s="962"/>
      <c r="N1699" s="962"/>
      <c r="O1699" s="962"/>
      <c r="P1699" s="962"/>
      <c r="Q1699" s="962"/>
      <c r="R1699" s="961"/>
      <c r="S1699" s="527">
        <f t="shared" si="215"/>
        <v>0</v>
      </c>
      <c r="T1699" s="528">
        <f t="shared" si="216"/>
        <v>0</v>
      </c>
      <c r="U1699" s="527">
        <f t="shared" si="218"/>
        <v>0</v>
      </c>
      <c r="W1699" s="326">
        <f t="shared" si="213"/>
        <v>0</v>
      </c>
      <c r="X1699" s="261">
        <f t="shared" si="217"/>
        <v>0</v>
      </c>
      <c r="Z1699" s="1016">
        <f t="shared" si="214"/>
        <v>0</v>
      </c>
    </row>
    <row r="1700" spans="1:26" ht="12" hidden="1" thickBot="1">
      <c r="A1700" s="588" t="s">
        <v>1467</v>
      </c>
      <c r="B1700" s="522" t="s">
        <v>476</v>
      </c>
      <c r="C1700" s="522" t="s">
        <v>475</v>
      </c>
      <c r="D1700" s="522"/>
      <c r="E1700" s="962"/>
      <c r="F1700" s="962"/>
      <c r="G1700" s="962"/>
      <c r="H1700" s="962"/>
      <c r="I1700" s="962"/>
      <c r="J1700" s="962"/>
      <c r="K1700" s="962"/>
      <c r="L1700" s="962"/>
      <c r="M1700" s="962"/>
      <c r="N1700" s="962"/>
      <c r="O1700" s="962"/>
      <c r="P1700" s="962"/>
      <c r="Q1700" s="962"/>
      <c r="R1700" s="961"/>
      <c r="S1700" s="527">
        <f t="shared" si="215"/>
        <v>0</v>
      </c>
      <c r="T1700" s="528">
        <f t="shared" si="216"/>
        <v>0</v>
      </c>
      <c r="U1700" s="527">
        <f t="shared" si="218"/>
        <v>0</v>
      </c>
      <c r="W1700" s="326">
        <f t="shared" si="213"/>
        <v>0</v>
      </c>
      <c r="X1700" s="261">
        <f t="shared" si="217"/>
        <v>0</v>
      </c>
      <c r="Z1700" s="1016">
        <f t="shared" si="214"/>
        <v>0</v>
      </c>
    </row>
    <row r="1701" spans="1:26" ht="12" hidden="1" thickBot="1">
      <c r="A1701" s="588" t="s">
        <v>1467</v>
      </c>
      <c r="B1701" s="522" t="s">
        <v>443</v>
      </c>
      <c r="C1701" s="522" t="s">
        <v>442</v>
      </c>
      <c r="D1701" s="522"/>
      <c r="E1701" s="962"/>
      <c r="F1701" s="961"/>
      <c r="G1701" s="962"/>
      <c r="H1701" s="962"/>
      <c r="I1701" s="962"/>
      <c r="J1701" s="962"/>
      <c r="K1701" s="962"/>
      <c r="L1701" s="962"/>
      <c r="M1701" s="962"/>
      <c r="N1701" s="962"/>
      <c r="O1701" s="962"/>
      <c r="P1701" s="962"/>
      <c r="Q1701" s="962"/>
      <c r="R1701" s="961"/>
      <c r="S1701" s="527">
        <f t="shared" si="215"/>
        <v>0</v>
      </c>
      <c r="T1701" s="528">
        <f t="shared" si="216"/>
        <v>0</v>
      </c>
      <c r="U1701" s="527">
        <f t="shared" si="218"/>
        <v>0</v>
      </c>
      <c r="W1701" s="326">
        <f t="shared" si="213"/>
        <v>0</v>
      </c>
      <c r="X1701" s="261">
        <f t="shared" si="217"/>
        <v>0</v>
      </c>
      <c r="Z1701" s="1016">
        <f t="shared" si="214"/>
        <v>0</v>
      </c>
    </row>
    <row r="1702" spans="1:26" ht="12" hidden="1" thickBot="1">
      <c r="A1702" s="588" t="s">
        <v>1467</v>
      </c>
      <c r="B1702" s="522" t="s">
        <v>710</v>
      </c>
      <c r="C1702" s="522" t="s">
        <v>711</v>
      </c>
      <c r="D1702" s="522"/>
      <c r="E1702" s="962"/>
      <c r="F1702" s="962"/>
      <c r="G1702" s="962"/>
      <c r="H1702" s="962"/>
      <c r="I1702" s="962"/>
      <c r="J1702" s="962"/>
      <c r="K1702" s="962"/>
      <c r="L1702" s="962"/>
      <c r="M1702" s="962"/>
      <c r="N1702" s="962"/>
      <c r="O1702" s="962"/>
      <c r="P1702" s="962"/>
      <c r="Q1702" s="962"/>
      <c r="R1702" s="961"/>
      <c r="S1702" s="527">
        <f t="shared" si="215"/>
        <v>0</v>
      </c>
      <c r="T1702" s="528">
        <f t="shared" si="216"/>
        <v>0</v>
      </c>
      <c r="U1702" s="527">
        <f t="shared" si="218"/>
        <v>0</v>
      </c>
      <c r="W1702" s="326">
        <f t="shared" si="213"/>
        <v>0</v>
      </c>
      <c r="X1702" s="261">
        <f t="shared" si="217"/>
        <v>0</v>
      </c>
      <c r="Z1702" s="1016">
        <f t="shared" si="214"/>
        <v>0</v>
      </c>
    </row>
    <row r="1703" spans="1:26" ht="12" hidden="1" thickBot="1">
      <c r="A1703" s="588" t="s">
        <v>1467</v>
      </c>
      <c r="B1703" s="522" t="s">
        <v>1048</v>
      </c>
      <c r="C1703" s="522" t="s">
        <v>1049</v>
      </c>
      <c r="D1703" s="522"/>
      <c r="E1703" s="962"/>
      <c r="F1703" s="962"/>
      <c r="G1703" s="962"/>
      <c r="H1703" s="962"/>
      <c r="I1703" s="962"/>
      <c r="J1703" s="962"/>
      <c r="K1703" s="962"/>
      <c r="L1703" s="962"/>
      <c r="M1703" s="962"/>
      <c r="N1703" s="962"/>
      <c r="O1703" s="962"/>
      <c r="P1703" s="962"/>
      <c r="Q1703" s="962"/>
      <c r="R1703" s="961"/>
      <c r="S1703" s="527">
        <f t="shared" si="215"/>
        <v>0</v>
      </c>
      <c r="T1703" s="528">
        <f t="shared" si="216"/>
        <v>0</v>
      </c>
      <c r="U1703" s="527">
        <f t="shared" si="218"/>
        <v>0</v>
      </c>
      <c r="W1703" s="326">
        <f t="shared" si="213"/>
        <v>0</v>
      </c>
      <c r="X1703" s="261">
        <f t="shared" si="217"/>
        <v>0</v>
      </c>
      <c r="Z1703" s="1016">
        <f t="shared" si="214"/>
        <v>0</v>
      </c>
    </row>
    <row r="1704" spans="1:26" ht="12" hidden="1" thickBot="1">
      <c r="A1704" s="588" t="s">
        <v>1467</v>
      </c>
      <c r="B1704" s="522" t="s">
        <v>1355</v>
      </c>
      <c r="C1704" s="522" t="s">
        <v>111</v>
      </c>
      <c r="D1704" s="522"/>
      <c r="E1704" s="960"/>
      <c r="F1704" s="961"/>
      <c r="G1704" s="961"/>
      <c r="H1704" s="961"/>
      <c r="I1704" s="962"/>
      <c r="J1704" s="962"/>
      <c r="K1704" s="962"/>
      <c r="L1704" s="962"/>
      <c r="M1704" s="962"/>
      <c r="N1704" s="962"/>
      <c r="O1704" s="962"/>
      <c r="P1704" s="962"/>
      <c r="Q1704" s="962"/>
      <c r="R1704" s="961"/>
      <c r="S1704" s="527">
        <f t="shared" si="215"/>
        <v>0</v>
      </c>
      <c r="T1704" s="528">
        <f t="shared" si="216"/>
        <v>0</v>
      </c>
      <c r="U1704" s="527">
        <f t="shared" si="218"/>
        <v>0</v>
      </c>
      <c r="W1704" s="326">
        <f t="shared" si="213"/>
        <v>0</v>
      </c>
      <c r="X1704" s="261">
        <f t="shared" si="217"/>
        <v>0</v>
      </c>
      <c r="Z1704" s="1016">
        <f t="shared" si="214"/>
        <v>0</v>
      </c>
    </row>
    <row r="1705" spans="1:26" ht="12" hidden="1" thickBot="1">
      <c r="A1705" s="588" t="s">
        <v>1467</v>
      </c>
      <c r="B1705" s="522" t="s">
        <v>450</v>
      </c>
      <c r="C1705" s="522" t="s">
        <v>1050</v>
      </c>
      <c r="D1705" s="522"/>
      <c r="E1705" s="960"/>
      <c r="F1705" s="961"/>
      <c r="G1705" s="961"/>
      <c r="H1705" s="961"/>
      <c r="I1705" s="962"/>
      <c r="J1705" s="962"/>
      <c r="K1705" s="962"/>
      <c r="L1705" s="962"/>
      <c r="M1705" s="962"/>
      <c r="N1705" s="962"/>
      <c r="O1705" s="962"/>
      <c r="P1705" s="962"/>
      <c r="Q1705" s="962"/>
      <c r="R1705" s="961"/>
      <c r="S1705" s="527">
        <f t="shared" si="215"/>
        <v>0</v>
      </c>
      <c r="T1705" s="528">
        <f t="shared" si="216"/>
        <v>0</v>
      </c>
      <c r="U1705" s="527">
        <f t="shared" si="218"/>
        <v>0</v>
      </c>
      <c r="W1705" s="326">
        <f t="shared" si="213"/>
        <v>0</v>
      </c>
      <c r="X1705" s="261">
        <f t="shared" si="217"/>
        <v>0</v>
      </c>
      <c r="Z1705" s="1016">
        <f t="shared" si="214"/>
        <v>0</v>
      </c>
    </row>
    <row r="1706" spans="1:26" ht="12" hidden="1" thickBot="1">
      <c r="A1706" s="588" t="s">
        <v>1467</v>
      </c>
      <c r="B1706" s="543" t="s">
        <v>9</v>
      </c>
      <c r="C1706" s="544"/>
      <c r="D1706" s="538"/>
      <c r="E1706" s="539"/>
      <c r="F1706" s="540"/>
      <c r="G1706" s="540"/>
      <c r="H1706" s="540"/>
      <c r="I1706" s="540"/>
      <c r="J1706" s="540"/>
      <c r="K1706" s="540"/>
      <c r="L1706" s="540"/>
      <c r="M1706" s="540"/>
      <c r="N1706" s="540"/>
      <c r="O1706" s="540"/>
      <c r="P1706" s="540"/>
      <c r="Q1706" s="540"/>
      <c r="R1706" s="540"/>
      <c r="S1706" s="527">
        <f t="shared" si="215"/>
        <v>0</v>
      </c>
      <c r="T1706" s="528">
        <f t="shared" si="216"/>
        <v>0</v>
      </c>
      <c r="U1706" s="527">
        <f t="shared" si="218"/>
        <v>0</v>
      </c>
      <c r="W1706" s="326">
        <f t="shared" si="213"/>
        <v>0</v>
      </c>
      <c r="X1706" s="261">
        <f t="shared" si="217"/>
        <v>0</v>
      </c>
      <c r="Z1706" s="1016">
        <f t="shared" si="214"/>
        <v>0</v>
      </c>
    </row>
    <row r="1708" spans="1:26">
      <c r="E1708" s="994">
        <v>9836015.2098360099</v>
      </c>
      <c r="F1708" s="968"/>
      <c r="G1708" s="994">
        <v>1753876.5932917099</v>
      </c>
      <c r="H1708" s="995">
        <v>284457.55986845697</v>
      </c>
      <c r="I1708" s="994"/>
      <c r="J1708" s="968"/>
      <c r="K1708" s="968"/>
      <c r="L1708" s="968"/>
      <c r="M1708" s="968">
        <v>-24043.285598888298</v>
      </c>
      <c r="N1708" s="968">
        <v>27070.121112350102</v>
      </c>
      <c r="O1708" s="968"/>
      <c r="R1708" s="968">
        <v>2041360.9886736299</v>
      </c>
    </row>
    <row r="1709" spans="1:26">
      <c r="E1709" s="994">
        <v>10604013.010604</v>
      </c>
      <c r="F1709" s="968"/>
      <c r="G1709" s="994">
        <v>1787417.7350739101</v>
      </c>
      <c r="H1709" s="995">
        <v>306668.05626666796</v>
      </c>
      <c r="I1709" s="994"/>
      <c r="J1709" s="968"/>
      <c r="K1709" s="968"/>
      <c r="L1709" s="968"/>
      <c r="M1709" s="968">
        <v>8159.7214535949597</v>
      </c>
      <c r="N1709" s="968">
        <v>39703.762705104804</v>
      </c>
      <c r="O1709" s="968"/>
      <c r="R1709" s="968">
        <v>2141949.2754992796</v>
      </c>
    </row>
    <row r="1710" spans="1:26">
      <c r="E1710" s="994">
        <v>10329144.010329101</v>
      </c>
      <c r="F1710" s="968"/>
      <c r="G1710" s="994">
        <v>1728612.2046462102</v>
      </c>
      <c r="H1710" s="995">
        <v>298718.84477871802</v>
      </c>
      <c r="I1710" s="994"/>
      <c r="J1710" s="968"/>
      <c r="K1710" s="968"/>
      <c r="L1710" s="968"/>
      <c r="M1710" s="968">
        <v>25302.1124223978</v>
      </c>
      <c r="N1710" s="968">
        <v>39944.309772981906</v>
      </c>
      <c r="O1710" s="968"/>
      <c r="R1710" s="968">
        <v>2092577.4716203101</v>
      </c>
    </row>
    <row r="1711" spans="1:26">
      <c r="E1711" s="994">
        <v>11721927.0117219</v>
      </c>
      <c r="F1711" s="968"/>
      <c r="G1711" s="994">
        <v>1711708.4581991001</v>
      </c>
      <c r="H1711" s="995">
        <v>338998.129178998</v>
      </c>
      <c r="I1711" s="994"/>
      <c r="J1711" s="968"/>
      <c r="K1711" s="968"/>
      <c r="L1711" s="968"/>
      <c r="M1711" s="968">
        <v>42352.652580478498</v>
      </c>
      <c r="N1711" s="968">
        <v>37266.798279323601</v>
      </c>
      <c r="O1711" s="968"/>
      <c r="R1711" s="968">
        <v>2130326.0382379</v>
      </c>
    </row>
    <row r="1712" spans="1:26">
      <c r="E1712" s="994"/>
      <c r="F1712" s="968"/>
      <c r="G1712" s="968"/>
      <c r="H1712" s="988"/>
      <c r="I1712" s="968"/>
      <c r="J1712" s="968"/>
      <c r="K1712" s="968"/>
      <c r="L1712" s="968"/>
      <c r="M1712" s="968"/>
      <c r="N1712" s="968"/>
      <c r="O1712" s="968"/>
      <c r="R1712" s="968"/>
    </row>
    <row r="1713" spans="1:18">
      <c r="E1713" s="994">
        <v>12919653.012919599</v>
      </c>
      <c r="F1713" s="968"/>
      <c r="G1713" s="994">
        <v>1760125.72376402</v>
      </c>
      <c r="H1713" s="995">
        <v>373636.36513363599</v>
      </c>
      <c r="I1713" s="994"/>
      <c r="J1713" s="968"/>
      <c r="K1713" s="968"/>
      <c r="L1713" s="968"/>
      <c r="M1713" s="968">
        <v>33369.215847571097</v>
      </c>
      <c r="N1713" s="968">
        <v>39614.364461962505</v>
      </c>
      <c r="O1713" s="968"/>
      <c r="R1713" s="968">
        <v>2206745.6692071902</v>
      </c>
    </row>
    <row r="1714" spans="1:18">
      <c r="E1714" s="994">
        <v>9812639.00981264</v>
      </c>
      <c r="F1714" s="968"/>
      <c r="G1714" s="994">
        <v>1822886.0987416799</v>
      </c>
      <c r="H1714" s="995">
        <v>283781.52016378101</v>
      </c>
      <c r="I1714" s="994"/>
      <c r="J1714" s="968"/>
      <c r="K1714" s="968"/>
      <c r="L1714" s="968"/>
      <c r="M1714" s="968">
        <v>18241.2569191107</v>
      </c>
      <c r="N1714" s="968">
        <v>35165.1824345161</v>
      </c>
      <c r="O1714" s="968"/>
      <c r="R1714" s="968">
        <v>2160074.0582590904</v>
      </c>
    </row>
    <row r="1716" spans="1:18">
      <c r="E1716" s="994">
        <f>SUM(E1708:E1714)</f>
        <v>65223391.265223242</v>
      </c>
      <c r="F1716" s="994">
        <f t="shared" ref="F1716:R1716" si="219">SUM(F1708:F1714)</f>
        <v>0</v>
      </c>
      <c r="G1716" s="994">
        <f t="shared" si="219"/>
        <v>10564626.813716631</v>
      </c>
      <c r="H1716" s="994">
        <f t="shared" si="219"/>
        <v>1886260.475390258</v>
      </c>
      <c r="I1716" s="994">
        <f t="shared" si="219"/>
        <v>0</v>
      </c>
      <c r="J1716" s="994">
        <f t="shared" si="219"/>
        <v>0</v>
      </c>
      <c r="K1716" s="994">
        <f t="shared" si="219"/>
        <v>0</v>
      </c>
      <c r="L1716" s="994">
        <f t="shared" si="219"/>
        <v>0</v>
      </c>
      <c r="M1716" s="994">
        <f t="shared" si="219"/>
        <v>103381.67362426476</v>
      </c>
      <c r="N1716" s="994">
        <f t="shared" si="219"/>
        <v>218764.53876623901</v>
      </c>
      <c r="O1716" s="994">
        <f t="shared" si="219"/>
        <v>0</v>
      </c>
      <c r="P1716" s="994">
        <f t="shared" si="219"/>
        <v>0</v>
      </c>
      <c r="Q1716" s="994"/>
      <c r="R1716" s="994">
        <f t="shared" si="219"/>
        <v>12773033.501497401</v>
      </c>
    </row>
    <row r="1718" spans="1:18" ht="12" thickBot="1"/>
    <row r="1719" spans="1:18" ht="12" thickBot="1">
      <c r="A1719" s="588" t="s">
        <v>1428</v>
      </c>
      <c r="B1719" s="522" t="s">
        <v>79</v>
      </c>
      <c r="E1719" s="995">
        <f t="shared" ref="E1719:P1719" si="220">E1708-SUMIFS(E$3:E$1706,$A$3:$A$1706,$A1719,$B$3:$B$1706,$B$1719)</f>
        <v>118051.20983600989</v>
      </c>
      <c r="F1719" s="995">
        <f t="shared" si="220"/>
        <v>0</v>
      </c>
      <c r="G1719" s="995">
        <f t="shared" si="220"/>
        <v>11616.343291709898</v>
      </c>
      <c r="H1719" s="995">
        <f t="shared" si="220"/>
        <v>-0.44013154302956536</v>
      </c>
      <c r="I1719" s="995">
        <f t="shared" si="220"/>
        <v>0</v>
      </c>
      <c r="J1719" s="995">
        <f t="shared" si="220"/>
        <v>0</v>
      </c>
      <c r="K1719" s="995">
        <f t="shared" si="220"/>
        <v>0</v>
      </c>
      <c r="L1719" s="995">
        <f t="shared" si="220"/>
        <v>0</v>
      </c>
      <c r="M1719" s="995">
        <f t="shared" si="220"/>
        <v>-288.28559888829841</v>
      </c>
      <c r="N1719" s="995">
        <f t="shared" si="220"/>
        <v>325.12111235010161</v>
      </c>
      <c r="O1719" s="995">
        <f t="shared" si="220"/>
        <v>0</v>
      </c>
      <c r="P1719" s="995">
        <f t="shared" si="220"/>
        <v>0</v>
      </c>
      <c r="R1719" s="995">
        <f>R1708-SUMIFS(R$3:R$1706,$A$3:$A$1706,$A1719,$B$3:$B$1706,$B$1719)</f>
        <v>11652.738673629938</v>
      </c>
    </row>
    <row r="1720" spans="1:18" ht="12" thickBot="1">
      <c r="A1720" s="588" t="s">
        <v>1465</v>
      </c>
      <c r="E1720" s="995">
        <f t="shared" ref="E1720:P1720" si="221">E1709-SUMIFS(E$3:E$1706,$A$3:$A$1706,$A1720,$B$3:$B$1706,$B$1719)</f>
        <v>112037.01060399972</v>
      </c>
      <c r="F1720" s="995">
        <f t="shared" si="221"/>
        <v>0</v>
      </c>
      <c r="G1720" s="995">
        <f t="shared" si="221"/>
        <v>11141.485073910095</v>
      </c>
      <c r="H1720" s="995">
        <f t="shared" si="221"/>
        <v>5.6266667961608618E-2</v>
      </c>
      <c r="I1720" s="995">
        <f t="shared" si="221"/>
        <v>0</v>
      </c>
      <c r="J1720" s="995">
        <f t="shared" si="221"/>
        <v>0</v>
      </c>
      <c r="K1720" s="995">
        <f t="shared" si="221"/>
        <v>0</v>
      </c>
      <c r="L1720" s="995">
        <f t="shared" si="221"/>
        <v>0</v>
      </c>
      <c r="M1720" s="995">
        <f t="shared" si="221"/>
        <v>85.721453594959712</v>
      </c>
      <c r="N1720" s="995">
        <f t="shared" si="221"/>
        <v>418.7627051048039</v>
      </c>
      <c r="O1720" s="995">
        <f t="shared" si="221"/>
        <v>0</v>
      </c>
      <c r="P1720" s="995">
        <f t="shared" si="221"/>
        <v>0</v>
      </c>
      <c r="R1720" s="995">
        <f>R1709-SUMIFS(R$3:R$1706,$A$3:$A$1706,$A1720,$B$3:$B$1706,$B$1719)</f>
        <v>11646.025499279611</v>
      </c>
    </row>
    <row r="1721" spans="1:18" ht="12" thickBot="1">
      <c r="A1721" s="588" t="s">
        <v>1466</v>
      </c>
      <c r="E1721" s="995">
        <f t="shared" ref="E1721:P1721" si="222">E1710-SUMIFS(E$3:E$1706,$A$3:$A$1706,$A1721,$B$3:$B$1706,$B$1719)</f>
        <v>113903.01032910123</v>
      </c>
      <c r="F1721" s="995">
        <f t="shared" si="222"/>
        <v>0</v>
      </c>
      <c r="G1721" s="995">
        <f t="shared" si="222"/>
        <v>11264.954646210186</v>
      </c>
      <c r="H1721" s="995">
        <f t="shared" si="222"/>
        <v>-0.15522128198063001</v>
      </c>
      <c r="I1721" s="995">
        <f t="shared" si="222"/>
        <v>0</v>
      </c>
      <c r="J1721" s="995">
        <f t="shared" si="222"/>
        <v>0</v>
      </c>
      <c r="K1721" s="995">
        <f t="shared" si="222"/>
        <v>0</v>
      </c>
      <c r="L1721" s="995">
        <f t="shared" si="222"/>
        <v>0</v>
      </c>
      <c r="M1721" s="995">
        <f t="shared" si="222"/>
        <v>279.1124223978004</v>
      </c>
      <c r="N1721" s="995">
        <f t="shared" si="222"/>
        <v>441.30977298190555</v>
      </c>
      <c r="O1721" s="995">
        <f t="shared" si="222"/>
        <v>0</v>
      </c>
      <c r="P1721" s="995">
        <f t="shared" si="222"/>
        <v>0</v>
      </c>
      <c r="R1721" s="995">
        <f>R1710-SUMIFS(R$3:R$1706,$A$3:$A$1706,$A1721,$B$3:$B$1706,$B$1719)</f>
        <v>11985.221620310098</v>
      </c>
    </row>
    <row r="1722" spans="1:18" ht="12" thickBot="1">
      <c r="A1722" s="588" t="s">
        <v>1467</v>
      </c>
      <c r="E1722" s="995">
        <f t="shared" ref="E1722:P1722" si="223">E1711-SUMIFS(E$3:E$1706,$A$3:$A$1706,$A1722,$B$3:$B$1706,$B$1719)</f>
        <v>132111.01172189973</v>
      </c>
      <c r="F1722" s="995">
        <f t="shared" si="223"/>
        <v>0</v>
      </c>
      <c r="G1722" s="995">
        <f t="shared" si="223"/>
        <v>12660.208199100103</v>
      </c>
      <c r="H1722" s="995">
        <f t="shared" si="223"/>
        <v>0.1291789980023168</v>
      </c>
      <c r="I1722" s="995">
        <f t="shared" si="223"/>
        <v>0</v>
      </c>
      <c r="J1722" s="995">
        <f t="shared" si="223"/>
        <v>0</v>
      </c>
      <c r="K1722" s="995">
        <f t="shared" si="223"/>
        <v>0</v>
      </c>
      <c r="L1722" s="995">
        <f t="shared" si="223"/>
        <v>0</v>
      </c>
      <c r="M1722" s="995">
        <f t="shared" si="223"/>
        <v>476.65258047849784</v>
      </c>
      <c r="N1722" s="995">
        <f t="shared" si="223"/>
        <v>419.79827932360058</v>
      </c>
      <c r="O1722" s="995">
        <f t="shared" si="223"/>
        <v>0</v>
      </c>
      <c r="P1722" s="995">
        <f t="shared" si="223"/>
        <v>0</v>
      </c>
      <c r="R1722" s="995">
        <f>R1711-SUMIFS(R$3:R$1706,$A$3:$A$1706,$A1722,$B$3:$B$1706,$B$1719)</f>
        <v>13556.788237900008</v>
      </c>
    </row>
    <row r="1723" spans="1:18" ht="12" thickBot="1"/>
    <row r="1724" spans="1:18" ht="12" thickBot="1">
      <c r="A1724" s="588" t="s">
        <v>1468</v>
      </c>
      <c r="E1724" s="995">
        <f t="shared" ref="E1724:P1724" si="224">E1713-SUMIFS(E$3:E$1706,$A$3:$A$1706,$A1724,$B$3:$B$1706,$B$1719)</f>
        <v>143039.01291959919</v>
      </c>
      <c r="F1724" s="995">
        <f t="shared" si="224"/>
        <v>0</v>
      </c>
      <c r="G1724" s="995">
        <f t="shared" si="224"/>
        <v>13505.473764020018</v>
      </c>
      <c r="H1724" s="995">
        <f t="shared" si="224"/>
        <v>0.3651336359907873</v>
      </c>
      <c r="I1724" s="995">
        <f t="shared" si="224"/>
        <v>0</v>
      </c>
      <c r="J1724" s="995">
        <f t="shared" si="224"/>
        <v>0</v>
      </c>
      <c r="K1724" s="995">
        <f t="shared" si="224"/>
        <v>0</v>
      </c>
      <c r="L1724" s="995">
        <f t="shared" si="224"/>
        <v>0</v>
      </c>
      <c r="M1724" s="995">
        <f t="shared" si="224"/>
        <v>369.21584757109667</v>
      </c>
      <c r="N1724" s="995">
        <f t="shared" si="224"/>
        <v>439.36446196250472</v>
      </c>
      <c r="O1724" s="995">
        <f t="shared" si="224"/>
        <v>0</v>
      </c>
      <c r="P1724" s="995">
        <f t="shared" si="224"/>
        <v>0</v>
      </c>
      <c r="R1724" s="995">
        <f>R1713-SUMIFS(R$3:R$1706,$A$3:$A$1706,$A1724,$B$3:$B$1706,$B$1719)</f>
        <v>14314.419207190163</v>
      </c>
    </row>
    <row r="1725" spans="1:18" ht="12" thickBot="1">
      <c r="A1725" s="588" t="s">
        <v>1469</v>
      </c>
      <c r="E1725" s="995">
        <f t="shared" ref="E1725:P1725" si="225">E1714-SUMIFS(E$3:E$1706,$A$3:$A$1706,$A1725,$B$3:$B$1706,$B$1719)</f>
        <v>122119.00981264003</v>
      </c>
      <c r="F1725" s="995">
        <f t="shared" si="225"/>
        <v>0</v>
      </c>
      <c r="G1725" s="995">
        <f t="shared" si="225"/>
        <v>11974.848741679918</v>
      </c>
      <c r="H1725" s="995">
        <f t="shared" si="225"/>
        <v>-0.47983621899038553</v>
      </c>
      <c r="I1725" s="995">
        <f t="shared" si="225"/>
        <v>0</v>
      </c>
      <c r="J1725" s="995">
        <f t="shared" si="225"/>
        <v>0</v>
      </c>
      <c r="K1725" s="995">
        <f t="shared" si="225"/>
        <v>0</v>
      </c>
      <c r="L1725" s="995">
        <f t="shared" si="225"/>
        <v>0</v>
      </c>
      <c r="M1725" s="995">
        <f t="shared" si="225"/>
        <v>227.25691911069953</v>
      </c>
      <c r="N1725" s="995">
        <f t="shared" si="225"/>
        <v>437.18243451610033</v>
      </c>
      <c r="O1725" s="995">
        <f t="shared" si="225"/>
        <v>0</v>
      </c>
      <c r="P1725" s="995">
        <f t="shared" si="225"/>
        <v>0</v>
      </c>
      <c r="R1725" s="995">
        <f>R1714-SUMIFS(R$3:R$1706,$A$3:$A$1706,$A1725,$B$3:$B$1706,$B$1719)</f>
        <v>12638.808259090409</v>
      </c>
    </row>
    <row r="1727" spans="1:18">
      <c r="E1727" s="994"/>
      <c r="F1727" s="994"/>
      <c r="G1727" s="994"/>
      <c r="H1727" s="994"/>
      <c r="I1727" s="994"/>
      <c r="J1727" s="994"/>
      <c r="K1727" s="994"/>
      <c r="L1727" s="994"/>
      <c r="M1727" s="994"/>
      <c r="N1727" s="994"/>
      <c r="O1727" s="994"/>
      <c r="P1727" s="994"/>
      <c r="R1727" s="994"/>
    </row>
    <row r="1728" spans="1:18">
      <c r="E1728" s="994"/>
      <c r="F1728" s="994"/>
      <c r="G1728" s="994"/>
      <c r="H1728" s="994"/>
      <c r="I1728" s="994"/>
      <c r="J1728" s="994"/>
      <c r="K1728" s="994"/>
      <c r="L1728" s="994"/>
      <c r="M1728" s="994"/>
      <c r="N1728" s="994"/>
      <c r="O1728" s="994"/>
      <c r="P1728" s="994"/>
      <c r="R1728" s="994"/>
    </row>
    <row r="1729" spans="5:18">
      <c r="E1729" s="994"/>
      <c r="F1729" s="994"/>
      <c r="G1729" s="994"/>
      <c r="H1729" s="994"/>
      <c r="I1729" s="994"/>
      <c r="J1729" s="994"/>
      <c r="K1729" s="994"/>
      <c r="L1729" s="994"/>
      <c r="M1729" s="994"/>
      <c r="N1729" s="994"/>
      <c r="O1729" s="994"/>
      <c r="P1729" s="994"/>
      <c r="R1729" s="994"/>
    </row>
    <row r="1730" spans="5:18">
      <c r="E1730" s="994"/>
      <c r="F1730" s="994"/>
      <c r="G1730" s="994"/>
      <c r="H1730" s="994"/>
      <c r="I1730" s="994"/>
      <c r="J1730" s="994"/>
      <c r="K1730" s="994"/>
      <c r="L1730" s="994"/>
      <c r="M1730" s="994"/>
      <c r="N1730" s="994"/>
      <c r="O1730" s="994"/>
      <c r="P1730" s="994"/>
      <c r="R1730" s="994"/>
    </row>
    <row r="1732" spans="5:18">
      <c r="E1732" s="994"/>
      <c r="F1732" s="994"/>
      <c r="G1732" s="994"/>
      <c r="H1732" s="994"/>
      <c r="I1732" s="994"/>
      <c r="J1732" s="994"/>
      <c r="K1732" s="994"/>
      <c r="L1732" s="994"/>
      <c r="M1732" s="994"/>
      <c r="N1732" s="994"/>
      <c r="O1732" s="994"/>
      <c r="P1732" s="994"/>
      <c r="R1732" s="994"/>
    </row>
    <row r="1733" spans="5:18">
      <c r="E1733" s="994"/>
      <c r="F1733" s="994"/>
      <c r="G1733" s="994"/>
      <c r="H1733" s="994"/>
      <c r="I1733" s="994"/>
      <c r="J1733" s="994"/>
      <c r="K1733" s="994"/>
      <c r="L1733" s="994"/>
      <c r="M1733" s="994"/>
      <c r="N1733" s="994"/>
      <c r="O1733" s="994"/>
      <c r="P1733" s="994"/>
      <c r="R1733" s="994"/>
    </row>
  </sheetData>
  <autoFilter ref="A2:X1706">
    <filterColumn colId="1">
      <filters>
        <filter val="KUCME290"/>
        <filter val="KUCME295"/>
        <filter val="ODL"/>
      </filters>
    </filterColumn>
    <filterColumn colId="3">
      <filters>
        <filter val="LE"/>
        <filter val="ODL"/>
        <filter val="TE"/>
      </filters>
    </filterColumn>
  </autoFilter>
  <sortState ref="B312:D713">
    <sortCondition ref="B312:B713"/>
  </sortState>
  <pageMargins left="0.25" right="0.25" top="0.5" bottom="0.5" header="0.25" footer="0.25"/>
  <pageSetup paperSize="5" scale="1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AE113"/>
  <sheetViews>
    <sheetView workbookViewId="0"/>
  </sheetViews>
  <sheetFormatPr defaultRowHeight="12"/>
  <cols>
    <col min="1" max="15" width="9.33203125" style="158"/>
    <col min="16" max="16" width="9.5" style="158" bestFit="1" customWidth="1"/>
    <col min="17" max="17" width="9.33203125" style="158"/>
    <col min="18" max="21" width="10.1640625" style="158" bestFit="1" customWidth="1"/>
    <col min="22" max="22" width="12.1640625" style="158" bestFit="1" customWidth="1"/>
    <col min="23" max="23" width="20.33203125" style="158" customWidth="1"/>
    <col min="24" max="24" width="19.5" style="158" bestFit="1" customWidth="1"/>
    <col min="25" max="25" width="15.33203125" style="158" bestFit="1" customWidth="1"/>
    <col min="26" max="26" width="15.83203125" style="158" bestFit="1" customWidth="1"/>
    <col min="27" max="29" width="13" style="158" bestFit="1" customWidth="1"/>
    <col min="30" max="30" width="12.83203125" style="158" bestFit="1" customWidth="1"/>
    <col min="31" max="16384" width="9.33203125" style="158"/>
  </cols>
  <sheetData>
    <row r="1" spans="2:21">
      <c r="F1" s="159">
        <v>37742</v>
      </c>
      <c r="G1" s="159">
        <v>37925</v>
      </c>
      <c r="H1" s="159">
        <v>38169</v>
      </c>
      <c r="I1" s="159">
        <v>38534</v>
      </c>
      <c r="J1" s="159">
        <v>39146</v>
      </c>
      <c r="K1" s="159">
        <v>39419</v>
      </c>
      <c r="L1" s="159">
        <v>39570</v>
      </c>
      <c r="M1" s="159">
        <v>39850</v>
      </c>
      <c r="N1" s="159">
        <v>39993</v>
      </c>
      <c r="O1" s="159">
        <v>40206</v>
      </c>
      <c r="P1" s="160">
        <v>40391</v>
      </c>
      <c r="Q1" s="160">
        <v>40725</v>
      </c>
      <c r="R1" s="160">
        <v>40878</v>
      </c>
      <c r="S1" s="160">
        <v>41275</v>
      </c>
      <c r="T1" s="160">
        <v>41456</v>
      </c>
      <c r="U1" s="160">
        <v>41640</v>
      </c>
    </row>
    <row r="2" spans="2:21">
      <c r="B2" s="158">
        <v>0</v>
      </c>
      <c r="C2" s="161" t="s">
        <v>597</v>
      </c>
      <c r="F2" s="157">
        <v>34.9</v>
      </c>
      <c r="G2" s="157">
        <v>35.840000000000003</v>
      </c>
      <c r="H2" s="157">
        <v>38.28</v>
      </c>
      <c r="I2" s="157">
        <v>38.44</v>
      </c>
      <c r="J2" s="157">
        <v>39.520000000000003</v>
      </c>
      <c r="K2" s="157">
        <v>39.909999999999997</v>
      </c>
      <c r="L2" s="157">
        <v>40.81</v>
      </c>
      <c r="M2" s="157">
        <v>40.19</v>
      </c>
      <c r="N2" s="157">
        <v>40.270000000000003</v>
      </c>
      <c r="O2" s="157">
        <v>44.78</v>
      </c>
      <c r="P2" s="157">
        <v>49.34</v>
      </c>
      <c r="Q2" s="157">
        <v>49.29</v>
      </c>
      <c r="R2" s="157">
        <v>51</v>
      </c>
      <c r="S2" s="157">
        <v>53.01</v>
      </c>
      <c r="T2" s="157">
        <v>53.15</v>
      </c>
      <c r="U2" s="157">
        <v>55.33</v>
      </c>
    </row>
    <row r="3" spans="2:21">
      <c r="B3" s="158">
        <v>1</v>
      </c>
      <c r="C3" s="161" t="s">
        <v>598</v>
      </c>
      <c r="F3" s="157">
        <v>14.84</v>
      </c>
      <c r="G3" s="157">
        <v>15.24</v>
      </c>
      <c r="H3" s="157">
        <v>16.28</v>
      </c>
      <c r="I3" s="157">
        <v>16.28</v>
      </c>
      <c r="J3" s="157">
        <v>16.28</v>
      </c>
      <c r="K3" s="157">
        <v>16.28</v>
      </c>
      <c r="L3" s="157">
        <v>16.28</v>
      </c>
      <c r="M3" s="157">
        <v>16.13</v>
      </c>
      <c r="N3" s="157">
        <v>16.13</v>
      </c>
      <c r="O3" s="157">
        <f>N3</f>
        <v>16.13</v>
      </c>
      <c r="P3" s="157">
        <v>17.78</v>
      </c>
      <c r="Q3" s="157">
        <v>17.78</v>
      </c>
      <c r="R3" s="157">
        <v>17.78</v>
      </c>
      <c r="S3" s="157">
        <v>0</v>
      </c>
      <c r="T3" s="157">
        <v>0</v>
      </c>
      <c r="U3" s="157">
        <v>0</v>
      </c>
    </row>
    <row r="4" spans="2:21">
      <c r="B4" s="158">
        <v>2</v>
      </c>
      <c r="C4" s="161" t="s">
        <v>599</v>
      </c>
      <c r="F4" s="157">
        <v>16.52</v>
      </c>
      <c r="G4" s="157">
        <v>16.96</v>
      </c>
      <c r="H4" s="157">
        <v>18.12</v>
      </c>
      <c r="I4" s="157">
        <v>18.12</v>
      </c>
      <c r="J4" s="157">
        <v>18.12</v>
      </c>
      <c r="K4" s="157">
        <v>18.12</v>
      </c>
      <c r="L4" s="157">
        <v>18.12</v>
      </c>
      <c r="M4" s="157">
        <v>17.96</v>
      </c>
      <c r="N4" s="157">
        <v>17.96</v>
      </c>
      <c r="O4" s="157">
        <f t="shared" ref="O4:O14" si="0">N4</f>
        <v>17.96</v>
      </c>
      <c r="P4" s="157">
        <v>19.79</v>
      </c>
      <c r="Q4" s="157">
        <v>19.79</v>
      </c>
      <c r="R4" s="157">
        <v>19.79</v>
      </c>
      <c r="S4" s="157">
        <v>20.57</v>
      </c>
      <c r="T4" s="157">
        <v>20.57</v>
      </c>
      <c r="U4" s="157">
        <v>20.57</v>
      </c>
    </row>
    <row r="5" spans="2:21">
      <c r="B5" s="158">
        <v>3</v>
      </c>
      <c r="C5" s="161" t="s">
        <v>600</v>
      </c>
      <c r="F5" s="157">
        <v>2.57</v>
      </c>
      <c r="G5" s="157">
        <v>2.64</v>
      </c>
      <c r="H5" s="157">
        <v>2.82</v>
      </c>
      <c r="I5" s="157">
        <v>2.82</v>
      </c>
      <c r="J5" s="157">
        <v>2.82</v>
      </c>
      <c r="K5" s="157">
        <v>2.82</v>
      </c>
      <c r="L5" s="157">
        <v>2.82</v>
      </c>
      <c r="M5" s="157">
        <v>2.8</v>
      </c>
      <c r="N5" s="157">
        <v>2.8</v>
      </c>
      <c r="O5" s="157">
        <f t="shared" si="0"/>
        <v>2.8</v>
      </c>
      <c r="P5" s="157">
        <v>3.09</v>
      </c>
      <c r="Q5" s="157">
        <v>3.09</v>
      </c>
      <c r="R5" s="157">
        <v>3.09</v>
      </c>
      <c r="S5" s="157">
        <v>3.21</v>
      </c>
      <c r="T5" s="157">
        <v>3.21</v>
      </c>
      <c r="U5" s="157">
        <v>3.21</v>
      </c>
    </row>
    <row r="6" spans="2:21">
      <c r="B6" s="158">
        <v>4</v>
      </c>
      <c r="C6" s="161" t="s">
        <v>601</v>
      </c>
      <c r="F6" s="157"/>
      <c r="G6" s="157">
        <v>3.67</v>
      </c>
      <c r="H6" s="157">
        <v>3.9</v>
      </c>
      <c r="I6" s="157">
        <v>3.9</v>
      </c>
      <c r="J6" s="157">
        <v>3.9</v>
      </c>
      <c r="K6" s="157">
        <v>3.9</v>
      </c>
      <c r="L6" s="157">
        <v>3.9</v>
      </c>
      <c r="M6" s="157">
        <v>3.87</v>
      </c>
      <c r="N6" s="157">
        <v>3.87</v>
      </c>
      <c r="O6" s="157">
        <f t="shared" si="0"/>
        <v>3.87</v>
      </c>
      <c r="P6" s="157">
        <v>4.26</v>
      </c>
      <c r="Q6" s="157">
        <v>4.26</v>
      </c>
      <c r="R6" s="157">
        <v>4.26</v>
      </c>
      <c r="S6" s="157">
        <v>4.43</v>
      </c>
      <c r="T6" s="157">
        <v>4.43</v>
      </c>
      <c r="U6" s="157">
        <v>4.43</v>
      </c>
    </row>
    <row r="7" spans="2:21">
      <c r="B7" s="158">
        <v>5</v>
      </c>
      <c r="C7" s="161" t="s">
        <v>602</v>
      </c>
      <c r="F7" s="157">
        <v>2.37</v>
      </c>
      <c r="G7" s="157">
        <v>2.4300000000000002</v>
      </c>
      <c r="H7" s="157">
        <v>2.6</v>
      </c>
      <c r="I7" s="157">
        <v>2.6</v>
      </c>
      <c r="J7" s="157">
        <v>2.6</v>
      </c>
      <c r="K7" s="157">
        <v>2.6</v>
      </c>
      <c r="L7" s="157">
        <v>2.6</v>
      </c>
      <c r="M7" s="157">
        <v>2.58</v>
      </c>
      <c r="N7" s="157">
        <v>2.58</v>
      </c>
      <c r="O7" s="157">
        <f t="shared" si="0"/>
        <v>2.58</v>
      </c>
      <c r="P7" s="157">
        <v>2.84</v>
      </c>
      <c r="Q7" s="157">
        <v>2.84</v>
      </c>
      <c r="R7" s="157">
        <v>2.84</v>
      </c>
      <c r="S7" s="157">
        <v>2.95</v>
      </c>
      <c r="T7" s="157">
        <v>2.95</v>
      </c>
      <c r="U7" s="157">
        <v>2.95</v>
      </c>
    </row>
    <row r="8" spans="2:21">
      <c r="B8" s="158">
        <v>6</v>
      </c>
      <c r="C8" s="161" t="s">
        <v>603</v>
      </c>
      <c r="F8" s="157">
        <v>1.0900000000000001</v>
      </c>
      <c r="G8" s="157">
        <v>1.1200000000000001</v>
      </c>
      <c r="H8" s="157">
        <v>1.2</v>
      </c>
      <c r="I8" s="157">
        <v>1.2</v>
      </c>
      <c r="J8" s="157">
        <v>1.2</v>
      </c>
      <c r="K8" s="157">
        <v>1.2</v>
      </c>
      <c r="L8" s="157">
        <v>1.2</v>
      </c>
      <c r="M8" s="157">
        <v>1.19</v>
      </c>
      <c r="N8" s="157">
        <v>1.19</v>
      </c>
      <c r="O8" s="157">
        <f t="shared" si="0"/>
        <v>1.19</v>
      </c>
      <c r="P8" s="157">
        <v>1.31</v>
      </c>
      <c r="Q8" s="157">
        <v>1.31</v>
      </c>
      <c r="R8" s="157">
        <v>1.31</v>
      </c>
      <c r="S8" s="157">
        <v>1.36</v>
      </c>
      <c r="T8" s="157">
        <v>1.36</v>
      </c>
      <c r="U8" s="157">
        <v>1.36</v>
      </c>
    </row>
    <row r="9" spans="2:21">
      <c r="B9" s="158">
        <v>7</v>
      </c>
      <c r="C9" s="161" t="s">
        <v>604</v>
      </c>
      <c r="F9" s="157"/>
      <c r="G9" s="157"/>
      <c r="H9" s="157"/>
      <c r="I9" s="157"/>
      <c r="J9" s="157"/>
      <c r="K9" s="157"/>
      <c r="L9" s="157"/>
      <c r="M9" s="157">
        <v>3.19</v>
      </c>
      <c r="N9" s="157">
        <v>3.19</v>
      </c>
      <c r="O9" s="157">
        <f t="shared" si="0"/>
        <v>3.19</v>
      </c>
      <c r="P9" s="157">
        <v>3.52</v>
      </c>
      <c r="Q9" s="157">
        <v>3.52</v>
      </c>
      <c r="R9" s="157">
        <v>3.52</v>
      </c>
      <c r="S9" s="157">
        <v>3.66</v>
      </c>
      <c r="T9" s="157">
        <v>3.66</v>
      </c>
      <c r="U9" s="157">
        <v>3.66</v>
      </c>
    </row>
    <row r="10" spans="2:21">
      <c r="B10" s="158">
        <v>8</v>
      </c>
      <c r="C10" s="161" t="s">
        <v>605</v>
      </c>
      <c r="F10" s="157">
        <v>15.41</v>
      </c>
      <c r="G10" s="157">
        <v>15.82</v>
      </c>
      <c r="H10" s="157">
        <v>16.899999999999999</v>
      </c>
      <c r="I10" s="157">
        <v>16.899999999999999</v>
      </c>
      <c r="J10" s="157">
        <v>16.899999999999999</v>
      </c>
      <c r="K10" s="157">
        <v>16.899999999999999</v>
      </c>
      <c r="L10" s="157">
        <v>16.899999999999999</v>
      </c>
      <c r="M10" s="157">
        <v>16.75</v>
      </c>
      <c r="N10" s="157">
        <v>16.75</v>
      </c>
      <c r="O10" s="157">
        <f t="shared" si="0"/>
        <v>16.75</v>
      </c>
      <c r="P10" s="157">
        <v>18.46</v>
      </c>
      <c r="Q10" s="157">
        <v>18.46</v>
      </c>
      <c r="R10" s="157">
        <v>18.46</v>
      </c>
      <c r="S10" s="157">
        <v>19.190000000000001</v>
      </c>
      <c r="T10" s="157">
        <v>19.190000000000001</v>
      </c>
      <c r="U10" s="157">
        <v>19.190000000000001</v>
      </c>
    </row>
    <row r="11" spans="2:21">
      <c r="B11" s="158">
        <v>9</v>
      </c>
      <c r="C11" s="161" t="s">
        <v>606</v>
      </c>
      <c r="F11" s="157">
        <v>14.87</v>
      </c>
      <c r="G11" s="157">
        <v>15.27</v>
      </c>
      <c r="H11" s="157">
        <v>16.309999999999999</v>
      </c>
      <c r="I11" s="157">
        <v>16.309999999999999</v>
      </c>
      <c r="J11" s="157">
        <v>16.309999999999999</v>
      </c>
      <c r="K11" s="157">
        <v>16.309999999999999</v>
      </c>
      <c r="L11" s="157">
        <v>16.309999999999999</v>
      </c>
      <c r="M11" s="157">
        <v>16.16</v>
      </c>
      <c r="N11" s="157">
        <v>16.16</v>
      </c>
      <c r="O11" s="157">
        <f t="shared" si="0"/>
        <v>16.16</v>
      </c>
      <c r="P11" s="157">
        <v>17.809999999999999</v>
      </c>
      <c r="Q11" s="157">
        <v>17.809999999999999</v>
      </c>
      <c r="R11" s="157">
        <v>17.809999999999999</v>
      </c>
      <c r="S11" s="157">
        <v>0</v>
      </c>
      <c r="T11" s="157">
        <v>0</v>
      </c>
      <c r="U11" s="157">
        <v>0</v>
      </c>
    </row>
    <row r="12" spans="2:21">
      <c r="B12" s="158">
        <v>10</v>
      </c>
      <c r="C12" s="161" t="s">
        <v>607</v>
      </c>
      <c r="F12" s="157">
        <v>2.1</v>
      </c>
      <c r="G12" s="157">
        <v>2.16</v>
      </c>
      <c r="H12" s="157">
        <v>2.31</v>
      </c>
      <c r="I12" s="157">
        <v>2.31</v>
      </c>
      <c r="J12" s="157">
        <v>2.31</v>
      </c>
      <c r="K12" s="157">
        <v>2.31</v>
      </c>
      <c r="L12" s="157">
        <v>2.31</v>
      </c>
      <c r="M12" s="157">
        <v>2.29</v>
      </c>
      <c r="N12" s="157">
        <v>2.29</v>
      </c>
      <c r="O12" s="157">
        <f t="shared" si="0"/>
        <v>2.29</v>
      </c>
      <c r="P12" s="157">
        <v>2.52</v>
      </c>
      <c r="Q12" s="157">
        <v>2.52</v>
      </c>
      <c r="R12" s="157">
        <v>2.52</v>
      </c>
      <c r="S12" s="157">
        <v>2.62</v>
      </c>
      <c r="T12" s="157">
        <v>2.62</v>
      </c>
      <c r="U12" s="157">
        <v>2.62</v>
      </c>
    </row>
    <row r="13" spans="2:21">
      <c r="B13" s="158">
        <v>11</v>
      </c>
      <c r="C13" s="158" t="s">
        <v>608</v>
      </c>
      <c r="F13" s="157">
        <v>3.56</v>
      </c>
      <c r="G13" s="157">
        <v>3.66</v>
      </c>
      <c r="H13" s="157">
        <v>3.91</v>
      </c>
      <c r="I13" s="157">
        <v>3.91</v>
      </c>
      <c r="J13" s="157">
        <v>3.91</v>
      </c>
      <c r="K13" s="157">
        <v>3.91</v>
      </c>
      <c r="L13" s="157">
        <v>3.91</v>
      </c>
      <c r="M13" s="157">
        <v>3.88</v>
      </c>
      <c r="N13" s="157">
        <v>3.88</v>
      </c>
      <c r="O13" s="157">
        <f t="shared" si="0"/>
        <v>3.88</v>
      </c>
      <c r="P13" s="157">
        <v>4.28</v>
      </c>
      <c r="Q13" s="157">
        <v>4.28</v>
      </c>
      <c r="R13" s="157">
        <v>4.28</v>
      </c>
      <c r="S13" s="157">
        <v>4.45</v>
      </c>
      <c r="T13" s="157">
        <v>4.45</v>
      </c>
      <c r="U13" s="157">
        <v>4.45</v>
      </c>
    </row>
    <row r="14" spans="2:21">
      <c r="B14" s="158">
        <v>12</v>
      </c>
      <c r="C14" s="161" t="s">
        <v>609</v>
      </c>
      <c r="F14" s="157"/>
      <c r="G14" s="157"/>
      <c r="H14" s="157"/>
      <c r="I14" s="157"/>
      <c r="J14" s="157"/>
      <c r="K14" s="157"/>
      <c r="L14" s="157"/>
      <c r="M14" s="157">
        <v>4.3099999999999996</v>
      </c>
      <c r="N14" s="157">
        <v>4.3099999999999996</v>
      </c>
      <c r="O14" s="157">
        <f t="shared" si="0"/>
        <v>4.3099999999999996</v>
      </c>
      <c r="P14" s="157">
        <v>4.75</v>
      </c>
      <c r="Q14" s="157">
        <v>4.75</v>
      </c>
      <c r="R14" s="157">
        <v>4.75</v>
      </c>
      <c r="S14" s="157">
        <v>4.9400000000000004</v>
      </c>
      <c r="T14" s="157">
        <v>4.9400000000000004</v>
      </c>
      <c r="U14" s="157">
        <v>4.9400000000000004</v>
      </c>
    </row>
    <row r="15" spans="2:21">
      <c r="C15" s="161"/>
      <c r="F15" s="157"/>
      <c r="G15" s="157"/>
      <c r="H15" s="157"/>
      <c r="I15" s="157"/>
      <c r="J15" s="157"/>
      <c r="K15" s="157"/>
      <c r="L15" s="157"/>
      <c r="M15" s="157"/>
      <c r="N15" s="157"/>
      <c r="O15" s="157"/>
      <c r="P15" s="157"/>
      <c r="Q15" s="157"/>
      <c r="R15" s="157"/>
      <c r="S15" s="157"/>
      <c r="T15" s="157"/>
      <c r="U15" s="157"/>
    </row>
    <row r="16" spans="2:21">
      <c r="C16" s="158">
        <v>1</v>
      </c>
      <c r="D16" s="158">
        <f>C16+1</f>
        <v>2</v>
      </c>
      <c r="E16" s="158">
        <f t="shared" ref="E16:U16" si="1">D16+1</f>
        <v>3</v>
      </c>
      <c r="F16" s="158">
        <f t="shared" si="1"/>
        <v>4</v>
      </c>
      <c r="G16" s="158">
        <f t="shared" si="1"/>
        <v>5</v>
      </c>
      <c r="H16" s="158">
        <f t="shared" si="1"/>
        <v>6</v>
      </c>
      <c r="I16" s="158">
        <f t="shared" si="1"/>
        <v>7</v>
      </c>
      <c r="J16" s="158">
        <f t="shared" si="1"/>
        <v>8</v>
      </c>
      <c r="K16" s="158">
        <f t="shared" si="1"/>
        <v>9</v>
      </c>
      <c r="L16" s="158">
        <f t="shared" si="1"/>
        <v>10</v>
      </c>
      <c r="M16" s="158">
        <f t="shared" si="1"/>
        <v>11</v>
      </c>
      <c r="N16" s="158">
        <f t="shared" si="1"/>
        <v>12</v>
      </c>
      <c r="O16" s="158">
        <f t="shared" si="1"/>
        <v>13</v>
      </c>
      <c r="P16" s="158">
        <f t="shared" si="1"/>
        <v>14</v>
      </c>
      <c r="Q16" s="158">
        <f t="shared" si="1"/>
        <v>15</v>
      </c>
      <c r="R16" s="158">
        <f t="shared" si="1"/>
        <v>16</v>
      </c>
      <c r="S16" s="158">
        <f t="shared" si="1"/>
        <v>17</v>
      </c>
      <c r="T16" s="158">
        <f t="shared" si="1"/>
        <v>18</v>
      </c>
      <c r="U16" s="158">
        <f t="shared" si="1"/>
        <v>19</v>
      </c>
    </row>
    <row r="17" spans="2:21">
      <c r="B17" s="158">
        <v>360</v>
      </c>
      <c r="C17" s="161" t="s">
        <v>610</v>
      </c>
      <c r="F17" s="157">
        <f>F$2</f>
        <v>34.9</v>
      </c>
      <c r="G17" s="157">
        <f t="shared" ref="G17:U17" si="2">G$2</f>
        <v>35.840000000000003</v>
      </c>
      <c r="H17" s="157">
        <f t="shared" si="2"/>
        <v>38.28</v>
      </c>
      <c r="I17" s="157">
        <f t="shared" si="2"/>
        <v>38.44</v>
      </c>
      <c r="J17" s="157">
        <f t="shared" si="2"/>
        <v>39.520000000000003</v>
      </c>
      <c r="K17" s="157">
        <f t="shared" si="2"/>
        <v>39.909999999999997</v>
      </c>
      <c r="L17" s="157">
        <f t="shared" si="2"/>
        <v>40.81</v>
      </c>
      <c r="M17" s="157">
        <f t="shared" si="2"/>
        <v>40.19</v>
      </c>
      <c r="N17" s="157">
        <f t="shared" si="2"/>
        <v>40.270000000000003</v>
      </c>
      <c r="O17" s="157">
        <f t="shared" si="2"/>
        <v>44.78</v>
      </c>
      <c r="P17" s="157">
        <f t="shared" si="2"/>
        <v>49.34</v>
      </c>
      <c r="Q17" s="157">
        <f t="shared" si="2"/>
        <v>49.29</v>
      </c>
      <c r="R17" s="157">
        <f t="shared" si="2"/>
        <v>51</v>
      </c>
      <c r="S17" s="157">
        <f t="shared" si="2"/>
        <v>53.01</v>
      </c>
      <c r="T17" s="157">
        <f t="shared" si="2"/>
        <v>53.15</v>
      </c>
      <c r="U17" s="157">
        <f t="shared" si="2"/>
        <v>55.33</v>
      </c>
    </row>
    <row r="18" spans="2:21">
      <c r="B18" s="158">
        <v>361</v>
      </c>
      <c r="C18" s="161" t="s">
        <v>611</v>
      </c>
      <c r="F18" s="162">
        <f>F$2+F$4+F$7+F$7+F$8</f>
        <v>57.25</v>
      </c>
      <c r="G18" s="162">
        <f t="shared" ref="G18:U18" si="3">G$2+G$4+G$7+G$7+G$8</f>
        <v>58.78</v>
      </c>
      <c r="H18" s="162">
        <f t="shared" si="3"/>
        <v>62.800000000000011</v>
      </c>
      <c r="I18" s="162">
        <f t="shared" si="3"/>
        <v>62.960000000000008</v>
      </c>
      <c r="J18" s="162">
        <f t="shared" si="3"/>
        <v>64.040000000000006</v>
      </c>
      <c r="K18" s="162">
        <f t="shared" si="3"/>
        <v>64.430000000000007</v>
      </c>
      <c r="L18" s="162">
        <f t="shared" si="3"/>
        <v>65.330000000000013</v>
      </c>
      <c r="M18" s="162">
        <f t="shared" si="3"/>
        <v>64.5</v>
      </c>
      <c r="N18" s="162">
        <f t="shared" si="3"/>
        <v>64.58</v>
      </c>
      <c r="O18" s="162">
        <f t="shared" si="3"/>
        <v>69.09</v>
      </c>
      <c r="P18" s="162">
        <f t="shared" si="3"/>
        <v>76.12</v>
      </c>
      <c r="Q18" s="162">
        <f t="shared" si="3"/>
        <v>76.070000000000007</v>
      </c>
      <c r="R18" s="162">
        <f t="shared" si="3"/>
        <v>77.78</v>
      </c>
      <c r="S18" s="162">
        <f t="shared" si="3"/>
        <v>80.84</v>
      </c>
      <c r="T18" s="162">
        <f t="shared" si="3"/>
        <v>80.98</v>
      </c>
      <c r="U18" s="162">
        <f t="shared" si="3"/>
        <v>83.160000000000011</v>
      </c>
    </row>
    <row r="19" spans="2:21">
      <c r="B19" s="158">
        <v>362</v>
      </c>
      <c r="C19" s="161" t="s">
        <v>612</v>
      </c>
      <c r="F19" s="162">
        <f>F$2+F$13</f>
        <v>38.46</v>
      </c>
      <c r="G19" s="162">
        <f t="shared" ref="G19:U19" si="4">G$2+G$13</f>
        <v>39.5</v>
      </c>
      <c r="H19" s="162">
        <f t="shared" si="4"/>
        <v>42.19</v>
      </c>
      <c r="I19" s="162">
        <f t="shared" si="4"/>
        <v>42.349999999999994</v>
      </c>
      <c r="J19" s="162">
        <f t="shared" si="4"/>
        <v>43.430000000000007</v>
      </c>
      <c r="K19" s="162">
        <f t="shared" si="4"/>
        <v>43.819999999999993</v>
      </c>
      <c r="L19" s="162">
        <f t="shared" si="4"/>
        <v>44.72</v>
      </c>
      <c r="M19" s="162">
        <f t="shared" si="4"/>
        <v>44.07</v>
      </c>
      <c r="N19" s="162">
        <f t="shared" si="4"/>
        <v>44.150000000000006</v>
      </c>
      <c r="O19" s="162">
        <f t="shared" si="4"/>
        <v>48.660000000000004</v>
      </c>
      <c r="P19" s="162">
        <f t="shared" si="4"/>
        <v>53.620000000000005</v>
      </c>
      <c r="Q19" s="162">
        <f t="shared" si="4"/>
        <v>53.57</v>
      </c>
      <c r="R19" s="162">
        <f t="shared" si="4"/>
        <v>55.28</v>
      </c>
      <c r="S19" s="162">
        <f t="shared" si="4"/>
        <v>57.46</v>
      </c>
      <c r="T19" s="162">
        <f t="shared" si="4"/>
        <v>57.6</v>
      </c>
      <c r="U19" s="162">
        <f t="shared" si="4"/>
        <v>59.78</v>
      </c>
    </row>
    <row r="20" spans="2:21">
      <c r="B20" s="158">
        <v>363</v>
      </c>
      <c r="C20" s="161" t="s">
        <v>613</v>
      </c>
      <c r="F20" s="162">
        <f>F$2+F$5+F$5</f>
        <v>40.04</v>
      </c>
      <c r="G20" s="162">
        <f t="shared" ref="G20:U20" si="5">G$2+G$5+G$5</f>
        <v>41.120000000000005</v>
      </c>
      <c r="H20" s="162">
        <f t="shared" si="5"/>
        <v>43.92</v>
      </c>
      <c r="I20" s="162">
        <f t="shared" si="5"/>
        <v>44.08</v>
      </c>
      <c r="J20" s="162">
        <f t="shared" si="5"/>
        <v>45.160000000000004</v>
      </c>
      <c r="K20" s="162">
        <f t="shared" si="5"/>
        <v>45.55</v>
      </c>
      <c r="L20" s="162">
        <f t="shared" si="5"/>
        <v>46.45</v>
      </c>
      <c r="M20" s="162">
        <f t="shared" si="5"/>
        <v>45.789999999999992</v>
      </c>
      <c r="N20" s="162">
        <f t="shared" si="5"/>
        <v>45.87</v>
      </c>
      <c r="O20" s="162">
        <f t="shared" si="5"/>
        <v>50.379999999999995</v>
      </c>
      <c r="P20" s="162">
        <f t="shared" si="5"/>
        <v>55.52000000000001</v>
      </c>
      <c r="Q20" s="162">
        <f t="shared" si="5"/>
        <v>55.47</v>
      </c>
      <c r="R20" s="162">
        <f t="shared" si="5"/>
        <v>57.180000000000007</v>
      </c>
      <c r="S20" s="162">
        <f t="shared" si="5"/>
        <v>59.43</v>
      </c>
      <c r="T20" s="162">
        <f t="shared" si="5"/>
        <v>59.57</v>
      </c>
      <c r="U20" s="162">
        <f t="shared" si="5"/>
        <v>61.75</v>
      </c>
    </row>
    <row r="21" spans="2:21">
      <c r="B21" s="158">
        <v>364</v>
      </c>
      <c r="C21" s="161" t="s">
        <v>614</v>
      </c>
      <c r="F21" s="162">
        <f>F$2+F$5+F$5+F$8</f>
        <v>41.13</v>
      </c>
      <c r="G21" s="162">
        <f t="shared" ref="G21:U21" si="6">G$2+G$5+G$5+G$8</f>
        <v>42.24</v>
      </c>
      <c r="H21" s="162">
        <f t="shared" si="6"/>
        <v>45.120000000000005</v>
      </c>
      <c r="I21" s="162">
        <f t="shared" si="6"/>
        <v>45.28</v>
      </c>
      <c r="J21" s="162">
        <f t="shared" si="6"/>
        <v>46.360000000000007</v>
      </c>
      <c r="K21" s="162">
        <f t="shared" si="6"/>
        <v>46.75</v>
      </c>
      <c r="L21" s="162">
        <f t="shared" si="6"/>
        <v>47.650000000000006</v>
      </c>
      <c r="M21" s="162">
        <f t="shared" si="6"/>
        <v>46.97999999999999</v>
      </c>
      <c r="N21" s="162">
        <f t="shared" si="6"/>
        <v>47.059999999999995</v>
      </c>
      <c r="O21" s="162">
        <f t="shared" si="6"/>
        <v>51.569999999999993</v>
      </c>
      <c r="P21" s="162">
        <f t="shared" si="6"/>
        <v>56.830000000000013</v>
      </c>
      <c r="Q21" s="162">
        <f t="shared" si="6"/>
        <v>56.78</v>
      </c>
      <c r="R21" s="162">
        <f t="shared" si="6"/>
        <v>58.490000000000009</v>
      </c>
      <c r="S21" s="162">
        <f t="shared" si="6"/>
        <v>60.79</v>
      </c>
      <c r="T21" s="162">
        <f t="shared" si="6"/>
        <v>60.93</v>
      </c>
      <c r="U21" s="162">
        <f t="shared" si="6"/>
        <v>63.11</v>
      </c>
    </row>
    <row r="22" spans="2:21">
      <c r="B22" s="158">
        <v>365</v>
      </c>
      <c r="C22" s="161" t="s">
        <v>615</v>
      </c>
      <c r="F22" s="162">
        <f>F$2+F$5+F$5+F$10</f>
        <v>55.45</v>
      </c>
      <c r="G22" s="162">
        <f t="shared" ref="G22:U22" si="7">G$2+G$5+G$5+G$10</f>
        <v>56.940000000000005</v>
      </c>
      <c r="H22" s="162">
        <f t="shared" si="7"/>
        <v>60.82</v>
      </c>
      <c r="I22" s="162">
        <f t="shared" si="7"/>
        <v>60.98</v>
      </c>
      <c r="J22" s="162">
        <f t="shared" si="7"/>
        <v>62.06</v>
      </c>
      <c r="K22" s="162">
        <f t="shared" si="7"/>
        <v>62.449999999999996</v>
      </c>
      <c r="L22" s="162">
        <f t="shared" si="7"/>
        <v>63.35</v>
      </c>
      <c r="M22" s="162">
        <f t="shared" si="7"/>
        <v>62.539999999999992</v>
      </c>
      <c r="N22" s="162">
        <f t="shared" si="7"/>
        <v>62.62</v>
      </c>
      <c r="O22" s="162">
        <f t="shared" si="7"/>
        <v>67.13</v>
      </c>
      <c r="P22" s="162">
        <f t="shared" si="7"/>
        <v>73.980000000000018</v>
      </c>
      <c r="Q22" s="162">
        <f t="shared" si="7"/>
        <v>73.930000000000007</v>
      </c>
      <c r="R22" s="162">
        <f t="shared" si="7"/>
        <v>75.640000000000015</v>
      </c>
      <c r="S22" s="162">
        <f t="shared" si="7"/>
        <v>78.62</v>
      </c>
      <c r="T22" s="162">
        <f t="shared" si="7"/>
        <v>78.760000000000005</v>
      </c>
      <c r="U22" s="162">
        <f t="shared" si="7"/>
        <v>80.94</v>
      </c>
    </row>
    <row r="23" spans="2:21">
      <c r="B23" s="158">
        <v>366</v>
      </c>
      <c r="C23" s="161" t="s">
        <v>616</v>
      </c>
      <c r="F23" s="162">
        <f>F$2+F$10+F$13</f>
        <v>53.870000000000005</v>
      </c>
      <c r="G23" s="162">
        <f t="shared" ref="G23:U23" si="8">G$2+G$10+G$13</f>
        <v>55.320000000000007</v>
      </c>
      <c r="H23" s="162">
        <f t="shared" si="8"/>
        <v>59.09</v>
      </c>
      <c r="I23" s="162">
        <f t="shared" si="8"/>
        <v>59.25</v>
      </c>
      <c r="J23" s="162">
        <f t="shared" si="8"/>
        <v>60.33</v>
      </c>
      <c r="K23" s="162">
        <f t="shared" si="8"/>
        <v>60.72</v>
      </c>
      <c r="L23" s="162">
        <f t="shared" si="8"/>
        <v>61.620000000000005</v>
      </c>
      <c r="M23" s="162">
        <f t="shared" si="8"/>
        <v>60.82</v>
      </c>
      <c r="N23" s="162">
        <f t="shared" si="8"/>
        <v>60.900000000000006</v>
      </c>
      <c r="O23" s="162">
        <f t="shared" si="8"/>
        <v>65.41</v>
      </c>
      <c r="P23" s="162">
        <f t="shared" si="8"/>
        <v>72.080000000000013</v>
      </c>
      <c r="Q23" s="162">
        <f t="shared" si="8"/>
        <v>72.03</v>
      </c>
      <c r="R23" s="162">
        <f t="shared" si="8"/>
        <v>73.740000000000009</v>
      </c>
      <c r="S23" s="162">
        <f t="shared" si="8"/>
        <v>76.650000000000006</v>
      </c>
      <c r="T23" s="162">
        <f t="shared" si="8"/>
        <v>76.790000000000006</v>
      </c>
      <c r="U23" s="162">
        <f t="shared" si="8"/>
        <v>78.97</v>
      </c>
    </row>
    <row r="24" spans="2:21">
      <c r="B24" s="158">
        <v>367</v>
      </c>
      <c r="C24" s="161" t="s">
        <v>617</v>
      </c>
      <c r="F24" s="162">
        <f>F$2+F$7+F$7</f>
        <v>39.639999999999993</v>
      </c>
      <c r="G24" s="162">
        <f t="shared" ref="G24:U24" si="9">G$2+G$7+G$7</f>
        <v>40.700000000000003</v>
      </c>
      <c r="H24" s="162">
        <f t="shared" si="9"/>
        <v>43.480000000000004</v>
      </c>
      <c r="I24" s="162">
        <f t="shared" si="9"/>
        <v>43.64</v>
      </c>
      <c r="J24" s="162">
        <f t="shared" si="9"/>
        <v>44.720000000000006</v>
      </c>
      <c r="K24" s="162">
        <f t="shared" si="9"/>
        <v>45.11</v>
      </c>
      <c r="L24" s="162">
        <f t="shared" si="9"/>
        <v>46.010000000000005</v>
      </c>
      <c r="M24" s="162">
        <f t="shared" si="9"/>
        <v>45.349999999999994</v>
      </c>
      <c r="N24" s="162">
        <f t="shared" si="9"/>
        <v>45.43</v>
      </c>
      <c r="O24" s="162">
        <f t="shared" si="9"/>
        <v>49.94</v>
      </c>
      <c r="P24" s="162">
        <f t="shared" si="9"/>
        <v>55.02000000000001</v>
      </c>
      <c r="Q24" s="162">
        <f t="shared" si="9"/>
        <v>54.97</v>
      </c>
      <c r="R24" s="162">
        <f t="shared" si="9"/>
        <v>56.680000000000007</v>
      </c>
      <c r="S24" s="162">
        <f t="shared" si="9"/>
        <v>58.910000000000004</v>
      </c>
      <c r="T24" s="162">
        <f t="shared" si="9"/>
        <v>59.050000000000004</v>
      </c>
      <c r="U24" s="162">
        <f t="shared" si="9"/>
        <v>61.230000000000004</v>
      </c>
    </row>
    <row r="25" spans="2:21">
      <c r="B25" s="158">
        <v>368</v>
      </c>
      <c r="C25" s="158" t="s">
        <v>618</v>
      </c>
      <c r="F25" s="162">
        <f>F$2+F$8</f>
        <v>35.99</v>
      </c>
      <c r="G25" s="162">
        <f t="shared" ref="G25:U25" si="10">G$2+G$8</f>
        <v>36.96</v>
      </c>
      <c r="H25" s="162">
        <f t="shared" si="10"/>
        <v>39.480000000000004</v>
      </c>
      <c r="I25" s="162">
        <f t="shared" si="10"/>
        <v>39.64</v>
      </c>
      <c r="J25" s="162">
        <f t="shared" si="10"/>
        <v>40.720000000000006</v>
      </c>
      <c r="K25" s="162">
        <f t="shared" si="10"/>
        <v>41.11</v>
      </c>
      <c r="L25" s="162">
        <f t="shared" si="10"/>
        <v>42.010000000000005</v>
      </c>
      <c r="M25" s="162">
        <f t="shared" si="10"/>
        <v>41.379999999999995</v>
      </c>
      <c r="N25" s="162">
        <f t="shared" si="10"/>
        <v>41.46</v>
      </c>
      <c r="O25" s="162">
        <f t="shared" si="10"/>
        <v>45.97</v>
      </c>
      <c r="P25" s="162">
        <f t="shared" si="10"/>
        <v>50.650000000000006</v>
      </c>
      <c r="Q25" s="162">
        <f t="shared" si="10"/>
        <v>50.6</v>
      </c>
      <c r="R25" s="162">
        <f t="shared" si="10"/>
        <v>52.31</v>
      </c>
      <c r="S25" s="162">
        <f t="shared" si="10"/>
        <v>54.37</v>
      </c>
      <c r="T25" s="162">
        <f t="shared" si="10"/>
        <v>54.51</v>
      </c>
      <c r="U25" s="162">
        <f t="shared" si="10"/>
        <v>56.69</v>
      </c>
    </row>
    <row r="26" spans="2:21">
      <c r="B26" s="158">
        <v>370</v>
      </c>
      <c r="C26" s="158" t="s">
        <v>619</v>
      </c>
      <c r="F26" s="162">
        <f>F$2+F$10</f>
        <v>50.31</v>
      </c>
      <c r="G26" s="162">
        <f t="shared" ref="G26:U26" si="11">G$2+G$10</f>
        <v>51.660000000000004</v>
      </c>
      <c r="H26" s="162">
        <f t="shared" si="11"/>
        <v>55.18</v>
      </c>
      <c r="I26" s="162">
        <f t="shared" si="11"/>
        <v>55.339999999999996</v>
      </c>
      <c r="J26" s="162">
        <f t="shared" si="11"/>
        <v>56.42</v>
      </c>
      <c r="K26" s="162">
        <f t="shared" si="11"/>
        <v>56.809999999999995</v>
      </c>
      <c r="L26" s="162">
        <f t="shared" si="11"/>
        <v>57.71</v>
      </c>
      <c r="M26" s="162">
        <f t="shared" si="11"/>
        <v>56.94</v>
      </c>
      <c r="N26" s="162">
        <f t="shared" si="11"/>
        <v>57.02</v>
      </c>
      <c r="O26" s="162">
        <f t="shared" si="11"/>
        <v>61.53</v>
      </c>
      <c r="P26" s="162">
        <f t="shared" si="11"/>
        <v>67.800000000000011</v>
      </c>
      <c r="Q26" s="162">
        <f t="shared" si="11"/>
        <v>67.75</v>
      </c>
      <c r="R26" s="162">
        <f t="shared" si="11"/>
        <v>69.460000000000008</v>
      </c>
      <c r="S26" s="162">
        <f t="shared" si="11"/>
        <v>72.2</v>
      </c>
      <c r="T26" s="162">
        <f t="shared" si="11"/>
        <v>72.34</v>
      </c>
      <c r="U26" s="162">
        <f t="shared" si="11"/>
        <v>74.52</v>
      </c>
    </row>
    <row r="27" spans="2:21">
      <c r="B27" s="158">
        <v>371</v>
      </c>
      <c r="C27" s="161" t="s">
        <v>620</v>
      </c>
      <c r="F27" s="162">
        <f>F$2+F$4+F$7+F$7+F$8+F$10</f>
        <v>72.66</v>
      </c>
      <c r="G27" s="162">
        <f t="shared" ref="G27:U27" si="12">G$2+G$4+G$7+G$7+G$8+G$10</f>
        <v>74.599999999999994</v>
      </c>
      <c r="H27" s="162">
        <f t="shared" si="12"/>
        <v>79.700000000000017</v>
      </c>
      <c r="I27" s="162">
        <f t="shared" si="12"/>
        <v>79.860000000000014</v>
      </c>
      <c r="J27" s="162">
        <f t="shared" si="12"/>
        <v>80.94</v>
      </c>
      <c r="K27" s="162">
        <f t="shared" si="12"/>
        <v>81.330000000000013</v>
      </c>
      <c r="L27" s="162">
        <f t="shared" si="12"/>
        <v>82.230000000000018</v>
      </c>
      <c r="M27" s="162">
        <f t="shared" si="12"/>
        <v>81.25</v>
      </c>
      <c r="N27" s="162">
        <f t="shared" si="12"/>
        <v>81.33</v>
      </c>
      <c r="O27" s="162">
        <f t="shared" si="12"/>
        <v>85.84</v>
      </c>
      <c r="P27" s="162">
        <f t="shared" si="12"/>
        <v>94.580000000000013</v>
      </c>
      <c r="Q27" s="162">
        <f t="shared" si="12"/>
        <v>94.53</v>
      </c>
      <c r="R27" s="162">
        <f t="shared" si="12"/>
        <v>96.240000000000009</v>
      </c>
      <c r="S27" s="162">
        <f t="shared" si="12"/>
        <v>100.03</v>
      </c>
      <c r="T27" s="162">
        <f t="shared" si="12"/>
        <v>100.17</v>
      </c>
      <c r="U27" s="162">
        <f t="shared" si="12"/>
        <v>102.35000000000001</v>
      </c>
    </row>
    <row r="28" spans="2:21">
      <c r="B28" s="158">
        <v>372</v>
      </c>
      <c r="C28" s="161" t="s">
        <v>621</v>
      </c>
      <c r="F28" s="162">
        <f>F$2+F$5+F$5+F$8+F$10</f>
        <v>56.540000000000006</v>
      </c>
      <c r="G28" s="162">
        <f t="shared" ref="G28:U28" si="13">G$2+G$5+G$5+G$8+G$10</f>
        <v>58.06</v>
      </c>
      <c r="H28" s="162">
        <f t="shared" si="13"/>
        <v>62.02</v>
      </c>
      <c r="I28" s="162">
        <f t="shared" si="13"/>
        <v>62.18</v>
      </c>
      <c r="J28" s="162">
        <f t="shared" si="13"/>
        <v>63.260000000000005</v>
      </c>
      <c r="K28" s="162">
        <f t="shared" si="13"/>
        <v>63.65</v>
      </c>
      <c r="L28" s="162">
        <f t="shared" si="13"/>
        <v>64.550000000000011</v>
      </c>
      <c r="M28" s="162">
        <f t="shared" si="13"/>
        <v>63.72999999999999</v>
      </c>
      <c r="N28" s="162">
        <f t="shared" si="13"/>
        <v>63.809999999999995</v>
      </c>
      <c r="O28" s="162">
        <f t="shared" si="13"/>
        <v>68.319999999999993</v>
      </c>
      <c r="P28" s="162">
        <f t="shared" si="13"/>
        <v>75.29000000000002</v>
      </c>
      <c r="Q28" s="162">
        <f t="shared" si="13"/>
        <v>75.240000000000009</v>
      </c>
      <c r="R28" s="162">
        <f t="shared" si="13"/>
        <v>76.950000000000017</v>
      </c>
      <c r="S28" s="162">
        <f t="shared" si="13"/>
        <v>79.98</v>
      </c>
      <c r="T28" s="162">
        <f t="shared" si="13"/>
        <v>80.12</v>
      </c>
      <c r="U28" s="162">
        <f t="shared" si="13"/>
        <v>82.3</v>
      </c>
    </row>
    <row r="29" spans="2:21">
      <c r="B29" s="158">
        <v>373</v>
      </c>
      <c r="C29" s="158" t="s">
        <v>619</v>
      </c>
      <c r="F29" s="162">
        <f>F$2+F$10</f>
        <v>50.31</v>
      </c>
      <c r="G29" s="162">
        <f t="shared" ref="G29:U29" si="14">G$2+G$10</f>
        <v>51.660000000000004</v>
      </c>
      <c r="H29" s="162">
        <f t="shared" si="14"/>
        <v>55.18</v>
      </c>
      <c r="I29" s="162">
        <f t="shared" si="14"/>
        <v>55.339999999999996</v>
      </c>
      <c r="J29" s="162">
        <f t="shared" si="14"/>
        <v>56.42</v>
      </c>
      <c r="K29" s="162">
        <f t="shared" si="14"/>
        <v>56.809999999999995</v>
      </c>
      <c r="L29" s="162">
        <f t="shared" si="14"/>
        <v>57.71</v>
      </c>
      <c r="M29" s="162">
        <f t="shared" si="14"/>
        <v>56.94</v>
      </c>
      <c r="N29" s="162">
        <f t="shared" si="14"/>
        <v>57.02</v>
      </c>
      <c r="O29" s="162">
        <f t="shared" si="14"/>
        <v>61.53</v>
      </c>
      <c r="P29" s="162">
        <f t="shared" si="14"/>
        <v>67.800000000000011</v>
      </c>
      <c r="Q29" s="162">
        <f t="shared" si="14"/>
        <v>67.75</v>
      </c>
      <c r="R29" s="162">
        <f t="shared" si="14"/>
        <v>69.460000000000008</v>
      </c>
      <c r="S29" s="162">
        <f t="shared" si="14"/>
        <v>72.2</v>
      </c>
      <c r="T29" s="162">
        <f t="shared" si="14"/>
        <v>72.34</v>
      </c>
      <c r="U29" s="162">
        <f t="shared" si="14"/>
        <v>74.52</v>
      </c>
    </row>
    <row r="30" spans="2:21">
      <c r="B30" s="158">
        <v>374</v>
      </c>
      <c r="C30" s="158" t="s">
        <v>622</v>
      </c>
      <c r="F30" s="162">
        <f>F$2+F$8+F$10</f>
        <v>51.400000000000006</v>
      </c>
      <c r="G30" s="162">
        <f t="shared" ref="G30:U30" si="15">G$2+G$8+G$10</f>
        <v>52.78</v>
      </c>
      <c r="H30" s="162">
        <f t="shared" si="15"/>
        <v>56.38</v>
      </c>
      <c r="I30" s="162">
        <f t="shared" si="15"/>
        <v>56.54</v>
      </c>
      <c r="J30" s="162">
        <f t="shared" si="15"/>
        <v>57.620000000000005</v>
      </c>
      <c r="K30" s="162">
        <f t="shared" si="15"/>
        <v>58.01</v>
      </c>
      <c r="L30" s="162">
        <f t="shared" si="15"/>
        <v>58.910000000000004</v>
      </c>
      <c r="M30" s="162">
        <f t="shared" si="15"/>
        <v>58.129999999999995</v>
      </c>
      <c r="N30" s="162">
        <f t="shared" si="15"/>
        <v>58.21</v>
      </c>
      <c r="O30" s="162">
        <f t="shared" si="15"/>
        <v>62.72</v>
      </c>
      <c r="P30" s="162">
        <f t="shared" si="15"/>
        <v>69.110000000000014</v>
      </c>
      <c r="Q30" s="162">
        <f t="shared" si="15"/>
        <v>69.06</v>
      </c>
      <c r="R30" s="162">
        <f t="shared" si="15"/>
        <v>70.77000000000001</v>
      </c>
      <c r="S30" s="162">
        <f t="shared" si="15"/>
        <v>73.56</v>
      </c>
      <c r="T30" s="162">
        <f t="shared" si="15"/>
        <v>73.7</v>
      </c>
      <c r="U30" s="162">
        <f t="shared" si="15"/>
        <v>75.88</v>
      </c>
    </row>
    <row r="31" spans="2:21">
      <c r="B31" s="158">
        <v>375</v>
      </c>
      <c r="C31" s="158" t="s">
        <v>616</v>
      </c>
      <c r="F31" s="162">
        <f>F$2+F$13+F$10</f>
        <v>53.870000000000005</v>
      </c>
      <c r="G31" s="162">
        <f t="shared" ref="G31:U31" si="16">G$2+G$13+G$10</f>
        <v>55.32</v>
      </c>
      <c r="H31" s="162">
        <f t="shared" si="16"/>
        <v>59.089999999999996</v>
      </c>
      <c r="I31" s="162">
        <f t="shared" si="16"/>
        <v>59.249999999999993</v>
      </c>
      <c r="J31" s="162">
        <f t="shared" si="16"/>
        <v>60.330000000000005</v>
      </c>
      <c r="K31" s="162">
        <f t="shared" si="16"/>
        <v>60.719999999999992</v>
      </c>
      <c r="L31" s="162">
        <f t="shared" si="16"/>
        <v>61.62</v>
      </c>
      <c r="M31" s="162">
        <f t="shared" si="16"/>
        <v>60.82</v>
      </c>
      <c r="N31" s="162">
        <f t="shared" si="16"/>
        <v>60.900000000000006</v>
      </c>
      <c r="O31" s="162">
        <f t="shared" si="16"/>
        <v>65.41</v>
      </c>
      <c r="P31" s="162">
        <f t="shared" si="16"/>
        <v>72.080000000000013</v>
      </c>
      <c r="Q31" s="162">
        <f t="shared" si="16"/>
        <v>72.03</v>
      </c>
      <c r="R31" s="162">
        <f t="shared" si="16"/>
        <v>73.740000000000009</v>
      </c>
      <c r="S31" s="162">
        <f t="shared" si="16"/>
        <v>76.650000000000006</v>
      </c>
      <c r="T31" s="162">
        <f t="shared" si="16"/>
        <v>76.790000000000006</v>
      </c>
      <c r="U31" s="162">
        <f t="shared" si="16"/>
        <v>78.97</v>
      </c>
    </row>
    <row r="32" spans="2:21">
      <c r="B32" s="158">
        <v>376</v>
      </c>
      <c r="C32" s="161" t="s">
        <v>623</v>
      </c>
      <c r="F32" s="162">
        <f>F$2+F$4+F$8</f>
        <v>52.510000000000005</v>
      </c>
      <c r="G32" s="162">
        <f t="shared" ref="G32:U32" si="17">G$2+G$4+G$8</f>
        <v>53.92</v>
      </c>
      <c r="H32" s="162">
        <f t="shared" si="17"/>
        <v>57.600000000000009</v>
      </c>
      <c r="I32" s="162">
        <f t="shared" si="17"/>
        <v>57.760000000000005</v>
      </c>
      <c r="J32" s="162">
        <f t="shared" si="17"/>
        <v>58.84</v>
      </c>
      <c r="K32" s="162">
        <f t="shared" si="17"/>
        <v>59.230000000000004</v>
      </c>
      <c r="L32" s="162">
        <f t="shared" si="17"/>
        <v>60.13000000000001</v>
      </c>
      <c r="M32" s="162">
        <f t="shared" si="17"/>
        <v>59.339999999999996</v>
      </c>
      <c r="N32" s="162">
        <f t="shared" si="17"/>
        <v>59.42</v>
      </c>
      <c r="O32" s="162">
        <f t="shared" si="17"/>
        <v>63.93</v>
      </c>
      <c r="P32" s="162">
        <f t="shared" si="17"/>
        <v>70.44</v>
      </c>
      <c r="Q32" s="162">
        <f t="shared" si="17"/>
        <v>70.39</v>
      </c>
      <c r="R32" s="162">
        <f t="shared" si="17"/>
        <v>72.099999999999994</v>
      </c>
      <c r="S32" s="162">
        <f t="shared" si="17"/>
        <v>74.94</v>
      </c>
      <c r="T32" s="162">
        <f t="shared" si="17"/>
        <v>75.08</v>
      </c>
      <c r="U32" s="162">
        <f t="shared" si="17"/>
        <v>77.260000000000005</v>
      </c>
    </row>
    <row r="33" spans="2:31">
      <c r="B33" s="158">
        <v>377</v>
      </c>
      <c r="C33" s="161" t="s">
        <v>624</v>
      </c>
      <c r="F33" s="162">
        <f>F$2+F$6 + F$6</f>
        <v>34.9</v>
      </c>
      <c r="G33" s="162">
        <f t="shared" ref="G33:U33" si="18">G$2+G$6 + G$6</f>
        <v>43.180000000000007</v>
      </c>
      <c r="H33" s="162">
        <f t="shared" si="18"/>
        <v>46.08</v>
      </c>
      <c r="I33" s="162">
        <f t="shared" si="18"/>
        <v>46.239999999999995</v>
      </c>
      <c r="J33" s="162">
        <f t="shared" si="18"/>
        <v>47.32</v>
      </c>
      <c r="K33" s="162">
        <f t="shared" si="18"/>
        <v>47.709999999999994</v>
      </c>
      <c r="L33" s="162">
        <f t="shared" si="18"/>
        <v>48.61</v>
      </c>
      <c r="M33" s="162">
        <f t="shared" si="18"/>
        <v>47.929999999999993</v>
      </c>
      <c r="N33" s="162">
        <f t="shared" si="18"/>
        <v>48.01</v>
      </c>
      <c r="O33" s="162">
        <f t="shared" si="18"/>
        <v>52.519999999999996</v>
      </c>
      <c r="P33" s="162">
        <f t="shared" si="18"/>
        <v>57.86</v>
      </c>
      <c r="Q33" s="162">
        <f t="shared" si="18"/>
        <v>57.809999999999995</v>
      </c>
      <c r="R33" s="162">
        <f t="shared" si="18"/>
        <v>59.519999999999996</v>
      </c>
      <c r="S33" s="162">
        <f t="shared" si="18"/>
        <v>61.87</v>
      </c>
      <c r="T33" s="162">
        <f t="shared" si="18"/>
        <v>62.01</v>
      </c>
      <c r="U33" s="162">
        <f t="shared" si="18"/>
        <v>64.19</v>
      </c>
      <c r="Y33" s="158">
        <f>MiscData!$C$25</f>
        <v>20140101</v>
      </c>
    </row>
    <row r="34" spans="2:31">
      <c r="B34" s="158">
        <v>378</v>
      </c>
      <c r="C34" s="161" t="s">
        <v>641</v>
      </c>
      <c r="F34" s="162"/>
      <c r="G34" s="162"/>
      <c r="H34" s="162"/>
      <c r="I34" s="162"/>
      <c r="J34" s="162"/>
      <c r="K34" s="162"/>
      <c r="L34" s="162"/>
      <c r="M34" s="162"/>
      <c r="N34" s="162"/>
      <c r="O34" s="162"/>
      <c r="P34" s="162">
        <f t="shared" ref="P34:U34" si="19">P$2+P$4</f>
        <v>69.13</v>
      </c>
      <c r="Q34" s="162">
        <f t="shared" si="19"/>
        <v>69.08</v>
      </c>
      <c r="R34" s="162">
        <f t="shared" si="19"/>
        <v>70.789999999999992</v>
      </c>
      <c r="S34" s="162">
        <f t="shared" si="19"/>
        <v>73.58</v>
      </c>
      <c r="T34" s="162">
        <f t="shared" si="19"/>
        <v>73.72</v>
      </c>
      <c r="U34" s="162">
        <f t="shared" si="19"/>
        <v>75.900000000000006</v>
      </c>
    </row>
    <row r="35" spans="2:31">
      <c r="B35" s="158">
        <v>379</v>
      </c>
      <c r="C35" s="161" t="s">
        <v>642</v>
      </c>
      <c r="F35" s="162"/>
      <c r="G35" s="162"/>
      <c r="H35" s="162"/>
      <c r="I35" s="162"/>
      <c r="J35" s="162"/>
      <c r="K35" s="162"/>
      <c r="L35" s="162"/>
      <c r="M35" s="162"/>
      <c r="N35" s="162"/>
      <c r="O35" s="162"/>
      <c r="P35" s="162">
        <f t="shared" ref="P35:U35" si="20">P$2+P$4+P$14</f>
        <v>73.88</v>
      </c>
      <c r="Q35" s="162">
        <f t="shared" si="20"/>
        <v>73.83</v>
      </c>
      <c r="R35" s="162">
        <f t="shared" si="20"/>
        <v>75.539999999999992</v>
      </c>
      <c r="S35" s="162">
        <f t="shared" si="20"/>
        <v>78.52</v>
      </c>
      <c r="T35" s="162">
        <f t="shared" si="20"/>
        <v>78.66</v>
      </c>
      <c r="U35" s="162">
        <f t="shared" si="20"/>
        <v>80.84</v>
      </c>
    </row>
    <row r="36" spans="2:31">
      <c r="B36" s="158">
        <v>380</v>
      </c>
      <c r="C36" s="161" t="s">
        <v>643</v>
      </c>
      <c r="F36" s="162"/>
      <c r="G36" s="162"/>
      <c r="H36" s="162"/>
      <c r="I36" s="162"/>
      <c r="J36" s="162"/>
      <c r="K36" s="162"/>
      <c r="L36" s="162"/>
      <c r="M36" s="162"/>
      <c r="N36" s="162"/>
      <c r="O36" s="162"/>
      <c r="P36" s="162">
        <f t="shared" ref="P36:U36" si="21">P$2+P$4+P$6+P$6</f>
        <v>77.650000000000006</v>
      </c>
      <c r="Q36" s="162">
        <f t="shared" si="21"/>
        <v>77.600000000000009</v>
      </c>
      <c r="R36" s="162">
        <f t="shared" si="21"/>
        <v>79.31</v>
      </c>
      <c r="S36" s="162">
        <f t="shared" si="21"/>
        <v>82.44</v>
      </c>
      <c r="T36" s="162">
        <f t="shared" si="21"/>
        <v>82.580000000000013</v>
      </c>
      <c r="U36" s="162">
        <f t="shared" si="21"/>
        <v>84.760000000000019</v>
      </c>
    </row>
    <row r="37" spans="2:31">
      <c r="B37" s="158">
        <v>381</v>
      </c>
      <c r="C37" s="161" t="s">
        <v>644</v>
      </c>
      <c r="F37" s="162"/>
      <c r="G37" s="162"/>
      <c r="H37" s="162"/>
      <c r="I37" s="162"/>
      <c r="J37" s="162"/>
      <c r="K37" s="162"/>
      <c r="L37" s="162"/>
      <c r="M37" s="162"/>
      <c r="N37" s="162"/>
      <c r="O37" s="162"/>
      <c r="P37" s="162">
        <f t="shared" ref="P37:U37" si="22">P$2+P$4+P$6+P$6+P$8</f>
        <v>78.960000000000008</v>
      </c>
      <c r="Q37" s="162">
        <f t="shared" si="22"/>
        <v>78.910000000000011</v>
      </c>
      <c r="R37" s="162">
        <f t="shared" si="22"/>
        <v>80.62</v>
      </c>
      <c r="S37" s="162">
        <f t="shared" si="22"/>
        <v>83.8</v>
      </c>
      <c r="T37" s="162">
        <f t="shared" si="22"/>
        <v>83.940000000000012</v>
      </c>
      <c r="U37" s="162">
        <f t="shared" si="22"/>
        <v>86.120000000000019</v>
      </c>
    </row>
    <row r="38" spans="2:31">
      <c r="B38" s="158">
        <v>382</v>
      </c>
      <c r="C38" s="161" t="s">
        <v>649</v>
      </c>
      <c r="F38" s="162"/>
      <c r="G38" s="162"/>
      <c r="H38" s="162"/>
      <c r="I38" s="162"/>
      <c r="J38" s="162"/>
      <c r="K38" s="162"/>
      <c r="L38" s="162"/>
      <c r="M38" s="162"/>
      <c r="N38" s="162"/>
      <c r="O38" s="162"/>
      <c r="P38" s="162">
        <f t="shared" ref="P38:U38" si="23">P$2+P$4+P$9+P$9</f>
        <v>76.169999999999987</v>
      </c>
      <c r="Q38" s="162">
        <f t="shared" si="23"/>
        <v>76.11999999999999</v>
      </c>
      <c r="R38" s="162">
        <f t="shared" si="23"/>
        <v>77.829999999999984</v>
      </c>
      <c r="S38" s="162">
        <f t="shared" si="23"/>
        <v>80.899999999999991</v>
      </c>
      <c r="T38" s="162">
        <f t="shared" si="23"/>
        <v>81.039999999999992</v>
      </c>
      <c r="U38" s="162">
        <f t="shared" si="23"/>
        <v>83.22</v>
      </c>
    </row>
    <row r="39" spans="2:31">
      <c r="B39" s="158">
        <v>395</v>
      </c>
      <c r="C39" s="158" t="s">
        <v>625</v>
      </c>
      <c r="F39" s="162">
        <f>F$2</f>
        <v>34.9</v>
      </c>
      <c r="G39" s="162">
        <f t="shared" ref="G39:U39" si="24">G$2</f>
        <v>35.840000000000003</v>
      </c>
      <c r="H39" s="162">
        <f t="shared" si="24"/>
        <v>38.28</v>
      </c>
      <c r="I39" s="162">
        <f t="shared" si="24"/>
        <v>38.44</v>
      </c>
      <c r="J39" s="162">
        <f t="shared" si="24"/>
        <v>39.520000000000003</v>
      </c>
      <c r="K39" s="162">
        <f t="shared" si="24"/>
        <v>39.909999999999997</v>
      </c>
      <c r="L39" s="162">
        <f t="shared" si="24"/>
        <v>40.81</v>
      </c>
      <c r="M39" s="162">
        <f t="shared" si="24"/>
        <v>40.19</v>
      </c>
      <c r="N39" s="162">
        <f t="shared" si="24"/>
        <v>40.270000000000003</v>
      </c>
      <c r="O39" s="162">
        <f t="shared" si="24"/>
        <v>44.78</v>
      </c>
      <c r="P39" s="162">
        <f t="shared" si="24"/>
        <v>49.34</v>
      </c>
      <c r="Q39" s="162">
        <f t="shared" si="24"/>
        <v>49.29</v>
      </c>
      <c r="R39" s="162">
        <f t="shared" si="24"/>
        <v>51</v>
      </c>
      <c r="S39" s="162">
        <f t="shared" si="24"/>
        <v>53.01</v>
      </c>
      <c r="T39" s="162">
        <f t="shared" si="24"/>
        <v>53.15</v>
      </c>
      <c r="U39" s="162">
        <f t="shared" si="24"/>
        <v>55.33</v>
      </c>
      <c r="W39" s="1058" t="s">
        <v>628</v>
      </c>
      <c r="X39" s="1058"/>
      <c r="Y39" s="1058"/>
      <c r="AA39" s="1058" t="s">
        <v>629</v>
      </c>
      <c r="AB39" s="1058"/>
      <c r="AC39" s="1058"/>
      <c r="AD39" s="1058"/>
    </row>
    <row r="40" spans="2:31">
      <c r="W40" s="158" t="s">
        <v>627</v>
      </c>
      <c r="X40" s="158" t="s">
        <v>513</v>
      </c>
      <c r="Y40" s="158" t="s">
        <v>627</v>
      </c>
      <c r="AA40" s="158" t="s">
        <v>626</v>
      </c>
      <c r="AB40" s="158" t="s">
        <v>466</v>
      </c>
      <c r="AC40" s="158" t="s">
        <v>817</v>
      </c>
    </row>
    <row r="41" spans="2:31">
      <c r="B41" s="158">
        <v>0</v>
      </c>
      <c r="C41" s="158" t="str">
        <f>$C$2</f>
        <v>Pole &amp; Fixture SL</v>
      </c>
      <c r="F41" s="163">
        <f>VLOOKUP($C41,$C$2:R$15,F$16,FALSE)</f>
        <v>34.9</v>
      </c>
      <c r="G41" s="163">
        <f>VLOOKUP($C41,$C$2:V$14,G$16,FALSE)</f>
        <v>35.840000000000003</v>
      </c>
      <c r="H41" s="163">
        <f>VLOOKUP($C41,$C$2:W$14,H$16,FALSE)</f>
        <v>38.28</v>
      </c>
      <c r="I41" s="163">
        <f>VLOOKUP($C41,$C$2:X$14,I$16,FALSE)</f>
        <v>38.44</v>
      </c>
      <c r="J41" s="163">
        <f>VLOOKUP($C41,$C$2:Y$14,J$16,FALSE)</f>
        <v>39.520000000000003</v>
      </c>
      <c r="K41" s="163">
        <f>VLOOKUP($C41,$C$2:Z$14,K$16,FALSE)</f>
        <v>39.909999999999997</v>
      </c>
      <c r="L41" s="163">
        <f>VLOOKUP($C41,$C$2:AA$14,L$16,FALSE)</f>
        <v>40.81</v>
      </c>
      <c r="M41" s="163">
        <f>VLOOKUP($C41,$C$2:AB$14,M$16,FALSE)</f>
        <v>40.19</v>
      </c>
      <c r="N41" s="163">
        <f>VLOOKUP($C41,$C$2:AC$14,N$16,FALSE)</f>
        <v>40.270000000000003</v>
      </c>
      <c r="O41" s="163">
        <f>VLOOKUP($C41,$C$2:AD$14,O$16,FALSE)</f>
        <v>44.78</v>
      </c>
      <c r="P41" s="163">
        <f>VLOOKUP($C41,$C$2:AE$14,P$16,FALSE)</f>
        <v>49.34</v>
      </c>
      <c r="Q41" s="163">
        <f>VLOOKUP($C41,$C$2:AF$14,Q$16,FALSE)</f>
        <v>49.29</v>
      </c>
      <c r="R41" s="163">
        <f>VLOOKUP($C41,$C$2:AG$14,R$16,FALSE)</f>
        <v>51</v>
      </c>
      <c r="S41" s="163">
        <f>VLOOKUP($C41,$C$2:AG$14,S$16,FALSE)</f>
        <v>53.01</v>
      </c>
      <c r="T41" s="163">
        <f>VLOOKUP($C41,$C$2:AH$14,T$16,FALSE)</f>
        <v>53.15</v>
      </c>
      <c r="U41" s="163">
        <f>VLOOKUP($C41,$C$2:AI$14,U$16,FALSE)</f>
        <v>55.33</v>
      </c>
      <c r="V41" s="158" t="s">
        <v>339</v>
      </c>
      <c r="W41" s="158">
        <f>SUMIF(_12MonLights_TariffRateCategory,W$33&amp;$V41,_12MonLights_Count)+SUMIF(_12MonLights_TariffRateCategory,W$33&amp;$V41,_12MonLights_Count_Adj)</f>
        <v>0</v>
      </c>
      <c r="X41" s="158">
        <f>SUMIF(_12MonLights_TariffRateCategory,X$33&amp;$V41,_12MonLights_Count)+SUMIF(_12MonLights_TariffRateCategory,X$33&amp;$V41,_12MonLights_Count_Adj)</f>
        <v>0</v>
      </c>
      <c r="Y41" s="158">
        <f>SUMIF(_12MonLights_TariffRateCategory,Y$33&amp;$V41,_12MonLights_Count)-SUMIF(_12MonLights_TariffRateCategory,Y$33&amp;$V41,_12MonLights_Count_Adj)</f>
        <v>2105</v>
      </c>
      <c r="AA41" s="162">
        <f>ROUND(W41*S41,2)</f>
        <v>0</v>
      </c>
      <c r="AB41" s="162">
        <f>ROUND(X41*Q41,2)</f>
        <v>0</v>
      </c>
      <c r="AC41" s="162">
        <f>ROUND(Y41*U41,2)</f>
        <v>116469.65</v>
      </c>
      <c r="AD41" s="260">
        <f>SUM(AA41:AC41)</f>
        <v>116469.65</v>
      </c>
      <c r="AE41" s="162"/>
    </row>
    <row r="42" spans="2:31">
      <c r="B42" s="158">
        <v>0</v>
      </c>
      <c r="C42" s="158" t="str">
        <f>$C$2</f>
        <v>Pole &amp; Fixture SL</v>
      </c>
      <c r="F42" s="163">
        <f>VLOOKUP($C42,$C$2:R$14,F$16,FALSE)</f>
        <v>34.9</v>
      </c>
      <c r="G42" s="163">
        <f>VLOOKUP($C42,$C$2:V$14,G$16,FALSE)</f>
        <v>35.840000000000003</v>
      </c>
      <c r="H42" s="163">
        <f>VLOOKUP($C42,$C$2:W$14,H$16,FALSE)</f>
        <v>38.28</v>
      </c>
      <c r="I42" s="163">
        <f>VLOOKUP($C42,$C$2:X$14,I$16,FALSE)</f>
        <v>38.44</v>
      </c>
      <c r="J42" s="163">
        <f>VLOOKUP($C42,$C$2:Y$14,J$16,FALSE)</f>
        <v>39.520000000000003</v>
      </c>
      <c r="K42" s="163">
        <f>VLOOKUP($C42,$C$2:Z$14,K$16,FALSE)</f>
        <v>39.909999999999997</v>
      </c>
      <c r="L42" s="163">
        <f>VLOOKUP($C42,$C$2:AA$14,L$16,FALSE)</f>
        <v>40.81</v>
      </c>
      <c r="M42" s="163">
        <f>VLOOKUP($C42,$C$2:AB$14,M$16,FALSE)</f>
        <v>40.19</v>
      </c>
      <c r="N42" s="163">
        <f>VLOOKUP($C42,$C$2:AC$14,N$16,FALSE)</f>
        <v>40.270000000000003</v>
      </c>
      <c r="O42" s="163">
        <f>VLOOKUP($C42,$C$2:AD$14,O$16,FALSE)</f>
        <v>44.78</v>
      </c>
      <c r="P42" s="163">
        <f>VLOOKUP($C42,$C$2:AE$14,P$16,FALSE)</f>
        <v>49.34</v>
      </c>
      <c r="Q42" s="163">
        <f>VLOOKUP($C42,$C$2:AF$14,Q$16,FALSE)</f>
        <v>49.29</v>
      </c>
      <c r="R42" s="163">
        <f>VLOOKUP($C42,$C$2:AG$14,R$16,FALSE)</f>
        <v>51</v>
      </c>
      <c r="S42" s="163">
        <f>VLOOKUP($C42,$C$2:AG$14,S$16,FALSE)</f>
        <v>53.01</v>
      </c>
      <c r="T42" s="163">
        <f>VLOOKUP($C42,$C$2:AH$14,T$16,FALSE)</f>
        <v>53.15</v>
      </c>
      <c r="U42" s="163">
        <f>VLOOKUP($C42,$C$2:AI$14,U$16,FALSE)</f>
        <v>55.33</v>
      </c>
      <c r="V42" s="158" t="s">
        <v>344</v>
      </c>
      <c r="W42" s="158">
        <f>SUMIF(_12MonLights_TariffRateCategory,W$33&amp;$V42,_12MonLights_Count)+SUMIF(_12MonLights_TariffRateCategory,W$33&amp;$V42,_12MonLights_Count_Adj)</f>
        <v>0</v>
      </c>
      <c r="X42" s="158">
        <f>SUMIF(_12MonLights_TariffRateCategory,X$33&amp;$V42,_12MonLights_Count)+SUMIF(_12MonLights_TariffRateCategory,X$33&amp;$V42,_12MonLights_Count_Adj)</f>
        <v>0</v>
      </c>
      <c r="Y42" s="158">
        <f>SUMIF(_12MonLights_TariffRateCategory,Y$33&amp;$V42,_12MonLights_Count)-SUMIF(_12MonLights_TariffRateCategory,Y$33&amp;$V42,_12MonLights_Count_Adj)</f>
        <v>305</v>
      </c>
      <c r="AA42" s="162">
        <f t="shared" ref="AA42:AA105" si="25">ROUND(W42*S42,2)</f>
        <v>0</v>
      </c>
      <c r="AB42" s="162">
        <f>ROUND(X42*Q42,2)</f>
        <v>0</v>
      </c>
      <c r="AC42" s="162">
        <f t="shared" ref="AC42:AC105" si="26">ROUND(Y42*U42,2)</f>
        <v>16875.650000000001</v>
      </c>
      <c r="AD42" s="260">
        <f>SUM(AA42:AC46)</f>
        <v>25363.8</v>
      </c>
      <c r="AE42" s="162"/>
    </row>
    <row r="43" spans="2:31">
      <c r="B43" s="158">
        <v>2</v>
      </c>
      <c r="C43" s="158" t="str">
        <f>VLOOKUP(B43,$B$3:$C$14,2,FALSE)</f>
        <v>Twin Crossarm Bracket (incl.extra fixture)</v>
      </c>
      <c r="F43" s="163">
        <f>VLOOKUP($C43,$C$2:R$14,F$16,FALSE)</f>
        <v>16.52</v>
      </c>
      <c r="G43" s="163">
        <f>VLOOKUP($C43,$C$2:V$14,G$16,FALSE)</f>
        <v>16.96</v>
      </c>
      <c r="H43" s="163">
        <f>VLOOKUP($C43,$C$2:W$14,H$16,FALSE)</f>
        <v>18.12</v>
      </c>
      <c r="I43" s="163">
        <f>VLOOKUP($C43,$C$2:X$14,I$16,FALSE)</f>
        <v>18.12</v>
      </c>
      <c r="J43" s="163">
        <f>VLOOKUP($C43,$C$2:Y$14,J$16,FALSE)</f>
        <v>18.12</v>
      </c>
      <c r="K43" s="163">
        <f>VLOOKUP($C43,$C$2:Z$14,K$16,FALSE)</f>
        <v>18.12</v>
      </c>
      <c r="L43" s="163">
        <f>VLOOKUP($C43,$C$2:AA$14,L$16,FALSE)</f>
        <v>18.12</v>
      </c>
      <c r="M43" s="163">
        <f>VLOOKUP($C43,$C$2:AB$14,M$16,FALSE)</f>
        <v>17.96</v>
      </c>
      <c r="N43" s="163">
        <f>VLOOKUP($C43,$C$2:AC$14,N$16,FALSE)</f>
        <v>17.96</v>
      </c>
      <c r="O43" s="163">
        <f>VLOOKUP($C43,$C$2:AD$14,O$16,FALSE)</f>
        <v>17.96</v>
      </c>
      <c r="P43" s="163">
        <f>VLOOKUP($C43,$C$2:AE$14,P$16,FALSE)</f>
        <v>19.79</v>
      </c>
      <c r="Q43" s="163">
        <f>VLOOKUP($C43,$C$2:AF$14,Q$16,FALSE)</f>
        <v>19.79</v>
      </c>
      <c r="R43" s="163">
        <f>VLOOKUP($C43,$C$2:AG$14,R$16,FALSE)</f>
        <v>19.79</v>
      </c>
      <c r="S43" s="163">
        <f>VLOOKUP($C43,$C$2:AG$14,S$16,FALSE)</f>
        <v>20.57</v>
      </c>
      <c r="T43" s="163">
        <f>VLOOKUP($C43,$C$2:AH$14,T$16,FALSE)</f>
        <v>20.57</v>
      </c>
      <c r="U43" s="163">
        <f>VLOOKUP($C43,$C$2:AI$14,U$16,FALSE)</f>
        <v>20.57</v>
      </c>
      <c r="W43" s="158">
        <f t="shared" ref="W43:X46" si="27">W42</f>
        <v>0</v>
      </c>
      <c r="X43" s="158">
        <f t="shared" si="27"/>
        <v>0</v>
      </c>
      <c r="Y43" s="158">
        <f>SUMIF(_12MonLights_TariffRateCategory,Y$33&amp;$V42,_12MonLights_Count)-SUMIF(_12MonLights_TariffRateCategory,Y$33&amp;$V42,_12MonLights_Count_Adj)</f>
        <v>305</v>
      </c>
      <c r="AA43" s="162">
        <f t="shared" si="25"/>
        <v>0</v>
      </c>
      <c r="AB43" s="162">
        <f t="shared" ref="AB43:AB104" si="28">X43*Q43</f>
        <v>0</v>
      </c>
      <c r="AC43" s="162">
        <f t="shared" si="26"/>
        <v>6273.85</v>
      </c>
      <c r="AD43" s="162"/>
      <c r="AE43" s="162"/>
    </row>
    <row r="44" spans="2:31">
      <c r="B44" s="158">
        <v>5</v>
      </c>
      <c r="C44" s="158" t="str">
        <f>VLOOKUP(B44,$B$3:$C$14,2,FALSE)</f>
        <v>18" Banner Arm (each)</v>
      </c>
      <c r="F44" s="163">
        <f>VLOOKUP($C44,$C$2:R$14,F$16,FALSE)</f>
        <v>2.37</v>
      </c>
      <c r="G44" s="163">
        <f>VLOOKUP($C44,$C$2:V$14,G$16,FALSE)</f>
        <v>2.4300000000000002</v>
      </c>
      <c r="H44" s="163">
        <f>VLOOKUP($C44,$C$2:W$14,H$16,FALSE)</f>
        <v>2.6</v>
      </c>
      <c r="I44" s="163">
        <f>VLOOKUP($C44,$C$2:X$14,I$16,FALSE)</f>
        <v>2.6</v>
      </c>
      <c r="J44" s="163">
        <f>VLOOKUP($C44,$C$2:Y$14,J$16,FALSE)</f>
        <v>2.6</v>
      </c>
      <c r="K44" s="163">
        <f>VLOOKUP($C44,$C$2:Z$14,K$16,FALSE)</f>
        <v>2.6</v>
      </c>
      <c r="L44" s="163">
        <f>VLOOKUP($C44,$C$2:AA$14,L$16,FALSE)</f>
        <v>2.6</v>
      </c>
      <c r="M44" s="163">
        <f>VLOOKUP($C44,$C$2:AB$14,M$16,FALSE)</f>
        <v>2.58</v>
      </c>
      <c r="N44" s="163">
        <f>VLOOKUP($C44,$C$2:AC$14,N$16,FALSE)</f>
        <v>2.58</v>
      </c>
      <c r="O44" s="163">
        <f>VLOOKUP($C44,$C$2:AD$14,O$16,FALSE)</f>
        <v>2.58</v>
      </c>
      <c r="P44" s="163">
        <f>VLOOKUP($C44,$C$2:AE$14,P$16,FALSE)</f>
        <v>2.84</v>
      </c>
      <c r="Q44" s="163">
        <f>VLOOKUP($C44,$C$2:AF$14,Q$16,FALSE)</f>
        <v>2.84</v>
      </c>
      <c r="R44" s="163">
        <f>VLOOKUP($C44,$C$2:AG$14,R$16,FALSE)</f>
        <v>2.84</v>
      </c>
      <c r="S44" s="163">
        <f>VLOOKUP($C44,$C$2:AG$14,S$16,FALSE)</f>
        <v>2.95</v>
      </c>
      <c r="T44" s="163">
        <f>VLOOKUP($C44,$C$2:AH$14,T$16,FALSE)</f>
        <v>2.95</v>
      </c>
      <c r="U44" s="163">
        <f>VLOOKUP($C44,$C$2:AI$14,U$16,FALSE)</f>
        <v>2.95</v>
      </c>
      <c r="W44" s="158">
        <f t="shared" si="27"/>
        <v>0</v>
      </c>
      <c r="X44" s="158">
        <f t="shared" si="27"/>
        <v>0</v>
      </c>
      <c r="Y44" s="158">
        <f>SUMIF(_12MonLights_TariffRateCategory,Y$33&amp;$V$42,_12MonLights_Count)-SUMIF(_12MonLights_TariffRateCategory,Y$33&amp;$V$42,_12MonLights_Count_Adj)</f>
        <v>305</v>
      </c>
      <c r="AA44" s="162">
        <f t="shared" si="25"/>
        <v>0</v>
      </c>
      <c r="AB44" s="162">
        <f t="shared" si="28"/>
        <v>0</v>
      </c>
      <c r="AC44" s="162">
        <f t="shared" si="26"/>
        <v>899.75</v>
      </c>
      <c r="AD44" s="162"/>
      <c r="AE44" s="162"/>
    </row>
    <row r="45" spans="2:31">
      <c r="B45" s="158">
        <v>5</v>
      </c>
      <c r="C45" s="158" t="str">
        <f>VLOOKUP(B45,$B$3:$C$14,2,FALSE)</f>
        <v>18" Banner Arm (each)</v>
      </c>
      <c r="F45" s="163">
        <f>VLOOKUP($C45,$C$2:R$14,F$16,FALSE)</f>
        <v>2.37</v>
      </c>
      <c r="G45" s="163">
        <f>VLOOKUP($C45,$C$2:V$14,G$16,FALSE)</f>
        <v>2.4300000000000002</v>
      </c>
      <c r="H45" s="163">
        <f>VLOOKUP($C45,$C$2:W$14,H$16,FALSE)</f>
        <v>2.6</v>
      </c>
      <c r="I45" s="163">
        <f>VLOOKUP($C45,$C$2:X$14,I$16,FALSE)</f>
        <v>2.6</v>
      </c>
      <c r="J45" s="163">
        <f>VLOOKUP($C45,$C$2:Y$14,J$16,FALSE)</f>
        <v>2.6</v>
      </c>
      <c r="K45" s="163">
        <f>VLOOKUP($C45,$C$2:Z$14,K$16,FALSE)</f>
        <v>2.6</v>
      </c>
      <c r="L45" s="163">
        <f>VLOOKUP($C45,$C$2:AA$14,L$16,FALSE)</f>
        <v>2.6</v>
      </c>
      <c r="M45" s="163">
        <f>VLOOKUP($C45,$C$2:AB$14,M$16,FALSE)</f>
        <v>2.58</v>
      </c>
      <c r="N45" s="163">
        <f>VLOOKUP($C45,$C$2:AC$14,N$16,FALSE)</f>
        <v>2.58</v>
      </c>
      <c r="O45" s="163">
        <f>VLOOKUP($C45,$C$2:AD$14,O$16,FALSE)</f>
        <v>2.58</v>
      </c>
      <c r="P45" s="163">
        <f>VLOOKUP($C45,$C$2:AE$14,P$16,FALSE)</f>
        <v>2.84</v>
      </c>
      <c r="Q45" s="163">
        <f>VLOOKUP($C45,$C$2:AF$14,Q$16,FALSE)</f>
        <v>2.84</v>
      </c>
      <c r="R45" s="163">
        <f>VLOOKUP($C45,$C$2:AG$14,R$16,FALSE)</f>
        <v>2.84</v>
      </c>
      <c r="S45" s="163">
        <f>VLOOKUP($C45,$C$2:AG$14,S$16,FALSE)</f>
        <v>2.95</v>
      </c>
      <c r="T45" s="163">
        <f>VLOOKUP($C45,$C$2:AH$14,T$16,FALSE)</f>
        <v>2.95</v>
      </c>
      <c r="U45" s="163">
        <f>VLOOKUP($C45,$C$2:AI$14,U$16,FALSE)</f>
        <v>2.95</v>
      </c>
      <c r="W45" s="158">
        <f t="shared" si="27"/>
        <v>0</v>
      </c>
      <c r="X45" s="158">
        <f t="shared" si="27"/>
        <v>0</v>
      </c>
      <c r="Y45" s="158">
        <f>SUMIF(_12MonLights_TariffRateCategory,Y$33&amp;$V$42,_12MonLights_Count)-SUMIF(_12MonLights_TariffRateCategory,Y$33&amp;$V$42,_12MonLights_Count_Adj)</f>
        <v>305</v>
      </c>
      <c r="AA45" s="162">
        <f t="shared" si="25"/>
        <v>0</v>
      </c>
      <c r="AB45" s="162">
        <f t="shared" si="28"/>
        <v>0</v>
      </c>
      <c r="AC45" s="162">
        <f t="shared" si="26"/>
        <v>899.75</v>
      </c>
      <c r="AD45" s="162"/>
      <c r="AE45" s="162"/>
    </row>
    <row r="46" spans="2:31">
      <c r="B46" s="158">
        <v>6</v>
      </c>
      <c r="C46" s="158" t="str">
        <f>VLOOKUP(B46,$B$3:$C$14,2,FALSE)</f>
        <v>Flagpole Holder</v>
      </c>
      <c r="F46" s="163">
        <f>VLOOKUP($C46,$C$2:R$14,F$16,FALSE)</f>
        <v>1.0900000000000001</v>
      </c>
      <c r="G46" s="163">
        <f>VLOOKUP($C46,$C$2:V$14,G$16,FALSE)</f>
        <v>1.1200000000000001</v>
      </c>
      <c r="H46" s="163">
        <f>VLOOKUP($C46,$C$2:W$14,H$16,FALSE)</f>
        <v>1.2</v>
      </c>
      <c r="I46" s="163">
        <f>VLOOKUP($C46,$C$2:X$14,I$16,FALSE)</f>
        <v>1.2</v>
      </c>
      <c r="J46" s="163">
        <f>VLOOKUP($C46,$C$2:Y$14,J$16,FALSE)</f>
        <v>1.2</v>
      </c>
      <c r="K46" s="163">
        <f>VLOOKUP($C46,$C$2:Z$14,K$16,FALSE)</f>
        <v>1.2</v>
      </c>
      <c r="L46" s="163">
        <f>VLOOKUP($C46,$C$2:AA$14,L$16,FALSE)</f>
        <v>1.2</v>
      </c>
      <c r="M46" s="163">
        <f>VLOOKUP($C46,$C$2:AB$14,M$16,FALSE)</f>
        <v>1.19</v>
      </c>
      <c r="N46" s="163">
        <f>VLOOKUP($C46,$C$2:AC$14,N$16,FALSE)</f>
        <v>1.19</v>
      </c>
      <c r="O46" s="163">
        <f>VLOOKUP($C46,$C$2:AD$14,O$16,FALSE)</f>
        <v>1.19</v>
      </c>
      <c r="P46" s="163">
        <f>VLOOKUP($C46,$C$2:AE$14,P$16,FALSE)</f>
        <v>1.31</v>
      </c>
      <c r="Q46" s="163">
        <f>VLOOKUP($C46,$C$2:AF$14,Q$16,FALSE)</f>
        <v>1.31</v>
      </c>
      <c r="R46" s="163">
        <f>VLOOKUP($C46,$C$2:AG$14,R$16,FALSE)</f>
        <v>1.31</v>
      </c>
      <c r="S46" s="163">
        <f>VLOOKUP($C46,$C$2:AG$14,S$16,FALSE)</f>
        <v>1.36</v>
      </c>
      <c r="T46" s="163">
        <f>VLOOKUP($C46,$C$2:AH$14,T$16,FALSE)</f>
        <v>1.36</v>
      </c>
      <c r="U46" s="163">
        <f>VLOOKUP($C46,$C$2:AI$14,U$16,FALSE)</f>
        <v>1.36</v>
      </c>
      <c r="W46" s="158">
        <f t="shared" si="27"/>
        <v>0</v>
      </c>
      <c r="X46" s="158">
        <f t="shared" si="27"/>
        <v>0</v>
      </c>
      <c r="Y46" s="158">
        <f>SUMIF(_12MonLights_TariffRateCategory,Y$33&amp;$V$42,_12MonLights_Count)-SUMIF(_12MonLights_TariffRateCategory,Y$33&amp;$V$42,_12MonLights_Count_Adj)</f>
        <v>305</v>
      </c>
      <c r="AA46" s="162">
        <f t="shared" si="25"/>
        <v>0</v>
      </c>
      <c r="AB46" s="162">
        <f t="shared" si="28"/>
        <v>0</v>
      </c>
      <c r="AC46" s="162">
        <f t="shared" si="26"/>
        <v>414.8</v>
      </c>
      <c r="AD46" s="162"/>
      <c r="AE46" s="162"/>
    </row>
    <row r="47" spans="2:31">
      <c r="B47" s="158">
        <v>0</v>
      </c>
      <c r="C47" s="158" t="str">
        <f>$C$2</f>
        <v>Pole &amp; Fixture SL</v>
      </c>
      <c r="F47" s="163">
        <f>VLOOKUP($C47,$C$2:R$14,F$16,FALSE)</f>
        <v>34.9</v>
      </c>
      <c r="G47" s="163">
        <f>VLOOKUP($C47,$C$2:V$14,G$16,FALSE)</f>
        <v>35.840000000000003</v>
      </c>
      <c r="H47" s="163">
        <f>VLOOKUP($C47,$C$2:W$14,H$16,FALSE)</f>
        <v>38.28</v>
      </c>
      <c r="I47" s="163">
        <f>VLOOKUP($C47,$C$2:X$14,I$16,FALSE)</f>
        <v>38.44</v>
      </c>
      <c r="J47" s="163">
        <f>VLOOKUP($C47,$C$2:Y$14,J$16,FALSE)</f>
        <v>39.520000000000003</v>
      </c>
      <c r="K47" s="163">
        <f>VLOOKUP($C47,$C$2:Z$14,K$16,FALSE)</f>
        <v>39.909999999999997</v>
      </c>
      <c r="L47" s="163">
        <f>VLOOKUP($C47,$C$2:AA$14,L$16,FALSE)</f>
        <v>40.81</v>
      </c>
      <c r="M47" s="163">
        <f>VLOOKUP($C47,$C$2:AB$14,M$16,FALSE)</f>
        <v>40.19</v>
      </c>
      <c r="N47" s="163">
        <f>VLOOKUP($C47,$C$2:AC$14,N$16,FALSE)</f>
        <v>40.270000000000003</v>
      </c>
      <c r="O47" s="163">
        <f>VLOOKUP($C47,$C$2:AD$14,O$16,FALSE)</f>
        <v>44.78</v>
      </c>
      <c r="P47" s="163">
        <f>VLOOKUP($C47,$C$2:AE$14,P$16,FALSE)</f>
        <v>49.34</v>
      </c>
      <c r="Q47" s="163">
        <f>VLOOKUP($C47,$C$2:AF$14,Q$16,FALSE)</f>
        <v>49.29</v>
      </c>
      <c r="R47" s="163">
        <f>VLOOKUP($C47,$C$2:AG$14,R$16,FALSE)</f>
        <v>51</v>
      </c>
      <c r="S47" s="163">
        <f>VLOOKUP($C47,$C$2:AG$14,S$16,FALSE)</f>
        <v>53.01</v>
      </c>
      <c r="T47" s="163">
        <f>VLOOKUP($C47,$C$2:AH$14,T$16,FALSE)</f>
        <v>53.15</v>
      </c>
      <c r="U47" s="163">
        <f>VLOOKUP($C47,$C$2:AI$14,U$16,FALSE)</f>
        <v>55.33</v>
      </c>
      <c r="V47" s="161" t="s">
        <v>347</v>
      </c>
      <c r="W47" s="158">
        <f>SUMIF(_12MonLights_TariffRateCategory,W$33&amp;$V47,_12MonLights_Count)+SUMIF(_12MonLights_TariffRateCategory,W$33&amp;$V47,_12MonLights_Count_Adj)</f>
        <v>0</v>
      </c>
      <c r="X47" s="158">
        <f>SUMIF(_12MonLights_TariffRateCategory,X$33&amp;$V47,_12MonLights_Count)+SUMIF(_12MonLights_TariffRateCategory,X$33&amp;$V47,_12MonLights_Count_Adj)</f>
        <v>0</v>
      </c>
      <c r="Y47" s="158">
        <f>SUMIF(_12MonLights_TariffRateCategory,Y$33&amp;$V$47,_12MonLights_Count)-SUMIF(_12MonLights_TariffRateCategory,Y$33&amp;$V$47,_12MonLights_Count_Adj)</f>
        <v>517</v>
      </c>
      <c r="AA47" s="162">
        <f t="shared" si="25"/>
        <v>0</v>
      </c>
      <c r="AB47" s="162">
        <f>ROUND(X47*Q47,2)</f>
        <v>0</v>
      </c>
      <c r="AC47" s="162">
        <f t="shared" si="26"/>
        <v>28605.61</v>
      </c>
      <c r="AD47" s="260">
        <f>SUM(AA47:AC48)</f>
        <v>30906.260000000002</v>
      </c>
      <c r="AE47" s="162"/>
    </row>
    <row r="48" spans="2:31">
      <c r="B48" s="158">
        <v>11</v>
      </c>
      <c r="C48" s="158" t="str">
        <f>VLOOKUP(B48,$B$3:$C$14,2,FALSE)</f>
        <v>Planter</v>
      </c>
      <c r="F48" s="163">
        <f>VLOOKUP($C48,$C$2:R$14,F$16,FALSE)</f>
        <v>3.56</v>
      </c>
      <c r="G48" s="163">
        <f>VLOOKUP($C48,$C$2:V$14,G$16,FALSE)</f>
        <v>3.66</v>
      </c>
      <c r="H48" s="163">
        <f>VLOOKUP($C48,$C$2:W$14,H$16,FALSE)</f>
        <v>3.91</v>
      </c>
      <c r="I48" s="163">
        <f>VLOOKUP($C48,$C$2:X$14,I$16,FALSE)</f>
        <v>3.91</v>
      </c>
      <c r="J48" s="163">
        <f>VLOOKUP($C48,$C$2:Y$14,J$16,FALSE)</f>
        <v>3.91</v>
      </c>
      <c r="K48" s="163">
        <f>VLOOKUP($C48,$C$2:Z$14,K$16,FALSE)</f>
        <v>3.91</v>
      </c>
      <c r="L48" s="163">
        <f>VLOOKUP($C48,$C$2:AA$14,L$16,FALSE)</f>
        <v>3.91</v>
      </c>
      <c r="M48" s="163">
        <f>VLOOKUP($C48,$C$2:AB$14,M$16,FALSE)</f>
        <v>3.88</v>
      </c>
      <c r="N48" s="163">
        <f>VLOOKUP($C48,$C$2:AC$14,N$16,FALSE)</f>
        <v>3.88</v>
      </c>
      <c r="O48" s="163">
        <f>VLOOKUP($C48,$C$2:AD$14,O$16,FALSE)</f>
        <v>3.88</v>
      </c>
      <c r="P48" s="163">
        <f>VLOOKUP($C48,$C$2:AE$14,P$16,FALSE)</f>
        <v>4.28</v>
      </c>
      <c r="Q48" s="163">
        <f>VLOOKUP($C48,$C$2:AF$14,Q$16,FALSE)</f>
        <v>4.28</v>
      </c>
      <c r="R48" s="163">
        <f>VLOOKUP($C48,$C$2:AG$14,R$16,FALSE)</f>
        <v>4.28</v>
      </c>
      <c r="S48" s="163">
        <f>VLOOKUP($C48,$C$2:AG$14,S$16,FALSE)</f>
        <v>4.45</v>
      </c>
      <c r="T48" s="163">
        <f>VLOOKUP($C48,$C$2:AH$14,T$16,FALSE)</f>
        <v>4.45</v>
      </c>
      <c r="U48" s="163">
        <f>VLOOKUP($C48,$C$2:AI$14,U$16,FALSE)</f>
        <v>4.45</v>
      </c>
      <c r="W48" s="158">
        <f>W47</f>
        <v>0</v>
      </c>
      <c r="X48" s="158">
        <f>X47</f>
        <v>0</v>
      </c>
      <c r="Y48" s="158">
        <f>SUMIF(_12MonLights_TariffRateCategory,Y$33&amp;$V$47,_12MonLights_Count)-SUMIF(_12MonLights_TariffRateCategory,Y$33&amp;$V$47,_12MonLights_Count_Adj)</f>
        <v>517</v>
      </c>
      <c r="AA48" s="162">
        <f t="shared" si="25"/>
        <v>0</v>
      </c>
      <c r="AB48" s="162">
        <f t="shared" si="28"/>
        <v>0</v>
      </c>
      <c r="AC48" s="162">
        <f t="shared" si="26"/>
        <v>2300.65</v>
      </c>
      <c r="AD48" s="162"/>
      <c r="AE48" s="162"/>
    </row>
    <row r="49" spans="2:31">
      <c r="B49" s="158">
        <v>0</v>
      </c>
      <c r="C49" s="158" t="str">
        <f>$C$2</f>
        <v>Pole &amp; Fixture SL</v>
      </c>
      <c r="F49" s="163">
        <f>VLOOKUP($C49,$C$2:R$14,F$16,FALSE)</f>
        <v>34.9</v>
      </c>
      <c r="G49" s="163">
        <f>VLOOKUP($C49,$C$2:V$14,G$16,FALSE)</f>
        <v>35.840000000000003</v>
      </c>
      <c r="H49" s="163">
        <f>VLOOKUP($C49,$C$2:W$14,H$16,FALSE)</f>
        <v>38.28</v>
      </c>
      <c r="I49" s="163">
        <f>VLOOKUP($C49,$C$2:X$14,I$16,FALSE)</f>
        <v>38.44</v>
      </c>
      <c r="J49" s="163">
        <f>VLOOKUP($C49,$C$2:Y$14,J$16,FALSE)</f>
        <v>39.520000000000003</v>
      </c>
      <c r="K49" s="163">
        <f>VLOOKUP($C49,$C$2:Z$14,K$16,FALSE)</f>
        <v>39.909999999999997</v>
      </c>
      <c r="L49" s="163">
        <f>VLOOKUP($C49,$C$2:AA$14,L$16,FALSE)</f>
        <v>40.81</v>
      </c>
      <c r="M49" s="163">
        <f>VLOOKUP($C49,$C$2:AB$14,M$16,FALSE)</f>
        <v>40.19</v>
      </c>
      <c r="N49" s="163">
        <f>VLOOKUP($C49,$C$2:AC$14,N$16,FALSE)</f>
        <v>40.270000000000003</v>
      </c>
      <c r="O49" s="163">
        <f>VLOOKUP($C49,$C$2:AD$14,O$16,FALSE)</f>
        <v>44.78</v>
      </c>
      <c r="P49" s="163">
        <f>VLOOKUP($C49,$C$2:AE$14,P$16,FALSE)</f>
        <v>49.34</v>
      </c>
      <c r="Q49" s="163">
        <f>VLOOKUP($C49,$C$2:AF$14,Q$16,FALSE)</f>
        <v>49.29</v>
      </c>
      <c r="R49" s="163">
        <f>VLOOKUP($C49,$C$2:AG$14,R$16,FALSE)</f>
        <v>51</v>
      </c>
      <c r="S49" s="163">
        <f>VLOOKUP($C49,$C$2:AG$14,S$16,FALSE)</f>
        <v>53.01</v>
      </c>
      <c r="T49" s="163">
        <f>VLOOKUP($C49,$C$2:AH$14,T$16,FALSE)</f>
        <v>53.15</v>
      </c>
      <c r="U49" s="163">
        <f>VLOOKUP($C49,$C$2:AI$14,U$16,FALSE)</f>
        <v>55.33</v>
      </c>
      <c r="V49" s="161" t="s">
        <v>348</v>
      </c>
      <c r="W49" s="158">
        <f>SUMIF(_12MonLights_TariffRateCategory,W$33&amp;$V49,_12MonLights_Count)+SUMIF(_12MonLights_TariffRateCategory,W$33&amp;$V49,_12MonLights_Count_Adj)</f>
        <v>0</v>
      </c>
      <c r="X49" s="158">
        <f>SUMIF(_12MonLights_TariffRateCategory,X$33&amp;$V49,_12MonLights_Count)+SUMIF(_12MonLights_TariffRateCategory,X$33&amp;$V49,_12MonLights_Count_Adj)</f>
        <v>0</v>
      </c>
      <c r="Y49" s="158">
        <f>SUMIF(_12MonLights_TariffRateCategory,Y$33&amp;$V$49,_12MonLights_Count)-SUMIF(_12MonLights_TariffRateCategory,Y$33&amp;$V$49,_12MonLights_Count_Adj)</f>
        <v>60</v>
      </c>
      <c r="AA49" s="162">
        <f t="shared" si="25"/>
        <v>0</v>
      </c>
      <c r="AB49" s="162">
        <f>ROUND(X49*Q49,2)</f>
        <v>0</v>
      </c>
      <c r="AC49" s="162">
        <f t="shared" si="26"/>
        <v>3319.8</v>
      </c>
      <c r="AD49" s="260">
        <f>SUM(AA49:AC51)</f>
        <v>3705</v>
      </c>
      <c r="AE49" s="162"/>
    </row>
    <row r="50" spans="2:31">
      <c r="B50" s="158">
        <v>3</v>
      </c>
      <c r="C50" s="158" t="str">
        <f t="shared" ref="C50:C94" si="29">VLOOKUP(B50,$B$3:$C$14,2,FALSE)</f>
        <v>24" Banner Arm (each)</v>
      </c>
      <c r="F50" s="163">
        <f>VLOOKUP($C50,$C$2:R$14,F$16,FALSE)</f>
        <v>2.57</v>
      </c>
      <c r="G50" s="163">
        <f>VLOOKUP($C50,$C$2:V$14,G$16,FALSE)</f>
        <v>2.64</v>
      </c>
      <c r="H50" s="163">
        <f>VLOOKUP($C50,$C$2:W$14,H$16,FALSE)</f>
        <v>2.82</v>
      </c>
      <c r="I50" s="163">
        <f>VLOOKUP($C50,$C$2:X$14,I$16,FALSE)</f>
        <v>2.82</v>
      </c>
      <c r="J50" s="163">
        <f>VLOOKUP($C50,$C$2:Y$14,J$16,FALSE)</f>
        <v>2.82</v>
      </c>
      <c r="K50" s="163">
        <f>VLOOKUP($C50,$C$2:Z$14,K$16,FALSE)</f>
        <v>2.82</v>
      </c>
      <c r="L50" s="163">
        <f>VLOOKUP($C50,$C$2:AA$14,L$16,FALSE)</f>
        <v>2.82</v>
      </c>
      <c r="M50" s="163">
        <f>VLOOKUP($C50,$C$2:AB$14,M$16,FALSE)</f>
        <v>2.8</v>
      </c>
      <c r="N50" s="163">
        <f>VLOOKUP($C50,$C$2:AC$14,N$16,FALSE)</f>
        <v>2.8</v>
      </c>
      <c r="O50" s="163">
        <f>VLOOKUP($C50,$C$2:AD$14,O$16,FALSE)</f>
        <v>2.8</v>
      </c>
      <c r="P50" s="163">
        <f>VLOOKUP($C50,$C$2:AE$14,P$16,FALSE)</f>
        <v>3.09</v>
      </c>
      <c r="Q50" s="163">
        <f>VLOOKUP($C50,$C$2:AF$14,Q$16,FALSE)</f>
        <v>3.09</v>
      </c>
      <c r="R50" s="163">
        <f>VLOOKUP($C50,$C$2:AG$14,R$16,FALSE)</f>
        <v>3.09</v>
      </c>
      <c r="S50" s="163">
        <f>VLOOKUP($C50,$C$2:AG$14,S$16,FALSE)</f>
        <v>3.21</v>
      </c>
      <c r="T50" s="163">
        <f>VLOOKUP($C50,$C$2:AH$14,T$16,FALSE)</f>
        <v>3.21</v>
      </c>
      <c r="U50" s="163">
        <f>VLOOKUP($C50,$C$2:AI$14,U$16,FALSE)</f>
        <v>3.21</v>
      </c>
      <c r="W50" s="158">
        <f>W49</f>
        <v>0</v>
      </c>
      <c r="X50" s="158">
        <f>X49</f>
        <v>0</v>
      </c>
      <c r="Y50" s="158">
        <f>SUMIF(_12MonLights_TariffRateCategory,Y$33&amp;$V$49,_12MonLights_Count)-SUMIF(_12MonLights_TariffRateCategory,Y$33&amp;$V$49,_12MonLights_Count_Adj)</f>
        <v>60</v>
      </c>
      <c r="AA50" s="162">
        <f t="shared" si="25"/>
        <v>0</v>
      </c>
      <c r="AB50" s="162">
        <f t="shared" si="28"/>
        <v>0</v>
      </c>
      <c r="AC50" s="162">
        <f t="shared" si="26"/>
        <v>192.6</v>
      </c>
      <c r="AD50" s="162"/>
      <c r="AE50" s="162"/>
    </row>
    <row r="51" spans="2:31">
      <c r="B51" s="158">
        <v>3</v>
      </c>
      <c r="C51" s="158" t="str">
        <f t="shared" si="29"/>
        <v>24" Banner Arm (each)</v>
      </c>
      <c r="F51" s="163">
        <f>VLOOKUP($C51,$C$2:R$14,F$16,FALSE)</f>
        <v>2.57</v>
      </c>
      <c r="G51" s="163">
        <f>VLOOKUP($C51,$C$2:V$14,G$16,FALSE)</f>
        <v>2.64</v>
      </c>
      <c r="H51" s="163">
        <f>VLOOKUP($C51,$C$2:W$14,H$16,FALSE)</f>
        <v>2.82</v>
      </c>
      <c r="I51" s="163">
        <f>VLOOKUP($C51,$C$2:X$14,I$16,FALSE)</f>
        <v>2.82</v>
      </c>
      <c r="J51" s="163">
        <f>VLOOKUP($C51,$C$2:Y$14,J$16,FALSE)</f>
        <v>2.82</v>
      </c>
      <c r="K51" s="163">
        <f>VLOOKUP($C51,$C$2:Z$14,K$16,FALSE)</f>
        <v>2.82</v>
      </c>
      <c r="L51" s="163">
        <f>VLOOKUP($C51,$C$2:AA$14,L$16,FALSE)</f>
        <v>2.82</v>
      </c>
      <c r="M51" s="163">
        <f>VLOOKUP($C51,$C$2:AB$14,M$16,FALSE)</f>
        <v>2.8</v>
      </c>
      <c r="N51" s="163">
        <f>VLOOKUP($C51,$C$2:AC$14,N$16,FALSE)</f>
        <v>2.8</v>
      </c>
      <c r="O51" s="163">
        <f>VLOOKUP($C51,$C$2:AD$14,O$16,FALSE)</f>
        <v>2.8</v>
      </c>
      <c r="P51" s="163">
        <f>VLOOKUP($C51,$C$2:AE$14,P$16,FALSE)</f>
        <v>3.09</v>
      </c>
      <c r="Q51" s="163">
        <f>VLOOKUP($C51,$C$2:AF$14,Q$16,FALSE)</f>
        <v>3.09</v>
      </c>
      <c r="R51" s="163">
        <f>VLOOKUP($C51,$C$2:AG$14,R$16,FALSE)</f>
        <v>3.09</v>
      </c>
      <c r="S51" s="163">
        <f>VLOOKUP($C51,$C$2:AG$14,S$16,FALSE)</f>
        <v>3.21</v>
      </c>
      <c r="T51" s="163">
        <f>VLOOKUP($C51,$C$2:AH$14,T$16,FALSE)</f>
        <v>3.21</v>
      </c>
      <c r="U51" s="163">
        <f>VLOOKUP($C51,$C$2:AI$14,U$16,FALSE)</f>
        <v>3.21</v>
      </c>
      <c r="W51" s="158">
        <f>W50</f>
        <v>0</v>
      </c>
      <c r="X51" s="158">
        <f>X50</f>
        <v>0</v>
      </c>
      <c r="Y51" s="158">
        <f>SUMIF(_12MonLights_TariffRateCategory,Y$33&amp;$V$49,_12MonLights_Count)-SUMIF(_12MonLights_TariffRateCategory,Y$33&amp;$V$49,_12MonLights_Count_Adj)</f>
        <v>60</v>
      </c>
      <c r="AA51" s="162">
        <f t="shared" si="25"/>
        <v>0</v>
      </c>
      <c r="AB51" s="162">
        <f t="shared" si="28"/>
        <v>0</v>
      </c>
      <c r="AC51" s="162">
        <f t="shared" si="26"/>
        <v>192.6</v>
      </c>
      <c r="AD51" s="162"/>
      <c r="AE51" s="162"/>
    </row>
    <row r="52" spans="2:31">
      <c r="B52" s="158">
        <v>0</v>
      </c>
      <c r="C52" s="158" t="str">
        <f>$C$2</f>
        <v>Pole &amp; Fixture SL</v>
      </c>
      <c r="F52" s="163">
        <f>VLOOKUP($C52,$C$2:R$14,F$16,FALSE)</f>
        <v>34.9</v>
      </c>
      <c r="G52" s="163">
        <f>VLOOKUP($C52,$C$2:V$14,G$16,FALSE)</f>
        <v>35.840000000000003</v>
      </c>
      <c r="H52" s="163">
        <f>VLOOKUP($C52,$C$2:W$14,H$16,FALSE)</f>
        <v>38.28</v>
      </c>
      <c r="I52" s="163">
        <f>VLOOKUP($C52,$C$2:X$14,I$16,FALSE)</f>
        <v>38.44</v>
      </c>
      <c r="J52" s="163">
        <f>VLOOKUP($C52,$C$2:Y$14,J$16,FALSE)</f>
        <v>39.520000000000003</v>
      </c>
      <c r="K52" s="163">
        <f>VLOOKUP($C52,$C$2:Z$14,K$16,FALSE)</f>
        <v>39.909999999999997</v>
      </c>
      <c r="L52" s="163">
        <f>VLOOKUP($C52,$C$2:AA$14,L$16,FALSE)</f>
        <v>40.81</v>
      </c>
      <c r="M52" s="163">
        <f>VLOOKUP($C52,$C$2:AB$14,M$16,FALSE)</f>
        <v>40.19</v>
      </c>
      <c r="N52" s="163">
        <f>VLOOKUP($C52,$C$2:AC$14,N$16,FALSE)</f>
        <v>40.270000000000003</v>
      </c>
      <c r="O52" s="163">
        <f>VLOOKUP($C52,$C$2:AD$14,O$16,FALSE)</f>
        <v>44.78</v>
      </c>
      <c r="P52" s="163">
        <f>VLOOKUP($C52,$C$2:AE$14,P$16,FALSE)</f>
        <v>49.34</v>
      </c>
      <c r="Q52" s="163">
        <f>VLOOKUP($C52,$C$2:AF$14,Q$16,FALSE)</f>
        <v>49.29</v>
      </c>
      <c r="R52" s="163">
        <f>VLOOKUP($C52,$C$2:AG$14,R$16,FALSE)</f>
        <v>51</v>
      </c>
      <c r="S52" s="163">
        <f>VLOOKUP($C52,$C$2:AG$14,S$16,FALSE)</f>
        <v>53.01</v>
      </c>
      <c r="T52" s="163">
        <f>VLOOKUP($C52,$C$2:AH$14,T$16,FALSE)</f>
        <v>53.15</v>
      </c>
      <c r="U52" s="163">
        <f>VLOOKUP($C52,$C$2:AI$14,U$16,FALSE)</f>
        <v>55.33</v>
      </c>
      <c r="V52" s="161" t="s">
        <v>349</v>
      </c>
      <c r="W52" s="158">
        <f>SUMIF(_12MonLights_TariffRateCategory,W$33&amp;$V52,_12MonLights_Count)+SUMIF(_12MonLights_TariffRateCategory,W$33&amp;$V52,_12MonLights_Count_Adj)</f>
        <v>0</v>
      </c>
      <c r="X52" s="158">
        <f>SUMIF(_12MonLights_TariffRateCategory,X$33&amp;$V52,_12MonLights_Count)+SUMIF(_12MonLights_TariffRateCategory,X$33&amp;$V52,_12MonLights_Count_Adj)</f>
        <v>0</v>
      </c>
      <c r="Y52" s="158">
        <f>SUMIF(_12MonLights_TariffRateCategory,Y$33&amp;$V$52,_12MonLights_Count)-SUMIF(_12MonLights_TariffRateCategory,Y$33&amp;$V$52,_12MonLights_Count_Adj)</f>
        <v>12</v>
      </c>
      <c r="AA52" s="162">
        <f t="shared" si="25"/>
        <v>0</v>
      </c>
      <c r="AB52" s="162">
        <f>ROUND(X52*Q52,2)</f>
        <v>0</v>
      </c>
      <c r="AC52" s="162">
        <f t="shared" si="26"/>
        <v>663.96</v>
      </c>
      <c r="AD52" s="260">
        <f>SUM(AA52:AC55)</f>
        <v>757.32</v>
      </c>
      <c r="AE52" s="162"/>
    </row>
    <row r="53" spans="2:31">
      <c r="B53" s="158">
        <v>3</v>
      </c>
      <c r="C53" s="158" t="str">
        <f t="shared" si="29"/>
        <v>24" Banner Arm (each)</v>
      </c>
      <c r="F53" s="163">
        <f>VLOOKUP($C53,$C$2:R$14,F$16,FALSE)</f>
        <v>2.57</v>
      </c>
      <c r="G53" s="163">
        <f>VLOOKUP($C53,$C$2:V$14,G$16,FALSE)</f>
        <v>2.64</v>
      </c>
      <c r="H53" s="163">
        <f>VLOOKUP($C53,$C$2:W$14,H$16,FALSE)</f>
        <v>2.82</v>
      </c>
      <c r="I53" s="163">
        <f>VLOOKUP($C53,$C$2:X$14,I$16,FALSE)</f>
        <v>2.82</v>
      </c>
      <c r="J53" s="163">
        <f>VLOOKUP($C53,$C$2:Y$14,J$16,FALSE)</f>
        <v>2.82</v>
      </c>
      <c r="K53" s="163">
        <f>VLOOKUP($C53,$C$2:Z$14,K$16,FALSE)</f>
        <v>2.82</v>
      </c>
      <c r="L53" s="163">
        <f>VLOOKUP($C53,$C$2:AA$14,L$16,FALSE)</f>
        <v>2.82</v>
      </c>
      <c r="M53" s="163">
        <f>VLOOKUP($C53,$C$2:AB$14,M$16,FALSE)</f>
        <v>2.8</v>
      </c>
      <c r="N53" s="163">
        <f>VLOOKUP($C53,$C$2:AC$14,N$16,FALSE)</f>
        <v>2.8</v>
      </c>
      <c r="O53" s="163">
        <f>VLOOKUP($C53,$C$2:AD$14,O$16,FALSE)</f>
        <v>2.8</v>
      </c>
      <c r="P53" s="163">
        <f>VLOOKUP($C53,$C$2:AE$14,P$16,FALSE)</f>
        <v>3.09</v>
      </c>
      <c r="Q53" s="163">
        <f>VLOOKUP($C53,$C$2:AF$14,Q$16,FALSE)</f>
        <v>3.09</v>
      </c>
      <c r="R53" s="163">
        <f>VLOOKUP($C53,$C$2:AG$14,R$16,FALSE)</f>
        <v>3.09</v>
      </c>
      <c r="S53" s="163">
        <f>VLOOKUP($C53,$C$2:AG$14,S$16,FALSE)</f>
        <v>3.21</v>
      </c>
      <c r="T53" s="163">
        <f>VLOOKUP($C53,$C$2:AH$14,T$16,FALSE)</f>
        <v>3.21</v>
      </c>
      <c r="U53" s="163">
        <f>VLOOKUP($C53,$C$2:AI$14,U$16,FALSE)</f>
        <v>3.21</v>
      </c>
      <c r="W53" s="158">
        <f t="shared" ref="W53:X55" si="30">W52</f>
        <v>0</v>
      </c>
      <c r="X53" s="158">
        <f t="shared" si="30"/>
        <v>0</v>
      </c>
      <c r="Y53" s="158">
        <f>SUMIF(_12MonLights_TariffRateCategory,Y$33&amp;$V$52,_12MonLights_Count)-SUMIF(_12MonLights_TariffRateCategory,Y$33&amp;$V$52,_12MonLights_Count_Adj)</f>
        <v>12</v>
      </c>
      <c r="AA53" s="162">
        <f t="shared" si="25"/>
        <v>0</v>
      </c>
      <c r="AB53" s="162">
        <f t="shared" si="28"/>
        <v>0</v>
      </c>
      <c r="AC53" s="162">
        <f t="shared" si="26"/>
        <v>38.520000000000003</v>
      </c>
      <c r="AD53" s="162"/>
      <c r="AE53" s="162"/>
    </row>
    <row r="54" spans="2:31">
      <c r="B54" s="158">
        <v>3</v>
      </c>
      <c r="C54" s="158" t="str">
        <f t="shared" si="29"/>
        <v>24" Banner Arm (each)</v>
      </c>
      <c r="F54" s="163">
        <f>VLOOKUP($C54,$C$2:R$14,F$16,FALSE)</f>
        <v>2.57</v>
      </c>
      <c r="G54" s="163">
        <f>VLOOKUP($C54,$C$2:V$14,G$16,FALSE)</f>
        <v>2.64</v>
      </c>
      <c r="H54" s="163">
        <f>VLOOKUP($C54,$C$2:W$14,H$16,FALSE)</f>
        <v>2.82</v>
      </c>
      <c r="I54" s="163">
        <f>VLOOKUP($C54,$C$2:X$14,I$16,FALSE)</f>
        <v>2.82</v>
      </c>
      <c r="J54" s="163">
        <f>VLOOKUP($C54,$C$2:Y$14,J$16,FALSE)</f>
        <v>2.82</v>
      </c>
      <c r="K54" s="163">
        <f>VLOOKUP($C54,$C$2:Z$14,K$16,FALSE)</f>
        <v>2.82</v>
      </c>
      <c r="L54" s="163">
        <f>VLOOKUP($C54,$C$2:AA$14,L$16,FALSE)</f>
        <v>2.82</v>
      </c>
      <c r="M54" s="163">
        <f>VLOOKUP($C54,$C$2:AB$14,M$16,FALSE)</f>
        <v>2.8</v>
      </c>
      <c r="N54" s="163">
        <f>VLOOKUP($C54,$C$2:AC$14,N$16,FALSE)</f>
        <v>2.8</v>
      </c>
      <c r="O54" s="163">
        <f>VLOOKUP($C54,$C$2:AD$14,O$16,FALSE)</f>
        <v>2.8</v>
      </c>
      <c r="P54" s="163">
        <f>VLOOKUP($C54,$C$2:AE$14,P$16,FALSE)</f>
        <v>3.09</v>
      </c>
      <c r="Q54" s="163">
        <f>VLOOKUP($C54,$C$2:AF$14,Q$16,FALSE)</f>
        <v>3.09</v>
      </c>
      <c r="R54" s="163">
        <f>VLOOKUP($C54,$C$2:AG$14,R$16,FALSE)</f>
        <v>3.09</v>
      </c>
      <c r="S54" s="163">
        <f>VLOOKUP($C54,$C$2:AG$14,S$16,FALSE)</f>
        <v>3.21</v>
      </c>
      <c r="T54" s="163">
        <f>VLOOKUP($C54,$C$2:AH$14,T$16,FALSE)</f>
        <v>3.21</v>
      </c>
      <c r="U54" s="163">
        <f>VLOOKUP($C54,$C$2:AI$14,U$16,FALSE)</f>
        <v>3.21</v>
      </c>
      <c r="W54" s="158">
        <f t="shared" si="30"/>
        <v>0</v>
      </c>
      <c r="X54" s="158">
        <f t="shared" si="30"/>
        <v>0</v>
      </c>
      <c r="Y54" s="158">
        <f>SUMIF(_12MonLights_TariffRateCategory,Y$33&amp;$V$52,_12MonLights_Count)-SUMIF(_12MonLights_TariffRateCategory,Y$33&amp;$V$52,_12MonLights_Count_Adj)</f>
        <v>12</v>
      </c>
      <c r="AA54" s="162">
        <f t="shared" si="25"/>
        <v>0</v>
      </c>
      <c r="AB54" s="162">
        <f t="shared" si="28"/>
        <v>0</v>
      </c>
      <c r="AC54" s="162">
        <f t="shared" si="26"/>
        <v>38.520000000000003</v>
      </c>
      <c r="AD54" s="162"/>
      <c r="AE54" s="162"/>
    </row>
    <row r="55" spans="2:31">
      <c r="B55" s="158">
        <v>6</v>
      </c>
      <c r="C55" s="158" t="str">
        <f t="shared" si="29"/>
        <v>Flagpole Holder</v>
      </c>
      <c r="F55" s="163">
        <f>VLOOKUP($C55,$C$2:R$14,F$16,FALSE)</f>
        <v>1.0900000000000001</v>
      </c>
      <c r="G55" s="163">
        <f>VLOOKUP($C55,$C$2:V$14,G$16,FALSE)</f>
        <v>1.1200000000000001</v>
      </c>
      <c r="H55" s="163">
        <f>VLOOKUP($C55,$C$2:W$14,H$16,FALSE)</f>
        <v>1.2</v>
      </c>
      <c r="I55" s="163">
        <f>VLOOKUP($C55,$C$2:X$14,I$16,FALSE)</f>
        <v>1.2</v>
      </c>
      <c r="J55" s="163">
        <f>VLOOKUP($C55,$C$2:Y$14,J$16,FALSE)</f>
        <v>1.2</v>
      </c>
      <c r="K55" s="163">
        <f>VLOOKUP($C55,$C$2:Z$14,K$16,FALSE)</f>
        <v>1.2</v>
      </c>
      <c r="L55" s="163">
        <f>VLOOKUP($C55,$C$2:AA$14,L$16,FALSE)</f>
        <v>1.2</v>
      </c>
      <c r="M55" s="163">
        <f>VLOOKUP($C55,$C$2:AB$14,M$16,FALSE)</f>
        <v>1.19</v>
      </c>
      <c r="N55" s="163">
        <f>VLOOKUP($C55,$C$2:AC$14,N$16,FALSE)</f>
        <v>1.19</v>
      </c>
      <c r="O55" s="163">
        <f>VLOOKUP($C55,$C$2:AD$14,O$16,FALSE)</f>
        <v>1.19</v>
      </c>
      <c r="P55" s="163">
        <f>VLOOKUP($C55,$C$2:AE$14,P$16,FALSE)</f>
        <v>1.31</v>
      </c>
      <c r="Q55" s="163">
        <f>VLOOKUP($C55,$C$2:AF$14,Q$16,FALSE)</f>
        <v>1.31</v>
      </c>
      <c r="R55" s="163">
        <f>VLOOKUP($C55,$C$2:AG$14,R$16,FALSE)</f>
        <v>1.31</v>
      </c>
      <c r="S55" s="163">
        <f>VLOOKUP($C55,$C$2:AG$14,S$16,FALSE)</f>
        <v>1.36</v>
      </c>
      <c r="T55" s="163">
        <f>VLOOKUP($C55,$C$2:AH$14,T$16,FALSE)</f>
        <v>1.36</v>
      </c>
      <c r="U55" s="163">
        <f>VLOOKUP($C55,$C$2:AI$14,U$16,FALSE)</f>
        <v>1.36</v>
      </c>
      <c r="W55" s="158">
        <f t="shared" si="30"/>
        <v>0</v>
      </c>
      <c r="X55" s="158">
        <f t="shared" si="30"/>
        <v>0</v>
      </c>
      <c r="Y55" s="158">
        <f>SUMIF(_12MonLights_TariffRateCategory,Y$33&amp;$V$52,_12MonLights_Count)-SUMIF(_12MonLights_TariffRateCategory,Y$33&amp;$V$52,_12MonLights_Count_Adj)</f>
        <v>12</v>
      </c>
      <c r="AA55" s="162">
        <f t="shared" si="25"/>
        <v>0</v>
      </c>
      <c r="AB55" s="162">
        <f t="shared" si="28"/>
        <v>0</v>
      </c>
      <c r="AC55" s="162">
        <f t="shared" si="26"/>
        <v>16.32</v>
      </c>
      <c r="AD55" s="162"/>
      <c r="AE55" s="162"/>
    </row>
    <row r="56" spans="2:31">
      <c r="B56" s="158">
        <v>0</v>
      </c>
      <c r="C56" s="158" t="str">
        <f>$C$2</f>
        <v>Pole &amp; Fixture SL</v>
      </c>
      <c r="F56" s="163">
        <f>VLOOKUP($C56,$C$2:R$14,F$16,FALSE)</f>
        <v>34.9</v>
      </c>
      <c r="G56" s="163">
        <f>VLOOKUP($C56,$C$2:V$14,G$16,FALSE)</f>
        <v>35.840000000000003</v>
      </c>
      <c r="H56" s="163">
        <f>VLOOKUP($C56,$C$2:W$14,H$16,FALSE)</f>
        <v>38.28</v>
      </c>
      <c r="I56" s="163">
        <f>VLOOKUP($C56,$C$2:X$14,I$16,FALSE)</f>
        <v>38.44</v>
      </c>
      <c r="J56" s="163">
        <f>VLOOKUP($C56,$C$2:Y$14,J$16,FALSE)</f>
        <v>39.520000000000003</v>
      </c>
      <c r="K56" s="163">
        <f>VLOOKUP($C56,$C$2:Z$14,K$16,FALSE)</f>
        <v>39.909999999999997</v>
      </c>
      <c r="L56" s="163">
        <f>VLOOKUP($C56,$C$2:AA$14,L$16,FALSE)</f>
        <v>40.81</v>
      </c>
      <c r="M56" s="163">
        <f>VLOOKUP($C56,$C$2:AB$14,M$16,FALSE)</f>
        <v>40.19</v>
      </c>
      <c r="N56" s="163">
        <f>VLOOKUP($C56,$C$2:AC$14,N$16,FALSE)</f>
        <v>40.270000000000003</v>
      </c>
      <c r="O56" s="163">
        <f>VLOOKUP($C56,$C$2:AD$14,O$16,FALSE)</f>
        <v>44.78</v>
      </c>
      <c r="P56" s="163">
        <f>VLOOKUP($C56,$C$2:AE$14,P$16,FALSE)</f>
        <v>49.34</v>
      </c>
      <c r="Q56" s="163">
        <f>VLOOKUP($C56,$C$2:AF$14,Q$16,FALSE)</f>
        <v>49.29</v>
      </c>
      <c r="R56" s="163">
        <f>VLOOKUP($C56,$C$2:AG$14,R$16,FALSE)</f>
        <v>51</v>
      </c>
      <c r="S56" s="163">
        <f>VLOOKUP($C56,$C$2:AG$14,S$16,FALSE)</f>
        <v>53.01</v>
      </c>
      <c r="T56" s="163">
        <f>VLOOKUP($C56,$C$2:AH$14,T$16,FALSE)</f>
        <v>53.15</v>
      </c>
      <c r="U56" s="163">
        <f>VLOOKUP($C56,$C$2:AI$14,U$16,FALSE)</f>
        <v>55.33</v>
      </c>
      <c r="V56" s="161" t="s">
        <v>351</v>
      </c>
      <c r="W56" s="158">
        <f>SUMIF(_12MonLights_TariffRateCategory,W$33&amp;$V56,_12MonLights_Count)+SUMIF(_12MonLights_TariffRateCategory,W$33&amp;$V56,_12MonLights_Count_Adj)</f>
        <v>0</v>
      </c>
      <c r="X56" s="158">
        <f>SUMIF(_12MonLights_TariffRateCategory,X$33&amp;$V56,_12MonLights_Count)+SUMIF(_12MonLights_TariffRateCategory,X$33&amp;$V56,_12MonLights_Count_Adj)</f>
        <v>0</v>
      </c>
      <c r="Y56" s="158">
        <f>SUMIF(_12MonLights_TariffRateCategory,Y$33&amp;$V$56,_12MonLights_Count)-SUMIF(_12MonLights_TariffRateCategory,Y$33&amp;$V$56,_12MonLights_Count_Adj)</f>
        <v>60</v>
      </c>
      <c r="AA56" s="162">
        <f t="shared" si="25"/>
        <v>0</v>
      </c>
      <c r="AB56" s="162">
        <f>ROUND(X56*Q56,2)</f>
        <v>0</v>
      </c>
      <c r="AC56" s="162">
        <f t="shared" si="26"/>
        <v>3319.8</v>
      </c>
      <c r="AD56" s="260">
        <f>SUM(AA56:AC59)</f>
        <v>4856.3999999999996</v>
      </c>
      <c r="AE56" s="162"/>
    </row>
    <row r="57" spans="2:31">
      <c r="B57" s="158">
        <v>3</v>
      </c>
      <c r="C57" s="158" t="str">
        <f t="shared" si="29"/>
        <v>24" Banner Arm (each)</v>
      </c>
      <c r="F57" s="163">
        <f>VLOOKUP($C57,$C$2:R$14,F$16,FALSE)</f>
        <v>2.57</v>
      </c>
      <c r="G57" s="163">
        <f>VLOOKUP($C57,$C$2:V$14,G$16,FALSE)</f>
        <v>2.64</v>
      </c>
      <c r="H57" s="163">
        <f>VLOOKUP($C57,$C$2:W$14,H$16,FALSE)</f>
        <v>2.82</v>
      </c>
      <c r="I57" s="163">
        <f>VLOOKUP($C57,$C$2:X$14,I$16,FALSE)</f>
        <v>2.82</v>
      </c>
      <c r="J57" s="163">
        <f>VLOOKUP($C57,$C$2:Y$14,J$16,FALSE)</f>
        <v>2.82</v>
      </c>
      <c r="K57" s="163">
        <f>VLOOKUP($C57,$C$2:Z$14,K$16,FALSE)</f>
        <v>2.82</v>
      </c>
      <c r="L57" s="163">
        <f>VLOOKUP($C57,$C$2:AA$14,L$16,FALSE)</f>
        <v>2.82</v>
      </c>
      <c r="M57" s="163">
        <f>VLOOKUP($C57,$C$2:AB$14,M$16,FALSE)</f>
        <v>2.8</v>
      </c>
      <c r="N57" s="163">
        <f>VLOOKUP($C57,$C$2:AC$14,N$16,FALSE)</f>
        <v>2.8</v>
      </c>
      <c r="O57" s="163">
        <f>VLOOKUP($C57,$C$2:AD$14,O$16,FALSE)</f>
        <v>2.8</v>
      </c>
      <c r="P57" s="163">
        <f>VLOOKUP($C57,$C$2:AE$14,P$16,FALSE)</f>
        <v>3.09</v>
      </c>
      <c r="Q57" s="163">
        <f>VLOOKUP($C57,$C$2:AF$14,Q$16,FALSE)</f>
        <v>3.09</v>
      </c>
      <c r="R57" s="163">
        <f>VLOOKUP($C57,$C$2:AG$14,R$16,FALSE)</f>
        <v>3.09</v>
      </c>
      <c r="S57" s="163">
        <f>VLOOKUP($C57,$C$2:AG$14,S$16,FALSE)</f>
        <v>3.21</v>
      </c>
      <c r="T57" s="163">
        <f>VLOOKUP($C57,$C$2:AH$14,T$16,FALSE)</f>
        <v>3.21</v>
      </c>
      <c r="U57" s="163">
        <f>VLOOKUP($C57,$C$2:AI$14,U$16,FALSE)</f>
        <v>3.21</v>
      </c>
      <c r="W57" s="158">
        <f t="shared" ref="W57:X59" si="31">W56</f>
        <v>0</v>
      </c>
      <c r="X57" s="158">
        <f t="shared" si="31"/>
        <v>0</v>
      </c>
      <c r="Y57" s="158">
        <f>SUMIF(_12MonLights_TariffRateCategory,Y$33&amp;$V$56,_12MonLights_Count)-SUMIF(_12MonLights_TariffRateCategory,Y$33&amp;$V$56,_12MonLights_Count_Adj)</f>
        <v>60</v>
      </c>
      <c r="AA57" s="162">
        <f t="shared" si="25"/>
        <v>0</v>
      </c>
      <c r="AB57" s="162">
        <f t="shared" si="28"/>
        <v>0</v>
      </c>
      <c r="AC57" s="162">
        <f t="shared" si="26"/>
        <v>192.6</v>
      </c>
      <c r="AD57" s="162"/>
      <c r="AE57" s="162"/>
    </row>
    <row r="58" spans="2:31">
      <c r="B58" s="158">
        <v>3</v>
      </c>
      <c r="C58" s="158" t="str">
        <f t="shared" si="29"/>
        <v>24" Banner Arm (each)</v>
      </c>
      <c r="F58" s="163">
        <f>VLOOKUP($C58,$C$2:R$14,F$16,FALSE)</f>
        <v>2.57</v>
      </c>
      <c r="G58" s="163">
        <f>VLOOKUP($C58,$C$2:V$14,G$16,FALSE)</f>
        <v>2.64</v>
      </c>
      <c r="H58" s="163">
        <f>VLOOKUP($C58,$C$2:W$14,H$16,FALSE)</f>
        <v>2.82</v>
      </c>
      <c r="I58" s="163">
        <f>VLOOKUP($C58,$C$2:X$14,I$16,FALSE)</f>
        <v>2.82</v>
      </c>
      <c r="J58" s="163">
        <f>VLOOKUP($C58,$C$2:Y$14,J$16,FALSE)</f>
        <v>2.82</v>
      </c>
      <c r="K58" s="163">
        <f>VLOOKUP($C58,$C$2:Z$14,K$16,FALSE)</f>
        <v>2.82</v>
      </c>
      <c r="L58" s="163">
        <f>VLOOKUP($C58,$C$2:AA$14,L$16,FALSE)</f>
        <v>2.82</v>
      </c>
      <c r="M58" s="163">
        <f>VLOOKUP($C58,$C$2:AB$14,M$16,FALSE)</f>
        <v>2.8</v>
      </c>
      <c r="N58" s="163">
        <f>VLOOKUP($C58,$C$2:AC$14,N$16,FALSE)</f>
        <v>2.8</v>
      </c>
      <c r="O58" s="163">
        <f>VLOOKUP($C58,$C$2:AD$14,O$16,FALSE)</f>
        <v>2.8</v>
      </c>
      <c r="P58" s="163">
        <f>VLOOKUP($C58,$C$2:AE$14,P$16,FALSE)</f>
        <v>3.09</v>
      </c>
      <c r="Q58" s="163">
        <f>VLOOKUP($C58,$C$2:AF$14,Q$16,FALSE)</f>
        <v>3.09</v>
      </c>
      <c r="R58" s="163">
        <f>VLOOKUP($C58,$C$2:AG$14,R$16,FALSE)</f>
        <v>3.09</v>
      </c>
      <c r="S58" s="163">
        <f>VLOOKUP($C58,$C$2:AG$14,S$16,FALSE)</f>
        <v>3.21</v>
      </c>
      <c r="T58" s="163">
        <f>VLOOKUP($C58,$C$2:AH$14,T$16,FALSE)</f>
        <v>3.21</v>
      </c>
      <c r="U58" s="163">
        <f>VLOOKUP($C58,$C$2:AI$14,U$16,FALSE)</f>
        <v>3.21</v>
      </c>
      <c r="W58" s="158">
        <f t="shared" si="31"/>
        <v>0</v>
      </c>
      <c r="X58" s="158">
        <f t="shared" si="31"/>
        <v>0</v>
      </c>
      <c r="Y58" s="158">
        <f>SUMIF(_12MonLights_TariffRateCategory,Y$33&amp;$V$56,_12MonLights_Count)-SUMIF(_12MonLights_TariffRateCategory,Y$33&amp;$V$56,_12MonLights_Count_Adj)</f>
        <v>60</v>
      </c>
      <c r="AA58" s="162">
        <f t="shared" si="25"/>
        <v>0</v>
      </c>
      <c r="AB58" s="162">
        <f t="shared" si="28"/>
        <v>0</v>
      </c>
      <c r="AC58" s="162">
        <f t="shared" si="26"/>
        <v>192.6</v>
      </c>
      <c r="AD58" s="162"/>
      <c r="AE58" s="162"/>
    </row>
    <row r="59" spans="2:31">
      <c r="B59" s="158">
        <v>8</v>
      </c>
      <c r="C59" s="158" t="str">
        <f t="shared" si="29"/>
        <v>Post-Mounted Receptacle</v>
      </c>
      <c r="F59" s="163">
        <f>VLOOKUP($C59,$C$2:R$14,F$16,FALSE)</f>
        <v>15.41</v>
      </c>
      <c r="G59" s="163">
        <f>VLOOKUP($C59,$C$2:V$14,G$16,FALSE)</f>
        <v>15.82</v>
      </c>
      <c r="H59" s="163">
        <f>VLOOKUP($C59,$C$2:W$14,H$16,FALSE)</f>
        <v>16.899999999999999</v>
      </c>
      <c r="I59" s="163">
        <f>VLOOKUP($C59,$C$2:X$14,I$16,FALSE)</f>
        <v>16.899999999999999</v>
      </c>
      <c r="J59" s="163">
        <f>VLOOKUP($C59,$C$2:Y$14,J$16,FALSE)</f>
        <v>16.899999999999999</v>
      </c>
      <c r="K59" s="163">
        <f>VLOOKUP($C59,$C$2:Z$14,K$16,FALSE)</f>
        <v>16.899999999999999</v>
      </c>
      <c r="L59" s="163">
        <f>VLOOKUP($C59,$C$2:AA$14,L$16,FALSE)</f>
        <v>16.899999999999999</v>
      </c>
      <c r="M59" s="163">
        <f>VLOOKUP($C59,$C$2:AB$14,M$16,FALSE)</f>
        <v>16.75</v>
      </c>
      <c r="N59" s="163">
        <f>VLOOKUP($C59,$C$2:AC$14,N$16,FALSE)</f>
        <v>16.75</v>
      </c>
      <c r="O59" s="163">
        <f>VLOOKUP($C59,$C$2:AD$14,O$16,FALSE)</f>
        <v>16.75</v>
      </c>
      <c r="P59" s="163">
        <f>VLOOKUP($C59,$C$2:AE$14,P$16,FALSE)</f>
        <v>18.46</v>
      </c>
      <c r="Q59" s="163">
        <f>VLOOKUP($C59,$C$2:AF$14,Q$16,FALSE)</f>
        <v>18.46</v>
      </c>
      <c r="R59" s="163">
        <f>VLOOKUP($C59,$C$2:AG$14,R$16,FALSE)</f>
        <v>18.46</v>
      </c>
      <c r="S59" s="163">
        <f>VLOOKUP($C59,$C$2:AG$14,S$16,FALSE)</f>
        <v>19.190000000000001</v>
      </c>
      <c r="T59" s="163">
        <f>VLOOKUP($C59,$C$2:AH$14,T$16,FALSE)</f>
        <v>19.190000000000001</v>
      </c>
      <c r="U59" s="163">
        <f>VLOOKUP($C59,$C$2:AI$14,U$16,FALSE)</f>
        <v>19.190000000000001</v>
      </c>
      <c r="W59" s="158">
        <f t="shared" si="31"/>
        <v>0</v>
      </c>
      <c r="X59" s="158">
        <f t="shared" si="31"/>
        <v>0</v>
      </c>
      <c r="Y59" s="158">
        <f>SUMIF(_12MonLights_TariffRateCategory,Y$33&amp;$V$56,_12MonLights_Count)-SUMIF(_12MonLights_TariffRateCategory,Y$33&amp;$V$56,_12MonLights_Count_Adj)</f>
        <v>60</v>
      </c>
      <c r="AA59" s="162">
        <f t="shared" si="25"/>
        <v>0</v>
      </c>
      <c r="AB59" s="162">
        <f t="shared" si="28"/>
        <v>0</v>
      </c>
      <c r="AC59" s="162">
        <f t="shared" si="26"/>
        <v>1151.4000000000001</v>
      </c>
      <c r="AD59" s="162"/>
      <c r="AE59" s="162"/>
    </row>
    <row r="60" spans="2:31">
      <c r="B60" s="158">
        <v>0</v>
      </c>
      <c r="C60" s="158" t="str">
        <f>$C$2</f>
        <v>Pole &amp; Fixture SL</v>
      </c>
      <c r="F60" s="163">
        <f>VLOOKUP($C60,$C$2:R$14,F$16,FALSE)</f>
        <v>34.9</v>
      </c>
      <c r="G60" s="163">
        <f>VLOOKUP($C60,$C$2:V$14,G$16,FALSE)</f>
        <v>35.840000000000003</v>
      </c>
      <c r="H60" s="163">
        <f>VLOOKUP($C60,$C$2:W$14,H$16,FALSE)</f>
        <v>38.28</v>
      </c>
      <c r="I60" s="163">
        <f>VLOOKUP($C60,$C$2:X$14,I$16,FALSE)</f>
        <v>38.44</v>
      </c>
      <c r="J60" s="163">
        <f>VLOOKUP($C60,$C$2:Y$14,J$16,FALSE)</f>
        <v>39.520000000000003</v>
      </c>
      <c r="K60" s="163">
        <f>VLOOKUP($C60,$C$2:Z$14,K$16,FALSE)</f>
        <v>39.909999999999997</v>
      </c>
      <c r="L60" s="163">
        <f>VLOOKUP($C60,$C$2:AA$14,L$16,FALSE)</f>
        <v>40.81</v>
      </c>
      <c r="M60" s="163">
        <f>VLOOKUP($C60,$C$2:AB$14,M$16,FALSE)</f>
        <v>40.19</v>
      </c>
      <c r="N60" s="163">
        <f>VLOOKUP($C60,$C$2:AC$14,N$16,FALSE)</f>
        <v>40.270000000000003</v>
      </c>
      <c r="O60" s="163">
        <f>VLOOKUP($C60,$C$2:AD$14,O$16,FALSE)</f>
        <v>44.78</v>
      </c>
      <c r="P60" s="163">
        <f>VLOOKUP($C60,$C$2:AE$14,P$16,FALSE)</f>
        <v>49.34</v>
      </c>
      <c r="Q60" s="163">
        <f>VLOOKUP($C60,$C$2:AF$14,Q$16,FALSE)</f>
        <v>49.29</v>
      </c>
      <c r="R60" s="163">
        <f>VLOOKUP($C60,$C$2:AG$14,R$16,FALSE)</f>
        <v>51</v>
      </c>
      <c r="S60" s="163">
        <f>VLOOKUP($C60,$C$2:AG$14,S$16,FALSE)</f>
        <v>53.01</v>
      </c>
      <c r="T60" s="163">
        <f>VLOOKUP($C60,$C$2:AH$14,T$16,FALSE)</f>
        <v>53.15</v>
      </c>
      <c r="U60" s="163">
        <f>VLOOKUP($C60,$C$2:AI$14,U$16,FALSE)</f>
        <v>55.33</v>
      </c>
      <c r="V60" s="161" t="s">
        <v>352</v>
      </c>
      <c r="W60" s="158">
        <f>SUMIF(_12MonLights_TariffRateCategory,W$33&amp;$V60,_12MonLights_Count)+SUMIF(_12MonLights_TariffRateCategory,W$33&amp;$V60,_12MonLights_Count_Adj)</f>
        <v>0</v>
      </c>
      <c r="X60" s="158">
        <f>SUMIF(_12MonLights_TariffRateCategory,X$33&amp;$V60,_12MonLights_Count)+SUMIF(_12MonLights_TariffRateCategory,X$33&amp;$V60,_12MonLights_Count_Adj)</f>
        <v>0</v>
      </c>
      <c r="Y60" s="158">
        <f>SUMIF(_12MonLights_TariffRateCategory,Y$33&amp;$V$60,_12MonLights_Count)-SUMIF(_12MonLights_TariffRateCategory,Y$33&amp;$V$60,_12MonLights_Count_Adj)</f>
        <v>113</v>
      </c>
      <c r="AA60" s="162">
        <f t="shared" si="25"/>
        <v>0</v>
      </c>
      <c r="AB60" s="162">
        <f>ROUND(X60*Q60,2)</f>
        <v>0</v>
      </c>
      <c r="AC60" s="162">
        <f t="shared" si="26"/>
        <v>6252.29</v>
      </c>
      <c r="AD60" s="260">
        <f>SUM(AA60:AC62)</f>
        <v>8923.61</v>
      </c>
      <c r="AE60" s="162"/>
    </row>
    <row r="61" spans="2:31">
      <c r="B61" s="158">
        <v>8</v>
      </c>
      <c r="C61" s="158" t="str">
        <f t="shared" si="29"/>
        <v>Post-Mounted Receptacle</v>
      </c>
      <c r="F61" s="163">
        <f>VLOOKUP($C61,$C$2:R$14,F$16,FALSE)</f>
        <v>15.41</v>
      </c>
      <c r="G61" s="163">
        <f>VLOOKUP($C61,$C$2:V$14,G$16,FALSE)</f>
        <v>15.82</v>
      </c>
      <c r="H61" s="163">
        <f>VLOOKUP($C61,$C$2:W$14,H$16,FALSE)</f>
        <v>16.899999999999999</v>
      </c>
      <c r="I61" s="163">
        <f>VLOOKUP($C61,$C$2:X$14,I$16,FALSE)</f>
        <v>16.899999999999999</v>
      </c>
      <c r="J61" s="163">
        <f>VLOOKUP($C61,$C$2:Y$14,J$16,FALSE)</f>
        <v>16.899999999999999</v>
      </c>
      <c r="K61" s="163">
        <f>VLOOKUP($C61,$C$2:Z$14,K$16,FALSE)</f>
        <v>16.899999999999999</v>
      </c>
      <c r="L61" s="163">
        <f>VLOOKUP($C61,$C$2:AA$14,L$16,FALSE)</f>
        <v>16.899999999999999</v>
      </c>
      <c r="M61" s="163">
        <f>VLOOKUP($C61,$C$2:AB$14,M$16,FALSE)</f>
        <v>16.75</v>
      </c>
      <c r="N61" s="163">
        <f>VLOOKUP($C61,$C$2:AC$14,N$16,FALSE)</f>
        <v>16.75</v>
      </c>
      <c r="O61" s="163">
        <f>VLOOKUP($C61,$C$2:AD$14,O$16,FALSE)</f>
        <v>16.75</v>
      </c>
      <c r="P61" s="163">
        <f>VLOOKUP($C61,$C$2:AE$14,P$16,FALSE)</f>
        <v>18.46</v>
      </c>
      <c r="Q61" s="163">
        <f>VLOOKUP($C61,$C$2:AF$14,Q$16,FALSE)</f>
        <v>18.46</v>
      </c>
      <c r="R61" s="163">
        <f>VLOOKUP($C61,$C$2:AG$14,R$16,FALSE)</f>
        <v>18.46</v>
      </c>
      <c r="S61" s="163">
        <f>VLOOKUP($C61,$C$2:AG$14,S$16,FALSE)</f>
        <v>19.190000000000001</v>
      </c>
      <c r="T61" s="163">
        <f>VLOOKUP($C61,$C$2:AH$14,T$16,FALSE)</f>
        <v>19.190000000000001</v>
      </c>
      <c r="U61" s="163">
        <f>VLOOKUP($C61,$C$2:AI$14,U$16,FALSE)</f>
        <v>19.190000000000001</v>
      </c>
      <c r="W61" s="158">
        <f>W60</f>
        <v>0</v>
      </c>
      <c r="X61" s="158">
        <f>X60</f>
        <v>0</v>
      </c>
      <c r="Y61" s="158">
        <f>SUMIF(_12MonLights_TariffRateCategory,Y$33&amp;$V$60,_12MonLights_Count)-SUMIF(_12MonLights_TariffRateCategory,Y$33&amp;$V$60,_12MonLights_Count_Adj)</f>
        <v>113</v>
      </c>
      <c r="AA61" s="162">
        <f t="shared" si="25"/>
        <v>0</v>
      </c>
      <c r="AB61" s="162">
        <f t="shared" si="28"/>
        <v>0</v>
      </c>
      <c r="AC61" s="162">
        <f t="shared" si="26"/>
        <v>2168.4699999999998</v>
      </c>
      <c r="AD61" s="162"/>
      <c r="AE61" s="162"/>
    </row>
    <row r="62" spans="2:31">
      <c r="B62" s="158">
        <v>11</v>
      </c>
      <c r="C62" s="158" t="str">
        <f t="shared" si="29"/>
        <v>Planter</v>
      </c>
      <c r="F62" s="163">
        <f>VLOOKUP($C62,$C$2:R$14,F$16,FALSE)</f>
        <v>3.56</v>
      </c>
      <c r="G62" s="163">
        <f>VLOOKUP($C62,$C$2:V$14,G$16,FALSE)</f>
        <v>3.66</v>
      </c>
      <c r="H62" s="163">
        <f>VLOOKUP($C62,$C$2:W$14,H$16,FALSE)</f>
        <v>3.91</v>
      </c>
      <c r="I62" s="163">
        <f>VLOOKUP($C62,$C$2:X$14,I$16,FALSE)</f>
        <v>3.91</v>
      </c>
      <c r="J62" s="163">
        <f>VLOOKUP($C62,$C$2:Y$14,J$16,FALSE)</f>
        <v>3.91</v>
      </c>
      <c r="K62" s="163">
        <f>VLOOKUP($C62,$C$2:Z$14,K$16,FALSE)</f>
        <v>3.91</v>
      </c>
      <c r="L62" s="163">
        <f>VLOOKUP($C62,$C$2:AA$14,L$16,FALSE)</f>
        <v>3.91</v>
      </c>
      <c r="M62" s="163">
        <f>VLOOKUP($C62,$C$2:AB$14,M$16,FALSE)</f>
        <v>3.88</v>
      </c>
      <c r="N62" s="163">
        <f>VLOOKUP($C62,$C$2:AC$14,N$16,FALSE)</f>
        <v>3.88</v>
      </c>
      <c r="O62" s="163">
        <f>VLOOKUP($C62,$C$2:AD$14,O$16,FALSE)</f>
        <v>3.88</v>
      </c>
      <c r="P62" s="163">
        <f>VLOOKUP($C62,$C$2:AE$14,P$16,FALSE)</f>
        <v>4.28</v>
      </c>
      <c r="Q62" s="163">
        <f>VLOOKUP($C62,$C$2:AF$14,Q$16,FALSE)</f>
        <v>4.28</v>
      </c>
      <c r="R62" s="163">
        <f>VLOOKUP($C62,$C$2:AG$14,R$16,FALSE)</f>
        <v>4.28</v>
      </c>
      <c r="S62" s="163">
        <f>VLOOKUP($C62,$C$2:AG$14,S$16,FALSE)</f>
        <v>4.45</v>
      </c>
      <c r="T62" s="163">
        <f>VLOOKUP($C62,$C$2:AH$14,T$16,FALSE)</f>
        <v>4.45</v>
      </c>
      <c r="U62" s="163">
        <f>VLOOKUP($C62,$C$2:AI$14,U$16,FALSE)</f>
        <v>4.45</v>
      </c>
      <c r="W62" s="158">
        <f>W61</f>
        <v>0</v>
      </c>
      <c r="X62" s="158">
        <f>X61</f>
        <v>0</v>
      </c>
      <c r="Y62" s="158">
        <f>SUMIF(_12MonLights_TariffRateCategory,Y$33&amp;$V$60,_12MonLights_Count)-SUMIF(_12MonLights_TariffRateCategory,Y$33&amp;$V$60,_12MonLights_Count_Adj)</f>
        <v>113</v>
      </c>
      <c r="AA62" s="162">
        <f t="shared" si="25"/>
        <v>0</v>
      </c>
      <c r="AB62" s="162">
        <f t="shared" si="28"/>
        <v>0</v>
      </c>
      <c r="AC62" s="162">
        <f t="shared" si="26"/>
        <v>502.85</v>
      </c>
      <c r="AD62" s="162"/>
      <c r="AE62" s="162"/>
    </row>
    <row r="63" spans="2:31">
      <c r="B63" s="158">
        <v>0</v>
      </c>
      <c r="C63" s="158" t="str">
        <f>$C$2</f>
        <v>Pole &amp; Fixture SL</v>
      </c>
      <c r="F63" s="163">
        <f>VLOOKUP($C63,$C$2:R$14,F$16,FALSE)</f>
        <v>34.9</v>
      </c>
      <c r="G63" s="163">
        <f>VLOOKUP($C63,$C$2:V$14,G$16,FALSE)</f>
        <v>35.840000000000003</v>
      </c>
      <c r="H63" s="163">
        <f>VLOOKUP($C63,$C$2:W$14,H$16,FALSE)</f>
        <v>38.28</v>
      </c>
      <c r="I63" s="163">
        <f>VLOOKUP($C63,$C$2:X$14,I$16,FALSE)</f>
        <v>38.44</v>
      </c>
      <c r="J63" s="163">
        <f>VLOOKUP($C63,$C$2:Y$14,J$16,FALSE)</f>
        <v>39.520000000000003</v>
      </c>
      <c r="K63" s="163">
        <f>VLOOKUP($C63,$C$2:Z$14,K$16,FALSE)</f>
        <v>39.909999999999997</v>
      </c>
      <c r="L63" s="163">
        <f>VLOOKUP($C63,$C$2:AA$14,L$16,FALSE)</f>
        <v>40.81</v>
      </c>
      <c r="M63" s="163">
        <f>VLOOKUP($C63,$C$2:AB$14,M$16,FALSE)</f>
        <v>40.19</v>
      </c>
      <c r="N63" s="163">
        <f>VLOOKUP($C63,$C$2:AC$14,N$16,FALSE)</f>
        <v>40.270000000000003</v>
      </c>
      <c r="O63" s="163">
        <f>VLOOKUP($C63,$C$2:AD$14,O$16,FALSE)</f>
        <v>44.78</v>
      </c>
      <c r="P63" s="163">
        <f>VLOOKUP($C63,$C$2:AE$14,P$16,FALSE)</f>
        <v>49.34</v>
      </c>
      <c r="Q63" s="163">
        <f>VLOOKUP($C63,$C$2:AF$14,Q$16,FALSE)</f>
        <v>49.29</v>
      </c>
      <c r="R63" s="163">
        <f>VLOOKUP($C63,$C$2:AG$14,R$16,FALSE)</f>
        <v>51</v>
      </c>
      <c r="S63" s="163">
        <f>VLOOKUP($C63,$C$2:AG$14,S$16,FALSE)</f>
        <v>53.01</v>
      </c>
      <c r="T63" s="163">
        <f>VLOOKUP($C63,$C$2:AH$14,T$16,FALSE)</f>
        <v>53.15</v>
      </c>
      <c r="U63" s="163">
        <f>VLOOKUP($C63,$C$2:AI$14,U$16,FALSE)</f>
        <v>55.33</v>
      </c>
      <c r="V63" s="161" t="s">
        <v>354</v>
      </c>
      <c r="W63" s="158">
        <f>SUMIF(_12MonLights_TariffRateCategory,W$33&amp;$V63,_12MonLights_Count)+SUMIF(_12MonLights_TariffRateCategory,W$33&amp;$V63,_12MonLights_Count_Adj)</f>
        <v>0</v>
      </c>
      <c r="X63" s="158">
        <f>SUMIF(_12MonLights_TariffRateCategory,X$33&amp;$V63,_12MonLights_Count)+SUMIF(_12MonLights_TariffRateCategory,X$33&amp;$V63,_12MonLights_Count_Adj)</f>
        <v>0</v>
      </c>
      <c r="Y63" s="158">
        <f>SUMIF(_12MonLights_TariffRateCategory,Y$33&amp;$V$63,_12MonLights_Count)-SUMIF(_12MonLights_TariffRateCategory,Y$33&amp;$V$63,_12MonLights_Count_Adj)</f>
        <v>295</v>
      </c>
      <c r="AA63" s="162">
        <f t="shared" si="25"/>
        <v>0</v>
      </c>
      <c r="AB63" s="162">
        <f>ROUND(X63*Q63,2)</f>
        <v>0</v>
      </c>
      <c r="AC63" s="162">
        <f t="shared" si="26"/>
        <v>16322.35</v>
      </c>
      <c r="AD63" s="260">
        <f>SUM(AA63:AC65)</f>
        <v>18062.849999999999</v>
      </c>
      <c r="AE63" s="162"/>
    </row>
    <row r="64" spans="2:31">
      <c r="B64" s="158">
        <v>5</v>
      </c>
      <c r="C64" s="158" t="str">
        <f t="shared" si="29"/>
        <v>18" Banner Arm (each)</v>
      </c>
      <c r="F64" s="163">
        <f>VLOOKUP($C64,$C$2:R$14,F$16,FALSE)</f>
        <v>2.37</v>
      </c>
      <c r="G64" s="163">
        <f>VLOOKUP($C64,$C$2:V$14,G$16,FALSE)</f>
        <v>2.4300000000000002</v>
      </c>
      <c r="H64" s="163">
        <f>VLOOKUP($C64,$C$2:W$14,H$16,FALSE)</f>
        <v>2.6</v>
      </c>
      <c r="I64" s="163">
        <f>VLOOKUP($C64,$C$2:X$14,I$16,FALSE)</f>
        <v>2.6</v>
      </c>
      <c r="J64" s="163">
        <f>VLOOKUP($C64,$C$2:Y$14,J$16,FALSE)</f>
        <v>2.6</v>
      </c>
      <c r="K64" s="163">
        <f>VLOOKUP($C64,$C$2:Z$14,K$16,FALSE)</f>
        <v>2.6</v>
      </c>
      <c r="L64" s="163">
        <f>VLOOKUP($C64,$C$2:AA$14,L$16,FALSE)</f>
        <v>2.6</v>
      </c>
      <c r="M64" s="163">
        <f>VLOOKUP($C64,$C$2:AB$14,M$16,FALSE)</f>
        <v>2.58</v>
      </c>
      <c r="N64" s="163">
        <f>VLOOKUP($C64,$C$2:AC$14,N$16,FALSE)</f>
        <v>2.58</v>
      </c>
      <c r="O64" s="163">
        <f>VLOOKUP($C64,$C$2:AD$14,O$16,FALSE)</f>
        <v>2.58</v>
      </c>
      <c r="P64" s="163">
        <f>VLOOKUP($C64,$C$2:AE$14,P$16,FALSE)</f>
        <v>2.84</v>
      </c>
      <c r="Q64" s="163">
        <f>VLOOKUP($C64,$C$2:AF$14,Q$16,FALSE)</f>
        <v>2.84</v>
      </c>
      <c r="R64" s="163">
        <f>VLOOKUP($C64,$C$2:AG$14,R$16,FALSE)</f>
        <v>2.84</v>
      </c>
      <c r="S64" s="163">
        <f>VLOOKUP($C64,$C$2:AG$14,S$16,FALSE)</f>
        <v>2.95</v>
      </c>
      <c r="T64" s="163">
        <f>VLOOKUP($C64,$C$2:AH$14,T$16,FALSE)</f>
        <v>2.95</v>
      </c>
      <c r="U64" s="163">
        <f>VLOOKUP($C64,$C$2:AI$14,U$16,FALSE)</f>
        <v>2.95</v>
      </c>
      <c r="W64" s="158">
        <f>W63</f>
        <v>0</v>
      </c>
      <c r="X64" s="158">
        <f>X63</f>
        <v>0</v>
      </c>
      <c r="Y64" s="158">
        <f>SUMIF(_12MonLights_TariffRateCategory,Y$33&amp;$V$63,_12MonLights_Count)-SUMIF(_12MonLights_TariffRateCategory,Y$33&amp;$V$63,_12MonLights_Count_Adj)</f>
        <v>295</v>
      </c>
      <c r="AA64" s="162">
        <f t="shared" si="25"/>
        <v>0</v>
      </c>
      <c r="AB64" s="162">
        <f t="shared" si="28"/>
        <v>0</v>
      </c>
      <c r="AC64" s="162">
        <f t="shared" si="26"/>
        <v>870.25</v>
      </c>
      <c r="AD64" s="162"/>
      <c r="AE64" s="162"/>
    </row>
    <row r="65" spans="2:31">
      <c r="B65" s="158">
        <v>5</v>
      </c>
      <c r="C65" s="158" t="str">
        <f t="shared" si="29"/>
        <v>18" Banner Arm (each)</v>
      </c>
      <c r="F65" s="163">
        <f>VLOOKUP($C65,$C$2:R$14,F$16,FALSE)</f>
        <v>2.37</v>
      </c>
      <c r="G65" s="163">
        <f>VLOOKUP($C65,$C$2:V$14,G$16,FALSE)</f>
        <v>2.4300000000000002</v>
      </c>
      <c r="H65" s="163">
        <f>VLOOKUP($C65,$C$2:W$14,H$16,FALSE)</f>
        <v>2.6</v>
      </c>
      <c r="I65" s="163">
        <f>VLOOKUP($C65,$C$2:X$14,I$16,FALSE)</f>
        <v>2.6</v>
      </c>
      <c r="J65" s="163">
        <f>VLOOKUP($C65,$C$2:Y$14,J$16,FALSE)</f>
        <v>2.6</v>
      </c>
      <c r="K65" s="163">
        <f>VLOOKUP($C65,$C$2:Z$14,K$16,FALSE)</f>
        <v>2.6</v>
      </c>
      <c r="L65" s="163">
        <f>VLOOKUP($C65,$C$2:AA$14,L$16,FALSE)</f>
        <v>2.6</v>
      </c>
      <c r="M65" s="163">
        <f>VLOOKUP($C65,$C$2:AB$14,M$16,FALSE)</f>
        <v>2.58</v>
      </c>
      <c r="N65" s="163">
        <f>VLOOKUP($C65,$C$2:AC$14,N$16,FALSE)</f>
        <v>2.58</v>
      </c>
      <c r="O65" s="163">
        <f>VLOOKUP($C65,$C$2:AD$14,O$16,FALSE)</f>
        <v>2.58</v>
      </c>
      <c r="P65" s="163">
        <f>VLOOKUP($C65,$C$2:AE$14,P$16,FALSE)</f>
        <v>2.84</v>
      </c>
      <c r="Q65" s="163">
        <f>VLOOKUP($C65,$C$2:AF$14,Q$16,FALSE)</f>
        <v>2.84</v>
      </c>
      <c r="R65" s="163">
        <f>VLOOKUP($C65,$C$2:AG$14,R$16,FALSE)</f>
        <v>2.84</v>
      </c>
      <c r="S65" s="163">
        <f>VLOOKUP($C65,$C$2:AG$14,S$16,FALSE)</f>
        <v>2.95</v>
      </c>
      <c r="T65" s="163">
        <f>VLOOKUP($C65,$C$2:AH$14,T$16,FALSE)</f>
        <v>2.95</v>
      </c>
      <c r="U65" s="163">
        <f>VLOOKUP($C65,$C$2:AI$14,U$16,FALSE)</f>
        <v>2.95</v>
      </c>
      <c r="W65" s="158">
        <f>W64</f>
        <v>0</v>
      </c>
      <c r="X65" s="158">
        <f>X64</f>
        <v>0</v>
      </c>
      <c r="Y65" s="158">
        <f>SUMIF(_12MonLights_TariffRateCategory,Y$33&amp;$V$63,_12MonLights_Count)-SUMIF(_12MonLights_TariffRateCategory,Y$33&amp;$V$63,_12MonLights_Count_Adj)</f>
        <v>295</v>
      </c>
      <c r="AA65" s="162">
        <f t="shared" si="25"/>
        <v>0</v>
      </c>
      <c r="AB65" s="162">
        <f t="shared" si="28"/>
        <v>0</v>
      </c>
      <c r="AC65" s="162">
        <f t="shared" si="26"/>
        <v>870.25</v>
      </c>
      <c r="AD65" s="162"/>
      <c r="AE65" s="162"/>
    </row>
    <row r="66" spans="2:31">
      <c r="B66" s="158">
        <v>0</v>
      </c>
      <c r="C66" s="158" t="str">
        <f>$C$2</f>
        <v>Pole &amp; Fixture SL</v>
      </c>
      <c r="F66" s="163">
        <f>VLOOKUP($C66,$C$2:R$14,F$16,FALSE)</f>
        <v>34.9</v>
      </c>
      <c r="G66" s="163">
        <f>VLOOKUP($C66,$C$2:V$14,G$16,FALSE)</f>
        <v>35.840000000000003</v>
      </c>
      <c r="H66" s="163">
        <f>VLOOKUP($C66,$C$2:W$14,H$16,FALSE)</f>
        <v>38.28</v>
      </c>
      <c r="I66" s="163">
        <f>VLOOKUP($C66,$C$2:X$14,I$16,FALSE)</f>
        <v>38.44</v>
      </c>
      <c r="J66" s="163">
        <f>VLOOKUP($C66,$C$2:Y$14,J$16,FALSE)</f>
        <v>39.520000000000003</v>
      </c>
      <c r="K66" s="163">
        <f>VLOOKUP($C66,$C$2:Z$14,K$16,FALSE)</f>
        <v>39.909999999999997</v>
      </c>
      <c r="L66" s="163">
        <f>VLOOKUP($C66,$C$2:AA$14,L$16,FALSE)</f>
        <v>40.81</v>
      </c>
      <c r="M66" s="163">
        <f>VLOOKUP($C66,$C$2:AB$14,M$16,FALSE)</f>
        <v>40.19</v>
      </c>
      <c r="N66" s="163">
        <f>VLOOKUP($C66,$C$2:AC$14,N$16,FALSE)</f>
        <v>40.270000000000003</v>
      </c>
      <c r="O66" s="163">
        <f>VLOOKUP($C66,$C$2:AD$14,O$16,FALSE)</f>
        <v>44.78</v>
      </c>
      <c r="P66" s="163">
        <f>VLOOKUP($C66,$C$2:AE$14,P$16,FALSE)</f>
        <v>49.34</v>
      </c>
      <c r="Q66" s="163">
        <f>VLOOKUP($C66,$C$2:AF$14,Q$16,FALSE)</f>
        <v>49.29</v>
      </c>
      <c r="R66" s="163">
        <f>VLOOKUP($C66,$C$2:AG$14,R$16,FALSE)</f>
        <v>51</v>
      </c>
      <c r="S66" s="163">
        <f>VLOOKUP($C66,$C$2:AG$14,S$16,FALSE)</f>
        <v>53.01</v>
      </c>
      <c r="T66" s="163">
        <f>VLOOKUP($C66,$C$2:AH$14,T$16,FALSE)</f>
        <v>53.15</v>
      </c>
      <c r="U66" s="163">
        <f>VLOOKUP($C66,$C$2:AI$14,U$16,FALSE)</f>
        <v>55.33</v>
      </c>
      <c r="V66" s="161" t="s">
        <v>355</v>
      </c>
      <c r="W66" s="158">
        <f>SUMIF(_12MonLights_TariffRateCategory,W$33&amp;$V66,_12MonLights_Count)+SUMIF(_12MonLights_TariffRateCategory,W$33&amp;$V66,_12MonLights_Count_Adj)</f>
        <v>0</v>
      </c>
      <c r="X66" s="158">
        <f>SUMIF(_12MonLights_TariffRateCategory,X$33&amp;$V66,_12MonLights_Count)+SUMIF(_12MonLights_TariffRateCategory,X$33&amp;$V66,_12MonLights_Count_Adj)</f>
        <v>0</v>
      </c>
      <c r="Y66" s="158">
        <f>SUMIF(_12MonLights_TariffRateCategory,Y$33&amp;$V$66,_12MonLights_Count)-SUMIF(_12MonLights_TariffRateCategory,Y$33&amp;$V$66,_12MonLights_Count_Adj)</f>
        <v>12</v>
      </c>
      <c r="AA66" s="162">
        <f t="shared" si="25"/>
        <v>0</v>
      </c>
      <c r="AB66" s="162">
        <f>ROUND(X66*Q66,2)</f>
        <v>0</v>
      </c>
      <c r="AC66" s="162">
        <f t="shared" si="26"/>
        <v>663.96</v>
      </c>
      <c r="AD66" s="260">
        <f>SUM(AA66:AC67)</f>
        <v>680.28000000000009</v>
      </c>
      <c r="AE66" s="162"/>
    </row>
    <row r="67" spans="2:31">
      <c r="B67" s="158">
        <v>6</v>
      </c>
      <c r="C67" s="158" t="str">
        <f t="shared" si="29"/>
        <v>Flagpole Holder</v>
      </c>
      <c r="F67" s="163">
        <f>VLOOKUP($C67,$C$2:R$14,F$16,FALSE)</f>
        <v>1.0900000000000001</v>
      </c>
      <c r="G67" s="163">
        <f>VLOOKUP($C67,$C$2:V$14,G$16,FALSE)</f>
        <v>1.1200000000000001</v>
      </c>
      <c r="H67" s="163">
        <f>VLOOKUP($C67,$C$2:W$14,H$16,FALSE)</f>
        <v>1.2</v>
      </c>
      <c r="I67" s="163">
        <f>VLOOKUP($C67,$C$2:X$14,I$16,FALSE)</f>
        <v>1.2</v>
      </c>
      <c r="J67" s="163">
        <f>VLOOKUP($C67,$C$2:Y$14,J$16,FALSE)</f>
        <v>1.2</v>
      </c>
      <c r="K67" s="163">
        <f>VLOOKUP($C67,$C$2:Z$14,K$16,FALSE)</f>
        <v>1.2</v>
      </c>
      <c r="L67" s="163">
        <f>VLOOKUP($C67,$C$2:AA$14,L$16,FALSE)</f>
        <v>1.2</v>
      </c>
      <c r="M67" s="163">
        <f>VLOOKUP($C67,$C$2:AB$14,M$16,FALSE)</f>
        <v>1.19</v>
      </c>
      <c r="N67" s="163">
        <f>VLOOKUP($C67,$C$2:AC$14,N$16,FALSE)</f>
        <v>1.19</v>
      </c>
      <c r="O67" s="163">
        <f>VLOOKUP($C67,$C$2:AD$14,O$16,FALSE)</f>
        <v>1.19</v>
      </c>
      <c r="P67" s="163">
        <f>VLOOKUP($C67,$C$2:AE$14,P$16,FALSE)</f>
        <v>1.31</v>
      </c>
      <c r="Q67" s="163">
        <f>VLOOKUP($C67,$C$2:AF$14,Q$16,FALSE)</f>
        <v>1.31</v>
      </c>
      <c r="R67" s="163">
        <f>VLOOKUP($C67,$C$2:AG$14,R$16,FALSE)</f>
        <v>1.31</v>
      </c>
      <c r="S67" s="163">
        <f>VLOOKUP($C67,$C$2:AG$14,S$16,FALSE)</f>
        <v>1.36</v>
      </c>
      <c r="T67" s="163">
        <f>VLOOKUP($C67,$C$2:AH$14,T$16,FALSE)</f>
        <v>1.36</v>
      </c>
      <c r="U67" s="163">
        <f>VLOOKUP($C67,$C$2:AI$14,U$16,FALSE)</f>
        <v>1.36</v>
      </c>
      <c r="W67" s="158">
        <f>W66</f>
        <v>0</v>
      </c>
      <c r="X67" s="158">
        <f>X66</f>
        <v>0</v>
      </c>
      <c r="Y67" s="158">
        <f>SUMIF(_12MonLights_TariffRateCategory,Y$33&amp;$V$66,_12MonLights_Count)-SUMIF(_12MonLights_TariffRateCategory,Y$33&amp;$V$66,_12MonLights_Count_Adj)</f>
        <v>12</v>
      </c>
      <c r="AA67" s="162">
        <f t="shared" si="25"/>
        <v>0</v>
      </c>
      <c r="AB67" s="162">
        <f t="shared" si="28"/>
        <v>0</v>
      </c>
      <c r="AC67" s="162">
        <f t="shared" si="26"/>
        <v>16.32</v>
      </c>
      <c r="AD67" s="162"/>
      <c r="AE67" s="162"/>
    </row>
    <row r="68" spans="2:31">
      <c r="B68" s="158">
        <v>0</v>
      </c>
      <c r="C68" s="158" t="str">
        <f>$C$2</f>
        <v>Pole &amp; Fixture SL</v>
      </c>
      <c r="F68" s="163">
        <f>VLOOKUP($C68,$C$2:R$14,F$16,FALSE)</f>
        <v>34.9</v>
      </c>
      <c r="G68" s="163">
        <f>VLOOKUP($C68,$C$2:V$14,G$16,FALSE)</f>
        <v>35.840000000000003</v>
      </c>
      <c r="H68" s="163">
        <f>VLOOKUP($C68,$C$2:W$14,H$16,FALSE)</f>
        <v>38.28</v>
      </c>
      <c r="I68" s="163">
        <f>VLOOKUP($C68,$C$2:X$14,I$16,FALSE)</f>
        <v>38.44</v>
      </c>
      <c r="J68" s="163">
        <f>VLOOKUP($C68,$C$2:Y$14,J$16,FALSE)</f>
        <v>39.520000000000003</v>
      </c>
      <c r="K68" s="163">
        <f>VLOOKUP($C68,$C$2:Z$14,K$16,FALSE)</f>
        <v>39.909999999999997</v>
      </c>
      <c r="L68" s="163">
        <f>VLOOKUP($C68,$C$2:AA$14,L$16,FALSE)</f>
        <v>40.81</v>
      </c>
      <c r="M68" s="163">
        <f>VLOOKUP($C68,$C$2:AB$14,M$16,FALSE)</f>
        <v>40.19</v>
      </c>
      <c r="N68" s="163">
        <f>VLOOKUP($C68,$C$2:AC$14,N$16,FALSE)</f>
        <v>40.270000000000003</v>
      </c>
      <c r="O68" s="163">
        <f>VLOOKUP($C68,$C$2:AD$14,O$16,FALSE)</f>
        <v>44.78</v>
      </c>
      <c r="P68" s="163">
        <f>VLOOKUP($C68,$C$2:AE$14,P$16,FALSE)</f>
        <v>49.34</v>
      </c>
      <c r="Q68" s="163">
        <f>VLOOKUP($C68,$C$2:AF$14,Q$16,FALSE)</f>
        <v>49.29</v>
      </c>
      <c r="R68" s="163">
        <f>VLOOKUP($C68,$C$2:AG$14,R$16,FALSE)</f>
        <v>51</v>
      </c>
      <c r="S68" s="163">
        <f>VLOOKUP($C68,$C$2:AG$14,S$16,FALSE)</f>
        <v>53.01</v>
      </c>
      <c r="T68" s="163">
        <f>VLOOKUP($C68,$C$2:AH$14,T$16,FALSE)</f>
        <v>53.15</v>
      </c>
      <c r="U68" s="163">
        <f>VLOOKUP($C68,$C$2:AI$14,U$16,FALSE)</f>
        <v>55.33</v>
      </c>
      <c r="V68" s="161" t="s">
        <v>341</v>
      </c>
      <c r="W68" s="158">
        <f>SUMIF(_12MonLights_TariffRateCategory,W$33&amp;$V68,_12MonLights_Count)+SUMIF(_12MonLights_TariffRateCategory,W$33&amp;$V68,_12MonLights_Count_Adj)</f>
        <v>0</v>
      </c>
      <c r="X68" s="158">
        <f>SUMIF(_12MonLights_TariffRateCategory,X$33&amp;$V68,_12MonLights_Count)+SUMIF(_12MonLights_TariffRateCategory,X$33&amp;$V68,_12MonLights_Count_Adj)</f>
        <v>0</v>
      </c>
      <c r="Y68" s="158">
        <f>SUMIF(_12MonLights_TariffRateCategory,Y$33&amp;$V$68,_12MonLights_Count)-SUMIF(_12MonLights_TariffRateCategory,Y$33&amp;$V$68,_12MonLights_Count_Adj)</f>
        <v>185</v>
      </c>
      <c r="AA68" s="162">
        <f t="shared" si="25"/>
        <v>0</v>
      </c>
      <c r="AB68" s="162">
        <f>ROUND(X68*Q68,2)</f>
        <v>0</v>
      </c>
      <c r="AC68" s="162">
        <f t="shared" si="26"/>
        <v>10236.049999999999</v>
      </c>
      <c r="AD68" s="260">
        <f>SUM(AA68:AC69)</f>
        <v>13786.199999999999</v>
      </c>
      <c r="AE68" s="162"/>
    </row>
    <row r="69" spans="2:31">
      <c r="B69" s="158">
        <v>8</v>
      </c>
      <c r="C69" s="158" t="str">
        <f t="shared" si="29"/>
        <v>Post-Mounted Receptacle</v>
      </c>
      <c r="F69" s="163">
        <f>VLOOKUP($C69,$C$2:R$14,F$16,FALSE)</f>
        <v>15.41</v>
      </c>
      <c r="G69" s="163">
        <f>VLOOKUP($C69,$C$2:V$14,G$16,FALSE)</f>
        <v>15.82</v>
      </c>
      <c r="H69" s="163">
        <f>VLOOKUP($C69,$C$2:W$14,H$16,FALSE)</f>
        <v>16.899999999999999</v>
      </c>
      <c r="I69" s="163">
        <f>VLOOKUP($C69,$C$2:X$14,I$16,FALSE)</f>
        <v>16.899999999999999</v>
      </c>
      <c r="J69" s="163">
        <f>VLOOKUP($C69,$C$2:Y$14,J$16,FALSE)</f>
        <v>16.899999999999999</v>
      </c>
      <c r="K69" s="163">
        <f>VLOOKUP($C69,$C$2:Z$14,K$16,FALSE)</f>
        <v>16.899999999999999</v>
      </c>
      <c r="L69" s="163">
        <f>VLOOKUP($C69,$C$2:AA$14,L$16,FALSE)</f>
        <v>16.899999999999999</v>
      </c>
      <c r="M69" s="163">
        <f>VLOOKUP($C69,$C$2:AB$14,M$16,FALSE)</f>
        <v>16.75</v>
      </c>
      <c r="N69" s="163">
        <f>VLOOKUP($C69,$C$2:AC$14,N$16,FALSE)</f>
        <v>16.75</v>
      </c>
      <c r="O69" s="163">
        <f>VLOOKUP($C69,$C$2:AD$14,O$16,FALSE)</f>
        <v>16.75</v>
      </c>
      <c r="P69" s="163">
        <f>VLOOKUP($C69,$C$2:AE$14,P$16,FALSE)</f>
        <v>18.46</v>
      </c>
      <c r="Q69" s="163">
        <f>VLOOKUP($C69,$C$2:AF$14,Q$16,FALSE)</f>
        <v>18.46</v>
      </c>
      <c r="R69" s="163">
        <f>VLOOKUP($C69,$C$2:AG$14,R$16,FALSE)</f>
        <v>18.46</v>
      </c>
      <c r="S69" s="163">
        <f>VLOOKUP($C69,$C$2:AG$14,S$16,FALSE)</f>
        <v>19.190000000000001</v>
      </c>
      <c r="T69" s="163">
        <f>VLOOKUP($C69,$C$2:AH$14,T$16,FALSE)</f>
        <v>19.190000000000001</v>
      </c>
      <c r="U69" s="163">
        <f>VLOOKUP($C69,$C$2:AI$14,U$16,FALSE)</f>
        <v>19.190000000000001</v>
      </c>
      <c r="W69" s="158">
        <f>W68</f>
        <v>0</v>
      </c>
      <c r="X69" s="158">
        <f>X68</f>
        <v>0</v>
      </c>
      <c r="Y69" s="158">
        <f>SUMIF(_12MonLights_TariffRateCategory,Y$33&amp;$V$68,_12MonLights_Count)-SUMIF(_12MonLights_TariffRateCategory,Y$33&amp;$V$68,_12MonLights_Count_Adj)</f>
        <v>185</v>
      </c>
      <c r="AA69" s="162">
        <f t="shared" si="25"/>
        <v>0</v>
      </c>
      <c r="AB69" s="162">
        <f t="shared" si="28"/>
        <v>0</v>
      </c>
      <c r="AC69" s="162">
        <f t="shared" si="26"/>
        <v>3550.15</v>
      </c>
      <c r="AD69" s="162"/>
      <c r="AE69" s="162"/>
    </row>
    <row r="70" spans="2:31">
      <c r="B70" s="158">
        <v>0</v>
      </c>
      <c r="C70" s="158" t="str">
        <f>$C$2</f>
        <v>Pole &amp; Fixture SL</v>
      </c>
      <c r="F70" s="163">
        <f>VLOOKUP($C70,$C$2:R$14,F$16,FALSE)</f>
        <v>34.9</v>
      </c>
      <c r="G70" s="163">
        <f>VLOOKUP($C70,$C$2:V$14,G$16,FALSE)</f>
        <v>35.840000000000003</v>
      </c>
      <c r="H70" s="163">
        <f>VLOOKUP($C70,$C$2:W$14,H$16,FALSE)</f>
        <v>38.28</v>
      </c>
      <c r="I70" s="163">
        <f>VLOOKUP($C70,$C$2:X$14,I$16,FALSE)</f>
        <v>38.44</v>
      </c>
      <c r="J70" s="163">
        <f>VLOOKUP($C70,$C$2:Y$14,J$16,FALSE)</f>
        <v>39.520000000000003</v>
      </c>
      <c r="K70" s="163">
        <f>VLOOKUP($C70,$C$2:Z$14,K$16,FALSE)</f>
        <v>39.909999999999997</v>
      </c>
      <c r="L70" s="163">
        <f>VLOOKUP($C70,$C$2:AA$14,L$16,FALSE)</f>
        <v>40.81</v>
      </c>
      <c r="M70" s="163">
        <f>VLOOKUP($C70,$C$2:AB$14,M$16,FALSE)</f>
        <v>40.19</v>
      </c>
      <c r="N70" s="163">
        <f>VLOOKUP($C70,$C$2:AC$14,N$16,FALSE)</f>
        <v>40.270000000000003</v>
      </c>
      <c r="O70" s="163">
        <f>VLOOKUP($C70,$C$2:AD$14,O$16,FALSE)</f>
        <v>44.78</v>
      </c>
      <c r="P70" s="163">
        <f>VLOOKUP($C70,$C$2:AE$14,P$16,FALSE)</f>
        <v>49.34</v>
      </c>
      <c r="Q70" s="163">
        <f>VLOOKUP($C70,$C$2:AF$14,Q$16,FALSE)</f>
        <v>49.29</v>
      </c>
      <c r="R70" s="163">
        <f>VLOOKUP($C70,$C$2:AG$14,R$16,FALSE)</f>
        <v>51</v>
      </c>
      <c r="S70" s="163">
        <f>VLOOKUP($C70,$C$2:AG$14,S$16,FALSE)</f>
        <v>53.01</v>
      </c>
      <c r="T70" s="163">
        <f>VLOOKUP($C70,$C$2:AH$14,T$16,FALSE)</f>
        <v>53.15</v>
      </c>
      <c r="U70" s="163">
        <f>VLOOKUP($C70,$C$2:AI$14,U$16,FALSE)</f>
        <v>55.33</v>
      </c>
      <c r="V70" s="161" t="s">
        <v>631</v>
      </c>
      <c r="W70" s="158">
        <f>SUMIF(_12MonLights_TariffRateCategory,W$33&amp;$V70,_12MonLights_Count)+SUMIF(_12MonLights_TariffRateCategory,W$33&amp;$V70,_12MonLights_Count_Adj)</f>
        <v>0</v>
      </c>
      <c r="X70" s="158">
        <f>SUMIF(_12MonLights_TariffRateCategory,X$33&amp;$V70,_12MonLights_Count)+SUMIF(_12MonLights_TariffRateCategory,X$33&amp;$V70,_12MonLights_Count_Adj)</f>
        <v>0</v>
      </c>
      <c r="Y70" s="158">
        <f t="shared" ref="Y70:Y75" si="32">SUMIF(_12MonLights_TariffRateCategory,Y$33&amp;$V$70,_12MonLights_Count)-SUMIF(_12MonLights_TariffRateCategory,Y$33&amp;$V$70,_12MonLights_Count_Adj)</f>
        <v>0</v>
      </c>
      <c r="AA70" s="162">
        <f t="shared" si="25"/>
        <v>0</v>
      </c>
      <c r="AB70" s="162">
        <f>ROUND(X70*Q70,2)</f>
        <v>0</v>
      </c>
      <c r="AC70" s="162">
        <f t="shared" si="26"/>
        <v>0</v>
      </c>
      <c r="AD70" s="162">
        <f>SUM(AA70:AC75)</f>
        <v>0</v>
      </c>
      <c r="AE70" s="162"/>
    </row>
    <row r="71" spans="2:31">
      <c r="B71" s="158">
        <v>2</v>
      </c>
      <c r="C71" s="158" t="str">
        <f t="shared" si="29"/>
        <v>Twin Crossarm Bracket (incl.extra fixture)</v>
      </c>
      <c r="F71" s="163">
        <f>VLOOKUP($C71,$C$2:R$14,F$16,FALSE)</f>
        <v>16.52</v>
      </c>
      <c r="G71" s="163">
        <f>VLOOKUP($C71,$C$2:V$14,G$16,FALSE)</f>
        <v>16.96</v>
      </c>
      <c r="H71" s="163">
        <f>VLOOKUP($C71,$C$2:W$14,H$16,FALSE)</f>
        <v>18.12</v>
      </c>
      <c r="I71" s="163">
        <f>VLOOKUP($C71,$C$2:X$14,I$16,FALSE)</f>
        <v>18.12</v>
      </c>
      <c r="J71" s="163">
        <f>VLOOKUP($C71,$C$2:Y$14,J$16,FALSE)</f>
        <v>18.12</v>
      </c>
      <c r="K71" s="163">
        <f>VLOOKUP($C71,$C$2:Z$14,K$16,FALSE)</f>
        <v>18.12</v>
      </c>
      <c r="L71" s="163">
        <f>VLOOKUP($C71,$C$2:AA$14,L$16,FALSE)</f>
        <v>18.12</v>
      </c>
      <c r="M71" s="163">
        <f>VLOOKUP($C71,$C$2:AB$14,M$16,FALSE)</f>
        <v>17.96</v>
      </c>
      <c r="N71" s="163">
        <f>VLOOKUP($C71,$C$2:AC$14,N$16,FALSE)</f>
        <v>17.96</v>
      </c>
      <c r="O71" s="163">
        <f>VLOOKUP($C71,$C$2:AD$14,O$16,FALSE)</f>
        <v>17.96</v>
      </c>
      <c r="P71" s="163">
        <f>VLOOKUP($C71,$C$2:AE$14,P$16,FALSE)</f>
        <v>19.79</v>
      </c>
      <c r="Q71" s="163">
        <f>VLOOKUP($C71,$C$2:AF$14,Q$16,FALSE)</f>
        <v>19.79</v>
      </c>
      <c r="R71" s="163">
        <f>VLOOKUP($C71,$C$2:AG$14,R$16,FALSE)</f>
        <v>19.79</v>
      </c>
      <c r="S71" s="163">
        <f>VLOOKUP($C71,$C$2:AG$14,S$16,FALSE)</f>
        <v>20.57</v>
      </c>
      <c r="T71" s="163">
        <f>VLOOKUP($C71,$C$2:AH$14,T$16,FALSE)</f>
        <v>20.57</v>
      </c>
      <c r="U71" s="163">
        <f>VLOOKUP($C71,$C$2:AI$14,U$16,FALSE)</f>
        <v>20.57</v>
      </c>
      <c r="W71" s="158">
        <f t="shared" ref="W71:X75" si="33">W70</f>
        <v>0</v>
      </c>
      <c r="X71" s="158">
        <f t="shared" si="33"/>
        <v>0</v>
      </c>
      <c r="Y71" s="158">
        <f t="shared" si="32"/>
        <v>0</v>
      </c>
      <c r="AA71" s="162">
        <f t="shared" si="25"/>
        <v>0</v>
      </c>
      <c r="AB71" s="162">
        <f t="shared" si="28"/>
        <v>0</v>
      </c>
      <c r="AC71" s="162">
        <f t="shared" si="26"/>
        <v>0</v>
      </c>
      <c r="AD71" s="162"/>
      <c r="AE71" s="162"/>
    </row>
    <row r="72" spans="2:31">
      <c r="B72" s="158">
        <v>5</v>
      </c>
      <c r="C72" s="158" t="str">
        <f t="shared" si="29"/>
        <v>18" Banner Arm (each)</v>
      </c>
      <c r="F72" s="163">
        <f>VLOOKUP($C72,$C$2:R$14,F$16,FALSE)</f>
        <v>2.37</v>
      </c>
      <c r="G72" s="163">
        <f>VLOOKUP($C72,$C$2:V$14,G$16,FALSE)</f>
        <v>2.4300000000000002</v>
      </c>
      <c r="H72" s="163">
        <f>VLOOKUP($C72,$C$2:W$14,H$16,FALSE)</f>
        <v>2.6</v>
      </c>
      <c r="I72" s="163">
        <f>VLOOKUP($C72,$C$2:X$14,I$16,FALSE)</f>
        <v>2.6</v>
      </c>
      <c r="J72" s="163">
        <f>VLOOKUP($C72,$C$2:Y$14,J$16,FALSE)</f>
        <v>2.6</v>
      </c>
      <c r="K72" s="163">
        <f>VLOOKUP($C72,$C$2:Z$14,K$16,FALSE)</f>
        <v>2.6</v>
      </c>
      <c r="L72" s="163">
        <f>VLOOKUP($C72,$C$2:AA$14,L$16,FALSE)</f>
        <v>2.6</v>
      </c>
      <c r="M72" s="163">
        <f>VLOOKUP($C72,$C$2:AB$14,M$16,FALSE)</f>
        <v>2.58</v>
      </c>
      <c r="N72" s="163">
        <f>VLOOKUP($C72,$C$2:AC$14,N$16,FALSE)</f>
        <v>2.58</v>
      </c>
      <c r="O72" s="163">
        <f>VLOOKUP($C72,$C$2:AD$14,O$16,FALSE)</f>
        <v>2.58</v>
      </c>
      <c r="P72" s="163">
        <f>VLOOKUP($C72,$C$2:AE$14,P$16,FALSE)</f>
        <v>2.84</v>
      </c>
      <c r="Q72" s="163">
        <f>VLOOKUP($C72,$C$2:AF$14,Q$16,FALSE)</f>
        <v>2.84</v>
      </c>
      <c r="R72" s="163">
        <f>VLOOKUP($C72,$C$2:AG$14,R$16,FALSE)</f>
        <v>2.84</v>
      </c>
      <c r="S72" s="163">
        <f>VLOOKUP($C72,$C$2:AG$14,S$16,FALSE)</f>
        <v>2.95</v>
      </c>
      <c r="T72" s="163">
        <f>VLOOKUP($C72,$C$2:AH$14,T$16,FALSE)</f>
        <v>2.95</v>
      </c>
      <c r="U72" s="163">
        <f>VLOOKUP($C72,$C$2:AI$14,U$16,FALSE)</f>
        <v>2.95</v>
      </c>
      <c r="W72" s="158">
        <f t="shared" si="33"/>
        <v>0</v>
      </c>
      <c r="X72" s="158">
        <f t="shared" si="33"/>
        <v>0</v>
      </c>
      <c r="Y72" s="158">
        <f t="shared" si="32"/>
        <v>0</v>
      </c>
      <c r="AA72" s="162">
        <f t="shared" si="25"/>
        <v>0</v>
      </c>
      <c r="AB72" s="162">
        <f t="shared" si="28"/>
        <v>0</v>
      </c>
      <c r="AC72" s="162">
        <f t="shared" si="26"/>
        <v>0</v>
      </c>
      <c r="AD72" s="162"/>
      <c r="AE72" s="162"/>
    </row>
    <row r="73" spans="2:31">
      <c r="B73" s="158">
        <v>5</v>
      </c>
      <c r="C73" s="158" t="str">
        <f t="shared" si="29"/>
        <v>18" Banner Arm (each)</v>
      </c>
      <c r="F73" s="163">
        <f>VLOOKUP($C73,$C$2:R$14,F$16,FALSE)</f>
        <v>2.37</v>
      </c>
      <c r="G73" s="163">
        <f>VLOOKUP($C73,$C$2:V$14,G$16,FALSE)</f>
        <v>2.4300000000000002</v>
      </c>
      <c r="H73" s="163">
        <f>VLOOKUP($C73,$C$2:W$14,H$16,FALSE)</f>
        <v>2.6</v>
      </c>
      <c r="I73" s="163">
        <f>VLOOKUP($C73,$C$2:X$14,I$16,FALSE)</f>
        <v>2.6</v>
      </c>
      <c r="J73" s="163">
        <f>VLOOKUP($C73,$C$2:Y$14,J$16,FALSE)</f>
        <v>2.6</v>
      </c>
      <c r="K73" s="163">
        <f>VLOOKUP($C73,$C$2:Z$14,K$16,FALSE)</f>
        <v>2.6</v>
      </c>
      <c r="L73" s="163">
        <f>VLOOKUP($C73,$C$2:AA$14,L$16,FALSE)</f>
        <v>2.6</v>
      </c>
      <c r="M73" s="163">
        <f>VLOOKUP($C73,$C$2:AB$14,M$16,FALSE)</f>
        <v>2.58</v>
      </c>
      <c r="N73" s="163">
        <f>VLOOKUP($C73,$C$2:AC$14,N$16,FALSE)</f>
        <v>2.58</v>
      </c>
      <c r="O73" s="163">
        <f>VLOOKUP($C73,$C$2:AD$14,O$16,FALSE)</f>
        <v>2.58</v>
      </c>
      <c r="P73" s="163">
        <f>VLOOKUP($C73,$C$2:AE$14,P$16,FALSE)</f>
        <v>2.84</v>
      </c>
      <c r="Q73" s="163">
        <f>VLOOKUP($C73,$C$2:AF$14,Q$16,FALSE)</f>
        <v>2.84</v>
      </c>
      <c r="R73" s="163">
        <f>VLOOKUP($C73,$C$2:AG$14,R$16,FALSE)</f>
        <v>2.84</v>
      </c>
      <c r="S73" s="163">
        <f>VLOOKUP($C73,$C$2:AG$14,S$16,FALSE)</f>
        <v>2.95</v>
      </c>
      <c r="T73" s="163">
        <f>VLOOKUP($C73,$C$2:AH$14,T$16,FALSE)</f>
        <v>2.95</v>
      </c>
      <c r="U73" s="163">
        <f>VLOOKUP($C73,$C$2:AI$14,U$16,FALSE)</f>
        <v>2.95</v>
      </c>
      <c r="W73" s="158">
        <f t="shared" si="33"/>
        <v>0</v>
      </c>
      <c r="X73" s="158">
        <f t="shared" si="33"/>
        <v>0</v>
      </c>
      <c r="Y73" s="158">
        <f t="shared" si="32"/>
        <v>0</v>
      </c>
      <c r="AA73" s="162">
        <f t="shared" si="25"/>
        <v>0</v>
      </c>
      <c r="AB73" s="162">
        <f t="shared" si="28"/>
        <v>0</v>
      </c>
      <c r="AC73" s="162">
        <f t="shared" si="26"/>
        <v>0</v>
      </c>
      <c r="AD73" s="162"/>
      <c r="AE73" s="162"/>
    </row>
    <row r="74" spans="2:31">
      <c r="B74" s="158">
        <v>6</v>
      </c>
      <c r="C74" s="158" t="str">
        <f t="shared" si="29"/>
        <v>Flagpole Holder</v>
      </c>
      <c r="F74" s="163">
        <f>VLOOKUP($C74,$C$2:R$14,F$16,FALSE)</f>
        <v>1.0900000000000001</v>
      </c>
      <c r="G74" s="163">
        <f>VLOOKUP($C74,$C$2:V$14,G$16,FALSE)</f>
        <v>1.1200000000000001</v>
      </c>
      <c r="H74" s="163">
        <f>VLOOKUP($C74,$C$2:W$14,H$16,FALSE)</f>
        <v>1.2</v>
      </c>
      <c r="I74" s="163">
        <f>VLOOKUP($C74,$C$2:X$14,I$16,FALSE)</f>
        <v>1.2</v>
      </c>
      <c r="J74" s="163">
        <f>VLOOKUP($C74,$C$2:Y$14,J$16,FALSE)</f>
        <v>1.2</v>
      </c>
      <c r="K74" s="163">
        <f>VLOOKUP($C74,$C$2:Z$14,K$16,FALSE)</f>
        <v>1.2</v>
      </c>
      <c r="L74" s="163">
        <f>VLOOKUP($C74,$C$2:AA$14,L$16,FALSE)</f>
        <v>1.2</v>
      </c>
      <c r="M74" s="163">
        <f>VLOOKUP($C74,$C$2:AB$14,M$16,FALSE)</f>
        <v>1.19</v>
      </c>
      <c r="N74" s="163">
        <f>VLOOKUP($C74,$C$2:AC$14,N$16,FALSE)</f>
        <v>1.19</v>
      </c>
      <c r="O74" s="163">
        <f>VLOOKUP($C74,$C$2:AD$14,O$16,FALSE)</f>
        <v>1.19</v>
      </c>
      <c r="P74" s="163">
        <f>VLOOKUP($C74,$C$2:AE$14,P$16,FALSE)</f>
        <v>1.31</v>
      </c>
      <c r="Q74" s="163">
        <f>VLOOKUP($C74,$C$2:AF$14,Q$16,FALSE)</f>
        <v>1.31</v>
      </c>
      <c r="R74" s="163">
        <f>VLOOKUP($C74,$C$2:AG$14,R$16,FALSE)</f>
        <v>1.31</v>
      </c>
      <c r="S74" s="163">
        <f>VLOOKUP($C74,$C$2:AG$14,S$16,FALSE)</f>
        <v>1.36</v>
      </c>
      <c r="T74" s="163">
        <f>VLOOKUP($C74,$C$2:AH$14,T$16,FALSE)</f>
        <v>1.36</v>
      </c>
      <c r="U74" s="163">
        <f>VLOOKUP($C74,$C$2:AI$14,U$16,FALSE)</f>
        <v>1.36</v>
      </c>
      <c r="W74" s="158">
        <f t="shared" si="33"/>
        <v>0</v>
      </c>
      <c r="X74" s="158">
        <f t="shared" si="33"/>
        <v>0</v>
      </c>
      <c r="Y74" s="158">
        <f t="shared" si="32"/>
        <v>0</v>
      </c>
      <c r="AA74" s="162">
        <f t="shared" si="25"/>
        <v>0</v>
      </c>
      <c r="AB74" s="162">
        <f t="shared" si="28"/>
        <v>0</v>
      </c>
      <c r="AC74" s="162">
        <f t="shared" si="26"/>
        <v>0</v>
      </c>
      <c r="AD74" s="162"/>
      <c r="AE74" s="162"/>
    </row>
    <row r="75" spans="2:31">
      <c r="B75" s="158">
        <v>8</v>
      </c>
      <c r="C75" s="158" t="str">
        <f t="shared" si="29"/>
        <v>Post-Mounted Receptacle</v>
      </c>
      <c r="F75" s="163">
        <f>VLOOKUP($C75,$C$2:R$14,F$16,FALSE)</f>
        <v>15.41</v>
      </c>
      <c r="G75" s="163">
        <f>VLOOKUP($C75,$C$2:V$14,G$16,FALSE)</f>
        <v>15.82</v>
      </c>
      <c r="H75" s="163">
        <f>VLOOKUP($C75,$C$2:W$14,H$16,FALSE)</f>
        <v>16.899999999999999</v>
      </c>
      <c r="I75" s="163">
        <f>VLOOKUP($C75,$C$2:X$14,I$16,FALSE)</f>
        <v>16.899999999999999</v>
      </c>
      <c r="J75" s="163">
        <f>VLOOKUP($C75,$C$2:Y$14,J$16,FALSE)</f>
        <v>16.899999999999999</v>
      </c>
      <c r="K75" s="163">
        <f>VLOOKUP($C75,$C$2:Z$14,K$16,FALSE)</f>
        <v>16.899999999999999</v>
      </c>
      <c r="L75" s="163">
        <f>VLOOKUP($C75,$C$2:AA$14,L$16,FALSE)</f>
        <v>16.899999999999999</v>
      </c>
      <c r="M75" s="163">
        <f>VLOOKUP($C75,$C$2:AB$14,M$16,FALSE)</f>
        <v>16.75</v>
      </c>
      <c r="N75" s="163">
        <f>VLOOKUP($C75,$C$2:AC$14,N$16,FALSE)</f>
        <v>16.75</v>
      </c>
      <c r="O75" s="163">
        <f>VLOOKUP($C75,$C$2:AD$14,O$16,FALSE)</f>
        <v>16.75</v>
      </c>
      <c r="P75" s="163">
        <f>VLOOKUP($C75,$C$2:AE$14,P$16,FALSE)</f>
        <v>18.46</v>
      </c>
      <c r="Q75" s="163">
        <f>VLOOKUP($C75,$C$2:AF$14,Q$16,FALSE)</f>
        <v>18.46</v>
      </c>
      <c r="R75" s="163">
        <f>VLOOKUP($C75,$C$2:AG$14,R$16,FALSE)</f>
        <v>18.46</v>
      </c>
      <c r="S75" s="163">
        <f>VLOOKUP($C75,$C$2:AG$14,S$16,FALSE)</f>
        <v>19.190000000000001</v>
      </c>
      <c r="T75" s="163">
        <f>VLOOKUP($C75,$C$2:AH$14,T$16,FALSE)</f>
        <v>19.190000000000001</v>
      </c>
      <c r="U75" s="163">
        <f>VLOOKUP($C75,$C$2:AI$14,U$16,FALSE)</f>
        <v>19.190000000000001</v>
      </c>
      <c r="W75" s="158">
        <f t="shared" si="33"/>
        <v>0</v>
      </c>
      <c r="X75" s="158">
        <f t="shared" si="33"/>
        <v>0</v>
      </c>
      <c r="Y75" s="158">
        <f t="shared" si="32"/>
        <v>0</v>
      </c>
      <c r="AA75" s="162">
        <f t="shared" si="25"/>
        <v>0</v>
      </c>
      <c r="AB75" s="162">
        <f t="shared" si="28"/>
        <v>0</v>
      </c>
      <c r="AC75" s="162">
        <f t="shared" si="26"/>
        <v>0</v>
      </c>
      <c r="AD75" s="162"/>
      <c r="AE75" s="162"/>
    </row>
    <row r="76" spans="2:31">
      <c r="B76" s="158">
        <v>0</v>
      </c>
      <c r="C76" s="158" t="str">
        <f>$C$2</f>
        <v>Pole &amp; Fixture SL</v>
      </c>
      <c r="F76" s="163">
        <f>VLOOKUP($C76,$C$2:R$14,F$16,FALSE)</f>
        <v>34.9</v>
      </c>
      <c r="G76" s="163">
        <f>VLOOKUP($C76,$C$2:V$14,G$16,FALSE)</f>
        <v>35.840000000000003</v>
      </c>
      <c r="H76" s="163">
        <f>VLOOKUP($C76,$C$2:W$14,H$16,FALSE)</f>
        <v>38.28</v>
      </c>
      <c r="I76" s="163">
        <f>VLOOKUP($C76,$C$2:X$14,I$16,FALSE)</f>
        <v>38.44</v>
      </c>
      <c r="J76" s="163">
        <f>VLOOKUP($C76,$C$2:Y$14,J$16,FALSE)</f>
        <v>39.520000000000003</v>
      </c>
      <c r="K76" s="163">
        <f>VLOOKUP($C76,$C$2:Z$14,K$16,FALSE)</f>
        <v>39.909999999999997</v>
      </c>
      <c r="L76" s="163">
        <f>VLOOKUP($C76,$C$2:AA$14,L$16,FALSE)</f>
        <v>40.81</v>
      </c>
      <c r="M76" s="163">
        <f>VLOOKUP($C76,$C$2:AB$14,M$16,FALSE)</f>
        <v>40.19</v>
      </c>
      <c r="N76" s="163">
        <f>VLOOKUP($C76,$C$2:AC$14,N$16,FALSE)</f>
        <v>40.270000000000003</v>
      </c>
      <c r="O76" s="163">
        <f>VLOOKUP($C76,$C$2:AD$14,O$16,FALSE)</f>
        <v>44.78</v>
      </c>
      <c r="P76" s="163">
        <f>VLOOKUP($C76,$C$2:AE$14,P$16,FALSE)</f>
        <v>49.34</v>
      </c>
      <c r="Q76" s="163">
        <f>VLOOKUP($C76,$C$2:AF$14,Q$16,FALSE)</f>
        <v>49.29</v>
      </c>
      <c r="R76" s="163">
        <f>VLOOKUP($C76,$C$2:AG$14,R$16,FALSE)</f>
        <v>51</v>
      </c>
      <c r="S76" s="163">
        <f>VLOOKUP($C76,$C$2:AG$14,S$16,FALSE)</f>
        <v>53.01</v>
      </c>
      <c r="T76" s="163">
        <f>VLOOKUP($C76,$C$2:AH$14,T$16,FALSE)</f>
        <v>53.15</v>
      </c>
      <c r="U76" s="163">
        <f>VLOOKUP($C76,$C$2:AI$14,U$16,FALSE)</f>
        <v>55.33</v>
      </c>
      <c r="V76" s="161" t="s">
        <v>350</v>
      </c>
      <c r="W76" s="158">
        <f>SUMIF(_12MonLights_TariffRateCategory,W$33&amp;$V76,_12MonLights_Count)+SUMIF(_12MonLights_TariffRateCategory,W$33&amp;$V76,_12MonLights_Count_Adj)</f>
        <v>0</v>
      </c>
      <c r="X76" s="158">
        <f>SUMIF(_12MonLights_TariffRateCategory,X$33&amp;$V76,_12MonLights_Count)+SUMIF(_12MonLights_TariffRateCategory,X$33&amp;$V76,_12MonLights_Count_Adj)</f>
        <v>0</v>
      </c>
      <c r="Y76" s="158">
        <f>SUMIF(_12MonLights_TariffRateCategory,Y$33&amp;$V$76,_12MonLights_Count)-SUMIF(_12MonLights_TariffRateCategory,Y$33&amp;$V$76,_12MonLights_Count_Adj)</f>
        <v>12</v>
      </c>
      <c r="AA76" s="162">
        <f t="shared" si="25"/>
        <v>0</v>
      </c>
      <c r="AB76" s="162">
        <f>ROUND(X76*Q76,2)</f>
        <v>0</v>
      </c>
      <c r="AC76" s="162">
        <f t="shared" si="26"/>
        <v>663.96</v>
      </c>
      <c r="AD76" s="260">
        <f>SUM(AA76:AC80)</f>
        <v>987.6</v>
      </c>
      <c r="AE76" s="162"/>
    </row>
    <row r="77" spans="2:31">
      <c r="B77" s="158">
        <v>3</v>
      </c>
      <c r="C77" s="158" t="str">
        <f t="shared" si="29"/>
        <v>24" Banner Arm (each)</v>
      </c>
      <c r="F77" s="163">
        <f>VLOOKUP($C77,$C$2:R$14,F$16,FALSE)</f>
        <v>2.57</v>
      </c>
      <c r="G77" s="163">
        <f>VLOOKUP($C77,$C$2:V$14,G$16,FALSE)</f>
        <v>2.64</v>
      </c>
      <c r="H77" s="163">
        <f>VLOOKUP($C77,$C$2:W$14,H$16,FALSE)</f>
        <v>2.82</v>
      </c>
      <c r="I77" s="163">
        <f>VLOOKUP($C77,$C$2:X$14,I$16,FALSE)</f>
        <v>2.82</v>
      </c>
      <c r="J77" s="163">
        <f>VLOOKUP($C77,$C$2:Y$14,J$16,FALSE)</f>
        <v>2.82</v>
      </c>
      <c r="K77" s="163">
        <f>VLOOKUP($C77,$C$2:Z$14,K$16,FALSE)</f>
        <v>2.82</v>
      </c>
      <c r="L77" s="163">
        <f>VLOOKUP($C77,$C$2:AA$14,L$16,FALSE)</f>
        <v>2.82</v>
      </c>
      <c r="M77" s="163">
        <f>VLOOKUP($C77,$C$2:AB$14,M$16,FALSE)</f>
        <v>2.8</v>
      </c>
      <c r="N77" s="163">
        <f>VLOOKUP($C77,$C$2:AC$14,N$16,FALSE)</f>
        <v>2.8</v>
      </c>
      <c r="O77" s="163">
        <f>VLOOKUP($C77,$C$2:AD$14,O$16,FALSE)</f>
        <v>2.8</v>
      </c>
      <c r="P77" s="163">
        <f>VLOOKUP($C77,$C$2:AE$14,P$16,FALSE)</f>
        <v>3.09</v>
      </c>
      <c r="Q77" s="163">
        <f>VLOOKUP($C77,$C$2:AF$14,Q$16,FALSE)</f>
        <v>3.09</v>
      </c>
      <c r="R77" s="163">
        <f>VLOOKUP($C77,$C$2:AG$14,R$16,FALSE)</f>
        <v>3.09</v>
      </c>
      <c r="S77" s="163">
        <f>VLOOKUP($C77,$C$2:AG$14,S$16,FALSE)</f>
        <v>3.21</v>
      </c>
      <c r="T77" s="163">
        <f>VLOOKUP($C77,$C$2:AH$14,T$16,FALSE)</f>
        <v>3.21</v>
      </c>
      <c r="U77" s="163">
        <f>VLOOKUP($C77,$C$2:AI$14,U$16,FALSE)</f>
        <v>3.21</v>
      </c>
      <c r="W77" s="158">
        <f t="shared" ref="W77:X80" si="34">W76</f>
        <v>0</v>
      </c>
      <c r="X77" s="158">
        <f t="shared" si="34"/>
        <v>0</v>
      </c>
      <c r="Y77" s="158">
        <f>SUMIF(_12MonLights_TariffRateCategory,Y$33&amp;$V$76,_12MonLights_Count)-SUMIF(_12MonLights_TariffRateCategory,Y$33&amp;$V$76,_12MonLights_Count_Adj)</f>
        <v>12</v>
      </c>
      <c r="AA77" s="162">
        <f t="shared" si="25"/>
        <v>0</v>
      </c>
      <c r="AB77" s="162">
        <f t="shared" si="28"/>
        <v>0</v>
      </c>
      <c r="AC77" s="162">
        <f t="shared" si="26"/>
        <v>38.520000000000003</v>
      </c>
      <c r="AD77" s="162"/>
      <c r="AE77" s="162"/>
    </row>
    <row r="78" spans="2:31">
      <c r="B78" s="158">
        <v>3</v>
      </c>
      <c r="C78" s="158" t="str">
        <f t="shared" si="29"/>
        <v>24" Banner Arm (each)</v>
      </c>
      <c r="F78" s="163">
        <f>VLOOKUP($C78,$C$2:R$14,F$16,FALSE)</f>
        <v>2.57</v>
      </c>
      <c r="G78" s="163">
        <f>VLOOKUP($C78,$C$2:V$14,G$16,FALSE)</f>
        <v>2.64</v>
      </c>
      <c r="H78" s="163">
        <f>VLOOKUP($C78,$C$2:W$14,H$16,FALSE)</f>
        <v>2.82</v>
      </c>
      <c r="I78" s="163">
        <f>VLOOKUP($C78,$C$2:X$14,I$16,FALSE)</f>
        <v>2.82</v>
      </c>
      <c r="J78" s="163">
        <f>VLOOKUP($C78,$C$2:Y$14,J$16,FALSE)</f>
        <v>2.82</v>
      </c>
      <c r="K78" s="163">
        <f>VLOOKUP($C78,$C$2:Z$14,K$16,FALSE)</f>
        <v>2.82</v>
      </c>
      <c r="L78" s="163">
        <f>VLOOKUP($C78,$C$2:AA$14,L$16,FALSE)</f>
        <v>2.82</v>
      </c>
      <c r="M78" s="163">
        <f>VLOOKUP($C78,$C$2:AB$14,M$16,FALSE)</f>
        <v>2.8</v>
      </c>
      <c r="N78" s="163">
        <f>VLOOKUP($C78,$C$2:AC$14,N$16,FALSE)</f>
        <v>2.8</v>
      </c>
      <c r="O78" s="163">
        <f>VLOOKUP($C78,$C$2:AD$14,O$16,FALSE)</f>
        <v>2.8</v>
      </c>
      <c r="P78" s="163">
        <f>VLOOKUP($C78,$C$2:AE$14,P$16,FALSE)</f>
        <v>3.09</v>
      </c>
      <c r="Q78" s="163">
        <f>VLOOKUP($C78,$C$2:AF$14,Q$16,FALSE)</f>
        <v>3.09</v>
      </c>
      <c r="R78" s="163">
        <f>VLOOKUP($C78,$C$2:AG$14,R$16,FALSE)</f>
        <v>3.09</v>
      </c>
      <c r="S78" s="163">
        <f>VLOOKUP($C78,$C$2:AG$14,S$16,FALSE)</f>
        <v>3.21</v>
      </c>
      <c r="T78" s="163">
        <f>VLOOKUP($C78,$C$2:AH$14,T$16,FALSE)</f>
        <v>3.21</v>
      </c>
      <c r="U78" s="163">
        <f>VLOOKUP($C78,$C$2:AI$14,U$16,FALSE)</f>
        <v>3.21</v>
      </c>
      <c r="W78" s="158">
        <f t="shared" si="34"/>
        <v>0</v>
      </c>
      <c r="X78" s="158">
        <f t="shared" si="34"/>
        <v>0</v>
      </c>
      <c r="Y78" s="158">
        <f>SUMIF(_12MonLights_TariffRateCategory,Y$33&amp;$V$76,_12MonLights_Count)-SUMIF(_12MonLights_TariffRateCategory,Y$33&amp;$V$76,_12MonLights_Count_Adj)</f>
        <v>12</v>
      </c>
      <c r="AA78" s="162">
        <f t="shared" si="25"/>
        <v>0</v>
      </c>
      <c r="AB78" s="162">
        <f t="shared" si="28"/>
        <v>0</v>
      </c>
      <c r="AC78" s="162">
        <f t="shared" si="26"/>
        <v>38.520000000000003</v>
      </c>
      <c r="AD78" s="162"/>
      <c r="AE78" s="162"/>
    </row>
    <row r="79" spans="2:31">
      <c r="B79" s="158">
        <v>6</v>
      </c>
      <c r="C79" s="158" t="str">
        <f t="shared" si="29"/>
        <v>Flagpole Holder</v>
      </c>
      <c r="F79" s="163">
        <f>VLOOKUP($C79,$C$2:R$14,F$16,FALSE)</f>
        <v>1.0900000000000001</v>
      </c>
      <c r="G79" s="163">
        <f>VLOOKUP($C79,$C$2:V$14,G$16,FALSE)</f>
        <v>1.1200000000000001</v>
      </c>
      <c r="H79" s="163">
        <f>VLOOKUP($C79,$C$2:W$14,H$16,FALSE)</f>
        <v>1.2</v>
      </c>
      <c r="I79" s="163">
        <f>VLOOKUP($C79,$C$2:X$14,I$16,FALSE)</f>
        <v>1.2</v>
      </c>
      <c r="J79" s="163">
        <f>VLOOKUP($C79,$C$2:Y$14,J$16,FALSE)</f>
        <v>1.2</v>
      </c>
      <c r="K79" s="163">
        <f>VLOOKUP($C79,$C$2:Z$14,K$16,FALSE)</f>
        <v>1.2</v>
      </c>
      <c r="L79" s="163">
        <f>VLOOKUP($C79,$C$2:AA$14,L$16,FALSE)</f>
        <v>1.2</v>
      </c>
      <c r="M79" s="163">
        <f>VLOOKUP($C79,$C$2:AB$14,M$16,FALSE)</f>
        <v>1.19</v>
      </c>
      <c r="N79" s="163">
        <f>VLOOKUP($C79,$C$2:AC$14,N$16,FALSE)</f>
        <v>1.19</v>
      </c>
      <c r="O79" s="163">
        <f>VLOOKUP($C79,$C$2:AD$14,O$16,FALSE)</f>
        <v>1.19</v>
      </c>
      <c r="P79" s="163">
        <f>VLOOKUP($C79,$C$2:AE$14,P$16,FALSE)</f>
        <v>1.31</v>
      </c>
      <c r="Q79" s="163">
        <f>VLOOKUP($C79,$C$2:AF$14,Q$16,FALSE)</f>
        <v>1.31</v>
      </c>
      <c r="R79" s="163">
        <f>VLOOKUP($C79,$C$2:AG$14,R$16,FALSE)</f>
        <v>1.31</v>
      </c>
      <c r="S79" s="163">
        <f>VLOOKUP($C79,$C$2:AG$14,S$16,FALSE)</f>
        <v>1.36</v>
      </c>
      <c r="T79" s="163">
        <f>VLOOKUP($C79,$C$2:AH$14,T$16,FALSE)</f>
        <v>1.36</v>
      </c>
      <c r="U79" s="163">
        <f>VLOOKUP($C79,$C$2:AI$14,U$16,FALSE)</f>
        <v>1.36</v>
      </c>
      <c r="W79" s="158">
        <f t="shared" si="34"/>
        <v>0</v>
      </c>
      <c r="X79" s="158">
        <f t="shared" si="34"/>
        <v>0</v>
      </c>
      <c r="Y79" s="158">
        <f>SUMIF(_12MonLights_TariffRateCategory,Y$33&amp;$V$76,_12MonLights_Count)-SUMIF(_12MonLights_TariffRateCategory,Y$33&amp;$V$76,_12MonLights_Count_Adj)</f>
        <v>12</v>
      </c>
      <c r="AA79" s="162">
        <f t="shared" si="25"/>
        <v>0</v>
      </c>
      <c r="AB79" s="162">
        <f t="shared" si="28"/>
        <v>0</v>
      </c>
      <c r="AC79" s="162">
        <f t="shared" si="26"/>
        <v>16.32</v>
      </c>
      <c r="AD79" s="162"/>
      <c r="AE79" s="162"/>
    </row>
    <row r="80" spans="2:31">
      <c r="B80" s="158">
        <v>8</v>
      </c>
      <c r="C80" s="158" t="str">
        <f t="shared" si="29"/>
        <v>Post-Mounted Receptacle</v>
      </c>
      <c r="F80" s="163">
        <f>VLOOKUP($C80,$C$2:R$14,F$16,FALSE)</f>
        <v>15.41</v>
      </c>
      <c r="G80" s="163">
        <f>VLOOKUP($C80,$C$2:V$14,G$16,FALSE)</f>
        <v>15.82</v>
      </c>
      <c r="H80" s="163">
        <f>VLOOKUP($C80,$C$2:W$14,H$16,FALSE)</f>
        <v>16.899999999999999</v>
      </c>
      <c r="I80" s="163">
        <f>VLOOKUP($C80,$C$2:X$14,I$16,FALSE)</f>
        <v>16.899999999999999</v>
      </c>
      <c r="J80" s="163">
        <f>VLOOKUP($C80,$C$2:Y$14,J$16,FALSE)</f>
        <v>16.899999999999999</v>
      </c>
      <c r="K80" s="163">
        <f>VLOOKUP($C80,$C$2:Z$14,K$16,FALSE)</f>
        <v>16.899999999999999</v>
      </c>
      <c r="L80" s="163">
        <f>VLOOKUP($C80,$C$2:AA$14,L$16,FALSE)</f>
        <v>16.899999999999999</v>
      </c>
      <c r="M80" s="163">
        <f>VLOOKUP($C80,$C$2:AB$14,M$16,FALSE)</f>
        <v>16.75</v>
      </c>
      <c r="N80" s="163">
        <f>VLOOKUP($C80,$C$2:AC$14,N$16,FALSE)</f>
        <v>16.75</v>
      </c>
      <c r="O80" s="163">
        <f>VLOOKUP($C80,$C$2:AD$14,O$16,FALSE)</f>
        <v>16.75</v>
      </c>
      <c r="P80" s="163">
        <f>VLOOKUP($C80,$C$2:AE$14,P$16,FALSE)</f>
        <v>18.46</v>
      </c>
      <c r="Q80" s="163">
        <f>VLOOKUP($C80,$C$2:AF$14,Q$16,FALSE)</f>
        <v>18.46</v>
      </c>
      <c r="R80" s="163">
        <f>VLOOKUP($C80,$C$2:AG$14,R$16,FALSE)</f>
        <v>18.46</v>
      </c>
      <c r="S80" s="163">
        <f>VLOOKUP($C80,$C$2:AG$14,S$16,FALSE)</f>
        <v>19.190000000000001</v>
      </c>
      <c r="T80" s="163">
        <f>VLOOKUP($C80,$C$2:AH$14,T$16,FALSE)</f>
        <v>19.190000000000001</v>
      </c>
      <c r="U80" s="163">
        <f>VLOOKUP($C80,$C$2:AI$14,U$16,FALSE)</f>
        <v>19.190000000000001</v>
      </c>
      <c r="W80" s="158">
        <f t="shared" si="34"/>
        <v>0</v>
      </c>
      <c r="X80" s="158">
        <f t="shared" si="34"/>
        <v>0</v>
      </c>
      <c r="Y80" s="158">
        <f>SUMIF(_12MonLights_TariffRateCategory,Y$33&amp;$V$76,_12MonLights_Count)-SUMIF(_12MonLights_TariffRateCategory,Y$33&amp;$V$76,_12MonLights_Count_Adj)</f>
        <v>12</v>
      </c>
      <c r="AA80" s="162">
        <f t="shared" si="25"/>
        <v>0</v>
      </c>
      <c r="AB80" s="162">
        <f t="shared" si="28"/>
        <v>0</v>
      </c>
      <c r="AC80" s="162">
        <f t="shared" si="26"/>
        <v>230.28</v>
      </c>
      <c r="AD80" s="162"/>
      <c r="AE80" s="162"/>
    </row>
    <row r="81" spans="2:31">
      <c r="B81" s="158">
        <v>0</v>
      </c>
      <c r="C81" s="158" t="str">
        <f>$C$2</f>
        <v>Pole &amp; Fixture SL</v>
      </c>
      <c r="F81" s="163">
        <f>VLOOKUP($C81,$C$2:R$14,F$16,FALSE)</f>
        <v>34.9</v>
      </c>
      <c r="G81" s="163">
        <f>VLOOKUP($C81,$C$2:V$14,G$16,FALSE)</f>
        <v>35.840000000000003</v>
      </c>
      <c r="H81" s="163">
        <f>VLOOKUP($C81,$C$2:W$14,H$16,FALSE)</f>
        <v>38.28</v>
      </c>
      <c r="I81" s="163">
        <f>VLOOKUP($C81,$C$2:X$14,I$16,FALSE)</f>
        <v>38.44</v>
      </c>
      <c r="J81" s="163">
        <f>VLOOKUP($C81,$C$2:Y$14,J$16,FALSE)</f>
        <v>39.520000000000003</v>
      </c>
      <c r="K81" s="163">
        <f>VLOOKUP($C81,$C$2:Z$14,K$16,FALSE)</f>
        <v>39.909999999999997</v>
      </c>
      <c r="L81" s="163">
        <f>VLOOKUP($C81,$C$2:AA$14,L$16,FALSE)</f>
        <v>40.81</v>
      </c>
      <c r="M81" s="163">
        <f>VLOOKUP($C81,$C$2:AB$14,M$16,FALSE)</f>
        <v>40.19</v>
      </c>
      <c r="N81" s="163">
        <f>VLOOKUP($C81,$C$2:AC$14,N$16,FALSE)</f>
        <v>40.270000000000003</v>
      </c>
      <c r="O81" s="163">
        <f>VLOOKUP($C81,$C$2:AD$14,O$16,FALSE)</f>
        <v>44.78</v>
      </c>
      <c r="P81" s="163">
        <f>VLOOKUP($C81,$C$2:AE$14,P$16,FALSE)</f>
        <v>49.34</v>
      </c>
      <c r="Q81" s="163">
        <f>VLOOKUP($C81,$C$2:AF$14,Q$16,FALSE)</f>
        <v>49.29</v>
      </c>
      <c r="R81" s="163">
        <f>VLOOKUP($C81,$C$2:AG$14,R$16,FALSE)</f>
        <v>51</v>
      </c>
      <c r="S81" s="163">
        <f>VLOOKUP($C81,$C$2:AG$14,S$16,FALSE)</f>
        <v>53.01</v>
      </c>
      <c r="T81" s="163">
        <f>VLOOKUP($C81,$C$2:AH$14,T$16,FALSE)</f>
        <v>53.15</v>
      </c>
      <c r="U81" s="163">
        <f>VLOOKUP($C81,$C$2:AI$14,U$16,FALSE)</f>
        <v>55.33</v>
      </c>
      <c r="V81" s="161" t="s">
        <v>342</v>
      </c>
      <c r="W81" s="158">
        <f>SUMIF(_12MonLights_TariffRateCategory,W$33&amp;$V81,_12MonLights_Count)+SUMIF(_12MonLights_TariffRateCategory,W$33&amp;$V81,_12MonLights_Count_Adj)</f>
        <v>0</v>
      </c>
      <c r="X81" s="158">
        <f>SUMIF(_12MonLights_TariffRateCategory,X$33&amp;$V81,_12MonLights_Count)+SUMIF(_12MonLights_TariffRateCategory,X$33&amp;$V81,_12MonLights_Count_Adj)</f>
        <v>0</v>
      </c>
      <c r="Y81" s="158">
        <f>SUMIF(_12MonLights_TariffRateCategory,Y$33&amp;$V$81,_12MonLights_Count)-SUMIF(_12MonLights_TariffRateCategory,Y$33&amp;$V$81,_12MonLights_Count_Adj)</f>
        <v>235</v>
      </c>
      <c r="AA81" s="162">
        <f t="shared" si="25"/>
        <v>0</v>
      </c>
      <c r="AB81" s="162">
        <f>ROUND(X81*Q81,2)</f>
        <v>0</v>
      </c>
      <c r="AC81" s="162">
        <f t="shared" si="26"/>
        <v>13002.55</v>
      </c>
      <c r="AD81" s="260">
        <f>SUM(AA81:AC82)</f>
        <v>17512.199999999997</v>
      </c>
      <c r="AE81" s="162"/>
    </row>
    <row r="82" spans="2:31">
      <c r="B82" s="158">
        <v>8</v>
      </c>
      <c r="C82" s="158" t="str">
        <f t="shared" si="29"/>
        <v>Post-Mounted Receptacle</v>
      </c>
      <c r="F82" s="163">
        <f>VLOOKUP($C82,$C$2:R$14,F$16,FALSE)</f>
        <v>15.41</v>
      </c>
      <c r="G82" s="163">
        <f>VLOOKUP($C82,$C$2:V$14,G$16,FALSE)</f>
        <v>15.82</v>
      </c>
      <c r="H82" s="163">
        <f>VLOOKUP($C82,$C$2:W$14,H$16,FALSE)</f>
        <v>16.899999999999999</v>
      </c>
      <c r="I82" s="163">
        <f>VLOOKUP($C82,$C$2:X$14,I$16,FALSE)</f>
        <v>16.899999999999999</v>
      </c>
      <c r="J82" s="163">
        <f>VLOOKUP($C82,$C$2:Y$14,J$16,FALSE)</f>
        <v>16.899999999999999</v>
      </c>
      <c r="K82" s="163">
        <f>VLOOKUP($C82,$C$2:Z$14,K$16,FALSE)</f>
        <v>16.899999999999999</v>
      </c>
      <c r="L82" s="163">
        <f>VLOOKUP($C82,$C$2:AA$14,L$16,FALSE)</f>
        <v>16.899999999999999</v>
      </c>
      <c r="M82" s="163">
        <f>VLOOKUP($C82,$C$2:AB$14,M$16,FALSE)</f>
        <v>16.75</v>
      </c>
      <c r="N82" s="163">
        <f>VLOOKUP($C82,$C$2:AC$14,N$16,FALSE)</f>
        <v>16.75</v>
      </c>
      <c r="O82" s="163">
        <f>VLOOKUP($C82,$C$2:AD$14,O$16,FALSE)</f>
        <v>16.75</v>
      </c>
      <c r="P82" s="163">
        <f>VLOOKUP($C82,$C$2:AE$14,P$16,FALSE)</f>
        <v>18.46</v>
      </c>
      <c r="Q82" s="163">
        <f>VLOOKUP($C82,$C$2:AF$14,Q$16,FALSE)</f>
        <v>18.46</v>
      </c>
      <c r="R82" s="163">
        <f>VLOOKUP($C82,$C$2:AG$14,R$16,FALSE)</f>
        <v>18.46</v>
      </c>
      <c r="S82" s="163">
        <f>VLOOKUP($C82,$C$2:AG$14,S$16,FALSE)</f>
        <v>19.190000000000001</v>
      </c>
      <c r="T82" s="163">
        <f>VLOOKUP($C82,$C$2:AH$14,T$16,FALSE)</f>
        <v>19.190000000000001</v>
      </c>
      <c r="U82" s="163">
        <f>VLOOKUP($C82,$C$2:AI$14,U$16,FALSE)</f>
        <v>19.190000000000001</v>
      </c>
      <c r="V82" s="161"/>
      <c r="W82" s="158">
        <f>W81</f>
        <v>0</v>
      </c>
      <c r="X82" s="158">
        <f>X81</f>
        <v>0</v>
      </c>
      <c r="Y82" s="158">
        <f>SUMIF(_12MonLights_TariffRateCategory,Y$33&amp;$V$81,_12MonLights_Count)-SUMIF(_12MonLights_TariffRateCategory,Y$33&amp;$V$81,_12MonLights_Count_Adj)</f>
        <v>235</v>
      </c>
      <c r="AA82" s="162">
        <f t="shared" si="25"/>
        <v>0</v>
      </c>
      <c r="AB82" s="162">
        <f t="shared" si="28"/>
        <v>0</v>
      </c>
      <c r="AC82" s="162">
        <f t="shared" si="26"/>
        <v>4509.6499999999996</v>
      </c>
      <c r="AD82" s="162"/>
      <c r="AE82" s="162"/>
    </row>
    <row r="83" spans="2:31">
      <c r="B83" s="158">
        <v>0</v>
      </c>
      <c r="C83" s="158" t="str">
        <f>$C$2</f>
        <v>Pole &amp; Fixture SL</v>
      </c>
      <c r="F83" s="163">
        <f>VLOOKUP($C83,$C$2:R$14,F$16,FALSE)</f>
        <v>34.9</v>
      </c>
      <c r="G83" s="163">
        <f>VLOOKUP($C83,$C$2:V$14,G$16,FALSE)</f>
        <v>35.840000000000003</v>
      </c>
      <c r="H83" s="163">
        <f>VLOOKUP($C83,$C$2:W$14,H$16,FALSE)</f>
        <v>38.28</v>
      </c>
      <c r="I83" s="163">
        <f>VLOOKUP($C83,$C$2:X$14,I$16,FALSE)</f>
        <v>38.44</v>
      </c>
      <c r="J83" s="163">
        <f>VLOOKUP($C83,$C$2:Y$14,J$16,FALSE)</f>
        <v>39.520000000000003</v>
      </c>
      <c r="K83" s="163">
        <f>VLOOKUP($C83,$C$2:Z$14,K$16,FALSE)</f>
        <v>39.909999999999997</v>
      </c>
      <c r="L83" s="163">
        <f>VLOOKUP($C83,$C$2:AA$14,L$16,FALSE)</f>
        <v>40.81</v>
      </c>
      <c r="M83" s="163">
        <f>VLOOKUP($C83,$C$2:AB$14,M$16,FALSE)</f>
        <v>40.19</v>
      </c>
      <c r="N83" s="163">
        <f>VLOOKUP($C83,$C$2:AC$14,N$16,FALSE)</f>
        <v>40.270000000000003</v>
      </c>
      <c r="O83" s="163">
        <f>VLOOKUP($C83,$C$2:AD$14,O$16,FALSE)</f>
        <v>44.78</v>
      </c>
      <c r="P83" s="163">
        <f>VLOOKUP($C83,$C$2:AE$14,P$16,FALSE)</f>
        <v>49.34</v>
      </c>
      <c r="Q83" s="163">
        <f>VLOOKUP($C83,$C$2:AF$14,Q$16,FALSE)</f>
        <v>49.29</v>
      </c>
      <c r="R83" s="163">
        <f>VLOOKUP($C83,$C$2:AG$14,R$16,FALSE)</f>
        <v>51</v>
      </c>
      <c r="S83" s="163">
        <f>VLOOKUP($C83,$C$2:AG$14,S$16,FALSE)</f>
        <v>53.01</v>
      </c>
      <c r="T83" s="163">
        <f>VLOOKUP($C83,$C$2:AH$14,T$16,FALSE)</f>
        <v>53.15</v>
      </c>
      <c r="U83" s="163">
        <f>VLOOKUP($C83,$C$2:AI$14,U$16,FALSE)</f>
        <v>55.33</v>
      </c>
      <c r="V83" s="161" t="s">
        <v>346</v>
      </c>
      <c r="W83" s="158">
        <f>SUMIF(_12MonLights_TariffRateCategory,W$33&amp;$V83,_12MonLights_Count)+SUMIF(_12MonLights_TariffRateCategory,W$33&amp;$V83,_12MonLights_Count_Adj)</f>
        <v>0</v>
      </c>
      <c r="X83" s="158">
        <f>SUMIF(_12MonLights_TariffRateCategory,X$33&amp;$V83,_12MonLights_Count)+SUMIF(_12MonLights_TariffRateCategory,X$33&amp;$V83,_12MonLights_Count_Adj)</f>
        <v>0</v>
      </c>
      <c r="Y83" s="158">
        <f>SUMIF(_12MonLights_TariffRateCategory,Y$33&amp;$V$83,_12MonLights_Count)-SUMIF(_12MonLights_TariffRateCategory,Y$33&amp;$V$83,_12MonLights_Count_Adj)</f>
        <v>48</v>
      </c>
      <c r="AA83" s="162">
        <f t="shared" si="25"/>
        <v>0</v>
      </c>
      <c r="AB83" s="162">
        <f>ROUND(X83*Q83,2)</f>
        <v>0</v>
      </c>
      <c r="AC83" s="162">
        <f t="shared" si="26"/>
        <v>2655.84</v>
      </c>
      <c r="AD83" s="260">
        <f>SUM(AA83:AC85)</f>
        <v>3642.2400000000002</v>
      </c>
      <c r="AE83" s="162"/>
    </row>
    <row r="84" spans="2:31">
      <c r="B84" s="158">
        <v>6</v>
      </c>
      <c r="C84" s="158" t="str">
        <f t="shared" si="29"/>
        <v>Flagpole Holder</v>
      </c>
      <c r="F84" s="163">
        <f>VLOOKUP($C84,$C$2:R$14,F$16,FALSE)</f>
        <v>1.0900000000000001</v>
      </c>
      <c r="G84" s="163">
        <f>VLOOKUP($C84,$C$2:V$14,G$16,FALSE)</f>
        <v>1.1200000000000001</v>
      </c>
      <c r="H84" s="163">
        <f>VLOOKUP($C84,$C$2:W$14,H$16,FALSE)</f>
        <v>1.2</v>
      </c>
      <c r="I84" s="163">
        <f>VLOOKUP($C84,$C$2:X$14,I$16,FALSE)</f>
        <v>1.2</v>
      </c>
      <c r="J84" s="163">
        <f>VLOOKUP($C84,$C$2:Y$14,J$16,FALSE)</f>
        <v>1.2</v>
      </c>
      <c r="K84" s="163">
        <f>VLOOKUP($C84,$C$2:Z$14,K$16,FALSE)</f>
        <v>1.2</v>
      </c>
      <c r="L84" s="163">
        <f>VLOOKUP($C84,$C$2:AA$14,L$16,FALSE)</f>
        <v>1.2</v>
      </c>
      <c r="M84" s="163">
        <f>VLOOKUP($C84,$C$2:AB$14,M$16,FALSE)</f>
        <v>1.19</v>
      </c>
      <c r="N84" s="163">
        <f>VLOOKUP($C84,$C$2:AC$14,N$16,FALSE)</f>
        <v>1.19</v>
      </c>
      <c r="O84" s="163">
        <f>VLOOKUP($C84,$C$2:AD$14,O$16,FALSE)</f>
        <v>1.19</v>
      </c>
      <c r="P84" s="163">
        <f>VLOOKUP($C84,$C$2:AE$14,P$16,FALSE)</f>
        <v>1.31</v>
      </c>
      <c r="Q84" s="163">
        <f>VLOOKUP($C84,$C$2:AF$14,Q$16,FALSE)</f>
        <v>1.31</v>
      </c>
      <c r="R84" s="163">
        <f>VLOOKUP($C84,$C$2:AG$14,R$16,FALSE)</f>
        <v>1.31</v>
      </c>
      <c r="S84" s="163">
        <f>VLOOKUP($C84,$C$2:AG$14,S$16,FALSE)</f>
        <v>1.36</v>
      </c>
      <c r="T84" s="163">
        <f>VLOOKUP($C84,$C$2:AH$14,T$16,FALSE)</f>
        <v>1.36</v>
      </c>
      <c r="U84" s="163">
        <f>VLOOKUP($C84,$C$2:AI$14,U$16,FALSE)</f>
        <v>1.36</v>
      </c>
      <c r="V84" s="161"/>
      <c r="W84" s="158">
        <f>W83</f>
        <v>0</v>
      </c>
      <c r="X84" s="158">
        <f>X83</f>
        <v>0</v>
      </c>
      <c r="Y84" s="158">
        <f>SUMIF(_12MonLights_TariffRateCategory,Y$33&amp;$V$83,_12MonLights_Count)-SUMIF(_12MonLights_TariffRateCategory,Y$33&amp;$V$83,_12MonLights_Count_Adj)</f>
        <v>48</v>
      </c>
      <c r="AA84" s="162">
        <f t="shared" si="25"/>
        <v>0</v>
      </c>
      <c r="AB84" s="162">
        <f t="shared" si="28"/>
        <v>0</v>
      </c>
      <c r="AC84" s="162">
        <f t="shared" si="26"/>
        <v>65.28</v>
      </c>
      <c r="AD84" s="162"/>
      <c r="AE84" s="162"/>
    </row>
    <row r="85" spans="2:31">
      <c r="B85" s="158">
        <v>8</v>
      </c>
      <c r="C85" s="158" t="str">
        <f t="shared" si="29"/>
        <v>Post-Mounted Receptacle</v>
      </c>
      <c r="F85" s="163">
        <f>VLOOKUP($C85,$C$2:R$14,F$16,FALSE)</f>
        <v>15.41</v>
      </c>
      <c r="G85" s="163">
        <f>VLOOKUP($C85,$C$2:V$14,G$16,FALSE)</f>
        <v>15.82</v>
      </c>
      <c r="H85" s="163">
        <f>VLOOKUP($C85,$C$2:W$14,H$16,FALSE)</f>
        <v>16.899999999999999</v>
      </c>
      <c r="I85" s="163">
        <f>VLOOKUP($C85,$C$2:X$14,I$16,FALSE)</f>
        <v>16.899999999999999</v>
      </c>
      <c r="J85" s="163">
        <f>VLOOKUP($C85,$C$2:Y$14,J$16,FALSE)</f>
        <v>16.899999999999999</v>
      </c>
      <c r="K85" s="163">
        <f>VLOOKUP($C85,$C$2:Z$14,K$16,FALSE)</f>
        <v>16.899999999999999</v>
      </c>
      <c r="L85" s="163">
        <f>VLOOKUP($C85,$C$2:AA$14,L$16,FALSE)</f>
        <v>16.899999999999999</v>
      </c>
      <c r="M85" s="163">
        <f>VLOOKUP($C85,$C$2:AB$14,M$16,FALSE)</f>
        <v>16.75</v>
      </c>
      <c r="N85" s="163">
        <f>VLOOKUP($C85,$C$2:AC$14,N$16,FALSE)</f>
        <v>16.75</v>
      </c>
      <c r="O85" s="163">
        <f>VLOOKUP($C85,$C$2:AD$14,O$16,FALSE)</f>
        <v>16.75</v>
      </c>
      <c r="P85" s="163">
        <f>VLOOKUP($C85,$C$2:AE$14,P$16,FALSE)</f>
        <v>18.46</v>
      </c>
      <c r="Q85" s="163">
        <f>VLOOKUP($C85,$C$2:AF$14,Q$16,FALSE)</f>
        <v>18.46</v>
      </c>
      <c r="R85" s="163">
        <f>VLOOKUP($C85,$C$2:AG$14,R$16,FALSE)</f>
        <v>18.46</v>
      </c>
      <c r="S85" s="163">
        <f>VLOOKUP($C85,$C$2:AG$14,S$16,FALSE)</f>
        <v>19.190000000000001</v>
      </c>
      <c r="T85" s="163">
        <f>VLOOKUP($C85,$C$2:AH$14,T$16,FALSE)</f>
        <v>19.190000000000001</v>
      </c>
      <c r="U85" s="163">
        <f>VLOOKUP($C85,$C$2:AI$14,U$16,FALSE)</f>
        <v>19.190000000000001</v>
      </c>
      <c r="V85" s="161"/>
      <c r="W85" s="158">
        <f>W84</f>
        <v>0</v>
      </c>
      <c r="X85" s="158">
        <f>X84</f>
        <v>0</v>
      </c>
      <c r="Y85" s="158">
        <f>SUMIF(_12MonLights_TariffRateCategory,Y$33&amp;$V$83,_12MonLights_Count)-SUMIF(_12MonLights_TariffRateCategory,Y$33&amp;$V$83,_12MonLights_Count_Adj)</f>
        <v>48</v>
      </c>
      <c r="AA85" s="162">
        <f t="shared" si="25"/>
        <v>0</v>
      </c>
      <c r="AB85" s="162">
        <f t="shared" si="28"/>
        <v>0</v>
      </c>
      <c r="AC85" s="162">
        <f t="shared" si="26"/>
        <v>921.12</v>
      </c>
      <c r="AD85" s="162"/>
      <c r="AE85" s="162"/>
    </row>
    <row r="86" spans="2:31">
      <c r="B86" s="158">
        <v>0</v>
      </c>
      <c r="C86" s="158" t="str">
        <f>$C$2</f>
        <v>Pole &amp; Fixture SL</v>
      </c>
      <c r="F86" s="163">
        <f>VLOOKUP($C86,$C$2:R$14,F$16,FALSE)</f>
        <v>34.9</v>
      </c>
      <c r="G86" s="163">
        <f>VLOOKUP($C86,$C$2:V$14,G$16,FALSE)</f>
        <v>35.840000000000003</v>
      </c>
      <c r="H86" s="163">
        <f>VLOOKUP($C86,$C$2:W$14,H$16,FALSE)</f>
        <v>38.28</v>
      </c>
      <c r="I86" s="163">
        <f>VLOOKUP($C86,$C$2:X$14,I$16,FALSE)</f>
        <v>38.44</v>
      </c>
      <c r="J86" s="163">
        <f>VLOOKUP($C86,$C$2:Y$14,J$16,FALSE)</f>
        <v>39.520000000000003</v>
      </c>
      <c r="K86" s="163">
        <f>VLOOKUP($C86,$C$2:Z$14,K$16,FALSE)</f>
        <v>39.909999999999997</v>
      </c>
      <c r="L86" s="163">
        <f>VLOOKUP($C86,$C$2:AA$14,L$16,FALSE)</f>
        <v>40.81</v>
      </c>
      <c r="M86" s="163">
        <f>VLOOKUP($C86,$C$2:AB$14,M$16,FALSE)</f>
        <v>40.19</v>
      </c>
      <c r="N86" s="163">
        <f>VLOOKUP($C86,$C$2:AC$14,N$16,FALSE)</f>
        <v>40.270000000000003</v>
      </c>
      <c r="O86" s="163">
        <f>VLOOKUP($C86,$C$2:AD$14,O$16,FALSE)</f>
        <v>44.78</v>
      </c>
      <c r="P86" s="163">
        <f>VLOOKUP($C86,$C$2:AE$14,P$16,FALSE)</f>
        <v>49.34</v>
      </c>
      <c r="Q86" s="163">
        <f>VLOOKUP($C86,$C$2:AF$14,Q$16,FALSE)</f>
        <v>49.29</v>
      </c>
      <c r="R86" s="163">
        <f>VLOOKUP($C86,$C$2:AG$14,R$16,FALSE)</f>
        <v>51</v>
      </c>
      <c r="S86" s="163">
        <f>VLOOKUP($C86,$C$2:AG$14,S$16,FALSE)</f>
        <v>53.01</v>
      </c>
      <c r="T86" s="163">
        <f>VLOOKUP($C86,$C$2:AH$14,T$16,FALSE)</f>
        <v>53.15</v>
      </c>
      <c r="U86" s="163">
        <f>VLOOKUP($C86,$C$2:AI$14,U$16,FALSE)</f>
        <v>55.33</v>
      </c>
      <c r="V86" s="161" t="s">
        <v>353</v>
      </c>
      <c r="W86" s="158">
        <f>SUMIF(_12MonLights_TariffRateCategory,W$33&amp;$V86,_12MonLights_Count)+SUMIF(_12MonLights_TariffRateCategory,W$33&amp;$V86,_12MonLights_Count_Adj)</f>
        <v>0</v>
      </c>
      <c r="X86" s="158">
        <f>SUMIF(_12MonLights_TariffRateCategory,X$33&amp;$V86,_12MonLights_Count)+SUMIF(_12MonLights_TariffRateCategory,X$33&amp;$V86,_12MonLights_Count_Adj)</f>
        <v>0</v>
      </c>
      <c r="Y86" s="158">
        <f>SUMIF(_12MonLights_TariffRateCategory,Y$33&amp;$V$86,_12MonLights_Count)-SUMIF(_12MonLights_TariffRateCategory,Y$33&amp;$V$86,_12MonLights_Count_Adj)</f>
        <v>36</v>
      </c>
      <c r="AA86" s="162">
        <f t="shared" si="25"/>
        <v>0</v>
      </c>
      <c r="AB86" s="162">
        <f>ROUND(X86*Q86,2)</f>
        <v>0</v>
      </c>
      <c r="AC86" s="162">
        <f t="shared" si="26"/>
        <v>1991.88</v>
      </c>
      <c r="AD86" s="162">
        <f>SUM(AA86:AC88)</f>
        <v>2842.92</v>
      </c>
      <c r="AE86" s="162"/>
    </row>
    <row r="87" spans="2:31">
      <c r="B87" s="158">
        <v>8</v>
      </c>
      <c r="C87" s="158" t="str">
        <f t="shared" si="29"/>
        <v>Post-Mounted Receptacle</v>
      </c>
      <c r="F87" s="163">
        <f>VLOOKUP($C87,$C$2:R$14,F$16,FALSE)</f>
        <v>15.41</v>
      </c>
      <c r="G87" s="163">
        <f>VLOOKUP($C87,$C$2:V$14,G$16,FALSE)</f>
        <v>15.82</v>
      </c>
      <c r="H87" s="163">
        <f>VLOOKUP($C87,$C$2:W$14,H$16,FALSE)</f>
        <v>16.899999999999999</v>
      </c>
      <c r="I87" s="163">
        <f>VLOOKUP($C87,$C$2:X$14,I$16,FALSE)</f>
        <v>16.899999999999999</v>
      </c>
      <c r="J87" s="163">
        <f>VLOOKUP($C87,$C$2:Y$14,J$16,FALSE)</f>
        <v>16.899999999999999</v>
      </c>
      <c r="K87" s="163">
        <f>VLOOKUP($C87,$C$2:Z$14,K$16,FALSE)</f>
        <v>16.899999999999999</v>
      </c>
      <c r="L87" s="163">
        <f>VLOOKUP($C87,$C$2:AA$14,L$16,FALSE)</f>
        <v>16.899999999999999</v>
      </c>
      <c r="M87" s="163">
        <f>VLOOKUP($C87,$C$2:AB$14,M$16,FALSE)</f>
        <v>16.75</v>
      </c>
      <c r="N87" s="163">
        <f>VLOOKUP($C87,$C$2:AC$14,N$16,FALSE)</f>
        <v>16.75</v>
      </c>
      <c r="O87" s="163">
        <f>VLOOKUP($C87,$C$2:AD$14,O$16,FALSE)</f>
        <v>16.75</v>
      </c>
      <c r="P87" s="163">
        <f>VLOOKUP($C87,$C$2:AE$14,P$16,FALSE)</f>
        <v>18.46</v>
      </c>
      <c r="Q87" s="163">
        <f>VLOOKUP($C87,$C$2:AF$14,Q$16,FALSE)</f>
        <v>18.46</v>
      </c>
      <c r="R87" s="163">
        <f>VLOOKUP($C87,$C$2:AG$14,R$16,FALSE)</f>
        <v>18.46</v>
      </c>
      <c r="S87" s="163">
        <f>VLOOKUP($C87,$C$2:AG$14,S$16,FALSE)</f>
        <v>19.190000000000001</v>
      </c>
      <c r="T87" s="163">
        <f>VLOOKUP($C87,$C$2:AH$14,T$16,FALSE)</f>
        <v>19.190000000000001</v>
      </c>
      <c r="U87" s="163">
        <f>VLOOKUP($C87,$C$2:AI$14,U$16,FALSE)</f>
        <v>19.190000000000001</v>
      </c>
      <c r="V87" s="161"/>
      <c r="W87" s="158">
        <f>W86</f>
        <v>0</v>
      </c>
      <c r="X87" s="158">
        <f>X86</f>
        <v>0</v>
      </c>
      <c r="Y87" s="158">
        <f>SUMIF(_12MonLights_TariffRateCategory,Y$33&amp;$V$86,_12MonLights_Count)-SUMIF(_12MonLights_TariffRateCategory,Y$33&amp;$V$86,_12MonLights_Count_Adj)</f>
        <v>36</v>
      </c>
      <c r="AA87" s="162">
        <f t="shared" si="25"/>
        <v>0</v>
      </c>
      <c r="AB87" s="162">
        <f t="shared" si="28"/>
        <v>0</v>
      </c>
      <c r="AC87" s="162">
        <f t="shared" si="26"/>
        <v>690.84</v>
      </c>
      <c r="AD87" s="162"/>
      <c r="AE87" s="162"/>
    </row>
    <row r="88" spans="2:31">
      <c r="B88" s="158">
        <v>11</v>
      </c>
      <c r="C88" s="158" t="str">
        <f t="shared" si="29"/>
        <v>Planter</v>
      </c>
      <c r="F88" s="163">
        <f>VLOOKUP($C88,$C$2:R$14,F$16,FALSE)</f>
        <v>3.56</v>
      </c>
      <c r="G88" s="163">
        <f>VLOOKUP($C88,$C$2:V$14,G$16,FALSE)</f>
        <v>3.66</v>
      </c>
      <c r="H88" s="163">
        <f>VLOOKUP($C88,$C$2:W$14,H$16,FALSE)</f>
        <v>3.91</v>
      </c>
      <c r="I88" s="163">
        <f>VLOOKUP($C88,$C$2:X$14,I$16,FALSE)</f>
        <v>3.91</v>
      </c>
      <c r="J88" s="163">
        <f>VLOOKUP($C88,$C$2:Y$14,J$16,FALSE)</f>
        <v>3.91</v>
      </c>
      <c r="K88" s="163">
        <f>VLOOKUP($C88,$C$2:Z$14,K$16,FALSE)</f>
        <v>3.91</v>
      </c>
      <c r="L88" s="163">
        <f>VLOOKUP($C88,$C$2:AA$14,L$16,FALSE)</f>
        <v>3.91</v>
      </c>
      <c r="M88" s="163">
        <f>VLOOKUP($C88,$C$2:AB$14,M$16,FALSE)</f>
        <v>3.88</v>
      </c>
      <c r="N88" s="163">
        <f>VLOOKUP($C88,$C$2:AC$14,N$16,FALSE)</f>
        <v>3.88</v>
      </c>
      <c r="O88" s="163">
        <f>VLOOKUP($C88,$C$2:AD$14,O$16,FALSE)</f>
        <v>3.88</v>
      </c>
      <c r="P88" s="163">
        <f>VLOOKUP($C88,$C$2:AE$14,P$16,FALSE)</f>
        <v>4.28</v>
      </c>
      <c r="Q88" s="163">
        <f>VLOOKUP($C88,$C$2:AF$14,Q$16,FALSE)</f>
        <v>4.28</v>
      </c>
      <c r="R88" s="163">
        <f>VLOOKUP($C88,$C$2:AG$14,R$16,FALSE)</f>
        <v>4.28</v>
      </c>
      <c r="S88" s="163">
        <f>VLOOKUP($C88,$C$2:AG$14,S$16,FALSE)</f>
        <v>4.45</v>
      </c>
      <c r="T88" s="163">
        <f>VLOOKUP($C88,$C$2:AH$14,T$16,FALSE)</f>
        <v>4.45</v>
      </c>
      <c r="U88" s="163">
        <f>VLOOKUP($C88,$C$2:AI$14,U$16,FALSE)</f>
        <v>4.45</v>
      </c>
      <c r="V88" s="161"/>
      <c r="W88" s="158">
        <f>W87</f>
        <v>0</v>
      </c>
      <c r="X88" s="158">
        <f>X87</f>
        <v>0</v>
      </c>
      <c r="Y88" s="158">
        <f>SUMIF(_12MonLights_TariffRateCategory,Y$33&amp;$V$86,_12MonLights_Count)-SUMIF(_12MonLights_TariffRateCategory,Y$33&amp;$V$86,_12MonLights_Count_Adj)</f>
        <v>36</v>
      </c>
      <c r="AA88" s="162">
        <f t="shared" si="25"/>
        <v>0</v>
      </c>
      <c r="AB88" s="162">
        <f t="shared" si="28"/>
        <v>0</v>
      </c>
      <c r="AC88" s="162">
        <f t="shared" si="26"/>
        <v>160.19999999999999</v>
      </c>
      <c r="AD88" s="162"/>
      <c r="AE88" s="162"/>
    </row>
    <row r="89" spans="2:31">
      <c r="B89" s="158">
        <v>0</v>
      </c>
      <c r="C89" s="158" t="str">
        <f>$C$2</f>
        <v>Pole &amp; Fixture SL</v>
      </c>
      <c r="F89" s="163">
        <f>VLOOKUP($C89,$C$2:R$14,F$16,FALSE)</f>
        <v>34.9</v>
      </c>
      <c r="G89" s="163">
        <f>VLOOKUP($C89,$C$2:V$14,G$16,FALSE)</f>
        <v>35.840000000000003</v>
      </c>
      <c r="H89" s="163">
        <f>VLOOKUP($C89,$C$2:W$14,H$16,FALSE)</f>
        <v>38.28</v>
      </c>
      <c r="I89" s="163">
        <f>VLOOKUP($C89,$C$2:X$14,I$16,FALSE)</f>
        <v>38.44</v>
      </c>
      <c r="J89" s="163">
        <f>VLOOKUP($C89,$C$2:Y$14,J$16,FALSE)</f>
        <v>39.520000000000003</v>
      </c>
      <c r="K89" s="163">
        <f>VLOOKUP($C89,$C$2:Z$14,K$16,FALSE)</f>
        <v>39.909999999999997</v>
      </c>
      <c r="L89" s="163">
        <f>VLOOKUP($C89,$C$2:AA$14,L$16,FALSE)</f>
        <v>40.81</v>
      </c>
      <c r="M89" s="163">
        <f>VLOOKUP($C89,$C$2:AB$14,M$16,FALSE)</f>
        <v>40.19</v>
      </c>
      <c r="N89" s="163">
        <f>VLOOKUP($C89,$C$2:AC$14,N$16,FALSE)</f>
        <v>40.270000000000003</v>
      </c>
      <c r="O89" s="163">
        <f>VLOOKUP($C89,$C$2:AD$14,O$16,FALSE)</f>
        <v>44.78</v>
      </c>
      <c r="P89" s="163">
        <f>VLOOKUP($C89,$C$2:AE$14,P$16,FALSE)</f>
        <v>49.34</v>
      </c>
      <c r="Q89" s="163">
        <f>VLOOKUP($C89,$C$2:AF$14,Q$16,FALSE)</f>
        <v>49.29</v>
      </c>
      <c r="R89" s="163">
        <f>VLOOKUP($C89,$C$2:AG$14,R$16,FALSE)</f>
        <v>51</v>
      </c>
      <c r="S89" s="163">
        <f>VLOOKUP($C89,$C$2:AG$14,S$16,FALSE)</f>
        <v>53.01</v>
      </c>
      <c r="T89" s="163">
        <f>VLOOKUP($C89,$C$2:AH$14,T$16,FALSE)</f>
        <v>53.15</v>
      </c>
      <c r="U89" s="163">
        <f>VLOOKUP($C89,$C$2:AI$14,U$16,FALSE)</f>
        <v>55.33</v>
      </c>
      <c r="V89" s="161" t="s">
        <v>345</v>
      </c>
      <c r="W89" s="158">
        <f>SUMIF(_12MonLights_TariffRateCategory,W$33&amp;$V89,_12MonLights_Count)+SUMIF(_12MonLights_TariffRateCategory,W$33&amp;$V89,_12MonLights_Count_Adj)</f>
        <v>0</v>
      </c>
      <c r="X89" s="158">
        <f>SUMIF(_12MonLights_TariffRateCategory,X$33&amp;$V89,_12MonLights_Count)+SUMIF(_12MonLights_TariffRateCategory,X$33&amp;$V89,_12MonLights_Count_Adj)</f>
        <v>0</v>
      </c>
      <c r="Y89" s="158">
        <f>SUMIF(_12MonLights_TariffRateCategory,Y$33&amp;$V$89,_12MonLights_Count)-SUMIF(_12MonLights_TariffRateCategory,Y$33&amp;$V$89,_12MonLights_Count_Adj)</f>
        <v>24</v>
      </c>
      <c r="AA89" s="162">
        <f t="shared" si="25"/>
        <v>0</v>
      </c>
      <c r="AB89" s="162">
        <f>ROUND(X89*Q89,2)</f>
        <v>0</v>
      </c>
      <c r="AC89" s="162">
        <f t="shared" si="26"/>
        <v>1327.92</v>
      </c>
      <c r="AD89" s="162">
        <f>SUM(AA89:AC91)</f>
        <v>1854.2400000000002</v>
      </c>
      <c r="AE89" s="162"/>
    </row>
    <row r="90" spans="2:31">
      <c r="B90" s="158">
        <v>2</v>
      </c>
      <c r="C90" s="158" t="str">
        <f t="shared" si="29"/>
        <v>Twin Crossarm Bracket (incl.extra fixture)</v>
      </c>
      <c r="F90" s="163">
        <f>VLOOKUP($C90,$C$2:R$14,F$16,FALSE)</f>
        <v>16.52</v>
      </c>
      <c r="G90" s="163">
        <f>VLOOKUP($C90,$C$2:V$14,G$16,FALSE)</f>
        <v>16.96</v>
      </c>
      <c r="H90" s="163">
        <f>VLOOKUP($C90,$C$2:W$14,H$16,FALSE)</f>
        <v>18.12</v>
      </c>
      <c r="I90" s="163">
        <f>VLOOKUP($C90,$C$2:X$14,I$16,FALSE)</f>
        <v>18.12</v>
      </c>
      <c r="J90" s="163">
        <f>VLOOKUP($C90,$C$2:Y$14,J$16,FALSE)</f>
        <v>18.12</v>
      </c>
      <c r="K90" s="163">
        <f>VLOOKUP($C90,$C$2:Z$14,K$16,FALSE)</f>
        <v>18.12</v>
      </c>
      <c r="L90" s="163">
        <f>VLOOKUP($C90,$C$2:AA$14,L$16,FALSE)</f>
        <v>18.12</v>
      </c>
      <c r="M90" s="163">
        <f>VLOOKUP($C90,$C$2:AB$14,M$16,FALSE)</f>
        <v>17.96</v>
      </c>
      <c r="N90" s="163">
        <f>VLOOKUP($C90,$C$2:AC$14,N$16,FALSE)</f>
        <v>17.96</v>
      </c>
      <c r="O90" s="163">
        <f>VLOOKUP($C90,$C$2:AD$14,O$16,FALSE)</f>
        <v>17.96</v>
      </c>
      <c r="P90" s="163">
        <f>VLOOKUP($C90,$C$2:AE$14,P$16,FALSE)</f>
        <v>19.79</v>
      </c>
      <c r="Q90" s="163">
        <f>VLOOKUP($C90,$C$2:AF$14,Q$16,FALSE)</f>
        <v>19.79</v>
      </c>
      <c r="R90" s="163">
        <f>VLOOKUP($C90,$C$2:AG$14,R$16,FALSE)</f>
        <v>19.79</v>
      </c>
      <c r="S90" s="163">
        <f>VLOOKUP($C90,$C$2:AG$14,S$16,FALSE)</f>
        <v>20.57</v>
      </c>
      <c r="T90" s="163">
        <f>VLOOKUP($C90,$C$2:AH$14,T$16,FALSE)</f>
        <v>20.57</v>
      </c>
      <c r="U90" s="163">
        <f>VLOOKUP($C90,$C$2:AI$14,U$16,FALSE)</f>
        <v>20.57</v>
      </c>
      <c r="V90" s="161"/>
      <c r="W90" s="158">
        <f>W89</f>
        <v>0</v>
      </c>
      <c r="X90" s="158">
        <f>X89</f>
        <v>0</v>
      </c>
      <c r="Y90" s="158">
        <f>SUMIF(_12MonLights_TariffRateCategory,Y$33&amp;$V$89,_12MonLights_Count)-SUMIF(_12MonLights_TariffRateCategory,Y$33&amp;$V$89,_12MonLights_Count_Adj)</f>
        <v>24</v>
      </c>
      <c r="AA90" s="162">
        <f t="shared" si="25"/>
        <v>0</v>
      </c>
      <c r="AB90" s="162">
        <f t="shared" si="28"/>
        <v>0</v>
      </c>
      <c r="AC90" s="162">
        <f t="shared" si="26"/>
        <v>493.68</v>
      </c>
      <c r="AD90" s="162"/>
      <c r="AE90" s="162"/>
    </row>
    <row r="91" spans="2:31">
      <c r="B91" s="158">
        <v>6</v>
      </c>
      <c r="C91" s="158" t="str">
        <f t="shared" si="29"/>
        <v>Flagpole Holder</v>
      </c>
      <c r="F91" s="163">
        <f>VLOOKUP($C91,$C$2:R$14,F$16,FALSE)</f>
        <v>1.0900000000000001</v>
      </c>
      <c r="G91" s="163">
        <f>VLOOKUP($C91,$C$2:V$14,G$16,FALSE)</f>
        <v>1.1200000000000001</v>
      </c>
      <c r="H91" s="163">
        <f>VLOOKUP($C91,$C$2:W$14,H$16,FALSE)</f>
        <v>1.2</v>
      </c>
      <c r="I91" s="163">
        <f>VLOOKUP($C91,$C$2:X$14,I$16,FALSE)</f>
        <v>1.2</v>
      </c>
      <c r="J91" s="163">
        <f>VLOOKUP($C91,$C$2:Y$14,J$16,FALSE)</f>
        <v>1.2</v>
      </c>
      <c r="K91" s="163">
        <f>VLOOKUP($C91,$C$2:Z$14,K$16,FALSE)</f>
        <v>1.2</v>
      </c>
      <c r="L91" s="163">
        <f>VLOOKUP($C91,$C$2:AA$14,L$16,FALSE)</f>
        <v>1.2</v>
      </c>
      <c r="M91" s="163">
        <f>VLOOKUP($C91,$C$2:AB$14,M$16,FALSE)</f>
        <v>1.19</v>
      </c>
      <c r="N91" s="163">
        <f>VLOOKUP($C91,$C$2:AC$14,N$16,FALSE)</f>
        <v>1.19</v>
      </c>
      <c r="O91" s="163">
        <f>VLOOKUP($C91,$C$2:AD$14,O$16,FALSE)</f>
        <v>1.19</v>
      </c>
      <c r="P91" s="163">
        <f>VLOOKUP($C91,$C$2:AE$14,P$16,FALSE)</f>
        <v>1.31</v>
      </c>
      <c r="Q91" s="163">
        <f>VLOOKUP($C91,$C$2:AF$14,Q$16,FALSE)</f>
        <v>1.31</v>
      </c>
      <c r="R91" s="163">
        <f>VLOOKUP($C91,$C$2:AG$14,R$16,FALSE)</f>
        <v>1.31</v>
      </c>
      <c r="S91" s="163">
        <f>VLOOKUP($C91,$C$2:AG$14,S$16,FALSE)</f>
        <v>1.36</v>
      </c>
      <c r="T91" s="163">
        <f>VLOOKUP($C91,$C$2:AH$14,T$16,FALSE)</f>
        <v>1.36</v>
      </c>
      <c r="U91" s="163">
        <f>VLOOKUP($C91,$C$2:AI$14,U$16,FALSE)</f>
        <v>1.36</v>
      </c>
      <c r="V91" s="161"/>
      <c r="W91" s="158">
        <f>W90</f>
        <v>0</v>
      </c>
      <c r="X91" s="158">
        <f>X90</f>
        <v>0</v>
      </c>
      <c r="Y91" s="158">
        <f>SUMIF(_12MonLights_TariffRateCategory,Y$33&amp;$V$89,_12MonLights_Count)-SUMIF(_12MonLights_TariffRateCategory,Y$33&amp;$V$89,_12MonLights_Count_Adj)</f>
        <v>24</v>
      </c>
      <c r="AA91" s="162">
        <f t="shared" si="25"/>
        <v>0</v>
      </c>
      <c r="AB91" s="162">
        <f t="shared" si="28"/>
        <v>0</v>
      </c>
      <c r="AC91" s="162">
        <f t="shared" si="26"/>
        <v>32.64</v>
      </c>
      <c r="AD91" s="162"/>
      <c r="AE91" s="162"/>
    </row>
    <row r="92" spans="2:31">
      <c r="B92" s="158">
        <v>0</v>
      </c>
      <c r="C92" s="158" t="str">
        <f>$C$2</f>
        <v>Pole &amp; Fixture SL</v>
      </c>
      <c r="F92" s="163">
        <f>VLOOKUP($C92,$C$2:R$14,F$16,FALSE)</f>
        <v>34.9</v>
      </c>
      <c r="G92" s="163">
        <f>VLOOKUP($C92,$C$2:V$14,G$16,FALSE)</f>
        <v>35.840000000000003</v>
      </c>
      <c r="H92" s="163">
        <f>VLOOKUP($C92,$C$2:W$14,H$16,FALSE)</f>
        <v>38.28</v>
      </c>
      <c r="I92" s="163">
        <f>VLOOKUP($C92,$C$2:X$14,I$16,FALSE)</f>
        <v>38.44</v>
      </c>
      <c r="J92" s="163">
        <f>VLOOKUP($C92,$C$2:Y$14,J$16,FALSE)</f>
        <v>39.520000000000003</v>
      </c>
      <c r="K92" s="163">
        <f>VLOOKUP($C92,$C$2:Z$14,K$16,FALSE)</f>
        <v>39.909999999999997</v>
      </c>
      <c r="L92" s="163">
        <f>VLOOKUP($C92,$C$2:AA$14,L$16,FALSE)</f>
        <v>40.81</v>
      </c>
      <c r="M92" s="163">
        <f>VLOOKUP($C92,$C$2:AB$14,M$16,FALSE)</f>
        <v>40.19</v>
      </c>
      <c r="N92" s="163">
        <f>VLOOKUP($C92,$C$2:AC$14,N$16,FALSE)</f>
        <v>40.270000000000003</v>
      </c>
      <c r="O92" s="163">
        <f>VLOOKUP($C92,$C$2:AD$14,O$16,FALSE)</f>
        <v>44.78</v>
      </c>
      <c r="P92" s="163">
        <f>VLOOKUP($C92,$C$2:AE$14,P$16,FALSE)</f>
        <v>49.34</v>
      </c>
      <c r="Q92" s="163">
        <f>VLOOKUP($C92,$C$2:AF$14,Q$16,FALSE)</f>
        <v>49.29</v>
      </c>
      <c r="R92" s="163">
        <f>VLOOKUP($C92,$C$2:AG$14,R$16,FALSE)</f>
        <v>51</v>
      </c>
      <c r="S92" s="163">
        <f>VLOOKUP($C92,$C$2:AG$14,S$16,FALSE)</f>
        <v>53.01</v>
      </c>
      <c r="T92" s="163">
        <f>VLOOKUP($C92,$C$2:AH$14,T$16,FALSE)</f>
        <v>53.15</v>
      </c>
      <c r="U92" s="163">
        <f>VLOOKUP($C92,$C$2:AI$14,U$16,FALSE)</f>
        <v>55.33</v>
      </c>
      <c r="V92" s="161" t="s">
        <v>343</v>
      </c>
      <c r="W92" s="158">
        <f>SUMIF(_12MonLights_TariffRateCategory,W$33&amp;$V92,_12MonLights_Count)+SUMIF(_12MonLights_TariffRateCategory,W$33&amp;$V92,_12MonLights_Count_Adj)</f>
        <v>0</v>
      </c>
      <c r="X92" s="158">
        <f>SUMIF(_12MonLights_TariffRateCategory,X$33&amp;$V92,_12MonLights_Count)+SUMIF(_12MonLights_TariffRateCategory,X$33&amp;$V92,_12MonLights_Count_Adj)</f>
        <v>0</v>
      </c>
      <c r="Y92" s="158">
        <f>SUMIF(_12MonLights_TariffRateCategory,Y$33&amp;$V$92,_12MonLights_Count)-SUMIF(_12MonLights_TariffRateCategory,Y$33&amp;$V$92,_12MonLights_Count_Adj)</f>
        <v>605</v>
      </c>
      <c r="AA92" s="162">
        <f t="shared" si="25"/>
        <v>0</v>
      </c>
      <c r="AB92" s="162">
        <f>ROUND(X92*Q92,2)</f>
        <v>0</v>
      </c>
      <c r="AC92" s="162">
        <f t="shared" si="26"/>
        <v>33474.65</v>
      </c>
      <c r="AD92" s="162">
        <f>SUM(AA92:AC94)</f>
        <v>38834.950000000004</v>
      </c>
      <c r="AE92" s="162"/>
    </row>
    <row r="93" spans="2:31">
      <c r="B93" s="158">
        <v>4</v>
      </c>
      <c r="C93" s="158" t="str">
        <f t="shared" si="29"/>
        <v>24" Clamp Banner Arm</v>
      </c>
      <c r="F93" s="163">
        <f>VLOOKUP($C93,$C$2:R$14,F$16,FALSE)</f>
        <v>0</v>
      </c>
      <c r="G93" s="163">
        <f>VLOOKUP($C93,$C$2:V$14,G$16,FALSE)</f>
        <v>3.67</v>
      </c>
      <c r="H93" s="163">
        <f>VLOOKUP($C93,$C$2:W$14,H$16,FALSE)</f>
        <v>3.9</v>
      </c>
      <c r="I93" s="163">
        <f>VLOOKUP($C93,$C$2:X$14,I$16,FALSE)</f>
        <v>3.9</v>
      </c>
      <c r="J93" s="163">
        <f>VLOOKUP($C93,$C$2:Y$14,J$16,FALSE)</f>
        <v>3.9</v>
      </c>
      <c r="K93" s="163">
        <f>VLOOKUP($C93,$C$2:Z$14,K$16,FALSE)</f>
        <v>3.9</v>
      </c>
      <c r="L93" s="163">
        <f>VLOOKUP($C93,$C$2:AA$14,L$16,FALSE)</f>
        <v>3.9</v>
      </c>
      <c r="M93" s="163">
        <f>VLOOKUP($C93,$C$2:AB$14,M$16,FALSE)</f>
        <v>3.87</v>
      </c>
      <c r="N93" s="163">
        <f>VLOOKUP($C93,$C$2:AC$14,N$16,FALSE)</f>
        <v>3.87</v>
      </c>
      <c r="O93" s="163">
        <f>VLOOKUP($C93,$C$2:AD$14,O$16,FALSE)</f>
        <v>3.87</v>
      </c>
      <c r="P93" s="163">
        <f>VLOOKUP($C93,$C$2:AE$14,P$16,FALSE)</f>
        <v>4.26</v>
      </c>
      <c r="Q93" s="163">
        <f>VLOOKUP($C93,$C$2:AF$14,Q$16,FALSE)</f>
        <v>4.26</v>
      </c>
      <c r="R93" s="163">
        <f>VLOOKUP($C93,$C$2:AG$14,R$16,FALSE)</f>
        <v>4.26</v>
      </c>
      <c r="S93" s="163">
        <f>VLOOKUP($C93,$C$2:AG$14,S$16,FALSE)</f>
        <v>4.43</v>
      </c>
      <c r="T93" s="163">
        <f>VLOOKUP($C93,$C$2:AH$14,T$16,FALSE)</f>
        <v>4.43</v>
      </c>
      <c r="U93" s="163">
        <f>VLOOKUP($C93,$C$2:AI$14,U$16,FALSE)</f>
        <v>4.43</v>
      </c>
      <c r="V93" s="161"/>
      <c r="W93" s="158">
        <f>W92</f>
        <v>0</v>
      </c>
      <c r="X93" s="158">
        <f>X92</f>
        <v>0</v>
      </c>
      <c r="Y93" s="158">
        <f>SUMIF(_12MonLights_TariffRateCategory,Y$33&amp;$V$92,_12MonLights_Count)-SUMIF(_12MonLights_TariffRateCategory,Y$33&amp;$V$92,_12MonLights_Count_Adj)</f>
        <v>605</v>
      </c>
      <c r="AA93" s="162">
        <f t="shared" si="25"/>
        <v>0</v>
      </c>
      <c r="AB93" s="162">
        <f t="shared" si="28"/>
        <v>0</v>
      </c>
      <c r="AC93" s="162">
        <f t="shared" si="26"/>
        <v>2680.15</v>
      </c>
      <c r="AD93" s="162"/>
      <c r="AE93" s="162"/>
    </row>
    <row r="94" spans="2:31">
      <c r="B94" s="158">
        <v>4</v>
      </c>
      <c r="C94" s="158" t="str">
        <f t="shared" si="29"/>
        <v>24" Clamp Banner Arm</v>
      </c>
      <c r="F94" s="163">
        <f>VLOOKUP($C94,$C$2:R$14,F$16,FALSE)</f>
        <v>0</v>
      </c>
      <c r="G94" s="163">
        <f>VLOOKUP($C94,$C$2:V$14,G$16,FALSE)</f>
        <v>3.67</v>
      </c>
      <c r="H94" s="163">
        <f>VLOOKUP($C94,$C$2:W$14,H$16,FALSE)</f>
        <v>3.9</v>
      </c>
      <c r="I94" s="163">
        <f>VLOOKUP($C94,$C$2:X$14,I$16,FALSE)</f>
        <v>3.9</v>
      </c>
      <c r="J94" s="163">
        <f>VLOOKUP($C94,$C$2:Y$14,J$16,FALSE)</f>
        <v>3.9</v>
      </c>
      <c r="K94" s="163">
        <f>VLOOKUP($C94,$C$2:Z$14,K$16,FALSE)</f>
        <v>3.9</v>
      </c>
      <c r="L94" s="163">
        <f>VLOOKUP($C94,$C$2:AA$14,L$16,FALSE)</f>
        <v>3.9</v>
      </c>
      <c r="M94" s="163">
        <f>VLOOKUP($C94,$C$2:AB$14,M$16,FALSE)</f>
        <v>3.87</v>
      </c>
      <c r="N94" s="163">
        <f>VLOOKUP($C94,$C$2:AC$14,N$16,FALSE)</f>
        <v>3.87</v>
      </c>
      <c r="O94" s="163">
        <f>VLOOKUP($C94,$C$2:AD$14,O$16,FALSE)</f>
        <v>3.87</v>
      </c>
      <c r="P94" s="163">
        <f>VLOOKUP($C94,$C$2:AE$14,P$16,FALSE)</f>
        <v>4.26</v>
      </c>
      <c r="Q94" s="163">
        <f>VLOOKUP($C94,$C$2:AF$14,Q$16,FALSE)</f>
        <v>4.26</v>
      </c>
      <c r="R94" s="163">
        <f>VLOOKUP($C94,$C$2:AG$14,R$16,FALSE)</f>
        <v>4.26</v>
      </c>
      <c r="S94" s="163">
        <f>VLOOKUP($C94,$C$2:AG$14,S$16,FALSE)</f>
        <v>4.43</v>
      </c>
      <c r="T94" s="163">
        <f>VLOOKUP($C94,$C$2:AH$14,T$16,FALSE)</f>
        <v>4.43</v>
      </c>
      <c r="U94" s="163">
        <f>VLOOKUP($C94,$C$2:AI$14,U$16,FALSE)</f>
        <v>4.43</v>
      </c>
      <c r="V94" s="161"/>
      <c r="W94" s="158">
        <f>W93</f>
        <v>0</v>
      </c>
      <c r="X94" s="158">
        <f>X93</f>
        <v>0</v>
      </c>
      <c r="Y94" s="158">
        <f>SUMIF(_12MonLights_TariffRateCategory,Y$33&amp;$V$92,_12MonLights_Count)-SUMIF(_12MonLights_TariffRateCategory,Y$33&amp;$V$92,_12MonLights_Count_Adj)</f>
        <v>605</v>
      </c>
      <c r="AA94" s="162">
        <f t="shared" si="25"/>
        <v>0</v>
      </c>
      <c r="AB94" s="162">
        <f t="shared" si="28"/>
        <v>0</v>
      </c>
      <c r="AC94" s="162">
        <f t="shared" si="26"/>
        <v>2680.15</v>
      </c>
      <c r="AD94" s="162"/>
      <c r="AE94" s="162"/>
    </row>
    <row r="95" spans="2:31">
      <c r="B95" s="158">
        <v>0</v>
      </c>
      <c r="C95" s="158" t="str">
        <f>$C$2</f>
        <v>Pole &amp; Fixture SL</v>
      </c>
      <c r="F95" s="163">
        <f>VLOOKUP($C95,$C$2:R$15,F$16,FALSE)</f>
        <v>34.9</v>
      </c>
      <c r="G95" s="163">
        <f>VLOOKUP($C95,$C$2:V$15,G$16,FALSE)</f>
        <v>35.840000000000003</v>
      </c>
      <c r="H95" s="163">
        <f>VLOOKUP($C95,$C$2:W$15,H$16,FALSE)</f>
        <v>38.28</v>
      </c>
      <c r="I95" s="163">
        <f>VLOOKUP($C95,$C$2:X$15,I$16,FALSE)</f>
        <v>38.44</v>
      </c>
      <c r="J95" s="163">
        <f>VLOOKUP($C95,$C$2:Y$15,J$16,FALSE)</f>
        <v>39.520000000000003</v>
      </c>
      <c r="K95" s="163">
        <f>VLOOKUP($C95,$C$2:Z$15,K$16,FALSE)</f>
        <v>39.909999999999997</v>
      </c>
      <c r="L95" s="163">
        <f>VLOOKUP($C95,$C$2:AA$15,L$16,FALSE)</f>
        <v>40.81</v>
      </c>
      <c r="M95" s="163">
        <f>VLOOKUP($C95,$C$2:AB$15,M$16,FALSE)</f>
        <v>40.19</v>
      </c>
      <c r="N95" s="163">
        <f>VLOOKUP($C95,$C$2:AC$15,N$16,FALSE)</f>
        <v>40.270000000000003</v>
      </c>
      <c r="O95" s="163">
        <f>VLOOKUP($C95,$C$2:AD$15,O$16,FALSE)</f>
        <v>44.78</v>
      </c>
      <c r="P95" s="163">
        <f>VLOOKUP($C95,$C$2:AE$15,P$16,FALSE)</f>
        <v>49.34</v>
      </c>
      <c r="Q95" s="163">
        <f>VLOOKUP($C95,$C$2:AF$15,Q$16,FALSE)</f>
        <v>49.29</v>
      </c>
      <c r="R95" s="163">
        <f>VLOOKUP($C95,$C$2:AG$15,R$16,FALSE)</f>
        <v>51</v>
      </c>
      <c r="S95" s="163">
        <f>VLOOKUP($C95,$C$2:AG$15,S$16,FALSE)</f>
        <v>53.01</v>
      </c>
      <c r="T95" s="163">
        <f>VLOOKUP($C95,$C$2:AH$15,T$16,FALSE)</f>
        <v>53.15</v>
      </c>
      <c r="U95" s="163">
        <f>VLOOKUP($C95,$C$2:AI$15,U$16,FALSE)</f>
        <v>55.33</v>
      </c>
      <c r="V95" s="161" t="s">
        <v>340</v>
      </c>
      <c r="W95" s="158">
        <f>SUMIF(_12MonLights_TariffRateCategory,W$33&amp;$V95,_12MonLights_Count)+SUMIF(_12MonLights_TariffRateCategory,W$33&amp;$V95,_12MonLights_Count_Adj)</f>
        <v>0</v>
      </c>
      <c r="X95" s="158">
        <f>SUMIF(_12MonLights_TariffRateCategory,X$33&amp;$V95,_12MonLights_Count)+SUMIF(_12MonLights_TariffRateCategory,X$33&amp;$V95,_12MonLights_Count_Adj)</f>
        <v>0</v>
      </c>
      <c r="Y95" s="158">
        <f>SUMIF(_12MonLights_TariffRateCategory,Y$33&amp;$V95,_12MonLights_Count)-SUMIF(_12MonLights_TariffRateCategory,Y$33&amp;$V95,_12MonLights_Count_Adj)</f>
        <v>0</v>
      </c>
      <c r="AA95" s="162">
        <f t="shared" si="25"/>
        <v>0</v>
      </c>
      <c r="AB95" s="162">
        <f>ROUND(X95*Q95,2)</f>
        <v>0</v>
      </c>
      <c r="AC95" s="162">
        <f t="shared" si="26"/>
        <v>0</v>
      </c>
      <c r="AD95" s="162">
        <f>SUM(AA95:AC95)</f>
        <v>0</v>
      </c>
      <c r="AE95" s="162"/>
    </row>
    <row r="96" spans="2:31">
      <c r="B96" s="158">
        <v>0</v>
      </c>
      <c r="C96" s="158" t="str">
        <f>$C$2</f>
        <v>Pole &amp; Fixture SL</v>
      </c>
      <c r="F96" s="163">
        <f>VLOOKUP($C96,$C$2:R$15,F$16,FALSE)</f>
        <v>34.9</v>
      </c>
      <c r="G96" s="163">
        <f>VLOOKUP($C96,$C$2:V$15,G$16,FALSE)</f>
        <v>35.840000000000003</v>
      </c>
      <c r="H96" s="163">
        <f>VLOOKUP($C96,$C$2:W$15,H$16,FALSE)</f>
        <v>38.28</v>
      </c>
      <c r="I96" s="163">
        <f>VLOOKUP($C96,$C$2:X$15,I$16,FALSE)</f>
        <v>38.44</v>
      </c>
      <c r="J96" s="163">
        <f>VLOOKUP($C96,$C$2:Y$15,J$16,FALSE)</f>
        <v>39.520000000000003</v>
      </c>
      <c r="K96" s="163">
        <f>VLOOKUP($C96,$C$2:Z$15,K$16,FALSE)</f>
        <v>39.909999999999997</v>
      </c>
      <c r="L96" s="163">
        <f>VLOOKUP($C96,$C$2:AA$15,L$16,FALSE)</f>
        <v>40.81</v>
      </c>
      <c r="M96" s="163">
        <f>VLOOKUP($C96,$C$2:AB$15,M$16,FALSE)</f>
        <v>40.19</v>
      </c>
      <c r="N96" s="163">
        <f>VLOOKUP($C96,$C$2:AC$15,N$16,FALSE)</f>
        <v>40.270000000000003</v>
      </c>
      <c r="O96" s="163">
        <f>VLOOKUP($C96,$C$2:AD$15,O$16,FALSE)</f>
        <v>44.78</v>
      </c>
      <c r="P96" s="163">
        <f>VLOOKUP($C96,$C$2:AE$14,P$16,FALSE)</f>
        <v>49.34</v>
      </c>
      <c r="Q96" s="163">
        <f>VLOOKUP($C96,$C$2:AF$14,Q$16,FALSE)</f>
        <v>49.29</v>
      </c>
      <c r="R96" s="163">
        <f>VLOOKUP($C96,$C$2:AG$14,R$16,FALSE)</f>
        <v>51</v>
      </c>
      <c r="S96" s="163">
        <f>VLOOKUP($C96,$C$2:AG$14,S$16,FALSE)</f>
        <v>53.01</v>
      </c>
      <c r="T96" s="163">
        <f>VLOOKUP($C96,$C$2:AH$14,T$16,FALSE)</f>
        <v>53.15</v>
      </c>
      <c r="U96" s="163">
        <f>VLOOKUP($C96,$C$2:AI$14,U$16,FALSE)</f>
        <v>55.33</v>
      </c>
      <c r="V96" s="158" t="s">
        <v>472</v>
      </c>
      <c r="W96" s="158">
        <f>SUMIF(_12MonLights_TariffRateCategory,W$33&amp;$V96,_12MonLights_Count)+SUMIF(_12MonLights_TariffRateCategory,W$33&amp;$V96,_12MonLights_Count_Adj)</f>
        <v>0</v>
      </c>
      <c r="X96" s="158">
        <f>SUMIF(_12MonLights_TariffRateCategory,X$33&amp;$V96,_12MonLights_Count)+SUMIF(_12MonLights_TariffRateCategory,X$33&amp;$V96,_12MonLights_Count_Adj)</f>
        <v>0</v>
      </c>
      <c r="Y96" s="158">
        <f>SUMIF(_12MonLights_TariffRateCategory,Y$33&amp;$V$96,_12MonLights_Count)-SUMIF(_12MonLights_TariffRateCategory,Y$33&amp;$V$96,_12MonLights_Count_Adj)</f>
        <v>24</v>
      </c>
      <c r="AA96" s="162">
        <f t="shared" si="25"/>
        <v>0</v>
      </c>
      <c r="AB96" s="162">
        <f>ROUND(X96*Q96,2)</f>
        <v>0</v>
      </c>
      <c r="AC96" s="162">
        <f t="shared" si="26"/>
        <v>1327.92</v>
      </c>
      <c r="AD96" s="162">
        <f t="shared" ref="AD96:AD113" si="35">SUM(AA96:AC96)</f>
        <v>1327.92</v>
      </c>
    </row>
    <row r="97" spans="2:30">
      <c r="B97" s="158">
        <v>2</v>
      </c>
      <c r="C97" s="158" t="str">
        <f>VLOOKUP(B97,$B$3:$C$14,2,FALSE)</f>
        <v>Twin Crossarm Bracket (incl.extra fixture)</v>
      </c>
      <c r="F97" s="163">
        <f>VLOOKUP($C97,$C$2:R$14,F$16,FALSE)</f>
        <v>16.52</v>
      </c>
      <c r="G97" s="163">
        <f>VLOOKUP($C97,$C$2:V$14,G$16,FALSE)</f>
        <v>16.96</v>
      </c>
      <c r="H97" s="163">
        <f>VLOOKUP($C97,$C$2:W$14,H$16,FALSE)</f>
        <v>18.12</v>
      </c>
      <c r="I97" s="163">
        <f>VLOOKUP($C97,$C$2:X$14,I$16,FALSE)</f>
        <v>18.12</v>
      </c>
      <c r="J97" s="163">
        <f>VLOOKUP($C97,$C$2:Y$14,J$16,FALSE)</f>
        <v>18.12</v>
      </c>
      <c r="K97" s="163">
        <f>VLOOKUP($C97,$C$2:Z$14,K$16,FALSE)</f>
        <v>18.12</v>
      </c>
      <c r="L97" s="163">
        <f>VLOOKUP($C97,$C$2:AA$14,L$16,FALSE)</f>
        <v>18.12</v>
      </c>
      <c r="M97" s="163">
        <f>VLOOKUP($C97,$C$2:AB$14,M$16,FALSE)</f>
        <v>17.96</v>
      </c>
      <c r="N97" s="163">
        <f>VLOOKUP($C97,$C$2:AC$14,N$16,FALSE)</f>
        <v>17.96</v>
      </c>
      <c r="O97" s="163">
        <f>VLOOKUP($C97,$C$2:AD$14,O$16,FALSE)</f>
        <v>17.96</v>
      </c>
      <c r="P97" s="163">
        <f>VLOOKUP($C97,$C$2:AE$14,P$16,FALSE)</f>
        <v>19.79</v>
      </c>
      <c r="Q97" s="163">
        <f>VLOOKUP($C97,$C$2:AF$14,Q$16,FALSE)</f>
        <v>19.79</v>
      </c>
      <c r="R97" s="163">
        <f>VLOOKUP($C97,$C$2:AG$14,R$16,FALSE)</f>
        <v>19.79</v>
      </c>
      <c r="S97" s="163">
        <f>VLOOKUP($C97,$C$2:AG$14,S$16,FALSE)</f>
        <v>20.57</v>
      </c>
      <c r="T97" s="163">
        <f>VLOOKUP($C97,$C$2:AH$14,T$16,FALSE)</f>
        <v>20.57</v>
      </c>
      <c r="U97" s="163">
        <f>VLOOKUP($C97,$C$2:AI$14,U$16,FALSE)</f>
        <v>20.57</v>
      </c>
      <c r="W97" s="158">
        <f>W96</f>
        <v>0</v>
      </c>
      <c r="X97" s="158">
        <f>X96</f>
        <v>0</v>
      </c>
      <c r="Y97" s="158">
        <f>SUMIF(_12MonLights_TariffRateCategory,Y$33&amp;$V$96,_12MonLights_Count)-SUMIF(_12MonLights_TariffRateCategory,Y$33&amp;$V$96,_12MonLights_Count_Adj)</f>
        <v>24</v>
      </c>
      <c r="AA97" s="162">
        <f t="shared" si="25"/>
        <v>0</v>
      </c>
      <c r="AB97" s="162">
        <f t="shared" si="28"/>
        <v>0</v>
      </c>
      <c r="AC97" s="162">
        <f t="shared" si="26"/>
        <v>493.68</v>
      </c>
      <c r="AD97" s="162">
        <f t="shared" si="35"/>
        <v>493.68</v>
      </c>
    </row>
    <row r="98" spans="2:30">
      <c r="B98" s="158">
        <v>0</v>
      </c>
      <c r="C98" s="158" t="str">
        <f>$C$2</f>
        <v>Pole &amp; Fixture SL</v>
      </c>
      <c r="F98" s="163">
        <f>VLOOKUP($C98,$C$2:R$15,F$16,FALSE)</f>
        <v>34.9</v>
      </c>
      <c r="G98" s="163">
        <f>VLOOKUP($C98,$C$2:V$15,G$16,FALSE)</f>
        <v>35.840000000000003</v>
      </c>
      <c r="H98" s="163">
        <f>VLOOKUP($C98,$C$2:W$15,H$16,FALSE)</f>
        <v>38.28</v>
      </c>
      <c r="I98" s="163">
        <f>VLOOKUP($C98,$C$2:X$15,I$16,FALSE)</f>
        <v>38.44</v>
      </c>
      <c r="J98" s="163">
        <f>VLOOKUP($C98,$C$2:Y$15,J$16,FALSE)</f>
        <v>39.520000000000003</v>
      </c>
      <c r="K98" s="163">
        <f>VLOOKUP($C98,$C$2:Z$15,K$16,FALSE)</f>
        <v>39.909999999999997</v>
      </c>
      <c r="L98" s="163">
        <f>VLOOKUP($C98,$C$2:AA$15,L$16,FALSE)</f>
        <v>40.81</v>
      </c>
      <c r="M98" s="163">
        <f>VLOOKUP($C98,$C$2:AB$15,M$16,FALSE)</f>
        <v>40.19</v>
      </c>
      <c r="N98" s="163">
        <f>VLOOKUP($C98,$C$2:AC$15,N$16,FALSE)</f>
        <v>40.270000000000003</v>
      </c>
      <c r="O98" s="163">
        <f>VLOOKUP($C98,$C$2:AD$15,O$16,FALSE)</f>
        <v>44.78</v>
      </c>
      <c r="P98" s="163">
        <f>VLOOKUP($C98,$C$2:AE$14,P$16,FALSE)</f>
        <v>49.34</v>
      </c>
      <c r="Q98" s="163">
        <f>VLOOKUP($C98,$C$2:AF$14,Q$16,FALSE)</f>
        <v>49.29</v>
      </c>
      <c r="R98" s="163">
        <f>VLOOKUP($C98,$C$2:AG$14,R$16,FALSE)</f>
        <v>51</v>
      </c>
      <c r="S98" s="163">
        <f>VLOOKUP($C98,$C$2:AG$14,S$16,FALSE)</f>
        <v>53.01</v>
      </c>
      <c r="T98" s="163">
        <f>VLOOKUP($C98,$C$2:AH$14,T$16,FALSE)</f>
        <v>53.15</v>
      </c>
      <c r="U98" s="163">
        <f>VLOOKUP($C98,$C$2:AI$14,U$16,FALSE)</f>
        <v>55.33</v>
      </c>
      <c r="V98" s="161" t="s">
        <v>645</v>
      </c>
      <c r="W98" s="158">
        <f>SUMIF(_12MonLights_TariffRateCategory,W$33&amp;$V98,_12MonLights_Count)+SUMIF(_12MonLights_TariffRateCategory,W$33&amp;$V98,_12MonLights_Count_Adj)</f>
        <v>0</v>
      </c>
      <c r="X98" s="158">
        <f>SUMIF(_12MonLights_TariffRateCategory,X$33&amp;$V98,_12MonLights_Count)+SUMIF(_12MonLights_TariffRateCategory,X$33&amp;$V98,_12MonLights_Count_Adj)</f>
        <v>0</v>
      </c>
      <c r="Y98" s="158">
        <f>SUMIF(_12MonLights_TariffRateCategory,Y$33&amp;$V$98,_12MonLights_Count)-SUMIF(_12MonLights_TariffRateCategory,Y$33&amp;$V$98,_12MonLights_Count_Adj)</f>
        <v>0</v>
      </c>
      <c r="AA98" s="162">
        <f t="shared" si="25"/>
        <v>0</v>
      </c>
      <c r="AB98" s="162">
        <f>ROUND(X98*Q98,2)</f>
        <v>0</v>
      </c>
      <c r="AC98" s="162">
        <f t="shared" si="26"/>
        <v>0</v>
      </c>
      <c r="AD98" s="162">
        <f t="shared" si="35"/>
        <v>0</v>
      </c>
    </row>
    <row r="99" spans="2:30">
      <c r="B99" s="158">
        <v>2</v>
      </c>
      <c r="C99" s="158" t="str">
        <f>VLOOKUP(B99,$B$3:$C$14,2,FALSE)</f>
        <v>Twin Crossarm Bracket (incl.extra fixture)</v>
      </c>
      <c r="F99" s="163">
        <f>VLOOKUP($C99,$C$2:R$14,F$16,FALSE)</f>
        <v>16.52</v>
      </c>
      <c r="G99" s="163">
        <f>VLOOKUP($C99,$C$2:V$14,G$16,FALSE)</f>
        <v>16.96</v>
      </c>
      <c r="H99" s="163">
        <f>VLOOKUP($C99,$C$2:W$14,H$16,FALSE)</f>
        <v>18.12</v>
      </c>
      <c r="I99" s="163">
        <f>VLOOKUP($C99,$C$2:X$14,I$16,FALSE)</f>
        <v>18.12</v>
      </c>
      <c r="J99" s="163">
        <f>VLOOKUP($C99,$C$2:Y$14,J$16,FALSE)</f>
        <v>18.12</v>
      </c>
      <c r="K99" s="163">
        <f>VLOOKUP($C99,$C$2:Z$14,K$16,FALSE)</f>
        <v>18.12</v>
      </c>
      <c r="L99" s="163">
        <f>VLOOKUP($C99,$C$2:AA$14,L$16,FALSE)</f>
        <v>18.12</v>
      </c>
      <c r="M99" s="163">
        <f>VLOOKUP($C99,$C$2:AB$14,M$16,FALSE)</f>
        <v>17.96</v>
      </c>
      <c r="N99" s="163">
        <f>VLOOKUP($C99,$C$2:AC$14,N$16,FALSE)</f>
        <v>17.96</v>
      </c>
      <c r="O99" s="163">
        <f>VLOOKUP($C99,$C$2:AD$14,O$16,FALSE)</f>
        <v>17.96</v>
      </c>
      <c r="P99" s="163">
        <f>VLOOKUP($C99,$C$2:AE$14,P$16,FALSE)</f>
        <v>19.79</v>
      </c>
      <c r="Q99" s="163">
        <f>VLOOKUP($C99,$C$2:AF$14,Q$16,FALSE)</f>
        <v>19.79</v>
      </c>
      <c r="R99" s="163">
        <f>VLOOKUP($C99,$C$2:AG$14,R$16,FALSE)</f>
        <v>19.79</v>
      </c>
      <c r="S99" s="163">
        <f>VLOOKUP($C99,$C$2:AG$14,S$16,FALSE)</f>
        <v>20.57</v>
      </c>
      <c r="T99" s="163">
        <f>VLOOKUP($C99,$C$2:AH$14,T$16,FALSE)</f>
        <v>20.57</v>
      </c>
      <c r="U99" s="163">
        <f>VLOOKUP($C99,$C$2:AI$14,U$16,FALSE)</f>
        <v>20.57</v>
      </c>
      <c r="W99" s="158">
        <f>W98</f>
        <v>0</v>
      </c>
      <c r="X99" s="158">
        <f>X98</f>
        <v>0</v>
      </c>
      <c r="Y99" s="158">
        <f>SUMIF(_12MonLights_TariffRateCategory,Y$33&amp;$V$98,_12MonLights_Count)-SUMIF(_12MonLights_TariffRateCategory,Y$33&amp;$V$98,_12MonLights_Count_Adj)</f>
        <v>0</v>
      </c>
      <c r="AA99" s="162">
        <f t="shared" si="25"/>
        <v>0</v>
      </c>
      <c r="AB99" s="162">
        <f t="shared" si="28"/>
        <v>0</v>
      </c>
      <c r="AC99" s="162">
        <f t="shared" si="26"/>
        <v>0</v>
      </c>
      <c r="AD99" s="162">
        <f t="shared" si="35"/>
        <v>0</v>
      </c>
    </row>
    <row r="100" spans="2:30">
      <c r="B100" s="158">
        <v>12</v>
      </c>
      <c r="C100" s="158" t="str">
        <f>VLOOKUP(B100,$B$3:$C$14,2,FALSE)</f>
        <v>Clamp On Planter</v>
      </c>
      <c r="F100" s="163">
        <f>VLOOKUP($C100,$C$2:R$14,F$16,FALSE)</f>
        <v>0</v>
      </c>
      <c r="G100" s="163">
        <f>VLOOKUP($C100,$C$2:V$14,G$16,FALSE)</f>
        <v>0</v>
      </c>
      <c r="H100" s="163">
        <f>VLOOKUP($C100,$C$2:W$14,H$16,FALSE)</f>
        <v>0</v>
      </c>
      <c r="I100" s="163">
        <f>VLOOKUP($C100,$C$2:X$14,I$16,FALSE)</f>
        <v>0</v>
      </c>
      <c r="J100" s="163">
        <f>VLOOKUP($C100,$C$2:Y$14,J$16,FALSE)</f>
        <v>0</v>
      </c>
      <c r="K100" s="163">
        <f>VLOOKUP($C100,$C$2:Z$14,K$16,FALSE)</f>
        <v>0</v>
      </c>
      <c r="L100" s="163">
        <f>VLOOKUP($C100,$C$2:AA$14,L$16,FALSE)</f>
        <v>0</v>
      </c>
      <c r="M100" s="163">
        <f>VLOOKUP($C100,$C$2:AB$14,M$16,FALSE)</f>
        <v>4.3099999999999996</v>
      </c>
      <c r="N100" s="163">
        <f>VLOOKUP($C100,$C$2:AC$14,N$16,FALSE)</f>
        <v>4.3099999999999996</v>
      </c>
      <c r="O100" s="163">
        <f>VLOOKUP($C100,$C$2:AD$14,O$16,FALSE)</f>
        <v>4.3099999999999996</v>
      </c>
      <c r="P100" s="163">
        <f>VLOOKUP($C100,$C$2:AE$14,P$16,FALSE)</f>
        <v>4.75</v>
      </c>
      <c r="Q100" s="163">
        <f>VLOOKUP($C100,$C$2:AF$14,Q$16,FALSE)</f>
        <v>4.75</v>
      </c>
      <c r="R100" s="163">
        <f>VLOOKUP($C100,$C$2:AG$14,R$16,FALSE)</f>
        <v>4.75</v>
      </c>
      <c r="S100" s="163">
        <f>VLOOKUP($C100,$C$2:AG$14,S$16,FALSE)</f>
        <v>4.9400000000000004</v>
      </c>
      <c r="T100" s="163">
        <f>VLOOKUP($C100,$C$2:AH$14,T$16,FALSE)</f>
        <v>4.9400000000000004</v>
      </c>
      <c r="U100" s="163">
        <f>VLOOKUP($C100,$C$2:AI$14,U$16,FALSE)</f>
        <v>4.9400000000000004</v>
      </c>
      <c r="W100" s="158">
        <f>W99</f>
        <v>0</v>
      </c>
      <c r="X100" s="158">
        <f>X99</f>
        <v>0</v>
      </c>
      <c r="Y100" s="158">
        <f>SUMIF(_12MonLights_TariffRateCategory,Y$33&amp;$V$98,_12MonLights_Count)-SUMIF(_12MonLights_TariffRateCategory,Y$33&amp;$V$98,_12MonLights_Count_Adj)</f>
        <v>0</v>
      </c>
      <c r="AA100" s="162">
        <f t="shared" si="25"/>
        <v>0</v>
      </c>
      <c r="AB100" s="162">
        <f t="shared" si="28"/>
        <v>0</v>
      </c>
      <c r="AC100" s="162">
        <f t="shared" si="26"/>
        <v>0</v>
      </c>
      <c r="AD100" s="162">
        <f t="shared" si="35"/>
        <v>0</v>
      </c>
    </row>
    <row r="101" spans="2:30">
      <c r="B101" s="158">
        <v>0</v>
      </c>
      <c r="C101" s="158" t="str">
        <f>$C$2</f>
        <v>Pole &amp; Fixture SL</v>
      </c>
      <c r="F101" s="163">
        <f>VLOOKUP($C101,$C$2:R$14,F$16,FALSE)</f>
        <v>34.9</v>
      </c>
      <c r="G101" s="163">
        <f>VLOOKUP($C101,$C$2:V$14,G$16,FALSE)</f>
        <v>35.840000000000003</v>
      </c>
      <c r="H101" s="163">
        <f>VLOOKUP($C101,$C$2:W$14,H$16,FALSE)</f>
        <v>38.28</v>
      </c>
      <c r="I101" s="163">
        <f>VLOOKUP($C101,$C$2:X$14,I$16,FALSE)</f>
        <v>38.44</v>
      </c>
      <c r="J101" s="163">
        <f>VLOOKUP($C101,$C$2:Y$14,J$16,FALSE)</f>
        <v>39.520000000000003</v>
      </c>
      <c r="K101" s="163">
        <f>VLOOKUP($C101,$C$2:Z$14,K$16,FALSE)</f>
        <v>39.909999999999997</v>
      </c>
      <c r="L101" s="163">
        <f>VLOOKUP($C101,$C$2:AA$14,L$16,FALSE)</f>
        <v>40.81</v>
      </c>
      <c r="M101" s="163">
        <f>VLOOKUP($C101,$C$2:AB$14,M$16,FALSE)</f>
        <v>40.19</v>
      </c>
      <c r="N101" s="163">
        <f>VLOOKUP($C101,$C$2:AC$14,N$16,FALSE)</f>
        <v>40.270000000000003</v>
      </c>
      <c r="O101" s="163">
        <f>VLOOKUP($C101,$C$2:AD$14,O$16,FALSE)</f>
        <v>44.78</v>
      </c>
      <c r="P101" s="163">
        <f>VLOOKUP($C101,$C$2:AE$14,P$16,FALSE)</f>
        <v>49.34</v>
      </c>
      <c r="Q101" s="163">
        <f>VLOOKUP($C101,$C$2:AF$14,Q$16,FALSE)</f>
        <v>49.29</v>
      </c>
      <c r="R101" s="163">
        <f>VLOOKUP($C101,$C$2:AG$14,R$16,FALSE)</f>
        <v>51</v>
      </c>
      <c r="S101" s="163">
        <f>VLOOKUP($C101,$C$2:AG$14,S$16,FALSE)</f>
        <v>53.01</v>
      </c>
      <c r="T101" s="163">
        <f>VLOOKUP($C101,$C$2:AH$14,T$16,FALSE)</f>
        <v>53.15</v>
      </c>
      <c r="U101" s="163">
        <f>VLOOKUP($C101,$C$2:AI$14,U$16,FALSE)</f>
        <v>55.33</v>
      </c>
      <c r="V101" s="161" t="s">
        <v>646</v>
      </c>
      <c r="W101" s="158">
        <f>SUMIF(_12MonLights_TariffRateCategory,W$33&amp;$V101,_12MonLights_Count)+SUMIF(_12MonLights_TariffRateCategory,W$33&amp;$V101,_12MonLights_Count_Adj)</f>
        <v>0</v>
      </c>
      <c r="X101" s="158">
        <f>SUMIF(_12MonLights_TariffRateCategory,X$33&amp;$V101,_12MonLights_Count)+SUMIF(_12MonLights_TariffRateCategory,X$33&amp;$V101,_12MonLights_Count_Adj)</f>
        <v>0</v>
      </c>
      <c r="Y101" s="158">
        <f>SUMIF(_12MonLights_TariffRateCategory,Y$33&amp;$V$101,_12MonLights_Count)-SUMIF(_12MonLights_TariffRateCategory,Y$33&amp;$V$101,_12MonLights_Count_Adj)</f>
        <v>0</v>
      </c>
      <c r="AA101" s="162">
        <f t="shared" si="25"/>
        <v>0</v>
      </c>
      <c r="AB101" s="162">
        <f>ROUND(X101*Q101,2)</f>
        <v>0</v>
      </c>
      <c r="AC101" s="162">
        <f t="shared" si="26"/>
        <v>0</v>
      </c>
      <c r="AD101" s="162">
        <f t="shared" si="35"/>
        <v>0</v>
      </c>
    </row>
    <row r="102" spans="2:30">
      <c r="B102" s="158">
        <v>2</v>
      </c>
      <c r="C102" s="158" t="str">
        <f>VLOOKUP(B102,$B$3:$C$14,2,FALSE)</f>
        <v>Twin Crossarm Bracket (incl.extra fixture)</v>
      </c>
      <c r="F102" s="163">
        <f>VLOOKUP($C102,$C$2:R$14,F$16,FALSE)</f>
        <v>16.52</v>
      </c>
      <c r="G102" s="163">
        <f>VLOOKUP($C102,$C$2:V$14,G$16,FALSE)</f>
        <v>16.96</v>
      </c>
      <c r="H102" s="163">
        <f>VLOOKUP($C102,$C$2:W$14,H$16,FALSE)</f>
        <v>18.12</v>
      </c>
      <c r="I102" s="163">
        <f>VLOOKUP($C102,$C$2:X$14,I$16,FALSE)</f>
        <v>18.12</v>
      </c>
      <c r="J102" s="163">
        <f>VLOOKUP($C102,$C$2:Y$14,J$16,FALSE)</f>
        <v>18.12</v>
      </c>
      <c r="K102" s="163">
        <f>VLOOKUP($C102,$C$2:Z$14,K$16,FALSE)</f>
        <v>18.12</v>
      </c>
      <c r="L102" s="163">
        <f>VLOOKUP($C102,$C$2:AA$14,L$16,FALSE)</f>
        <v>18.12</v>
      </c>
      <c r="M102" s="163">
        <f>VLOOKUP($C102,$C$2:AB$14,M$16,FALSE)</f>
        <v>17.96</v>
      </c>
      <c r="N102" s="163">
        <f>VLOOKUP($C102,$C$2:AC$14,N$16,FALSE)</f>
        <v>17.96</v>
      </c>
      <c r="O102" s="163">
        <f>VLOOKUP($C102,$C$2:AD$14,O$16,FALSE)</f>
        <v>17.96</v>
      </c>
      <c r="P102" s="163">
        <f>VLOOKUP($C102,$C$2:AE$14,P$16,FALSE)</f>
        <v>19.79</v>
      </c>
      <c r="Q102" s="163">
        <f>VLOOKUP($C102,$C$2:AF$14,Q$16,FALSE)</f>
        <v>19.79</v>
      </c>
      <c r="R102" s="163">
        <f>VLOOKUP($C102,$C$2:AG$14,R$16,FALSE)</f>
        <v>19.79</v>
      </c>
      <c r="S102" s="163">
        <f>VLOOKUP($C102,$C$2:AG$14,S$16,FALSE)</f>
        <v>20.57</v>
      </c>
      <c r="T102" s="163">
        <f>VLOOKUP($C102,$C$2:AH$14,T$16,FALSE)</f>
        <v>20.57</v>
      </c>
      <c r="U102" s="163">
        <f>VLOOKUP($C102,$C$2:AI$14,U$16,FALSE)</f>
        <v>20.57</v>
      </c>
      <c r="W102" s="158">
        <f t="shared" ref="W102:X104" si="36">W101</f>
        <v>0</v>
      </c>
      <c r="X102" s="158">
        <f t="shared" si="36"/>
        <v>0</v>
      </c>
      <c r="Y102" s="158">
        <f>SUMIF(_12MonLights_TariffRateCategory,Y$33&amp;$V$101,_12MonLights_Count)-SUMIF(_12MonLights_TariffRateCategory,Y$33&amp;$V$101,_12MonLights_Count_Adj)</f>
        <v>0</v>
      </c>
      <c r="AA102" s="162">
        <f t="shared" si="25"/>
        <v>0</v>
      </c>
      <c r="AB102" s="162">
        <f t="shared" si="28"/>
        <v>0</v>
      </c>
      <c r="AC102" s="162">
        <f t="shared" si="26"/>
        <v>0</v>
      </c>
      <c r="AD102" s="162">
        <f t="shared" si="35"/>
        <v>0</v>
      </c>
    </row>
    <row r="103" spans="2:30">
      <c r="B103" s="158">
        <v>4</v>
      </c>
      <c r="C103" s="158" t="str">
        <f>VLOOKUP(B103,$B$3:$C$14,2,FALSE)</f>
        <v>24" Clamp Banner Arm</v>
      </c>
      <c r="F103" s="163">
        <f>VLOOKUP($C103,$C$2:R$14,F$16,FALSE)</f>
        <v>0</v>
      </c>
      <c r="G103" s="163">
        <f>VLOOKUP($C103,$C$2:V$14,G$16,FALSE)</f>
        <v>3.67</v>
      </c>
      <c r="H103" s="163">
        <f>VLOOKUP($C103,$C$2:W$14,H$16,FALSE)</f>
        <v>3.9</v>
      </c>
      <c r="I103" s="163">
        <f>VLOOKUP($C103,$C$2:X$14,I$16,FALSE)</f>
        <v>3.9</v>
      </c>
      <c r="J103" s="163">
        <f>VLOOKUP($C103,$C$2:Y$14,J$16,FALSE)</f>
        <v>3.9</v>
      </c>
      <c r="K103" s="163">
        <f>VLOOKUP($C103,$C$2:Z$14,K$16,FALSE)</f>
        <v>3.9</v>
      </c>
      <c r="L103" s="163">
        <f>VLOOKUP($C103,$C$2:AA$14,L$16,FALSE)</f>
        <v>3.9</v>
      </c>
      <c r="M103" s="163">
        <f>VLOOKUP($C103,$C$2:AB$14,M$16,FALSE)</f>
        <v>3.87</v>
      </c>
      <c r="N103" s="163">
        <f>VLOOKUP($C103,$C$2:AC$14,N$16,FALSE)</f>
        <v>3.87</v>
      </c>
      <c r="O103" s="163">
        <f>VLOOKUP($C103,$C$2:AD$14,O$16,FALSE)</f>
        <v>3.87</v>
      </c>
      <c r="P103" s="163">
        <f>VLOOKUP($C103,$C$2:AE$14,P$16,FALSE)</f>
        <v>4.26</v>
      </c>
      <c r="Q103" s="163">
        <f>VLOOKUP($C103,$C$2:AF$14,Q$16,FALSE)</f>
        <v>4.26</v>
      </c>
      <c r="R103" s="163">
        <f>VLOOKUP($C103,$C$2:AG$14,R$16,FALSE)</f>
        <v>4.26</v>
      </c>
      <c r="S103" s="163">
        <f>VLOOKUP($C103,$C$2:AG$14,S$16,FALSE)</f>
        <v>4.43</v>
      </c>
      <c r="T103" s="163">
        <f>VLOOKUP($C103,$C$2:AH$14,T$16,FALSE)</f>
        <v>4.43</v>
      </c>
      <c r="U103" s="163">
        <f>VLOOKUP($C103,$C$2:AI$14,U$16,FALSE)</f>
        <v>4.43</v>
      </c>
      <c r="W103" s="158">
        <f t="shared" si="36"/>
        <v>0</v>
      </c>
      <c r="X103" s="158">
        <f t="shared" si="36"/>
        <v>0</v>
      </c>
      <c r="Y103" s="158">
        <f>SUMIF(_12MonLights_TariffRateCategory,Y$33&amp;$V$101,_12MonLights_Count)-SUMIF(_12MonLights_TariffRateCategory,Y$33&amp;$V$101,_12MonLights_Count_Adj)</f>
        <v>0</v>
      </c>
      <c r="AA103" s="162">
        <f t="shared" si="25"/>
        <v>0</v>
      </c>
      <c r="AB103" s="162">
        <f t="shared" si="28"/>
        <v>0</v>
      </c>
      <c r="AC103" s="162">
        <f t="shared" si="26"/>
        <v>0</v>
      </c>
      <c r="AD103" s="162">
        <f t="shared" si="35"/>
        <v>0</v>
      </c>
    </row>
    <row r="104" spans="2:30">
      <c r="B104" s="158">
        <v>4</v>
      </c>
      <c r="C104" s="158" t="str">
        <f>VLOOKUP(B104,$B$3:$C$14,2,FALSE)</f>
        <v>24" Clamp Banner Arm</v>
      </c>
      <c r="F104" s="163">
        <f>VLOOKUP($C104,$C$2:R$14,F$16,FALSE)</f>
        <v>0</v>
      </c>
      <c r="G104" s="163">
        <f>VLOOKUP($C104,$C$2:V$14,G$16,FALSE)</f>
        <v>3.67</v>
      </c>
      <c r="H104" s="163">
        <f>VLOOKUP($C104,$C$2:W$14,H$16,FALSE)</f>
        <v>3.9</v>
      </c>
      <c r="I104" s="163">
        <f>VLOOKUP($C104,$C$2:X$14,I$16,FALSE)</f>
        <v>3.9</v>
      </c>
      <c r="J104" s="163">
        <f>VLOOKUP($C104,$C$2:Y$14,J$16,FALSE)</f>
        <v>3.9</v>
      </c>
      <c r="K104" s="163">
        <f>VLOOKUP($C104,$C$2:Z$14,K$16,FALSE)</f>
        <v>3.9</v>
      </c>
      <c r="L104" s="163">
        <f>VLOOKUP($C104,$C$2:AA$14,L$16,FALSE)</f>
        <v>3.9</v>
      </c>
      <c r="M104" s="163">
        <f>VLOOKUP($C104,$C$2:AB$14,M$16,FALSE)</f>
        <v>3.87</v>
      </c>
      <c r="N104" s="163">
        <f>VLOOKUP($C104,$C$2:AC$14,N$16,FALSE)</f>
        <v>3.87</v>
      </c>
      <c r="O104" s="163">
        <f>VLOOKUP($C104,$C$2:AD$14,O$16,FALSE)</f>
        <v>3.87</v>
      </c>
      <c r="P104" s="163">
        <f>VLOOKUP($C104,$C$2:AE$14,P$16,FALSE)</f>
        <v>4.26</v>
      </c>
      <c r="Q104" s="163">
        <f>VLOOKUP($C104,$C$2:AF$14,Q$16,FALSE)</f>
        <v>4.26</v>
      </c>
      <c r="R104" s="163">
        <f>VLOOKUP($C104,$C$2:AG$14,R$16,FALSE)</f>
        <v>4.26</v>
      </c>
      <c r="S104" s="163">
        <f>VLOOKUP($C104,$C$2:AG$14,S$16,FALSE)</f>
        <v>4.43</v>
      </c>
      <c r="T104" s="163">
        <f>VLOOKUP($C104,$C$2:AH$14,T$16,FALSE)</f>
        <v>4.43</v>
      </c>
      <c r="U104" s="163">
        <f>VLOOKUP($C104,$C$2:AI$14,U$16,FALSE)</f>
        <v>4.43</v>
      </c>
      <c r="W104" s="158">
        <f t="shared" si="36"/>
        <v>0</v>
      </c>
      <c r="X104" s="158">
        <f t="shared" si="36"/>
        <v>0</v>
      </c>
      <c r="Y104" s="158">
        <f>SUMIF(_12MonLights_TariffRateCategory,Y$33&amp;$V$101,_12MonLights_Count)-SUMIF(_12MonLights_TariffRateCategory,Y$33&amp;$V$101,_12MonLights_Count_Adj)</f>
        <v>0</v>
      </c>
      <c r="AA104" s="162">
        <f t="shared" si="25"/>
        <v>0</v>
      </c>
      <c r="AB104" s="162">
        <f t="shared" si="28"/>
        <v>0</v>
      </c>
      <c r="AC104" s="162">
        <f t="shared" si="26"/>
        <v>0</v>
      </c>
      <c r="AD104" s="162">
        <f t="shared" si="35"/>
        <v>0</v>
      </c>
    </row>
    <row r="105" spans="2:30">
      <c r="B105" s="158">
        <v>0</v>
      </c>
      <c r="C105" s="158" t="str">
        <f>$C$2</f>
        <v>Pole &amp; Fixture SL</v>
      </c>
      <c r="F105" s="163">
        <f>VLOOKUP($C105,$C$2:R$14,F$16,FALSE)</f>
        <v>34.9</v>
      </c>
      <c r="G105" s="163">
        <f>VLOOKUP($C105,$C$2:V$14,G$16,FALSE)</f>
        <v>35.840000000000003</v>
      </c>
      <c r="H105" s="163">
        <f>VLOOKUP($C105,$C$2:W$14,H$16,FALSE)</f>
        <v>38.28</v>
      </c>
      <c r="I105" s="163">
        <f>VLOOKUP($C105,$C$2:X$14,I$16,FALSE)</f>
        <v>38.44</v>
      </c>
      <c r="J105" s="163">
        <f>VLOOKUP($C105,$C$2:Y$14,J$16,FALSE)</f>
        <v>39.520000000000003</v>
      </c>
      <c r="K105" s="163">
        <f>VLOOKUP($C105,$C$2:Z$14,K$16,FALSE)</f>
        <v>39.909999999999997</v>
      </c>
      <c r="L105" s="163">
        <f>VLOOKUP($C105,$C$2:AA$14,L$16,FALSE)</f>
        <v>40.81</v>
      </c>
      <c r="M105" s="163">
        <f>VLOOKUP($C105,$C$2:AB$14,M$16,FALSE)</f>
        <v>40.19</v>
      </c>
      <c r="N105" s="163">
        <f>VLOOKUP($C105,$C$2:AC$14,N$16,FALSE)</f>
        <v>40.270000000000003</v>
      </c>
      <c r="O105" s="163">
        <f>VLOOKUP($C105,$C$2:AD$14,O$16,FALSE)</f>
        <v>44.78</v>
      </c>
      <c r="P105" s="163">
        <f>VLOOKUP($C105,$C$2:AE$14,P$16,FALSE)</f>
        <v>49.34</v>
      </c>
      <c r="Q105" s="163">
        <f>VLOOKUP($C105,$C$2:AF$14,Q$16,FALSE)</f>
        <v>49.29</v>
      </c>
      <c r="R105" s="163">
        <f>VLOOKUP($C105,$C$2:AG$14,R$16,FALSE)</f>
        <v>51</v>
      </c>
      <c r="S105" s="163">
        <f>VLOOKUP($C105,$C$2:AG$14,S$16,FALSE)</f>
        <v>53.01</v>
      </c>
      <c r="T105" s="163">
        <f>VLOOKUP($C105,$C$2:AH$14,T$16,FALSE)</f>
        <v>53.15</v>
      </c>
      <c r="U105" s="163">
        <f>VLOOKUP($C105,$C$2:AI$14,U$16,FALSE)</f>
        <v>55.33</v>
      </c>
      <c r="V105" s="161" t="s">
        <v>647</v>
      </c>
      <c r="W105" s="158">
        <f>SUMIF(_12MonLights_TariffRateCategory,W$33&amp;$V105,_12MonLights_Count)+SUMIF(_12MonLights_TariffRateCategory,W$33&amp;$V105,_12MonLights_Count_Adj)</f>
        <v>0</v>
      </c>
      <c r="X105" s="158">
        <f>SUMIF(_12MonLights_TariffRateCategory,X$33&amp;$V105,_12MonLights_Count)+SUMIF(_12MonLights_TariffRateCategory,X$33&amp;$V105,_12MonLights_Count_Adj)</f>
        <v>0</v>
      </c>
      <c r="Y105" s="158">
        <f>SUMIF(_12MonLights_TariffRateCategory,Y$33&amp;$V$105,_12MonLights_Count)-SUMIF(_12MonLights_TariffRateCategory,Y$33&amp;$V$105,_12MonLights_Count_Adj)</f>
        <v>0</v>
      </c>
      <c r="AA105" s="162">
        <f t="shared" si="25"/>
        <v>0</v>
      </c>
      <c r="AB105" s="162">
        <f>ROUND(X105*Q105,2)</f>
        <v>0</v>
      </c>
      <c r="AC105" s="162">
        <f t="shared" si="26"/>
        <v>0</v>
      </c>
      <c r="AD105" s="162">
        <f t="shared" si="35"/>
        <v>0</v>
      </c>
    </row>
    <row r="106" spans="2:30">
      <c r="B106" s="158">
        <v>2</v>
      </c>
      <c r="C106" s="158" t="str">
        <f t="shared" ref="C106:C113" si="37">VLOOKUP(B106,$B$3:$C$14,2,FALSE)</f>
        <v>Twin Crossarm Bracket (incl.extra fixture)</v>
      </c>
      <c r="F106" s="163">
        <f>VLOOKUP($C106,$C$2:R$14,F$16,FALSE)</f>
        <v>16.52</v>
      </c>
      <c r="G106" s="163">
        <f>VLOOKUP($C106,$C$2:V$14,G$16,FALSE)</f>
        <v>16.96</v>
      </c>
      <c r="H106" s="163">
        <f>VLOOKUP($C106,$C$2:W$14,H$16,FALSE)</f>
        <v>18.12</v>
      </c>
      <c r="I106" s="163">
        <f>VLOOKUP($C106,$C$2:X$14,I$16,FALSE)</f>
        <v>18.12</v>
      </c>
      <c r="J106" s="163">
        <f>VLOOKUP($C106,$C$2:Y$14,J$16,FALSE)</f>
        <v>18.12</v>
      </c>
      <c r="K106" s="163">
        <f>VLOOKUP($C106,$C$2:Z$14,K$16,FALSE)</f>
        <v>18.12</v>
      </c>
      <c r="L106" s="163">
        <f>VLOOKUP($C106,$C$2:AA$14,L$16,FALSE)</f>
        <v>18.12</v>
      </c>
      <c r="M106" s="163">
        <f>VLOOKUP($C106,$C$2:AB$14,M$16,FALSE)</f>
        <v>17.96</v>
      </c>
      <c r="N106" s="163">
        <f>VLOOKUP($C106,$C$2:AC$14,N$16,FALSE)</f>
        <v>17.96</v>
      </c>
      <c r="O106" s="163">
        <f>VLOOKUP($C106,$C$2:AD$14,O$16,FALSE)</f>
        <v>17.96</v>
      </c>
      <c r="P106" s="163">
        <f>VLOOKUP($C106,$C$2:AE$14,P$16,FALSE)</f>
        <v>19.79</v>
      </c>
      <c r="Q106" s="163">
        <f>VLOOKUP($C106,$C$2:AF$14,Q$16,FALSE)</f>
        <v>19.79</v>
      </c>
      <c r="R106" s="163">
        <f>VLOOKUP($C106,$C$2:AG$14,R$16,FALSE)</f>
        <v>19.79</v>
      </c>
      <c r="S106" s="163">
        <f>VLOOKUP($C106,$C$2:AG$14,S$16,FALSE)</f>
        <v>20.57</v>
      </c>
      <c r="T106" s="163">
        <f>VLOOKUP($C106,$C$2:AH$14,T$16,FALSE)</f>
        <v>20.57</v>
      </c>
      <c r="U106" s="163">
        <f>VLOOKUP($C106,$C$2:AI$14,U$16,FALSE)</f>
        <v>20.57</v>
      </c>
      <c r="W106" s="158">
        <f t="shared" ref="W106:X109" si="38">W105</f>
        <v>0</v>
      </c>
      <c r="X106" s="158">
        <f t="shared" si="38"/>
        <v>0</v>
      </c>
      <c r="Y106" s="158">
        <f>SUMIF(_12MonLights_TariffRateCategory,Y$33&amp;$V$105,_12MonLights_Count)-SUMIF(_12MonLights_TariffRateCategory,Y$33&amp;$V$105,_12MonLights_Count_Adj)</f>
        <v>0</v>
      </c>
      <c r="AA106" s="162">
        <f t="shared" ref="AA106:AA113" si="39">ROUND(W106*S106,2)</f>
        <v>0</v>
      </c>
      <c r="AB106" s="162">
        <f t="shared" ref="AB106:AB113" si="40">X106*Q106</f>
        <v>0</v>
      </c>
      <c r="AC106" s="162">
        <f t="shared" ref="AC106:AC113" si="41">ROUND(Y106*U106,2)</f>
        <v>0</v>
      </c>
      <c r="AD106" s="162">
        <f t="shared" si="35"/>
        <v>0</v>
      </c>
    </row>
    <row r="107" spans="2:30">
      <c r="B107" s="158">
        <v>4</v>
      </c>
      <c r="C107" s="158" t="str">
        <f t="shared" si="37"/>
        <v>24" Clamp Banner Arm</v>
      </c>
      <c r="F107" s="163">
        <f>VLOOKUP($C107,$C$2:R$14,F$16,FALSE)</f>
        <v>0</v>
      </c>
      <c r="G107" s="163">
        <f>VLOOKUP($C107,$C$2:V$14,G$16,FALSE)</f>
        <v>3.67</v>
      </c>
      <c r="H107" s="163">
        <f>VLOOKUP($C107,$C$2:W$14,H$16,FALSE)</f>
        <v>3.9</v>
      </c>
      <c r="I107" s="163">
        <f>VLOOKUP($C107,$C$2:X$14,I$16,FALSE)</f>
        <v>3.9</v>
      </c>
      <c r="J107" s="163">
        <f>VLOOKUP($C107,$C$2:Y$14,J$16,FALSE)</f>
        <v>3.9</v>
      </c>
      <c r="K107" s="163">
        <f>VLOOKUP($C107,$C$2:Z$14,K$16,FALSE)</f>
        <v>3.9</v>
      </c>
      <c r="L107" s="163">
        <f>VLOOKUP($C107,$C$2:AA$14,L$16,FALSE)</f>
        <v>3.9</v>
      </c>
      <c r="M107" s="163">
        <f>VLOOKUP($C107,$C$2:AB$14,M$16,FALSE)</f>
        <v>3.87</v>
      </c>
      <c r="N107" s="163">
        <f>VLOOKUP($C107,$C$2:AC$14,N$16,FALSE)</f>
        <v>3.87</v>
      </c>
      <c r="O107" s="163">
        <f>VLOOKUP($C107,$C$2:AD$14,O$16,FALSE)</f>
        <v>3.87</v>
      </c>
      <c r="P107" s="163">
        <f>VLOOKUP($C107,$C$2:AE$14,P$16,FALSE)</f>
        <v>4.26</v>
      </c>
      <c r="Q107" s="163">
        <f>VLOOKUP($C107,$C$2:AF$14,Q$16,FALSE)</f>
        <v>4.26</v>
      </c>
      <c r="R107" s="163">
        <f>VLOOKUP($C107,$C$2:AG$14,R$16,FALSE)</f>
        <v>4.26</v>
      </c>
      <c r="S107" s="163">
        <f>VLOOKUP($C107,$C$2:AG$14,S$16,FALSE)</f>
        <v>4.43</v>
      </c>
      <c r="T107" s="163">
        <f>VLOOKUP($C107,$C$2:AH$14,T$16,FALSE)</f>
        <v>4.43</v>
      </c>
      <c r="U107" s="163">
        <f>VLOOKUP($C107,$C$2:AI$14,U$16,FALSE)</f>
        <v>4.43</v>
      </c>
      <c r="W107" s="158">
        <f t="shared" si="38"/>
        <v>0</v>
      </c>
      <c r="X107" s="158">
        <f t="shared" si="38"/>
        <v>0</v>
      </c>
      <c r="Y107" s="158">
        <f>SUMIF(_12MonLights_TariffRateCategory,Y$33&amp;$V$105,_12MonLights_Count)-SUMIF(_12MonLights_TariffRateCategory,Y$33&amp;$V$105,_12MonLights_Count_Adj)</f>
        <v>0</v>
      </c>
      <c r="AA107" s="162">
        <f t="shared" si="39"/>
        <v>0</v>
      </c>
      <c r="AB107" s="162">
        <f t="shared" si="40"/>
        <v>0</v>
      </c>
      <c r="AC107" s="162">
        <f t="shared" si="41"/>
        <v>0</v>
      </c>
      <c r="AD107" s="162">
        <f t="shared" si="35"/>
        <v>0</v>
      </c>
    </row>
    <row r="108" spans="2:30">
      <c r="B108" s="158">
        <v>4</v>
      </c>
      <c r="C108" s="158" t="str">
        <f t="shared" si="37"/>
        <v>24" Clamp Banner Arm</v>
      </c>
      <c r="F108" s="163">
        <f>VLOOKUP($C108,$C$2:R$14,F$16,FALSE)</f>
        <v>0</v>
      </c>
      <c r="G108" s="163">
        <f>VLOOKUP($C108,$C$2:V$14,G$16,FALSE)</f>
        <v>3.67</v>
      </c>
      <c r="H108" s="163">
        <f>VLOOKUP($C108,$C$2:W$14,H$16,FALSE)</f>
        <v>3.9</v>
      </c>
      <c r="I108" s="163">
        <f>VLOOKUP($C108,$C$2:X$14,I$16,FALSE)</f>
        <v>3.9</v>
      </c>
      <c r="J108" s="163">
        <f>VLOOKUP($C108,$C$2:Y$14,J$16,FALSE)</f>
        <v>3.9</v>
      </c>
      <c r="K108" s="163">
        <f>VLOOKUP($C108,$C$2:Z$14,K$16,FALSE)</f>
        <v>3.9</v>
      </c>
      <c r="L108" s="163">
        <f>VLOOKUP($C108,$C$2:AA$14,L$16,FALSE)</f>
        <v>3.9</v>
      </c>
      <c r="M108" s="163">
        <f>VLOOKUP($C108,$C$2:AB$14,M$16,FALSE)</f>
        <v>3.87</v>
      </c>
      <c r="N108" s="163">
        <f>VLOOKUP($C108,$C$2:AC$14,N$16,FALSE)</f>
        <v>3.87</v>
      </c>
      <c r="O108" s="163">
        <f>VLOOKUP($C108,$C$2:AD$14,O$16,FALSE)</f>
        <v>3.87</v>
      </c>
      <c r="P108" s="163">
        <f>VLOOKUP($C108,$C$2:AE$14,P$16,FALSE)</f>
        <v>4.26</v>
      </c>
      <c r="Q108" s="163">
        <f>VLOOKUP($C108,$C$2:AF$14,Q$16,FALSE)</f>
        <v>4.26</v>
      </c>
      <c r="R108" s="163">
        <f>VLOOKUP($C108,$C$2:AG$14,R$16,FALSE)</f>
        <v>4.26</v>
      </c>
      <c r="S108" s="163">
        <f>VLOOKUP($C108,$C$2:AG$14,S$16,FALSE)</f>
        <v>4.43</v>
      </c>
      <c r="T108" s="163">
        <f>VLOOKUP($C108,$C$2:AH$14,T$16,FALSE)</f>
        <v>4.43</v>
      </c>
      <c r="U108" s="163">
        <f>VLOOKUP($C108,$C$2:AI$14,U$16,FALSE)</f>
        <v>4.43</v>
      </c>
      <c r="W108" s="158">
        <f t="shared" si="38"/>
        <v>0</v>
      </c>
      <c r="X108" s="158">
        <f t="shared" si="38"/>
        <v>0</v>
      </c>
      <c r="Y108" s="158">
        <f>SUMIF(_12MonLights_TariffRateCategory,Y$33&amp;$V$105,_12MonLights_Count)-SUMIF(_12MonLights_TariffRateCategory,Y$33&amp;$V$105,_12MonLights_Count_Adj)</f>
        <v>0</v>
      </c>
      <c r="AA108" s="162">
        <f t="shared" si="39"/>
        <v>0</v>
      </c>
      <c r="AB108" s="162">
        <f t="shared" si="40"/>
        <v>0</v>
      </c>
      <c r="AC108" s="162">
        <f t="shared" si="41"/>
        <v>0</v>
      </c>
      <c r="AD108" s="162">
        <f t="shared" si="35"/>
        <v>0</v>
      </c>
    </row>
    <row r="109" spans="2:30">
      <c r="B109" s="158">
        <v>6</v>
      </c>
      <c r="C109" s="158" t="str">
        <f t="shared" si="37"/>
        <v>Flagpole Holder</v>
      </c>
      <c r="F109" s="163">
        <f>VLOOKUP($C109,$C$2:R$14,F$16,FALSE)</f>
        <v>1.0900000000000001</v>
      </c>
      <c r="G109" s="163">
        <f>VLOOKUP($C109,$C$2:V$14,G$16,FALSE)</f>
        <v>1.1200000000000001</v>
      </c>
      <c r="H109" s="163">
        <f>VLOOKUP($C109,$C$2:W$14,H$16,FALSE)</f>
        <v>1.2</v>
      </c>
      <c r="I109" s="163">
        <f>VLOOKUP($C109,$C$2:X$14,I$16,FALSE)</f>
        <v>1.2</v>
      </c>
      <c r="J109" s="163">
        <f>VLOOKUP($C109,$C$2:Y$14,J$16,FALSE)</f>
        <v>1.2</v>
      </c>
      <c r="K109" s="163">
        <f>VLOOKUP($C109,$C$2:Z$14,K$16,FALSE)</f>
        <v>1.2</v>
      </c>
      <c r="L109" s="163">
        <f>VLOOKUP($C109,$C$2:AA$14,L$16,FALSE)</f>
        <v>1.2</v>
      </c>
      <c r="M109" s="163">
        <f>VLOOKUP($C109,$C$2:AB$14,M$16,FALSE)</f>
        <v>1.19</v>
      </c>
      <c r="N109" s="163">
        <f>VLOOKUP($C109,$C$2:AC$14,N$16,FALSE)</f>
        <v>1.19</v>
      </c>
      <c r="O109" s="163">
        <f>VLOOKUP($C109,$C$2:AD$14,O$16,FALSE)</f>
        <v>1.19</v>
      </c>
      <c r="P109" s="163">
        <f>VLOOKUP($C109,$C$2:AE$14,P$16,FALSE)</f>
        <v>1.31</v>
      </c>
      <c r="Q109" s="163">
        <f>VLOOKUP($C109,$C$2:AF$14,Q$16,FALSE)</f>
        <v>1.31</v>
      </c>
      <c r="R109" s="163">
        <f>VLOOKUP($C109,$C$2:AG$14,R$16,FALSE)</f>
        <v>1.31</v>
      </c>
      <c r="S109" s="163">
        <f>VLOOKUP($C109,$C$2:AG$14,S$16,FALSE)</f>
        <v>1.36</v>
      </c>
      <c r="T109" s="163">
        <f>VLOOKUP($C109,$C$2:AH$14,T$16,FALSE)</f>
        <v>1.36</v>
      </c>
      <c r="U109" s="163">
        <f>VLOOKUP($C109,$C$2:AI$14,U$16,FALSE)</f>
        <v>1.36</v>
      </c>
      <c r="W109" s="158">
        <f t="shared" si="38"/>
        <v>0</v>
      </c>
      <c r="X109" s="158">
        <f t="shared" si="38"/>
        <v>0</v>
      </c>
      <c r="Y109" s="158">
        <f>SUMIF(_12MonLights_TariffRateCategory,Y$33&amp;$V$105,_12MonLights_Count)-SUMIF(_12MonLights_TariffRateCategory,Y$33&amp;$V$105,_12MonLights_Count_Adj)</f>
        <v>0</v>
      </c>
      <c r="AA109" s="162">
        <f t="shared" si="39"/>
        <v>0</v>
      </c>
      <c r="AB109" s="162">
        <f t="shared" si="40"/>
        <v>0</v>
      </c>
      <c r="AC109" s="162">
        <f t="shared" si="41"/>
        <v>0</v>
      </c>
      <c r="AD109" s="162">
        <f t="shared" si="35"/>
        <v>0</v>
      </c>
    </row>
    <row r="110" spans="2:30">
      <c r="B110" s="158">
        <v>0</v>
      </c>
      <c r="C110" s="158" t="str">
        <f>$C$2</f>
        <v>Pole &amp; Fixture SL</v>
      </c>
      <c r="F110" s="163">
        <f>VLOOKUP($C110,$C$2:R$14,F$16,FALSE)</f>
        <v>34.9</v>
      </c>
      <c r="G110" s="163">
        <f>VLOOKUP($C110,$C$2:V$14,G$16,FALSE)</f>
        <v>35.840000000000003</v>
      </c>
      <c r="H110" s="163">
        <f>VLOOKUP($C110,$C$2:W$14,H$16,FALSE)</f>
        <v>38.28</v>
      </c>
      <c r="I110" s="163">
        <f>VLOOKUP($C110,$C$2:X$14,I$16,FALSE)</f>
        <v>38.44</v>
      </c>
      <c r="J110" s="163">
        <f>VLOOKUP($C110,$C$2:Y$14,J$16,FALSE)</f>
        <v>39.520000000000003</v>
      </c>
      <c r="K110" s="163">
        <f>VLOOKUP($C110,$C$2:Z$14,K$16,FALSE)</f>
        <v>39.909999999999997</v>
      </c>
      <c r="L110" s="163">
        <f>VLOOKUP($C110,$C$2:AA$14,L$16,FALSE)</f>
        <v>40.81</v>
      </c>
      <c r="M110" s="163">
        <f>VLOOKUP($C110,$C$2:AB$14,M$16,FALSE)</f>
        <v>40.19</v>
      </c>
      <c r="N110" s="163">
        <f>VLOOKUP($C110,$C$2:AC$14,N$16,FALSE)</f>
        <v>40.270000000000003</v>
      </c>
      <c r="O110" s="163">
        <f>VLOOKUP($C110,$C$2:AD$14,O$16,FALSE)</f>
        <v>44.78</v>
      </c>
      <c r="P110" s="163">
        <f>VLOOKUP($C110,$C$2:AE$14,P$16,FALSE)</f>
        <v>49.34</v>
      </c>
      <c r="Q110" s="163">
        <f>VLOOKUP($C110,$C$2:AF$14,Q$16,FALSE)</f>
        <v>49.29</v>
      </c>
      <c r="R110" s="163">
        <f>VLOOKUP($C110,$C$2:AG$14,R$16,FALSE)</f>
        <v>51</v>
      </c>
      <c r="S110" s="163">
        <f>VLOOKUP($C110,$C$2:AG$14,S$16,FALSE)</f>
        <v>53.01</v>
      </c>
      <c r="T110" s="163">
        <f>VLOOKUP($C110,$C$2:AH$14,T$16,FALSE)</f>
        <v>53.15</v>
      </c>
      <c r="U110" s="163">
        <f>VLOOKUP($C110,$C$2:AI$14,U$16,FALSE)</f>
        <v>55.33</v>
      </c>
      <c r="V110" s="158" t="s">
        <v>648</v>
      </c>
      <c r="W110" s="158">
        <f>SUMIF(_12MonLights_TariffRateCategory,W$33&amp;$V110,_12MonLights_Count)+SUMIF(_12MonLights_TariffRateCategory,W$33&amp;$V110,_12MonLights_Count_Adj)</f>
        <v>0</v>
      </c>
      <c r="X110" s="158">
        <f>SUMIF(_12MonLights_TariffRateCategory,X$33&amp;$V110,_12MonLights_Count)+SUMIF(_12MonLights_TariffRateCategory,X$33&amp;$V110,_12MonLights_Count_Adj)</f>
        <v>0</v>
      </c>
      <c r="Y110" s="158">
        <f>SUMIF(_12MonLights_TariffRateCategory,Y$33&amp;$V$110,_12MonLights_Count)-SUMIF(_12MonLights_TariffRateCategory,Y$33&amp;$V$110,_12MonLights_Count_Adj)</f>
        <v>0</v>
      </c>
      <c r="AA110" s="162">
        <f t="shared" si="39"/>
        <v>0</v>
      </c>
      <c r="AB110" s="162">
        <f>ROUND(X110*Q110,2)</f>
        <v>0</v>
      </c>
      <c r="AC110" s="162">
        <f t="shared" si="41"/>
        <v>0</v>
      </c>
      <c r="AD110" s="162">
        <f t="shared" si="35"/>
        <v>0</v>
      </c>
    </row>
    <row r="111" spans="2:30">
      <c r="B111" s="158">
        <v>2</v>
      </c>
      <c r="C111" s="158" t="str">
        <f t="shared" si="37"/>
        <v>Twin Crossarm Bracket (incl.extra fixture)</v>
      </c>
      <c r="F111" s="163">
        <f>VLOOKUP($C111,$C$2:R$14,F$16,FALSE)</f>
        <v>16.52</v>
      </c>
      <c r="G111" s="163">
        <f>VLOOKUP($C111,$C$2:V$14,G$16,FALSE)</f>
        <v>16.96</v>
      </c>
      <c r="H111" s="163">
        <f>VLOOKUP($C111,$C$2:W$14,H$16,FALSE)</f>
        <v>18.12</v>
      </c>
      <c r="I111" s="163">
        <f>VLOOKUP($C111,$C$2:X$14,I$16,FALSE)</f>
        <v>18.12</v>
      </c>
      <c r="J111" s="163">
        <f>VLOOKUP($C111,$C$2:Y$14,J$16,FALSE)</f>
        <v>18.12</v>
      </c>
      <c r="K111" s="163">
        <f>VLOOKUP($C111,$C$2:Z$14,K$16,FALSE)</f>
        <v>18.12</v>
      </c>
      <c r="L111" s="163">
        <f>VLOOKUP($C111,$C$2:AA$14,L$16,FALSE)</f>
        <v>18.12</v>
      </c>
      <c r="M111" s="163">
        <f>VLOOKUP($C111,$C$2:AB$14,M$16,FALSE)</f>
        <v>17.96</v>
      </c>
      <c r="N111" s="163">
        <f>VLOOKUP($C111,$C$2:AC$14,N$16,FALSE)</f>
        <v>17.96</v>
      </c>
      <c r="O111" s="163">
        <f>VLOOKUP($C111,$C$2:AD$14,O$16,FALSE)</f>
        <v>17.96</v>
      </c>
      <c r="P111" s="163">
        <f>VLOOKUP($C111,$C$2:AE$14,P$16,FALSE)</f>
        <v>19.79</v>
      </c>
      <c r="Q111" s="163">
        <f>VLOOKUP($C111,$C$2:AF$14,Q$16,FALSE)</f>
        <v>19.79</v>
      </c>
      <c r="R111" s="163">
        <f>VLOOKUP($C111,$C$2:AG$14,R$16,FALSE)</f>
        <v>19.79</v>
      </c>
      <c r="S111" s="163">
        <f>VLOOKUP($C111,$C$2:AG$14,S$16,FALSE)</f>
        <v>20.57</v>
      </c>
      <c r="T111" s="163">
        <f>VLOOKUP($C111,$C$2:AH$14,T$16,FALSE)</f>
        <v>20.57</v>
      </c>
      <c r="U111" s="163">
        <f>VLOOKUP($C111,$C$2:AI$14,U$16,FALSE)</f>
        <v>20.57</v>
      </c>
      <c r="W111" s="158">
        <f t="shared" ref="W111:X113" si="42">W110</f>
        <v>0</v>
      </c>
      <c r="X111" s="158">
        <f t="shared" si="42"/>
        <v>0</v>
      </c>
      <c r="Y111" s="158">
        <f>SUMIF(_12MonLights_TariffRateCategory,Y$33&amp;$V$110,_12MonLights_Count)-SUMIF(_12MonLights_TariffRateCategory,Y$33&amp;$V$110,_12MonLights_Count_Adj)</f>
        <v>0</v>
      </c>
      <c r="AA111" s="162">
        <f t="shared" si="39"/>
        <v>0</v>
      </c>
      <c r="AB111" s="162">
        <f t="shared" si="40"/>
        <v>0</v>
      </c>
      <c r="AC111" s="162">
        <f t="shared" si="41"/>
        <v>0</v>
      </c>
      <c r="AD111" s="162">
        <f t="shared" si="35"/>
        <v>0</v>
      </c>
    </row>
    <row r="112" spans="2:30">
      <c r="B112" s="158">
        <v>5</v>
      </c>
      <c r="C112" s="158" t="str">
        <f t="shared" si="37"/>
        <v>18" Banner Arm (each)</v>
      </c>
      <c r="F112" s="163">
        <f>VLOOKUP($C112,$C$2:R$14,F$16,FALSE)</f>
        <v>2.37</v>
      </c>
      <c r="G112" s="163">
        <f>VLOOKUP($C112,$C$2:V$14,G$16,FALSE)</f>
        <v>2.4300000000000002</v>
      </c>
      <c r="H112" s="163">
        <f>VLOOKUP($C112,$C$2:W$14,H$16,FALSE)</f>
        <v>2.6</v>
      </c>
      <c r="I112" s="163">
        <f>VLOOKUP($C112,$C$2:X$14,I$16,FALSE)</f>
        <v>2.6</v>
      </c>
      <c r="J112" s="163">
        <f>VLOOKUP($C112,$C$2:Y$14,J$16,FALSE)</f>
        <v>2.6</v>
      </c>
      <c r="K112" s="163">
        <f>VLOOKUP($C112,$C$2:Z$14,K$16,FALSE)</f>
        <v>2.6</v>
      </c>
      <c r="L112" s="163">
        <f>VLOOKUP($C112,$C$2:AA$14,L$16,FALSE)</f>
        <v>2.6</v>
      </c>
      <c r="M112" s="163">
        <f>VLOOKUP($C112,$C$2:AB$14,M$16,FALSE)</f>
        <v>2.58</v>
      </c>
      <c r="N112" s="163">
        <f>VLOOKUP($C112,$C$2:AC$14,N$16,FALSE)</f>
        <v>2.58</v>
      </c>
      <c r="O112" s="163">
        <f>VLOOKUP($C112,$C$2:AD$14,O$16,FALSE)</f>
        <v>2.58</v>
      </c>
      <c r="P112" s="163">
        <f>VLOOKUP($C112,$C$2:AE$14,P$16,FALSE)</f>
        <v>2.84</v>
      </c>
      <c r="Q112" s="163">
        <f>VLOOKUP($C112,$C$2:AF$14,Q$16,FALSE)</f>
        <v>2.84</v>
      </c>
      <c r="R112" s="163">
        <f>VLOOKUP($C112,$C$2:AG$14,R$16,FALSE)</f>
        <v>2.84</v>
      </c>
      <c r="S112" s="163">
        <f>VLOOKUP($C112,$C$2:AG$14,S$16,FALSE)</f>
        <v>2.95</v>
      </c>
      <c r="T112" s="163">
        <f>VLOOKUP($C112,$C$2:AH$14,T$16,FALSE)</f>
        <v>2.95</v>
      </c>
      <c r="U112" s="163">
        <f>VLOOKUP($C112,$C$2:AI$14,U$16,FALSE)</f>
        <v>2.95</v>
      </c>
      <c r="W112" s="158">
        <f t="shared" si="42"/>
        <v>0</v>
      </c>
      <c r="X112" s="158">
        <f t="shared" si="42"/>
        <v>0</v>
      </c>
      <c r="Y112" s="158">
        <f>SUMIF(_12MonLights_TariffRateCategory,Y$33&amp;$V$110,_12MonLights_Count)-SUMIF(_12MonLights_TariffRateCategory,Y$33&amp;$V$110,_12MonLights_Count_Adj)</f>
        <v>0</v>
      </c>
      <c r="AA112" s="162">
        <f t="shared" si="39"/>
        <v>0</v>
      </c>
      <c r="AB112" s="162">
        <f t="shared" si="40"/>
        <v>0</v>
      </c>
      <c r="AC112" s="162">
        <f t="shared" si="41"/>
        <v>0</v>
      </c>
      <c r="AD112" s="162">
        <f t="shared" si="35"/>
        <v>0</v>
      </c>
    </row>
    <row r="113" spans="2:30">
      <c r="B113" s="158">
        <v>5</v>
      </c>
      <c r="C113" s="158" t="str">
        <f t="shared" si="37"/>
        <v>18" Banner Arm (each)</v>
      </c>
      <c r="F113" s="163">
        <f>VLOOKUP($C113,$C$2:R$14,F$16,FALSE)</f>
        <v>2.37</v>
      </c>
      <c r="G113" s="163">
        <f>VLOOKUP($C113,$C$2:V$14,G$16,FALSE)</f>
        <v>2.4300000000000002</v>
      </c>
      <c r="H113" s="163">
        <f>VLOOKUP($C113,$C$2:W$14,H$16,FALSE)</f>
        <v>2.6</v>
      </c>
      <c r="I113" s="163">
        <f>VLOOKUP($C113,$C$2:X$14,I$16,FALSE)</f>
        <v>2.6</v>
      </c>
      <c r="J113" s="163">
        <f>VLOOKUP($C113,$C$2:Y$14,J$16,FALSE)</f>
        <v>2.6</v>
      </c>
      <c r="K113" s="163">
        <f>VLOOKUP($C113,$C$2:Z$14,K$16,FALSE)</f>
        <v>2.6</v>
      </c>
      <c r="L113" s="163">
        <f>VLOOKUP($C113,$C$2:AA$14,L$16,FALSE)</f>
        <v>2.6</v>
      </c>
      <c r="M113" s="163">
        <f>VLOOKUP($C113,$C$2:AB$14,M$16,FALSE)</f>
        <v>2.58</v>
      </c>
      <c r="N113" s="163">
        <f>VLOOKUP($C113,$C$2:AC$14,N$16,FALSE)</f>
        <v>2.58</v>
      </c>
      <c r="O113" s="163">
        <f>VLOOKUP($C113,$C$2:AD$14,O$16,FALSE)</f>
        <v>2.58</v>
      </c>
      <c r="P113" s="163">
        <f>VLOOKUP($C113,$C$2:AE$14,P$16,FALSE)</f>
        <v>2.84</v>
      </c>
      <c r="Q113" s="163">
        <f>VLOOKUP($C113,$C$2:AF$14,Q$16,FALSE)</f>
        <v>2.84</v>
      </c>
      <c r="R113" s="163">
        <f>VLOOKUP($C113,$C$2:AG$14,R$16,FALSE)</f>
        <v>2.84</v>
      </c>
      <c r="S113" s="163">
        <f>VLOOKUP($C113,$C$2:AG$14,S$16,FALSE)</f>
        <v>2.95</v>
      </c>
      <c r="T113" s="163">
        <f>VLOOKUP($C113,$C$2:AH$14,T$16,FALSE)</f>
        <v>2.95</v>
      </c>
      <c r="U113" s="163">
        <f>VLOOKUP($C113,$C$2:AI$14,U$16,FALSE)</f>
        <v>2.95</v>
      </c>
      <c r="W113" s="158">
        <f t="shared" si="42"/>
        <v>0</v>
      </c>
      <c r="X113" s="158">
        <f t="shared" si="42"/>
        <v>0</v>
      </c>
      <c r="Y113" s="158">
        <f>SUMIF(_12MonLights_TariffRateCategory,Y$33&amp;$V$110,_12MonLights_Count)-SUMIF(_12MonLights_TariffRateCategory,Y$33&amp;$V$110,_12MonLights_Count_Adj)</f>
        <v>0</v>
      </c>
      <c r="AA113" s="162">
        <f t="shared" si="39"/>
        <v>0</v>
      </c>
      <c r="AB113" s="162">
        <f t="shared" si="40"/>
        <v>0</v>
      </c>
      <c r="AC113" s="162">
        <f t="shared" si="41"/>
        <v>0</v>
      </c>
      <c r="AD113" s="162">
        <f t="shared" si="35"/>
        <v>0</v>
      </c>
    </row>
  </sheetData>
  <autoFilter ref="B40:B113"/>
  <mergeCells count="2">
    <mergeCell ref="W39:Y39"/>
    <mergeCell ref="AA39:AD39"/>
  </mergeCell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15"/>
  <sheetViews>
    <sheetView workbookViewId="0">
      <selection activeCell="U9" sqref="U9"/>
    </sheetView>
  </sheetViews>
  <sheetFormatPr defaultRowHeight="12"/>
  <cols>
    <col min="1" max="1" width="17.6640625" customWidth="1"/>
    <col min="2" max="2" width="16.83203125" bestFit="1" customWidth="1"/>
    <col min="3" max="4" width="10.1640625" bestFit="1" customWidth="1"/>
    <col min="6" max="6" width="23.83203125" bestFit="1" customWidth="1"/>
    <col min="11" max="11" width="10.1640625" bestFit="1" customWidth="1"/>
    <col min="23" max="23" width="11.6640625" bestFit="1" customWidth="1"/>
    <col min="27" max="27" width="11.6640625" bestFit="1" customWidth="1"/>
    <col min="34" max="34" width="10" bestFit="1" customWidth="1"/>
    <col min="35" max="35" width="9.5" bestFit="1" customWidth="1"/>
  </cols>
  <sheetData>
    <row r="1" spans="1:35">
      <c r="A1" t="s">
        <v>80</v>
      </c>
      <c r="C1" t="s">
        <v>81</v>
      </c>
      <c r="D1" s="4">
        <f>EOMONTH(F1,-12)+1</f>
        <v>41699</v>
      </c>
      <c r="E1" t="s">
        <v>30</v>
      </c>
      <c r="F1" s="203">
        <v>42063</v>
      </c>
    </row>
    <row r="2" spans="1:35">
      <c r="F2" s="4"/>
      <c r="J2" s="12"/>
    </row>
    <row r="3" spans="1:35" ht="36">
      <c r="A3" s="12" t="s">
        <v>99</v>
      </c>
      <c r="C3" s="34"/>
      <c r="D3" s="34"/>
      <c r="E3" s="34"/>
      <c r="F3" s="168"/>
      <c r="G3" s="34"/>
      <c r="H3" s="34"/>
      <c r="I3" s="168"/>
      <c r="J3" s="34"/>
      <c r="K3" s="34"/>
      <c r="L3" s="168"/>
      <c r="M3" s="34"/>
      <c r="N3" s="34"/>
      <c r="O3" s="168"/>
      <c r="P3" s="34"/>
      <c r="Q3" s="34"/>
      <c r="R3" s="2"/>
      <c r="S3" s="2"/>
      <c r="T3" s="2" t="s">
        <v>1444</v>
      </c>
      <c r="U3" s="2" t="s">
        <v>1445</v>
      </c>
      <c r="V3" s="2"/>
      <c r="W3" s="2" t="s">
        <v>685</v>
      </c>
      <c r="X3" s="2" t="s">
        <v>686</v>
      </c>
      <c r="Y3" s="2"/>
      <c r="Z3" s="2"/>
    </row>
    <row r="4" spans="1:35" ht="24">
      <c r="B4" t="s">
        <v>1347</v>
      </c>
      <c r="C4" s="33" t="s">
        <v>709</v>
      </c>
      <c r="D4" s="400" t="s">
        <v>1348</v>
      </c>
      <c r="E4" s="169" t="s">
        <v>731</v>
      </c>
      <c r="F4" s="33"/>
      <c r="G4" s="33"/>
      <c r="H4" s="169"/>
      <c r="I4" s="33"/>
      <c r="J4" s="33"/>
      <c r="K4" s="169"/>
      <c r="L4" s="33"/>
      <c r="M4" s="33"/>
      <c r="N4" s="169"/>
      <c r="O4" s="33"/>
      <c r="P4" s="33"/>
      <c r="Q4" s="169"/>
      <c r="T4">
        <v>20140101</v>
      </c>
      <c r="U4" t="s">
        <v>15</v>
      </c>
      <c r="V4">
        <v>1</v>
      </c>
      <c r="W4" s="206" t="s">
        <v>168</v>
      </c>
      <c r="X4">
        <f>ROW()</f>
        <v>4</v>
      </c>
      <c r="Y4" s="205" t="s">
        <v>19</v>
      </c>
      <c r="AB4">
        <v>1</v>
      </c>
      <c r="AC4" s="12" t="s">
        <v>432</v>
      </c>
      <c r="AE4" s="205" t="s">
        <v>1035</v>
      </c>
    </row>
    <row r="5" spans="1:35" ht="12.75" thickBot="1">
      <c r="A5" s="53">
        <f>IF(A64=MONTH($F$1),$F$1,IF(A64&lt;MONTH($F$1),EOMONTH(A6,-1),IF(A64=MONTH($F$1)+1,EOMONTH(A4,-11),EOMONTH(A4,1))))</f>
        <v>42035</v>
      </c>
      <c r="B5" s="1" t="str">
        <f>TEXT(A5,"mmm yyyy")</f>
        <v>Jan 2015</v>
      </c>
      <c r="C5" s="34"/>
      <c r="D5" s="34">
        <v>2.8920000000000001E-2</v>
      </c>
      <c r="E5" s="34">
        <f>C5+D5-0.02892</f>
        <v>0</v>
      </c>
      <c r="F5" s="34"/>
      <c r="G5" s="34"/>
      <c r="H5" s="34"/>
      <c r="I5" s="34"/>
      <c r="J5" s="34"/>
      <c r="K5" s="34"/>
      <c r="L5" s="34"/>
      <c r="M5" s="34"/>
      <c r="N5" s="34"/>
      <c r="O5" s="34"/>
      <c r="P5" s="34"/>
      <c r="Q5" s="34"/>
      <c r="U5" s="12" t="s">
        <v>807</v>
      </c>
      <c r="V5">
        <f>V4+1</f>
        <v>2</v>
      </c>
      <c r="W5" s="207" t="s">
        <v>169</v>
      </c>
      <c r="X5">
        <f>ROW()</f>
        <v>5</v>
      </c>
      <c r="Y5" s="205" t="s">
        <v>26</v>
      </c>
      <c r="AB5">
        <f>AB4+1</f>
        <v>2</v>
      </c>
      <c r="AC5" s="12" t="s">
        <v>433</v>
      </c>
      <c r="AE5" s="205" t="s">
        <v>1035</v>
      </c>
    </row>
    <row r="6" spans="1:35" ht="12.75" thickBot="1">
      <c r="A6" s="53">
        <f t="shared" ref="A6:A16" si="0">IF(A65=MONTH($F$1),$F$1,IF(A65&lt;MONTH($F$1),EOMONTH(A7,-1),IF(A65=MONTH($F$1)+1,EOMONTH(A5,-11),EOMONTH(A5,1))))</f>
        <v>42063</v>
      </c>
      <c r="B6" s="1" t="str">
        <f t="shared" ref="B6:B18" si="1">TEXT(A6,"mmm yyyy")</f>
        <v>Feb 2015</v>
      </c>
      <c r="C6" s="34"/>
      <c r="D6" s="34">
        <v>2.8920000000000001E-2</v>
      </c>
      <c r="E6" s="34">
        <f t="shared" ref="E6:E18" si="2">C6+D6-0.02892</f>
        <v>0</v>
      </c>
      <c r="F6" s="34"/>
      <c r="G6" s="34"/>
      <c r="H6" s="34"/>
      <c r="I6" s="34"/>
      <c r="J6" s="34"/>
      <c r="K6" s="34"/>
      <c r="L6" s="34"/>
      <c r="M6" s="34"/>
      <c r="N6" s="34"/>
      <c r="O6" s="34"/>
      <c r="P6" s="34"/>
      <c r="Q6" s="34"/>
      <c r="U6" t="s">
        <v>224</v>
      </c>
      <c r="V6">
        <f t="shared" ref="V6:V42" si="3">V5+1</f>
        <v>3</v>
      </c>
      <c r="W6" s="208" t="s">
        <v>170</v>
      </c>
      <c r="X6">
        <f>ROW()</f>
        <v>6</v>
      </c>
      <c r="Y6" s="205" t="s">
        <v>25</v>
      </c>
      <c r="AB6">
        <f>AB5+1</f>
        <v>3</v>
      </c>
      <c r="AC6" t="s">
        <v>339</v>
      </c>
      <c r="AE6" s="205" t="s">
        <v>1035</v>
      </c>
      <c r="AF6" s="24" t="s">
        <v>339</v>
      </c>
      <c r="AG6" t="str">
        <f>IF(AC6=AF6,"","err")</f>
        <v/>
      </c>
      <c r="AI6" s="25"/>
    </row>
    <row r="7" spans="1:35" ht="12.75" thickBot="1">
      <c r="A7" s="53">
        <f t="shared" si="0"/>
        <v>41729</v>
      </c>
      <c r="B7" s="1" t="str">
        <f t="shared" si="1"/>
        <v>Mar 2014</v>
      </c>
      <c r="C7" s="34"/>
      <c r="D7" s="34">
        <v>2.8920000000000001E-2</v>
      </c>
      <c r="E7" s="34">
        <f t="shared" si="2"/>
        <v>0</v>
      </c>
      <c r="F7" s="34"/>
      <c r="G7" s="34"/>
      <c r="H7" s="34"/>
      <c r="I7" s="34"/>
      <c r="J7" s="34"/>
      <c r="K7" s="34"/>
      <c r="L7" s="34"/>
      <c r="M7" s="34"/>
      <c r="N7" s="34"/>
      <c r="O7" s="34"/>
      <c r="P7" s="34"/>
      <c r="Q7" s="34"/>
      <c r="U7" t="s">
        <v>18</v>
      </c>
      <c r="V7">
        <f t="shared" si="3"/>
        <v>4</v>
      </c>
      <c r="W7" s="206" t="s">
        <v>171</v>
      </c>
      <c r="X7">
        <f>ROW()</f>
        <v>7</v>
      </c>
      <c r="Y7" s="205" t="s">
        <v>221</v>
      </c>
      <c r="AB7">
        <f>AB6+1</f>
        <v>4</v>
      </c>
      <c r="AC7" t="s">
        <v>344</v>
      </c>
      <c r="AE7" s="205" t="s">
        <v>1035</v>
      </c>
      <c r="AF7" s="24" t="s">
        <v>344</v>
      </c>
      <c r="AG7" t="str">
        <f t="shared" ref="AG7:AG23" si="4">IF(AC7=AF7,"","err")</f>
        <v/>
      </c>
      <c r="AI7" s="25"/>
    </row>
    <row r="8" spans="1:35" ht="12.75" thickBot="1">
      <c r="A8" s="53">
        <f t="shared" si="0"/>
        <v>41759</v>
      </c>
      <c r="B8" s="1" t="str">
        <f t="shared" si="1"/>
        <v>Apr 2014</v>
      </c>
      <c r="C8" s="389">
        <v>1.7099999999999999E-3</v>
      </c>
      <c r="D8" s="34">
        <v>2.8920000000000001E-2</v>
      </c>
      <c r="E8" s="34">
        <f t="shared" si="2"/>
        <v>1.7099999999999997E-3</v>
      </c>
      <c r="F8" s="34"/>
      <c r="G8" s="34"/>
      <c r="H8" s="34"/>
      <c r="I8" s="34"/>
      <c r="J8" s="34"/>
      <c r="K8" s="34"/>
      <c r="L8" s="34"/>
      <c r="M8" s="34"/>
      <c r="N8" s="34"/>
      <c r="O8" s="34"/>
      <c r="P8" s="34"/>
      <c r="Q8" s="34"/>
      <c r="U8" t="s">
        <v>219</v>
      </c>
      <c r="V8">
        <f t="shared" si="3"/>
        <v>5</v>
      </c>
      <c r="W8" s="207" t="s">
        <v>172</v>
      </c>
      <c r="X8">
        <f>ROW()</f>
        <v>8</v>
      </c>
      <c r="Y8" s="209" t="s">
        <v>26</v>
      </c>
      <c r="AB8">
        <f>AB7+1</f>
        <v>5</v>
      </c>
      <c r="AC8" t="s">
        <v>347</v>
      </c>
      <c r="AE8" s="205" t="s">
        <v>1035</v>
      </c>
      <c r="AF8" s="24" t="s">
        <v>347</v>
      </c>
      <c r="AG8" t="str">
        <f t="shared" si="4"/>
        <v/>
      </c>
      <c r="AI8" s="25"/>
    </row>
    <row r="9" spans="1:35" ht="12.75" thickBot="1">
      <c r="A9" s="53">
        <f t="shared" si="0"/>
        <v>41790</v>
      </c>
      <c r="B9" s="1" t="str">
        <f t="shared" si="1"/>
        <v>May 2014</v>
      </c>
      <c r="C9" s="34">
        <v>2.3700000000000001E-3</v>
      </c>
      <c r="D9" s="34">
        <v>2.8920000000000001E-2</v>
      </c>
      <c r="E9" s="34">
        <f t="shared" si="2"/>
        <v>2.3699999999999971E-3</v>
      </c>
      <c r="F9" s="34"/>
      <c r="G9" s="34"/>
      <c r="H9" s="34"/>
      <c r="I9" s="34"/>
      <c r="J9" s="34"/>
      <c r="K9" s="34"/>
      <c r="L9" s="34"/>
      <c r="M9" s="34"/>
      <c r="N9" s="34"/>
      <c r="O9" s="34"/>
      <c r="P9" s="34"/>
      <c r="Q9" s="34"/>
      <c r="U9" t="s">
        <v>228</v>
      </c>
      <c r="V9">
        <f t="shared" si="3"/>
        <v>6</v>
      </c>
      <c r="W9" s="206" t="s">
        <v>173</v>
      </c>
      <c r="X9">
        <f>ROW()</f>
        <v>9</v>
      </c>
      <c r="Y9" s="209" t="s">
        <v>25</v>
      </c>
      <c r="AB9">
        <f t="shared" ref="AB9:AB67" si="5">AB8+1</f>
        <v>6</v>
      </c>
      <c r="AC9" t="s">
        <v>348</v>
      </c>
      <c r="AE9" s="205" t="s">
        <v>1035</v>
      </c>
      <c r="AF9" s="24" t="s">
        <v>348</v>
      </c>
      <c r="AG9" t="str">
        <f t="shared" si="4"/>
        <v/>
      </c>
      <c r="AI9" s="25"/>
    </row>
    <row r="10" spans="1:35" ht="12.75" thickBot="1">
      <c r="A10" s="53">
        <f t="shared" si="0"/>
        <v>41820</v>
      </c>
      <c r="B10" s="1" t="str">
        <f t="shared" si="1"/>
        <v>Jun 2014</v>
      </c>
      <c r="C10" s="34">
        <v>4.4900000000000001E-3</v>
      </c>
      <c r="D10" s="34">
        <v>2.8920000000000001E-2</v>
      </c>
      <c r="E10" s="34">
        <f t="shared" si="2"/>
        <v>4.4900000000000009E-3</v>
      </c>
      <c r="F10" s="34"/>
      <c r="G10" s="34"/>
      <c r="H10" s="34"/>
      <c r="I10" s="34"/>
      <c r="J10" s="34"/>
      <c r="K10" s="34"/>
      <c r="L10" s="34"/>
      <c r="M10" s="34"/>
      <c r="N10" s="34"/>
      <c r="O10" s="34"/>
      <c r="P10" s="34"/>
      <c r="Q10" s="34"/>
      <c r="U10" t="s">
        <v>26</v>
      </c>
      <c r="V10">
        <f t="shared" si="3"/>
        <v>7</v>
      </c>
      <c r="W10" s="206" t="s">
        <v>174</v>
      </c>
      <c r="X10">
        <f>ROW()</f>
        <v>10</v>
      </c>
      <c r="Y10" s="205" t="s">
        <v>221</v>
      </c>
      <c r="AB10">
        <f t="shared" si="5"/>
        <v>7</v>
      </c>
      <c r="AC10" t="s">
        <v>349</v>
      </c>
      <c r="AE10" s="205" t="s">
        <v>1035</v>
      </c>
      <c r="AF10" s="24" t="s">
        <v>349</v>
      </c>
      <c r="AG10" t="str">
        <f t="shared" si="4"/>
        <v/>
      </c>
      <c r="AI10" s="25"/>
    </row>
    <row r="11" spans="1:35" ht="12.75" thickBot="1">
      <c r="A11" s="53">
        <f t="shared" si="0"/>
        <v>41851</v>
      </c>
      <c r="B11" s="1" t="str">
        <f t="shared" si="1"/>
        <v>Jul 2014</v>
      </c>
      <c r="C11" s="34">
        <v>2.8300000000000001E-3</v>
      </c>
      <c r="D11" s="34">
        <v>2.8920000000000001E-2</v>
      </c>
      <c r="E11" s="34">
        <f t="shared" si="2"/>
        <v>2.8299999999999992E-3</v>
      </c>
      <c r="F11" s="34"/>
      <c r="G11" s="34"/>
      <c r="H11" s="34"/>
      <c r="I11" s="34"/>
      <c r="J11" s="34"/>
      <c r="K11" s="34"/>
      <c r="L11" s="34"/>
      <c r="M11" s="34"/>
      <c r="N11" s="34"/>
      <c r="O11" s="34"/>
      <c r="P11" s="34"/>
      <c r="Q11" s="34"/>
      <c r="U11" t="s">
        <v>25</v>
      </c>
      <c r="V11">
        <f t="shared" si="3"/>
        <v>8</v>
      </c>
      <c r="W11" s="206" t="s">
        <v>175</v>
      </c>
      <c r="X11">
        <f>ROW()</f>
        <v>11</v>
      </c>
      <c r="Y11" s="205" t="s">
        <v>220</v>
      </c>
      <c r="AB11">
        <f t="shared" si="5"/>
        <v>8</v>
      </c>
      <c r="AC11" t="s">
        <v>351</v>
      </c>
      <c r="AE11" s="205" t="s">
        <v>1035</v>
      </c>
      <c r="AF11" s="24" t="s">
        <v>351</v>
      </c>
      <c r="AG11" t="str">
        <f t="shared" si="4"/>
        <v/>
      </c>
      <c r="AI11" s="25"/>
    </row>
    <row r="12" spans="1:35" ht="12.75" thickBot="1">
      <c r="A12" s="53">
        <f t="shared" si="0"/>
        <v>41882</v>
      </c>
      <c r="B12" s="1" t="str">
        <f t="shared" si="1"/>
        <v>Aug 2014</v>
      </c>
      <c r="C12" s="34">
        <v>-4.0999999999999999E-4</v>
      </c>
      <c r="D12" s="34">
        <v>2.8920000000000001E-2</v>
      </c>
      <c r="E12" s="34">
        <f t="shared" si="2"/>
        <v>-4.1000000000000064E-4</v>
      </c>
      <c r="F12" s="34"/>
      <c r="G12" s="34"/>
      <c r="H12" s="34"/>
      <c r="I12" s="34"/>
      <c r="J12" s="34"/>
      <c r="K12" s="34"/>
      <c r="L12" s="34"/>
      <c r="M12" s="34"/>
      <c r="N12" s="34"/>
      <c r="O12" s="34"/>
      <c r="P12" s="34"/>
      <c r="Q12" s="34"/>
      <c r="U12" t="s">
        <v>220</v>
      </c>
      <c r="V12">
        <f t="shared" si="3"/>
        <v>9</v>
      </c>
      <c r="W12" s="206" t="s">
        <v>176</v>
      </c>
      <c r="X12">
        <f>ROW()</f>
        <v>12</v>
      </c>
      <c r="Y12" s="209" t="s">
        <v>25</v>
      </c>
      <c r="AB12">
        <f t="shared" si="5"/>
        <v>9</v>
      </c>
      <c r="AC12" t="s">
        <v>352</v>
      </c>
      <c r="AE12" s="205" t="s">
        <v>1035</v>
      </c>
      <c r="AF12" s="24" t="s">
        <v>352</v>
      </c>
      <c r="AG12" t="str">
        <f t="shared" si="4"/>
        <v/>
      </c>
      <c r="AI12" s="25"/>
    </row>
    <row r="13" spans="1:35" ht="12.75" thickBot="1">
      <c r="A13" s="53">
        <f t="shared" si="0"/>
        <v>41912</v>
      </c>
      <c r="B13" s="1" t="str">
        <f t="shared" si="1"/>
        <v>Sep 2014</v>
      </c>
      <c r="C13" s="34"/>
      <c r="D13" s="34">
        <v>2.8920000000000001E-2</v>
      </c>
      <c r="E13" s="34">
        <f t="shared" si="2"/>
        <v>0</v>
      </c>
      <c r="F13" s="34"/>
      <c r="G13" s="34"/>
      <c r="H13" s="34"/>
      <c r="I13" s="34"/>
      <c r="J13" s="34"/>
      <c r="K13" s="34"/>
      <c r="L13" s="34"/>
      <c r="M13" s="34"/>
      <c r="N13" s="34"/>
      <c r="O13" s="34"/>
      <c r="P13" s="34"/>
      <c r="Q13" s="34"/>
      <c r="U13" t="s">
        <v>221</v>
      </c>
      <c r="V13">
        <f t="shared" si="3"/>
        <v>10</v>
      </c>
      <c r="W13" s="207" t="s">
        <v>177</v>
      </c>
      <c r="X13">
        <f>ROW()</f>
        <v>13</v>
      </c>
      <c r="Y13" s="205" t="s">
        <v>224</v>
      </c>
      <c r="AB13">
        <f t="shared" si="5"/>
        <v>10</v>
      </c>
      <c r="AC13" t="s">
        <v>354</v>
      </c>
      <c r="AE13" s="205" t="s">
        <v>1035</v>
      </c>
      <c r="AF13" s="24" t="s">
        <v>354</v>
      </c>
      <c r="AG13" t="str">
        <f t="shared" si="4"/>
        <v/>
      </c>
      <c r="AI13" s="25"/>
    </row>
    <row r="14" spans="1:35" ht="12.75" thickBot="1">
      <c r="A14" s="53">
        <f t="shared" si="0"/>
        <v>41943</v>
      </c>
      <c r="B14" s="1" t="str">
        <f t="shared" si="1"/>
        <v>Oct 2014</v>
      </c>
      <c r="C14" s="34"/>
      <c r="D14" s="34">
        <v>2.8920000000000001E-2</v>
      </c>
      <c r="E14" s="34">
        <f t="shared" si="2"/>
        <v>0</v>
      </c>
      <c r="F14" s="34"/>
      <c r="G14" s="34"/>
      <c r="H14" s="34"/>
      <c r="I14" s="34"/>
      <c r="J14" s="34"/>
      <c r="K14" s="34"/>
      <c r="L14" s="34"/>
      <c r="M14" s="34"/>
      <c r="N14" s="34"/>
      <c r="O14" s="34"/>
      <c r="P14" s="34"/>
      <c r="Q14" s="34"/>
      <c r="U14" t="s">
        <v>19</v>
      </c>
      <c r="V14">
        <f t="shared" si="3"/>
        <v>11</v>
      </c>
      <c r="W14" s="206" t="s">
        <v>178</v>
      </c>
      <c r="X14">
        <f>ROW()</f>
        <v>14</v>
      </c>
      <c r="Y14" s="205" t="s">
        <v>224</v>
      </c>
      <c r="AB14">
        <f t="shared" si="5"/>
        <v>11</v>
      </c>
      <c r="AC14" t="s">
        <v>355</v>
      </c>
      <c r="AE14" s="205" t="s">
        <v>1035</v>
      </c>
      <c r="AF14" s="24" t="s">
        <v>355</v>
      </c>
      <c r="AG14" t="str">
        <f t="shared" si="4"/>
        <v/>
      </c>
      <c r="AI14" s="25"/>
    </row>
    <row r="15" spans="1:35" ht="12.75" thickBot="1">
      <c r="A15" s="53">
        <f t="shared" si="0"/>
        <v>41973</v>
      </c>
      <c r="B15" s="1" t="str">
        <f t="shared" si="1"/>
        <v>Nov 2014</v>
      </c>
      <c r="C15" s="34"/>
      <c r="D15" s="34">
        <v>2.8920000000000001E-2</v>
      </c>
      <c r="E15" s="34">
        <f t="shared" si="2"/>
        <v>0</v>
      </c>
      <c r="F15" s="34"/>
      <c r="G15" s="34"/>
      <c r="H15" s="34"/>
      <c r="I15" s="34"/>
      <c r="J15" s="34"/>
      <c r="K15" s="34"/>
      <c r="L15" s="34"/>
      <c r="M15" s="34"/>
      <c r="N15" s="34"/>
      <c r="O15" s="34"/>
      <c r="P15" s="34"/>
      <c r="Q15" s="34"/>
      <c r="U15" s="12" t="s">
        <v>675</v>
      </c>
      <c r="V15">
        <f t="shared" si="3"/>
        <v>12</v>
      </c>
      <c r="W15" s="206" t="s">
        <v>179</v>
      </c>
      <c r="X15">
        <f>ROW()</f>
        <v>15</v>
      </c>
      <c r="Y15" s="205" t="s">
        <v>18</v>
      </c>
      <c r="AB15">
        <f t="shared" si="5"/>
        <v>12</v>
      </c>
      <c r="AC15" t="s">
        <v>341</v>
      </c>
      <c r="AE15" s="205" t="s">
        <v>1035</v>
      </c>
      <c r="AF15" s="24" t="s">
        <v>341</v>
      </c>
      <c r="AG15" t="str">
        <f t="shared" si="4"/>
        <v/>
      </c>
      <c r="AI15" s="25"/>
    </row>
    <row r="16" spans="1:35" ht="12.75" thickBot="1">
      <c r="A16" s="53">
        <f t="shared" si="0"/>
        <v>42004</v>
      </c>
      <c r="B16" s="1" t="str">
        <f t="shared" si="1"/>
        <v>Dec 2014</v>
      </c>
      <c r="C16" s="34"/>
      <c r="D16" s="34">
        <v>2.8920000000000001E-2</v>
      </c>
      <c r="E16" s="34">
        <f t="shared" si="2"/>
        <v>0</v>
      </c>
      <c r="F16" s="34"/>
      <c r="G16" s="34"/>
      <c r="H16" s="34"/>
      <c r="I16" s="34"/>
      <c r="J16" s="34"/>
      <c r="K16" s="34"/>
      <c r="L16" s="34"/>
      <c r="M16" s="34"/>
      <c r="N16" s="34"/>
      <c r="O16" s="34"/>
      <c r="P16" s="34"/>
      <c r="Q16" s="34"/>
      <c r="U16" t="s">
        <v>20</v>
      </c>
      <c r="V16">
        <f t="shared" si="3"/>
        <v>13</v>
      </c>
      <c r="W16" s="206" t="s">
        <v>180</v>
      </c>
      <c r="X16">
        <f>ROW()</f>
        <v>16</v>
      </c>
      <c r="Y16" s="205" t="s">
        <v>219</v>
      </c>
      <c r="AB16">
        <f t="shared" si="5"/>
        <v>13</v>
      </c>
      <c r="AC16" t="s">
        <v>350</v>
      </c>
      <c r="AE16" s="205" t="s">
        <v>1035</v>
      </c>
      <c r="AF16" s="24" t="s">
        <v>350</v>
      </c>
      <c r="AG16" t="str">
        <f t="shared" si="4"/>
        <v/>
      </c>
      <c r="AI16" s="25"/>
    </row>
    <row r="17" spans="1:35" ht="12.75" thickBot="1">
      <c r="C17" s="34"/>
      <c r="D17" s="34"/>
      <c r="E17" s="34"/>
      <c r="F17" s="34"/>
      <c r="G17" s="34"/>
      <c r="H17" s="34"/>
      <c r="I17" s="34"/>
      <c r="J17" s="34"/>
      <c r="K17" s="34"/>
      <c r="L17" s="34"/>
      <c r="M17" s="34"/>
      <c r="N17" s="34"/>
      <c r="O17" s="34"/>
      <c r="P17" s="34"/>
      <c r="Q17" s="34"/>
      <c r="U17" t="s">
        <v>21</v>
      </c>
      <c r="V17">
        <f t="shared" si="3"/>
        <v>14</v>
      </c>
      <c r="W17" s="206" t="s">
        <v>181</v>
      </c>
      <c r="X17">
        <f>ROW()</f>
        <v>17</v>
      </c>
      <c r="Y17" s="205" t="s">
        <v>219</v>
      </c>
      <c r="AB17">
        <f t="shared" si="5"/>
        <v>14</v>
      </c>
      <c r="AC17" t="s">
        <v>342</v>
      </c>
      <c r="AE17" s="205" t="s">
        <v>1035</v>
      </c>
      <c r="AF17" s="24" t="s">
        <v>342</v>
      </c>
      <c r="AG17" t="str">
        <f t="shared" si="4"/>
        <v/>
      </c>
      <c r="AI17" s="25"/>
    </row>
    <row r="18" spans="1:35" ht="12.75" thickBot="1">
      <c r="A18" s="4">
        <f>EOMONTH(MIN(A5:A16),-1)</f>
        <v>41698</v>
      </c>
      <c r="B18" s="1" t="str">
        <f t="shared" si="1"/>
        <v>Feb 2014</v>
      </c>
      <c r="C18" s="170">
        <v>2.8300000000000001E-3</v>
      </c>
      <c r="D18" s="170">
        <v>2.6679999999999999E-2</v>
      </c>
      <c r="E18" s="34">
        <f t="shared" si="2"/>
        <v>5.8999999999999678E-4</v>
      </c>
      <c r="F18" s="170"/>
      <c r="G18" s="170"/>
      <c r="H18" s="170"/>
      <c r="I18" s="170"/>
      <c r="J18" s="170"/>
      <c r="K18" s="170"/>
      <c r="L18" s="170"/>
      <c r="M18" s="170"/>
      <c r="N18" s="170"/>
      <c r="O18" s="170"/>
      <c r="P18" s="170"/>
      <c r="Q18" s="170"/>
      <c r="V18">
        <f t="shared" si="3"/>
        <v>15</v>
      </c>
      <c r="W18" s="206" t="s">
        <v>182</v>
      </c>
      <c r="X18">
        <f>ROW()</f>
        <v>18</v>
      </c>
      <c r="Y18" s="205" t="s">
        <v>228</v>
      </c>
      <c r="AB18">
        <f t="shared" si="5"/>
        <v>15</v>
      </c>
      <c r="AC18" t="s">
        <v>346</v>
      </c>
      <c r="AE18" s="205" t="s">
        <v>1035</v>
      </c>
      <c r="AF18" s="24" t="s">
        <v>346</v>
      </c>
      <c r="AG18" t="str">
        <f t="shared" si="4"/>
        <v/>
      </c>
      <c r="AI18" s="25"/>
    </row>
    <row r="19" spans="1:35" ht="12.75" thickBot="1">
      <c r="B19">
        <v>1</v>
      </c>
      <c r="C19" s="34"/>
      <c r="D19" s="34"/>
      <c r="E19" s="34"/>
      <c r="F19" s="34"/>
      <c r="G19" s="34"/>
      <c r="H19" s="34"/>
      <c r="I19" s="34"/>
      <c r="J19" s="34"/>
      <c r="K19" s="34"/>
      <c r="L19" s="34"/>
      <c r="M19" s="34"/>
      <c r="N19" s="34"/>
      <c r="O19" s="34"/>
      <c r="P19" s="34"/>
      <c r="Q19" s="34"/>
      <c r="V19">
        <f t="shared" si="3"/>
        <v>16</v>
      </c>
      <c r="W19" s="207" t="s">
        <v>183</v>
      </c>
      <c r="X19">
        <f>ROW()</f>
        <v>19</v>
      </c>
      <c r="Y19" s="205" t="s">
        <v>228</v>
      </c>
      <c r="AB19">
        <f t="shared" si="5"/>
        <v>16</v>
      </c>
      <c r="AC19" t="s">
        <v>353</v>
      </c>
      <c r="AE19" s="205" t="s">
        <v>1035</v>
      </c>
      <c r="AF19" s="24" t="s">
        <v>353</v>
      </c>
      <c r="AG19" t="str">
        <f t="shared" si="4"/>
        <v/>
      </c>
      <c r="AI19" s="25"/>
    </row>
    <row r="20" spans="1:35" ht="12.75" thickBot="1">
      <c r="V20">
        <f t="shared" si="3"/>
        <v>17</v>
      </c>
      <c r="W20" s="207" t="s">
        <v>720</v>
      </c>
      <c r="X20">
        <f>ROW()</f>
        <v>20</v>
      </c>
      <c r="Y20" s="205" t="s">
        <v>228</v>
      </c>
      <c r="AB20">
        <f t="shared" si="5"/>
        <v>17</v>
      </c>
      <c r="AC20" t="s">
        <v>345</v>
      </c>
      <c r="AE20" s="205" t="s">
        <v>1035</v>
      </c>
      <c r="AF20" s="24" t="s">
        <v>345</v>
      </c>
      <c r="AG20" t="str">
        <f t="shared" si="4"/>
        <v/>
      </c>
      <c r="AI20" s="25"/>
    </row>
    <row r="21" spans="1:35" ht="12.75" thickBot="1">
      <c r="A21" t="s">
        <v>31</v>
      </c>
      <c r="V21">
        <f t="shared" si="3"/>
        <v>18</v>
      </c>
      <c r="W21" s="207" t="s">
        <v>721</v>
      </c>
      <c r="X21">
        <f>ROW()</f>
        <v>21</v>
      </c>
      <c r="Y21" s="205" t="s">
        <v>219</v>
      </c>
      <c r="AB21">
        <f t="shared" si="5"/>
        <v>18</v>
      </c>
      <c r="AC21" t="s">
        <v>343</v>
      </c>
      <c r="AE21" s="205" t="s">
        <v>1035</v>
      </c>
      <c r="AF21" s="24" t="s">
        <v>343</v>
      </c>
      <c r="AG21" t="str">
        <f t="shared" si="4"/>
        <v/>
      </c>
      <c r="AI21" s="25"/>
    </row>
    <row r="22" spans="1:35" ht="12.75" thickBot="1">
      <c r="A22" t="s">
        <v>32</v>
      </c>
      <c r="B22" t="s">
        <v>33</v>
      </c>
      <c r="K22" s="4"/>
      <c r="V22">
        <f t="shared" si="3"/>
        <v>19</v>
      </c>
      <c r="W22" s="207" t="s">
        <v>722</v>
      </c>
      <c r="X22">
        <f>ROW()</f>
        <v>22</v>
      </c>
      <c r="Y22" s="205" t="s">
        <v>228</v>
      </c>
      <c r="AB22">
        <f t="shared" si="5"/>
        <v>19</v>
      </c>
      <c r="AC22" t="s">
        <v>472</v>
      </c>
      <c r="AE22" s="205" t="s">
        <v>1035</v>
      </c>
      <c r="AF22" s="24" t="s">
        <v>472</v>
      </c>
      <c r="AG22" t="str">
        <f t="shared" si="4"/>
        <v/>
      </c>
      <c r="AI22" s="25"/>
    </row>
    <row r="23" spans="1:35" ht="12.75" thickBot="1">
      <c r="A23" s="4">
        <f>D1</f>
        <v>41699</v>
      </c>
      <c r="B23" s="204">
        <v>41851</v>
      </c>
      <c r="C23" s="209">
        <v>20140101</v>
      </c>
      <c r="D23" s="12" t="s">
        <v>1426</v>
      </c>
      <c r="K23" s="4"/>
      <c r="V23">
        <f t="shared" si="3"/>
        <v>20</v>
      </c>
      <c r="W23" s="206" t="s">
        <v>233</v>
      </c>
      <c r="X23">
        <f>ROW()</f>
        <v>23</v>
      </c>
      <c r="Y23" s="205" t="s">
        <v>20</v>
      </c>
      <c r="AB23">
        <f t="shared" si="5"/>
        <v>20</v>
      </c>
      <c r="AC23" t="s">
        <v>382</v>
      </c>
      <c r="AE23" s="205" t="s">
        <v>1035</v>
      </c>
      <c r="AF23" s="24" t="s">
        <v>382</v>
      </c>
      <c r="AG23" t="str">
        <f t="shared" si="4"/>
        <v/>
      </c>
      <c r="AI23" s="25"/>
    </row>
    <row r="24" spans="1:35" ht="12.75" thickBot="1">
      <c r="A24" s="4">
        <f>B23+1</f>
        <v>41852</v>
      </c>
      <c r="B24" s="204">
        <v>41882</v>
      </c>
      <c r="C24" s="209">
        <v>20140101</v>
      </c>
      <c r="D24" s="45"/>
      <c r="K24" s="4"/>
      <c r="V24">
        <f t="shared" si="3"/>
        <v>21</v>
      </c>
      <c r="W24" s="207" t="s">
        <v>232</v>
      </c>
      <c r="X24">
        <f>ROW()</f>
        <v>24</v>
      </c>
      <c r="Y24" s="205" t="s">
        <v>20</v>
      </c>
      <c r="AB24">
        <f t="shared" si="5"/>
        <v>21</v>
      </c>
      <c r="AC24" t="s">
        <v>402</v>
      </c>
      <c r="AE24" s="205" t="s">
        <v>1036</v>
      </c>
      <c r="AF24" s="24" t="s">
        <v>402</v>
      </c>
      <c r="AG24" t="str">
        <f t="shared" ref="AG24:AG70" si="6">IF(AC23=AF23,"","err")</f>
        <v/>
      </c>
      <c r="AI24" s="25"/>
    </row>
    <row r="25" spans="1:35" ht="12.75" thickBot="1">
      <c r="A25" s="4">
        <f>B24+1</f>
        <v>41883</v>
      </c>
      <c r="B25" s="59">
        <f>F1</f>
        <v>42063</v>
      </c>
      <c r="C25" s="209">
        <v>20140101</v>
      </c>
      <c r="D25" s="12" t="s">
        <v>1427</v>
      </c>
      <c r="K25" s="4"/>
      <c r="V25">
        <f t="shared" si="3"/>
        <v>22</v>
      </c>
      <c r="W25" s="206" t="s">
        <v>184</v>
      </c>
      <c r="X25">
        <f>ROW()</f>
        <v>25</v>
      </c>
      <c r="Y25" s="205" t="s">
        <v>21</v>
      </c>
      <c r="AB25">
        <f t="shared" si="5"/>
        <v>22</v>
      </c>
      <c r="AC25" t="s">
        <v>358</v>
      </c>
      <c r="AE25" s="205" t="s">
        <v>1036</v>
      </c>
      <c r="AF25" s="24" t="s">
        <v>358</v>
      </c>
      <c r="AG25" t="str">
        <f t="shared" si="6"/>
        <v/>
      </c>
      <c r="AI25" s="25"/>
    </row>
    <row r="26" spans="1:35" ht="12.75" thickBot="1">
      <c r="K26" s="4"/>
      <c r="V26">
        <f t="shared" si="3"/>
        <v>23</v>
      </c>
      <c r="W26" s="207" t="s">
        <v>652</v>
      </c>
      <c r="X26">
        <f>ROW()</f>
        <v>26</v>
      </c>
      <c r="Y26" s="205" t="s">
        <v>21</v>
      </c>
      <c r="AB26">
        <f t="shared" si="5"/>
        <v>23</v>
      </c>
      <c r="AC26" t="s">
        <v>394</v>
      </c>
      <c r="AE26" s="205" t="s">
        <v>1035</v>
      </c>
      <c r="AF26" s="24" t="s">
        <v>394</v>
      </c>
      <c r="AG26" t="str">
        <f t="shared" si="6"/>
        <v/>
      </c>
      <c r="AI26" s="25"/>
    </row>
    <row r="27" spans="1:35" ht="12.75" thickBot="1">
      <c r="K27" s="4"/>
      <c r="V27">
        <f t="shared" si="3"/>
        <v>24</v>
      </c>
      <c r="W27" s="206" t="s">
        <v>728</v>
      </c>
      <c r="X27">
        <f>ROW()</f>
        <v>27</v>
      </c>
      <c r="Y27" s="205" t="s">
        <v>727</v>
      </c>
      <c r="AB27">
        <f t="shared" si="5"/>
        <v>24</v>
      </c>
      <c r="AC27" t="s">
        <v>398</v>
      </c>
      <c r="AE27" s="205" t="s">
        <v>1036</v>
      </c>
      <c r="AF27" s="24" t="s">
        <v>398</v>
      </c>
      <c r="AG27" t="str">
        <f t="shared" si="6"/>
        <v/>
      </c>
      <c r="AI27" s="25"/>
    </row>
    <row r="28" spans="1:35" ht="12.75" thickBot="1">
      <c r="K28" s="4"/>
      <c r="V28">
        <f t="shared" si="3"/>
        <v>25</v>
      </c>
      <c r="W28" s="207" t="s">
        <v>1043</v>
      </c>
      <c r="X28">
        <f>ROW()</f>
        <v>28</v>
      </c>
      <c r="Y28" s="205" t="s">
        <v>1052</v>
      </c>
      <c r="AB28">
        <f t="shared" si="5"/>
        <v>25</v>
      </c>
      <c r="AC28" t="s">
        <v>376</v>
      </c>
      <c r="AE28" s="287" t="s">
        <v>1036</v>
      </c>
      <c r="AF28" s="24" t="s">
        <v>376</v>
      </c>
      <c r="AG28" t="str">
        <f t="shared" si="6"/>
        <v/>
      </c>
      <c r="AI28" s="25"/>
    </row>
    <row r="29" spans="1:35" ht="12.75" thickBot="1">
      <c r="A29" t="s">
        <v>53</v>
      </c>
      <c r="K29" s="4"/>
      <c r="V29">
        <f t="shared" si="3"/>
        <v>26</v>
      </c>
      <c r="W29" s="207" t="s">
        <v>185</v>
      </c>
      <c r="X29">
        <f>ROW()</f>
        <v>29</v>
      </c>
      <c r="Y29" s="205" t="s">
        <v>224</v>
      </c>
      <c r="AB29">
        <f t="shared" si="5"/>
        <v>26</v>
      </c>
      <c r="AC29" t="s">
        <v>384</v>
      </c>
      <c r="AE29" s="287" t="s">
        <v>1035</v>
      </c>
      <c r="AF29" s="24" t="s">
        <v>384</v>
      </c>
      <c r="AG29" t="str">
        <f t="shared" si="6"/>
        <v/>
      </c>
      <c r="AI29" s="25"/>
    </row>
    <row r="30" spans="1:35" ht="12.75" thickBot="1">
      <c r="K30" s="4"/>
      <c r="V30">
        <f t="shared" si="3"/>
        <v>27</v>
      </c>
      <c r="W30" s="206" t="s">
        <v>186</v>
      </c>
      <c r="X30">
        <f>ROW()</f>
        <v>30</v>
      </c>
      <c r="Y30" s="205" t="s">
        <v>18</v>
      </c>
      <c r="AB30">
        <f t="shared" si="5"/>
        <v>27</v>
      </c>
      <c r="AC30" t="s">
        <v>386</v>
      </c>
      <c r="AE30" s="287" t="s">
        <v>1036</v>
      </c>
      <c r="AF30" s="24" t="s">
        <v>386</v>
      </c>
      <c r="AG30" t="str">
        <f t="shared" si="6"/>
        <v/>
      </c>
      <c r="AI30" s="25"/>
    </row>
    <row r="31" spans="1:35" ht="12.75" thickBot="1">
      <c r="A31" s="18" t="s">
        <v>69</v>
      </c>
      <c r="B31" s="5"/>
      <c r="C31" s="5"/>
      <c r="D31" s="5"/>
      <c r="E31" s="5"/>
      <c r="F31" s="5"/>
      <c r="K31" s="4"/>
      <c r="V31">
        <f t="shared" si="3"/>
        <v>28</v>
      </c>
      <c r="W31" s="207" t="s">
        <v>187</v>
      </c>
      <c r="X31">
        <f>ROW()</f>
        <v>31</v>
      </c>
      <c r="Y31" s="209" t="s">
        <v>1459</v>
      </c>
      <c r="AB31">
        <f t="shared" si="5"/>
        <v>28</v>
      </c>
      <c r="AC31" t="s">
        <v>409</v>
      </c>
      <c r="AE31" s="287" t="s">
        <v>1036</v>
      </c>
      <c r="AF31" s="24" t="s">
        <v>409</v>
      </c>
      <c r="AG31" t="str">
        <f t="shared" si="6"/>
        <v/>
      </c>
      <c r="AI31" s="25"/>
    </row>
    <row r="32" spans="1:35" ht="12.75" thickBot="1">
      <c r="A32" s="7" t="s">
        <v>54</v>
      </c>
      <c r="B32" s="7"/>
      <c r="C32" s="7"/>
      <c r="D32" s="7"/>
      <c r="K32" s="4"/>
      <c r="V32">
        <f t="shared" si="3"/>
        <v>29</v>
      </c>
      <c r="W32" s="207" t="s">
        <v>188</v>
      </c>
      <c r="X32">
        <f>ROW()</f>
        <v>32</v>
      </c>
      <c r="Y32" s="209" t="s">
        <v>1459</v>
      </c>
      <c r="AB32">
        <f t="shared" si="5"/>
        <v>29</v>
      </c>
      <c r="AC32" t="s">
        <v>387</v>
      </c>
      <c r="AE32" s="286" t="s">
        <v>1035</v>
      </c>
      <c r="AF32" s="24" t="s">
        <v>387</v>
      </c>
      <c r="AG32" t="str">
        <f t="shared" si="6"/>
        <v/>
      </c>
      <c r="AI32" s="25"/>
    </row>
    <row r="33" spans="1:35" ht="12.75" thickBot="1">
      <c r="A33" s="9" t="s">
        <v>55</v>
      </c>
      <c r="B33" s="9"/>
      <c r="C33" s="9"/>
      <c r="K33" s="4"/>
      <c r="V33">
        <f t="shared" si="3"/>
        <v>30</v>
      </c>
      <c r="W33" s="207" t="s">
        <v>1364</v>
      </c>
      <c r="X33">
        <f>ROW()</f>
        <v>33</v>
      </c>
      <c r="Y33" s="209" t="s">
        <v>1460</v>
      </c>
      <c r="AB33">
        <f t="shared" si="5"/>
        <v>30</v>
      </c>
      <c r="AC33" t="s">
        <v>410</v>
      </c>
      <c r="AE33" s="287" t="s">
        <v>1035</v>
      </c>
      <c r="AF33" s="24" t="s">
        <v>410</v>
      </c>
      <c r="AG33" t="str">
        <f t="shared" si="6"/>
        <v/>
      </c>
      <c r="AI33" s="25"/>
    </row>
    <row r="34" spans="1:35" ht="12.75" thickBot="1">
      <c r="A34" s="10" t="s">
        <v>56</v>
      </c>
      <c r="B34" s="10"/>
      <c r="C34" s="10"/>
      <c r="D34" s="10"/>
      <c r="V34">
        <f t="shared" si="3"/>
        <v>31</v>
      </c>
      <c r="W34" s="207" t="s">
        <v>1358</v>
      </c>
      <c r="X34">
        <f>ROW()</f>
        <v>34</v>
      </c>
      <c r="Y34" s="209" t="s">
        <v>1460</v>
      </c>
      <c r="AB34">
        <f t="shared" si="5"/>
        <v>31</v>
      </c>
      <c r="AC34" t="s">
        <v>405</v>
      </c>
      <c r="AE34" s="287" t="s">
        <v>1035</v>
      </c>
      <c r="AF34" s="24" t="s">
        <v>405</v>
      </c>
      <c r="AG34" t="str">
        <f t="shared" si="6"/>
        <v/>
      </c>
      <c r="AI34" s="25"/>
    </row>
    <row r="35" spans="1:35" ht="12.75" thickBot="1">
      <c r="A35" s="6" t="s">
        <v>57</v>
      </c>
      <c r="B35" s="6"/>
      <c r="C35" s="6"/>
      <c r="D35" s="6"/>
      <c r="E35" s="6"/>
      <c r="F35" s="14"/>
      <c r="G35" s="14"/>
      <c r="H35" s="14"/>
      <c r="V35">
        <f t="shared" si="3"/>
        <v>32</v>
      </c>
      <c r="W35" s="207" t="s">
        <v>1045</v>
      </c>
      <c r="X35">
        <f>ROW()</f>
        <v>35</v>
      </c>
      <c r="Y35" s="209" t="s">
        <v>1460</v>
      </c>
      <c r="AB35">
        <f t="shared" si="5"/>
        <v>32</v>
      </c>
      <c r="AC35" t="s">
        <v>326</v>
      </c>
      <c r="AE35" s="287" t="s">
        <v>1036</v>
      </c>
      <c r="AF35" s="24" t="s">
        <v>326</v>
      </c>
      <c r="AG35" t="str">
        <f t="shared" si="6"/>
        <v/>
      </c>
      <c r="AI35" s="25"/>
    </row>
    <row r="36" spans="1:35" ht="12.75" thickBot="1">
      <c r="A36" s="15" t="s">
        <v>68</v>
      </c>
      <c r="B36" s="15"/>
      <c r="C36" s="15"/>
      <c r="D36" s="15"/>
      <c r="E36" s="15"/>
      <c r="V36">
        <f t="shared" si="3"/>
        <v>33</v>
      </c>
      <c r="W36" t="s">
        <v>189</v>
      </c>
      <c r="X36">
        <f>ROW()</f>
        <v>36</v>
      </c>
      <c r="Y36" s="205" t="s">
        <v>28</v>
      </c>
      <c r="AB36">
        <f t="shared" si="5"/>
        <v>33</v>
      </c>
      <c r="AC36" t="s">
        <v>356</v>
      </c>
      <c r="AE36" s="287" t="s">
        <v>1036</v>
      </c>
      <c r="AF36" s="24" t="s">
        <v>356</v>
      </c>
      <c r="AG36" t="str">
        <f t="shared" si="6"/>
        <v/>
      </c>
      <c r="AI36" s="25"/>
    </row>
    <row r="37" spans="1:35" ht="12.75" thickBot="1">
      <c r="A37" s="23" t="s">
        <v>76</v>
      </c>
      <c r="B37" s="17"/>
      <c r="C37" s="17"/>
      <c r="D37" s="17"/>
      <c r="V37">
        <f t="shared" si="3"/>
        <v>34</v>
      </c>
      <c r="W37" t="s">
        <v>190</v>
      </c>
      <c r="X37">
        <f>ROW()</f>
        <v>37</v>
      </c>
      <c r="Y37" s="205" t="s">
        <v>15</v>
      </c>
      <c r="AB37">
        <f t="shared" si="5"/>
        <v>34</v>
      </c>
      <c r="AC37" t="s">
        <v>374</v>
      </c>
      <c r="AE37" s="287" t="s">
        <v>1036</v>
      </c>
      <c r="AF37" s="24" t="s">
        <v>374</v>
      </c>
      <c r="AG37" t="str">
        <f t="shared" si="6"/>
        <v/>
      </c>
      <c r="AI37" s="25"/>
    </row>
    <row r="38" spans="1:35" ht="12.75" thickBot="1">
      <c r="A38" s="16" t="s">
        <v>67</v>
      </c>
      <c r="B38" s="16"/>
      <c r="C38" s="16"/>
      <c r="D38" s="16"/>
      <c r="E38" s="16"/>
      <c r="F38" s="16"/>
      <c r="V38">
        <f t="shared" si="3"/>
        <v>35</v>
      </c>
      <c r="W38" t="s">
        <v>191</v>
      </c>
      <c r="X38">
        <f>ROW()</f>
        <v>38</v>
      </c>
      <c r="Y38" s="205" t="s">
        <v>15</v>
      </c>
      <c r="AB38">
        <f t="shared" si="5"/>
        <v>35</v>
      </c>
      <c r="AC38" t="s">
        <v>399</v>
      </c>
      <c r="AE38" s="287" t="s">
        <v>1036</v>
      </c>
      <c r="AF38" s="24" t="s">
        <v>399</v>
      </c>
      <c r="AG38" t="str">
        <f t="shared" si="6"/>
        <v/>
      </c>
      <c r="AI38" s="25"/>
    </row>
    <row r="39" spans="1:35" ht="12.75" thickBot="1">
      <c r="V39">
        <f t="shared" si="3"/>
        <v>36</v>
      </c>
      <c r="W39" t="s">
        <v>192</v>
      </c>
      <c r="X39">
        <f>ROW()</f>
        <v>39</v>
      </c>
      <c r="Y39" s="205" t="s">
        <v>15</v>
      </c>
      <c r="AB39">
        <f t="shared" si="5"/>
        <v>36</v>
      </c>
      <c r="AC39" t="s">
        <v>391</v>
      </c>
      <c r="AE39" s="287" t="s">
        <v>1036</v>
      </c>
      <c r="AF39" s="24" t="s">
        <v>391</v>
      </c>
      <c r="AG39" t="str">
        <f t="shared" si="6"/>
        <v/>
      </c>
      <c r="AI39" s="25"/>
    </row>
    <row r="40" spans="1:35" ht="12.75" thickBot="1">
      <c r="V40">
        <f t="shared" si="3"/>
        <v>37</v>
      </c>
      <c r="W40" t="s">
        <v>477</v>
      </c>
      <c r="X40">
        <f>ROW()</f>
        <v>40</v>
      </c>
      <c r="Y40" s="205" t="s">
        <v>222</v>
      </c>
      <c r="AB40">
        <f t="shared" si="5"/>
        <v>37</v>
      </c>
      <c r="AC40" t="s">
        <v>416</v>
      </c>
      <c r="AE40" s="287" t="s">
        <v>1035</v>
      </c>
      <c r="AF40" s="24" t="s">
        <v>416</v>
      </c>
      <c r="AG40" t="str">
        <f t="shared" si="6"/>
        <v/>
      </c>
      <c r="AI40" s="25"/>
    </row>
    <row r="41" spans="1:35" ht="12.75" thickBot="1">
      <c r="A41" s="26" t="s">
        <v>83</v>
      </c>
      <c r="B41" s="26" t="s">
        <v>84</v>
      </c>
      <c r="C41" s="26" t="s">
        <v>105</v>
      </c>
      <c r="V41">
        <f t="shared" si="3"/>
        <v>38</v>
      </c>
      <c r="W41" t="s">
        <v>193</v>
      </c>
      <c r="X41">
        <f>ROW()</f>
        <v>41</v>
      </c>
      <c r="Y41" s="209" t="s">
        <v>17</v>
      </c>
      <c r="AB41">
        <f t="shared" si="5"/>
        <v>38</v>
      </c>
      <c r="AC41" t="s">
        <v>362</v>
      </c>
      <c r="AD41" s="26"/>
      <c r="AE41" s="287" t="s">
        <v>1035</v>
      </c>
      <c r="AF41" s="24" t="s">
        <v>362</v>
      </c>
      <c r="AG41" t="str">
        <f t="shared" si="6"/>
        <v/>
      </c>
      <c r="AI41" s="25"/>
    </row>
    <row r="42" spans="1:35" ht="12.75" thickBot="1">
      <c r="V42">
        <f t="shared" si="3"/>
        <v>39</v>
      </c>
      <c r="W42" t="s">
        <v>194</v>
      </c>
      <c r="X42">
        <f>ROW()</f>
        <v>42</v>
      </c>
      <c r="Y42" s="205" t="s">
        <v>15</v>
      </c>
      <c r="AB42">
        <f t="shared" si="5"/>
        <v>39</v>
      </c>
      <c r="AC42" t="s">
        <v>407</v>
      </c>
      <c r="AE42" s="287" t="s">
        <v>1035</v>
      </c>
      <c r="AF42" s="24" t="s">
        <v>407</v>
      </c>
      <c r="AG42" t="str">
        <f t="shared" si="6"/>
        <v/>
      </c>
      <c r="AI42" s="25"/>
    </row>
    <row r="43" spans="1:35" ht="12.75" thickBot="1">
      <c r="A43" t="s">
        <v>82</v>
      </c>
      <c r="B43">
        <v>20</v>
      </c>
      <c r="C43" t="s">
        <v>106</v>
      </c>
      <c r="AB43">
        <f t="shared" si="5"/>
        <v>40</v>
      </c>
      <c r="AC43" t="s">
        <v>373</v>
      </c>
      <c r="AE43" s="287" t="s">
        <v>1036</v>
      </c>
      <c r="AF43" s="24" t="s">
        <v>373</v>
      </c>
      <c r="AG43" t="str">
        <f t="shared" si="6"/>
        <v/>
      </c>
      <c r="AI43" s="25"/>
    </row>
    <row r="44" spans="1:35" ht="12.75" thickBot="1">
      <c r="A44" s="12" t="s">
        <v>107</v>
      </c>
      <c r="B44" s="26">
        <v>5</v>
      </c>
      <c r="C44" s="26" t="s">
        <v>106</v>
      </c>
      <c r="AB44">
        <f t="shared" si="5"/>
        <v>41</v>
      </c>
      <c r="AC44" t="s">
        <v>375</v>
      </c>
      <c r="AE44" s="287" t="s">
        <v>1036</v>
      </c>
      <c r="AF44" s="24" t="s">
        <v>375</v>
      </c>
      <c r="AG44" t="str">
        <f t="shared" si="6"/>
        <v/>
      </c>
      <c r="AI44" s="25"/>
    </row>
    <row r="45" spans="1:35" ht="12.75" thickBot="1">
      <c r="A45" s="12" t="s">
        <v>140</v>
      </c>
      <c r="B45" s="26">
        <v>1</v>
      </c>
      <c r="C45" s="26" t="s">
        <v>142</v>
      </c>
      <c r="AB45">
        <f t="shared" si="5"/>
        <v>42</v>
      </c>
      <c r="AC45" t="s">
        <v>401</v>
      </c>
      <c r="AE45" s="287" t="s">
        <v>1036</v>
      </c>
      <c r="AF45" s="24" t="s">
        <v>401</v>
      </c>
      <c r="AG45" t="str">
        <f t="shared" si="6"/>
        <v/>
      </c>
      <c r="AI45" s="25"/>
    </row>
    <row r="46" spans="1:35" ht="12.75" thickBot="1">
      <c r="A46" s="26" t="s">
        <v>141</v>
      </c>
      <c r="B46" s="26">
        <v>1</v>
      </c>
      <c r="C46" s="26" t="s">
        <v>142</v>
      </c>
      <c r="AB46">
        <f t="shared" si="5"/>
        <v>43</v>
      </c>
      <c r="AC46" t="s">
        <v>328</v>
      </c>
      <c r="AE46" s="287" t="s">
        <v>1036</v>
      </c>
      <c r="AF46" s="24" t="s">
        <v>328</v>
      </c>
      <c r="AG46" t="str">
        <f t="shared" si="6"/>
        <v/>
      </c>
      <c r="AI46" s="25"/>
    </row>
    <row r="47" spans="1:35" ht="12.75" thickBot="1">
      <c r="A47" s="12" t="s">
        <v>143</v>
      </c>
      <c r="B47" s="26">
        <v>3</v>
      </c>
      <c r="C47" s="26" t="s">
        <v>142</v>
      </c>
      <c r="AB47">
        <f t="shared" si="5"/>
        <v>44</v>
      </c>
      <c r="AC47" t="s">
        <v>437</v>
      </c>
      <c r="AE47" s="287" t="s">
        <v>1036</v>
      </c>
      <c r="AF47" s="24" t="s">
        <v>437</v>
      </c>
      <c r="AG47" t="str">
        <f t="shared" si="6"/>
        <v/>
      </c>
      <c r="AI47" s="25"/>
    </row>
    <row r="48" spans="1:35" ht="12.75" thickBot="1">
      <c r="AB48">
        <f t="shared" si="5"/>
        <v>45</v>
      </c>
      <c r="AC48" t="s">
        <v>338</v>
      </c>
      <c r="AE48" s="287" t="s">
        <v>1035</v>
      </c>
      <c r="AF48" s="24" t="s">
        <v>338</v>
      </c>
      <c r="AG48" t="str">
        <f t="shared" si="6"/>
        <v/>
      </c>
      <c r="AI48" s="25"/>
    </row>
    <row r="49" spans="1:35" ht="12.75" thickBot="1">
      <c r="AB49">
        <f t="shared" si="5"/>
        <v>46</v>
      </c>
      <c r="AC49" t="s">
        <v>370</v>
      </c>
      <c r="AE49" s="287" t="s">
        <v>1035</v>
      </c>
      <c r="AF49" s="24" t="s">
        <v>370</v>
      </c>
      <c r="AG49" t="str">
        <f t="shared" si="6"/>
        <v/>
      </c>
      <c r="AI49" s="25"/>
    </row>
    <row r="50" spans="1:35" ht="12.75" thickBot="1">
      <c r="AB50">
        <f t="shared" si="5"/>
        <v>47</v>
      </c>
      <c r="AC50" t="s">
        <v>333</v>
      </c>
      <c r="AE50" s="286" t="s">
        <v>1035</v>
      </c>
      <c r="AF50" s="24" t="s">
        <v>333</v>
      </c>
      <c r="AG50" t="str">
        <f t="shared" si="6"/>
        <v/>
      </c>
      <c r="AI50" s="25"/>
    </row>
    <row r="51" spans="1:35" ht="12.75" thickBot="1">
      <c r="AB51">
        <f t="shared" si="5"/>
        <v>48</v>
      </c>
      <c r="AC51" t="s">
        <v>336</v>
      </c>
      <c r="AE51" s="287" t="s">
        <v>1036</v>
      </c>
      <c r="AF51" s="24" t="s">
        <v>336</v>
      </c>
      <c r="AG51" t="str">
        <f t="shared" si="6"/>
        <v/>
      </c>
      <c r="AI51" s="25"/>
    </row>
    <row r="52" spans="1:35" ht="12.75" thickBot="1">
      <c r="AB52">
        <f t="shared" si="5"/>
        <v>49</v>
      </c>
      <c r="AC52" t="s">
        <v>368</v>
      </c>
      <c r="AE52" s="287" t="s">
        <v>1036</v>
      </c>
      <c r="AF52" s="24" t="s">
        <v>368</v>
      </c>
      <c r="AG52" t="str">
        <f t="shared" si="6"/>
        <v/>
      </c>
      <c r="AI52" s="25"/>
    </row>
    <row r="53" spans="1:35" ht="12.75" thickBot="1">
      <c r="AB53">
        <f t="shared" si="5"/>
        <v>50</v>
      </c>
      <c r="AC53" t="s">
        <v>400</v>
      </c>
      <c r="AE53" s="287" t="s">
        <v>1036</v>
      </c>
      <c r="AF53" s="24" t="s">
        <v>400</v>
      </c>
      <c r="AG53" t="str">
        <f t="shared" si="6"/>
        <v/>
      </c>
      <c r="AI53" s="25"/>
    </row>
    <row r="54" spans="1:35" ht="12.75" thickBot="1">
      <c r="AB54">
        <f t="shared" si="5"/>
        <v>51</v>
      </c>
      <c r="AC54" t="s">
        <v>327</v>
      </c>
      <c r="AE54" s="287" t="s">
        <v>1036</v>
      </c>
      <c r="AF54" s="24" t="s">
        <v>327</v>
      </c>
      <c r="AG54" t="str">
        <f t="shared" si="6"/>
        <v/>
      </c>
      <c r="AI54" s="25"/>
    </row>
    <row r="55" spans="1:35" ht="12.75" thickBot="1">
      <c r="AB55">
        <f t="shared" si="5"/>
        <v>52</v>
      </c>
      <c r="AC55" t="s">
        <v>357</v>
      </c>
      <c r="AE55" s="287" t="s">
        <v>1036</v>
      </c>
      <c r="AF55" s="24" t="s">
        <v>357</v>
      </c>
      <c r="AG55" t="str">
        <f t="shared" si="6"/>
        <v/>
      </c>
      <c r="AI55" s="25"/>
    </row>
    <row r="56" spans="1:35" ht="12.75" thickBot="1">
      <c r="AB56">
        <f t="shared" si="5"/>
        <v>53</v>
      </c>
      <c r="AC56" t="s">
        <v>331</v>
      </c>
      <c r="AE56" s="287" t="s">
        <v>1036</v>
      </c>
      <c r="AF56" s="24" t="s">
        <v>331</v>
      </c>
      <c r="AG56" t="str">
        <f t="shared" si="6"/>
        <v/>
      </c>
      <c r="AI56" s="25"/>
    </row>
    <row r="57" spans="1:35" ht="12.75" thickBot="1">
      <c r="AB57">
        <f t="shared" si="5"/>
        <v>54</v>
      </c>
      <c r="AC57" t="s">
        <v>335</v>
      </c>
      <c r="AE57" s="287" t="s">
        <v>1036</v>
      </c>
      <c r="AF57" s="24" t="s">
        <v>335</v>
      </c>
      <c r="AG57" t="str">
        <f t="shared" si="6"/>
        <v/>
      </c>
      <c r="AI57" s="25"/>
    </row>
    <row r="58" spans="1:35" ht="12.75" thickBot="1">
      <c r="AB58">
        <f t="shared" si="5"/>
        <v>55</v>
      </c>
      <c r="AC58" t="s">
        <v>372</v>
      </c>
      <c r="AE58" s="287" t="s">
        <v>1036</v>
      </c>
      <c r="AF58" s="24" t="s">
        <v>372</v>
      </c>
      <c r="AG58" t="str">
        <f t="shared" si="6"/>
        <v/>
      </c>
      <c r="AI58" s="25"/>
    </row>
    <row r="59" spans="1:35" ht="12.75" thickBot="1">
      <c r="AB59">
        <f t="shared" si="5"/>
        <v>56</v>
      </c>
      <c r="AC59" t="s">
        <v>381</v>
      </c>
      <c r="AE59" s="287" t="s">
        <v>1035</v>
      </c>
      <c r="AF59" s="24" t="s">
        <v>381</v>
      </c>
      <c r="AG59" t="str">
        <f t="shared" si="6"/>
        <v/>
      </c>
      <c r="AI59" s="25"/>
    </row>
    <row r="60" spans="1:35" ht="12.75" thickBot="1">
      <c r="AB60">
        <f t="shared" si="5"/>
        <v>57</v>
      </c>
      <c r="AC60" t="s">
        <v>404</v>
      </c>
      <c r="AE60" s="287" t="s">
        <v>1035</v>
      </c>
      <c r="AF60" s="24" t="s">
        <v>404</v>
      </c>
      <c r="AG60" t="str">
        <f t="shared" si="6"/>
        <v/>
      </c>
      <c r="AI60" s="25"/>
    </row>
    <row r="61" spans="1:35" ht="12.75" thickBot="1">
      <c r="AB61">
        <f t="shared" si="5"/>
        <v>58</v>
      </c>
      <c r="AC61" t="s">
        <v>361</v>
      </c>
      <c r="AE61" s="287" t="s">
        <v>1035</v>
      </c>
      <c r="AF61" s="24" t="s">
        <v>361</v>
      </c>
      <c r="AG61" t="str">
        <f t="shared" si="6"/>
        <v/>
      </c>
      <c r="AI61" s="25"/>
    </row>
    <row r="62" spans="1:35" ht="12.75" thickBot="1">
      <c r="AB62">
        <f t="shared" si="5"/>
        <v>59</v>
      </c>
      <c r="AC62" t="s">
        <v>393</v>
      </c>
      <c r="AE62" s="287" t="s">
        <v>1035</v>
      </c>
      <c r="AF62" s="24" t="s">
        <v>393</v>
      </c>
      <c r="AG62" t="str">
        <f t="shared" si="6"/>
        <v/>
      </c>
      <c r="AI62" s="25"/>
    </row>
    <row r="63" spans="1:35" ht="12.75" thickBot="1">
      <c r="AB63">
        <f t="shared" si="5"/>
        <v>60</v>
      </c>
      <c r="AC63" t="s">
        <v>379</v>
      </c>
      <c r="AE63" s="287" t="s">
        <v>1036</v>
      </c>
      <c r="AF63" s="24" t="s">
        <v>379</v>
      </c>
      <c r="AG63" t="str">
        <f t="shared" si="6"/>
        <v/>
      </c>
      <c r="AI63" s="25"/>
    </row>
    <row r="64" spans="1:35" ht="12.75" thickBot="1">
      <c r="A64">
        <v>1</v>
      </c>
      <c r="AB64">
        <f t="shared" si="5"/>
        <v>61</v>
      </c>
      <c r="AC64" t="s">
        <v>389</v>
      </c>
      <c r="AE64" s="287" t="s">
        <v>1035</v>
      </c>
      <c r="AF64" s="24" t="s">
        <v>389</v>
      </c>
      <c r="AG64" t="str">
        <f t="shared" si="6"/>
        <v/>
      </c>
      <c r="AI64" s="25"/>
    </row>
    <row r="65" spans="1:35" ht="12.75" thickBot="1">
      <c r="A65">
        <v>2</v>
      </c>
      <c r="AB65">
        <f t="shared" si="5"/>
        <v>62</v>
      </c>
      <c r="AC65" t="s">
        <v>412</v>
      </c>
      <c r="AE65" s="287" t="s">
        <v>1035</v>
      </c>
      <c r="AF65" s="24" t="s">
        <v>412</v>
      </c>
      <c r="AG65" t="str">
        <f t="shared" si="6"/>
        <v/>
      </c>
      <c r="AI65" s="25"/>
    </row>
    <row r="66" spans="1:35" ht="12.75" thickBot="1">
      <c r="A66">
        <v>3</v>
      </c>
      <c r="AB66">
        <f t="shared" si="5"/>
        <v>63</v>
      </c>
      <c r="AC66" t="s">
        <v>367</v>
      </c>
      <c r="AE66" s="287" t="s">
        <v>1036</v>
      </c>
      <c r="AF66" s="24" t="s">
        <v>367</v>
      </c>
      <c r="AG66" t="str">
        <f t="shared" si="6"/>
        <v/>
      </c>
      <c r="AI66" s="25"/>
    </row>
    <row r="67" spans="1:35" ht="12.75" thickBot="1">
      <c r="A67">
        <v>4</v>
      </c>
      <c r="AB67">
        <f t="shared" si="5"/>
        <v>64</v>
      </c>
      <c r="AC67" t="s">
        <v>330</v>
      </c>
      <c r="AE67" s="287" t="s">
        <v>1036</v>
      </c>
      <c r="AF67" s="24" t="s">
        <v>330</v>
      </c>
      <c r="AG67" t="str">
        <f t="shared" si="6"/>
        <v/>
      </c>
      <c r="AI67" s="25"/>
    </row>
    <row r="68" spans="1:35" ht="12.75" thickBot="1">
      <c r="A68">
        <v>5</v>
      </c>
      <c r="AB68">
        <f t="shared" ref="AB68:AB91" si="7">AB67+1</f>
        <v>65</v>
      </c>
      <c r="AC68" t="s">
        <v>371</v>
      </c>
      <c r="AE68" s="287" t="s">
        <v>1036</v>
      </c>
      <c r="AF68" s="24" t="s">
        <v>371</v>
      </c>
      <c r="AG68" t="str">
        <f t="shared" si="6"/>
        <v/>
      </c>
      <c r="AI68" s="25"/>
    </row>
    <row r="69" spans="1:35" ht="12.75" thickBot="1">
      <c r="A69">
        <v>6</v>
      </c>
      <c r="AB69">
        <f t="shared" si="7"/>
        <v>66</v>
      </c>
      <c r="AC69" t="s">
        <v>380</v>
      </c>
      <c r="AE69" s="287" t="s">
        <v>1035</v>
      </c>
      <c r="AF69" s="24" t="s">
        <v>380</v>
      </c>
      <c r="AG69" t="str">
        <f t="shared" si="6"/>
        <v/>
      </c>
      <c r="AI69" s="25"/>
    </row>
    <row r="70" spans="1:35" ht="12.75" thickBot="1">
      <c r="A70">
        <v>7</v>
      </c>
      <c r="AB70">
        <f t="shared" si="7"/>
        <v>67</v>
      </c>
      <c r="AC70" t="s">
        <v>403</v>
      </c>
      <c r="AE70" s="287" t="s">
        <v>1035</v>
      </c>
      <c r="AF70" s="24" t="s">
        <v>403</v>
      </c>
      <c r="AG70" t="str">
        <f t="shared" si="6"/>
        <v/>
      </c>
      <c r="AI70" s="25"/>
    </row>
    <row r="71" spans="1:35" ht="12.75" thickBot="1">
      <c r="A71">
        <v>8</v>
      </c>
      <c r="AB71">
        <f t="shared" si="7"/>
        <v>68</v>
      </c>
      <c r="AC71" t="s">
        <v>360</v>
      </c>
      <c r="AE71" s="287" t="s">
        <v>1035</v>
      </c>
      <c r="AF71" s="24" t="s">
        <v>360</v>
      </c>
      <c r="AG71" t="str">
        <f t="shared" ref="AG71:AG90" si="8">IF(AC70=AF70,"","err")</f>
        <v/>
      </c>
      <c r="AI71" s="25"/>
    </row>
    <row r="72" spans="1:35" ht="12.75" thickBot="1">
      <c r="A72">
        <v>9</v>
      </c>
      <c r="AB72">
        <f t="shared" si="7"/>
        <v>69</v>
      </c>
      <c r="AC72" t="s">
        <v>392</v>
      </c>
      <c r="AE72" s="287" t="s">
        <v>1035</v>
      </c>
      <c r="AF72" s="24" t="s">
        <v>392</v>
      </c>
      <c r="AG72" t="str">
        <f t="shared" si="8"/>
        <v/>
      </c>
      <c r="AI72" s="25"/>
    </row>
    <row r="73" spans="1:35" ht="12.75" thickBot="1">
      <c r="A73">
        <v>10</v>
      </c>
      <c r="AB73">
        <f t="shared" si="7"/>
        <v>70</v>
      </c>
      <c r="AC73" t="s">
        <v>390</v>
      </c>
      <c r="AE73" s="287" t="s">
        <v>1035</v>
      </c>
      <c r="AF73" s="24" t="s">
        <v>390</v>
      </c>
      <c r="AG73" t="str">
        <f t="shared" si="8"/>
        <v/>
      </c>
      <c r="AI73" s="25"/>
    </row>
    <row r="74" spans="1:35" ht="12.75" thickBot="1">
      <c r="A74">
        <v>11</v>
      </c>
      <c r="AB74">
        <f t="shared" si="7"/>
        <v>71</v>
      </c>
      <c r="AC74" t="s">
        <v>414</v>
      </c>
      <c r="AE74" s="287" t="s">
        <v>1035</v>
      </c>
      <c r="AF74" s="24" t="s">
        <v>414</v>
      </c>
      <c r="AG74" t="str">
        <f t="shared" si="8"/>
        <v/>
      </c>
      <c r="AI74" s="25"/>
    </row>
    <row r="75" spans="1:35" ht="12.75" thickBot="1">
      <c r="A75">
        <v>12</v>
      </c>
      <c r="AB75">
        <f t="shared" si="7"/>
        <v>72</v>
      </c>
      <c r="AC75" t="s">
        <v>364</v>
      </c>
      <c r="AE75" s="287" t="s">
        <v>1035</v>
      </c>
      <c r="AF75" s="24" t="s">
        <v>364</v>
      </c>
      <c r="AG75" t="str">
        <f t="shared" si="8"/>
        <v/>
      </c>
      <c r="AI75" s="25"/>
    </row>
    <row r="76" spans="1:35" ht="12.75" thickBot="1">
      <c r="AB76">
        <f t="shared" si="7"/>
        <v>73</v>
      </c>
      <c r="AC76" t="s">
        <v>396</v>
      </c>
      <c r="AE76" s="287" t="s">
        <v>1035</v>
      </c>
      <c r="AF76" s="24" t="s">
        <v>396</v>
      </c>
      <c r="AG76" t="str">
        <f t="shared" si="8"/>
        <v/>
      </c>
      <c r="AI76" s="25"/>
    </row>
    <row r="77" spans="1:35" ht="12.75" thickBot="1">
      <c r="AB77">
        <f t="shared" si="7"/>
        <v>74</v>
      </c>
      <c r="AC77" t="s">
        <v>395</v>
      </c>
      <c r="AE77" s="287" t="s">
        <v>1035</v>
      </c>
      <c r="AF77" s="24" t="s">
        <v>395</v>
      </c>
      <c r="AG77" t="str">
        <f t="shared" si="8"/>
        <v/>
      </c>
      <c r="AI77" s="25"/>
    </row>
    <row r="78" spans="1:35" ht="12.75" thickBot="1">
      <c r="AB78">
        <f t="shared" si="7"/>
        <v>75</v>
      </c>
      <c r="AC78" t="s">
        <v>415</v>
      </c>
      <c r="AE78" s="287" t="s">
        <v>1035</v>
      </c>
      <c r="AF78" s="24" t="s">
        <v>415</v>
      </c>
      <c r="AG78" t="str">
        <f t="shared" si="8"/>
        <v/>
      </c>
      <c r="AI78" s="25"/>
    </row>
    <row r="79" spans="1:35" ht="12.75" thickBot="1">
      <c r="AB79">
        <f t="shared" si="7"/>
        <v>76</v>
      </c>
      <c r="AC79" t="s">
        <v>365</v>
      </c>
      <c r="AE79" s="287" t="s">
        <v>1035</v>
      </c>
      <c r="AF79" s="24" t="s">
        <v>365</v>
      </c>
      <c r="AG79" t="str">
        <f t="shared" si="8"/>
        <v/>
      </c>
      <c r="AI79" s="25"/>
    </row>
    <row r="80" spans="1:35" ht="12.75" thickBot="1">
      <c r="AB80">
        <f t="shared" si="7"/>
        <v>77</v>
      </c>
      <c r="AC80" t="s">
        <v>397</v>
      </c>
      <c r="AE80" s="287" t="s">
        <v>1035</v>
      </c>
      <c r="AF80" s="24" t="s">
        <v>397</v>
      </c>
      <c r="AG80" t="str">
        <f t="shared" si="8"/>
        <v/>
      </c>
      <c r="AI80" s="25"/>
    </row>
    <row r="81" spans="28:35" ht="12.75" thickBot="1">
      <c r="AB81">
        <f t="shared" si="7"/>
        <v>78</v>
      </c>
      <c r="AC81" t="s">
        <v>337</v>
      </c>
      <c r="AE81" s="287" t="s">
        <v>1035</v>
      </c>
      <c r="AF81" s="24" t="s">
        <v>337</v>
      </c>
      <c r="AG81" t="str">
        <f t="shared" si="8"/>
        <v/>
      </c>
      <c r="AI81" s="25"/>
    </row>
    <row r="82" spans="28:35" ht="12.75" thickBot="1">
      <c r="AB82">
        <f t="shared" si="7"/>
        <v>79</v>
      </c>
      <c r="AC82" t="s">
        <v>369</v>
      </c>
      <c r="AE82" s="287" t="s">
        <v>1035</v>
      </c>
      <c r="AF82" s="24" t="s">
        <v>369</v>
      </c>
      <c r="AG82" t="str">
        <f t="shared" si="8"/>
        <v/>
      </c>
      <c r="AI82" s="25"/>
    </row>
    <row r="83" spans="28:35" ht="12.75" thickBot="1">
      <c r="AB83">
        <f t="shared" si="7"/>
        <v>80</v>
      </c>
      <c r="AC83" t="s">
        <v>715</v>
      </c>
      <c r="AE83" s="287" t="s">
        <v>1035</v>
      </c>
      <c r="AF83" s="24" t="s">
        <v>715</v>
      </c>
      <c r="AG83" t="str">
        <f t="shared" si="8"/>
        <v/>
      </c>
      <c r="AI83" s="25"/>
    </row>
    <row r="84" spans="28:35" ht="12.75" thickBot="1">
      <c r="AB84">
        <f t="shared" si="7"/>
        <v>81</v>
      </c>
      <c r="AC84" t="s">
        <v>332</v>
      </c>
      <c r="AE84" s="287" t="s">
        <v>1035</v>
      </c>
      <c r="AF84" s="24" t="s">
        <v>332</v>
      </c>
      <c r="AG84" t="str">
        <f t="shared" si="8"/>
        <v/>
      </c>
      <c r="AI84" s="25"/>
    </row>
    <row r="85" spans="28:35" ht="12.75" thickBot="1">
      <c r="AB85">
        <f t="shared" si="7"/>
        <v>82</v>
      </c>
      <c r="AC85" t="s">
        <v>334</v>
      </c>
      <c r="AE85" s="287" t="s">
        <v>1035</v>
      </c>
      <c r="AF85" s="24" t="s">
        <v>334</v>
      </c>
      <c r="AG85" t="str">
        <f t="shared" si="8"/>
        <v/>
      </c>
      <c r="AI85" s="25"/>
    </row>
    <row r="86" spans="28:35" ht="12.75" thickBot="1">
      <c r="AB86">
        <f t="shared" si="7"/>
        <v>83</v>
      </c>
      <c r="AC86" t="s">
        <v>366</v>
      </c>
      <c r="AE86" s="287" t="s">
        <v>1035</v>
      </c>
      <c r="AF86" s="24" t="s">
        <v>366</v>
      </c>
      <c r="AG86" t="str">
        <f t="shared" si="8"/>
        <v/>
      </c>
      <c r="AI86" s="25"/>
    </row>
    <row r="87" spans="28:35" ht="12.75" thickBot="1">
      <c r="AB87">
        <f t="shared" si="7"/>
        <v>84</v>
      </c>
      <c r="AC87" t="s">
        <v>329</v>
      </c>
      <c r="AE87" s="287" t="s">
        <v>1035</v>
      </c>
      <c r="AF87" s="24" t="s">
        <v>329</v>
      </c>
      <c r="AG87" t="str">
        <f t="shared" si="8"/>
        <v/>
      </c>
      <c r="AI87" s="25"/>
    </row>
    <row r="88" spans="28:35" ht="12.75" thickBot="1">
      <c r="AB88">
        <f t="shared" si="7"/>
        <v>85</v>
      </c>
      <c r="AC88" t="s">
        <v>683</v>
      </c>
      <c r="AE88" s="287" t="s">
        <v>1035</v>
      </c>
      <c r="AF88" s="24" t="s">
        <v>683</v>
      </c>
      <c r="AG88" t="str">
        <f t="shared" si="8"/>
        <v/>
      </c>
      <c r="AI88" s="25"/>
    </row>
    <row r="89" spans="28:35" ht="12.75" thickBot="1">
      <c r="AB89">
        <f t="shared" si="7"/>
        <v>86</v>
      </c>
      <c r="AC89" t="s">
        <v>463</v>
      </c>
      <c r="AE89" s="287" t="s">
        <v>1035</v>
      </c>
      <c r="AF89" s="24" t="s">
        <v>463</v>
      </c>
      <c r="AG89" t="str">
        <f t="shared" si="8"/>
        <v/>
      </c>
      <c r="AI89" s="25"/>
    </row>
    <row r="90" spans="28:35" ht="12.75" thickBot="1">
      <c r="AB90">
        <f t="shared" si="7"/>
        <v>87</v>
      </c>
      <c r="AC90" t="s">
        <v>653</v>
      </c>
      <c r="AE90" s="287" t="s">
        <v>1035</v>
      </c>
      <c r="AF90" s="24" t="s">
        <v>653</v>
      </c>
      <c r="AG90" t="str">
        <f t="shared" si="8"/>
        <v/>
      </c>
      <c r="AI90" s="25"/>
    </row>
    <row r="91" spans="28:35" ht="12.75" thickBot="1">
      <c r="AB91">
        <f t="shared" si="7"/>
        <v>88</v>
      </c>
      <c r="AC91" t="s">
        <v>79</v>
      </c>
      <c r="AE91" s="287" t="s">
        <v>79</v>
      </c>
      <c r="AF91" s="24" t="s">
        <v>79</v>
      </c>
      <c r="AG91" t="str">
        <f>IF(AC91=AF91,"","err")</f>
        <v/>
      </c>
      <c r="AI91" s="25"/>
    </row>
    <row r="92" spans="28:35">
      <c r="AC92" s="211"/>
      <c r="AE92" s="287"/>
      <c r="AI92" s="25"/>
    </row>
    <row r="93" spans="28:35">
      <c r="AC93" s="211"/>
      <c r="AE93" s="287"/>
      <c r="AI93" s="25"/>
    </row>
    <row r="94" spans="28:35">
      <c r="AC94" s="211"/>
      <c r="AE94" s="287"/>
      <c r="AI94" s="25"/>
    </row>
    <row r="95" spans="28:35">
      <c r="AC95" s="211"/>
      <c r="AE95" s="287"/>
      <c r="AI95" s="25"/>
    </row>
    <row r="96" spans="28:35">
      <c r="AC96" s="211"/>
      <c r="AE96" s="287"/>
      <c r="AI96" s="25"/>
    </row>
    <row r="97" spans="29:35">
      <c r="AC97" s="211"/>
      <c r="AE97" s="287"/>
      <c r="AI97" s="25"/>
    </row>
    <row r="98" spans="29:35">
      <c r="AC98" s="211"/>
      <c r="AE98" s="287"/>
      <c r="AI98" s="25"/>
    </row>
    <row r="99" spans="29:35">
      <c r="AC99" s="211"/>
      <c r="AE99" s="287"/>
      <c r="AI99" s="25"/>
    </row>
    <row r="100" spans="29:35">
      <c r="AC100" s="211"/>
      <c r="AE100" s="287"/>
      <c r="AI100" s="25"/>
    </row>
    <row r="101" spans="29:35">
      <c r="AC101" s="211"/>
      <c r="AE101" s="287"/>
      <c r="AI101" s="25"/>
    </row>
    <row r="102" spans="29:35">
      <c r="AC102" s="211"/>
      <c r="AE102" s="287"/>
      <c r="AI102" s="25"/>
    </row>
    <row r="103" spans="29:35">
      <c r="AC103" s="211"/>
      <c r="AE103" s="287"/>
      <c r="AI103" s="25"/>
    </row>
    <row r="104" spans="29:35">
      <c r="AC104" s="211"/>
      <c r="AE104" s="287"/>
      <c r="AI104" s="25"/>
    </row>
    <row r="105" spans="29:35">
      <c r="AC105" s="211"/>
      <c r="AE105" s="287"/>
      <c r="AI105" s="25"/>
    </row>
    <row r="106" spans="29:35">
      <c r="AC106" s="211"/>
      <c r="AE106" s="287"/>
      <c r="AI106" s="25"/>
    </row>
    <row r="107" spans="29:35">
      <c r="AC107" s="211"/>
      <c r="AE107" s="287"/>
      <c r="AI107" s="25"/>
    </row>
    <row r="108" spans="29:35">
      <c r="AC108" s="210"/>
      <c r="AE108" s="287"/>
      <c r="AI108" s="25"/>
    </row>
    <row r="109" spans="29:35">
      <c r="AC109" s="211"/>
      <c r="AE109" s="287"/>
      <c r="AI109" s="25"/>
    </row>
    <row r="110" spans="29:35">
      <c r="AC110" s="211"/>
      <c r="AE110" s="287"/>
      <c r="AI110" s="25"/>
    </row>
    <row r="111" spans="29:35">
      <c r="AC111" s="211"/>
      <c r="AE111" s="287"/>
      <c r="AI111" s="25"/>
    </row>
    <row r="112" spans="29:35">
      <c r="AC112" s="211"/>
      <c r="AE112" s="287"/>
      <c r="AI112" s="25"/>
    </row>
    <row r="113" spans="29:35">
      <c r="AC113" s="210"/>
      <c r="AE113" s="287"/>
      <c r="AI113" s="25"/>
    </row>
    <row r="114" spans="29:35">
      <c r="AC114" s="210"/>
      <c r="AE114" s="287"/>
    </row>
    <row r="115" spans="29:35">
      <c r="AC115" s="210"/>
      <c r="AE115" s="287"/>
    </row>
  </sheetData>
  <sortState ref="AG6:AH313">
    <sortCondition ref="AH4:AH31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pageSetUpPr fitToPage="1"/>
  </sheetPr>
  <dimension ref="A1:J42"/>
  <sheetViews>
    <sheetView topLeftCell="A13" workbookViewId="0">
      <selection activeCell="A371" sqref="A371"/>
    </sheetView>
  </sheetViews>
  <sheetFormatPr defaultRowHeight="12.75"/>
  <cols>
    <col min="1" max="1" width="8.1640625" style="915" customWidth="1"/>
    <col min="2" max="2" width="9.6640625" style="876" customWidth="1"/>
    <col min="3" max="3" width="45.6640625" style="876" customWidth="1"/>
    <col min="4" max="4" width="15.1640625" style="876" customWidth="1"/>
    <col min="5" max="5" width="18.33203125" style="876" customWidth="1"/>
    <col min="6" max="6" width="19.33203125" style="876" customWidth="1"/>
    <col min="7" max="7" width="17.1640625" style="876" customWidth="1"/>
    <col min="8" max="8" width="15.5" style="876" customWidth="1"/>
    <col min="9" max="16384" width="9.33203125" style="876"/>
  </cols>
  <sheetData>
    <row r="1" spans="1:10">
      <c r="A1" s="959" t="s">
        <v>1441</v>
      </c>
      <c r="H1" s="1023" t="s">
        <v>1534</v>
      </c>
    </row>
    <row r="2" spans="1:10">
      <c r="A2" s="959" t="s">
        <v>1450</v>
      </c>
      <c r="H2" s="1023" t="s">
        <v>1536</v>
      </c>
    </row>
    <row r="3" spans="1:10">
      <c r="A3" s="907" t="s">
        <v>1440</v>
      </c>
      <c r="H3" s="909" t="s">
        <v>1532</v>
      </c>
    </row>
    <row r="4" spans="1:10">
      <c r="A4" s="908"/>
    </row>
    <row r="5" spans="1:10">
      <c r="A5" s="910" t="s">
        <v>1439</v>
      </c>
      <c r="B5" s="911"/>
      <c r="C5" s="911"/>
      <c r="D5" s="911"/>
      <c r="E5" s="911"/>
      <c r="F5" s="911"/>
      <c r="G5" s="911"/>
      <c r="H5" s="911"/>
    </row>
    <row r="7" spans="1:10" s="1018" customFormat="1" ht="39">
      <c r="A7" s="915"/>
      <c r="B7" s="915"/>
      <c r="C7" s="1019" t="s">
        <v>1090</v>
      </c>
      <c r="D7" s="1019" t="s">
        <v>100</v>
      </c>
      <c r="E7" s="1019" t="s">
        <v>1530</v>
      </c>
      <c r="F7" s="1020" t="s">
        <v>1531</v>
      </c>
      <c r="G7" s="1020" t="s">
        <v>1544</v>
      </c>
      <c r="H7" s="1020" t="s">
        <v>1545</v>
      </c>
    </row>
    <row r="8" spans="1:10" s="1018" customFormat="1" ht="15">
      <c r="A8" s="915"/>
      <c r="B8" s="916"/>
      <c r="C8" s="916"/>
      <c r="D8" s="916"/>
      <c r="E8" s="916"/>
      <c r="F8" s="916"/>
      <c r="G8" s="916"/>
      <c r="H8" s="916"/>
    </row>
    <row r="9" spans="1:10" ht="15" customHeight="1">
      <c r="A9" s="912"/>
      <c r="B9" s="906"/>
      <c r="C9" s="917" t="s">
        <v>111</v>
      </c>
      <c r="D9" s="914">
        <f>'Sch M-1.3-pg2-13'!$C$13</f>
        <v>5117212</v>
      </c>
      <c r="E9" s="914">
        <f>'Sch M-1.3-pg2-13'!$E$13</f>
        <v>6161445562</v>
      </c>
      <c r="F9" s="914">
        <f>ROUND(E9/D9,0)</f>
        <v>1204</v>
      </c>
      <c r="G9" s="753">
        <f>'Sch M-1.3-pg 1'!$C$10</f>
        <v>578410518</v>
      </c>
      <c r="H9" s="1021">
        <f>ROUND(G9/D9,2)</f>
        <v>113.03</v>
      </c>
      <c r="J9" s="915"/>
    </row>
    <row r="10" spans="1:10" ht="15" customHeight="1">
      <c r="A10" s="912"/>
      <c r="B10" s="906"/>
      <c r="C10" s="917"/>
      <c r="D10" s="914"/>
      <c r="E10" s="914"/>
      <c r="F10" s="914"/>
      <c r="G10" s="753"/>
      <c r="H10" s="1021"/>
      <c r="J10" s="915"/>
    </row>
    <row r="11" spans="1:10" ht="15" customHeight="1">
      <c r="A11" s="912"/>
      <c r="B11" s="913"/>
      <c r="C11" s="917" t="s">
        <v>1557</v>
      </c>
      <c r="D11" s="914">
        <f>'Sch M-1.3-pg2-13'!$C$22</f>
        <v>34</v>
      </c>
      <c r="E11" s="914">
        <f>'Sch M-1.3-pg2-13'!$E$22</f>
        <v>36492</v>
      </c>
      <c r="F11" s="914">
        <f t="shared" ref="F11:F35" si="0">ROUND(E11/D11,0)</f>
        <v>1073</v>
      </c>
      <c r="G11" s="753">
        <f>'Sch M-1.3-pg 1'!$C$11</f>
        <v>3326</v>
      </c>
      <c r="H11" s="1021">
        <f t="shared" ref="H11:H27" si="1">ROUND(G11/D11,2)</f>
        <v>97.82</v>
      </c>
    </row>
    <row r="12" spans="1:10" ht="15" customHeight="1">
      <c r="A12" s="912"/>
      <c r="B12" s="913"/>
      <c r="C12" s="917"/>
      <c r="D12" s="914"/>
      <c r="E12" s="914"/>
      <c r="F12" s="914"/>
      <c r="G12" s="753"/>
      <c r="H12" s="1021"/>
    </row>
    <row r="13" spans="1:10" ht="15" customHeight="1">
      <c r="A13" s="912"/>
      <c r="B13" s="906"/>
      <c r="C13" s="917" t="s">
        <v>112</v>
      </c>
      <c r="D13" s="914">
        <f>'Sch M-1.3-pg2-13'!$C$57</f>
        <v>983404</v>
      </c>
      <c r="E13" s="914">
        <f>'Sch M-1.3-pg2-13'!$E$57</f>
        <v>1858896422</v>
      </c>
      <c r="F13" s="914">
        <f t="shared" si="0"/>
        <v>1890</v>
      </c>
      <c r="G13" s="753">
        <f>'Sch M-1.3-pg 1'!$C$16</f>
        <v>208527160</v>
      </c>
      <c r="H13" s="1021">
        <f t="shared" si="1"/>
        <v>212.05</v>
      </c>
      <c r="J13" s="915"/>
    </row>
    <row r="14" spans="1:10" ht="15" customHeight="1">
      <c r="A14" s="912"/>
      <c r="B14" s="906"/>
      <c r="C14" s="917"/>
      <c r="D14" s="914"/>
      <c r="E14" s="914"/>
      <c r="F14" s="914"/>
      <c r="G14" s="753"/>
      <c r="H14" s="1021"/>
      <c r="J14" s="915"/>
    </row>
    <row r="15" spans="1:10" ht="15" customHeight="1">
      <c r="A15" s="912"/>
      <c r="B15" s="906"/>
      <c r="C15" s="917" t="s">
        <v>1533</v>
      </c>
      <c r="D15" s="914">
        <f>'Sch M-1.3-pg2-13'!$C$90</f>
        <v>7576</v>
      </c>
      <c r="E15" s="914">
        <f>'Sch M-1.3-pg2-13'!$E$90</f>
        <v>149531748</v>
      </c>
      <c r="F15" s="914">
        <f t="shared" si="0"/>
        <v>19738</v>
      </c>
      <c r="G15" s="753">
        <f>'Sch M-1.3-pg 1'!$C$20</f>
        <v>12247663</v>
      </c>
      <c r="H15" s="1021">
        <f t="shared" si="1"/>
        <v>1616.64</v>
      </c>
      <c r="J15" s="916"/>
    </row>
    <row r="16" spans="1:10" ht="15" customHeight="1">
      <c r="A16" s="912"/>
      <c r="B16" s="906"/>
      <c r="C16" s="917"/>
      <c r="D16" s="914"/>
      <c r="E16" s="914"/>
      <c r="F16" s="914"/>
      <c r="G16" s="753"/>
      <c r="H16" s="1021"/>
      <c r="J16" s="916"/>
    </row>
    <row r="17" spans="1:10" ht="15" customHeight="1">
      <c r="A17" s="912"/>
      <c r="B17" s="906"/>
      <c r="C17" s="917" t="s">
        <v>1436</v>
      </c>
      <c r="D17" s="914">
        <f>'Sch M-1.3-pg2-13'!$C$124</f>
        <v>60078</v>
      </c>
      <c r="E17" s="914">
        <f>'Sch M-1.3-pg2-13'!$E$124</f>
        <v>2292480067</v>
      </c>
      <c r="F17" s="914">
        <f t="shared" si="0"/>
        <v>38158</v>
      </c>
      <c r="G17" s="753">
        <f>'Sch M-1.3-pg 1'!$C$22</f>
        <v>201846358</v>
      </c>
      <c r="H17" s="1021">
        <f t="shared" si="1"/>
        <v>3359.74</v>
      </c>
      <c r="J17" s="915"/>
    </row>
    <row r="18" spans="1:10" ht="15" customHeight="1">
      <c r="A18" s="912"/>
      <c r="B18" s="906"/>
      <c r="C18" s="917"/>
      <c r="D18" s="914"/>
      <c r="E18" s="914"/>
      <c r="F18" s="914"/>
      <c r="G18" s="753"/>
      <c r="H18" s="1021"/>
      <c r="J18" s="915"/>
    </row>
    <row r="19" spans="1:10" ht="15" customHeight="1">
      <c r="A19" s="912"/>
      <c r="B19" s="906"/>
      <c r="C19" s="917" t="s">
        <v>1437</v>
      </c>
      <c r="D19" s="914">
        <f>'Sch M-1.3-pg2-13'!$C$159</f>
        <v>2733</v>
      </c>
      <c r="E19" s="914">
        <f>'Sch M-1.3-pg2-13'!$E$159</f>
        <v>265320458</v>
      </c>
      <c r="F19" s="914">
        <f t="shared" si="0"/>
        <v>97080</v>
      </c>
      <c r="G19" s="753">
        <f>'Sch M-1.3-pg 1'!$C$24</f>
        <v>21634765</v>
      </c>
      <c r="H19" s="1021">
        <f t="shared" si="1"/>
        <v>7916.12</v>
      </c>
    </row>
    <row r="20" spans="1:10" ht="15" customHeight="1">
      <c r="A20" s="912"/>
      <c r="B20" s="906"/>
      <c r="C20" s="1022"/>
      <c r="D20" s="914"/>
      <c r="E20" s="914"/>
      <c r="F20" s="914"/>
      <c r="G20" s="914"/>
      <c r="H20" s="1021"/>
    </row>
    <row r="21" spans="1:10" ht="15" customHeight="1">
      <c r="A21" s="912"/>
      <c r="B21" s="906"/>
      <c r="C21" s="917" t="s">
        <v>202</v>
      </c>
      <c r="D21" s="914">
        <f>'Sch M-1.3-pg2-13'!$C$196</f>
        <v>5442</v>
      </c>
      <c r="E21" s="914">
        <f>'Sch M-1.3-pg2-13'!$E$196</f>
        <v>1369283940</v>
      </c>
      <c r="F21" s="914">
        <f t="shared" si="0"/>
        <v>251614</v>
      </c>
      <c r="G21" s="753">
        <f>'Sch M-1.3-pg 1'!$C$26</f>
        <v>96203320</v>
      </c>
      <c r="H21" s="1021">
        <f t="shared" si="1"/>
        <v>17677.93</v>
      </c>
    </row>
    <row r="22" spans="1:10" ht="15" customHeight="1">
      <c r="A22" s="912"/>
      <c r="B22" s="906"/>
      <c r="C22" s="917"/>
      <c r="D22" s="914"/>
      <c r="E22" s="914"/>
      <c r="F22" s="914"/>
      <c r="G22" s="914"/>
      <c r="H22" s="1021"/>
    </row>
    <row r="23" spans="1:10" ht="15" customHeight="1">
      <c r="A23" s="912"/>
      <c r="B23" s="906"/>
      <c r="C23" s="917" t="s">
        <v>198</v>
      </c>
      <c r="D23" s="914">
        <f>'Sch M-1.3-pg2-13'!$C$232</f>
        <v>2698</v>
      </c>
      <c r="E23" s="914">
        <f>'Sch M-1.3-pg2-13'!$E$232</f>
        <v>4199750975</v>
      </c>
      <c r="F23" s="914">
        <f t="shared" si="0"/>
        <v>1556616</v>
      </c>
      <c r="G23" s="753">
        <f>'Sch M-1.3-pg 1'!$C$28</f>
        <v>259447546</v>
      </c>
      <c r="H23" s="1021">
        <f>ROUND(G23/D23,2)</f>
        <v>96162.92</v>
      </c>
    </row>
    <row r="24" spans="1:10" ht="15" customHeight="1">
      <c r="A24" s="912"/>
      <c r="B24" s="906"/>
      <c r="C24" s="917"/>
      <c r="D24" s="914"/>
      <c r="E24" s="914"/>
      <c r="F24" s="914"/>
      <c r="G24" s="753"/>
      <c r="H24" s="1021"/>
    </row>
    <row r="25" spans="1:10" ht="15" customHeight="1">
      <c r="A25" s="912"/>
      <c r="B25" s="906"/>
      <c r="C25" s="917" t="s">
        <v>58</v>
      </c>
      <c r="D25" s="914">
        <f>'Sch M-1.3-pg2-13'!$C$267</f>
        <v>385</v>
      </c>
      <c r="E25" s="914">
        <f>'Sch M-1.3-pg2-13'!$E$267</f>
        <v>1603173602</v>
      </c>
      <c r="F25" s="914">
        <f t="shared" si="0"/>
        <v>4164087</v>
      </c>
      <c r="G25" s="753">
        <f>'Sch M-1.3-pg 1'!$C$30</f>
        <v>93885306</v>
      </c>
      <c r="H25" s="1021">
        <f t="shared" si="1"/>
        <v>243857.94</v>
      </c>
    </row>
    <row r="26" spans="1:10" ht="15" customHeight="1">
      <c r="A26" s="912"/>
      <c r="B26" s="906"/>
      <c r="C26" s="917"/>
      <c r="D26" s="914"/>
      <c r="E26" s="914"/>
      <c r="F26" s="914"/>
      <c r="G26" s="914"/>
      <c r="H26" s="1021"/>
    </row>
    <row r="27" spans="1:10" ht="15" customHeight="1">
      <c r="A27" s="912"/>
      <c r="B27" s="906"/>
      <c r="C27" s="917" t="s">
        <v>114</v>
      </c>
      <c r="D27" s="914">
        <f>'Sch M-1.3-pg2-13'!$C$337</f>
        <v>12</v>
      </c>
      <c r="E27" s="914">
        <f>'Sch M-1.3-pg2-13'!$E$337</f>
        <v>565207068</v>
      </c>
      <c r="F27" s="914">
        <f t="shared" si="0"/>
        <v>47100589</v>
      </c>
      <c r="G27" s="753">
        <f>'Sch M-1.3-pg 1'!$C$33</f>
        <v>29875369</v>
      </c>
      <c r="H27" s="1021">
        <f t="shared" si="1"/>
        <v>2489614.08</v>
      </c>
    </row>
    <row r="28" spans="1:10" ht="15" customHeight="1">
      <c r="A28" s="912"/>
      <c r="B28" s="906"/>
      <c r="C28" s="917"/>
      <c r="D28" s="914"/>
      <c r="E28" s="914"/>
      <c r="F28" s="914"/>
      <c r="G28" s="753"/>
      <c r="H28" s="1021"/>
    </row>
    <row r="29" spans="1:10" ht="15" customHeight="1">
      <c r="A29" s="912"/>
      <c r="B29" s="913"/>
      <c r="C29" s="917" t="s">
        <v>1438</v>
      </c>
      <c r="D29" s="914">
        <v>60</v>
      </c>
      <c r="E29" s="914">
        <v>0</v>
      </c>
      <c r="F29" s="914">
        <v>0</v>
      </c>
      <c r="G29" s="753">
        <f>'Sch M-1.3-pg 1'!C38+'Sch M-1.3-pg 1'!C43</f>
        <v>-12322833</v>
      </c>
      <c r="H29" s="1021">
        <f>ROUND(G29/D29,2)</f>
        <v>-205380.55</v>
      </c>
    </row>
    <row r="30" spans="1:10" ht="15" customHeight="1">
      <c r="A30" s="912"/>
      <c r="B30" s="913"/>
      <c r="C30" s="917"/>
      <c r="D30" s="914"/>
      <c r="E30" s="914"/>
      <c r="F30" s="914"/>
      <c r="G30" s="914"/>
      <c r="H30" s="1021"/>
    </row>
    <row r="31" spans="1:10" ht="15" customHeight="1">
      <c r="A31" s="912"/>
      <c r="B31" s="906"/>
      <c r="C31" s="917" t="s">
        <v>651</v>
      </c>
      <c r="D31" s="914">
        <f>'Sch M-1.3-pg2-13'!$C$364</f>
        <v>23</v>
      </c>
      <c r="E31" s="914">
        <f>'Sch M-1.3-pg2-13'!$E$364</f>
        <v>180866</v>
      </c>
      <c r="F31" s="914">
        <f>ROUND(E31/D31,0)</f>
        <v>7864</v>
      </c>
      <c r="G31" s="753">
        <f>'Sch M-1.3-pg 1'!$C$45</f>
        <v>12372</v>
      </c>
      <c r="H31" s="1021">
        <f>ROUND(G31/D31,2)</f>
        <v>537.91</v>
      </c>
    </row>
    <row r="32" spans="1:10" ht="15" customHeight="1">
      <c r="A32" s="912"/>
      <c r="B32" s="906"/>
      <c r="C32" s="917"/>
      <c r="D32" s="914"/>
      <c r="E32" s="914"/>
      <c r="F32" s="914"/>
      <c r="G32" s="914"/>
      <c r="H32" s="1021"/>
    </row>
    <row r="33" spans="1:8" ht="15" customHeight="1">
      <c r="A33" s="912"/>
      <c r="B33" s="913"/>
      <c r="C33" s="917" t="s">
        <v>59</v>
      </c>
      <c r="D33" s="914">
        <f>'Sch M-1.3-pg2-13'!$C$393</f>
        <v>8974</v>
      </c>
      <c r="E33" s="914">
        <f>'Sch M-1.3-pg2-13'!$E$393</f>
        <v>1289493</v>
      </c>
      <c r="F33" s="914">
        <f>ROUND(E33/D33,0)</f>
        <v>144</v>
      </c>
      <c r="G33" s="753">
        <f>'Sch M-1.3-pg 1'!$C$47</f>
        <v>138559</v>
      </c>
      <c r="H33" s="1021">
        <f>ROUND(G33/D33,2)</f>
        <v>15.44</v>
      </c>
    </row>
    <row r="34" spans="1:8" ht="15" customHeight="1">
      <c r="A34" s="912"/>
      <c r="B34" s="906"/>
      <c r="C34" s="917"/>
      <c r="D34" s="914"/>
      <c r="E34" s="914"/>
      <c r="F34" s="914"/>
      <c r="G34" s="914"/>
      <c r="H34" s="1021"/>
    </row>
    <row r="35" spans="1:8" ht="15" customHeight="1">
      <c r="A35" s="912"/>
      <c r="B35" s="906"/>
      <c r="C35" s="917" t="s">
        <v>1395</v>
      </c>
      <c r="D35" s="914">
        <f>'Sch M-1.3-pg 14-18'!$C$95+'Sch M-1.3-pg 14-18'!$C$170</f>
        <v>2023648</v>
      </c>
      <c r="E35" s="914">
        <f>SUM('12MonLights'!G1071:H1071)</f>
        <v>119829646</v>
      </c>
      <c r="F35" s="914">
        <f t="shared" si="0"/>
        <v>59</v>
      </c>
      <c r="G35" s="914">
        <f>'Sch M-1.3-pg 1'!$C$52</f>
        <v>25922033</v>
      </c>
      <c r="H35" s="1021">
        <f>ROUND(G35/D35,2)</f>
        <v>12.81</v>
      </c>
    </row>
    <row r="36" spans="1:8">
      <c r="B36" s="918"/>
      <c r="D36" s="875"/>
      <c r="E36" s="875"/>
      <c r="F36" s="875"/>
      <c r="G36" s="875"/>
    </row>
    <row r="37" spans="1:8">
      <c r="C37" s="918"/>
      <c r="D37" s="875"/>
      <c r="E37" s="875"/>
      <c r="F37" s="875"/>
      <c r="G37" s="875"/>
    </row>
    <row r="38" spans="1:8">
      <c r="F38" s="919"/>
      <c r="G38" s="919"/>
    </row>
    <row r="40" spans="1:8" ht="15" customHeight="1">
      <c r="F40" s="919"/>
      <c r="G40" s="919"/>
    </row>
    <row r="42" spans="1:8">
      <c r="F42" s="919"/>
      <c r="G42" s="919"/>
    </row>
  </sheetData>
  <printOptions horizontalCentered="1"/>
  <pageMargins left="0.75" right="0.75" top="1.65" bottom="0.74" header="0.68" footer="0.33"/>
  <pageSetup scale="85" orientation="landscape" r:id="rId1"/>
  <headerFooter scaleWithDoc="0" alignWithMargins="0">
    <oddHeader>&amp;C&amp;"-,Bold"&amp;11Kentucky Utilities Company&amp;12
&amp;11Case No. 2014-00371
Base Period Average Bill Calculation at Present Rates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P54"/>
  <sheetViews>
    <sheetView workbookViewId="0">
      <selection activeCell="J3" sqref="J3"/>
    </sheetView>
  </sheetViews>
  <sheetFormatPr defaultRowHeight="12.75"/>
  <cols>
    <col min="1" max="1" width="63.6640625" style="881" customWidth="1"/>
    <col min="2" max="2" width="26.33203125" style="881" hidden="1" customWidth="1"/>
    <col min="3" max="3" width="18.6640625" style="881" customWidth="1"/>
    <col min="4" max="4" width="15.1640625" style="881" customWidth="1"/>
    <col min="5" max="5" width="18.5" style="881" customWidth="1"/>
    <col min="6" max="6" width="16.6640625" style="881" bestFit="1" customWidth="1"/>
    <col min="7" max="7" width="15.1640625" style="881" customWidth="1"/>
    <col min="8" max="9" width="18.6640625" style="881" bestFit="1" customWidth="1"/>
    <col min="10" max="10" width="11.6640625" style="881" bestFit="1" customWidth="1"/>
    <col min="11" max="11" width="9.33203125" style="881"/>
    <col min="12" max="12" width="18.6640625" style="881" bestFit="1" customWidth="1"/>
    <col min="13" max="13" width="18.5" style="881" bestFit="1" customWidth="1"/>
    <col min="14" max="14" width="12.83203125" style="881" bestFit="1" customWidth="1"/>
    <col min="15" max="16384" width="9.33203125" style="881"/>
  </cols>
  <sheetData>
    <row r="1" spans="1:16">
      <c r="A1" s="880" t="s">
        <v>1441</v>
      </c>
      <c r="J1" s="882" t="s">
        <v>1549</v>
      </c>
    </row>
    <row r="2" spans="1:16">
      <c r="A2" s="883" t="s">
        <v>1450</v>
      </c>
      <c r="J2" s="882" t="s">
        <v>1558</v>
      </c>
    </row>
    <row r="3" spans="1:16">
      <c r="A3" s="883" t="s">
        <v>1440</v>
      </c>
      <c r="J3" s="882" t="s">
        <v>1532</v>
      </c>
    </row>
    <row r="4" spans="1:16">
      <c r="A4" s="884"/>
    </row>
    <row r="6" spans="1:16">
      <c r="A6" s="885"/>
      <c r="B6" s="885"/>
      <c r="C6" s="886">
        <v>-1</v>
      </c>
      <c r="D6" s="886">
        <f t="shared" ref="D6:I6" si="0">C6-1</f>
        <v>-2</v>
      </c>
      <c r="E6" s="886">
        <f t="shared" si="0"/>
        <v>-3</v>
      </c>
      <c r="F6" s="886">
        <f t="shared" si="0"/>
        <v>-4</v>
      </c>
      <c r="G6" s="886">
        <f>F6-1</f>
        <v>-5</v>
      </c>
      <c r="H6" s="886">
        <f>G6-1</f>
        <v>-6</v>
      </c>
      <c r="I6" s="886">
        <f t="shared" si="0"/>
        <v>-7</v>
      </c>
    </row>
    <row r="7" spans="1:16" ht="48.75" customHeight="1">
      <c r="B7" s="887" t="s">
        <v>108</v>
      </c>
      <c r="C7" s="888" t="s">
        <v>115</v>
      </c>
      <c r="D7" s="888" t="s">
        <v>116</v>
      </c>
      <c r="E7" s="888" t="s">
        <v>117</v>
      </c>
      <c r="F7" s="889" t="s">
        <v>118</v>
      </c>
      <c r="G7" s="888" t="s">
        <v>119</v>
      </c>
      <c r="H7" s="888" t="s">
        <v>120</v>
      </c>
      <c r="I7" s="888" t="s">
        <v>121</v>
      </c>
      <c r="J7" s="888" t="s">
        <v>122</v>
      </c>
    </row>
    <row r="8" spans="1:16">
      <c r="C8" s="888"/>
      <c r="D8" s="888"/>
      <c r="E8" s="890"/>
      <c r="G8" s="890"/>
      <c r="H8" s="890"/>
      <c r="I8" s="890"/>
    </row>
    <row r="9" spans="1:16">
      <c r="C9" s="888"/>
      <c r="D9" s="888"/>
      <c r="E9" s="890"/>
      <c r="G9" s="891"/>
      <c r="H9" s="890"/>
      <c r="I9" s="890"/>
    </row>
    <row r="10" spans="1:16">
      <c r="A10" s="900" t="s">
        <v>111</v>
      </c>
      <c r="B10" s="881" t="s">
        <v>15</v>
      </c>
      <c r="C10" s="893">
        <f>ROUND(SUMIF(_12MonResults_Rate,'Sch M-1.3-pg 1'!$B10,_12MonResults_Revenue_Total),0)</f>
        <v>578410518</v>
      </c>
      <c r="D10" s="874">
        <f>ROUND(SUMIF(_12MonResults_Rate,'Sch M-1.3-pg 1'!$B10,_12MonResults_Revenue_FAC),0)</f>
        <v>12715186</v>
      </c>
      <c r="E10" s="874">
        <f>ROUND(SUMIF(_12MonResults_Rate,'Sch M-1.3-pg 1'!$B10,_12MonResults_Revenue_DSM),0)</f>
        <v>16336213</v>
      </c>
      <c r="F10" s="874">
        <f>ROUND(SUMIF(_12MonResults_Rate,'Sch M-1.3-pg 1'!$B10,_12MonResults_Revenue_ECR),0)</f>
        <v>17395509</v>
      </c>
      <c r="G10" s="874">
        <f>ROUND(SUMIF(_12MonResults_Rate,'Sch M-1.3-pg 1'!$B10,_12MonResults_Revenue_CSR),0)</f>
        <v>0</v>
      </c>
      <c r="H10" s="874">
        <f>ROUND(SUMIF(_12MonResults_Rate,'Sch M-1.3-pg 1'!$B10,_12MonResults_Revenue_Actual),0)</f>
        <v>531963610</v>
      </c>
      <c r="I10" s="874">
        <f>ROUND(SUMIF(_12MonResults_Rate,'Sch M-1.3-pg 1'!$B10,_12MonResults_Revenue_Calculated),0)</f>
        <v>531961556</v>
      </c>
      <c r="J10" s="881">
        <f>I10/H10</f>
        <v>0.99999613883363192</v>
      </c>
      <c r="L10" s="894">
        <f>C10-SUM(D10:G10)</f>
        <v>531963610</v>
      </c>
      <c r="M10" s="894">
        <f>H10-L10</f>
        <v>0</v>
      </c>
      <c r="N10" s="894"/>
    </row>
    <row r="11" spans="1:16" ht="15">
      <c r="A11" s="881" t="s">
        <v>1546</v>
      </c>
      <c r="B11" s="895" t="s">
        <v>807</v>
      </c>
      <c r="C11" s="896">
        <f>ROUND(SUMIF(_12MonResults_Rate,'Sch M-1.3-pg 1'!$B11,_12MonResults_Revenue_Total),0)</f>
        <v>3326</v>
      </c>
      <c r="D11" s="897">
        <f>ROUND(SUMIF(_12MonResults_Rate,'Sch M-1.3-pg 1'!$B11,_12MonResults_Revenue_FAC),0)</f>
        <v>82</v>
      </c>
      <c r="E11" s="897">
        <f>ROUND(SUMIF(_12MonResults_Rate,'Sch M-1.3-pg 1'!$B11,_12MonResults_Revenue_DSM),0)</f>
        <v>140</v>
      </c>
      <c r="F11" s="897">
        <f>ROUND(SUMIF(_12MonResults_Rate,'Sch M-1.3-pg 1'!$B11,_12MonResults_Revenue_ECR),0)</f>
        <v>83</v>
      </c>
      <c r="G11" s="897">
        <f>ROUND(SUMIF(_12MonResults_Rate,'Sch M-1.3-pg 1'!$B11,_12MonResults_Revenue_CSR),0)</f>
        <v>0</v>
      </c>
      <c r="H11" s="897">
        <f>ROUND(SUMIF(_12MonResults_Rate,'Sch M-1.3-pg 1'!$B11,_12MonResults_Revenue_Actual),0)</f>
        <v>3021</v>
      </c>
      <c r="I11" s="897">
        <f>ROUND(SUMIF(_12MonResults_Rate,'Sch M-1.3-pg 1'!$B11,_12MonResults_Revenue_Calculated),0)</f>
        <v>3021</v>
      </c>
      <c r="J11" s="881">
        <f>I11/H11</f>
        <v>1</v>
      </c>
      <c r="L11" s="894">
        <f>C11-SUM(D11:G11)</f>
        <v>3021</v>
      </c>
      <c r="M11" s="894">
        <f>L11-H11</f>
        <v>0</v>
      </c>
    </row>
    <row r="12" spans="1:16">
      <c r="A12" s="892" t="s">
        <v>110</v>
      </c>
      <c r="B12" s="895"/>
      <c r="C12" s="899">
        <f>C10+C11</f>
        <v>578413844</v>
      </c>
      <c r="D12" s="899">
        <f t="shared" ref="D12:I12" si="1">D10+D11</f>
        <v>12715268</v>
      </c>
      <c r="E12" s="899">
        <f t="shared" si="1"/>
        <v>16336353</v>
      </c>
      <c r="F12" s="899">
        <f t="shared" si="1"/>
        <v>17395592</v>
      </c>
      <c r="G12" s="899">
        <f t="shared" si="1"/>
        <v>0</v>
      </c>
      <c r="H12" s="899">
        <f t="shared" si="1"/>
        <v>531966631</v>
      </c>
      <c r="I12" s="899">
        <f t="shared" si="1"/>
        <v>531964577</v>
      </c>
      <c r="J12" s="881">
        <f>I12/H12</f>
        <v>0.99999613885555916</v>
      </c>
      <c r="L12" s="894"/>
      <c r="M12" s="894"/>
    </row>
    <row r="13" spans="1:16">
      <c r="C13" s="898"/>
      <c r="D13" s="898"/>
      <c r="E13" s="898"/>
      <c r="F13" s="898"/>
      <c r="G13" s="898"/>
    </row>
    <row r="14" spans="1:16" hidden="1">
      <c r="A14" s="892" t="s">
        <v>112</v>
      </c>
      <c r="B14" s="881" t="s">
        <v>224</v>
      </c>
      <c r="C14" s="893">
        <f>ROUND(SUMIF(_12MonResults_Rate,'Sch M-1.3-pg 1'!$B14,_12MonResults_Revenue_Total),0)</f>
        <v>92137040</v>
      </c>
      <c r="D14" s="874">
        <f>ROUND(SUMIF(_12MonResults_Rate,'Sch M-1.3-pg 1'!$B14,_12MonResults_Revenue_FAC),0)</f>
        <v>1548820</v>
      </c>
      <c r="E14" s="874">
        <f>ROUND(SUMIF(_12MonResults_Rate,'Sch M-1.3-pg 1'!$B14,_12MonResults_Revenue_DSM),0)</f>
        <v>1717316</v>
      </c>
      <c r="F14" s="874">
        <f>ROUND(SUMIF(_12MonResults_Rate,'Sch M-1.3-pg 1'!$B14,_12MonResults_Revenue_ECR),0)</f>
        <v>2680154</v>
      </c>
      <c r="G14" s="874">
        <f>ROUND(SUMIF(_12MonResults_Rate,'Sch M-1.3-pg 1'!$B14,_12MonResults_Revenue_CSR),0)</f>
        <v>0</v>
      </c>
      <c r="H14" s="874">
        <f>ROUND(SUMIF(_12MonResults_Rate,'Sch M-1.3-pg 1'!$B14,_12MonResults_Revenue_Actual),0)</f>
        <v>86190750</v>
      </c>
      <c r="I14" s="874">
        <f>ROUND(SUMIF(_12MonResults_Rate,'Sch M-1.3-pg 1'!$B14,_12MonResults_Revenue_Calculated),0)</f>
        <v>86190752</v>
      </c>
      <c r="J14" s="881">
        <f>I14/H14</f>
        <v>1.0000000232043462</v>
      </c>
      <c r="L14" s="894">
        <f>C14-SUM(D14:G14)</f>
        <v>86190750</v>
      </c>
      <c r="M14" s="894">
        <f>H14-L14</f>
        <v>0</v>
      </c>
      <c r="P14" s="996"/>
    </row>
    <row r="15" spans="1:16" ht="15" hidden="1">
      <c r="A15" s="892" t="s">
        <v>64</v>
      </c>
      <c r="B15" s="881" t="s">
        <v>18</v>
      </c>
      <c r="C15" s="896">
        <f>ROUND(SUMIF(_12MonResults_Rate,'Sch M-1.3-pg 1'!$B15,_12MonResults_Revenue_Total),0)</f>
        <v>116390120</v>
      </c>
      <c r="D15" s="897">
        <f>ROUND(SUMIF(_12MonResults_Rate,'Sch M-1.3-pg 1'!$B15,_12MonResults_Revenue_FAC),0)</f>
        <v>2178475</v>
      </c>
      <c r="E15" s="897">
        <f>ROUND(SUMIF(_12MonResults_Rate,'Sch M-1.3-pg 1'!$B15,_12MonResults_Revenue_DSM),0)</f>
        <v>2353118</v>
      </c>
      <c r="F15" s="897">
        <f>ROUND(SUMIF(_12MonResults_Rate,'Sch M-1.3-pg 1'!$B15,_12MonResults_Revenue_ECR),0)</f>
        <v>3551207</v>
      </c>
      <c r="G15" s="897">
        <f>ROUND(SUMIF(_12MonResults_Rate,'Sch M-1.3-pg 1'!$B15,_12MonResults_Revenue_CSR),0)</f>
        <v>0</v>
      </c>
      <c r="H15" s="897">
        <f>ROUND(SUMIF(_12MonResults_Rate,'Sch M-1.3-pg 1'!$B15,_12MonResults_Revenue_Actual),0)</f>
        <v>108307320</v>
      </c>
      <c r="I15" s="897">
        <f>ROUND(SUMIF(_12MonResults_Rate,'Sch M-1.3-pg 1'!$B15,_12MonResults_Revenue_Calculated),0)</f>
        <v>108307320</v>
      </c>
      <c r="J15" s="881">
        <f>I15/H15</f>
        <v>1</v>
      </c>
      <c r="L15" s="894">
        <f>C15-SUM(D15:G15)</f>
        <v>108307320</v>
      </c>
      <c r="M15" s="894">
        <f>L15-H15</f>
        <v>0</v>
      </c>
    </row>
    <row r="16" spans="1:16">
      <c r="A16" s="881" t="s">
        <v>112</v>
      </c>
      <c r="C16" s="874">
        <f t="shared" ref="C16:I16" si="2">SUM(C14:C15)</f>
        <v>208527160</v>
      </c>
      <c r="D16" s="874">
        <f t="shared" si="2"/>
        <v>3727295</v>
      </c>
      <c r="E16" s="874">
        <f t="shared" si="2"/>
        <v>4070434</v>
      </c>
      <c r="F16" s="874">
        <f t="shared" si="2"/>
        <v>6231361</v>
      </c>
      <c r="G16" s="874">
        <f t="shared" si="2"/>
        <v>0</v>
      </c>
      <c r="H16" s="874">
        <f t="shared" si="2"/>
        <v>194498070</v>
      </c>
      <c r="I16" s="874">
        <f t="shared" si="2"/>
        <v>194498072</v>
      </c>
      <c r="J16" s="881">
        <f>I16/H16</f>
        <v>1.0000000102828783</v>
      </c>
    </row>
    <row r="17" spans="1:16">
      <c r="C17" s="899"/>
      <c r="D17" s="899"/>
      <c r="E17" s="899"/>
      <c r="F17" s="899"/>
      <c r="G17" s="899"/>
      <c r="H17" s="899"/>
      <c r="I17" s="899"/>
    </row>
    <row r="18" spans="1:16" hidden="1">
      <c r="A18" s="892" t="s">
        <v>462</v>
      </c>
      <c r="B18" s="881" t="s">
        <v>219</v>
      </c>
      <c r="C18" s="893">
        <f>ROUND(SUMIF(_12MonResults_Rate,'Sch M-1.3-pg 1'!$B18,_12MonResults_Revenue_Total),0)</f>
        <v>698572</v>
      </c>
      <c r="D18" s="874">
        <f>ROUND(SUMIF(_12MonResults_Rate,'Sch M-1.3-pg 1'!$B18,_12MonResults_Revenue_FAC),0)</f>
        <v>15093</v>
      </c>
      <c r="E18" s="874">
        <f>ROUND(SUMIF(_12MonResults_Rate,'Sch M-1.3-pg 1'!$B18,_12MonResults_Revenue_DSM),0)</f>
        <v>10588</v>
      </c>
      <c r="F18" s="874">
        <f>ROUND(SUMIF(_12MonResults_Rate,'Sch M-1.3-pg 1'!$B18,_12MonResults_Revenue_ECR),0)</f>
        <v>21321</v>
      </c>
      <c r="G18" s="874">
        <f>ROUND(SUMIF(_12MonResults_Rate,'Sch M-1.3-pg 1'!$B18,_12MonResults_Revenue_CSR),0)</f>
        <v>0</v>
      </c>
      <c r="H18" s="874">
        <f>ROUND(SUMIF(_12MonResults_Rate,'Sch M-1.3-pg 1'!$B18,_12MonResults_Revenue_Actual),0)</f>
        <v>651570</v>
      </c>
      <c r="I18" s="874">
        <f>ROUND(SUMIF(_12MonResults_Rate,'Sch M-1.3-pg 1'!$B18,_12MonResults_Revenue_Calculated),0)</f>
        <v>651571</v>
      </c>
      <c r="J18" s="881">
        <f>I18/H18</f>
        <v>1.0000015347545159</v>
      </c>
      <c r="L18" s="894">
        <f>C18-SUM(D18:G18)</f>
        <v>651570</v>
      </c>
      <c r="M18" s="894">
        <f>H18-L18</f>
        <v>0</v>
      </c>
      <c r="P18" s="996"/>
    </row>
    <row r="19" spans="1:16" ht="15" hidden="1">
      <c r="A19" s="892" t="s">
        <v>492</v>
      </c>
      <c r="B19" s="881" t="s">
        <v>228</v>
      </c>
      <c r="C19" s="896">
        <f>ROUND(SUMIF(_12MonResults_Rate,'Sch M-1.3-pg 1'!$B19,_12MonResults_Revenue_Total),0)</f>
        <v>11549091</v>
      </c>
      <c r="D19" s="897">
        <f>ROUND(SUMIF(_12MonResults_Rate,'Sch M-1.3-pg 1'!$B19,_12MonResults_Revenue_FAC),0)</f>
        <v>294927</v>
      </c>
      <c r="E19" s="897">
        <f>ROUND(SUMIF(_12MonResults_Rate,'Sch M-1.3-pg 1'!$B19,_12MonResults_Revenue_DSM),0)-1</f>
        <v>200584</v>
      </c>
      <c r="F19" s="897">
        <f>ROUND(SUMIF(_12MonResults_Rate,'Sch M-1.3-pg 1'!$B19,_12MonResults_Revenue_ECR),0)</f>
        <v>381735</v>
      </c>
      <c r="G19" s="897">
        <f>ROUND(SUMIF(_12MonResults_Rate,'Sch M-1.3-pg 1'!$B19,_12MonResults_Revenue_CSR),0)</f>
        <v>0</v>
      </c>
      <c r="H19" s="897">
        <f>ROUND(SUMIF(_12MonResults_Rate,'Sch M-1.3-pg 1'!$B19,_12MonResults_Revenue_Actual),0)</f>
        <v>10671845</v>
      </c>
      <c r="I19" s="897">
        <f>ROUND(SUMIF(_12MonResults_Rate,'Sch M-1.3-pg 1'!$B19,_12MonResults_Revenue_Calculated),0)</f>
        <v>10671844</v>
      </c>
      <c r="J19" s="881">
        <f>I19/H19</f>
        <v>0.99999990629549063</v>
      </c>
      <c r="L19" s="894">
        <f>C19-SUM(D19:G19)</f>
        <v>10671845</v>
      </c>
      <c r="M19" s="894">
        <f>L19-H19</f>
        <v>0</v>
      </c>
    </row>
    <row r="20" spans="1:16">
      <c r="A20" s="895" t="s">
        <v>1533</v>
      </c>
      <c r="C20" s="874">
        <f>ROUND(SUM(C18:C19),0)</f>
        <v>12247663</v>
      </c>
      <c r="D20" s="874">
        <f t="shared" ref="D20:I20" si="3">ROUND(SUM(D18:D19),0)</f>
        <v>310020</v>
      </c>
      <c r="E20" s="874">
        <f t="shared" si="3"/>
        <v>211172</v>
      </c>
      <c r="F20" s="874">
        <f t="shared" si="3"/>
        <v>403056</v>
      </c>
      <c r="G20" s="874">
        <f t="shared" si="3"/>
        <v>0</v>
      </c>
      <c r="H20" s="874">
        <f t="shared" si="3"/>
        <v>11323415</v>
      </c>
      <c r="I20" s="874">
        <f t="shared" si="3"/>
        <v>11323415</v>
      </c>
      <c r="J20" s="881">
        <f>I20/H20</f>
        <v>1</v>
      </c>
      <c r="L20" s="894">
        <f>C20-SUM(D20:G20)</f>
        <v>11323415</v>
      </c>
      <c r="M20" s="894">
        <f>L20-H20</f>
        <v>0</v>
      </c>
    </row>
    <row r="21" spans="1:16">
      <c r="C21" s="899"/>
      <c r="D21" s="899"/>
      <c r="E21" s="899"/>
      <c r="F21" s="899"/>
      <c r="G21" s="899"/>
      <c r="H21" s="899"/>
      <c r="I21" s="899"/>
    </row>
    <row r="22" spans="1:16">
      <c r="A22" s="895" t="s">
        <v>197</v>
      </c>
      <c r="B22" s="898" t="s">
        <v>25</v>
      </c>
      <c r="C22" s="893">
        <f>ROUND(SUMIF(_12MonResults_Rate,'Sch M-1.3-pg 1'!$B22,_12MonResults_Revenue_Total),0)-1</f>
        <v>201846358</v>
      </c>
      <c r="D22" s="874">
        <f>ROUND(SUMIF(_12MonResults_Rate,'Sch M-1.3-pg 1'!$B22,_12MonResults_Revenue_FAC),0)</f>
        <v>4574372</v>
      </c>
      <c r="E22" s="874">
        <f>ROUND(SUMIF(_12MonResults_Rate,'Sch M-1.3-pg 1'!$B22,_12MonResults_Revenue_DSM),0)</f>
        <v>3154662</v>
      </c>
      <c r="F22" s="874">
        <f>ROUND(SUMIF(_12MonResults_Rate,'Sch M-1.3-pg 1'!$B22,_12MonResults_Revenue_ECR),0)</f>
        <v>6426090</v>
      </c>
      <c r="G22" s="874">
        <f>ROUND(SUMIF(_12MonResults_Rate,'Sch M-1.3-pg 1'!$B22,_12MonResults_Revenue_CSR),0)</f>
        <v>0</v>
      </c>
      <c r="H22" s="874">
        <f>ROUND(SUMIF(_12MonResults_Rate,'Sch M-1.3-pg 1'!$B22,_12MonResults_Revenue_Actual),0)</f>
        <v>187691234</v>
      </c>
      <c r="I22" s="874">
        <f>ROUND(SUMIF(_12MonResults_Rate,'Sch M-1.3-pg 1'!$B22,_12MonResults_Revenue_Calculated),0)</f>
        <v>187691234</v>
      </c>
      <c r="J22" s="881">
        <f>I22/H22</f>
        <v>1</v>
      </c>
      <c r="L22" s="894">
        <f>C22-SUM(D22:G22)</f>
        <v>187691234</v>
      </c>
      <c r="M22" s="894">
        <f>H22-L22</f>
        <v>0</v>
      </c>
    </row>
    <row r="23" spans="1:16">
      <c r="A23" s="895"/>
      <c r="B23" s="898"/>
      <c r="C23" s="893"/>
      <c r="D23" s="874"/>
      <c r="E23" s="874"/>
      <c r="F23" s="874"/>
      <c r="G23" s="874"/>
      <c r="H23" s="874"/>
      <c r="I23" s="874"/>
      <c r="L23" s="894"/>
      <c r="M23" s="894"/>
    </row>
    <row r="24" spans="1:16">
      <c r="A24" s="895" t="s">
        <v>196</v>
      </c>
      <c r="B24" s="898" t="s">
        <v>26</v>
      </c>
      <c r="C24" s="874">
        <f>ROUND(SUMIF(_12MonResults_Rate,'Sch M-1.3-pg 1'!$B24,_12MonResults_Revenue_Total),0)</f>
        <v>21634765</v>
      </c>
      <c r="D24" s="874">
        <f>ROUND(SUMIF(_12MonResults_Rate,'Sch M-1.3-pg 1'!$B24,_12MonResults_Revenue_FAC),0)</f>
        <v>562653</v>
      </c>
      <c r="E24" s="874">
        <f>ROUND(SUMIF(_12MonResults_Rate,'Sch M-1.3-pg 1'!$B24,_12MonResults_Revenue_DSM),0)</f>
        <v>315245</v>
      </c>
      <c r="F24" s="874">
        <f>ROUND(SUMIF(_12MonResults_Rate,'Sch M-1.3-pg 1'!$B24,_12MonResults_Revenue_ECR),0)</f>
        <v>688553</v>
      </c>
      <c r="G24" s="874">
        <f>ROUND(SUMIF(_12MonResults_Rate,'Sch M-1.3-pg 1'!$B24,_12MonResults_Revenue_CSR),0)</f>
        <v>0</v>
      </c>
      <c r="H24" s="874">
        <f>ROUND(SUMIF(_12MonResults_Rate,'Sch M-1.3-pg 1'!$B24,_12MonResults_Revenue_Actual),0)</f>
        <v>20068314</v>
      </c>
      <c r="I24" s="874">
        <f>ROUND(SUMIF(_12MonResults_Rate,'Sch M-1.3-pg 1'!$B24,_12MonResults_Revenue_Calculated),0)</f>
        <v>20068315</v>
      </c>
      <c r="J24" s="881">
        <f>I24/H24</f>
        <v>1.0000000498297963</v>
      </c>
      <c r="L24" s="894">
        <f>C24-SUM(D24:G24)</f>
        <v>20068314</v>
      </c>
      <c r="M24" s="894">
        <f>L24-H24</f>
        <v>0</v>
      </c>
    </row>
    <row r="25" spans="1:16">
      <c r="A25" s="900"/>
      <c r="C25" s="874"/>
      <c r="D25" s="874"/>
      <c r="E25" s="874"/>
      <c r="F25" s="874"/>
      <c r="G25" s="874"/>
      <c r="H25" s="874"/>
      <c r="I25" s="874"/>
    </row>
    <row r="26" spans="1:16">
      <c r="A26" s="895" t="s">
        <v>1547</v>
      </c>
      <c r="B26" s="901" t="s">
        <v>220</v>
      </c>
      <c r="C26" s="893">
        <f>ROUND(SUMIF(_12MonResults_Rate,'Sch M-1.3-pg 1'!$B26,_12MonResults_Revenue_Total),0)</f>
        <v>96203320</v>
      </c>
      <c r="D26" s="874">
        <f>ROUND(SUMIF(_12MonResults_Rate,'Sch M-1.3-pg 1'!$B26,_12MonResults_Revenue_FAC),0)</f>
        <v>2641677</v>
      </c>
      <c r="E26" s="874">
        <f>ROUND(SUMIF(_12MonResults_Rate,'Sch M-1.3-pg 1'!$B26,_12MonResults_Revenue_DSM),0)</f>
        <v>1689721</v>
      </c>
      <c r="F26" s="874">
        <f>ROUND(SUMIF(_12MonResults_Rate,'Sch M-1.3-pg 1'!$B26,_12MonResults_Revenue_ECR),0)</f>
        <v>3462404</v>
      </c>
      <c r="G26" s="874">
        <f>ROUND(SUMIF(_12MonResults_Rate,'Sch M-1.3-pg 1'!$B26,_12MonResults_Revenue_CSR),0)</f>
        <v>0</v>
      </c>
      <c r="H26" s="874">
        <f>ROUND(SUMIF(_12MonResults_Rate,'Sch M-1.3-pg 1'!$B26,_12MonResults_Revenue_Actual),0)</f>
        <v>88409518</v>
      </c>
      <c r="I26" s="874">
        <f>ROUND(SUMIF(_12MonResults_Rate,'Sch M-1.3-pg 1'!$B26,_12MonResults_Revenue_Calculated),0)</f>
        <v>88409518</v>
      </c>
      <c r="J26" s="881">
        <f>I26/H26</f>
        <v>1</v>
      </c>
      <c r="L26" s="894">
        <f>C26-SUM(D26:G26)</f>
        <v>88409518</v>
      </c>
      <c r="M26" s="894">
        <f>H26-L26</f>
        <v>0</v>
      </c>
    </row>
    <row r="28" spans="1:16">
      <c r="A28" s="895" t="s">
        <v>1548</v>
      </c>
      <c r="B28" s="901" t="s">
        <v>221</v>
      </c>
      <c r="C28" s="874">
        <f>ROUND(SUMIF(_12MonResults_Rate,'Sch M-1.3-pg 1'!$B28,_12MonResults_Revenue_Total),0)</f>
        <v>259447546</v>
      </c>
      <c r="D28" s="874">
        <f>ROUND(SUMIF(_12MonResults_Rate,'Sch M-1.3-pg 1'!$B28,_12MonResults_Revenue_FAC),0)</f>
        <v>8442577</v>
      </c>
      <c r="E28" s="874">
        <f>ROUND(SUMIF(_12MonResults_Rate,'Sch M-1.3-pg 1'!$B28,_12MonResults_Revenue_DSM),0)</f>
        <v>4076523</v>
      </c>
      <c r="F28" s="874">
        <f>ROUND(SUMIF(_12MonResults_Rate,'Sch M-1.3-pg 1'!$B28,_12MonResults_Revenue_ECR),0)</f>
        <v>9595237</v>
      </c>
      <c r="G28" s="874">
        <f>ROUND(SUMIF(_12MonResults_Rate,'Sch M-1.3-pg 1'!$B28,_12MonResults_Revenue_CSR),0)</f>
        <v>0</v>
      </c>
      <c r="H28" s="874">
        <f>ROUND(SUMIF(_12MonResults_Rate,'Sch M-1.3-pg 1'!$B28,_12MonResults_Revenue_Actual),0)</f>
        <v>237333209</v>
      </c>
      <c r="I28" s="874">
        <f>ROUND(SUMIF(_12MonResults_Rate,'Sch M-1.3-pg 1'!$B28,_12MonResults_Revenue_Calculated),0)</f>
        <v>237333207</v>
      </c>
      <c r="J28" s="881">
        <f>I28/H28</f>
        <v>0.99999999157302932</v>
      </c>
      <c r="L28" s="894">
        <f>C28-SUM(D28:G28)</f>
        <v>237333209</v>
      </c>
      <c r="M28" s="894">
        <f>L28-H28</f>
        <v>0</v>
      </c>
    </row>
    <row r="29" spans="1:16">
      <c r="C29" s="899"/>
      <c r="D29" s="899"/>
      <c r="E29" s="899"/>
      <c r="F29" s="899"/>
      <c r="G29" s="899"/>
      <c r="H29" s="899"/>
      <c r="I29" s="899"/>
    </row>
    <row r="30" spans="1:16">
      <c r="A30" s="881" t="s">
        <v>89</v>
      </c>
      <c r="B30" s="898" t="s">
        <v>19</v>
      </c>
      <c r="C30" s="893">
        <f>ROUND(SUMIF(_12MonResults_Rate,'Sch M-1.3-pg 1'!$B30,_12MonResults_Revenue_Total),0)</f>
        <v>93885306</v>
      </c>
      <c r="D30" s="874">
        <f>ROUND(SUMIF(_12MonResults_Rate,'Sch M-1.3-pg 1'!$B30,_12MonResults_Revenue_FAC),0)+1</f>
        <v>3258254</v>
      </c>
      <c r="E30" s="874">
        <f>ROUND(SUMIF(_12MonResults_Rate,'Sch M-1.3-pg 1'!$B30,_12MonResults_Revenue_DSM),0)</f>
        <v>0</v>
      </c>
      <c r="F30" s="874">
        <f>ROUND(SUMIF(_12MonResults_Rate,'Sch M-1.3-pg 1'!$B30,_12MonResults_Revenue_ECR),0)</f>
        <v>3540142</v>
      </c>
      <c r="G30" s="874">
        <f>ROUND(SUMIF(_12MonResults_Rate,'Sch M-1.3-pg 1'!$B30,_12MonResults_Revenue_CSR),0)</f>
        <v>0</v>
      </c>
      <c r="H30" s="874">
        <f>ROUND(SUMIF(_12MonResults_Rate,'Sch M-1.3-pg 1'!$B30,_12MonResults_Revenue_Actual),0)</f>
        <v>87086910</v>
      </c>
      <c r="I30" s="874">
        <f>ROUND(SUMIF(_12MonResults_Rate,'Sch M-1.3-pg 1'!$B30,_12MonResults_Revenue_Calculated),0)</f>
        <v>87086909</v>
      </c>
      <c r="J30" s="881">
        <f>I30/H30</f>
        <v>0.99999998851721805</v>
      </c>
      <c r="L30" s="894">
        <f>C30-SUM(D30:G30)</f>
        <v>87086910</v>
      </c>
      <c r="M30" s="894">
        <f>H30-L30</f>
        <v>0</v>
      </c>
    </row>
    <row r="31" spans="1:16">
      <c r="C31" s="899"/>
      <c r="D31" s="899"/>
      <c r="E31" s="899"/>
      <c r="F31" s="899"/>
      <c r="G31" s="899"/>
      <c r="H31" s="899"/>
      <c r="I31" s="899"/>
    </row>
    <row r="32" spans="1:16" hidden="1">
      <c r="B32" s="895" t="s">
        <v>27</v>
      </c>
      <c r="C32" s="893">
        <f>ROUND(SUMIF(_12MonResults_Rate,'Sch M-1.3-pg 1'!$B32,_12MonResults_Revenue_Total),0)</f>
        <v>0</v>
      </c>
      <c r="D32" s="874">
        <f>ROUND(SUMIF(_12MonResults_Rate,'Sch M-1.3-pg 1'!$B32,_12MonResults_Revenue_FAC),0)</f>
        <v>0</v>
      </c>
      <c r="E32" s="874">
        <f>ROUND(SUMIF(_12MonResults_Rate,'Sch M-1.3-pg 1'!$B32,_12MonResults_Revenue_DSM),0)</f>
        <v>0</v>
      </c>
      <c r="F32" s="874">
        <f>ROUND(SUMIF(_12MonResults_Rate,'Sch M-1.3-pg 1'!$B32,_12MonResults_Revenue_ECR),0)</f>
        <v>0</v>
      </c>
      <c r="G32" s="874">
        <f>ROUND(SUMIF(_12MonResults_Rate,'Sch M-1.3-pg 1'!$B32,_12MonResults_Revenue_CSR),0)</f>
        <v>0</v>
      </c>
      <c r="H32" s="874">
        <f>ROUND(SUMIF(_12MonResults_Rate,'Sch M-1.3-pg 1'!$B32,_12MonResults_Revenue_Actual),0)</f>
        <v>0</v>
      </c>
      <c r="I32" s="874">
        <f>ROUND(SUMIF(_12MonResults_Rate,'Sch M-1.3-pg 1'!$B32,_12MonResults_Revenue_Calculated),0)</f>
        <v>0</v>
      </c>
      <c r="J32" s="881" t="e">
        <f>I32/H32</f>
        <v>#DIV/0!</v>
      </c>
      <c r="L32" s="894">
        <f>C32-SUM(D32:G32)</f>
        <v>0</v>
      </c>
      <c r="M32" s="894">
        <f>H32-L32</f>
        <v>0</v>
      </c>
    </row>
    <row r="33" spans="1:13" ht="15" hidden="1">
      <c r="B33" s="901" t="s">
        <v>675</v>
      </c>
      <c r="C33" s="896">
        <f>ROUND(SUMIF(_12MonResults_Rate,'Sch M-1.3-pg 1'!$B33,_12MonResults_Revenue_Total),0)+1</f>
        <v>29875369</v>
      </c>
      <c r="D33" s="897">
        <f>ROUND(SUMIF(_12MonResults_Rate,'Sch M-1.3-pg 1'!$B33,_12MonResults_Revenue_FAC),0)</f>
        <v>1165932</v>
      </c>
      <c r="E33" s="897">
        <f>ROUND(SUMIF(_12MonResults_Rate,'Sch M-1.3-pg 1'!$B33,_12MonResults_Revenue_DSM),0)</f>
        <v>0</v>
      </c>
      <c r="F33" s="897">
        <f>ROUND(SUMIF(_12MonResults_Rate,'Sch M-1.3-pg 1'!$B33,_12MonResults_Revenue_ECR),0)</f>
        <v>1185426</v>
      </c>
      <c r="G33" s="897">
        <f>ROUND(SUMIF(_12MonResults_Rate,'Sch M-1.3-pg 1'!$B33,_12MonResults_Revenue_CSR),0)</f>
        <v>0</v>
      </c>
      <c r="H33" s="897">
        <f>ROUND(SUMIF(_12MonResults_Rate,'Sch M-1.3-pg 1'!$B33,_12MonResults_Revenue_Actual),0)</f>
        <v>27524011</v>
      </c>
      <c r="I33" s="897">
        <f>ROUND(SUMIF(_12MonResults_Rate,'Sch M-1.3-pg 1'!$B33,_12MonResults_Revenue_Calculated),0)</f>
        <v>27524011</v>
      </c>
      <c r="J33" s="881">
        <f>I33/H33</f>
        <v>1</v>
      </c>
      <c r="L33" s="894">
        <f>C33-SUM(D33:G33)</f>
        <v>27524011</v>
      </c>
      <c r="M33" s="894">
        <f>L33-H33</f>
        <v>0</v>
      </c>
    </row>
    <row r="34" spans="1:13">
      <c r="A34" s="881" t="s">
        <v>114</v>
      </c>
      <c r="C34" s="874">
        <f t="shared" ref="C34:I34" si="4">SUM(C32:C33)</f>
        <v>29875369</v>
      </c>
      <c r="D34" s="874">
        <f t="shared" si="4"/>
        <v>1165932</v>
      </c>
      <c r="E34" s="874">
        <f t="shared" si="4"/>
        <v>0</v>
      </c>
      <c r="F34" s="874">
        <f t="shared" si="4"/>
        <v>1185426</v>
      </c>
      <c r="G34" s="874">
        <f t="shared" si="4"/>
        <v>0</v>
      </c>
      <c r="H34" s="874">
        <f t="shared" si="4"/>
        <v>27524011</v>
      </c>
      <c r="I34" s="874">
        <f t="shared" si="4"/>
        <v>27524011</v>
      </c>
      <c r="J34" s="881">
        <f>I34/H34</f>
        <v>1</v>
      </c>
    </row>
    <row r="35" spans="1:13">
      <c r="C35" s="899"/>
      <c r="D35" s="899"/>
      <c r="E35" s="899"/>
      <c r="F35" s="899"/>
      <c r="G35" s="899"/>
      <c r="H35" s="899"/>
      <c r="I35" s="899"/>
    </row>
    <row r="36" spans="1:13" hidden="1">
      <c r="A36" s="902" t="s">
        <v>1464</v>
      </c>
      <c r="B36" s="895" t="s">
        <v>187</v>
      </c>
      <c r="C36" s="893">
        <f>ROUND(SUMIF(_12MonResults_RateCategory,'Sch M-1.3-pg 1'!$B36,_12MonResults_Revenue_Total),0)</f>
        <v>-11860235</v>
      </c>
      <c r="D36" s="874">
        <f>ROUND(SUMIF(_12MonResults_Rate,'Sch M-1.3-pg 1'!$B36,_12MonResults_Revenue_FAC),0)</f>
        <v>0</v>
      </c>
      <c r="E36" s="874">
        <f>ROUND(SUMIF(_12MonResults_Rate,'Sch M-1.3-pg 1'!$B36,_12MonResults_Revenue_DSM),0)</f>
        <v>0</v>
      </c>
      <c r="F36" s="874">
        <f>ROUND(SUMIF(_12MonResults_Rate,'Sch M-1.3-pg 1'!$B36,_12MonResults_Revenue_ECR),0)</f>
        <v>0</v>
      </c>
      <c r="G36" s="874">
        <f>ROUND(SUMIF(_12MonResults_RateCategory,'Sch M-1.3-pg 1'!$B36,_12MonResults_Revenue_CSR),0)</f>
        <v>-11860235</v>
      </c>
      <c r="H36" s="874">
        <f>ROUND(SUMIF(_12MonResults_Rate,'Sch M-1.3-pg 1'!$B36,_12MonResults_Revenue_Actual),0)</f>
        <v>0</v>
      </c>
      <c r="I36" s="874">
        <f>ROUND(SUMIF(_12MonResults_Rate,'Sch M-1.3-pg 1'!$B36,_12MonResults_Revenue_Calculated),0)</f>
        <v>0</v>
      </c>
      <c r="J36" s="881" t="e">
        <f>I36/H36</f>
        <v>#DIV/0!</v>
      </c>
      <c r="L36" s="894">
        <f>C36-SUM(D36:G36)</f>
        <v>0</v>
      </c>
      <c r="M36" s="894">
        <f>I36-L36</f>
        <v>0</v>
      </c>
    </row>
    <row r="37" spans="1:13" ht="15" hidden="1">
      <c r="A37" s="902" t="s">
        <v>1461</v>
      </c>
      <c r="B37" s="895" t="s">
        <v>188</v>
      </c>
      <c r="C37" s="903">
        <f>ROUND(SUMIF(_12MonResults_RateCategory,'Sch M-1.3-pg 1'!$B37,_12MonResults_Revenue_Total),0)</f>
        <v>-158403</v>
      </c>
      <c r="D37" s="897">
        <f>ROUND(SUMIF(_12MonResults_Rate,'Sch M-1.3-pg 1'!$B37,_12MonResults_Revenue_FAC),0)</f>
        <v>0</v>
      </c>
      <c r="E37" s="897">
        <f>ROUND(SUMIF(_12MonResults_Rate,'Sch M-1.3-pg 1'!$B37,_12MonResults_Revenue_DSM),0)</f>
        <v>0</v>
      </c>
      <c r="F37" s="897">
        <f>ROUND(SUMIF(_12MonResults_Rate,'Sch M-1.3-pg 1'!$B37,_12MonResults_Revenue_ECR),0)</f>
        <v>0</v>
      </c>
      <c r="G37" s="897">
        <f>ROUND(SUMIF(_12MonResults_RateCategory,'Sch M-1.3-pg 1'!$B37,_12MonResults_Revenue_CSR),0)</f>
        <v>-158403</v>
      </c>
      <c r="H37" s="897">
        <f>ROUND(SUMIF(_12MonResults_Rate,'Sch M-1.3-pg 1'!$B37,_12MonResults_Revenue_Actual),0)</f>
        <v>0</v>
      </c>
      <c r="I37" s="897">
        <f>ROUND(SUMIF(_12MonResults_Rate,'Sch M-1.3-pg 1'!$B37,_12MonResults_Revenue_Calculated),0)</f>
        <v>0</v>
      </c>
      <c r="J37" s="881" t="e">
        <f>I37/H37</f>
        <v>#DIV/0!</v>
      </c>
      <c r="L37" s="894">
        <f>C37-SUM(D37:G37)</f>
        <v>0</v>
      </c>
      <c r="M37" s="894">
        <f>I37-L37</f>
        <v>0</v>
      </c>
    </row>
    <row r="38" spans="1:13">
      <c r="A38" s="895" t="s">
        <v>1461</v>
      </c>
      <c r="B38" s="895" t="s">
        <v>1459</v>
      </c>
      <c r="C38" s="893">
        <f>IF(C36+C37=ROUND(SUMIF(_12MonResults_Rate,$B38,_12MonResults_Revenue_CSR),0),C36+C37,"err")</f>
        <v>-12018638</v>
      </c>
      <c r="D38" s="874">
        <f>D36+D37</f>
        <v>0</v>
      </c>
      <c r="E38" s="874">
        <f>E36+E37</f>
        <v>0</v>
      </c>
      <c r="F38" s="874">
        <f>F36+F37</f>
        <v>0</v>
      </c>
      <c r="G38" s="893">
        <f>IF(G36+G37=ROUND(SUMIF(_12MonResults_Rate,$B38,_12MonResults_Revenue_CSR),0),G36+G37,"err")</f>
        <v>-12018638</v>
      </c>
      <c r="H38" s="874">
        <f>H36+H37</f>
        <v>0</v>
      </c>
      <c r="I38" s="874">
        <f>I36+I37</f>
        <v>0</v>
      </c>
      <c r="L38" s="894"/>
      <c r="M38" s="894"/>
    </row>
    <row r="39" spans="1:13" hidden="1">
      <c r="A39" s="895" t="s">
        <v>1462</v>
      </c>
      <c r="B39" s="895" t="s">
        <v>1364</v>
      </c>
      <c r="C39" s="893">
        <f>ROUND(SUMIF(_12MonResults_RateCategory,'Sch M-1.3-pg 1'!$B39,_12MonResults_Revenue_Total),0)</f>
        <v>-77109</v>
      </c>
      <c r="D39" s="874">
        <f>ROUND(SUMIF(_12MonResults_Rate,'Sch M-1.3-pg 1'!$B39,_12MonResults_Revenue_FAC),0)</f>
        <v>0</v>
      </c>
      <c r="E39" s="874">
        <f>ROUND(SUMIF(_12MonResults_Rate,'Sch M-1.3-pg 1'!$B39,_12MonResults_Revenue_DSM),0)</f>
        <v>0</v>
      </c>
      <c r="F39" s="874">
        <f>ROUND(SUMIF(_12MonResults_Rate,'Sch M-1.3-pg 1'!$B39,_12MonResults_Revenue_ECR),0)</f>
        <v>0</v>
      </c>
      <c r="G39" s="874">
        <f>ROUND(SUMIF(_12MonResults_RateCategory,'Sch M-1.3-pg 1'!$B39,_12MonResults_Revenue_CSR),0)</f>
        <v>-77109</v>
      </c>
      <c r="H39" s="874">
        <f>ROUND(SUMIF(_12MonResults_Rate,'Sch M-1.3-pg 1'!$B39,_12MonResults_Revenue_Actual),0)</f>
        <v>0</v>
      </c>
      <c r="I39" s="874">
        <f>ROUND(SUMIF(_12MonResults_Rate,'Sch M-1.3-pg 1'!$B39,_12MonResults_Revenue_Calculated),0)</f>
        <v>0</v>
      </c>
      <c r="J39" s="881" t="e">
        <f>I39/H39</f>
        <v>#DIV/0!</v>
      </c>
      <c r="L39" s="894">
        <f>C39-SUM(D39:G39)</f>
        <v>0</v>
      </c>
      <c r="M39" s="894">
        <f>I39-L39</f>
        <v>0</v>
      </c>
    </row>
    <row r="40" spans="1:13" hidden="1">
      <c r="A40" s="895" t="s">
        <v>1462</v>
      </c>
      <c r="B40" s="895" t="s">
        <v>1358</v>
      </c>
      <c r="C40" s="893">
        <f>ROUND(SUMIF(_12MonResults_RateCategory,'Sch M-1.3-pg 1'!$B40,_12MonResults_Revenue_Total),0)</f>
        <v>-174286</v>
      </c>
      <c r="D40" s="874">
        <f>ROUND(SUMIF(_12MonResults_Rate,'Sch M-1.3-pg 1'!$B40,_12MonResults_Revenue_FAC),0)</f>
        <v>0</v>
      </c>
      <c r="E40" s="874">
        <f>ROUND(SUMIF(_12MonResults_Rate,'Sch M-1.3-pg 1'!$B40,_12MonResults_Revenue_DSM),0)</f>
        <v>0</v>
      </c>
      <c r="F40" s="874">
        <f>ROUND(SUMIF(_12MonResults_Rate,'Sch M-1.3-pg 1'!$B40,_12MonResults_Revenue_ECR),0)</f>
        <v>0</v>
      </c>
      <c r="G40" s="874">
        <f>ROUND(SUMIF(_12MonResults_RateCategory,'Sch M-1.3-pg 1'!$B40,_12MonResults_Revenue_CSR),0)</f>
        <v>-174286</v>
      </c>
      <c r="H40" s="874">
        <f>ROUND(SUMIF(_12MonResults_Rate,'Sch M-1.3-pg 1'!$B40,_12MonResults_Revenue_Actual),0)</f>
        <v>0</v>
      </c>
      <c r="I40" s="874">
        <f>ROUND(SUMIF(_12MonResults_Rate,'Sch M-1.3-pg 1'!$B40,_12MonResults_Revenue_Calculated),0)</f>
        <v>0</v>
      </c>
      <c r="J40" s="881" t="e">
        <f>I40/H40</f>
        <v>#DIV/0!</v>
      </c>
      <c r="L40" s="894">
        <f>C40-SUM(D40:G40)</f>
        <v>0</v>
      </c>
      <c r="M40" s="894">
        <f>I40-L40</f>
        <v>0</v>
      </c>
    </row>
    <row r="41" spans="1:13" ht="15" hidden="1">
      <c r="A41" s="895" t="s">
        <v>1462</v>
      </c>
      <c r="B41" s="895" t="s">
        <v>1045</v>
      </c>
      <c r="C41" s="920">
        <f>ROUND(SUMIF(_12MonResults_RateCategory,'Sch M-1.3-pg 1'!$B41,_12MonResults_Revenue_Total),0)</f>
        <v>-52800</v>
      </c>
      <c r="D41" s="897">
        <f>ROUND(SUMIF(_12MonResults_Rate,'Sch M-1.3-pg 1'!$B41,_12MonResults_Revenue_FAC),0)</f>
        <v>0</v>
      </c>
      <c r="E41" s="897">
        <f>ROUND(SUMIF(_12MonResults_Rate,'Sch M-1.3-pg 1'!$B41,_12MonResults_Revenue_DSM),0)</f>
        <v>0</v>
      </c>
      <c r="F41" s="897">
        <f>ROUND(SUMIF(_12MonResults_Rate,'Sch M-1.3-pg 1'!$B41,_12MonResults_Revenue_ECR),0)</f>
        <v>0</v>
      </c>
      <c r="G41" s="897">
        <f>ROUND(SUMIF(_12MonResults_RateCategory,'Sch M-1.3-pg 1'!$B41,_12MonResults_Revenue_CSR),0)</f>
        <v>-52800</v>
      </c>
      <c r="H41" s="897">
        <f>ROUND(SUMIF(_12MonResults_Rate,'Sch M-1.3-pg 1'!$B41,_12MonResults_Revenue_Actual),0)</f>
        <v>0</v>
      </c>
      <c r="I41" s="897">
        <f>ROUND(SUMIF(_12MonResults_Rate,'Sch M-1.3-pg 1'!$B41,_12MonResults_Revenue_Calculated),0)</f>
        <v>0</v>
      </c>
      <c r="J41" s="881" t="e">
        <f>I41/H41</f>
        <v>#DIV/0!</v>
      </c>
      <c r="L41" s="894">
        <f>C41-SUM(D41:G41)</f>
        <v>0</v>
      </c>
      <c r="M41" s="894">
        <f>I41-L41</f>
        <v>0</v>
      </c>
    </row>
    <row r="42" spans="1:13" ht="15">
      <c r="A42" s="895"/>
      <c r="B42" s="895"/>
      <c r="C42" s="1030"/>
      <c r="D42" s="897"/>
      <c r="E42" s="897"/>
      <c r="F42" s="897"/>
      <c r="G42" s="897"/>
      <c r="H42" s="897"/>
      <c r="I42" s="897"/>
      <c r="L42" s="894"/>
      <c r="M42" s="894"/>
    </row>
    <row r="43" spans="1:13">
      <c r="A43" s="895" t="s">
        <v>1462</v>
      </c>
      <c r="B43" s="895" t="s">
        <v>1460</v>
      </c>
      <c r="C43" s="893">
        <f>IF(C39+C40+C41=ROUND(SUMIF(_12MonResults_Rate,$B43,_12MonResults_Revenue_CSR),0),C39+C40+C41,"err")</f>
        <v>-304195</v>
      </c>
      <c r="D43" s="893">
        <f>SUM(D39:D41)</f>
        <v>0</v>
      </c>
      <c r="E43" s="893">
        <f>SUM(E39:E41)</f>
        <v>0</v>
      </c>
      <c r="F43" s="893">
        <f>SUM(F39:F41)</f>
        <v>0</v>
      </c>
      <c r="G43" s="893">
        <f>IF(G39+G40+G41=ROUND(SUMIF(_12MonResults_Rate,$B43,_12MonResults_Revenue_CSR),0),G39+G40+G41,"err")</f>
        <v>-304195</v>
      </c>
      <c r="H43" s="893">
        <f>SUM(H39:H41)</f>
        <v>0</v>
      </c>
      <c r="I43" s="893">
        <f>SUM(I39:I41)</f>
        <v>0</v>
      </c>
      <c r="L43" s="894"/>
      <c r="M43" s="894"/>
    </row>
    <row r="44" spans="1:13">
      <c r="C44" s="899"/>
      <c r="D44" s="899"/>
      <c r="E44" s="899"/>
      <c r="F44" s="899"/>
      <c r="G44" s="899"/>
      <c r="H44" s="899"/>
      <c r="I44" s="899"/>
    </row>
    <row r="45" spans="1:13">
      <c r="A45" s="881" t="s">
        <v>92</v>
      </c>
      <c r="B45" s="898" t="s">
        <v>20</v>
      </c>
      <c r="C45" s="893">
        <f>ROUND(SUMIF(_12MonResults_Rate,'Sch M-1.3-pg 1'!$B45,_12MonResults_Revenue_Total),0)</f>
        <v>12372</v>
      </c>
      <c r="D45" s="874">
        <f>ROUND(SUMIF(_12MonResults_Rate,'Sch M-1.3-pg 1'!$B45,_12MonResults_Revenue_FAC),0)</f>
        <v>372</v>
      </c>
      <c r="E45" s="874">
        <f>ROUND(SUMIF(_12MonResults_Rate,'Sch M-1.3-pg 1'!$B45,_12MonResults_Revenue_DSM),0)</f>
        <v>0</v>
      </c>
      <c r="F45" s="874">
        <f>ROUND(SUMIF(_12MonResults_Rate,'Sch M-1.3-pg 1'!$B45,_12MonResults_Revenue_ECR),0)</f>
        <v>461</v>
      </c>
      <c r="G45" s="874">
        <f>ROUND(SUMIF(_12MonResults_Rate,'Sch M-1.3-pg 1'!$B45,_12MonResults_Revenue_CSR),0)</f>
        <v>0</v>
      </c>
      <c r="H45" s="874">
        <f>ROUND(SUMIF(_12MonResults_Rate,'Sch M-1.3-pg 1'!$B45,_12MonResults_Revenue_Actual),0)</f>
        <v>11539</v>
      </c>
      <c r="I45" s="874">
        <f>ROUND(SUMIF(_12MonResults_Rate,'Sch M-1.3-pg 1'!$B45,_12MonResults_Revenue_Calculated),0)</f>
        <v>11539</v>
      </c>
      <c r="J45" s="881">
        <f>I45/H45</f>
        <v>1</v>
      </c>
      <c r="L45" s="894">
        <f>C45-SUM(D45:G45)</f>
        <v>11539</v>
      </c>
      <c r="M45" s="894">
        <f>H45-L45</f>
        <v>0</v>
      </c>
    </row>
    <row r="46" spans="1:13">
      <c r="C46" s="874"/>
      <c r="D46" s="874"/>
      <c r="E46" s="874"/>
      <c r="F46" s="874"/>
      <c r="G46" s="874"/>
      <c r="H46" s="874"/>
      <c r="I46" s="874"/>
      <c r="M46" s="894"/>
    </row>
    <row r="47" spans="1:13">
      <c r="A47" s="881" t="s">
        <v>90</v>
      </c>
      <c r="B47" s="898" t="s">
        <v>21</v>
      </c>
      <c r="C47" s="893">
        <f>ROUND(SUMIF(_12MonResults_Rate,'Sch M-1.3-pg 1'!$B47,_12MonResults_Revenue_Total),0)</f>
        <v>138559</v>
      </c>
      <c r="D47" s="874">
        <f>ROUND(SUMIF(_12MonResults_Rate,'Sch M-1.3-pg 1'!$B47,_12MonResults_Revenue_FAC),0)+1</f>
        <v>2595</v>
      </c>
      <c r="E47" s="874">
        <f>ROUND(SUMIF(_12MonResults_Rate,'Sch M-1.3-pg 1'!$B47,_12MonResults_Revenue_DSM),0)</f>
        <v>0</v>
      </c>
      <c r="F47" s="874">
        <f>ROUND(SUMIF(_12MonResults_Rate,'Sch M-1.3-pg 1'!$B47,_12MonResults_Revenue_ECR),0)</f>
        <v>3932</v>
      </c>
      <c r="G47" s="874">
        <f>ROUND(SUMIF(_12MonResults_Rate,'Sch M-1.3-pg 1'!$B47,_12MonResults_Revenue_CSR),0)</f>
        <v>0</v>
      </c>
      <c r="H47" s="874">
        <f>ROUND(SUMIF(_12MonResults_Rate,'Sch M-1.3-pg 1'!$B47,_12MonResults_Revenue_Actual),0)</f>
        <v>132032</v>
      </c>
      <c r="I47" s="874">
        <f>ROUND(SUMIF(_12MonResults_Rate,'Sch M-1.3-pg 1'!$B47,_12MonResults_Revenue_Calculated),0)</f>
        <v>132030</v>
      </c>
      <c r="J47" s="881">
        <f>I47/H47</f>
        <v>0.99998485215705279</v>
      </c>
      <c r="L47" s="894">
        <f>C47-SUM(D47:G47)</f>
        <v>132032</v>
      </c>
      <c r="M47" s="894">
        <f>H47-L47</f>
        <v>0</v>
      </c>
    </row>
    <row r="48" spans="1:13">
      <c r="C48" s="874"/>
      <c r="D48" s="874"/>
      <c r="E48" s="874"/>
      <c r="F48" s="874"/>
      <c r="G48" s="874"/>
      <c r="H48" s="874"/>
      <c r="I48" s="874"/>
      <c r="M48" s="894"/>
    </row>
    <row r="49" spans="1:14" hidden="1">
      <c r="B49" s="881" t="s">
        <v>79</v>
      </c>
      <c r="C49" s="899">
        <f>ROUND(SUMIF(_12MonLights_RateClass,'Sch M-1.3-pg 1'!$B49,_12MonLights_TotalRevenue),0)</f>
        <v>12697240</v>
      </c>
      <c r="D49" s="899">
        <f>ROUND(SUMIF(_12MonLights_RateClass,'Sch M-1.3-pg 1'!$B49,_12MonLights_FAC),0)</f>
        <v>102232</v>
      </c>
      <c r="E49" s="899"/>
      <c r="F49" s="899">
        <f>ROUND(SUMIF(_12MonLights_RateClass,'Sch M-1.3-pg 1'!$B49,_12MonLights_ECR),0)</f>
        <v>216283</v>
      </c>
      <c r="G49" s="899"/>
      <c r="H49" s="899">
        <f>ROUND(SUMIF(_12MonLights_RateClass,'Sch M-1.3-pg 1'!$B49,_12MonLights_Revenue_Actual),0)</f>
        <v>12378725</v>
      </c>
      <c r="I49" s="899">
        <f>ROUND(SUMIF(_12MonLights_RateClass,'Sch M-1.3-pg 1'!$B49,_12MonLights_Revenue_Calculated),0)</f>
        <v>0</v>
      </c>
    </row>
    <row r="50" spans="1:14" hidden="1">
      <c r="B50" s="881" t="s">
        <v>1035</v>
      </c>
      <c r="C50" s="899">
        <f>ROUND(SUMIF(_12MonLights_RateClass,'Sch M-1.3-pg 1'!$B50,_12MonLights_TotalRevenue),0)</f>
        <v>11300092</v>
      </c>
      <c r="D50" s="899">
        <f>ROUND(SUMIF(_12MonLights_RateClass,'Sch M-1.3-pg 1'!$B50,_12MonLights_FAC),0)</f>
        <v>117678</v>
      </c>
      <c r="E50" s="899">
        <v>0</v>
      </c>
      <c r="F50" s="899">
        <f>ROUND(SUMIF(_12MonLights_RateClass,'Sch M-1.3-pg 1'!$B50,_12MonLights_ECR),0)</f>
        <v>278110</v>
      </c>
      <c r="G50" s="899">
        <v>0</v>
      </c>
      <c r="H50" s="899">
        <f>ROUND(SUMIF(_12MonLights_RateClass,'Sch M-1.3-pg 1'!$B50,_12MonLights_Revenue_Actual),0)</f>
        <v>10904304</v>
      </c>
      <c r="I50" s="899">
        <f>ROUND(SUMIF(_12MonLights_RateClass,'Sch M-1.3-pg 1'!$B50,_12MonLights_Revenue_Calculated),0)</f>
        <v>21466679</v>
      </c>
      <c r="J50" s="881">
        <f>I50/H50</f>
        <v>1.9686427487714944</v>
      </c>
      <c r="L50" s="874">
        <f>C50-SUM(D50:G50)</f>
        <v>10904304</v>
      </c>
      <c r="M50" s="894">
        <f>H50-L50</f>
        <v>0</v>
      </c>
      <c r="N50" s="899"/>
    </row>
    <row r="51" spans="1:14" ht="15" hidden="1">
      <c r="B51" s="898" t="s">
        <v>1036</v>
      </c>
      <c r="C51" s="904">
        <f>ROUND(SUMIF(_12MonLights_RateClass,'Sch M-1.3-pg 1'!$B51,_12MonLights_TotalRevenue),0)</f>
        <v>1924701</v>
      </c>
      <c r="D51" s="904">
        <f>ROUND(SUMIF(_12MonLights_RateClass,'Sch M-1.3-pg 1'!$B51,_12MonLights_FAC),0)</f>
        <v>23172</v>
      </c>
      <c r="E51" s="904">
        <v>0</v>
      </c>
      <c r="F51" s="904">
        <f>ROUND(SUMIF(_12MonLights_RateClass,'Sch M-1.3-pg 1'!$B51,_12MonLights_ECR),0)</f>
        <v>47823</v>
      </c>
      <c r="G51" s="904">
        <v>0</v>
      </c>
      <c r="H51" s="896">
        <f>ROUND(SUMIF(_12MonLights_RateClass,'Sch M-1.3-pg 1'!$B51,_12MonLights_Revenue_Actual),0)</f>
        <v>1853706</v>
      </c>
      <c r="I51" s="896">
        <f>ROUND(SUMIF(_12MonLights_RateClass,'Sch M-1.3-pg 1'!$B51,_12MonLights_Revenue_Calculated),0)</f>
        <v>3672136</v>
      </c>
      <c r="J51" s="881">
        <f>I51/H51</f>
        <v>1.9809700135835995</v>
      </c>
      <c r="L51" s="894">
        <f>C51-SUM(D51:G51)</f>
        <v>1853706</v>
      </c>
      <c r="M51" s="894">
        <f>H51-L51</f>
        <v>0</v>
      </c>
      <c r="N51" s="899"/>
    </row>
    <row r="52" spans="1:14">
      <c r="A52" s="895" t="s">
        <v>1504</v>
      </c>
      <c r="C52" s="874">
        <f t="shared" ref="C52:I52" si="5">SUM(C49:C51)</f>
        <v>25922033</v>
      </c>
      <c r="D52" s="874">
        <f t="shared" si="5"/>
        <v>243082</v>
      </c>
      <c r="E52" s="874">
        <f t="shared" si="5"/>
        <v>0</v>
      </c>
      <c r="F52" s="874">
        <f t="shared" si="5"/>
        <v>542216</v>
      </c>
      <c r="G52" s="874">
        <f t="shared" si="5"/>
        <v>0</v>
      </c>
      <c r="H52" s="874">
        <f t="shared" si="5"/>
        <v>25136735</v>
      </c>
      <c r="I52" s="874">
        <f t="shared" si="5"/>
        <v>25138815</v>
      </c>
      <c r="J52" s="881">
        <f>I52/H52</f>
        <v>1.0000827474212541</v>
      </c>
    </row>
    <row r="54" spans="1:14" ht="15">
      <c r="A54" s="881" t="s">
        <v>60</v>
      </c>
      <c r="C54" s="905">
        <f t="shared" ref="C54:I54" si="6">SUM(C10,C11,C16,C20,C22,C24,C26,C28,C30,C34,C38,C43,C45,C47,C52)</f>
        <v>1515831462</v>
      </c>
      <c r="D54" s="905">
        <f t="shared" si="6"/>
        <v>37644097</v>
      </c>
      <c r="E54" s="905">
        <f t="shared" si="6"/>
        <v>29854110</v>
      </c>
      <c r="F54" s="905">
        <f t="shared" si="6"/>
        <v>49474470</v>
      </c>
      <c r="G54" s="905">
        <f t="shared" si="6"/>
        <v>-12322833</v>
      </c>
      <c r="H54" s="905">
        <f t="shared" si="6"/>
        <v>1411181618</v>
      </c>
      <c r="I54" s="905">
        <f t="shared" si="6"/>
        <v>1411181642</v>
      </c>
      <c r="J54" s="881">
        <f>I54/H54</f>
        <v>1.0000000170070242</v>
      </c>
    </row>
  </sheetData>
  <printOptions horizontalCentered="1"/>
  <pageMargins left="0.5" right="0.22" top="1.49" bottom="0.4" header="0.75" footer="0.3"/>
  <pageSetup scale="80" orientation="landscape" r:id="rId1"/>
  <headerFooter scaleWithDoc="0">
    <oddHeader>&amp;C&amp;"Calibri,Bold"&amp;11Kentucky Utilities Company
Case No. 2014-00371&amp;10
Base Period Revenues at Present Rates
for the Twelve Months Ended February 28, 2015</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U407"/>
  <sheetViews>
    <sheetView zoomScaleNormal="100" workbookViewId="0">
      <selection activeCell="A371" sqref="A371"/>
    </sheetView>
  </sheetViews>
  <sheetFormatPr defaultRowHeight="12"/>
  <cols>
    <col min="1" max="1" width="52.6640625" style="771" customWidth="1"/>
    <col min="2" max="2" width="9.33203125" style="771"/>
    <col min="3" max="3" width="15.6640625" style="771" bestFit="1" customWidth="1"/>
    <col min="4" max="4" width="14.83203125" style="771" bestFit="1" customWidth="1"/>
    <col min="5" max="5" width="18.6640625" style="771" bestFit="1" customWidth="1"/>
    <col min="6" max="6" width="9.33203125" style="771"/>
    <col min="7" max="7" width="13.5" style="771" bestFit="1" customWidth="1"/>
    <col min="8" max="8" width="23.5" style="771" bestFit="1" customWidth="1"/>
    <col min="9" max="9" width="3.83203125" style="950" customWidth="1"/>
    <col min="10" max="10" width="16.1640625" style="771" bestFit="1" customWidth="1"/>
    <col min="11" max="11" width="12.5" style="771" bestFit="1" customWidth="1"/>
    <col min="12" max="12" width="17.33203125" style="771" bestFit="1" customWidth="1"/>
    <col min="13" max="13" width="10.6640625" style="771" bestFit="1" customWidth="1"/>
    <col min="14" max="14" width="10.6640625" style="1032" customWidth="1"/>
    <col min="15" max="16" width="18.6640625" style="771" bestFit="1" customWidth="1"/>
    <col min="17" max="18" width="19.1640625" style="771" bestFit="1" customWidth="1"/>
    <col min="19" max="19" width="12.33203125" style="771" bestFit="1" customWidth="1"/>
    <col min="20" max="20" width="9.33203125" style="771"/>
    <col min="21" max="21" width="10" style="771" bestFit="1" customWidth="1"/>
    <col min="22" max="16384" width="9.33203125" style="771"/>
  </cols>
  <sheetData>
    <row r="1" spans="1:21" ht="12.75">
      <c r="A1" s="1031" t="str">
        <f>'Sch M-1.3-pg 1'!$A$1</f>
        <v>DATA:  __X__ BASE PERIOD  ____  FORECAST PERIOD</v>
      </c>
      <c r="B1" s="922"/>
      <c r="C1" s="922"/>
      <c r="D1" s="922"/>
      <c r="E1" s="922"/>
      <c r="F1" s="922"/>
      <c r="G1" s="922"/>
      <c r="H1" s="922"/>
      <c r="I1" s="923" t="str">
        <f>'Sch M-1.3-pg 1'!$J$1</f>
        <v>Schedule M-1.3</v>
      </c>
    </row>
    <row r="2" spans="1:21" ht="12.75">
      <c r="A2" s="959" t="str">
        <f>'Sch M-1.3-pg 1'!$A$2</f>
        <v>TYPE OF FILING: __X__ ORIGINAL  _____ UPDATED  _____ REVISED</v>
      </c>
      <c r="B2" s="922"/>
      <c r="C2" s="922"/>
      <c r="D2" s="922"/>
      <c r="E2" s="922"/>
      <c r="F2" s="922"/>
      <c r="G2" s="922"/>
      <c r="H2" s="922"/>
      <c r="I2" s="923" t="str">
        <f>"Page "&amp;M2&amp;" of "&amp;N2</f>
        <v>Page 2 of 18</v>
      </c>
      <c r="M2" s="771">
        <v>2</v>
      </c>
      <c r="N2" s="1032">
        <f>'Sch M-1.3-pg 14-18'!$N$147</f>
        <v>18</v>
      </c>
    </row>
    <row r="3" spans="1:21" ht="12.75">
      <c r="A3" s="959" t="str">
        <f>'Sch M-1.3-pg 1'!$A$3</f>
        <v>WORK PAPER REFERENCE NO(S):</v>
      </c>
      <c r="B3" s="922"/>
      <c r="C3" s="922"/>
      <c r="D3" s="922"/>
      <c r="E3" s="922"/>
      <c r="F3" s="922"/>
      <c r="G3" s="922"/>
      <c r="H3" s="922"/>
      <c r="I3" s="924" t="str">
        <f>'Sch M-1.3-pg 1'!$J$3</f>
        <v>Witness:  M.J. Blake</v>
      </c>
      <c r="K3" s="925"/>
    </row>
    <row r="4" spans="1:21" ht="12.75">
      <c r="A4" s="926"/>
      <c r="B4" s="922"/>
      <c r="C4" s="922"/>
      <c r="D4" s="922"/>
      <c r="E4" s="922"/>
      <c r="F4" s="922"/>
      <c r="G4" s="922"/>
      <c r="H4" s="922"/>
      <c r="I4" s="948"/>
      <c r="J4" s="922"/>
      <c r="N4" s="1033"/>
    </row>
    <row r="5" spans="1:21" ht="12.75">
      <c r="A5" s="927"/>
      <c r="B5" s="745"/>
      <c r="C5" s="747"/>
      <c r="D5" s="928"/>
      <c r="E5" s="747"/>
      <c r="F5" s="745"/>
      <c r="G5" s="747" t="s">
        <v>144</v>
      </c>
      <c r="H5" s="747" t="s">
        <v>145</v>
      </c>
      <c r="I5" s="746"/>
      <c r="N5" s="1033"/>
    </row>
    <row r="6" spans="1:21" ht="12.75">
      <c r="A6" s="945"/>
      <c r="B6" s="946"/>
      <c r="C6" s="748" t="s">
        <v>100</v>
      </c>
      <c r="D6" s="770"/>
      <c r="E6" s="749" t="s">
        <v>147</v>
      </c>
      <c r="F6" s="947"/>
      <c r="G6" s="749" t="s">
        <v>148</v>
      </c>
      <c r="H6" s="749" t="s">
        <v>149</v>
      </c>
      <c r="I6" s="947"/>
      <c r="N6" s="1033"/>
    </row>
    <row r="7" spans="1:21" ht="12.75">
      <c r="A7" s="777" t="s">
        <v>1434</v>
      </c>
      <c r="B7" s="745"/>
      <c r="C7" s="750"/>
      <c r="D7" s="745"/>
      <c r="E7" s="750"/>
      <c r="F7" s="750"/>
      <c r="G7" s="745"/>
      <c r="H7" s="745"/>
      <c r="I7" s="750"/>
    </row>
    <row r="8" spans="1:21" ht="12.75">
      <c r="A8" s="929" t="s">
        <v>1435</v>
      </c>
      <c r="B8" s="745"/>
      <c r="C8" s="750"/>
      <c r="D8" s="745"/>
      <c r="E8" s="750"/>
      <c r="F8" s="750"/>
      <c r="G8" s="745"/>
      <c r="H8" s="745"/>
      <c r="I8" s="750"/>
    </row>
    <row r="9" spans="1:21" ht="12.75">
      <c r="A9" s="930" t="s">
        <v>1442</v>
      </c>
      <c r="B9" s="745"/>
      <c r="C9" s="755">
        <f>SUMIF(_12MonResults_Rate,MiscData!$U$4,_12MonResults_CustomerCount)+SUMIF(_12MonResults_Rate,MiscData!$U$4,_12MonResults_CustomerCount_Adj)</f>
        <v>5117212</v>
      </c>
      <c r="D9" s="745"/>
      <c r="E9" s="745"/>
      <c r="F9" s="745"/>
      <c r="G9" s="751">
        <f>SUMIF(_Rates_Tariff_Category,MiscData!$T$4&amp;MiscData!$W$37,_Rates_BasicServiceCharge)</f>
        <v>10.75</v>
      </c>
      <c r="H9" s="752">
        <f>ROUND($C9*G9,0)</f>
        <v>55010029</v>
      </c>
      <c r="I9" s="746"/>
      <c r="L9" s="745"/>
      <c r="N9" s="1015"/>
      <c r="O9" s="745"/>
      <c r="P9" s="745"/>
      <c r="Q9" s="745"/>
      <c r="R9" s="745"/>
      <c r="S9" s="931"/>
      <c r="U9" s="931"/>
    </row>
    <row r="10" spans="1:21" ht="12.75">
      <c r="A10" s="932" t="s">
        <v>493</v>
      </c>
      <c r="B10" s="745"/>
      <c r="C10" s="755"/>
      <c r="D10" s="745"/>
      <c r="E10" s="745"/>
      <c r="F10" s="745"/>
      <c r="G10" s="756"/>
      <c r="H10" s="757">
        <f>SUMIF(_12MonResults_Rate,MiscData!$U$4,_12MonResults_Revenue_Adj_BSC)</f>
        <v>-188381.27000000005</v>
      </c>
      <c r="I10" s="746"/>
      <c r="S10" s="931"/>
      <c r="U10" s="931"/>
    </row>
    <row r="11" spans="1:21" ht="12.75">
      <c r="A11" s="930" t="s">
        <v>1443</v>
      </c>
      <c r="B11" s="745"/>
      <c r="C11" s="745"/>
      <c r="D11" s="745"/>
      <c r="E11" s="755">
        <f>SUMIF(_12MonResults_Rate,MiscData!$U$4,_12MonResults_KWH_Total)+SUMIF(_12MonResults_Rate,MiscData!$U$4,_12MonResults_KWH_OutOfPeriod)</f>
        <v>6161445562</v>
      </c>
      <c r="F11" s="745"/>
      <c r="G11" s="758">
        <f>SUMIF(_Rates_Tariff_Category,MiscData!$T$4&amp;MiscData!$W$37,_Rates_Energy)</f>
        <v>7.7439999999999995E-2</v>
      </c>
      <c r="H11" s="752">
        <f>ROUND($E11*G11,)</f>
        <v>477142344</v>
      </c>
      <c r="I11" s="746"/>
      <c r="L11" s="745"/>
      <c r="N11" s="1015"/>
      <c r="O11" s="745"/>
      <c r="P11" s="745"/>
      <c r="Q11" s="745"/>
      <c r="R11" s="745"/>
      <c r="S11" s="931"/>
      <c r="U11" s="931"/>
    </row>
    <row r="12" spans="1:21" ht="12.75">
      <c r="A12" s="933" t="s">
        <v>150</v>
      </c>
      <c r="B12" s="745"/>
      <c r="C12" s="757"/>
      <c r="D12" s="757"/>
      <c r="E12" s="757"/>
      <c r="F12" s="745"/>
      <c r="G12" s="756"/>
      <c r="H12" s="757">
        <f>SUMIF(_12MonResults_Rate,MiscData!$U$4,_12MonResults_Revenue_Adj_Energy)</f>
        <v>-2435.9000000000005</v>
      </c>
      <c r="I12" s="746"/>
      <c r="S12" s="931"/>
    </row>
    <row r="13" spans="1:21" ht="15">
      <c r="A13" s="934" t="s">
        <v>151</v>
      </c>
      <c r="B13" s="745"/>
      <c r="C13" s="772">
        <f>SUM(C9:C9)</f>
        <v>5117212</v>
      </c>
      <c r="D13" s="745"/>
      <c r="E13" s="772">
        <f>SUM(E11:E12)</f>
        <v>6161445562</v>
      </c>
      <c r="F13" s="755"/>
      <c r="G13" s="745"/>
      <c r="H13" s="759">
        <f>SUM(H9:H12)</f>
        <v>531961555.83000004</v>
      </c>
      <c r="I13" s="750"/>
      <c r="S13" s="931"/>
    </row>
    <row r="14" spans="1:21" ht="12.75">
      <c r="A14" s="745"/>
      <c r="B14" s="745"/>
      <c r="C14" s="757"/>
      <c r="D14" s="745"/>
      <c r="E14" s="755" t="str">
        <f>IF(SUMIF(_12MonResults_Rate,MiscData!$U$4,_12MonResults_KWH_Total)=E13,"",SUMIF(_12MonResults_Rate,MiscData!$U$4,_12MonResults_KWH_Total))</f>
        <v/>
      </c>
      <c r="F14" s="745"/>
      <c r="G14" s="745"/>
      <c r="H14" s="755" t="str">
        <f>IF(ABS(SUMIF(_12MonResults_Rate,MiscData!$U$4,_12MonResults_Revenue_Calculated)-H13)&lt;1,"",SUMIF(_12MonResults_Rate,MiscData!$U$4,_12MonResults_Revenue_Calculated))</f>
        <v/>
      </c>
      <c r="I14" s="746"/>
      <c r="S14" s="931"/>
    </row>
    <row r="15" spans="1:21" ht="12.75">
      <c r="A15" s="929" t="s">
        <v>1470</v>
      </c>
      <c r="B15" s="745"/>
      <c r="C15" s="750"/>
      <c r="D15" s="745"/>
      <c r="E15" s="750"/>
      <c r="F15" s="750"/>
      <c r="G15" s="745"/>
      <c r="H15" s="745"/>
      <c r="I15" s="750"/>
      <c r="Q15" s="935"/>
      <c r="S15" s="931"/>
    </row>
    <row r="16" spans="1:21" ht="12.75">
      <c r="A16" s="930" t="s">
        <v>1442</v>
      </c>
      <c r="B16" s="745"/>
      <c r="C16" s="755">
        <f>SUMIF(_12MonResults_Rate,MiscData!$U$5,_12MonResults_CustomerCount)+SUMIF(_12MonResults_Rate,MiscData!$U$5,_12MonResults_CustomerCount_Adj)</f>
        <v>34</v>
      </c>
      <c r="D16" s="745"/>
      <c r="E16" s="745"/>
      <c r="F16" s="745"/>
      <c r="G16" s="751">
        <f>SUMIF(_Rates_Tariff_Category,MiscData!$T$4&amp;MiscData!$W$40,_Rates_BasicServiceCharge)</f>
        <v>10.75</v>
      </c>
      <c r="H16" s="752">
        <f>ROUND($C16*G16,0)</f>
        <v>366</v>
      </c>
      <c r="I16" s="746"/>
      <c r="L16" s="745"/>
      <c r="N16" s="1015"/>
      <c r="Q16" s="935"/>
      <c r="S16" s="931"/>
    </row>
    <row r="17" spans="1:21" ht="12.75">
      <c r="A17" s="932" t="s">
        <v>493</v>
      </c>
      <c r="B17" s="745"/>
      <c r="C17" s="755"/>
      <c r="D17" s="745"/>
      <c r="E17" s="745"/>
      <c r="F17" s="745"/>
      <c r="G17" s="756"/>
      <c r="H17" s="757">
        <f>SUMIF(_12MonResults_Rate,MiscData!$U$5,_12MonResults_Revenue_Adj_BSC)</f>
        <v>-2.5099999999999998</v>
      </c>
      <c r="I17" s="746"/>
      <c r="S17" s="931"/>
      <c r="U17" s="931"/>
    </row>
    <row r="18" spans="1:21" ht="12.75">
      <c r="A18" s="930" t="s">
        <v>1446</v>
      </c>
      <c r="B18" s="745"/>
      <c r="C18" s="745"/>
      <c r="D18" s="745"/>
      <c r="E18" s="755">
        <f>SUMIF(_12MonResults_Rate,MiscData!$U$5,_12MonResults_KWH_P1)</f>
        <v>23550</v>
      </c>
      <c r="F18" s="745"/>
      <c r="G18" s="758">
        <f>SUMIF(_Rates_Tariff_Category,MiscData!$T$4&amp;MiscData!$W$40,_Rates_Energy)</f>
        <v>5.5870000000000003E-2</v>
      </c>
      <c r="H18" s="752">
        <f>ROUND($E18*G18,)</f>
        <v>1316</v>
      </c>
      <c r="I18" s="746"/>
      <c r="N18" s="1015"/>
      <c r="Q18" s="935"/>
      <c r="S18" s="931"/>
    </row>
    <row r="19" spans="1:21" ht="12.75">
      <c r="A19" s="930" t="s">
        <v>1447</v>
      </c>
      <c r="B19" s="745"/>
      <c r="C19" s="745"/>
      <c r="D19" s="745"/>
      <c r="E19" s="755">
        <f>SUMIF(_12MonResults_Rate,MiscData!$U$5,_12MonResults_KWH_P2)</f>
        <v>7781</v>
      </c>
      <c r="F19" s="745"/>
      <c r="G19" s="758">
        <f>SUMIF(_Rates_Tariff_Category,MiscData!$T$4&amp;MiscData!$W$40,_Rates_Energy_P2)</f>
        <v>7.7630000000000005E-2</v>
      </c>
      <c r="H19" s="757">
        <f>ROUND($E19*G19,)</f>
        <v>604</v>
      </c>
      <c r="I19" s="746"/>
      <c r="N19" s="1015"/>
      <c r="Q19" s="935"/>
      <c r="S19" s="931"/>
    </row>
    <row r="20" spans="1:21" ht="12.75">
      <c r="A20" s="930" t="s">
        <v>1448</v>
      </c>
      <c r="B20" s="745"/>
      <c r="C20" s="745"/>
      <c r="D20" s="745"/>
      <c r="E20" s="755">
        <f>SUMIF(_12MonResults_Rate,MiscData!$U$5,_12MonResults_KWH_P3)</f>
        <v>5161</v>
      </c>
      <c r="F20" s="745"/>
      <c r="G20" s="758">
        <f>SUMIF(_Rates_Tariff_Category,MiscData!$T$4&amp;MiscData!$W$40,_Rates_Energy_P3)</f>
        <v>0.14297000000000001</v>
      </c>
      <c r="H20" s="757">
        <f>ROUND($E20*G20,)</f>
        <v>738</v>
      </c>
      <c r="I20" s="746"/>
      <c r="N20" s="1015"/>
      <c r="Q20" s="935"/>
      <c r="S20" s="931"/>
    </row>
    <row r="21" spans="1:21" ht="12.75">
      <c r="A21" s="933" t="s">
        <v>150</v>
      </c>
      <c r="B21" s="745"/>
      <c r="C21" s="757"/>
      <c r="D21" s="757"/>
      <c r="E21" s="757"/>
      <c r="F21" s="745"/>
      <c r="G21" s="756"/>
      <c r="H21" s="757">
        <f>SUMIF(_12MonResults_Rate,MiscData!$U$5,_12MonResults_Revenue_Adj_Energy)</f>
        <v>-0.02</v>
      </c>
      <c r="I21" s="746"/>
      <c r="Q21" s="935"/>
      <c r="S21" s="931"/>
    </row>
    <row r="22" spans="1:21" ht="15">
      <c r="A22" s="838" t="s">
        <v>151</v>
      </c>
      <c r="B22" s="745"/>
      <c r="C22" s="773">
        <f>SUM(C16:C16)</f>
        <v>34</v>
      </c>
      <c r="D22" s="745"/>
      <c r="E22" s="772">
        <f>SUM(E18:E21)</f>
        <v>36492</v>
      </c>
      <c r="F22" s="755"/>
      <c r="G22" s="745"/>
      <c r="H22" s="759">
        <f>SUM(H16:H21)</f>
        <v>3021.47</v>
      </c>
      <c r="I22" s="750"/>
      <c r="Q22" s="935"/>
      <c r="S22" s="931"/>
    </row>
    <row r="23" spans="1:21" ht="12.75">
      <c r="A23" s="745"/>
      <c r="B23" s="745"/>
      <c r="C23" s="757"/>
      <c r="D23" s="745"/>
      <c r="E23" s="755" t="str">
        <f>IF(SUMIF(_12MonResults_Rate,MiscData!$U$5,_12MonResults_KWH_Total)=E22,"",SUMIF(_12MonResults_Rate,MiscData!$U$5,_12MonResults_KWH_Total))</f>
        <v/>
      </c>
      <c r="F23" s="745"/>
      <c r="G23" s="745"/>
      <c r="H23" s="755" t="str">
        <f>IF(ABS(SUMIF(_12MonResults_Rate,MiscData!$U$5,_12MonResults_Revenue_Calculated)-H22)&lt;1,"",SUMIF(_12MonResults_Rate,MiscData!$U$5,_12MonResults_Revenue_Calculated))</f>
        <v/>
      </c>
      <c r="I23" s="746"/>
      <c r="S23" s="931"/>
    </row>
    <row r="24" spans="1:21" ht="15">
      <c r="A24" s="838" t="s">
        <v>153</v>
      </c>
      <c r="B24" s="745"/>
      <c r="C24" s="774">
        <f>C13+C22</f>
        <v>5117246</v>
      </c>
      <c r="D24" s="757"/>
      <c r="E24" s="774">
        <f>E13+E22</f>
        <v>6161482054</v>
      </c>
      <c r="F24" s="752"/>
      <c r="G24" s="759"/>
      <c r="H24" s="775">
        <f>H13+H22</f>
        <v>531964577.30000007</v>
      </c>
      <c r="I24" s="949"/>
      <c r="K24" s="936"/>
      <c r="Q24" s="935"/>
      <c r="S24" s="931"/>
    </row>
    <row r="25" spans="1:21" ht="12.75">
      <c r="A25" s="934"/>
      <c r="B25" s="745"/>
      <c r="C25" s="757"/>
      <c r="D25" s="757"/>
      <c r="E25" s="757"/>
      <c r="F25" s="745"/>
      <c r="G25" s="745"/>
      <c r="H25" s="757"/>
      <c r="I25" s="746"/>
      <c r="Q25" s="935"/>
      <c r="S25" s="931"/>
    </row>
    <row r="26" spans="1:21" ht="12.75">
      <c r="A26" s="934"/>
      <c r="B26" s="745"/>
      <c r="C26" s="755"/>
      <c r="D26" s="763"/>
      <c r="F26" s="755" t="s">
        <v>783</v>
      </c>
      <c r="G26" s="776"/>
      <c r="H26" s="765">
        <f>'Sch M-1.3-pg 1'!$J$12</f>
        <v>0.99999613885555916</v>
      </c>
      <c r="I26" s="776"/>
      <c r="Q26" s="935"/>
      <c r="S26" s="931"/>
    </row>
    <row r="27" spans="1:21" ht="12.75">
      <c r="A27" s="934"/>
      <c r="B27" s="745"/>
      <c r="C27" s="755"/>
      <c r="D27" s="745"/>
      <c r="E27" s="755"/>
      <c r="F27" s="755"/>
      <c r="G27" s="746"/>
      <c r="H27" s="766"/>
      <c r="I27" s="746"/>
      <c r="Q27" s="935"/>
      <c r="S27" s="931"/>
    </row>
    <row r="28" spans="1:21" ht="15">
      <c r="A28" s="937" t="s">
        <v>155</v>
      </c>
      <c r="B28" s="745"/>
      <c r="C28" s="755"/>
      <c r="D28" s="755"/>
      <c r="E28" s="745"/>
      <c r="F28" s="745"/>
      <c r="G28" s="746"/>
      <c r="H28" s="767">
        <f>ROUND(H24/H26,0)</f>
        <v>531966631</v>
      </c>
      <c r="I28" s="746"/>
      <c r="Q28" s="935"/>
      <c r="S28" s="931"/>
    </row>
    <row r="29" spans="1:21" ht="12.75">
      <c r="A29" s="937"/>
      <c r="B29" s="745"/>
      <c r="C29" s="755"/>
      <c r="D29" s="745"/>
      <c r="E29" s="745"/>
      <c r="F29" s="745"/>
      <c r="G29" s="746"/>
      <c r="H29" s="752"/>
      <c r="I29" s="746"/>
      <c r="Q29" s="935"/>
      <c r="S29" s="931"/>
    </row>
    <row r="30" spans="1:21" ht="15">
      <c r="A30" s="937" t="s">
        <v>156</v>
      </c>
      <c r="B30" s="745"/>
      <c r="C30" s="755"/>
      <c r="D30" s="745"/>
      <c r="E30" s="755"/>
      <c r="F30" s="745"/>
      <c r="G30" s="746"/>
      <c r="H30" s="768"/>
      <c r="I30" s="746"/>
      <c r="Q30" s="935"/>
      <c r="S30" s="931"/>
    </row>
    <row r="31" spans="1:21" ht="12.75">
      <c r="A31" s="937" t="s">
        <v>157</v>
      </c>
      <c r="B31" s="745"/>
      <c r="C31" s="755"/>
      <c r="D31" s="745"/>
      <c r="E31" s="755"/>
      <c r="F31" s="745"/>
      <c r="G31" s="746"/>
      <c r="H31" s="752">
        <f>SUMIF(_12MonResults_Rate,MiscData!$U$4,_12MonResults_Revenue_FAC)+SUMIF(_12MonResults_Rate,MiscData!$U$5,_12MonResults_Revenue_FAC)</f>
        <v>12715268.150000004</v>
      </c>
      <c r="I31" s="746"/>
      <c r="O31" s="745"/>
      <c r="P31" s="745"/>
      <c r="Q31" s="935"/>
      <c r="S31" s="931"/>
    </row>
    <row r="32" spans="1:21" ht="12.75">
      <c r="A32" s="937" t="s">
        <v>158</v>
      </c>
      <c r="B32" s="745"/>
      <c r="C32" s="755"/>
      <c r="D32" s="745"/>
      <c r="E32" s="755"/>
      <c r="F32" s="745"/>
      <c r="G32" s="746"/>
      <c r="H32" s="752">
        <f>SUMIF(_12MonResults_Rate,MiscData!$U$4,_12MonResults_Revenue_DSM)+SUMIF(_12MonResults_Rate,MiscData!$U$5,_12MonResults_Revenue_DSM)</f>
        <v>16336352.979999999</v>
      </c>
      <c r="I32" s="746"/>
      <c r="L32" s="925"/>
      <c r="O32" s="745"/>
      <c r="P32" s="745"/>
      <c r="Q32" s="935"/>
      <c r="S32" s="931"/>
    </row>
    <row r="33" spans="1:21" ht="12.75">
      <c r="A33" s="937" t="s">
        <v>159</v>
      </c>
      <c r="B33" s="745"/>
      <c r="C33" s="755"/>
      <c r="D33" s="745"/>
      <c r="E33" s="755"/>
      <c r="F33" s="745"/>
      <c r="G33" s="746"/>
      <c r="H33" s="752">
        <f>SUMIF(_12MonResults_Rate,MiscData!$U$4,_12MonResults_Revenue_ECR)+SUMIF(_12MonResults_Rate,MiscData!$U$5,_12MonResults_Revenue_ECR)</f>
        <v>17395592.350000005</v>
      </c>
      <c r="I33" s="746"/>
      <c r="L33" s="925"/>
      <c r="O33" s="745"/>
      <c r="P33" s="745"/>
      <c r="Q33" s="935"/>
      <c r="S33" s="931"/>
    </row>
    <row r="34" spans="1:21" ht="12.75">
      <c r="A34" s="937"/>
      <c r="B34" s="745"/>
      <c r="C34" s="755"/>
      <c r="D34" s="745"/>
      <c r="E34" s="755"/>
      <c r="F34" s="745"/>
      <c r="G34" s="746"/>
      <c r="H34" s="752"/>
      <c r="I34" s="746"/>
      <c r="O34" s="745"/>
      <c r="P34" s="745"/>
      <c r="Q34" s="935"/>
      <c r="S34" s="931"/>
    </row>
    <row r="35" spans="1:21" ht="15">
      <c r="A35" s="938" t="s">
        <v>162</v>
      </c>
      <c r="B35" s="745"/>
      <c r="C35" s="755"/>
      <c r="D35" s="745"/>
      <c r="E35" s="755"/>
      <c r="F35" s="745"/>
      <c r="G35" s="746"/>
      <c r="H35" s="759">
        <f>SUM(H31:H34)</f>
        <v>46447213.480000004</v>
      </c>
      <c r="I35" s="746"/>
      <c r="O35" s="745"/>
      <c r="P35" s="745"/>
      <c r="Q35" s="935"/>
      <c r="S35" s="931"/>
    </row>
    <row r="36" spans="1:21" ht="15">
      <c r="A36" s="938"/>
      <c r="B36" s="745"/>
      <c r="C36" s="755"/>
      <c r="D36" s="745"/>
      <c r="E36" s="755"/>
      <c r="F36" s="745"/>
      <c r="G36" s="746"/>
      <c r="H36" s="768"/>
      <c r="I36" s="746"/>
      <c r="O36" s="745"/>
      <c r="P36" s="745"/>
      <c r="Q36" s="935"/>
      <c r="S36" s="931"/>
    </row>
    <row r="37" spans="1:21" ht="15">
      <c r="A37" s="938" t="s">
        <v>163</v>
      </c>
      <c r="B37" s="745"/>
      <c r="C37" s="755"/>
      <c r="D37" s="745"/>
      <c r="E37" s="755"/>
      <c r="F37" s="745"/>
      <c r="G37" s="746"/>
      <c r="H37" s="769">
        <f>H35+H28</f>
        <v>578413844.48000002</v>
      </c>
      <c r="I37" s="746"/>
      <c r="Q37" s="935"/>
      <c r="S37" s="931"/>
    </row>
    <row r="38" spans="1:21" ht="15">
      <c r="A38" s="777"/>
      <c r="B38" s="745"/>
      <c r="C38" s="755"/>
      <c r="D38" s="745"/>
      <c r="E38" s="755"/>
      <c r="F38" s="745"/>
      <c r="G38" s="746"/>
      <c r="H38" s="768"/>
      <c r="I38" s="746"/>
      <c r="Q38" s="935"/>
      <c r="S38" s="931"/>
    </row>
    <row r="39" spans="1:21" ht="12.75">
      <c r="A39" s="1031" t="str">
        <f>'Sch M-1.3-pg 1'!$A$1</f>
        <v>DATA:  __X__ BASE PERIOD  ____  FORECAST PERIOD</v>
      </c>
      <c r="B39" s="922"/>
      <c r="C39" s="922"/>
      <c r="D39" s="922"/>
      <c r="E39" s="922"/>
      <c r="F39" s="922"/>
      <c r="G39" s="922"/>
      <c r="H39" s="922"/>
      <c r="I39" s="923" t="str">
        <f>'Sch M-1.3-pg 1'!$J$1</f>
        <v>Schedule M-1.3</v>
      </c>
      <c r="Q39" s="935"/>
      <c r="S39" s="931"/>
    </row>
    <row r="40" spans="1:21" ht="12.75">
      <c r="A40" s="959" t="str">
        <f>'Sch M-1.3-pg 1'!$A$2</f>
        <v>TYPE OF FILING: __X__ ORIGINAL  _____ UPDATED  _____ REVISED</v>
      </c>
      <c r="B40" s="922"/>
      <c r="C40" s="922"/>
      <c r="D40" s="922"/>
      <c r="E40" s="922"/>
      <c r="F40" s="922"/>
      <c r="G40" s="922"/>
      <c r="H40" s="922"/>
      <c r="I40" s="923" t="str">
        <f>"Page "&amp;M40&amp;" of "&amp;N40</f>
        <v>Page 3 of 18</v>
      </c>
      <c r="M40" s="771">
        <f>M2+1</f>
        <v>3</v>
      </c>
      <c r="N40" s="1032">
        <f>$N$2</f>
        <v>18</v>
      </c>
      <c r="Q40" s="935"/>
      <c r="S40" s="931"/>
    </row>
    <row r="41" spans="1:21" ht="12.75">
      <c r="A41" s="959" t="str">
        <f>'Sch M-1.3-pg 1'!$A$3</f>
        <v>WORK PAPER REFERENCE NO(S):</v>
      </c>
      <c r="B41" s="922"/>
      <c r="C41" s="922"/>
      <c r="D41" s="922"/>
      <c r="E41" s="922"/>
      <c r="F41" s="922"/>
      <c r="G41" s="922"/>
      <c r="H41" s="922"/>
      <c r="I41" s="924" t="str">
        <f>'Sch M-1.3-pg 1'!$J$3</f>
        <v>Witness:  M.J. Blake</v>
      </c>
      <c r="Q41" s="935"/>
      <c r="S41" s="931"/>
    </row>
    <row r="42" spans="1:21" ht="12.75">
      <c r="A42" s="926"/>
      <c r="B42" s="922"/>
      <c r="C42" s="922"/>
      <c r="D42" s="922"/>
      <c r="E42" s="922"/>
      <c r="F42" s="922"/>
      <c r="G42" s="922"/>
      <c r="H42" s="922"/>
      <c r="I42" s="948"/>
      <c r="Q42" s="935"/>
      <c r="S42" s="931"/>
    </row>
    <row r="43" spans="1:21" ht="12.75">
      <c r="A43" s="927"/>
      <c r="B43" s="745"/>
      <c r="C43" s="747"/>
      <c r="D43" s="928"/>
      <c r="E43" s="747"/>
      <c r="F43" s="745"/>
      <c r="G43" s="747" t="s">
        <v>144</v>
      </c>
      <c r="H43" s="747" t="s">
        <v>145</v>
      </c>
      <c r="I43" s="746"/>
      <c r="M43" s="925"/>
      <c r="N43" s="1015"/>
      <c r="O43" s="745"/>
      <c r="P43" s="745"/>
      <c r="Q43" s="935"/>
      <c r="S43" s="931"/>
    </row>
    <row r="44" spans="1:21" ht="12.75">
      <c r="A44" s="945"/>
      <c r="B44" s="946"/>
      <c r="C44" s="748" t="s">
        <v>100</v>
      </c>
      <c r="D44" s="770"/>
      <c r="E44" s="749" t="s">
        <v>147</v>
      </c>
      <c r="F44" s="947"/>
      <c r="G44" s="749" t="s">
        <v>148</v>
      </c>
      <c r="H44" s="749" t="s">
        <v>149</v>
      </c>
      <c r="I44" s="947"/>
      <c r="Q44" s="935"/>
      <c r="S44" s="931"/>
    </row>
    <row r="45" spans="1:21" ht="15">
      <c r="A45" s="777"/>
      <c r="B45" s="745"/>
      <c r="C45" s="755"/>
      <c r="D45" s="745"/>
      <c r="E45" s="755"/>
      <c r="F45" s="745"/>
      <c r="G45" s="746"/>
      <c r="H45" s="768"/>
      <c r="I45" s="746"/>
      <c r="S45" s="931"/>
      <c r="U45" s="931"/>
    </row>
    <row r="46" spans="1:21" ht="12.75">
      <c r="A46" s="777" t="s">
        <v>1550</v>
      </c>
      <c r="B46" s="745"/>
      <c r="C46" s="750"/>
      <c r="D46" s="745"/>
      <c r="E46" s="750"/>
      <c r="F46" s="750"/>
      <c r="G46" s="745"/>
      <c r="H46" s="745"/>
      <c r="I46" s="750"/>
      <c r="Q46" s="935"/>
      <c r="S46" s="931"/>
    </row>
    <row r="47" spans="1:21" ht="12.75">
      <c r="A47" s="939" t="s">
        <v>494</v>
      </c>
      <c r="B47" s="745"/>
      <c r="C47" s="750"/>
      <c r="D47" s="745"/>
      <c r="E47" s="750"/>
      <c r="F47" s="750"/>
      <c r="G47" s="745"/>
      <c r="H47" s="745"/>
      <c r="I47" s="750"/>
      <c r="O47" s="745"/>
      <c r="P47" s="745"/>
      <c r="Q47" s="935"/>
      <c r="S47" s="931"/>
    </row>
    <row r="48" spans="1:21" ht="12.75">
      <c r="A48" s="930" t="s">
        <v>1442</v>
      </c>
      <c r="B48" s="745"/>
      <c r="C48" s="755">
        <f>SUMIF(_12MonResults_Rate,MiscData!$U$6,_12MonResults_CustomerCount)+SUMIF(_12MonResults_Rate,MiscData!$U$6,_12MonResults_CustomerCount_Adj)</f>
        <v>765255</v>
      </c>
      <c r="D48" s="745"/>
      <c r="E48" s="745"/>
      <c r="F48" s="745"/>
      <c r="G48" s="751">
        <f>SUMIF(_Rates_Tariff_Category,MiscData!$T$4&amp;MiscData!$W$13,_Rates_BasicServiceCharge)</f>
        <v>20</v>
      </c>
      <c r="H48" s="752">
        <f>ROUND($C48*G48,0)</f>
        <v>15305100</v>
      </c>
      <c r="I48" s="746"/>
      <c r="M48" s="925"/>
      <c r="N48" s="1015"/>
      <c r="O48" s="745"/>
      <c r="P48" s="745"/>
      <c r="Q48" s="935"/>
      <c r="S48" s="931"/>
    </row>
    <row r="49" spans="1:21" ht="12.75">
      <c r="A49" s="932" t="s">
        <v>493</v>
      </c>
      <c r="B49" s="745"/>
      <c r="C49" s="755"/>
      <c r="D49" s="745"/>
      <c r="E49" s="745"/>
      <c r="F49" s="745"/>
      <c r="G49" s="756"/>
      <c r="H49" s="757">
        <f>SUMIF(_12MonResults_Rate,MiscData!$U$6,_12MonResults_Revenue_Adj_BSC)</f>
        <v>74375.62</v>
      </c>
      <c r="I49" s="746"/>
      <c r="N49" s="1015"/>
      <c r="O49" s="745"/>
      <c r="P49" s="745"/>
      <c r="Q49" s="935"/>
      <c r="S49" s="931"/>
    </row>
    <row r="50" spans="1:21" ht="12.75">
      <c r="A50" s="930" t="s">
        <v>1443</v>
      </c>
      <c r="B50" s="745"/>
      <c r="C50" s="745"/>
      <c r="D50" s="745"/>
      <c r="E50" s="755">
        <f>SUMIF(_12MonResults_Rate,MiscData!$U$6,_12MonResults_KWH_Total)+SUMIF(_12MonResults_Rate,MiscData!$U$6,_12MonResults_KWH_OutOfPeriod)</f>
        <v>767571547</v>
      </c>
      <c r="F50" s="745"/>
      <c r="G50" s="758">
        <f>SUMIF(_Rates_Tariff_Category,MiscData!$T$4&amp;MiscData!$W$13,_Rates_Energy)</f>
        <v>9.2249999999999999E-2</v>
      </c>
      <c r="H50" s="752">
        <f>ROUND($E50*G50,)</f>
        <v>70808475</v>
      </c>
      <c r="I50" s="746"/>
      <c r="O50" s="745"/>
      <c r="P50" s="745"/>
      <c r="Q50" s="935"/>
      <c r="S50" s="931"/>
    </row>
    <row r="51" spans="1:21" ht="12.75">
      <c r="A51" s="933" t="s">
        <v>150</v>
      </c>
      <c r="B51" s="745"/>
      <c r="C51" s="757"/>
      <c r="D51" s="757"/>
      <c r="E51" s="757"/>
      <c r="F51" s="745"/>
      <c r="G51" s="756"/>
      <c r="H51" s="757">
        <f>SUMIF(_12MonResults_Rate,MiscData!$U$6,_12MonResults_Revenue_Adj_Energy)</f>
        <v>2800.77</v>
      </c>
      <c r="I51" s="746"/>
      <c r="S51" s="931"/>
      <c r="U51" s="931"/>
    </row>
    <row r="52" spans="1:21" ht="12.75">
      <c r="A52" s="929" t="s">
        <v>64</v>
      </c>
      <c r="B52" s="745"/>
      <c r="C52" s="757"/>
      <c r="D52" s="757"/>
      <c r="E52" s="757"/>
      <c r="F52" s="745"/>
      <c r="G52" s="756"/>
      <c r="H52" s="757"/>
      <c r="I52" s="746"/>
      <c r="S52" s="931"/>
      <c r="U52" s="931"/>
    </row>
    <row r="53" spans="1:21" ht="12.75">
      <c r="A53" s="930" t="s">
        <v>1442</v>
      </c>
      <c r="B53" s="745"/>
      <c r="C53" s="755">
        <f>SUMIF(_12MonResults_Rate,MiscData!$U$7,_12MonResults_CustomerCount)+SUMIF(_12MonResults_Rate,MiscData!$U$7,_12MonResults_CustomerCount_Adj)</f>
        <v>218149</v>
      </c>
      <c r="D53" s="745"/>
      <c r="E53" s="745"/>
      <c r="F53" s="745"/>
      <c r="G53" s="751">
        <f>SUMIF(_Rates_Tariff_Category,MiscData!$T$4&amp;MiscData!$W$15,_Rates_BasicServiceCharge)</f>
        <v>35</v>
      </c>
      <c r="H53" s="752">
        <f>ROUND($C53*G53,0)</f>
        <v>7635215</v>
      </c>
      <c r="I53" s="746"/>
      <c r="Q53" s="935"/>
    </row>
    <row r="54" spans="1:21" ht="12.75">
      <c r="A54" s="932" t="s">
        <v>493</v>
      </c>
      <c r="B54" s="745"/>
      <c r="C54" s="755"/>
      <c r="D54" s="745"/>
      <c r="E54" s="745"/>
      <c r="F54" s="745"/>
      <c r="G54" s="756"/>
      <c r="H54" s="757">
        <f>SUMIF(_12MonResults_Rate,MiscData!$U$7,_12MonResults_Revenue_Adj_BSC)</f>
        <v>-2411.83</v>
      </c>
      <c r="I54" s="746"/>
      <c r="Q54" s="935"/>
    </row>
    <row r="55" spans="1:21" ht="12.75">
      <c r="A55" s="930" t="s">
        <v>1443</v>
      </c>
      <c r="B55" s="745"/>
      <c r="C55" s="745"/>
      <c r="D55" s="745"/>
      <c r="E55" s="755">
        <f>SUMIF(_12MonResults_Rate,MiscData!$U$7,_12MonResults_KWH_Total)+SUMIF(_12MonResults_Rate,MiscData!$U$7,_12MonResults_KWH_OutOfPeriod)</f>
        <v>1091324875</v>
      </c>
      <c r="F55" s="745"/>
      <c r="G55" s="758">
        <f>SUMIF(_Rates_Tariff_Category,MiscData!$T$4&amp;MiscData!$W$15,_Rates_Energy)</f>
        <v>9.2249999999999999E-2</v>
      </c>
      <c r="H55" s="752">
        <f>ROUND($E55*G55,)</f>
        <v>100674720</v>
      </c>
      <c r="I55" s="746"/>
      <c r="Q55" s="935"/>
    </row>
    <row r="56" spans="1:21" ht="12.75">
      <c r="A56" s="933" t="s">
        <v>150</v>
      </c>
      <c r="B56" s="745"/>
      <c r="C56" s="757"/>
      <c r="D56" s="757"/>
      <c r="E56" s="757"/>
      <c r="F56" s="745"/>
      <c r="G56" s="756"/>
      <c r="H56" s="757">
        <f>SUMIF(_12MonResults_Rate,MiscData!$U$7,_12MonResults_Revenue_Adj_Energy)</f>
        <v>-202.53</v>
      </c>
      <c r="I56" s="746"/>
      <c r="Q56" s="935"/>
    </row>
    <row r="57" spans="1:21" ht="15">
      <c r="A57" s="934" t="s">
        <v>151</v>
      </c>
      <c r="B57" s="745"/>
      <c r="C57" s="772">
        <f>SUM(C48:C55)</f>
        <v>983404</v>
      </c>
      <c r="D57" s="745"/>
      <c r="E57" s="772">
        <f>SUM(E50:E55)</f>
        <v>1858896422</v>
      </c>
      <c r="F57" s="755"/>
      <c r="G57" s="745"/>
      <c r="H57" s="759">
        <f>SUM(H48:H56)</f>
        <v>194498072.03</v>
      </c>
      <c r="I57" s="746"/>
      <c r="N57" s="1015"/>
      <c r="Q57" s="935"/>
      <c r="S57" s="931"/>
    </row>
    <row r="58" spans="1:21" ht="12.75">
      <c r="A58" s="745"/>
      <c r="B58" s="745"/>
      <c r="C58" s="757"/>
      <c r="D58" s="745"/>
      <c r="E58" s="755"/>
      <c r="F58" s="745"/>
      <c r="G58" s="745"/>
      <c r="H58" s="755"/>
      <c r="I58" s="746"/>
      <c r="Q58" s="935"/>
      <c r="S58" s="931"/>
    </row>
    <row r="59" spans="1:21" ht="12.75">
      <c r="A59" s="934"/>
      <c r="B59" s="745"/>
      <c r="C59" s="755"/>
      <c r="D59" s="763"/>
      <c r="E59" s="755"/>
      <c r="F59" s="755" t="s">
        <v>783</v>
      </c>
      <c r="G59" s="776"/>
      <c r="H59" s="765">
        <f>'Sch M-1.3-pg 1'!$J$16</f>
        <v>1.0000000102828783</v>
      </c>
      <c r="I59" s="776"/>
      <c r="O59" s="745"/>
      <c r="P59" s="745"/>
      <c r="Q59" s="745"/>
    </row>
    <row r="60" spans="1:21" ht="12.75">
      <c r="A60" s="934"/>
      <c r="B60" s="745"/>
      <c r="C60" s="755"/>
      <c r="D60" s="745"/>
      <c r="E60" s="755"/>
      <c r="F60" s="755"/>
      <c r="G60" s="746"/>
      <c r="H60" s="766"/>
      <c r="I60" s="746"/>
      <c r="O60" s="745"/>
      <c r="P60" s="745"/>
      <c r="Q60" s="745"/>
    </row>
    <row r="61" spans="1:21" ht="15">
      <c r="A61" s="937" t="s">
        <v>155</v>
      </c>
      <c r="B61" s="745"/>
      <c r="C61" s="755"/>
      <c r="D61" s="755"/>
      <c r="E61" s="745"/>
      <c r="F61" s="745"/>
      <c r="G61" s="746"/>
      <c r="H61" s="767">
        <f>H57/H59</f>
        <v>194498070.03</v>
      </c>
      <c r="I61" s="746"/>
      <c r="O61" s="745"/>
      <c r="P61" s="745"/>
      <c r="Q61" s="745"/>
    </row>
    <row r="62" spans="1:21" ht="12.75">
      <c r="A62" s="937"/>
      <c r="B62" s="745"/>
      <c r="C62" s="755"/>
      <c r="D62" s="745"/>
      <c r="E62" s="745"/>
      <c r="F62" s="745"/>
      <c r="G62" s="746"/>
      <c r="H62" s="752"/>
      <c r="I62" s="746"/>
      <c r="Q62" s="935"/>
    </row>
    <row r="63" spans="1:21" ht="15">
      <c r="A63" s="937" t="s">
        <v>156</v>
      </c>
      <c r="B63" s="745"/>
      <c r="C63" s="755"/>
      <c r="D63" s="745"/>
      <c r="E63" s="755"/>
      <c r="F63" s="745"/>
      <c r="G63" s="746"/>
      <c r="H63" s="768"/>
      <c r="I63" s="746"/>
      <c r="Q63" s="935"/>
    </row>
    <row r="64" spans="1:21" ht="12.75">
      <c r="A64" s="937" t="s">
        <v>157</v>
      </c>
      <c r="B64" s="745"/>
      <c r="C64" s="755"/>
      <c r="D64" s="745"/>
      <c r="E64" s="755"/>
      <c r="F64" s="745"/>
      <c r="G64" s="746"/>
      <c r="H64" s="752">
        <f>SUMIF(_12MonResults_Rate,MiscData!$U$6,_12MonResults_Revenue_FAC)+SUMIF(_12MonResults_Rate,MiscData!$U$7,_12MonResults_Revenue_FAC)</f>
        <v>3727294.8499999996</v>
      </c>
      <c r="I64" s="746"/>
      <c r="Q64" s="935"/>
    </row>
    <row r="65" spans="1:21" ht="12.75">
      <c r="A65" s="937" t="s">
        <v>158</v>
      </c>
      <c r="B65" s="745"/>
      <c r="C65" s="755"/>
      <c r="D65" s="745"/>
      <c r="E65" s="755"/>
      <c r="F65" s="745"/>
      <c r="G65" s="746"/>
      <c r="H65" s="752">
        <f>SUMIF(_12MonResults_Rate,MiscData!$U$6,_12MonResults_Revenue_DSM)+SUMIF(_12MonResults_Rate,MiscData!$U$7,_12MonResults_Revenue_DSM)</f>
        <v>4070434</v>
      </c>
      <c r="I65" s="746"/>
      <c r="Q65" s="935"/>
    </row>
    <row r="66" spans="1:21" ht="12.75">
      <c r="A66" s="937" t="s">
        <v>159</v>
      </c>
      <c r="B66" s="745"/>
      <c r="C66" s="755"/>
      <c r="D66" s="745"/>
      <c r="E66" s="755"/>
      <c r="F66" s="745"/>
      <c r="G66" s="746"/>
      <c r="H66" s="752">
        <f>SUMIF(_12MonResults_Rate,MiscData!$U$6,_12MonResults_Revenue_ECR)+SUMIF(_12MonResults_Rate,MiscData!$U$7,_12MonResults_Revenue_ECR)</f>
        <v>6231361.4100000001</v>
      </c>
      <c r="I66" s="746"/>
      <c r="Q66" s="935"/>
    </row>
    <row r="67" spans="1:21" ht="15">
      <c r="A67" s="938" t="s">
        <v>162</v>
      </c>
      <c r="B67" s="745"/>
      <c r="C67" s="755"/>
      <c r="D67" s="745"/>
      <c r="E67" s="755"/>
      <c r="F67" s="745"/>
      <c r="G67" s="746"/>
      <c r="H67" s="759">
        <f>SUM(H64:H66)</f>
        <v>14029090.26</v>
      </c>
      <c r="I67" s="746"/>
      <c r="P67" s="745"/>
      <c r="Q67" s="745"/>
    </row>
    <row r="68" spans="1:21" ht="15">
      <c r="A68" s="938"/>
      <c r="B68" s="745"/>
      <c r="C68" s="755"/>
      <c r="D68" s="745"/>
      <c r="E68" s="755"/>
      <c r="F68" s="745"/>
      <c r="G68" s="746"/>
      <c r="H68" s="768"/>
      <c r="I68" s="746"/>
      <c r="L68" s="745"/>
      <c r="N68" s="1015"/>
      <c r="P68" s="745"/>
      <c r="Q68" s="745"/>
    </row>
    <row r="69" spans="1:21" ht="15">
      <c r="A69" s="938" t="s">
        <v>163</v>
      </c>
      <c r="B69" s="745"/>
      <c r="C69" s="755"/>
      <c r="D69" s="745"/>
      <c r="E69" s="755"/>
      <c r="F69" s="745"/>
      <c r="G69" s="746"/>
      <c r="H69" s="769">
        <f>H67+H61</f>
        <v>208527160.28999999</v>
      </c>
      <c r="I69" s="746"/>
      <c r="L69" s="745"/>
      <c r="N69" s="1015"/>
      <c r="P69" s="745"/>
      <c r="Q69" s="745"/>
    </row>
    <row r="70" spans="1:21" ht="15">
      <c r="A70" s="777"/>
      <c r="B70" s="745"/>
      <c r="C70" s="755"/>
      <c r="D70" s="745"/>
      <c r="E70" s="755"/>
      <c r="F70" s="745"/>
      <c r="G70" s="746"/>
      <c r="H70" s="768"/>
      <c r="I70" s="746"/>
      <c r="P70" s="745"/>
      <c r="Q70" s="745"/>
    </row>
    <row r="71" spans="1:21" ht="15">
      <c r="A71" s="777"/>
      <c r="B71" s="745"/>
      <c r="C71" s="755"/>
      <c r="D71" s="745"/>
      <c r="E71" s="755"/>
      <c r="F71" s="745"/>
      <c r="G71" s="746"/>
      <c r="H71" s="768"/>
      <c r="I71" s="746"/>
      <c r="Q71" s="935"/>
      <c r="S71" s="931"/>
    </row>
    <row r="72" spans="1:21" ht="12.75">
      <c r="A72" s="1031" t="str">
        <f>'Sch M-1.3-pg 1'!$A$1</f>
        <v>DATA:  __X__ BASE PERIOD  ____  FORECAST PERIOD</v>
      </c>
      <c r="B72" s="922"/>
      <c r="C72" s="922"/>
      <c r="D72" s="922"/>
      <c r="E72" s="922"/>
      <c r="F72" s="922"/>
      <c r="G72" s="922"/>
      <c r="H72" s="922"/>
      <c r="I72" s="923" t="str">
        <f>'Sch M-1.3-pg 1'!$J$1</f>
        <v>Schedule M-1.3</v>
      </c>
      <c r="Q72" s="935"/>
      <c r="S72" s="931"/>
    </row>
    <row r="73" spans="1:21" ht="12.75">
      <c r="A73" s="959" t="str">
        <f>'Sch M-1.3-pg 1'!$A$2</f>
        <v>TYPE OF FILING: __X__ ORIGINAL  _____ UPDATED  _____ REVISED</v>
      </c>
      <c r="B73" s="922"/>
      <c r="C73" s="922"/>
      <c r="D73" s="922"/>
      <c r="E73" s="922"/>
      <c r="F73" s="922"/>
      <c r="G73" s="922"/>
      <c r="H73" s="922"/>
      <c r="I73" s="923" t="str">
        <f>"Page "&amp;M73&amp;" of "&amp;N73</f>
        <v>Page 4 of 18</v>
      </c>
      <c r="M73" s="771">
        <f>M40+1</f>
        <v>4</v>
      </c>
      <c r="N73" s="1032">
        <f>$N$2</f>
        <v>18</v>
      </c>
      <c r="Q73" s="935"/>
      <c r="S73" s="931"/>
    </row>
    <row r="74" spans="1:21" ht="12.75">
      <c r="A74" s="959" t="str">
        <f>'Sch M-1.3-pg 1'!$A$3</f>
        <v>WORK PAPER REFERENCE NO(S):</v>
      </c>
      <c r="B74" s="922"/>
      <c r="C74" s="922"/>
      <c r="D74" s="922"/>
      <c r="E74" s="922"/>
      <c r="F74" s="922"/>
      <c r="G74" s="922"/>
      <c r="H74" s="922"/>
      <c r="I74" s="924" t="str">
        <f>'Sch M-1.3-pg 1'!$J$3</f>
        <v>Witness:  M.J. Blake</v>
      </c>
      <c r="Q74" s="935"/>
      <c r="S74" s="931"/>
    </row>
    <row r="75" spans="1:21" ht="12.75">
      <c r="A75" s="926"/>
      <c r="B75" s="922"/>
      <c r="C75" s="922"/>
      <c r="D75" s="922"/>
      <c r="E75" s="922"/>
      <c r="F75" s="922"/>
      <c r="G75" s="922"/>
      <c r="H75" s="922"/>
      <c r="I75" s="948"/>
      <c r="Q75" s="935"/>
      <c r="S75" s="931"/>
    </row>
    <row r="76" spans="1:21" ht="12.75">
      <c r="A76" s="927"/>
      <c r="B76" s="745"/>
      <c r="C76" s="747"/>
      <c r="D76" s="928"/>
      <c r="E76" s="747"/>
      <c r="F76" s="745"/>
      <c r="G76" s="747" t="s">
        <v>144</v>
      </c>
      <c r="H76" s="747" t="s">
        <v>145</v>
      </c>
      <c r="I76" s="746"/>
      <c r="M76" s="925"/>
      <c r="N76" s="1015"/>
      <c r="O76" s="745"/>
      <c r="P76" s="745"/>
      <c r="Q76" s="935"/>
      <c r="S76" s="931"/>
    </row>
    <row r="77" spans="1:21" ht="12.75">
      <c r="A77" s="945"/>
      <c r="B77" s="946"/>
      <c r="C77" s="748" t="s">
        <v>100</v>
      </c>
      <c r="D77" s="770"/>
      <c r="E77" s="749" t="s">
        <v>147</v>
      </c>
      <c r="F77" s="947"/>
      <c r="G77" s="749" t="s">
        <v>148</v>
      </c>
      <c r="H77" s="749" t="s">
        <v>149</v>
      </c>
      <c r="I77" s="947"/>
      <c r="Q77" s="935"/>
      <c r="S77" s="931"/>
    </row>
    <row r="78" spans="1:21" ht="15">
      <c r="A78" s="777"/>
      <c r="B78" s="745"/>
      <c r="C78" s="755"/>
      <c r="D78" s="745"/>
      <c r="E78" s="755"/>
      <c r="F78" s="745"/>
      <c r="G78" s="746"/>
      <c r="H78" s="768"/>
      <c r="I78" s="746"/>
      <c r="S78" s="931"/>
      <c r="U78" s="931"/>
    </row>
    <row r="79" spans="1:21" ht="12.75">
      <c r="A79" s="777" t="s">
        <v>1551</v>
      </c>
      <c r="B79" s="745"/>
      <c r="C79" s="750"/>
      <c r="D79" s="745"/>
      <c r="E79" s="750"/>
      <c r="F79" s="750"/>
      <c r="G79" s="745"/>
      <c r="H79" s="745"/>
      <c r="I79" s="750"/>
      <c r="Q79" s="935"/>
      <c r="S79" s="931"/>
    </row>
    <row r="80" spans="1:21" ht="12.75">
      <c r="A80" s="939" t="s">
        <v>1552</v>
      </c>
      <c r="B80" s="745"/>
      <c r="C80" s="750"/>
      <c r="D80" s="745"/>
      <c r="E80" s="750"/>
      <c r="F80" s="750"/>
      <c r="G80" s="745"/>
      <c r="H80" s="745"/>
      <c r="I80" s="750"/>
      <c r="Q80" s="935"/>
    </row>
    <row r="81" spans="1:17" ht="12.75">
      <c r="A81" s="930" t="s">
        <v>1442</v>
      </c>
      <c r="B81" s="745"/>
      <c r="C81" s="755">
        <f>SUMIF(_12MonResults_Rate,MiscData!$U$8,_12MonResults_CustomerCount)+SUMIF(_12MonResults_Rate,MiscData!$U$8,_12MonResults_CustomerCount_Adj)</f>
        <v>4409</v>
      </c>
      <c r="D81" s="745"/>
      <c r="E81" s="745"/>
      <c r="F81" s="745"/>
      <c r="G81" s="751">
        <f>SUMIF(_Rates_Tariff_Category,MiscData!$T$4&amp;MiscData!$W$16,_Rates_BasicServiceCharge)</f>
        <v>20</v>
      </c>
      <c r="H81" s="752">
        <f>ROUND($C81*G81,0)</f>
        <v>88180</v>
      </c>
      <c r="I81" s="746"/>
      <c r="Q81" s="935"/>
    </row>
    <row r="82" spans="1:17" ht="12.75">
      <c r="A82" s="932" t="s">
        <v>493</v>
      </c>
      <c r="B82" s="745"/>
      <c r="C82" s="755"/>
      <c r="D82" s="745"/>
      <c r="E82" s="745"/>
      <c r="F82" s="745"/>
      <c r="G82" s="756"/>
      <c r="H82" s="757">
        <f>SUMIF(_12MonResults_Rate,MiscData!$U$8,_12MonResults_Revenue_Adj_BSC)</f>
        <v>-352.20000000000005</v>
      </c>
      <c r="I82" s="746"/>
      <c r="Q82" s="935"/>
    </row>
    <row r="83" spans="1:17" ht="12.75">
      <c r="A83" s="930" t="s">
        <v>1443</v>
      </c>
      <c r="B83" s="745"/>
      <c r="C83" s="745"/>
      <c r="D83" s="745"/>
      <c r="E83" s="755">
        <f>SUMIF(_12MonResults_Rate,MiscData!$U$8,_12MonResults_KWH_Total)+SUMIF(_12MonResults_Rate,MiscData!$U$8,_12MonResults_KWH_OutOfPeriod)</f>
        <v>7577190</v>
      </c>
      <c r="F83" s="745"/>
      <c r="G83" s="758">
        <f>SUMIF(_Rates_Tariff_Category,MiscData!$T$4&amp;MiscData!$W$16,_Rates_Energy)</f>
        <v>7.4399999999999994E-2</v>
      </c>
      <c r="H83" s="752">
        <f>ROUND($E83*G83,)</f>
        <v>563743</v>
      </c>
      <c r="I83" s="746"/>
      <c r="Q83" s="935"/>
    </row>
    <row r="84" spans="1:17" ht="12.75">
      <c r="A84" s="933" t="s">
        <v>150</v>
      </c>
      <c r="B84" s="745"/>
      <c r="C84" s="757"/>
      <c r="D84" s="757"/>
      <c r="E84" s="757"/>
      <c r="F84" s="745"/>
      <c r="G84" s="756"/>
      <c r="H84" s="757">
        <f>SUMIF(_12MonResults_Rate,MiscData!$U$8,_12MonResults_Revenue_Adj_Energy)</f>
        <v>0.33000000000000007</v>
      </c>
      <c r="I84" s="746"/>
      <c r="Q84" s="935"/>
    </row>
    <row r="85" spans="1:17" ht="12.75">
      <c r="A85" s="929" t="s">
        <v>764</v>
      </c>
      <c r="B85" s="745"/>
      <c r="C85" s="757"/>
      <c r="D85" s="757"/>
      <c r="E85" s="757"/>
      <c r="F85" s="745"/>
      <c r="G85" s="756"/>
      <c r="H85" s="757"/>
      <c r="I85" s="746"/>
      <c r="Q85" s="935"/>
    </row>
    <row r="86" spans="1:17" ht="12.75">
      <c r="A86" s="930" t="s">
        <v>1442</v>
      </c>
      <c r="B86" s="745"/>
      <c r="C86" s="755">
        <f>SUMIF(_12MonResults_Rate,MiscData!$U$9,_12MonResults_CustomerCount)+SUMIF(_12MonResults_Rate,MiscData!$U$9,_12MonResults_CustomerCount_Adj)</f>
        <v>3167</v>
      </c>
      <c r="D86" s="745"/>
      <c r="E86" s="745"/>
      <c r="F86" s="745"/>
      <c r="G86" s="751">
        <f>SUMIF(_Rates_Tariff_Category,MiscData!$T$4&amp;MiscData!$W$18,_Rates_BasicServiceCharge)</f>
        <v>35</v>
      </c>
      <c r="H86" s="752">
        <f>ROUND($C86*G86,0)</f>
        <v>110845</v>
      </c>
      <c r="I86" s="750"/>
      <c r="Q86" s="935"/>
    </row>
    <row r="87" spans="1:17" ht="12.75">
      <c r="A87" s="932" t="s">
        <v>493</v>
      </c>
      <c r="B87" s="745"/>
      <c r="C87" s="755"/>
      <c r="D87" s="745"/>
      <c r="E87" s="745"/>
      <c r="F87" s="745"/>
      <c r="G87" s="756"/>
      <c r="H87" s="757">
        <f>SUMIF(_12MonResults_Rate,MiscData!$U$9,_12MonResults_Revenue_Adj_BSC)</f>
        <v>-419.68000000000006</v>
      </c>
      <c r="I87" s="750"/>
      <c r="O87" s="745"/>
      <c r="Q87" s="935"/>
    </row>
    <row r="88" spans="1:17" ht="12.75">
      <c r="A88" s="930" t="s">
        <v>1443</v>
      </c>
      <c r="B88" s="745"/>
      <c r="C88" s="745"/>
      <c r="D88" s="745"/>
      <c r="E88" s="755">
        <f>SUMIF(_12MonResults_Rate,MiscData!$U$9,_12MonResults_KWH_Total)+SUMIF(_12MonResults_Rate,MiscData!$U$9,_12MonResults_KWH_OutOfPeriod)</f>
        <v>141954558</v>
      </c>
      <c r="F88" s="745"/>
      <c r="G88" s="758">
        <f>SUMIF(_Rates_Tariff_Category,MiscData!$T$4&amp;MiscData!$W$18,_Rates_Energy)</f>
        <v>7.4399999999999994E-2</v>
      </c>
      <c r="H88" s="752">
        <f>ROUND($E88*G88,)</f>
        <v>10561419</v>
      </c>
      <c r="I88" s="746"/>
      <c r="K88" s="925"/>
      <c r="L88" s="745"/>
      <c r="N88" s="1015"/>
      <c r="O88" s="745"/>
      <c r="Q88" s="935"/>
    </row>
    <row r="89" spans="1:17" ht="12.75">
      <c r="A89" s="933" t="s">
        <v>150</v>
      </c>
      <c r="B89" s="745"/>
      <c r="C89" s="757"/>
      <c r="D89" s="757"/>
      <c r="E89" s="757"/>
      <c r="F89" s="745"/>
      <c r="G89" s="756"/>
      <c r="H89" s="757">
        <f>SUMIF(_12MonResults_Rate,MiscData!$U$9,_12MonResults_Revenue_Adj_Energy)</f>
        <v>-0.01</v>
      </c>
      <c r="I89" s="746"/>
      <c r="L89" s="745"/>
      <c r="N89" s="1015"/>
      <c r="O89" s="745"/>
      <c r="Q89" s="935"/>
    </row>
    <row r="90" spans="1:17" ht="15">
      <c r="A90" s="934" t="s">
        <v>151</v>
      </c>
      <c r="B90" s="745"/>
      <c r="C90" s="772">
        <f>SUM(C81:C88)</f>
        <v>7576</v>
      </c>
      <c r="D90" s="745"/>
      <c r="E90" s="772">
        <f>SUM(E83:E88)</f>
        <v>149531748</v>
      </c>
      <c r="F90" s="755"/>
      <c r="G90" s="745"/>
      <c r="H90" s="759">
        <f>SUM(H81:H89)</f>
        <v>11323415.439999999</v>
      </c>
      <c r="I90" s="746"/>
      <c r="Q90" s="935"/>
    </row>
    <row r="91" spans="1:17" ht="12.75">
      <c r="A91" s="934"/>
      <c r="B91" s="745"/>
      <c r="C91" s="757"/>
      <c r="D91" s="757"/>
      <c r="E91" s="757"/>
      <c r="F91" s="745"/>
      <c r="G91" s="745"/>
      <c r="H91" s="757"/>
      <c r="I91" s="746"/>
      <c r="Q91" s="935"/>
    </row>
    <row r="92" spans="1:17" ht="12.75">
      <c r="A92" s="934"/>
      <c r="B92" s="745"/>
      <c r="C92" s="755"/>
      <c r="D92" s="763"/>
      <c r="E92" s="755"/>
      <c r="F92" s="755" t="s">
        <v>783</v>
      </c>
      <c r="G92" s="776"/>
      <c r="H92" s="765">
        <f>'Sch M-1.3-pg 1'!J20</f>
        <v>1</v>
      </c>
      <c r="I92" s="776"/>
      <c r="O92" s="745"/>
      <c r="P92" s="745"/>
      <c r="Q92" s="745"/>
    </row>
    <row r="93" spans="1:17" ht="12.75">
      <c r="A93" s="934"/>
      <c r="B93" s="745"/>
      <c r="C93" s="755"/>
      <c r="D93" s="745"/>
      <c r="E93" s="755"/>
      <c r="F93" s="755"/>
      <c r="G93" s="746"/>
      <c r="H93" s="766"/>
      <c r="I93" s="746"/>
      <c r="O93" s="745"/>
      <c r="P93" s="745"/>
      <c r="Q93" s="745"/>
    </row>
    <row r="94" spans="1:17" ht="15">
      <c r="A94" s="937" t="s">
        <v>155</v>
      </c>
      <c r="B94" s="745"/>
      <c r="C94" s="755"/>
      <c r="D94" s="755"/>
      <c r="E94" s="745"/>
      <c r="F94" s="745"/>
      <c r="G94" s="746"/>
      <c r="H94" s="767">
        <f>ROUND(H90/H92,0)</f>
        <v>11323415</v>
      </c>
      <c r="I94" s="746"/>
      <c r="O94" s="745"/>
      <c r="P94" s="745"/>
      <c r="Q94" s="745"/>
    </row>
    <row r="95" spans="1:17" ht="12.75">
      <c r="A95" s="937"/>
      <c r="B95" s="745"/>
      <c r="C95" s="755"/>
      <c r="D95" s="745"/>
      <c r="E95" s="745"/>
      <c r="F95" s="745"/>
      <c r="G95" s="746"/>
      <c r="H95" s="752"/>
      <c r="I95" s="746"/>
      <c r="Q95" s="935"/>
    </row>
    <row r="96" spans="1:17" ht="15">
      <c r="A96" s="937" t="s">
        <v>156</v>
      </c>
      <c r="B96" s="745"/>
      <c r="C96" s="755"/>
      <c r="D96" s="745"/>
      <c r="E96" s="755"/>
      <c r="F96" s="745"/>
      <c r="G96" s="746"/>
      <c r="H96" s="768"/>
      <c r="I96" s="746"/>
      <c r="Q96" s="935"/>
    </row>
    <row r="97" spans="1:21" ht="12.75">
      <c r="A97" s="937" t="s">
        <v>157</v>
      </c>
      <c r="B97" s="745"/>
      <c r="C97" s="755"/>
      <c r="D97" s="745"/>
      <c r="E97" s="755"/>
      <c r="F97" s="745"/>
      <c r="G97" s="746"/>
      <c r="H97" s="752">
        <f>ROUND(SUMIF(_12MonResults_Rate,MiscData!$U$8,_12MonResults_Revenue_FAC)+SUMIF(_12MonResults_Rate,MiscData!$U$9,_12MonResults_Revenue_FAC),0)+1</f>
        <v>310020</v>
      </c>
      <c r="I97" s="746"/>
      <c r="Q97" s="935"/>
    </row>
    <row r="98" spans="1:21" ht="12.75">
      <c r="A98" s="937" t="s">
        <v>158</v>
      </c>
      <c r="B98" s="745"/>
      <c r="C98" s="755"/>
      <c r="D98" s="745"/>
      <c r="E98" s="755"/>
      <c r="F98" s="745"/>
      <c r="G98" s="746"/>
      <c r="H98" s="752">
        <f>ROUND(SUMIF(_12MonResults_Rate,MiscData!$U$8,_12MonResults_Revenue_DSM)+SUMIF(_12MonResults_Rate,MiscData!$U$9,_12MonResults_Revenue_DSM),0)-1</f>
        <v>211172</v>
      </c>
      <c r="I98" s="746"/>
      <c r="Q98" s="935"/>
    </row>
    <row r="99" spans="1:21" ht="12.75">
      <c r="A99" s="937" t="s">
        <v>159</v>
      </c>
      <c r="B99" s="745"/>
      <c r="C99" s="755"/>
      <c r="D99" s="745"/>
      <c r="E99" s="755"/>
      <c r="F99" s="745"/>
      <c r="G99" s="746"/>
      <c r="H99" s="752">
        <f>ROUND(SUMIF(_12MonResults_Rate,MiscData!$U$8,_12MonResults_Revenue_ECR)+SUMIF(_12MonResults_Rate,MiscData!$U$9,_12MonResults_Revenue_ECR),0)-1</f>
        <v>403056</v>
      </c>
      <c r="I99" s="746"/>
      <c r="Q99" s="935"/>
    </row>
    <row r="100" spans="1:21" ht="15">
      <c r="A100" s="938" t="s">
        <v>162</v>
      </c>
      <c r="B100" s="745"/>
      <c r="C100" s="755"/>
      <c r="D100" s="745"/>
      <c r="E100" s="755"/>
      <c r="F100" s="745"/>
      <c r="G100" s="746"/>
      <c r="H100" s="759">
        <f>SUM(H97:H99)</f>
        <v>924248</v>
      </c>
      <c r="I100" s="746"/>
      <c r="P100" s="745"/>
      <c r="Q100" s="745"/>
    </row>
    <row r="101" spans="1:21" ht="15">
      <c r="A101" s="938"/>
      <c r="B101" s="745"/>
      <c r="C101" s="755"/>
      <c r="D101" s="745"/>
      <c r="E101" s="755"/>
      <c r="F101" s="745"/>
      <c r="G101" s="746"/>
      <c r="H101" s="768"/>
      <c r="I101" s="746"/>
      <c r="L101" s="745"/>
      <c r="N101" s="1015"/>
      <c r="P101" s="745"/>
      <c r="Q101" s="745"/>
    </row>
    <row r="102" spans="1:21" ht="15">
      <c r="A102" s="938" t="s">
        <v>163</v>
      </c>
      <c r="B102" s="745"/>
      <c r="C102" s="755"/>
      <c r="D102" s="745"/>
      <c r="E102" s="755"/>
      <c r="F102" s="745"/>
      <c r="G102" s="746"/>
      <c r="H102" s="769">
        <f>H100+H94</f>
        <v>12247663</v>
      </c>
      <c r="I102" s="746"/>
      <c r="L102" s="745"/>
      <c r="N102" s="1015"/>
      <c r="P102" s="745"/>
      <c r="Q102" s="745"/>
    </row>
    <row r="103" spans="1:21" ht="15">
      <c r="A103" s="777"/>
      <c r="B103" s="745"/>
      <c r="C103" s="755"/>
      <c r="D103" s="745"/>
      <c r="E103" s="755"/>
      <c r="F103" s="745"/>
      <c r="G103" s="746"/>
      <c r="H103" s="768"/>
      <c r="I103" s="746"/>
      <c r="P103" s="745"/>
      <c r="Q103" s="745"/>
    </row>
    <row r="104" spans="1:21" ht="12.75">
      <c r="A104" s="1031" t="str">
        <f>'Sch M-1.3-pg 1'!$A$1</f>
        <v>DATA:  __X__ BASE PERIOD  ____  FORECAST PERIOD</v>
      </c>
      <c r="B104" s="922"/>
      <c r="C104" s="922"/>
      <c r="D104" s="922"/>
      <c r="E104" s="922"/>
      <c r="F104" s="922"/>
      <c r="G104" s="922"/>
      <c r="H104" s="922"/>
      <c r="I104" s="923" t="str">
        <f>'Sch M-1.3-pg 1'!$J$1</f>
        <v>Schedule M-1.3</v>
      </c>
      <c r="Q104" s="935"/>
      <c r="S104" s="931"/>
    </row>
    <row r="105" spans="1:21" ht="12.75">
      <c r="A105" s="959" t="str">
        <f>'Sch M-1.3-pg 1'!$A$2</f>
        <v>TYPE OF FILING: __X__ ORIGINAL  _____ UPDATED  _____ REVISED</v>
      </c>
      <c r="B105" s="922"/>
      <c r="C105" s="922"/>
      <c r="D105" s="922"/>
      <c r="E105" s="922"/>
      <c r="F105" s="922"/>
      <c r="G105" s="922"/>
      <c r="H105" s="922"/>
      <c r="I105" s="923" t="str">
        <f>"Page "&amp;M105&amp;" of "&amp;N105</f>
        <v>Page 5 of 18</v>
      </c>
      <c r="M105" s="771">
        <f>M73+1</f>
        <v>5</v>
      </c>
      <c r="N105" s="1032">
        <f>$N$2</f>
        <v>18</v>
      </c>
      <c r="Q105" s="935"/>
      <c r="S105" s="931"/>
    </row>
    <row r="106" spans="1:21" ht="12.75">
      <c r="A106" s="959" t="str">
        <f>'Sch M-1.3-pg 1'!$A$3</f>
        <v>WORK PAPER REFERENCE NO(S):</v>
      </c>
      <c r="B106" s="922"/>
      <c r="C106" s="922"/>
      <c r="D106" s="922"/>
      <c r="E106" s="922"/>
      <c r="F106" s="922"/>
      <c r="G106" s="922"/>
      <c r="H106" s="922"/>
      <c r="I106" s="924" t="str">
        <f>'Sch M-1.3-pg 1'!$J$3</f>
        <v>Witness:  M.J. Blake</v>
      </c>
      <c r="Q106" s="935"/>
      <c r="S106" s="931"/>
    </row>
    <row r="107" spans="1:21" ht="12.75">
      <c r="A107" s="926"/>
      <c r="B107" s="922"/>
      <c r="C107" s="922"/>
      <c r="D107" s="922"/>
      <c r="E107" s="922"/>
      <c r="F107" s="922"/>
      <c r="G107" s="922"/>
      <c r="H107" s="922"/>
      <c r="I107" s="948"/>
      <c r="Q107" s="935"/>
      <c r="S107" s="931"/>
    </row>
    <row r="108" spans="1:21" ht="12.75">
      <c r="A108" s="927"/>
      <c r="B108" s="745"/>
      <c r="C108" s="747"/>
      <c r="D108" s="928"/>
      <c r="E108" s="747"/>
      <c r="F108" s="745"/>
      <c r="G108" s="747" t="s">
        <v>144</v>
      </c>
      <c r="H108" s="747" t="s">
        <v>145</v>
      </c>
      <c r="I108" s="746"/>
      <c r="M108" s="925"/>
      <c r="N108" s="1015"/>
      <c r="O108" s="745"/>
      <c r="P108" s="745"/>
      <c r="Q108" s="935"/>
      <c r="S108" s="931"/>
    </row>
    <row r="109" spans="1:21" ht="12.75">
      <c r="A109" s="945"/>
      <c r="B109" s="946"/>
      <c r="C109" s="748" t="s">
        <v>100</v>
      </c>
      <c r="D109" s="770"/>
      <c r="E109" s="749" t="s">
        <v>147</v>
      </c>
      <c r="F109" s="947"/>
      <c r="G109" s="749" t="s">
        <v>148</v>
      </c>
      <c r="H109" s="749" t="s">
        <v>149</v>
      </c>
      <c r="I109" s="947"/>
      <c r="Q109" s="935"/>
      <c r="S109" s="931"/>
    </row>
    <row r="110" spans="1:21" ht="15">
      <c r="A110" s="777"/>
      <c r="B110" s="745"/>
      <c r="C110" s="755"/>
      <c r="D110" s="745"/>
      <c r="E110" s="755"/>
      <c r="F110" s="745"/>
      <c r="G110" s="746"/>
      <c r="H110" s="768"/>
      <c r="I110" s="746"/>
      <c r="S110" s="931"/>
      <c r="U110" s="931"/>
    </row>
    <row r="111" spans="1:21" ht="12.75">
      <c r="A111" s="777" t="s">
        <v>903</v>
      </c>
      <c r="B111" s="745"/>
      <c r="C111" s="750"/>
      <c r="D111" s="745"/>
      <c r="E111" s="750"/>
      <c r="F111" s="750"/>
      <c r="G111" s="745"/>
      <c r="H111" s="745"/>
      <c r="I111" s="746"/>
      <c r="S111" s="931"/>
      <c r="U111" s="931"/>
    </row>
    <row r="112" spans="1:21" ht="12.75">
      <c r="A112" s="930" t="s">
        <v>1442</v>
      </c>
      <c r="B112" s="745"/>
      <c r="C112" s="755">
        <f>SUMIF(_12MonResults_Rate,MiscData!$U$11,_12MonResults_CustomerCount)+SUMIF(_12MonResults_Rate,MiscData!$U$11,_12MonResults_CustomerCount_Adj)</f>
        <v>60078</v>
      </c>
      <c r="D112" s="745"/>
      <c r="E112" s="745"/>
      <c r="F112" s="745"/>
      <c r="G112" s="751">
        <f>SUMIF(_Rates_Tariff_Category,MiscData!$T$4&amp;MiscData!$W$6,_Rates_BasicServiceCharge)</f>
        <v>90</v>
      </c>
      <c r="H112" s="752">
        <f>ROUND($C112*G112,0)</f>
        <v>5407020</v>
      </c>
      <c r="I112" s="750"/>
      <c r="Q112" s="935"/>
    </row>
    <row r="113" spans="1:17" ht="12.75">
      <c r="A113" s="932" t="s">
        <v>493</v>
      </c>
      <c r="B113" s="745"/>
      <c r="C113" s="755"/>
      <c r="D113" s="745"/>
      <c r="E113" s="745"/>
      <c r="F113" s="745"/>
      <c r="G113" s="756"/>
      <c r="H113" s="757">
        <f>SUMIF(_12MonResults_Rate,MiscData!$U$11,_12MonResults_Revenue_Adj_BSC)</f>
        <v>-7079.82</v>
      </c>
      <c r="I113" s="746"/>
      <c r="Q113" s="935"/>
    </row>
    <row r="114" spans="1:17" ht="12.75">
      <c r="A114" s="930" t="s">
        <v>1443</v>
      </c>
      <c r="B114" s="745"/>
      <c r="C114" s="745"/>
      <c r="D114" s="745"/>
      <c r="E114" s="755">
        <f>SUMIF(_12MonResults_Rate,MiscData!$U$11,_12MonResults_KWH_Total)+SUMIF(_12MonResults_Rate,MiscData!$U$11,_12MonResults_KWH_OutOfPeriod)</f>
        <v>2292480067</v>
      </c>
      <c r="F114" s="745"/>
      <c r="G114" s="758">
        <f>SUMIF(_Rates_Tariff_Category,MiscData!$T$4&amp;MiscData!$W$6,_Rates_Energy)</f>
        <v>3.5640000000000005E-2</v>
      </c>
      <c r="H114" s="752">
        <f>ROUND($E114*G114,0)</f>
        <v>81703990</v>
      </c>
      <c r="I114" s="746"/>
      <c r="Q114" s="935"/>
    </row>
    <row r="115" spans="1:17" ht="12.75">
      <c r="A115" s="933" t="s">
        <v>150</v>
      </c>
      <c r="B115" s="745"/>
      <c r="C115" s="757"/>
      <c r="D115" s="757"/>
      <c r="E115" s="757"/>
      <c r="F115" s="745"/>
      <c r="G115" s="756"/>
      <c r="H115" s="757">
        <f>SUMIF(_12MonResults_Rate,MiscData!$U$11,_12MonResults_Revenue_Adj_Energy)</f>
        <v>-1125.0600000000002</v>
      </c>
      <c r="I115" s="746"/>
      <c r="Q115" s="935"/>
    </row>
    <row r="116" spans="1:17" ht="12.75">
      <c r="A116" s="777" t="s">
        <v>1472</v>
      </c>
      <c r="B116" s="745"/>
      <c r="C116" s="757"/>
      <c r="D116" s="757"/>
      <c r="E116" s="757"/>
      <c r="F116" s="745"/>
      <c r="G116" s="756"/>
      <c r="H116" s="757"/>
      <c r="I116" s="746"/>
      <c r="Q116" s="935"/>
    </row>
    <row r="117" spans="1:17" ht="12.75">
      <c r="A117" s="932" t="s">
        <v>1474</v>
      </c>
      <c r="B117" s="745"/>
      <c r="C117" s="757"/>
      <c r="D117" s="755">
        <f>SUMIF(_12MonResults_Rate,MiscData!$U$11,_12MonResults_Demand_Measured_kW_P)+SUMIF(_12MonResults_Rate,MiscData!$U$11,_12MonResults_Demand_OutOfPeriod_P)</f>
        <v>2862463.35</v>
      </c>
      <c r="E117" s="757"/>
      <c r="F117" s="745"/>
      <c r="G117" s="751">
        <f>SUMIF(_Rates_Tariff_Category,MiscData!$T$4&amp;MiscData!$W$6,_Rates_Demand_Peak)</f>
        <v>15.3</v>
      </c>
      <c r="H117" s="752">
        <f>ROUND($D117*G117,0)+1</f>
        <v>43795690</v>
      </c>
      <c r="I117" s="746"/>
      <c r="Q117" s="935"/>
    </row>
    <row r="118" spans="1:17" ht="12.75">
      <c r="A118" s="932" t="s">
        <v>1482</v>
      </c>
      <c r="B118" s="745"/>
      <c r="C118" s="757"/>
      <c r="D118" s="755">
        <f>+SUMIF(_12MonResults_Rate,MiscData!$U$11,_12MonResults_Demand_Minimum_P)</f>
        <v>212804.13999999998</v>
      </c>
      <c r="E118" s="757"/>
      <c r="F118" s="745"/>
      <c r="G118" s="751">
        <f>SUMIF(_Rates_Tariff_Category,MiscData!$T$4&amp;MiscData!$W$6,_Rates_Demand_Peak)</f>
        <v>15.3</v>
      </c>
      <c r="H118" s="752">
        <f>ROUND($D118*G118,0)</f>
        <v>3255903</v>
      </c>
      <c r="I118" s="746"/>
      <c r="Q118" s="935"/>
    </row>
    <row r="119" spans="1:17" ht="12.75">
      <c r="A119" s="932" t="s">
        <v>1473</v>
      </c>
      <c r="B119" s="745"/>
      <c r="C119" s="757"/>
      <c r="D119" s="755">
        <f>SUMIF(_12MonResults_Rate,MiscData!$U$11,_12MonResults_Demand_Measured_kW_I)+SUMIF(_12MonResults_Rate,MiscData!$U$11,_12MonResults_Demand_OutOfPeriod_I)</f>
        <v>3921135.19</v>
      </c>
      <c r="E119" s="757"/>
      <c r="F119" s="745"/>
      <c r="G119" s="751">
        <f>SUMIF(_Rates_Tariff_Category,MiscData!$T$4&amp;MiscData!$W$6,_Rates_Demand_Intermediate)</f>
        <v>13.2</v>
      </c>
      <c r="H119" s="752">
        <f>ROUND($D119*G119,0)</f>
        <v>51758985</v>
      </c>
      <c r="I119" s="776"/>
      <c r="Q119" s="935"/>
    </row>
    <row r="120" spans="1:17" ht="12.75">
      <c r="A120" s="932" t="s">
        <v>1483</v>
      </c>
      <c r="B120" s="745"/>
      <c r="C120" s="757"/>
      <c r="D120" s="755">
        <f>SUMIF(_12MonResults_Rate,MiscData!$U$11,_12MonResults_Demand_Minimum_I)</f>
        <v>130100.41</v>
      </c>
      <c r="E120" s="757"/>
      <c r="F120" s="745"/>
      <c r="G120" s="751">
        <f>SUMIF(_Rates_Tariff_Category,MiscData!$T$4&amp;MiscData!$W$6,_Rates_Demand_Intermediate)</f>
        <v>13.2</v>
      </c>
      <c r="H120" s="752">
        <f>ROUND($D120*G120,0)</f>
        <v>1717325</v>
      </c>
      <c r="I120" s="746"/>
      <c r="Q120" s="935"/>
    </row>
    <row r="121" spans="1:17" ht="12.75">
      <c r="A121" s="932" t="s">
        <v>498</v>
      </c>
      <c r="B121" s="745"/>
      <c r="C121" s="757"/>
      <c r="D121" s="755"/>
      <c r="E121" s="757"/>
      <c r="F121" s="745"/>
      <c r="G121" s="756"/>
      <c r="H121" s="752">
        <f>ROUND(SUMIF(_12MonResults_Rate,MiscData!$U$11,_12MonResults_Revenue_Adj_Demand),0)</f>
        <v>-343204</v>
      </c>
      <c r="I121" s="746"/>
      <c r="Q121" s="935"/>
    </row>
    <row r="122" spans="1:17" ht="12.75">
      <c r="A122" s="932" t="s">
        <v>689</v>
      </c>
      <c r="B122" s="745"/>
      <c r="C122" s="757"/>
      <c r="D122" s="755"/>
      <c r="E122" s="757"/>
      <c r="F122" s="745"/>
      <c r="G122" s="756"/>
      <c r="H122" s="752">
        <f>ROUND(SUMIF(_12MonResults_Rate,MiscData!$U$11,_12MonResults_Revenue_Pwr_Factor),0)</f>
        <v>401723</v>
      </c>
      <c r="I122" s="746"/>
      <c r="Q122" s="935"/>
    </row>
    <row r="123" spans="1:17" ht="12.75">
      <c r="A123" s="932" t="s">
        <v>1463</v>
      </c>
      <c r="B123" s="745"/>
      <c r="C123" s="757"/>
      <c r="D123" s="755">
        <f>ROUND(H123/G123,2)</f>
        <v>1346.98</v>
      </c>
      <c r="E123" s="757"/>
      <c r="F123" s="745"/>
      <c r="G123" s="751">
        <v>1.49</v>
      </c>
      <c r="H123" s="752">
        <f>ROUND(SUMIF(_12MonResults_Rate,MiscData!$U$11,_12MonResults_Revenue_Red_Cap),0)-1</f>
        <v>2007</v>
      </c>
      <c r="I123" s="746"/>
      <c r="Q123" s="935"/>
    </row>
    <row r="124" spans="1:17" ht="15">
      <c r="A124" s="934" t="s">
        <v>151</v>
      </c>
      <c r="B124" s="745"/>
      <c r="C124" s="772">
        <f>C112</f>
        <v>60078</v>
      </c>
      <c r="D124" s="772">
        <f>SUM(D117:D120)</f>
        <v>7126503.0899999999</v>
      </c>
      <c r="E124" s="772">
        <f>SUM(E114:E115)</f>
        <v>2292480067</v>
      </c>
      <c r="F124" s="755"/>
      <c r="G124" s="745"/>
      <c r="H124" s="759">
        <f>SUM(H112:H123)</f>
        <v>187691234.12</v>
      </c>
      <c r="I124" s="746"/>
      <c r="Q124" s="935"/>
    </row>
    <row r="125" spans="1:17" ht="12.75">
      <c r="A125" s="745"/>
      <c r="B125" s="745"/>
      <c r="C125" s="757"/>
      <c r="D125" s="745"/>
      <c r="E125" s="755" t="str">
        <f>IF(SUMIF(_12MonResults_RateClass,MiscData!$U$11,_12MonResults_KWH_Total)=E124,"",SUMIF(_12MonResults_RateClass,MiscData!$U$11,_12MonResults_KWH_Total))</f>
        <v/>
      </c>
      <c r="F125" s="745"/>
      <c r="G125" s="745"/>
      <c r="H125" s="755" t="str">
        <f>IF(ABS(SUMIF(_12MonResults_Rate,MiscData!$U$11,_12MonResults_Revenue_Calculated)-H124)&lt;1,"",SUMIF(_12MonResults_Rate,MiscData!$U$11,_12MonResults_Revenue_Calculated))</f>
        <v/>
      </c>
      <c r="I125" s="746"/>
      <c r="Q125" s="935"/>
    </row>
    <row r="126" spans="1:17" ht="12.75">
      <c r="A126" s="934"/>
      <c r="B126" s="745"/>
      <c r="C126" s="755"/>
      <c r="D126" s="763"/>
      <c r="E126" s="755"/>
      <c r="F126" s="755" t="s">
        <v>783</v>
      </c>
      <c r="G126" s="776"/>
      <c r="H126" s="765">
        <f>'Sch M-1.3-pg 1'!$J$22</f>
        <v>1</v>
      </c>
      <c r="I126" s="746"/>
      <c r="Q126" s="935"/>
    </row>
    <row r="127" spans="1:17" ht="12.75">
      <c r="A127" s="934"/>
      <c r="B127" s="745"/>
      <c r="C127" s="755"/>
      <c r="D127" s="745"/>
      <c r="E127" s="755"/>
      <c r="F127" s="755"/>
      <c r="G127" s="746"/>
      <c r="H127" s="766"/>
      <c r="I127" s="746"/>
      <c r="J127" s="940"/>
      <c r="Q127" s="935"/>
    </row>
    <row r="128" spans="1:17" ht="15">
      <c r="A128" s="937" t="s">
        <v>155</v>
      </c>
      <c r="B128" s="745"/>
      <c r="C128" s="755"/>
      <c r="D128" s="755"/>
      <c r="E128" s="745"/>
      <c r="F128" s="745"/>
      <c r="G128" s="746"/>
      <c r="H128" s="767">
        <f>ROUND(H124/H126,0)</f>
        <v>187691234</v>
      </c>
      <c r="I128" s="746"/>
      <c r="J128" s="940"/>
      <c r="L128" s="745"/>
      <c r="N128" s="1015"/>
      <c r="O128" s="745"/>
      <c r="Q128" s="935"/>
    </row>
    <row r="129" spans="1:21" ht="12.75">
      <c r="A129" s="937"/>
      <c r="B129" s="745"/>
      <c r="C129" s="755"/>
      <c r="D129" s="745"/>
      <c r="E129" s="745"/>
      <c r="F129" s="745"/>
      <c r="G129" s="746"/>
      <c r="H129" s="752"/>
      <c r="I129" s="746"/>
      <c r="J129" s="940"/>
      <c r="L129" s="745"/>
      <c r="N129" s="1015"/>
      <c r="O129" s="745"/>
      <c r="Q129" s="935"/>
    </row>
    <row r="130" spans="1:21" ht="15">
      <c r="A130" s="937" t="s">
        <v>156</v>
      </c>
      <c r="B130" s="745"/>
      <c r="C130" s="755"/>
      <c r="D130" s="745"/>
      <c r="E130" s="755"/>
      <c r="F130" s="745"/>
      <c r="G130" s="746"/>
      <c r="H130" s="768"/>
      <c r="I130" s="746"/>
      <c r="J130" s="940"/>
      <c r="Q130" s="935"/>
    </row>
    <row r="131" spans="1:21" ht="12.75">
      <c r="A131" s="937" t="s">
        <v>157</v>
      </c>
      <c r="B131" s="745"/>
      <c r="C131" s="755"/>
      <c r="D131" s="745"/>
      <c r="E131" s="755"/>
      <c r="F131" s="745"/>
      <c r="G131" s="746"/>
      <c r="H131" s="752">
        <f>ROUND(SUMIF(_12MonResults_RateClass,MiscData!$U$11,_12MonResults_Revenue_FAC),0)</f>
        <v>4574372</v>
      </c>
      <c r="J131" s="940"/>
      <c r="L131" s="745"/>
      <c r="N131" s="1015"/>
      <c r="O131" s="745"/>
      <c r="Q131" s="935"/>
    </row>
    <row r="132" spans="1:21" ht="12.75">
      <c r="A132" s="937" t="s">
        <v>158</v>
      </c>
      <c r="B132" s="745"/>
      <c r="C132" s="755"/>
      <c r="D132" s="745"/>
      <c r="E132" s="755"/>
      <c r="F132" s="745"/>
      <c r="G132" s="746"/>
      <c r="H132" s="752">
        <f>ROUND(SUMIF(_12MonResults_RateClass,MiscData!$U$11,_12MonResults_Revenue_DSM),0)</f>
        <v>3154662</v>
      </c>
      <c r="I132" s="923"/>
      <c r="Q132" s="935"/>
      <c r="S132" s="931"/>
    </row>
    <row r="133" spans="1:21" ht="12.75">
      <c r="A133" s="937" t="s">
        <v>159</v>
      </c>
      <c r="B133" s="745"/>
      <c r="C133" s="755"/>
      <c r="D133" s="745"/>
      <c r="E133" s="755"/>
      <c r="F133" s="745"/>
      <c r="G133" s="746"/>
      <c r="H133" s="752">
        <f>ROUND(SUMIF(_12MonResults_RateClass,MiscData!$U$11,_12MonResults_Revenue_ECR),0)</f>
        <v>6426090</v>
      </c>
      <c r="I133" s="923"/>
      <c r="Q133" s="935"/>
      <c r="S133" s="931"/>
    </row>
    <row r="134" spans="1:21" ht="15">
      <c r="A134" s="938" t="s">
        <v>162</v>
      </c>
      <c r="B134" s="745"/>
      <c r="C134" s="755"/>
      <c r="D134" s="745"/>
      <c r="E134" s="755"/>
      <c r="F134" s="745"/>
      <c r="G134" s="746"/>
      <c r="H134" s="759">
        <f>SUM(H131:H133)</f>
        <v>14155124</v>
      </c>
      <c r="I134" s="924"/>
      <c r="Q134" s="935"/>
      <c r="S134" s="931"/>
    </row>
    <row r="135" spans="1:21" ht="15">
      <c r="A135" s="938"/>
      <c r="B135" s="745"/>
      <c r="C135" s="755"/>
      <c r="D135" s="745"/>
      <c r="E135" s="755"/>
      <c r="F135" s="745"/>
      <c r="G135" s="746"/>
      <c r="H135" s="768"/>
      <c r="I135" s="948"/>
      <c r="Q135" s="935"/>
      <c r="S135" s="931"/>
    </row>
    <row r="136" spans="1:21" ht="15">
      <c r="A136" s="938" t="s">
        <v>163</v>
      </c>
      <c r="B136" s="745"/>
      <c r="C136" s="755"/>
      <c r="D136" s="745"/>
      <c r="E136" s="755"/>
      <c r="F136" s="745"/>
      <c r="G136" s="746"/>
      <c r="H136" s="769">
        <f>H134+H128</f>
        <v>201846358</v>
      </c>
      <c r="I136" s="746"/>
      <c r="N136" s="1015"/>
      <c r="O136" s="745"/>
      <c r="P136" s="745"/>
      <c r="Q136" s="935"/>
      <c r="S136" s="931"/>
    </row>
    <row r="137" spans="1:21" ht="15">
      <c r="A137" s="938"/>
      <c r="B137" s="745"/>
      <c r="C137" s="755"/>
      <c r="D137" s="745"/>
      <c r="E137" s="755"/>
      <c r="F137" s="745"/>
      <c r="G137" s="746"/>
      <c r="H137" s="769"/>
      <c r="I137" s="746"/>
      <c r="M137" s="925"/>
      <c r="N137" s="1015"/>
      <c r="O137" s="745"/>
      <c r="P137" s="745"/>
      <c r="Q137" s="935"/>
      <c r="S137" s="931"/>
    </row>
    <row r="138" spans="1:21" ht="12.75">
      <c r="I138" s="746"/>
      <c r="Q138" s="935"/>
      <c r="S138" s="931"/>
    </row>
    <row r="139" spans="1:21" ht="12.75">
      <c r="A139" s="1031" t="str">
        <f>'Sch M-1.3-pg 1'!$A$1</f>
        <v>DATA:  __X__ BASE PERIOD  ____  FORECAST PERIOD</v>
      </c>
      <c r="B139" s="922"/>
      <c r="C139" s="922"/>
      <c r="D139" s="922"/>
      <c r="E139" s="922"/>
      <c r="F139" s="922"/>
      <c r="G139" s="922"/>
      <c r="H139" s="922"/>
      <c r="I139" s="923" t="str">
        <f>'Sch M-1.3-pg 1'!$J$1</f>
        <v>Schedule M-1.3</v>
      </c>
      <c r="S139" s="931"/>
      <c r="U139" s="931"/>
    </row>
    <row r="140" spans="1:21" ht="12.75">
      <c r="A140" s="959" t="str">
        <f>'Sch M-1.3-pg 1'!$A$2</f>
        <v>TYPE OF FILING: __X__ ORIGINAL  _____ UPDATED  _____ REVISED</v>
      </c>
      <c r="B140" s="922"/>
      <c r="C140" s="922"/>
      <c r="D140" s="922"/>
      <c r="E140" s="922"/>
      <c r="F140" s="922"/>
      <c r="G140" s="922"/>
      <c r="H140" s="922"/>
      <c r="I140" s="923" t="str">
        <f>"Page "&amp;M140&amp;" of "&amp;N140</f>
        <v>Page 6 of 18</v>
      </c>
      <c r="M140" s="771">
        <f>M105+1</f>
        <v>6</v>
      </c>
      <c r="N140" s="1032">
        <f>$N$2</f>
        <v>18</v>
      </c>
      <c r="Q140" s="935"/>
    </row>
    <row r="141" spans="1:21" ht="12.75">
      <c r="A141" s="959" t="str">
        <f>'Sch M-1.3-pg 1'!$A$3</f>
        <v>WORK PAPER REFERENCE NO(S):</v>
      </c>
      <c r="B141" s="922"/>
      <c r="C141" s="922"/>
      <c r="D141" s="922"/>
      <c r="E141" s="922"/>
      <c r="F141" s="922"/>
      <c r="G141" s="922"/>
      <c r="H141" s="922"/>
      <c r="I141" s="924" t="str">
        <f>'Sch M-1.3-pg 1'!$J$3</f>
        <v>Witness:  M.J. Blake</v>
      </c>
      <c r="Q141" s="935"/>
    </row>
    <row r="142" spans="1:21" ht="12.75">
      <c r="A142" s="926"/>
      <c r="B142" s="922"/>
      <c r="C142" s="922"/>
      <c r="D142" s="922"/>
      <c r="E142" s="922"/>
      <c r="F142" s="922"/>
      <c r="G142" s="922"/>
      <c r="H142" s="922"/>
      <c r="I142" s="948"/>
      <c r="Q142" s="935"/>
    </row>
    <row r="143" spans="1:21" ht="12.75">
      <c r="A143" s="927"/>
      <c r="B143" s="745"/>
      <c r="C143" s="747"/>
      <c r="D143" s="928"/>
      <c r="E143" s="747"/>
      <c r="F143" s="745"/>
      <c r="G143" s="747" t="s">
        <v>144</v>
      </c>
      <c r="H143" s="747" t="s">
        <v>145</v>
      </c>
      <c r="I143" s="746"/>
      <c r="J143" s="940"/>
      <c r="Q143" s="935"/>
    </row>
    <row r="144" spans="1:21" ht="12.75">
      <c r="A144" s="945"/>
      <c r="B144" s="946"/>
      <c r="C144" s="748" t="s">
        <v>100</v>
      </c>
      <c r="D144" s="770" t="s">
        <v>146</v>
      </c>
      <c r="E144" s="749" t="s">
        <v>147</v>
      </c>
      <c r="F144" s="947"/>
      <c r="G144" s="749" t="s">
        <v>148</v>
      </c>
      <c r="H144" s="749" t="s">
        <v>149</v>
      </c>
      <c r="I144" s="746"/>
      <c r="J144" s="940"/>
      <c r="Q144" s="935"/>
    </row>
    <row r="145" spans="1:17" ht="15">
      <c r="A145" s="777"/>
      <c r="B145" s="745"/>
      <c r="C145" s="755"/>
      <c r="D145" s="745"/>
      <c r="E145" s="755"/>
      <c r="F145" s="745"/>
      <c r="G145" s="746"/>
      <c r="H145" s="768"/>
      <c r="I145" s="746"/>
      <c r="K145" s="925"/>
      <c r="Q145" s="935"/>
    </row>
    <row r="146" spans="1:17" ht="12.75">
      <c r="A146" s="777" t="s">
        <v>904</v>
      </c>
      <c r="B146" s="745"/>
      <c r="C146" s="750"/>
      <c r="D146" s="745"/>
      <c r="E146" s="750"/>
      <c r="F146" s="750"/>
      <c r="G146" s="745"/>
      <c r="H146" s="745"/>
      <c r="I146" s="746"/>
      <c r="Q146" s="935"/>
    </row>
    <row r="147" spans="1:17" ht="12.75">
      <c r="A147" s="930" t="s">
        <v>1442</v>
      </c>
      <c r="B147" s="745"/>
      <c r="C147" s="755">
        <f>SUMIF(_12MonResults_Rate,MiscData!$U$10,_12MonResults_CustomerCount)+SUMIF(_12MonResults_Rate,MiscData!$U$10,_12MonResults_CustomerCount_Adj)</f>
        <v>2733</v>
      </c>
      <c r="D147" s="745"/>
      <c r="E147" s="745"/>
      <c r="F147" s="745"/>
      <c r="G147" s="751">
        <f>SUMIF(_Rates_Tariff_Category,MiscData!$T$4&amp;MiscData!$W$5,_Rates_BasicServiceCharge)</f>
        <v>170</v>
      </c>
      <c r="H147" s="752">
        <f>ROUND($C147*G147,0)</f>
        <v>464610</v>
      </c>
      <c r="I147" s="746"/>
      <c r="Q147" s="935"/>
    </row>
    <row r="148" spans="1:17" ht="12.75">
      <c r="A148" s="932" t="s">
        <v>493</v>
      </c>
      <c r="B148" s="745"/>
      <c r="C148" s="755"/>
      <c r="D148" s="745"/>
      <c r="E148" s="745"/>
      <c r="F148" s="745"/>
      <c r="G148" s="756"/>
      <c r="H148" s="757">
        <f>SUMIF(_12MonResults_Rate,MiscData!$U$10,_12MonResults_Revenue_Adj_BSC)</f>
        <v>-2907.69</v>
      </c>
      <c r="I148" s="746"/>
      <c r="Q148" s="935"/>
    </row>
    <row r="149" spans="1:17" ht="12.75">
      <c r="A149" s="930" t="s">
        <v>1443</v>
      </c>
      <c r="B149" s="745"/>
      <c r="C149" s="745"/>
      <c r="D149" s="745"/>
      <c r="E149" s="755">
        <f>SUMIF(_12MonResults_Rate,MiscData!$U$10,_12MonResults_KWH_Total)+SUMIF(_12MonResults_Rate,MiscData!$U$10,_12MonResults_KWH_OutOfPeriod)</f>
        <v>265320458</v>
      </c>
      <c r="F149" s="745"/>
      <c r="G149" s="758">
        <f>SUMIF(_Rates_Tariff_Category,MiscData!$T$4&amp;MiscData!$W$5,_Rates_Energy)</f>
        <v>3.5619999999999999E-2</v>
      </c>
      <c r="H149" s="752">
        <f>ROUND($E149*G149,)</f>
        <v>9450715</v>
      </c>
      <c r="I149" s="746"/>
      <c r="Q149" s="935"/>
    </row>
    <row r="150" spans="1:17" ht="12.75">
      <c r="A150" s="933" t="s">
        <v>150</v>
      </c>
      <c r="B150" s="745"/>
      <c r="C150" s="757"/>
      <c r="D150" s="757"/>
      <c r="E150" s="757"/>
      <c r="F150" s="745"/>
      <c r="G150" s="756"/>
      <c r="H150" s="757">
        <f>SUMIF(_12MonResults_Rate,MiscData!$U$10,_12MonResults_Revenue_Adj_Energy)</f>
        <v>9.4</v>
      </c>
      <c r="I150" s="746"/>
      <c r="Q150" s="935"/>
    </row>
    <row r="151" spans="1:17" ht="12.75">
      <c r="A151" s="777" t="s">
        <v>1472</v>
      </c>
      <c r="B151" s="745"/>
      <c r="C151" s="757"/>
      <c r="D151" s="757"/>
      <c r="E151" s="757"/>
      <c r="F151" s="745"/>
      <c r="G151" s="756"/>
      <c r="H151" s="757"/>
      <c r="I151" s="746"/>
      <c r="Q151" s="935"/>
    </row>
    <row r="152" spans="1:17" ht="12.75">
      <c r="A152" s="932" t="s">
        <v>1474</v>
      </c>
      <c r="B152" s="745"/>
      <c r="C152" s="757"/>
      <c r="D152" s="755">
        <f>SUMIF(_12MonResults_Rate,MiscData!$U$10,_12MonResults_Demand_Measured_kW_P)+SUMIF(_12MonResults_Rate,MiscData!$U$10,_12MonResults_Demand_OutOfPeriod_P)</f>
        <v>291419.96000000002</v>
      </c>
      <c r="E152" s="757"/>
      <c r="F152" s="745"/>
      <c r="G152" s="751">
        <f>SUMIF(_Rates_Tariff_Category,MiscData!$T$4&amp;MiscData!$W$5,_Rates_Demand_Peak)</f>
        <v>15.28</v>
      </c>
      <c r="H152" s="752">
        <f>ROUND($D152*G152,0)</f>
        <v>4452897</v>
      </c>
      <c r="I152" s="750"/>
      <c r="J152" s="940"/>
      <c r="K152" s="941"/>
      <c r="Q152" s="935"/>
    </row>
    <row r="153" spans="1:17" ht="12.75">
      <c r="A153" s="932" t="s">
        <v>1482</v>
      </c>
      <c r="B153" s="745"/>
      <c r="C153" s="757"/>
      <c r="D153" s="755">
        <f>+SUMIF(_12MonResults_Rate,MiscData!$U$10,_12MonResults_Demand_Minimum_P)</f>
        <v>19064.68</v>
      </c>
      <c r="E153" s="757"/>
      <c r="F153" s="745"/>
      <c r="G153" s="751">
        <f>SUMIF(_Rates_Tariff_Category,MiscData!$T$4&amp;MiscData!$W$5,_Rates_Demand_Peak)</f>
        <v>15.28</v>
      </c>
      <c r="H153" s="752">
        <f>ROUND($D153*G153,0)</f>
        <v>291308</v>
      </c>
      <c r="I153" s="746"/>
      <c r="J153" s="940"/>
      <c r="K153" s="941"/>
      <c r="Q153" s="935"/>
    </row>
    <row r="154" spans="1:17" ht="12.75">
      <c r="A154" s="932" t="s">
        <v>1473</v>
      </c>
      <c r="B154" s="745"/>
      <c r="C154" s="757"/>
      <c r="D154" s="755">
        <f>SUMIF(_12MonResults_Rate,MiscData!$U$10,_12MonResults_Demand_Measured_kW_I)+SUMIF(_12MonResults_Rate,MiscData!$U$10,_12MonResults_Demand_OutOfPeriod_I)</f>
        <v>397151.85</v>
      </c>
      <c r="E154" s="757"/>
      <c r="F154" s="745"/>
      <c r="G154" s="751">
        <f>SUMIF(_Rates_Tariff_Category,MiscData!$T$4&amp;MiscData!$W$5,_Rates_Demand_Intermediate)</f>
        <v>13.18</v>
      </c>
      <c r="H154" s="752">
        <f>ROUND($D154*G154,)</f>
        <v>5234461</v>
      </c>
      <c r="I154" s="746"/>
      <c r="J154" s="940"/>
      <c r="K154" s="941"/>
      <c r="Q154" s="935"/>
    </row>
    <row r="155" spans="1:17" ht="12.75">
      <c r="A155" s="932" t="s">
        <v>1483</v>
      </c>
      <c r="B155" s="745"/>
      <c r="C155" s="757"/>
      <c r="D155" s="755">
        <f>SUMIF(_12MonResults_Rate,MiscData!$U$10,_12MonResults_Demand_Minimum_I)</f>
        <v>9718.7999999999993</v>
      </c>
      <c r="E155" s="757"/>
      <c r="F155" s="745"/>
      <c r="G155" s="751">
        <f>SUMIF(_Rates_Tariff_Category,MiscData!$T$4&amp;MiscData!$W$5,_Rates_Demand_Intermediate)</f>
        <v>13.18</v>
      </c>
      <c r="H155" s="752">
        <f>ROUND($D155*G155,)</f>
        <v>128094</v>
      </c>
      <c r="I155" s="746"/>
      <c r="J155" s="940"/>
      <c r="Q155" s="935"/>
    </row>
    <row r="156" spans="1:17" ht="12.75">
      <c r="A156" s="932" t="s">
        <v>498</v>
      </c>
      <c r="B156" s="745"/>
      <c r="C156" s="757"/>
      <c r="D156" s="755"/>
      <c r="E156" s="757"/>
      <c r="F156" s="745"/>
      <c r="G156" s="756"/>
      <c r="H156" s="752">
        <f>ROUND(SUMIF(_12MonResults_Rate,MiscData!$U$10,_12MonResults_Revenue_Adj_Demand),0)</f>
        <v>-16679</v>
      </c>
      <c r="I156" s="746"/>
      <c r="Q156" s="935"/>
    </row>
    <row r="157" spans="1:17" ht="12.75">
      <c r="A157" s="932" t="s">
        <v>689</v>
      </c>
      <c r="B157" s="745"/>
      <c r="C157" s="757"/>
      <c r="D157" s="755"/>
      <c r="E157" s="757"/>
      <c r="F157" s="745"/>
      <c r="G157" s="756"/>
      <c r="H157" s="752">
        <f>ROUND(SUMIF(_12MonResults_Rate,MiscData!$U$10,_12MonResults_Revenue_Pwr_Factor),0)</f>
        <v>60932</v>
      </c>
      <c r="I157" s="746"/>
      <c r="J157" s="940"/>
      <c r="Q157" s="935"/>
    </row>
    <row r="158" spans="1:17" ht="12.75">
      <c r="A158" s="932" t="s">
        <v>1463</v>
      </c>
      <c r="B158" s="745"/>
      <c r="C158" s="757"/>
      <c r="D158" s="755">
        <f>ROUND(H158/G158,2)</f>
        <v>3900</v>
      </c>
      <c r="E158" s="757"/>
      <c r="F158" s="745"/>
      <c r="G158" s="751">
        <v>1.25</v>
      </c>
      <c r="H158" s="752">
        <f>ROUND(SUMIF(_12MonResults_Rate,MiscData!$U$10,_12MonResults_Revenue_Red_Cap),0)</f>
        <v>4875</v>
      </c>
      <c r="I158" s="746"/>
      <c r="Q158" s="935"/>
    </row>
    <row r="159" spans="1:17" ht="15">
      <c r="A159" s="934" t="s">
        <v>151</v>
      </c>
      <c r="B159" s="745"/>
      <c r="C159" s="772">
        <f>C147</f>
        <v>2733</v>
      </c>
      <c r="D159" s="772">
        <f>SUM(D154:D155)</f>
        <v>406870.64999999997</v>
      </c>
      <c r="E159" s="772">
        <f>SUM(E149:E150)</f>
        <v>265320458</v>
      </c>
      <c r="F159" s="755"/>
      <c r="G159" s="745"/>
      <c r="H159" s="759">
        <f>SUM(H147:H158)</f>
        <v>20068314.710000001</v>
      </c>
      <c r="I159" s="746"/>
      <c r="Q159" s="935"/>
    </row>
    <row r="160" spans="1:17" ht="12.75">
      <c r="A160" s="745"/>
      <c r="B160" s="745"/>
      <c r="C160" s="757"/>
      <c r="D160" s="745"/>
      <c r="E160" s="755" t="str">
        <f>IF(SUMIF(_12MonResults_RateClass,MiscData!$U$10,_12MonResults_KWH_Total)=E159,"",SUMIF(_12MonResults_RateClass,MiscData!$U$10,_12MonResults_KWH_Total))</f>
        <v/>
      </c>
      <c r="F160" s="745"/>
      <c r="G160" s="745"/>
      <c r="H160" s="755"/>
      <c r="I160" s="746"/>
      <c r="Q160" s="935"/>
    </row>
    <row r="161" spans="1:21" ht="12.75">
      <c r="A161" s="934"/>
      <c r="B161" s="745"/>
      <c r="C161" s="755"/>
      <c r="D161" s="763"/>
      <c r="E161" s="755"/>
      <c r="F161" s="755" t="s">
        <v>783</v>
      </c>
      <c r="G161" s="776"/>
      <c r="H161" s="765">
        <f>'Sch M-1.3-pg 1'!$J$24</f>
        <v>1.0000000498297963</v>
      </c>
      <c r="I161" s="746"/>
      <c r="O161" s="745"/>
      <c r="Q161" s="935"/>
    </row>
    <row r="162" spans="1:21" ht="12.75">
      <c r="A162" s="934"/>
      <c r="B162" s="745"/>
      <c r="C162" s="755"/>
      <c r="D162" s="745"/>
      <c r="E162" s="755"/>
      <c r="F162" s="755"/>
      <c r="G162" s="746"/>
      <c r="H162" s="766"/>
      <c r="I162" s="746"/>
      <c r="J162" s="940"/>
      <c r="O162" s="745"/>
      <c r="Q162" s="935"/>
    </row>
    <row r="163" spans="1:21" ht="15">
      <c r="A163" s="937" t="s">
        <v>155</v>
      </c>
      <c r="B163" s="745"/>
      <c r="C163" s="755"/>
      <c r="D163" s="755"/>
      <c r="E163" s="745"/>
      <c r="F163" s="745"/>
      <c r="G163" s="746"/>
      <c r="H163" s="767">
        <f>ROUND(H159/H161,0)</f>
        <v>20068314</v>
      </c>
      <c r="I163" s="746"/>
      <c r="J163" s="940"/>
      <c r="L163" s="745"/>
      <c r="M163" s="925"/>
      <c r="N163" s="1015"/>
      <c r="O163" s="745"/>
      <c r="Q163" s="935"/>
    </row>
    <row r="164" spans="1:21" ht="12.75">
      <c r="A164" s="937"/>
      <c r="B164" s="745"/>
      <c r="C164" s="755"/>
      <c r="D164" s="745"/>
      <c r="E164" s="745"/>
      <c r="F164" s="745"/>
      <c r="G164" s="746"/>
      <c r="H164" s="752"/>
      <c r="I164" s="746"/>
      <c r="J164" s="940"/>
      <c r="L164" s="745"/>
      <c r="N164" s="1015"/>
      <c r="O164" s="745"/>
      <c r="Q164" s="935"/>
    </row>
    <row r="165" spans="1:21" ht="15">
      <c r="A165" s="937" t="s">
        <v>156</v>
      </c>
      <c r="B165" s="745"/>
      <c r="C165" s="755"/>
      <c r="D165" s="745"/>
      <c r="E165" s="755"/>
      <c r="F165" s="745"/>
      <c r="G165" s="746"/>
      <c r="H165" s="768"/>
      <c r="I165" s="746"/>
      <c r="J165" s="940"/>
      <c r="Q165" s="935"/>
    </row>
    <row r="166" spans="1:21" ht="12.75">
      <c r="A166" s="937" t="s">
        <v>157</v>
      </c>
      <c r="B166" s="745"/>
      <c r="C166" s="755"/>
      <c r="D166" s="745"/>
      <c r="E166" s="755"/>
      <c r="F166" s="745"/>
      <c r="G166" s="746"/>
      <c r="H166" s="752">
        <f>SUMIF(_12MonResults_Rate,MiscData!$U$10,_12MonResults_Revenue_FAC)</f>
        <v>562652.80999999994</v>
      </c>
      <c r="J166" s="940"/>
      <c r="L166" s="745"/>
      <c r="N166" s="1015"/>
      <c r="O166" s="745"/>
      <c r="Q166" s="935"/>
    </row>
    <row r="167" spans="1:21" ht="12.75">
      <c r="A167" s="937" t="s">
        <v>158</v>
      </c>
      <c r="B167" s="745"/>
      <c r="C167" s="755"/>
      <c r="D167" s="745"/>
      <c r="E167" s="755"/>
      <c r="F167" s="745"/>
      <c r="G167" s="746"/>
      <c r="H167" s="752">
        <f>SUMIF(_12MonResults_Rate,MiscData!$U$10,_12MonResults_Revenue_DSM)</f>
        <v>315244.82000000007</v>
      </c>
      <c r="I167" s="923"/>
      <c r="Q167" s="935"/>
      <c r="S167" s="931"/>
    </row>
    <row r="168" spans="1:21" ht="12.75">
      <c r="A168" s="937" t="s">
        <v>159</v>
      </c>
      <c r="B168" s="745"/>
      <c r="C168" s="755"/>
      <c r="D168" s="745"/>
      <c r="E168" s="755"/>
      <c r="F168" s="745"/>
      <c r="G168" s="746"/>
      <c r="H168" s="752">
        <f>SUMIF(_12MonResults_Rate,MiscData!$U$10,_12MonResults_Revenue_ECR)</f>
        <v>688553.02</v>
      </c>
      <c r="I168" s="923"/>
      <c r="Q168" s="935"/>
      <c r="S168" s="931"/>
    </row>
    <row r="169" spans="1:21" ht="15">
      <c r="A169" s="938" t="s">
        <v>162</v>
      </c>
      <c r="B169" s="745"/>
      <c r="C169" s="755"/>
      <c r="D169" s="745"/>
      <c r="E169" s="755"/>
      <c r="F169" s="745"/>
      <c r="G169" s="746"/>
      <c r="H169" s="759">
        <f>SUM(H166:H168)</f>
        <v>1566450.65</v>
      </c>
      <c r="I169" s="924"/>
      <c r="Q169" s="935"/>
      <c r="S169" s="931"/>
    </row>
    <row r="170" spans="1:21" ht="15">
      <c r="A170" s="938"/>
      <c r="B170" s="745"/>
      <c r="C170" s="755"/>
      <c r="D170" s="745"/>
      <c r="E170" s="755"/>
      <c r="F170" s="745"/>
      <c r="G170" s="746"/>
      <c r="H170" s="768"/>
      <c r="I170" s="948"/>
      <c r="Q170" s="935"/>
      <c r="S170" s="931"/>
    </row>
    <row r="171" spans="1:21" ht="15">
      <c r="A171" s="938" t="s">
        <v>163</v>
      </c>
      <c r="B171" s="745"/>
      <c r="C171" s="755"/>
      <c r="D171" s="745"/>
      <c r="E171" s="755"/>
      <c r="F171" s="745"/>
      <c r="G171" s="746"/>
      <c r="H171" s="769">
        <f>H169+H163</f>
        <v>21634764.649999999</v>
      </c>
      <c r="I171" s="746"/>
      <c r="N171" s="1015"/>
      <c r="O171" s="745"/>
      <c r="P171" s="745"/>
      <c r="Q171" s="935"/>
      <c r="S171" s="931"/>
    </row>
    <row r="172" spans="1:21" ht="15">
      <c r="A172" s="777"/>
      <c r="B172" s="745"/>
      <c r="C172" s="755"/>
      <c r="D172" s="745"/>
      <c r="E172" s="755"/>
      <c r="F172" s="745"/>
      <c r="G172" s="746"/>
      <c r="H172" s="768"/>
      <c r="I172" s="746"/>
      <c r="M172" s="925"/>
      <c r="N172" s="1015"/>
      <c r="O172" s="745"/>
      <c r="P172" s="745"/>
      <c r="Q172" s="935"/>
      <c r="S172" s="931"/>
    </row>
    <row r="173" spans="1:21" ht="12.75">
      <c r="I173" s="746"/>
      <c r="Q173" s="935"/>
      <c r="S173" s="931"/>
    </row>
    <row r="174" spans="1:21" ht="12.75">
      <c r="A174" s="1031" t="str">
        <f>'Sch M-1.3-pg 1'!$A$1</f>
        <v>DATA:  __X__ BASE PERIOD  ____  FORECAST PERIOD</v>
      </c>
      <c r="B174" s="922"/>
      <c r="C174" s="922"/>
      <c r="D174" s="922"/>
      <c r="E174" s="922"/>
      <c r="F174" s="922"/>
      <c r="G174" s="922"/>
      <c r="H174" s="922"/>
      <c r="I174" s="923" t="str">
        <f>'Sch M-1.3-pg 1'!$J$1</f>
        <v>Schedule M-1.3</v>
      </c>
      <c r="S174" s="931"/>
      <c r="U174" s="931"/>
    </row>
    <row r="175" spans="1:21" ht="12.75">
      <c r="A175" s="959" t="str">
        <f>'Sch M-1.3-pg 1'!$A$2</f>
        <v>TYPE OF FILING: __X__ ORIGINAL  _____ UPDATED  _____ REVISED</v>
      </c>
      <c r="B175" s="922"/>
      <c r="C175" s="922"/>
      <c r="D175" s="922"/>
      <c r="E175" s="922"/>
      <c r="F175" s="922"/>
      <c r="G175" s="922"/>
      <c r="H175" s="922"/>
      <c r="I175" s="923" t="str">
        <f>"Page "&amp;M175&amp;" of "&amp;N175</f>
        <v>Page 7 of 18</v>
      </c>
      <c r="M175" s="771">
        <f>M140+1</f>
        <v>7</v>
      </c>
      <c r="N175" s="1032">
        <f>$N$2</f>
        <v>18</v>
      </c>
      <c r="O175" s="745"/>
      <c r="Q175" s="935"/>
    </row>
    <row r="176" spans="1:21" ht="12.75">
      <c r="A176" s="959" t="str">
        <f>'Sch M-1.3-pg 1'!$A$3</f>
        <v>WORK PAPER REFERENCE NO(S):</v>
      </c>
      <c r="B176" s="922"/>
      <c r="C176" s="922"/>
      <c r="D176" s="922"/>
      <c r="E176" s="922"/>
      <c r="F176" s="922"/>
      <c r="G176" s="922"/>
      <c r="H176" s="922"/>
      <c r="I176" s="924" t="str">
        <f>'Sch M-1.3-pg 1'!$J$3</f>
        <v>Witness:  M.J. Blake</v>
      </c>
      <c r="Q176" s="935"/>
    </row>
    <row r="177" spans="1:19" ht="12.75">
      <c r="A177" s="926"/>
      <c r="B177" s="922"/>
      <c r="C177" s="922"/>
      <c r="D177" s="922"/>
      <c r="E177" s="922"/>
      <c r="F177" s="922"/>
      <c r="G177" s="922"/>
      <c r="H177" s="922"/>
      <c r="I177" s="948"/>
      <c r="S177" s="931"/>
    </row>
    <row r="178" spans="1:19" ht="12.75">
      <c r="A178" s="927"/>
      <c r="B178" s="745"/>
      <c r="C178" s="747"/>
      <c r="D178" s="928"/>
      <c r="E178" s="747"/>
      <c r="F178" s="745"/>
      <c r="G178" s="747" t="s">
        <v>144</v>
      </c>
      <c r="H178" s="747" t="s">
        <v>145</v>
      </c>
      <c r="I178" s="746"/>
      <c r="J178" s="940"/>
      <c r="N178" s="1015"/>
      <c r="O178" s="745"/>
      <c r="Q178" s="935"/>
    </row>
    <row r="179" spans="1:19" ht="12.75">
      <c r="A179" s="945"/>
      <c r="B179" s="946"/>
      <c r="C179" s="748" t="s">
        <v>100</v>
      </c>
      <c r="D179" s="770" t="s">
        <v>146</v>
      </c>
      <c r="E179" s="749" t="s">
        <v>147</v>
      </c>
      <c r="F179" s="947"/>
      <c r="G179" s="749" t="s">
        <v>148</v>
      </c>
      <c r="H179" s="749" t="s">
        <v>149</v>
      </c>
      <c r="I179" s="746"/>
      <c r="J179" s="940"/>
      <c r="Q179" s="935"/>
    </row>
    <row r="180" spans="1:19" ht="15">
      <c r="A180" s="777"/>
      <c r="B180" s="745"/>
      <c r="C180" s="755"/>
      <c r="D180" s="745"/>
      <c r="E180" s="755"/>
      <c r="F180" s="745"/>
      <c r="G180" s="746"/>
      <c r="H180" s="768"/>
      <c r="I180" s="746"/>
      <c r="J180" s="940"/>
      <c r="Q180" s="935"/>
    </row>
    <row r="181" spans="1:19" ht="12.75">
      <c r="A181" s="937" t="s">
        <v>499</v>
      </c>
      <c r="B181" s="745"/>
      <c r="C181" s="750"/>
      <c r="D181" s="745"/>
      <c r="E181" s="750"/>
      <c r="F181" s="750"/>
      <c r="G181" s="745"/>
      <c r="H181" s="745"/>
      <c r="I181" s="746"/>
      <c r="J181" s="940"/>
      <c r="Q181" s="935"/>
    </row>
    <row r="182" spans="1:19" ht="12.75">
      <c r="A182" s="930" t="s">
        <v>1442</v>
      </c>
      <c r="B182" s="745"/>
      <c r="C182" s="755">
        <f>SUMIF(_12MonResults_Rate,MiscData!$U$12,_12MonResults_CustomerCount)+SUMIF(_12MonResults_Rate,MiscData!$U$12,_12MonResults_CustomerCount_Adj)</f>
        <v>5442</v>
      </c>
      <c r="D182" s="745"/>
      <c r="E182" s="745"/>
      <c r="F182" s="745"/>
      <c r="G182" s="751">
        <f>SUMIF(_Rates_Tariff_Category,MiscData!$T$4&amp;MiscData!$W$11,_Rates_BasicServiceCharge)</f>
        <v>200</v>
      </c>
      <c r="H182" s="752">
        <f>ROUND($C182*G182,0)</f>
        <v>1088400</v>
      </c>
      <c r="I182" s="746"/>
      <c r="J182" s="940"/>
      <c r="N182" s="1015"/>
      <c r="O182" s="745"/>
      <c r="Q182" s="935"/>
    </row>
    <row r="183" spans="1:19" ht="12.75">
      <c r="A183" s="932" t="s">
        <v>493</v>
      </c>
      <c r="B183" s="745"/>
      <c r="C183" s="755"/>
      <c r="D183" s="745"/>
      <c r="E183" s="745"/>
      <c r="F183" s="745"/>
      <c r="G183" s="756"/>
      <c r="H183" s="757">
        <f>SUMIF(_12MonResults_Rate,MiscData!$U$12,_12MonResults_Revenue_Adj_BSC)</f>
        <v>-5635.2000000000007</v>
      </c>
      <c r="I183" s="746"/>
      <c r="J183" s="940"/>
      <c r="N183" s="1015"/>
      <c r="O183" s="745"/>
      <c r="Q183" s="935"/>
    </row>
    <row r="184" spans="1:19" ht="12.75">
      <c r="A184" s="930" t="s">
        <v>1443</v>
      </c>
      <c r="B184" s="745"/>
      <c r="C184" s="745"/>
      <c r="D184" s="745"/>
      <c r="E184" s="755">
        <f>SUMIF(_12MonResults_Rate,MiscData!$U$12,_12MonResults_KWH_Total)+SUMIF(_12MonResults_Rate,MiscData!$U$12,_12MonResults_KWH_OutOfPeriod)</f>
        <v>1369283940</v>
      </c>
      <c r="F184" s="745"/>
      <c r="G184" s="758">
        <f>SUMIF(_Rates_Tariff_Category,MiscData!$T$4&amp;MiscData!$W$11,_Rates_Energy)</f>
        <v>3.773E-2</v>
      </c>
      <c r="H184" s="752">
        <f>ROUND($E184*G184,)</f>
        <v>51663083</v>
      </c>
      <c r="I184" s="746"/>
      <c r="J184" s="940"/>
      <c r="N184" s="1015"/>
      <c r="O184" s="745"/>
      <c r="Q184" s="935"/>
    </row>
    <row r="185" spans="1:19" ht="12.75">
      <c r="A185" s="933" t="s">
        <v>150</v>
      </c>
      <c r="B185" s="745"/>
      <c r="C185" s="757"/>
      <c r="D185" s="757"/>
      <c r="E185" s="757"/>
      <c r="F185" s="745"/>
      <c r="G185" s="756"/>
      <c r="H185" s="757">
        <f>SUMIF(_12MonResults_Rate,MiscData!$U$12,_12MonResults_Revenue_Adj_Energy)</f>
        <v>0.83000000000000007</v>
      </c>
      <c r="I185" s="746"/>
      <c r="J185" s="940"/>
      <c r="Q185" s="935"/>
    </row>
    <row r="186" spans="1:19" ht="12.75">
      <c r="A186" s="777" t="s">
        <v>1475</v>
      </c>
      <c r="B186" s="745"/>
      <c r="C186" s="757"/>
      <c r="D186" s="757"/>
      <c r="E186" s="757"/>
      <c r="F186" s="745"/>
      <c r="G186" s="756"/>
      <c r="H186" s="757"/>
      <c r="I186" s="746"/>
      <c r="J186" s="940"/>
      <c r="Q186" s="935"/>
    </row>
    <row r="187" spans="1:19" ht="12.75">
      <c r="A187" s="932" t="s">
        <v>1476</v>
      </c>
      <c r="B187" s="745"/>
      <c r="C187" s="755"/>
      <c r="D187" s="755">
        <f>SUMIF(_12MonResults_Rate,MiscData!$U$12,_12MonResults_Demand_Measured_kW_B)+SUMIF(_12MonResults_Rate,MiscData!$U$12,_12MonResults_Demand_OutOfPeriod_B)</f>
        <v>3231024.5300000007</v>
      </c>
      <c r="E187" s="745"/>
      <c r="F187" s="745"/>
      <c r="G187" s="751">
        <f>SUMIF(_Rates_Tariff_Category,MiscData!$T$4&amp;MiscData!$W$11,_Rates_Demand_Base)</f>
        <v>3.62</v>
      </c>
      <c r="H187" s="752">
        <f t="shared" ref="H187:H192" si="0">ROUND($D187*G187,0)</f>
        <v>11696309</v>
      </c>
      <c r="I187" s="746"/>
      <c r="J187" s="940"/>
      <c r="S187" s="931"/>
    </row>
    <row r="188" spans="1:19" ht="12.75">
      <c r="A188" s="932" t="s">
        <v>1477</v>
      </c>
      <c r="B188" s="745"/>
      <c r="C188" s="755"/>
      <c r="D188" s="755">
        <f>SUMIF(_12MonResults_Rate,MiscData!$U$12,_12MonResults_Demand_Minimum_B)</f>
        <v>117335.93000000002</v>
      </c>
      <c r="E188" s="745"/>
      <c r="F188" s="745"/>
      <c r="G188" s="751">
        <f>SUMIF(_Rates_Tariff_Category,MiscData!$T$4&amp;MiscData!$W$11,_Rates_Demand_Base)</f>
        <v>3.62</v>
      </c>
      <c r="H188" s="752">
        <f t="shared" si="0"/>
        <v>424756</v>
      </c>
      <c r="I188" s="746"/>
      <c r="J188" s="940"/>
      <c r="K188" s="925"/>
      <c r="Q188" s="935"/>
    </row>
    <row r="189" spans="1:19" ht="12.75">
      <c r="A189" s="932" t="s">
        <v>1478</v>
      </c>
      <c r="B189" s="745"/>
      <c r="C189" s="755"/>
      <c r="D189" s="755">
        <f>SUMIF(_12MonResults_Rate,MiscData!$U$12,_12MonResults_Demand_Measured_kW_I)+SUMIF(_12MonResults_Rate,MiscData!$U$12,_12MonResults_Demand_OutOfPeriod_I)</f>
        <v>3065387.17</v>
      </c>
      <c r="E189" s="745"/>
      <c r="F189" s="745"/>
      <c r="G189" s="751">
        <f>SUMIF(_Rates_Tariff_Category,MiscData!$T$4&amp;MiscData!$W$11,_Rates_Demand_Intermediate)</f>
        <v>2.95</v>
      </c>
      <c r="H189" s="752">
        <f t="shared" si="0"/>
        <v>9042892</v>
      </c>
      <c r="I189" s="746"/>
      <c r="J189" s="940"/>
      <c r="K189" s="925"/>
      <c r="Q189" s="935"/>
    </row>
    <row r="190" spans="1:19" ht="12.75">
      <c r="A190" s="932" t="s">
        <v>1479</v>
      </c>
      <c r="B190" s="745"/>
      <c r="C190" s="745"/>
      <c r="D190" s="755">
        <f>SUMIF(_12MonResults_Rate,MiscData!$U$12,_12MonResults_Demand_Minimum_I)</f>
        <v>9566.0000000000291</v>
      </c>
      <c r="E190" s="745"/>
      <c r="F190" s="745"/>
      <c r="G190" s="751">
        <f>SUMIF(_Rates_Tariff_Category,MiscData!$T$4&amp;MiscData!$W$11,_Rates_Demand_Intermediate)</f>
        <v>2.95</v>
      </c>
      <c r="H190" s="752">
        <f t="shared" si="0"/>
        <v>28220</v>
      </c>
      <c r="I190" s="746"/>
      <c r="J190" s="940"/>
      <c r="K190" s="925"/>
      <c r="Q190" s="935"/>
    </row>
    <row r="191" spans="1:19" ht="12.75">
      <c r="A191" s="932" t="s">
        <v>1480</v>
      </c>
      <c r="B191" s="745"/>
      <c r="C191" s="755"/>
      <c r="D191" s="755">
        <f>SUMIF(_12MonResults_Rate,MiscData!$U$12,_12MonResults_Demand_Measured_kW_P)+SUMIF(_12MonResults_Rate,MiscData!$U$12,_12MonResults_Demand_OutOfPeriod_P)</f>
        <v>2999066.9100000006</v>
      </c>
      <c r="E191" s="745"/>
      <c r="F191" s="745"/>
      <c r="G191" s="751">
        <f>SUMIF(_Rates_Tariff_Category,MiscData!$T$4&amp;MiscData!$W$11,_Rates_Demand_Peak)</f>
        <v>4.55</v>
      </c>
      <c r="H191" s="752">
        <f t="shared" si="0"/>
        <v>13645754</v>
      </c>
      <c r="I191" s="746"/>
      <c r="J191" s="940"/>
      <c r="Q191" s="935"/>
    </row>
    <row r="192" spans="1:19" ht="12.75">
      <c r="A192" s="932" t="s">
        <v>1481</v>
      </c>
      <c r="B192" s="745"/>
      <c r="C192" s="757"/>
      <c r="D192" s="755">
        <f>SUMIF(_12MonResults_Rate,MiscData!$U$12,_12MonResults_Demand_Minimum_P)</f>
        <v>10865.000000000007</v>
      </c>
      <c r="E192" s="745"/>
      <c r="F192" s="745"/>
      <c r="G192" s="751">
        <f>SUMIF(_Rates_Tariff_Category,MiscData!$T$4&amp;MiscData!$W$11,_Rates_Demand_Peak)</f>
        <v>4.55</v>
      </c>
      <c r="H192" s="752">
        <f t="shared" si="0"/>
        <v>49436</v>
      </c>
      <c r="I192" s="746"/>
      <c r="J192" s="940"/>
      <c r="Q192" s="935"/>
    </row>
    <row r="193" spans="1:19" ht="12.75">
      <c r="A193" s="932" t="s">
        <v>505</v>
      </c>
      <c r="B193" s="745"/>
      <c r="C193" s="757"/>
      <c r="D193" s="755"/>
      <c r="E193" s="757"/>
      <c r="F193" s="745"/>
      <c r="G193" s="756"/>
      <c r="H193" s="752">
        <f>SUMIF(_12MonResults_Rate,MiscData!$U$12,_12MonResults_Revenue_Pwr_Factor)</f>
        <v>576760.23</v>
      </c>
      <c r="I193" s="746"/>
      <c r="Q193" s="935"/>
    </row>
    <row r="194" spans="1:19" ht="12.75">
      <c r="A194" s="932" t="s">
        <v>498</v>
      </c>
      <c r="B194" s="745"/>
      <c r="C194" s="757"/>
      <c r="D194" s="755"/>
      <c r="E194" s="757"/>
      <c r="F194" s="745"/>
      <c r="G194" s="756"/>
      <c r="H194" s="757">
        <f>SUMIF(_12MonResults_Rate,MiscData!$U$12,_12MonResults_Revenue_Adj_Demand)</f>
        <v>151860.21</v>
      </c>
      <c r="I194" s="746"/>
      <c r="Q194" s="935"/>
    </row>
    <row r="195" spans="1:19" ht="12.75">
      <c r="A195" s="932" t="s">
        <v>688</v>
      </c>
      <c r="B195" s="745"/>
      <c r="C195" s="757"/>
      <c r="D195" s="755">
        <f>ROUND(H195/G195,2)</f>
        <v>32001.200000000001</v>
      </c>
      <c r="E195" s="757"/>
      <c r="F195" s="745"/>
      <c r="G195" s="751">
        <v>1.49</v>
      </c>
      <c r="H195" s="752">
        <f>SUMIF(_12MonResults_Rate,MiscData!$U$12,_12MonResults_Revenue_Red_Cap)</f>
        <v>47681.79</v>
      </c>
      <c r="I195" s="746"/>
      <c r="Q195" s="935"/>
    </row>
    <row r="196" spans="1:19" ht="15">
      <c r="A196" s="934" t="s">
        <v>151</v>
      </c>
      <c r="B196" s="745"/>
      <c r="C196" s="772">
        <f>C182</f>
        <v>5442</v>
      </c>
      <c r="D196" s="772">
        <f>SUM(D187:D195)</f>
        <v>9465246.7400000002</v>
      </c>
      <c r="E196" s="772">
        <f>SUM(E184:E185)</f>
        <v>1369283940</v>
      </c>
      <c r="F196" s="755"/>
      <c r="G196" s="752"/>
      <c r="H196" s="759">
        <f>SUM(H182:H195)</f>
        <v>88409517.859999999</v>
      </c>
      <c r="I196" s="746"/>
      <c r="Q196" s="935"/>
    </row>
    <row r="197" spans="1:19" ht="12.75">
      <c r="A197" s="745"/>
      <c r="B197" s="745"/>
      <c r="C197" s="757"/>
      <c r="D197" s="745"/>
      <c r="E197" s="755" t="str">
        <f>IF(SUMIF(_12MonResults_Rate,MiscData!$U$12,_12MonResults_KWH_Total)=E196,"",SUMIF(_12MonResults_Rate,MiscData!$U$12,_12MonResults_KWH_Total))</f>
        <v/>
      </c>
      <c r="F197" s="745"/>
      <c r="G197" s="745"/>
      <c r="H197" s="755" t="str">
        <f>IF(ABS(SUMIF(_12MonResults_Rate,MiscData!$U$12,_12MonResults_Revenue_Calculated)-H196)&lt;1,"",SUMIF(_12MonResults_Rate,MiscData!$U$12,_12MonResults_Revenue_Calculated))</f>
        <v/>
      </c>
      <c r="I197" s="746"/>
      <c r="J197" s="940"/>
      <c r="Q197" s="935"/>
    </row>
    <row r="198" spans="1:19" ht="12.75">
      <c r="A198" s="934"/>
      <c r="B198" s="745"/>
      <c r="C198" s="755"/>
      <c r="D198" s="763"/>
      <c r="E198" s="755"/>
      <c r="F198" s="755" t="s">
        <v>783</v>
      </c>
      <c r="G198" s="776"/>
      <c r="H198" s="765">
        <f>'Sch M-1.3-pg 1'!$J$26</f>
        <v>1</v>
      </c>
      <c r="I198" s="750"/>
      <c r="J198" s="940"/>
      <c r="K198" s="942"/>
      <c r="L198" s="745"/>
      <c r="M198" s="925"/>
      <c r="N198" s="1015"/>
      <c r="Q198" s="935"/>
    </row>
    <row r="199" spans="1:19" ht="12.75">
      <c r="A199" s="934"/>
      <c r="B199" s="745"/>
      <c r="C199" s="755"/>
      <c r="D199" s="745"/>
      <c r="E199" s="755"/>
      <c r="F199" s="755"/>
      <c r="G199" s="746"/>
      <c r="H199" s="766"/>
      <c r="I199" s="746"/>
      <c r="J199" s="940"/>
      <c r="L199" s="745"/>
      <c r="N199" s="1015"/>
      <c r="Q199" s="935"/>
    </row>
    <row r="200" spans="1:19" ht="15">
      <c r="A200" s="937" t="s">
        <v>155</v>
      </c>
      <c r="B200" s="745"/>
      <c r="C200" s="755"/>
      <c r="D200" s="755"/>
      <c r="E200" s="745"/>
      <c r="F200" s="745"/>
      <c r="G200" s="746"/>
      <c r="H200" s="767">
        <f>ROUND(H196/H198,0)</f>
        <v>88409518</v>
      </c>
      <c r="I200" s="746"/>
      <c r="J200" s="940"/>
      <c r="Q200" s="935"/>
    </row>
    <row r="201" spans="1:19" ht="12.75">
      <c r="A201" s="937"/>
      <c r="B201" s="745"/>
      <c r="C201" s="755"/>
      <c r="D201" s="745"/>
      <c r="E201" s="745"/>
      <c r="F201" s="745"/>
      <c r="G201" s="746"/>
      <c r="H201" s="752"/>
      <c r="J201" s="940"/>
      <c r="L201" s="745"/>
      <c r="N201" s="1015"/>
      <c r="O201" s="745"/>
      <c r="Q201" s="935"/>
    </row>
    <row r="202" spans="1:19" ht="15">
      <c r="A202" s="937" t="s">
        <v>156</v>
      </c>
      <c r="B202" s="745"/>
      <c r="C202" s="755"/>
      <c r="D202" s="745"/>
      <c r="E202" s="755"/>
      <c r="F202" s="745"/>
      <c r="G202" s="746"/>
      <c r="H202" s="768"/>
      <c r="I202" s="923"/>
      <c r="Q202" s="935"/>
      <c r="S202" s="931"/>
    </row>
    <row r="203" spans="1:19" ht="15">
      <c r="A203" s="937" t="s">
        <v>157</v>
      </c>
      <c r="B203" s="745"/>
      <c r="C203" s="778"/>
      <c r="D203" s="778"/>
      <c r="E203" s="778"/>
      <c r="F203" s="745"/>
      <c r="G203" s="746"/>
      <c r="H203" s="752">
        <f>SUMIF(_12MonResults_Rate,MiscData!$U$12,_12MonResults_Revenue_FAC)</f>
        <v>2641676.73</v>
      </c>
      <c r="I203" s="923"/>
      <c r="Q203" s="935"/>
      <c r="S203" s="931"/>
    </row>
    <row r="204" spans="1:19" ht="12.75">
      <c r="A204" s="937" t="s">
        <v>158</v>
      </c>
      <c r="B204" s="745"/>
      <c r="C204" s="755"/>
      <c r="D204" s="745"/>
      <c r="E204" s="755"/>
      <c r="F204" s="745"/>
      <c r="G204" s="746"/>
      <c r="H204" s="752">
        <f>SUMIF(_12MonResults_Rate,MiscData!$U$12,_12MonResults_Revenue_DSM)</f>
        <v>1689721.42</v>
      </c>
      <c r="I204" s="924"/>
      <c r="Q204" s="935"/>
      <c r="S204" s="931"/>
    </row>
    <row r="205" spans="1:19" ht="12.75">
      <c r="A205" s="937" t="s">
        <v>159</v>
      </c>
      <c r="B205" s="745"/>
      <c r="C205" s="755"/>
      <c r="D205" s="745"/>
      <c r="E205" s="755"/>
      <c r="F205" s="745"/>
      <c r="G205" s="746"/>
      <c r="H205" s="752">
        <f>SUMIF(_12MonResults_Rate,MiscData!$U$12,_12MonResults_Revenue_ECR)</f>
        <v>3462403.99</v>
      </c>
      <c r="I205" s="948"/>
      <c r="Q205" s="935"/>
      <c r="S205" s="931"/>
    </row>
    <row r="206" spans="1:19" ht="15">
      <c r="A206" s="938" t="s">
        <v>162</v>
      </c>
      <c r="B206" s="745"/>
      <c r="C206" s="755"/>
      <c r="D206" s="745"/>
      <c r="E206" s="755"/>
      <c r="F206" s="745"/>
      <c r="G206" s="746"/>
      <c r="H206" s="759">
        <f>SUM(H203:H205)</f>
        <v>7793802.1400000006</v>
      </c>
      <c r="I206" s="746"/>
      <c r="N206" s="1015"/>
      <c r="O206" s="745"/>
      <c r="P206" s="745"/>
      <c r="Q206" s="935"/>
      <c r="S206" s="931"/>
    </row>
    <row r="207" spans="1:19" ht="15">
      <c r="B207" s="745"/>
      <c r="C207" s="755"/>
      <c r="D207" s="745"/>
      <c r="E207" s="755"/>
      <c r="F207" s="745"/>
      <c r="G207" s="746"/>
      <c r="H207" s="768"/>
      <c r="I207" s="746"/>
      <c r="M207" s="925"/>
      <c r="N207" s="1015"/>
      <c r="O207" s="745"/>
      <c r="P207" s="745"/>
      <c r="Q207" s="935"/>
      <c r="S207" s="931"/>
    </row>
    <row r="208" spans="1:19" ht="15">
      <c r="A208" s="938" t="s">
        <v>163</v>
      </c>
      <c r="B208" s="745"/>
      <c r="C208" s="755"/>
      <c r="D208" s="745"/>
      <c r="E208" s="755"/>
      <c r="F208" s="745"/>
      <c r="G208" s="746"/>
      <c r="H208" s="769">
        <f>H206+H200</f>
        <v>96203320.140000001</v>
      </c>
      <c r="I208" s="746"/>
      <c r="Q208" s="935"/>
      <c r="S208" s="931"/>
    </row>
    <row r="209" spans="1:21" ht="15">
      <c r="A209" s="777"/>
      <c r="B209" s="745"/>
      <c r="C209" s="755"/>
      <c r="D209" s="745"/>
      <c r="E209" s="755"/>
      <c r="F209" s="745"/>
      <c r="G209" s="746"/>
      <c r="H209" s="768"/>
      <c r="I209" s="746"/>
      <c r="S209" s="931"/>
      <c r="U209" s="931"/>
    </row>
    <row r="210" spans="1:21" ht="12.75">
      <c r="I210" s="750"/>
      <c r="J210" s="940"/>
      <c r="K210" s="940"/>
      <c r="N210" s="1015"/>
      <c r="Q210" s="935"/>
    </row>
    <row r="211" spans="1:21" ht="12.75">
      <c r="A211" s="1031" t="str">
        <f>'Sch M-1.3-pg 1'!$A$1</f>
        <v>DATA:  __X__ BASE PERIOD  ____  FORECAST PERIOD</v>
      </c>
      <c r="B211" s="922"/>
      <c r="C211" s="922"/>
      <c r="D211" s="922"/>
      <c r="E211" s="922"/>
      <c r="F211" s="922"/>
      <c r="G211" s="922"/>
      <c r="H211" s="922"/>
      <c r="I211" s="923" t="str">
        <f>'Sch M-1.3-pg 1'!$J$1</f>
        <v>Schedule M-1.3</v>
      </c>
      <c r="Q211" s="935"/>
    </row>
    <row r="212" spans="1:21" ht="12.75">
      <c r="A212" s="959" t="str">
        <f>'Sch M-1.3-pg 1'!$A$2</f>
        <v>TYPE OF FILING: __X__ ORIGINAL  _____ UPDATED  _____ REVISED</v>
      </c>
      <c r="B212" s="922"/>
      <c r="C212" s="922"/>
      <c r="D212" s="922"/>
      <c r="E212" s="922"/>
      <c r="F212" s="922"/>
      <c r="G212" s="922"/>
      <c r="H212" s="922"/>
      <c r="I212" s="923" t="str">
        <f>"Page "&amp;M212&amp;" of "&amp;N212</f>
        <v>Page 8 of 18</v>
      </c>
      <c r="M212" s="771">
        <f>M175+1</f>
        <v>8</v>
      </c>
      <c r="N212" s="1032">
        <f>$N$2</f>
        <v>18</v>
      </c>
      <c r="Q212" s="935"/>
    </row>
    <row r="213" spans="1:21" ht="12.75">
      <c r="A213" s="959" t="str">
        <f>'Sch M-1.3-pg 1'!$A$3</f>
        <v>WORK PAPER REFERENCE NO(S):</v>
      </c>
      <c r="B213" s="922"/>
      <c r="C213" s="922"/>
      <c r="D213" s="922"/>
      <c r="E213" s="922"/>
      <c r="F213" s="922"/>
      <c r="G213" s="922"/>
      <c r="H213" s="922"/>
      <c r="I213" s="924" t="str">
        <f>'Sch M-1.3-pg 1'!$J$3</f>
        <v>Witness:  M.J. Blake</v>
      </c>
      <c r="Q213" s="935"/>
    </row>
    <row r="214" spans="1:21" ht="12.75">
      <c r="A214" s="926"/>
      <c r="B214" s="922"/>
      <c r="C214" s="922"/>
      <c r="D214" s="922"/>
      <c r="E214" s="922"/>
      <c r="F214" s="922"/>
      <c r="G214" s="922"/>
      <c r="H214" s="922"/>
      <c r="I214" s="948"/>
      <c r="Q214" s="935"/>
    </row>
    <row r="215" spans="1:21" ht="12.75">
      <c r="A215" s="927"/>
      <c r="B215" s="745"/>
      <c r="C215" s="747"/>
      <c r="D215" s="928"/>
      <c r="E215" s="747"/>
      <c r="F215" s="745"/>
      <c r="G215" s="747" t="s">
        <v>144</v>
      </c>
      <c r="H215" s="747" t="s">
        <v>145</v>
      </c>
      <c r="I215" s="746"/>
      <c r="J215" s="940"/>
      <c r="Q215" s="935"/>
    </row>
    <row r="216" spans="1:21" ht="12.75">
      <c r="A216" s="945"/>
      <c r="B216" s="946"/>
      <c r="C216" s="748" t="s">
        <v>100</v>
      </c>
      <c r="D216" s="770" t="s">
        <v>146</v>
      </c>
      <c r="E216" s="749" t="s">
        <v>147</v>
      </c>
      <c r="F216" s="947"/>
      <c r="G216" s="749" t="s">
        <v>148</v>
      </c>
      <c r="H216" s="749" t="s">
        <v>149</v>
      </c>
      <c r="I216" s="746"/>
      <c r="J216" s="940"/>
      <c r="Q216" s="935"/>
    </row>
    <row r="217" spans="1:21" ht="15">
      <c r="A217" s="777"/>
      <c r="B217" s="745"/>
      <c r="C217" s="755"/>
      <c r="D217" s="745"/>
      <c r="E217" s="755"/>
      <c r="F217" s="745"/>
      <c r="G217" s="746"/>
      <c r="H217" s="768"/>
      <c r="I217" s="746"/>
      <c r="J217" s="940"/>
    </row>
    <row r="218" spans="1:21" ht="12.75">
      <c r="A218" s="777" t="s">
        <v>506</v>
      </c>
      <c r="B218" s="745"/>
      <c r="C218" s="750"/>
      <c r="D218" s="745"/>
      <c r="E218" s="750"/>
      <c r="F218" s="750"/>
      <c r="G218" s="745"/>
      <c r="H218" s="745"/>
      <c r="I218" s="746"/>
      <c r="J218" s="940"/>
      <c r="K218" s="942"/>
    </row>
    <row r="219" spans="1:21" ht="12.75">
      <c r="A219" s="930" t="s">
        <v>1442</v>
      </c>
      <c r="B219" s="745"/>
      <c r="C219" s="755">
        <f>SUMIF(_12MonResults_Rate,MiscData!$U$13,_12MonResults_CustomerCount)+SUMIF(_12MonResults_Rate,MiscData!$U$13,_12MonResults_CustomerCount_Adj)</f>
        <v>2698</v>
      </c>
      <c r="D219" s="745"/>
      <c r="E219" s="745"/>
      <c r="F219" s="745"/>
      <c r="G219" s="751">
        <f>SUMIF(_Rates_Tariff_Category,MiscData!$T$4&amp;MiscData!$W$7,_Rates_BasicServiceCharge)</f>
        <v>300</v>
      </c>
      <c r="H219" s="752">
        <f>ROUND($C219*G219,0)</f>
        <v>809400</v>
      </c>
      <c r="I219" s="746"/>
      <c r="J219" s="940"/>
    </row>
    <row r="220" spans="1:21" ht="12.75">
      <c r="A220" s="932" t="s">
        <v>493</v>
      </c>
      <c r="B220" s="745"/>
      <c r="C220" s="755"/>
      <c r="D220" s="745"/>
      <c r="E220" s="745"/>
      <c r="F220" s="745"/>
      <c r="G220" s="756"/>
      <c r="H220" s="757">
        <f>SUMIF(_12MonResults_Rate,MiscData!$U$13,_12MonResults_Revenue_Adj_BSC)</f>
        <v>-610.80000000000018</v>
      </c>
      <c r="I220" s="746"/>
      <c r="J220" s="940"/>
    </row>
    <row r="221" spans="1:21" ht="12.75">
      <c r="A221" s="930" t="s">
        <v>1443</v>
      </c>
      <c r="B221" s="745"/>
      <c r="C221" s="745"/>
      <c r="D221" s="745"/>
      <c r="E221" s="755">
        <f>SUMIF(_12MonResults_Rate,MiscData!$U$13,_12MonResults_KWH_Total)+SUMIF(_12MonResults_Rate,MiscData!$U$13,_12MonResults_KWH_OutOfPeriod)</f>
        <v>4199750975</v>
      </c>
      <c r="F221" s="745"/>
      <c r="G221" s="758">
        <f>SUMIF(_Rates_Tariff_Category,MiscData!$T$4&amp;MiscData!$W$7,_Rates_Energy)</f>
        <v>3.7650000000000003E-2</v>
      </c>
      <c r="H221" s="752">
        <f>ROUND($E221*G221,)</f>
        <v>158120624</v>
      </c>
      <c r="I221" s="746"/>
      <c r="J221" s="940"/>
    </row>
    <row r="222" spans="1:21" ht="12.75">
      <c r="A222" s="933" t="s">
        <v>150</v>
      </c>
      <c r="B222" s="745"/>
      <c r="C222" s="757"/>
      <c r="D222" s="757"/>
      <c r="E222" s="757"/>
      <c r="F222" s="745"/>
      <c r="G222" s="756"/>
      <c r="H222" s="757">
        <f>SUMIF(_12MonResults_Rate,MiscData!$U$13,_12MonResults_Revenue_Adj_Energy)</f>
        <v>0.28999999999999998</v>
      </c>
      <c r="I222" s="746"/>
      <c r="J222" s="940"/>
    </row>
    <row r="223" spans="1:21" ht="12.75">
      <c r="A223" s="777" t="s">
        <v>1484</v>
      </c>
      <c r="B223" s="745"/>
      <c r="C223" s="757"/>
      <c r="D223" s="757"/>
      <c r="E223" s="757"/>
      <c r="F223" s="745"/>
      <c r="G223" s="756"/>
      <c r="H223" s="757"/>
      <c r="I223" s="746"/>
      <c r="J223" s="940"/>
    </row>
    <row r="224" spans="1:21" ht="12.75">
      <c r="A224" s="932" t="s">
        <v>1476</v>
      </c>
      <c r="B224" s="745"/>
      <c r="C224" s="755"/>
      <c r="D224" s="755">
        <f>SUMIF(_12MonResults_Rate,MiscData!$U$13,_12MonResults_Demand_Measured_kW_B)+SUMIF(_12MonResults_Rate,MiscData!$U$13,_12MonResults_Demand_OutOfPeriod_B)</f>
        <v>9193913.1099999994</v>
      </c>
      <c r="E224" s="745"/>
      <c r="F224" s="745"/>
      <c r="G224" s="751">
        <f>SUMIF(_Rates_Tariff_Category,MiscData!$T$4&amp;MiscData!$W$7,_Rates_Demand_Base)</f>
        <v>1.71</v>
      </c>
      <c r="H224" s="752">
        <f>ROUND($D224*G224,0)</f>
        <v>15721591</v>
      </c>
      <c r="I224" s="750"/>
      <c r="J224" s="940"/>
    </row>
    <row r="225" spans="1:19" ht="12.75">
      <c r="A225" s="932" t="s">
        <v>1477</v>
      </c>
      <c r="B225" s="745"/>
      <c r="C225" s="755"/>
      <c r="D225" s="755">
        <f>SUMIF(_12MonResults_Rate,MiscData!$U$13,_12MonResults_Demand_Minimum_B)</f>
        <v>156813.70000000001</v>
      </c>
      <c r="E225" s="745"/>
      <c r="F225" s="745"/>
      <c r="G225" s="751">
        <f>SUMIF(_Rates_Tariff_Category,MiscData!$T$4&amp;MiscData!$W$7,_Rates_Demand_Base)</f>
        <v>1.71</v>
      </c>
      <c r="H225" s="752">
        <f>ROUND($D225*G225,0)+1</f>
        <v>268152</v>
      </c>
      <c r="I225" s="746"/>
      <c r="J225" s="940"/>
    </row>
    <row r="226" spans="1:19" ht="12.75">
      <c r="A226" s="932" t="s">
        <v>1478</v>
      </c>
      <c r="B226" s="745"/>
      <c r="C226" s="755"/>
      <c r="D226" s="755">
        <f>SUMIF(_12MonResults_Rate,MiscData!$U$13,_12MonResults_Demand_Measured_kW_I)+SUMIF(_12MonResults_Rate,MiscData!$U$13,_12MonResults_Demand_OutOfPeriod_I)</f>
        <v>8951442.459999999</v>
      </c>
      <c r="E226" s="745"/>
      <c r="F226" s="745"/>
      <c r="G226" s="751">
        <f>SUMIF(_Rates_Tariff_Category,MiscData!$T$4&amp;MiscData!$W$7,_Rates_Demand_Intermediate)</f>
        <v>2.76</v>
      </c>
      <c r="H226" s="752">
        <f>ROUND($D226*G226,0)</f>
        <v>24705981</v>
      </c>
      <c r="I226" s="746"/>
      <c r="J226" s="940"/>
    </row>
    <row r="227" spans="1:19" ht="12.75">
      <c r="A227" s="932" t="s">
        <v>1479</v>
      </c>
      <c r="B227" s="745"/>
      <c r="C227" s="745"/>
      <c r="D227" s="755">
        <f>SUMIF(_12MonResults_Rate,MiscData!$U$13,_12MonResults_Demand_Minimum_I)</f>
        <v>19010.300000000003</v>
      </c>
      <c r="E227" s="745"/>
      <c r="F227" s="745"/>
      <c r="G227" s="751">
        <f>SUMIF(_Rates_Tariff_Category,MiscData!$T$4&amp;MiscData!$W$7,_Rates_Demand_Intermediate)</f>
        <v>2.76</v>
      </c>
      <c r="H227" s="752">
        <f>ROUND($D227*G227,0)</f>
        <v>52468</v>
      </c>
      <c r="I227" s="746"/>
      <c r="J227" s="940"/>
      <c r="K227" s="942"/>
    </row>
    <row r="228" spans="1:19" ht="12.75">
      <c r="A228" s="932" t="s">
        <v>1480</v>
      </c>
      <c r="B228" s="745"/>
      <c r="C228" s="755"/>
      <c r="D228" s="755">
        <f>SUMIF(_12MonResults_Rate,MiscData!$U$13,_12MonResults_Demand_Measured_kW_P)+SUMIF(_12MonResults_Rate,MiscData!$U$13,_12MonResults_Demand_OutOfPeriod_P)</f>
        <v>8793019.540000001</v>
      </c>
      <c r="E228" s="745"/>
      <c r="F228" s="745"/>
      <c r="G228" s="751">
        <f>SUMIF(_Rates_Tariff_Category,MiscData!$T$4&amp;MiscData!$W$7,_Rates_Demand_Peak)</f>
        <v>4.26</v>
      </c>
      <c r="H228" s="752">
        <f>ROUND($D228*G228,0)</f>
        <v>37458263</v>
      </c>
      <c r="I228" s="746"/>
      <c r="J228" s="940"/>
      <c r="K228" s="942"/>
    </row>
    <row r="229" spans="1:19" ht="12.75">
      <c r="A229" s="932" t="s">
        <v>1481</v>
      </c>
      <c r="B229" s="745"/>
      <c r="C229" s="757"/>
      <c r="D229" s="755">
        <f>SUMIF(_12MonResults_Rate,MiscData!$U$13,_12MonResults_Demand_Minimum_P)</f>
        <v>24262.399999999998</v>
      </c>
      <c r="E229" s="745"/>
      <c r="F229" s="745"/>
      <c r="G229" s="751">
        <f>SUMIF(_Rates_Tariff_Category,MiscData!$T$4&amp;MiscData!$W$7,_Rates_Demand_Peak)</f>
        <v>4.26</v>
      </c>
      <c r="H229" s="752">
        <f>ROUND($D229*G229,0)</f>
        <v>103358</v>
      </c>
      <c r="I229" s="746"/>
      <c r="J229" s="940"/>
    </row>
    <row r="230" spans="1:19" ht="12.75">
      <c r="A230" s="932" t="s">
        <v>498</v>
      </c>
      <c r="B230" s="745"/>
      <c r="C230" s="757"/>
      <c r="D230" s="755"/>
      <c r="E230" s="757"/>
      <c r="F230" s="745"/>
      <c r="G230" s="756"/>
      <c r="H230" s="757">
        <f>SUMIF(_12MonResults_Rate,MiscData!$U$13,_12MonResults_Revenue_Adj_Demand)</f>
        <v>27639.870000000192</v>
      </c>
      <c r="I230" s="746"/>
    </row>
    <row r="231" spans="1:19" ht="12.75">
      <c r="A231" s="932" t="s">
        <v>688</v>
      </c>
      <c r="B231" s="745"/>
      <c r="C231" s="757"/>
      <c r="D231" s="755">
        <f>ROUND(H231/G231,2)</f>
        <v>44523.7</v>
      </c>
      <c r="E231" s="757"/>
      <c r="F231" s="745"/>
      <c r="G231" s="751">
        <v>1.49</v>
      </c>
      <c r="H231" s="752">
        <f>SUMIF(_12MonResults_Rate,MiscData!$U$13,_12MonResults_Revenue_Red_Cap)</f>
        <v>66340.319999999992</v>
      </c>
      <c r="I231" s="746"/>
    </row>
    <row r="232" spans="1:19" ht="15">
      <c r="A232" s="934" t="s">
        <v>151</v>
      </c>
      <c r="B232" s="745"/>
      <c r="C232" s="772">
        <f>C219</f>
        <v>2698</v>
      </c>
      <c r="D232" s="772">
        <f>SUM(D224:D231)</f>
        <v>27182985.209999997</v>
      </c>
      <c r="E232" s="772">
        <f>SUM(E221:E222)</f>
        <v>4199750975</v>
      </c>
      <c r="F232" s="755"/>
      <c r="G232" s="752"/>
      <c r="H232" s="759">
        <f>SUM(H219:H231)</f>
        <v>237333206.67999998</v>
      </c>
      <c r="I232" s="746"/>
      <c r="K232" s="925"/>
    </row>
    <row r="233" spans="1:19" ht="12.75">
      <c r="A233" s="745"/>
      <c r="B233" s="745"/>
      <c r="C233" s="757"/>
      <c r="D233" s="745"/>
      <c r="E233" s="755" t="str">
        <f>IF(SUMIF(_12MonResults_Rate,MiscData!$U$13,_12MonResults_KWH_Total)=E232,"",SUMIF(_12MonResults_Rate,MiscData!$U$13,_12MonResults_KWH_Total))</f>
        <v/>
      </c>
      <c r="F233" s="745"/>
      <c r="G233" s="745"/>
      <c r="H233" s="755" t="str">
        <f>IF(ABS(SUMIF(_12MonResults_Rate,MiscData!$U$13,_12MonResults_Revenue_Calculated)-H232)&lt;1,"",SUMIF(_12MonResults_Rate,MiscData!$U$13,_12MonResults_Revenue_Calculated))</f>
        <v/>
      </c>
      <c r="I233" s="746"/>
      <c r="K233" s="941"/>
    </row>
    <row r="234" spans="1:19" ht="12.75">
      <c r="A234" s="934"/>
      <c r="B234" s="745"/>
      <c r="C234" s="755"/>
      <c r="D234" s="763"/>
      <c r="E234" s="755"/>
      <c r="F234" s="755" t="s">
        <v>783</v>
      </c>
      <c r="G234" s="776"/>
      <c r="H234" s="765">
        <f>'Sch M-1.3-pg 1'!$J$28</f>
        <v>0.99999999157302932</v>
      </c>
      <c r="I234" s="746"/>
      <c r="J234" s="940"/>
    </row>
    <row r="235" spans="1:19" ht="12.75">
      <c r="A235" s="934"/>
      <c r="B235" s="745"/>
      <c r="C235" s="755"/>
      <c r="D235" s="745"/>
      <c r="E235" s="755"/>
      <c r="F235" s="755"/>
      <c r="G235" s="746"/>
      <c r="H235" s="766"/>
      <c r="I235" s="746"/>
      <c r="J235" s="940"/>
      <c r="K235" s="942"/>
      <c r="L235" s="745"/>
      <c r="N235" s="1015"/>
    </row>
    <row r="236" spans="1:19" ht="15">
      <c r="A236" s="937" t="s">
        <v>155</v>
      </c>
      <c r="B236" s="745"/>
      <c r="C236" s="755"/>
      <c r="D236" s="755"/>
      <c r="E236" s="745"/>
      <c r="F236" s="745"/>
      <c r="G236" s="746"/>
      <c r="H236" s="767">
        <f>ROUND(H232/H234,0)</f>
        <v>237333209</v>
      </c>
      <c r="I236" s="746"/>
      <c r="J236" s="940"/>
      <c r="L236" s="745"/>
      <c r="N236" s="1015"/>
    </row>
    <row r="237" spans="1:19" ht="12.75">
      <c r="A237" s="937"/>
      <c r="B237" s="745"/>
      <c r="C237" s="755"/>
      <c r="D237" s="745"/>
      <c r="E237" s="745"/>
      <c r="F237" s="745"/>
      <c r="G237" s="746"/>
      <c r="H237" s="752"/>
      <c r="I237" s="746"/>
      <c r="J237" s="940"/>
    </row>
    <row r="238" spans="1:19" ht="15">
      <c r="A238" s="937" t="s">
        <v>156</v>
      </c>
      <c r="B238" s="745"/>
      <c r="C238" s="755"/>
      <c r="D238" s="745"/>
      <c r="E238" s="755"/>
      <c r="F238" s="745"/>
      <c r="G238" s="746"/>
      <c r="H238" s="768"/>
      <c r="J238" s="940"/>
      <c r="L238" s="745"/>
      <c r="N238" s="1015"/>
      <c r="O238" s="745"/>
      <c r="Q238" s="935"/>
    </row>
    <row r="239" spans="1:19" ht="15">
      <c r="A239" s="937" t="s">
        <v>157</v>
      </c>
      <c r="B239" s="745"/>
      <c r="C239" s="778"/>
      <c r="D239" s="778"/>
      <c r="E239" s="778"/>
      <c r="F239" s="745"/>
      <c r="G239" s="746"/>
      <c r="H239" s="752">
        <f>SUMIF(_12MonResults_Rate,MiscData!$U$13,_12MonResults_Revenue_FAC)</f>
        <v>8442577.3300000001</v>
      </c>
      <c r="I239" s="923"/>
      <c r="Q239" s="935"/>
      <c r="S239" s="931"/>
    </row>
    <row r="240" spans="1:19" ht="12.75">
      <c r="A240" s="937" t="s">
        <v>158</v>
      </c>
      <c r="B240" s="745"/>
      <c r="C240" s="755"/>
      <c r="D240" s="745"/>
      <c r="E240" s="755"/>
      <c r="F240" s="745"/>
      <c r="G240" s="746"/>
      <c r="H240" s="752">
        <f>SUMIF(_12MonResults_Rate,MiscData!$U$13,_12MonResults_Revenue_DSM)</f>
        <v>4076523.3</v>
      </c>
      <c r="I240" s="923"/>
      <c r="Q240" s="935"/>
      <c r="S240" s="931"/>
    </row>
    <row r="241" spans="1:21" ht="12.75">
      <c r="A241" s="937" t="s">
        <v>159</v>
      </c>
      <c r="B241" s="745"/>
      <c r="C241" s="755"/>
      <c r="D241" s="745"/>
      <c r="E241" s="755"/>
      <c r="F241" s="745"/>
      <c r="G241" s="746"/>
      <c r="H241" s="752">
        <f>SUMIF(_12MonResults_Rate,MiscData!$U$13,_12MonResults_Revenue_ECR)</f>
        <v>9595236.5800000019</v>
      </c>
      <c r="I241" s="924"/>
      <c r="Q241" s="935"/>
      <c r="S241" s="931"/>
    </row>
    <row r="242" spans="1:21" ht="15">
      <c r="A242" s="938" t="s">
        <v>162</v>
      </c>
      <c r="B242" s="745"/>
      <c r="C242" s="755"/>
      <c r="D242" s="745"/>
      <c r="E242" s="755"/>
      <c r="F242" s="745"/>
      <c r="G242" s="746"/>
      <c r="H242" s="759">
        <f>SUM(H239:H241)</f>
        <v>22114337.210000001</v>
      </c>
      <c r="I242" s="948"/>
      <c r="Q242" s="935"/>
      <c r="S242" s="931"/>
    </row>
    <row r="243" spans="1:21" ht="15">
      <c r="B243" s="745"/>
      <c r="C243" s="755"/>
      <c r="D243" s="745"/>
      <c r="E243" s="755"/>
      <c r="F243" s="745"/>
      <c r="G243" s="746"/>
      <c r="H243" s="768"/>
      <c r="I243" s="746"/>
      <c r="N243" s="1015"/>
      <c r="O243" s="745"/>
      <c r="P243" s="745"/>
      <c r="Q243" s="935"/>
      <c r="S243" s="931"/>
    </row>
    <row r="244" spans="1:21" ht="15">
      <c r="A244" s="938" t="s">
        <v>163</v>
      </c>
      <c r="B244" s="745"/>
      <c r="C244" s="755"/>
      <c r="D244" s="745"/>
      <c r="E244" s="755"/>
      <c r="F244" s="745"/>
      <c r="G244" s="746"/>
      <c r="H244" s="769">
        <f>H242+H236</f>
        <v>259447546.21000001</v>
      </c>
      <c r="I244" s="746"/>
      <c r="M244" s="925"/>
      <c r="N244" s="1015"/>
      <c r="O244" s="745"/>
      <c r="P244" s="745"/>
      <c r="Q244" s="935"/>
      <c r="S244" s="931"/>
    </row>
    <row r="245" spans="1:21" ht="15">
      <c r="A245" s="777"/>
      <c r="B245" s="745"/>
      <c r="C245" s="755"/>
      <c r="D245" s="745"/>
      <c r="E245" s="755"/>
      <c r="F245" s="745"/>
      <c r="G245" s="746"/>
      <c r="H245" s="768"/>
      <c r="I245" s="746"/>
      <c r="Q245" s="935"/>
      <c r="S245" s="931"/>
    </row>
    <row r="246" spans="1:21" ht="12.75">
      <c r="A246" s="745"/>
      <c r="B246" s="745"/>
      <c r="C246" s="757"/>
      <c r="D246" s="745"/>
      <c r="E246" s="755" t="str">
        <f>IF(SUMIF(_12MonResults_RateClass,K235,_12MonResults_KWH_Total)=E245,"",SUMIF(_12MonResults_RateClass,K235,_12MonResults_KWH_Total))</f>
        <v/>
      </c>
      <c r="F246" s="745"/>
      <c r="G246" s="745"/>
      <c r="H246" s="757"/>
      <c r="I246" s="746"/>
      <c r="S246" s="931"/>
      <c r="U246" s="931"/>
    </row>
    <row r="247" spans="1:21" ht="12.75">
      <c r="A247" s="1031" t="str">
        <f>'Sch M-1.3-pg 1'!$A$1</f>
        <v>DATA:  __X__ BASE PERIOD  ____  FORECAST PERIOD</v>
      </c>
      <c r="B247" s="922"/>
      <c r="C247" s="922"/>
      <c r="D247" s="922"/>
      <c r="E247" s="922"/>
      <c r="F247" s="922"/>
      <c r="G247" s="922"/>
      <c r="H247" s="922"/>
      <c r="I247" s="923" t="str">
        <f>'Sch M-1.3-pg 1'!$J$1</f>
        <v>Schedule M-1.3</v>
      </c>
    </row>
    <row r="248" spans="1:21" ht="12.75">
      <c r="A248" s="959" t="str">
        <f>'Sch M-1.3-pg 1'!$A$2</f>
        <v>TYPE OF FILING: __X__ ORIGINAL  _____ UPDATED  _____ REVISED</v>
      </c>
      <c r="B248" s="922"/>
      <c r="C248" s="922"/>
      <c r="D248" s="922"/>
      <c r="E248" s="922"/>
      <c r="F248" s="922"/>
      <c r="G248" s="922"/>
      <c r="H248" s="922"/>
      <c r="I248" s="923" t="str">
        <f>"Page "&amp;M248&amp;" of "&amp;N248</f>
        <v>Page 9 of 18</v>
      </c>
      <c r="M248" s="771">
        <f>M212+1</f>
        <v>9</v>
      </c>
      <c r="N248" s="1032">
        <f>$N$2</f>
        <v>18</v>
      </c>
      <c r="S248" s="931"/>
    </row>
    <row r="249" spans="1:21" ht="12.75">
      <c r="A249" s="959" t="str">
        <f>'Sch M-1.3-pg 1'!$A$3</f>
        <v>WORK PAPER REFERENCE NO(S):</v>
      </c>
      <c r="B249" s="922"/>
      <c r="C249" s="922"/>
      <c r="D249" s="922"/>
      <c r="E249" s="922"/>
      <c r="F249" s="922"/>
      <c r="G249" s="922"/>
      <c r="H249" s="922"/>
      <c r="I249" s="924" t="str">
        <f>'Sch M-1.3-pg 1'!$J$3</f>
        <v>Witness:  M.J. Blake</v>
      </c>
      <c r="S249" s="931"/>
    </row>
    <row r="250" spans="1:21" ht="12.75">
      <c r="A250" s="926"/>
      <c r="B250" s="922"/>
      <c r="C250" s="922"/>
      <c r="D250" s="922"/>
      <c r="E250" s="922"/>
      <c r="F250" s="922"/>
      <c r="G250" s="922"/>
      <c r="H250" s="922"/>
      <c r="I250" s="948"/>
    </row>
    <row r="251" spans="1:21" ht="12.75">
      <c r="A251" s="927"/>
      <c r="B251" s="745"/>
      <c r="C251" s="747"/>
      <c r="D251" s="928"/>
      <c r="E251" s="747"/>
      <c r="F251" s="745"/>
      <c r="G251" s="747" t="s">
        <v>144</v>
      </c>
      <c r="H251" s="747" t="s">
        <v>145</v>
      </c>
      <c r="I251" s="746"/>
      <c r="J251" s="940"/>
      <c r="L251" s="745"/>
      <c r="N251" s="1015"/>
    </row>
    <row r="252" spans="1:21" ht="12.75">
      <c r="A252" s="945"/>
      <c r="B252" s="946"/>
      <c r="C252" s="748" t="s">
        <v>100</v>
      </c>
      <c r="D252" s="770" t="s">
        <v>146</v>
      </c>
      <c r="E252" s="749" t="s">
        <v>147</v>
      </c>
      <c r="F252" s="947"/>
      <c r="G252" s="749" t="s">
        <v>148</v>
      </c>
      <c r="H252" s="749" t="s">
        <v>149</v>
      </c>
      <c r="I252" s="746"/>
      <c r="J252" s="940"/>
      <c r="N252" s="1015"/>
    </row>
    <row r="253" spans="1:21" ht="15">
      <c r="A253" s="777"/>
      <c r="B253" s="745"/>
      <c r="C253" s="755"/>
      <c r="D253" s="745"/>
      <c r="E253" s="755"/>
      <c r="F253" s="745"/>
      <c r="G253" s="746"/>
      <c r="H253" s="768"/>
      <c r="I253" s="746"/>
      <c r="J253" s="940"/>
      <c r="L253" s="745"/>
      <c r="N253" s="1015"/>
    </row>
    <row r="254" spans="1:21" ht="12.75">
      <c r="A254" s="777" t="s">
        <v>507</v>
      </c>
      <c r="B254" s="745"/>
      <c r="C254" s="750"/>
      <c r="D254" s="745"/>
      <c r="E254" s="750"/>
      <c r="F254" s="750"/>
      <c r="G254" s="745"/>
      <c r="H254" s="745"/>
      <c r="I254" s="746"/>
      <c r="J254" s="940"/>
      <c r="L254" s="745"/>
      <c r="N254" s="1015"/>
    </row>
    <row r="255" spans="1:21" ht="12.75">
      <c r="A255" s="930" t="s">
        <v>1442</v>
      </c>
      <c r="B255" s="745"/>
      <c r="C255" s="755">
        <f>SUMIF(_12MonResults_Rate,MiscData!$U$14,_12MonResults_CustomerCount)+SUMIF(_12MonResults_Rate,MiscData!$U$14,_12MonResults_CustomerCount_Adj)</f>
        <v>385</v>
      </c>
      <c r="D255" s="745"/>
      <c r="E255" s="745"/>
      <c r="F255" s="745"/>
      <c r="G255" s="751">
        <f>SUMIF(_Rates_Tariff_Category,MiscData!$T$4&amp;MiscData!$W$4,_Rates_BasicServiceCharge)</f>
        <v>750</v>
      </c>
      <c r="H255" s="752">
        <f>ROUND($C255*G255,0)</f>
        <v>288750</v>
      </c>
      <c r="I255" s="746"/>
      <c r="J255" s="940"/>
      <c r="K255" s="942"/>
      <c r="L255" s="745"/>
      <c r="N255" s="1015"/>
    </row>
    <row r="256" spans="1:21" ht="12.75">
      <c r="A256" s="932" t="s">
        <v>493</v>
      </c>
      <c r="B256" s="745"/>
      <c r="C256" s="755"/>
      <c r="D256" s="745"/>
      <c r="E256" s="745"/>
      <c r="F256" s="745"/>
      <c r="G256" s="756"/>
      <c r="H256" s="752">
        <f>SUMIF(_12MonResults_Rate,MiscData!$U$14,_12MonResults_Revenue_Adj_BSC)</f>
        <v>0</v>
      </c>
      <c r="I256" s="746"/>
      <c r="J256" s="940"/>
      <c r="N256" s="1015"/>
    </row>
    <row r="257" spans="1:19" ht="12.75">
      <c r="A257" s="930" t="s">
        <v>1443</v>
      </c>
      <c r="B257" s="745"/>
      <c r="C257" s="745"/>
      <c r="D257" s="745"/>
      <c r="E257" s="755">
        <f>SUMIF(_12MonResults_Rate,MiscData!$U$14,_12MonResults_KWH_Total)+SUMIF(_12MonResults_Rate,MiscData!$U$14,_12MonResults_KWH_OutOfPeriod)</f>
        <v>1603173602</v>
      </c>
      <c r="F257" s="745"/>
      <c r="G257" s="758">
        <f>SUMIF(_Rates_Tariff_Category,MiscData!$T$4&amp;MiscData!$W$4,_Rates_Energy)</f>
        <v>3.6339999999999997E-2</v>
      </c>
      <c r="H257" s="752">
        <f>ROUND($E257*G257,)</f>
        <v>58259329</v>
      </c>
      <c r="I257" s="746"/>
      <c r="J257" s="940"/>
    </row>
    <row r="258" spans="1:19" ht="12.75">
      <c r="A258" s="933" t="s">
        <v>150</v>
      </c>
      <c r="B258" s="745"/>
      <c r="C258" s="757"/>
      <c r="D258" s="757"/>
      <c r="E258" s="757"/>
      <c r="F258" s="745"/>
      <c r="G258" s="756"/>
      <c r="H258" s="752">
        <f>SUMIF(_12MonResults_Rate,MiscData!$U$14,_12MonResults_Revenue_Adj_Energy)</f>
        <v>3.9999999776482588E-2</v>
      </c>
      <c r="I258" s="746"/>
      <c r="J258" s="940"/>
      <c r="L258" s="745"/>
      <c r="N258" s="1015"/>
    </row>
    <row r="259" spans="1:19" ht="12.75">
      <c r="A259" s="937" t="s">
        <v>500</v>
      </c>
      <c r="B259" s="745"/>
      <c r="C259" s="757"/>
      <c r="D259" s="757"/>
      <c r="E259" s="757"/>
      <c r="F259" s="745"/>
      <c r="G259" s="756"/>
      <c r="H259" s="757"/>
      <c r="I259" s="746"/>
      <c r="J259" s="940"/>
      <c r="L259" s="745"/>
      <c r="N259" s="1015"/>
    </row>
    <row r="260" spans="1:19" ht="12.75">
      <c r="A260" s="932" t="s">
        <v>1476</v>
      </c>
      <c r="B260" s="745"/>
      <c r="C260" s="755"/>
      <c r="D260" s="755">
        <f>SUMIF(_12MonResults_Rate,MiscData!$U$14,_12MonResults_Demand_Measured_kW_B)+SUMIF(_12MonResults_Rate,MiscData!$U$14,_12MonResults_Demand_OutOfPeriod_B)</f>
        <v>3603279.9299999997</v>
      </c>
      <c r="E260" s="745"/>
      <c r="F260" s="745"/>
      <c r="G260" s="751">
        <f>SUMIF(_Rates_Tariff_Category,MiscData!$T$4&amp;MiscData!$W$4,_Rates_Demand_Base)</f>
        <v>1.34</v>
      </c>
      <c r="H260" s="752">
        <f t="shared" ref="H260:H265" si="1">ROUND($D260*G260,0)</f>
        <v>4828395</v>
      </c>
      <c r="I260" s="750"/>
      <c r="J260" s="940"/>
      <c r="L260" s="745"/>
      <c r="N260" s="1015"/>
    </row>
    <row r="261" spans="1:19" ht="12.75">
      <c r="A261" s="932" t="s">
        <v>1477</v>
      </c>
      <c r="B261" s="745"/>
      <c r="C261" s="755"/>
      <c r="D261" s="755">
        <f>SUMIF(_12MonResults_Rate,MiscData!$U$14,_12MonResults_Demand_Minimum_B)</f>
        <v>31764.699999999975</v>
      </c>
      <c r="E261" s="745"/>
      <c r="F261" s="745"/>
      <c r="G261" s="751">
        <f>SUMIF(_Rates_Tariff_Category,MiscData!$T$4&amp;MiscData!$W$4,_Rates_Demand_Base)</f>
        <v>1.34</v>
      </c>
      <c r="H261" s="752">
        <f>ROUND($D261*G261,0)</f>
        <v>42565</v>
      </c>
      <c r="I261" s="746"/>
      <c r="J261" s="940"/>
    </row>
    <row r="262" spans="1:19" ht="12.75">
      <c r="A262" s="932" t="s">
        <v>1478</v>
      </c>
      <c r="B262" s="745"/>
      <c r="C262" s="755"/>
      <c r="D262" s="755">
        <f>SUMIF(_12MonResults_Rate,MiscData!$U$14,_12MonResults_Demand_Measured_kW_I)+SUMIF(_12MonResults_Rate,MiscData!$U$14,_12MonResults_Demand_OutOfPeriod_I)</f>
        <v>3497096.3400000003</v>
      </c>
      <c r="E262" s="745"/>
      <c r="F262" s="745"/>
      <c r="G262" s="751">
        <f>SUMIF(_Rates_Tariff_Category,MiscData!$T$4&amp;MiscData!$W$4,_Rates_Demand_Intermediate)</f>
        <v>2.87</v>
      </c>
      <c r="H262" s="752">
        <f t="shared" si="1"/>
        <v>10036666</v>
      </c>
      <c r="I262" s="746"/>
      <c r="J262" s="940"/>
    </row>
    <row r="263" spans="1:19" ht="12.75">
      <c r="A263" s="932" t="s">
        <v>1479</v>
      </c>
      <c r="B263" s="745"/>
      <c r="C263" s="745"/>
      <c r="D263" s="755">
        <f>SUMIF(_12MonResults_Rate,MiscData!$U$14,_12MonResults_Demand_Minimum_I)</f>
        <v>9526.8000000000011</v>
      </c>
      <c r="E263" s="745"/>
      <c r="F263" s="745"/>
      <c r="G263" s="751">
        <f>SUMIF(_Rates_Tariff_Category,MiscData!$T$4&amp;MiscData!$W$4,_Rates_Demand_Intermediate)</f>
        <v>2.87</v>
      </c>
      <c r="H263" s="752">
        <f t="shared" si="1"/>
        <v>27342</v>
      </c>
      <c r="I263" s="746"/>
      <c r="J263" s="940"/>
      <c r="S263" s="931"/>
    </row>
    <row r="264" spans="1:19" ht="12.75">
      <c r="A264" s="932" t="s">
        <v>1480</v>
      </c>
      <c r="B264" s="745"/>
      <c r="C264" s="755"/>
      <c r="D264" s="755">
        <f>SUMIF(_12MonResults_Rate,MiscData!$U$14,_12MonResults_Demand_Measured_kW_P)+SUMIF(_12MonResults_Rate,MiscData!$U$14,_12MonResults_Demand_OutOfPeriod_P)</f>
        <v>3420627.01</v>
      </c>
      <c r="E264" s="745"/>
      <c r="F264" s="745"/>
      <c r="G264" s="751">
        <f>SUMIF(_Rates_Tariff_Category,MiscData!$T$4&amp;MiscData!$W$4,_Rates_Demand_Peak)</f>
        <v>3.97</v>
      </c>
      <c r="H264" s="752">
        <f t="shared" si="1"/>
        <v>13579889</v>
      </c>
      <c r="I264" s="746"/>
      <c r="J264" s="940"/>
      <c r="K264" s="942"/>
    </row>
    <row r="265" spans="1:19" ht="12.75">
      <c r="A265" s="932" t="s">
        <v>1481</v>
      </c>
      <c r="B265" s="745"/>
      <c r="C265" s="757"/>
      <c r="D265" s="755">
        <f>SUMIF(_12MonResults_Rate,MiscData!$U$14,_12MonResults_Demand_Minimum_P)</f>
        <v>5954.0999999999767</v>
      </c>
      <c r="E265" s="745"/>
      <c r="F265" s="745"/>
      <c r="G265" s="751">
        <f>SUMIF(_Rates_Tariff_Category,MiscData!$T$4&amp;MiscData!$W$4,_Rates_Demand_Peak)</f>
        <v>3.97</v>
      </c>
      <c r="H265" s="752">
        <f t="shared" si="1"/>
        <v>23638</v>
      </c>
      <c r="I265" s="746"/>
      <c r="J265" s="940"/>
      <c r="K265" s="942"/>
    </row>
    <row r="266" spans="1:19" ht="12.75">
      <c r="A266" s="932" t="s">
        <v>498</v>
      </c>
      <c r="B266" s="745"/>
      <c r="C266" s="757"/>
      <c r="D266" s="755"/>
      <c r="E266" s="757"/>
      <c r="F266" s="745"/>
      <c r="G266" s="756"/>
      <c r="H266" s="752">
        <f>SUMIF(_12MonResults_Rate,MiscData!$U$14,_12MonResults_Revenue_Adj_Demand)</f>
        <v>335.23000000052156</v>
      </c>
      <c r="I266" s="746"/>
    </row>
    <row r="267" spans="1:19" ht="15">
      <c r="A267" s="934" t="s">
        <v>151</v>
      </c>
      <c r="B267" s="745"/>
      <c r="C267" s="772">
        <f>C255</f>
        <v>385</v>
      </c>
      <c r="D267" s="772">
        <f>SUM(D260:D266)</f>
        <v>10568248.880000001</v>
      </c>
      <c r="E267" s="772">
        <f>SUM(E257:E258)</f>
        <v>1603173602</v>
      </c>
      <c r="F267" s="755"/>
      <c r="G267" s="752"/>
      <c r="H267" s="759">
        <f>SUM(H255:H266)</f>
        <v>87086909.269999996</v>
      </c>
      <c r="I267" s="746"/>
    </row>
    <row r="268" spans="1:19" ht="12.75">
      <c r="A268" s="745"/>
      <c r="B268" s="745"/>
      <c r="C268" s="757"/>
      <c r="D268" s="745"/>
      <c r="E268" s="755" t="str">
        <f>IF(SUMIF(_12MonResults_Rate,MiscData!$U$14,_12MonResults_KWH_Total)=E267,"",SUMIF(_12MonResults_Rate,MiscData!$U$14,_12MonResults_KWH_Total))</f>
        <v/>
      </c>
      <c r="F268" s="745"/>
      <c r="G268" s="745"/>
      <c r="H268" s="755" t="str">
        <f>IF(ABS(SUMIF(_12MonResults_Rate,MiscData!$U$14,_12MonResults_Revenue_Calculated)-H267)&lt;1,"",SUMIF(_12MonResults_Rate,MiscData!$U$14,_12MonResults_Revenue_Calculated))</f>
        <v/>
      </c>
      <c r="I268" s="746"/>
      <c r="K268" s="941"/>
    </row>
    <row r="269" spans="1:19" ht="12.75">
      <c r="A269" s="934"/>
      <c r="B269" s="745"/>
      <c r="C269" s="755"/>
      <c r="D269" s="763"/>
      <c r="E269" s="755"/>
      <c r="F269" s="755" t="s">
        <v>783</v>
      </c>
      <c r="G269" s="776"/>
      <c r="H269" s="765">
        <f>'Sch M-1.3-pg 1'!$J$30</f>
        <v>0.99999998851721805</v>
      </c>
      <c r="I269" s="746"/>
    </row>
    <row r="270" spans="1:19" ht="12.75">
      <c r="A270" s="934"/>
      <c r="B270" s="745"/>
      <c r="C270" s="755"/>
      <c r="D270" s="745"/>
      <c r="E270" s="755"/>
      <c r="F270" s="755"/>
      <c r="G270" s="746"/>
      <c r="H270" s="766"/>
      <c r="I270" s="746"/>
      <c r="J270" s="940"/>
    </row>
    <row r="271" spans="1:19" ht="15">
      <c r="A271" s="937" t="s">
        <v>155</v>
      </c>
      <c r="B271" s="745"/>
      <c r="C271" s="755"/>
      <c r="D271" s="755"/>
      <c r="E271" s="745"/>
      <c r="F271" s="745"/>
      <c r="G271" s="746"/>
      <c r="H271" s="767">
        <f>ROUND(H267/H269,0)</f>
        <v>87086910</v>
      </c>
      <c r="I271" s="746"/>
      <c r="J271" s="940"/>
      <c r="K271" s="942"/>
      <c r="L271" s="745"/>
      <c r="M271" s="925"/>
      <c r="N271" s="1015"/>
    </row>
    <row r="272" spans="1:19" ht="12.75">
      <c r="A272" s="937"/>
      <c r="B272" s="745"/>
      <c r="C272" s="755"/>
      <c r="D272" s="745"/>
      <c r="E272" s="745"/>
      <c r="F272" s="745"/>
      <c r="G272" s="746"/>
      <c r="H272" s="752"/>
      <c r="I272" s="746"/>
      <c r="J272" s="940"/>
      <c r="L272" s="745"/>
      <c r="M272" s="925"/>
      <c r="N272" s="1015"/>
    </row>
    <row r="273" spans="1:21" ht="15">
      <c r="A273" s="937" t="s">
        <v>156</v>
      </c>
      <c r="B273" s="745"/>
      <c r="C273" s="755"/>
      <c r="D273" s="745"/>
      <c r="E273" s="755"/>
      <c r="F273" s="745"/>
      <c r="G273" s="746"/>
      <c r="H273" s="768"/>
      <c r="I273" s="746"/>
      <c r="J273" s="940"/>
      <c r="M273" s="925"/>
    </row>
    <row r="274" spans="1:21" ht="15">
      <c r="A274" s="937" t="s">
        <v>157</v>
      </c>
      <c r="B274" s="745"/>
      <c r="C274" s="778"/>
      <c r="D274" s="778"/>
      <c r="E274" s="778"/>
      <c r="F274" s="745"/>
      <c r="G274" s="746"/>
      <c r="H274" s="752">
        <f>SUMIF(_12MonResults_Rate,MiscData!$U$14,_12MonResults_Revenue_FAC)+1</f>
        <v>3258254.49</v>
      </c>
      <c r="I274" s="746"/>
      <c r="J274" s="940"/>
      <c r="L274" s="745"/>
      <c r="M274" s="925"/>
      <c r="N274" s="1015"/>
    </row>
    <row r="275" spans="1:21" ht="12.75">
      <c r="A275" s="937" t="s">
        <v>158</v>
      </c>
      <c r="B275" s="745"/>
      <c r="C275" s="755"/>
      <c r="D275" s="745"/>
      <c r="E275" s="755"/>
      <c r="F275" s="745"/>
      <c r="G275" s="746"/>
      <c r="H275" s="752">
        <f>SUMIF(_12MonResults_Rate,MiscData!$U$14,_12MonResults_Revenue_DSM)</f>
        <v>0</v>
      </c>
      <c r="I275" s="923"/>
      <c r="Q275" s="935"/>
      <c r="S275" s="931"/>
    </row>
    <row r="276" spans="1:21" ht="12.75">
      <c r="A276" s="937" t="s">
        <v>159</v>
      </c>
      <c r="B276" s="745"/>
      <c r="C276" s="755"/>
      <c r="D276" s="745"/>
      <c r="E276" s="755"/>
      <c r="F276" s="745"/>
      <c r="G276" s="746"/>
      <c r="H276" s="752">
        <f>SUMIF(_12MonResults_Rate,MiscData!$U$14,_12MonResults_Revenue_ECR)</f>
        <v>3540142.44</v>
      </c>
      <c r="I276" s="923"/>
      <c r="Q276" s="935"/>
      <c r="S276" s="931"/>
    </row>
    <row r="277" spans="1:21" ht="15">
      <c r="A277" s="938" t="s">
        <v>162</v>
      </c>
      <c r="B277" s="745"/>
      <c r="C277" s="755"/>
      <c r="D277" s="745"/>
      <c r="E277" s="755"/>
      <c r="F277" s="745"/>
      <c r="G277" s="746"/>
      <c r="H277" s="759">
        <f>SUM(H274:H276)-1</f>
        <v>6798395.9299999997</v>
      </c>
      <c r="I277" s="924"/>
      <c r="Q277" s="935"/>
      <c r="S277" s="931"/>
    </row>
    <row r="278" spans="1:21" ht="15">
      <c r="B278" s="745"/>
      <c r="C278" s="755"/>
      <c r="D278" s="745"/>
      <c r="E278" s="755"/>
      <c r="F278" s="745"/>
      <c r="G278" s="746"/>
      <c r="H278" s="768"/>
      <c r="I278" s="948"/>
      <c r="Q278" s="935"/>
      <c r="S278" s="931"/>
    </row>
    <row r="279" spans="1:21" ht="15">
      <c r="A279" s="938" t="s">
        <v>163</v>
      </c>
      <c r="B279" s="745"/>
      <c r="C279" s="755"/>
      <c r="D279" s="745"/>
      <c r="E279" s="755"/>
      <c r="F279" s="745"/>
      <c r="G279" s="746"/>
      <c r="H279" s="769">
        <f>H277+H271</f>
        <v>93885305.930000007</v>
      </c>
      <c r="I279" s="746"/>
      <c r="N279" s="1015"/>
      <c r="O279" s="745"/>
      <c r="P279" s="745"/>
      <c r="Q279" s="935"/>
      <c r="S279" s="931"/>
    </row>
    <row r="280" spans="1:21" ht="15">
      <c r="A280" s="777"/>
      <c r="B280" s="745"/>
      <c r="C280" s="755"/>
      <c r="D280" s="745"/>
      <c r="E280" s="755"/>
      <c r="F280" s="745"/>
      <c r="G280" s="746"/>
      <c r="H280" s="768"/>
      <c r="I280" s="746"/>
      <c r="M280" s="925"/>
      <c r="N280" s="1015"/>
      <c r="O280" s="745"/>
      <c r="P280" s="745"/>
      <c r="Q280" s="935"/>
      <c r="S280" s="931"/>
    </row>
    <row r="281" spans="1:21" ht="15">
      <c r="A281" s="777"/>
      <c r="B281" s="745"/>
      <c r="C281" s="755"/>
      <c r="D281" s="745"/>
      <c r="E281" s="755"/>
      <c r="F281" s="745"/>
      <c r="G281" s="746"/>
      <c r="H281" s="768"/>
      <c r="I281" s="746"/>
      <c r="Q281" s="935"/>
      <c r="S281" s="931"/>
    </row>
    <row r="282" spans="1:21" ht="12.75">
      <c r="A282" s="1031" t="str">
        <f>'Sch M-1.3-pg 1'!$A$1</f>
        <v>DATA:  __X__ BASE PERIOD  ____  FORECAST PERIOD</v>
      </c>
      <c r="B282" s="922"/>
      <c r="C282" s="922"/>
      <c r="D282" s="922"/>
      <c r="E282" s="922"/>
      <c r="F282" s="922"/>
      <c r="G282" s="922"/>
      <c r="H282" s="922"/>
      <c r="I282" s="923" t="str">
        <f>'Sch M-1.3-pg 1'!$J$1</f>
        <v>Schedule M-1.3</v>
      </c>
      <c r="S282" s="931"/>
      <c r="U282" s="931"/>
    </row>
    <row r="283" spans="1:21" ht="12.75">
      <c r="A283" s="959" t="str">
        <f>'Sch M-1.3-pg 1'!$A$2</f>
        <v>TYPE OF FILING: __X__ ORIGINAL  _____ UPDATED  _____ REVISED</v>
      </c>
      <c r="B283" s="922"/>
      <c r="C283" s="922"/>
      <c r="D283" s="922"/>
      <c r="E283" s="922"/>
      <c r="F283" s="922"/>
      <c r="G283" s="922"/>
      <c r="H283" s="922"/>
      <c r="I283" s="923" t="str">
        <f>"Page "&amp;M283&amp;" of "&amp;N283</f>
        <v>Page 10 of 18</v>
      </c>
      <c r="M283" s="771">
        <f>M248+1</f>
        <v>10</v>
      </c>
      <c r="N283" s="1032">
        <f>$N$2</f>
        <v>18</v>
      </c>
    </row>
    <row r="284" spans="1:21" ht="12.75">
      <c r="A284" s="959" t="str">
        <f>'Sch M-1.3-pg 1'!$A$3</f>
        <v>WORK PAPER REFERENCE NO(S):</v>
      </c>
      <c r="B284" s="922"/>
      <c r="C284" s="922"/>
      <c r="D284" s="922"/>
      <c r="E284" s="922"/>
      <c r="F284" s="922"/>
      <c r="G284" s="922"/>
      <c r="H284" s="922"/>
      <c r="I284" s="924" t="str">
        <f>'Sch M-1.3-pg 1'!$J$3</f>
        <v>Witness:  M.J. Blake</v>
      </c>
      <c r="S284" s="931"/>
    </row>
    <row r="285" spans="1:21" ht="12.75">
      <c r="A285" s="926"/>
      <c r="B285" s="922"/>
      <c r="C285" s="922"/>
      <c r="D285" s="922"/>
      <c r="E285" s="922"/>
      <c r="F285" s="922"/>
      <c r="G285" s="922"/>
      <c r="H285" s="922"/>
      <c r="I285" s="948"/>
      <c r="S285" s="931"/>
    </row>
    <row r="286" spans="1:21" ht="12.75">
      <c r="A286" s="927"/>
      <c r="B286" s="745"/>
      <c r="C286" s="747"/>
      <c r="D286" s="928"/>
      <c r="E286" s="747"/>
      <c r="F286" s="745"/>
      <c r="G286" s="747" t="s">
        <v>144</v>
      </c>
      <c r="H286" s="747" t="s">
        <v>145</v>
      </c>
      <c r="I286" s="746"/>
      <c r="J286" s="940"/>
      <c r="K286" s="940"/>
    </row>
    <row r="287" spans="1:21" ht="12.75">
      <c r="A287" s="945"/>
      <c r="B287" s="946"/>
      <c r="C287" s="748" t="s">
        <v>100</v>
      </c>
      <c r="D287" s="770" t="s">
        <v>146</v>
      </c>
      <c r="E287" s="749" t="s">
        <v>147</v>
      </c>
      <c r="F287" s="947"/>
      <c r="G287" s="749" t="s">
        <v>148</v>
      </c>
      <c r="H287" s="749" t="s">
        <v>149</v>
      </c>
      <c r="I287" s="746"/>
      <c r="J287" s="940"/>
      <c r="L287" s="745"/>
      <c r="M287" s="925"/>
      <c r="N287" s="1015"/>
    </row>
    <row r="288" spans="1:21" ht="12.75">
      <c r="I288" s="746"/>
      <c r="J288" s="940"/>
      <c r="L288" s="745"/>
      <c r="M288" s="925"/>
      <c r="N288" s="1015"/>
    </row>
    <row r="289" spans="1:19" ht="12.75">
      <c r="A289" s="777" t="s">
        <v>905</v>
      </c>
      <c r="B289" s="745"/>
      <c r="C289" s="750"/>
      <c r="D289" s="745"/>
      <c r="E289" s="750"/>
      <c r="F289" s="750"/>
      <c r="G289" s="745"/>
      <c r="H289" s="745"/>
      <c r="I289" s="746"/>
      <c r="J289" s="940"/>
      <c r="L289" s="745"/>
      <c r="M289" s="925"/>
      <c r="N289" s="1015"/>
    </row>
    <row r="290" spans="1:19" ht="12.75">
      <c r="A290" s="930" t="s">
        <v>1442</v>
      </c>
      <c r="B290" s="745"/>
      <c r="C290" s="755">
        <v>0</v>
      </c>
      <c r="D290" s="745"/>
      <c r="E290" s="745"/>
      <c r="F290" s="745"/>
      <c r="G290" s="751">
        <v>750</v>
      </c>
      <c r="H290" s="752">
        <f>ROUND($C290*G290,0)</f>
        <v>0</v>
      </c>
      <c r="I290" s="746"/>
      <c r="J290" s="940"/>
      <c r="L290" s="745"/>
      <c r="M290" s="925"/>
      <c r="N290" s="1015"/>
    </row>
    <row r="291" spans="1:19" ht="12.75">
      <c r="A291" s="932" t="s">
        <v>493</v>
      </c>
      <c r="B291" s="745"/>
      <c r="C291" s="755"/>
      <c r="D291" s="745"/>
      <c r="E291" s="745"/>
      <c r="F291" s="745"/>
      <c r="G291" s="756"/>
      <c r="H291" s="752">
        <v>0</v>
      </c>
      <c r="I291" s="746"/>
      <c r="J291" s="940"/>
      <c r="K291" s="942"/>
      <c r="N291" s="1015"/>
    </row>
    <row r="292" spans="1:19" ht="12.75">
      <c r="A292" s="930" t="s">
        <v>1443</v>
      </c>
      <c r="B292" s="745"/>
      <c r="C292" s="745"/>
      <c r="D292" s="745"/>
      <c r="E292" s="755">
        <v>0</v>
      </c>
      <c r="F292" s="745"/>
      <c r="G292" s="758">
        <v>3.6429999999999997E-2</v>
      </c>
      <c r="H292" s="752">
        <f>ROUND($E292*G292,)</f>
        <v>0</v>
      </c>
      <c r="I292" s="746"/>
      <c r="J292" s="940"/>
    </row>
    <row r="293" spans="1:19" ht="12.75">
      <c r="A293" s="933" t="s">
        <v>150</v>
      </c>
      <c r="B293" s="745"/>
      <c r="C293" s="757"/>
      <c r="D293" s="757"/>
      <c r="E293" s="757"/>
      <c r="F293" s="745"/>
      <c r="G293" s="756"/>
      <c r="H293" s="752">
        <v>0</v>
      </c>
      <c r="I293" s="746"/>
      <c r="J293" s="940"/>
      <c r="L293" s="745"/>
      <c r="M293" s="925"/>
      <c r="N293" s="1015"/>
    </row>
    <row r="294" spans="1:19" ht="12.75">
      <c r="A294" s="937" t="s">
        <v>500</v>
      </c>
      <c r="B294" s="745"/>
      <c r="C294" s="757"/>
      <c r="D294" s="757"/>
      <c r="E294" s="757"/>
      <c r="F294" s="745"/>
      <c r="G294" s="756"/>
      <c r="H294" s="757"/>
      <c r="I294" s="746"/>
      <c r="J294" s="940"/>
      <c r="L294" s="745"/>
      <c r="M294" s="925"/>
      <c r="N294" s="1015"/>
    </row>
    <row r="295" spans="1:19" ht="12.75">
      <c r="A295" s="943" t="s">
        <v>501</v>
      </c>
      <c r="B295" s="745"/>
      <c r="C295" s="755"/>
      <c r="D295" s="755">
        <v>0</v>
      </c>
      <c r="E295" s="745"/>
      <c r="F295" s="745"/>
      <c r="G295" s="751">
        <v>1.8</v>
      </c>
      <c r="H295" s="752">
        <f t="shared" ref="H295:H300" si="2">ROUND($D295*G295,0)</f>
        <v>0</v>
      </c>
      <c r="I295" s="746"/>
      <c r="J295" s="940"/>
      <c r="L295" s="745"/>
      <c r="M295" s="925"/>
      <c r="N295" s="1015"/>
    </row>
    <row r="296" spans="1:19" ht="12.75">
      <c r="A296" s="943" t="s">
        <v>804</v>
      </c>
      <c r="B296" s="745"/>
      <c r="C296" s="755"/>
      <c r="D296" s="755">
        <v>0</v>
      </c>
      <c r="E296" s="745"/>
      <c r="F296" s="745"/>
      <c r="G296" s="751">
        <v>1.8</v>
      </c>
      <c r="H296" s="752">
        <f t="shared" si="2"/>
        <v>0</v>
      </c>
      <c r="I296" s="746"/>
      <c r="J296" s="940"/>
      <c r="M296" s="925"/>
    </row>
    <row r="297" spans="1:19" ht="12.75">
      <c r="A297" s="943" t="s">
        <v>503</v>
      </c>
      <c r="B297" s="745"/>
      <c r="C297" s="755"/>
      <c r="D297" s="755">
        <v>0</v>
      </c>
      <c r="E297" s="745"/>
      <c r="F297" s="745"/>
      <c r="G297" s="751">
        <v>1.52</v>
      </c>
      <c r="H297" s="752">
        <f t="shared" si="2"/>
        <v>0</v>
      </c>
      <c r="I297" s="746"/>
      <c r="J297" s="940"/>
      <c r="M297" s="925"/>
    </row>
    <row r="298" spans="1:19" ht="12.75">
      <c r="A298" s="943" t="s">
        <v>805</v>
      </c>
      <c r="B298" s="745"/>
      <c r="C298" s="745"/>
      <c r="D298" s="755">
        <v>0</v>
      </c>
      <c r="E298" s="745"/>
      <c r="F298" s="745"/>
      <c r="G298" s="751">
        <v>1.52</v>
      </c>
      <c r="H298" s="752">
        <f t="shared" si="2"/>
        <v>0</v>
      </c>
      <c r="I298" s="746"/>
      <c r="J298" s="940"/>
    </row>
    <row r="299" spans="1:19" ht="12.75">
      <c r="A299" s="943" t="s">
        <v>504</v>
      </c>
      <c r="B299" s="745"/>
      <c r="C299" s="755"/>
      <c r="D299" s="755">
        <v>0</v>
      </c>
      <c r="E299" s="745"/>
      <c r="F299" s="745"/>
      <c r="G299" s="751">
        <v>2.41</v>
      </c>
      <c r="H299" s="752">
        <f t="shared" si="2"/>
        <v>0</v>
      </c>
      <c r="I299" s="746"/>
      <c r="J299" s="940"/>
      <c r="M299" s="925"/>
      <c r="S299" s="931"/>
    </row>
    <row r="300" spans="1:19" ht="12.75">
      <c r="A300" s="932" t="s">
        <v>1449</v>
      </c>
      <c r="B300" s="745"/>
      <c r="C300" s="757"/>
      <c r="D300" s="755">
        <v>0</v>
      </c>
      <c r="E300" s="745"/>
      <c r="F300" s="745"/>
      <c r="G300" s="751">
        <v>2.41</v>
      </c>
      <c r="H300" s="752">
        <f t="shared" si="2"/>
        <v>0</v>
      </c>
      <c r="I300" s="746"/>
      <c r="J300" s="940"/>
      <c r="K300" s="942"/>
    </row>
    <row r="301" spans="1:19" ht="12.75">
      <c r="A301" s="932" t="s">
        <v>498</v>
      </c>
      <c r="B301" s="745"/>
      <c r="C301" s="757"/>
      <c r="D301" s="755"/>
      <c r="E301" s="757"/>
      <c r="F301" s="745"/>
      <c r="G301" s="756"/>
      <c r="H301" s="752">
        <v>0</v>
      </c>
      <c r="I301" s="746"/>
      <c r="K301" s="942"/>
    </row>
    <row r="302" spans="1:19" ht="15">
      <c r="A302" s="934" t="s">
        <v>151</v>
      </c>
      <c r="B302" s="745"/>
      <c r="C302" s="772">
        <f>C290</f>
        <v>0</v>
      </c>
      <c r="D302" s="772">
        <f>SUM(D295:D301)</f>
        <v>0</v>
      </c>
      <c r="E302" s="772">
        <f>SUM(E292:E293)</f>
        <v>0</v>
      </c>
      <c r="F302" s="755"/>
      <c r="G302" s="752"/>
      <c r="H302" s="759">
        <f>SUM(H290:H301)</f>
        <v>0</v>
      </c>
      <c r="I302" s="746"/>
    </row>
    <row r="303" spans="1:19" ht="12.75">
      <c r="A303" s="745"/>
      <c r="B303" s="745"/>
      <c r="C303" s="757"/>
      <c r="D303" s="745"/>
      <c r="E303" s="755"/>
      <c r="F303" s="745"/>
      <c r="G303" s="745"/>
      <c r="H303" s="755"/>
      <c r="I303" s="746"/>
    </row>
    <row r="304" spans="1:19" ht="12.75">
      <c r="A304" s="934"/>
      <c r="B304" s="745"/>
      <c r="C304" s="755"/>
      <c r="D304" s="763"/>
      <c r="E304" s="755"/>
      <c r="F304" s="755" t="s">
        <v>783</v>
      </c>
      <c r="G304" s="776"/>
      <c r="H304" s="765">
        <v>1</v>
      </c>
      <c r="I304" s="746"/>
    </row>
    <row r="305" spans="1:19" ht="12.75">
      <c r="A305" s="934"/>
      <c r="B305" s="745"/>
      <c r="C305" s="755"/>
      <c r="D305" s="745"/>
      <c r="E305" s="755"/>
      <c r="F305" s="755"/>
      <c r="G305" s="746"/>
      <c r="H305" s="766"/>
      <c r="I305" s="746"/>
    </row>
    <row r="306" spans="1:19" ht="15">
      <c r="A306" s="937" t="s">
        <v>155</v>
      </c>
      <c r="B306" s="745"/>
      <c r="C306" s="755"/>
      <c r="D306" s="755"/>
      <c r="E306" s="745"/>
      <c r="F306" s="745"/>
      <c r="G306" s="746"/>
      <c r="H306" s="767">
        <f>ROUND(H302/H304,0)</f>
        <v>0</v>
      </c>
      <c r="I306" s="746"/>
      <c r="K306" s="942"/>
      <c r="L306" s="745"/>
      <c r="M306" s="925"/>
      <c r="N306" s="1015"/>
    </row>
    <row r="307" spans="1:19" ht="12.75">
      <c r="A307" s="937"/>
      <c r="B307" s="745"/>
      <c r="C307" s="755"/>
      <c r="D307" s="745"/>
      <c r="E307" s="745"/>
      <c r="F307" s="745"/>
      <c r="G307" s="746"/>
      <c r="H307" s="752"/>
      <c r="I307" s="746"/>
      <c r="L307" s="745"/>
      <c r="M307" s="925"/>
      <c r="N307" s="1015"/>
    </row>
    <row r="308" spans="1:19" ht="15">
      <c r="A308" s="937" t="s">
        <v>156</v>
      </c>
      <c r="B308" s="745"/>
      <c r="C308" s="755"/>
      <c r="D308" s="745"/>
      <c r="E308" s="755"/>
      <c r="F308" s="745"/>
      <c r="G308" s="746"/>
      <c r="H308" s="768"/>
      <c r="I308" s="746"/>
      <c r="M308" s="925"/>
    </row>
    <row r="309" spans="1:19" ht="15">
      <c r="A309" s="937" t="s">
        <v>157</v>
      </c>
      <c r="B309" s="745"/>
      <c r="C309" s="778"/>
      <c r="D309" s="778"/>
      <c r="E309" s="778"/>
      <c r="F309" s="745"/>
      <c r="G309" s="746"/>
      <c r="H309" s="752">
        <v>0</v>
      </c>
      <c r="I309" s="746"/>
      <c r="L309" s="745"/>
      <c r="M309" s="925"/>
      <c r="N309" s="1015"/>
    </row>
    <row r="310" spans="1:19" ht="12.75">
      <c r="A310" s="937" t="s">
        <v>158</v>
      </c>
      <c r="B310" s="745"/>
      <c r="C310" s="755"/>
      <c r="D310" s="745"/>
      <c r="E310" s="755"/>
      <c r="F310" s="745"/>
      <c r="G310" s="746"/>
      <c r="H310" s="752">
        <v>0</v>
      </c>
      <c r="I310" s="923"/>
      <c r="Q310" s="935"/>
      <c r="S310" s="931"/>
    </row>
    <row r="311" spans="1:19" ht="12.75">
      <c r="A311" s="937" t="s">
        <v>159</v>
      </c>
      <c r="B311" s="745"/>
      <c r="C311" s="755"/>
      <c r="D311" s="745"/>
      <c r="E311" s="755"/>
      <c r="F311" s="745"/>
      <c r="G311" s="746"/>
      <c r="H311" s="752">
        <v>0</v>
      </c>
      <c r="I311" s="923"/>
      <c r="Q311" s="935"/>
      <c r="S311" s="931"/>
    </row>
    <row r="312" spans="1:19" ht="15">
      <c r="A312" s="938" t="s">
        <v>162</v>
      </c>
      <c r="B312" s="745"/>
      <c r="C312" s="755"/>
      <c r="D312" s="745"/>
      <c r="E312" s="755"/>
      <c r="F312" s="745"/>
      <c r="G312" s="746"/>
      <c r="H312" s="759">
        <f>SUM(H309:H311)</f>
        <v>0</v>
      </c>
      <c r="I312" s="924"/>
      <c r="Q312" s="935"/>
      <c r="S312" s="931"/>
    </row>
    <row r="313" spans="1:19" ht="15">
      <c r="B313" s="745"/>
      <c r="C313" s="755"/>
      <c r="D313" s="745"/>
      <c r="E313" s="755"/>
      <c r="F313" s="745"/>
      <c r="G313" s="746"/>
      <c r="H313" s="768"/>
      <c r="I313" s="948"/>
      <c r="Q313" s="935"/>
      <c r="S313" s="931"/>
    </row>
    <row r="314" spans="1:19" ht="15">
      <c r="A314" s="938" t="s">
        <v>163</v>
      </c>
      <c r="B314" s="745"/>
      <c r="C314" s="755"/>
      <c r="D314" s="745"/>
      <c r="E314" s="755"/>
      <c r="F314" s="745"/>
      <c r="G314" s="746"/>
      <c r="H314" s="769">
        <f>H312+H306</f>
        <v>0</v>
      </c>
      <c r="I314" s="746"/>
      <c r="N314" s="1015"/>
      <c r="O314" s="745"/>
      <c r="P314" s="745"/>
      <c r="Q314" s="935"/>
      <c r="S314" s="931"/>
    </row>
    <row r="315" spans="1:19" ht="15">
      <c r="A315" s="777"/>
      <c r="B315" s="745"/>
      <c r="C315" s="755"/>
      <c r="D315" s="745"/>
      <c r="E315" s="755"/>
      <c r="F315" s="745"/>
      <c r="G315" s="746"/>
      <c r="H315" s="768"/>
      <c r="I315" s="746"/>
      <c r="M315" s="925"/>
      <c r="N315" s="1015"/>
      <c r="O315" s="745"/>
      <c r="P315" s="745"/>
      <c r="Q315" s="935"/>
      <c r="S315" s="931"/>
    </row>
    <row r="316" spans="1:19" ht="15">
      <c r="A316" s="777"/>
      <c r="B316" s="745"/>
      <c r="C316" s="755"/>
      <c r="D316" s="745"/>
      <c r="E316" s="755"/>
      <c r="F316" s="745"/>
      <c r="G316" s="746"/>
      <c r="H316" s="768"/>
      <c r="I316" s="746"/>
      <c r="Q316" s="935"/>
      <c r="S316" s="931"/>
    </row>
    <row r="317" spans="1:19" ht="12.75">
      <c r="A317" s="1031" t="str">
        <f>'Sch M-1.3-pg 1'!$A$1</f>
        <v>DATA:  __X__ BASE PERIOD  ____  FORECAST PERIOD</v>
      </c>
      <c r="B317" s="922"/>
      <c r="C317" s="922"/>
      <c r="D317" s="922"/>
      <c r="E317" s="922"/>
      <c r="F317" s="922"/>
      <c r="G317" s="922"/>
      <c r="H317" s="922"/>
      <c r="I317" s="923" t="str">
        <f>'Sch M-1.3-pg 1'!$J$1</f>
        <v>Schedule M-1.3</v>
      </c>
    </row>
    <row r="318" spans="1:19" ht="12.75">
      <c r="A318" s="959" t="str">
        <f>'Sch M-1.3-pg 1'!$A$2</f>
        <v>TYPE OF FILING: __X__ ORIGINAL  _____ UPDATED  _____ REVISED</v>
      </c>
      <c r="B318" s="922"/>
      <c r="C318" s="922"/>
      <c r="D318" s="922"/>
      <c r="E318" s="922"/>
      <c r="F318" s="922"/>
      <c r="G318" s="922"/>
      <c r="H318" s="922"/>
      <c r="I318" s="923" t="str">
        <f>"Page "&amp;M318&amp;" of "&amp;N318</f>
        <v>Page 11 of 18</v>
      </c>
      <c r="M318" s="771">
        <f>M283+1</f>
        <v>11</v>
      </c>
      <c r="N318" s="1032">
        <f>$N$2</f>
        <v>18</v>
      </c>
    </row>
    <row r="319" spans="1:19" ht="12.75">
      <c r="A319" s="959" t="str">
        <f>'Sch M-1.3-pg 1'!$A$3</f>
        <v>WORK PAPER REFERENCE NO(S):</v>
      </c>
      <c r="B319" s="922"/>
      <c r="C319" s="922"/>
      <c r="D319" s="922"/>
      <c r="E319" s="922"/>
      <c r="F319" s="922"/>
      <c r="G319" s="922"/>
      <c r="H319" s="922"/>
      <c r="I319" s="924" t="str">
        <f>'Sch M-1.3-pg 1'!$J$3</f>
        <v>Witness:  M.J. Blake</v>
      </c>
      <c r="S319" s="931"/>
    </row>
    <row r="320" spans="1:19" ht="12.75">
      <c r="A320" s="926"/>
      <c r="B320" s="922"/>
      <c r="C320" s="922"/>
      <c r="D320" s="922"/>
      <c r="E320" s="922"/>
      <c r="F320" s="922"/>
      <c r="G320" s="922"/>
      <c r="H320" s="922"/>
      <c r="I320" s="948"/>
      <c r="S320" s="931"/>
    </row>
    <row r="321" spans="1:19" ht="12.75">
      <c r="A321" s="927"/>
      <c r="B321" s="745"/>
      <c r="C321" s="747"/>
      <c r="D321" s="928"/>
      <c r="E321" s="747"/>
      <c r="F321" s="745"/>
      <c r="G321" s="747" t="s">
        <v>144</v>
      </c>
      <c r="H321" s="747" t="s">
        <v>145</v>
      </c>
      <c r="I321" s="746"/>
    </row>
    <row r="322" spans="1:19" ht="12.75">
      <c r="A322" s="945"/>
      <c r="B322" s="946"/>
      <c r="C322" s="748" t="s">
        <v>100</v>
      </c>
      <c r="D322" s="770" t="s">
        <v>146</v>
      </c>
      <c r="E322" s="749" t="s">
        <v>147</v>
      </c>
      <c r="F322" s="947"/>
      <c r="G322" s="749" t="s">
        <v>148</v>
      </c>
      <c r="H322" s="749" t="s">
        <v>149</v>
      </c>
      <c r="I322" s="746"/>
      <c r="K322" s="925"/>
      <c r="M322" s="925"/>
      <c r="N322" s="1015"/>
    </row>
    <row r="323" spans="1:19" ht="12.75">
      <c r="A323" s="745"/>
      <c r="B323" s="745"/>
      <c r="C323" s="757"/>
      <c r="D323" s="745"/>
      <c r="E323" s="755"/>
      <c r="F323" s="745"/>
      <c r="G323" s="745"/>
      <c r="H323" s="757"/>
      <c r="I323" s="746"/>
      <c r="K323" s="925"/>
      <c r="M323" s="925"/>
      <c r="N323" s="1015"/>
    </row>
    <row r="324" spans="1:19" ht="12.75">
      <c r="A324" s="777" t="s">
        <v>906</v>
      </c>
      <c r="B324" s="745"/>
      <c r="C324" s="757"/>
      <c r="D324" s="745"/>
      <c r="E324" s="755"/>
      <c r="F324" s="745"/>
      <c r="G324" s="745"/>
      <c r="H324" s="757"/>
      <c r="I324" s="746"/>
      <c r="K324" s="925"/>
      <c r="M324" s="925"/>
      <c r="N324" s="1015"/>
    </row>
    <row r="325" spans="1:19" ht="12.75">
      <c r="A325" s="930" t="s">
        <v>1442</v>
      </c>
      <c r="B325" s="745"/>
      <c r="C325" s="755">
        <f>SUMIF(_12MonResults_Rate,MiscData!$U$15,_12MonResults_CustomerCount)+SUMIF(_12MonResults_Rate,MiscData!$U$15,_12MonResults_CustomerCount_Adj)</f>
        <v>12</v>
      </c>
      <c r="D325" s="745"/>
      <c r="E325" s="745"/>
      <c r="F325" s="745"/>
      <c r="G325" s="751">
        <f>SUMIF(_Rates_Tariff_Category,MiscData!$T$4&amp;MiscData!$W$36,_Rates_BasicServiceCharge)</f>
        <v>750</v>
      </c>
      <c r="H325" s="752">
        <f>ROUND($C325*G325,0)</f>
        <v>9000</v>
      </c>
      <c r="I325" s="746"/>
      <c r="K325" s="925"/>
      <c r="M325" s="925"/>
      <c r="N325" s="1015"/>
    </row>
    <row r="326" spans="1:19" ht="12.75">
      <c r="A326" s="932" t="s">
        <v>493</v>
      </c>
      <c r="B326" s="745"/>
      <c r="C326" s="755"/>
      <c r="D326" s="745"/>
      <c r="E326" s="745"/>
      <c r="F326" s="745"/>
      <c r="G326" s="756"/>
      <c r="H326" s="752">
        <f>SUMIF(_12MonResults_Rate,MiscData!$U$15,_12MonResults_Revenue_Adj_BSC)</f>
        <v>0</v>
      </c>
      <c r="I326" s="746"/>
    </row>
    <row r="327" spans="1:19" ht="12.75">
      <c r="A327" s="930" t="s">
        <v>1443</v>
      </c>
      <c r="B327" s="745"/>
      <c r="C327" s="745"/>
      <c r="D327" s="745"/>
      <c r="E327" s="755">
        <f>SUMIF(_12MonResults_Rate,MiscData!$U$15,_12MonResults_KWH_Total)+SUMIF(_12MonResults_Rate,MiscData!$U$15,_12MonResults_KWH_OutOfPeriod)</f>
        <v>565207068</v>
      </c>
      <c r="F327" s="745"/>
      <c r="G327" s="758">
        <f>SUMIF(_Rates_Tariff_Category,MiscData!$T$4&amp;MiscData!$W$36,_Rates_Energy)</f>
        <v>3.261E-2</v>
      </c>
      <c r="H327" s="752">
        <f>ROUND($E327*G327,0)+1</f>
        <v>18431403</v>
      </c>
      <c r="I327" s="746"/>
      <c r="M327" s="925"/>
      <c r="N327" s="1015"/>
    </row>
    <row r="328" spans="1:19" ht="12.75">
      <c r="A328" s="933" t="s">
        <v>150</v>
      </c>
      <c r="B328" s="745"/>
      <c r="C328" s="757"/>
      <c r="D328" s="757"/>
      <c r="E328" s="757"/>
      <c r="F328" s="745"/>
      <c r="G328" s="756"/>
      <c r="H328" s="752">
        <f>SUMIF(_12MonResults_Rate,MiscData!$U$15,_12MonResults_Revenue_Adj_Energy)</f>
        <v>0</v>
      </c>
      <c r="I328" s="746"/>
      <c r="K328" s="925"/>
      <c r="M328" s="925"/>
      <c r="N328" s="1015"/>
    </row>
    <row r="329" spans="1:19" ht="12.75">
      <c r="A329" s="937" t="s">
        <v>500</v>
      </c>
      <c r="B329" s="745"/>
      <c r="C329" s="757"/>
      <c r="D329" s="757"/>
      <c r="E329" s="757"/>
      <c r="F329" s="745"/>
      <c r="G329" s="756"/>
      <c r="H329" s="757"/>
      <c r="I329" s="746"/>
      <c r="K329" s="925"/>
      <c r="M329" s="925"/>
      <c r="N329" s="1015"/>
    </row>
    <row r="330" spans="1:19" ht="12.75">
      <c r="A330" s="943" t="s">
        <v>501</v>
      </c>
      <c r="B330" s="745"/>
      <c r="C330" s="755"/>
      <c r="D330" s="755">
        <f>SUMIF(_12MonResults_Rate,MiscData!$U$15,_12MonResults_Demand_Measured_kW_B)+SUMIF(_12MonResults_Rate,MiscData!$U$15,_12MonResults_Demand_OutOfPeriod_B)</f>
        <v>2231475.6</v>
      </c>
      <c r="E330" s="745"/>
      <c r="F330" s="745"/>
      <c r="G330" s="751">
        <f>SUMIF(_Rates_Tariff_Category,MiscData!$T$4&amp;MiscData!$W$36,_Rates_Demand_Base)</f>
        <v>1.05</v>
      </c>
      <c r="H330" s="752">
        <f t="shared" ref="H330:H335" si="3">ROUND($D330*G330,0)</f>
        <v>2343049</v>
      </c>
      <c r="I330" s="746"/>
    </row>
    <row r="331" spans="1:19" ht="12.75">
      <c r="A331" s="943" t="s">
        <v>804</v>
      </c>
      <c r="B331" s="745"/>
      <c r="C331" s="755"/>
      <c r="D331" s="755">
        <f>SUMIF(_12MonResults_Rate,MiscData!$U$15,_12MonResults_Demand_Minimum_B)</f>
        <v>0</v>
      </c>
      <c r="E331" s="745"/>
      <c r="F331" s="745"/>
      <c r="G331" s="751">
        <f>SUMIF(_Rates_Tariff_Category,MiscData!$T$4&amp;MiscData!$W$36,_Rates_Demand_Base)</f>
        <v>1.05</v>
      </c>
      <c r="H331" s="752">
        <f t="shared" si="3"/>
        <v>0</v>
      </c>
      <c r="I331" s="746"/>
    </row>
    <row r="332" spans="1:19" ht="12.75">
      <c r="A332" s="943" t="s">
        <v>503</v>
      </c>
      <c r="B332" s="745"/>
      <c r="C332" s="755"/>
      <c r="D332" s="755">
        <f>SUMIF(_12MonResults_Rate,MiscData!$U$15,_12MonResults_Demand_Measured_kW_I)+SUMIF(_12MonResults_Rate,MiscData!$U$15,_12MonResults_Demand_OutOfPeriod_I)</f>
        <v>2231475.6</v>
      </c>
      <c r="E332" s="745"/>
      <c r="F332" s="745"/>
      <c r="G332" s="751">
        <f>SUMIF(_Rates_Tariff_Category,MiscData!$T$4&amp;MiscData!$W$36,_Rates_Demand_Intermediate)</f>
        <v>1.52</v>
      </c>
      <c r="H332" s="752">
        <f t="shared" si="3"/>
        <v>3391843</v>
      </c>
      <c r="I332" s="746"/>
      <c r="S332" s="931"/>
    </row>
    <row r="333" spans="1:19" ht="12.75">
      <c r="A333" s="943" t="s">
        <v>805</v>
      </c>
      <c r="B333" s="745"/>
      <c r="C333" s="745"/>
      <c r="D333" s="755">
        <f>SUMIF(_12MonResults_Rate,MiscData!$U$15,_12MonResults_Demand_Minimum_I)</f>
        <v>0</v>
      </c>
      <c r="E333" s="745"/>
      <c r="F333" s="745"/>
      <c r="G333" s="751">
        <f>SUMIF(_Rates_Tariff_Category,MiscData!$T$4&amp;MiscData!$W$36,_Rates_Demand_Intermediate)</f>
        <v>1.52</v>
      </c>
      <c r="H333" s="752">
        <f t="shared" si="3"/>
        <v>0</v>
      </c>
      <c r="I333" s="746"/>
    </row>
    <row r="334" spans="1:19" ht="12.75">
      <c r="A334" s="943" t="s">
        <v>504</v>
      </c>
      <c r="B334" s="745"/>
      <c r="C334" s="755"/>
      <c r="D334" s="755">
        <f>SUMIF(_12MonResults_Rate,MiscData!$U$15,_12MonResults_Demand_Measured_kW_P)+SUMIF(_12MonResults_Rate,MiscData!$U$15,_12MonResults_Demand_OutOfPeriod_P)</f>
        <v>1389508.7000000004</v>
      </c>
      <c r="E334" s="745"/>
      <c r="F334" s="745"/>
      <c r="G334" s="751">
        <f>SUMIF(_Rates_Tariff_Category,MiscData!$T$4&amp;MiscData!$W$36,_Rates_Demand_Peak)</f>
        <v>2.41</v>
      </c>
      <c r="H334" s="752">
        <f t="shared" si="3"/>
        <v>3348716</v>
      </c>
      <c r="I334" s="746"/>
    </row>
    <row r="335" spans="1:19" ht="12.75">
      <c r="A335" s="932" t="s">
        <v>806</v>
      </c>
      <c r="B335" s="745"/>
      <c r="C335" s="757"/>
      <c r="D335" s="755">
        <f>SUMIF(_12MonResults_Rate,MiscData!$U$15,_12MonResults_Demand_Minimum_P)</f>
        <v>0</v>
      </c>
      <c r="E335" s="745"/>
      <c r="F335" s="745"/>
      <c r="G335" s="751">
        <f>SUMIF(_Rates_Tariff_Category,MiscData!$T$4&amp;MiscData!$W$36,_Rates_Demand_Peak)</f>
        <v>2.41</v>
      </c>
      <c r="H335" s="752">
        <f t="shared" si="3"/>
        <v>0</v>
      </c>
      <c r="I335" s="746"/>
    </row>
    <row r="336" spans="1:19" ht="12.75">
      <c r="A336" s="932" t="s">
        <v>498</v>
      </c>
      <c r="B336" s="745"/>
      <c r="C336" s="757"/>
      <c r="D336" s="755"/>
      <c r="E336" s="757"/>
      <c r="F336" s="745"/>
      <c r="G336" s="756"/>
      <c r="H336" s="752">
        <f>SUMIF(_12MonResults_Rate,MiscData!$U$15,_12MonResults_Revenue_Adj_Demand)</f>
        <v>0</v>
      </c>
      <c r="I336" s="746"/>
    </row>
    <row r="337" spans="1:19" ht="15">
      <c r="A337" s="934" t="s">
        <v>151</v>
      </c>
      <c r="B337" s="745"/>
      <c r="C337" s="772">
        <f>C325</f>
        <v>12</v>
      </c>
      <c r="D337" s="772">
        <f>SUM(D330:D336)</f>
        <v>5852459.9000000004</v>
      </c>
      <c r="E337" s="772">
        <f>E327</f>
        <v>565207068</v>
      </c>
      <c r="F337" s="755"/>
      <c r="G337" s="752"/>
      <c r="H337" s="759">
        <f>SUM(H325:H336)</f>
        <v>27524011</v>
      </c>
      <c r="I337" s="746"/>
    </row>
    <row r="338" spans="1:19" ht="12.75">
      <c r="A338" s="745"/>
      <c r="B338" s="745"/>
      <c r="C338" s="757"/>
      <c r="D338" s="745"/>
      <c r="E338" s="755" t="str">
        <f>IF(SUMIF(_12MonResults_Rate,MiscData!$U$15,_12MonResults_KWH_Total)=E337,"",SUMIF(_12MonResults_Rate,MiscData!$U$15,_12MonResults_KWH_Total))</f>
        <v/>
      </c>
      <c r="F338" s="745"/>
      <c r="G338" s="745"/>
      <c r="H338" s="755" t="str">
        <f>IF(ABS(SUMIF(_12MonResults_Rate,MiscData!$U$15,_12MonResults_Revenue_Calculated)-H337)&lt;1,"",SUMIF(_12MonResults_Rate,MiscData!$U$15,_12MonResults_Revenue_Calculated))</f>
        <v/>
      </c>
      <c r="I338" s="746"/>
    </row>
    <row r="339" spans="1:19" ht="12.75">
      <c r="A339" s="934"/>
      <c r="B339" s="745"/>
      <c r="C339" s="755"/>
      <c r="D339" s="763"/>
      <c r="E339" s="755"/>
      <c r="F339" s="755" t="s">
        <v>783</v>
      </c>
      <c r="G339" s="776"/>
      <c r="H339" s="765">
        <f>'Sch M-1.3-pg 1'!$J$34</f>
        <v>1</v>
      </c>
      <c r="I339" s="746"/>
    </row>
    <row r="340" spans="1:19" ht="12.75">
      <c r="A340" s="934"/>
      <c r="B340" s="745"/>
      <c r="C340" s="755"/>
      <c r="D340" s="745"/>
      <c r="E340" s="755"/>
      <c r="F340" s="755"/>
      <c r="G340" s="746"/>
      <c r="H340" s="766"/>
      <c r="I340" s="750"/>
      <c r="J340" s="940"/>
    </row>
    <row r="341" spans="1:19" ht="15">
      <c r="A341" s="937" t="s">
        <v>155</v>
      </c>
      <c r="B341" s="745"/>
      <c r="C341" s="755"/>
      <c r="D341" s="755"/>
      <c r="E341" s="745"/>
      <c r="F341" s="745"/>
      <c r="G341" s="746"/>
      <c r="H341" s="767">
        <f>ROUND(H337/H339,0)</f>
        <v>27524011</v>
      </c>
      <c r="I341" s="746"/>
      <c r="J341" s="940"/>
      <c r="K341" s="942"/>
      <c r="L341" s="745"/>
      <c r="M341" s="925"/>
      <c r="N341" s="1015"/>
    </row>
    <row r="342" spans="1:19" ht="12.75">
      <c r="A342" s="937"/>
      <c r="B342" s="745"/>
      <c r="C342" s="755"/>
      <c r="D342" s="745"/>
      <c r="E342" s="745"/>
      <c r="F342" s="745"/>
      <c r="G342" s="746"/>
      <c r="H342" s="752"/>
      <c r="I342" s="746"/>
      <c r="J342" s="940"/>
      <c r="L342" s="745"/>
      <c r="M342" s="925"/>
      <c r="N342" s="1015"/>
    </row>
    <row r="343" spans="1:19" ht="15">
      <c r="A343" s="937" t="s">
        <v>156</v>
      </c>
      <c r="B343" s="745"/>
      <c r="C343" s="755"/>
      <c r="D343" s="745"/>
      <c r="E343" s="755"/>
      <c r="F343" s="745"/>
      <c r="G343" s="746"/>
      <c r="H343" s="768"/>
      <c r="I343" s="746"/>
      <c r="J343" s="940"/>
      <c r="M343" s="925"/>
    </row>
    <row r="344" spans="1:19" ht="15">
      <c r="A344" s="937" t="s">
        <v>157</v>
      </c>
      <c r="B344" s="745"/>
      <c r="C344" s="778"/>
      <c r="D344" s="778"/>
      <c r="E344" s="778"/>
      <c r="F344" s="745"/>
      <c r="G344" s="746"/>
      <c r="H344" s="752">
        <f>SUMIF(_12MonResults_Rate,MiscData!$U$15,_12MonResults_Revenue_FAC)</f>
        <v>1165931.68</v>
      </c>
      <c r="I344" s="746"/>
      <c r="J344" s="940"/>
      <c r="L344" s="745"/>
      <c r="M344" s="925"/>
      <c r="N344" s="1015"/>
    </row>
    <row r="345" spans="1:19" ht="12.75">
      <c r="A345" s="937" t="s">
        <v>158</v>
      </c>
      <c r="B345" s="745"/>
      <c r="C345" s="755"/>
      <c r="D345" s="745"/>
      <c r="E345" s="755"/>
      <c r="F345" s="745"/>
      <c r="G345" s="746"/>
      <c r="H345" s="752">
        <f>SUMIF(_12MonResults_Rate,MiscData!$U$15,_12MonResults_Revenue_DSM)</f>
        <v>0</v>
      </c>
      <c r="I345" s="923"/>
      <c r="Q345" s="935"/>
      <c r="S345" s="931"/>
    </row>
    <row r="346" spans="1:19" ht="12.75">
      <c r="A346" s="937" t="s">
        <v>159</v>
      </c>
      <c r="B346" s="745"/>
      <c r="C346" s="755"/>
      <c r="D346" s="745"/>
      <c r="E346" s="755"/>
      <c r="F346" s="745"/>
      <c r="G346" s="746"/>
      <c r="H346" s="752">
        <f>SUMIF(_12MonResults_Rate,MiscData!$U$15,_12MonResults_Revenue_ECR)</f>
        <v>1185425.6299999999</v>
      </c>
      <c r="I346" s="923"/>
      <c r="Q346" s="935"/>
      <c r="S346" s="931"/>
    </row>
    <row r="347" spans="1:19" ht="15">
      <c r="A347" s="938" t="s">
        <v>162</v>
      </c>
      <c r="B347" s="745"/>
      <c r="C347" s="755"/>
      <c r="D347" s="745"/>
      <c r="E347" s="755"/>
      <c r="F347" s="745"/>
      <c r="G347" s="746"/>
      <c r="H347" s="759">
        <f>SUM(H344:H346)+1</f>
        <v>2351358.3099999996</v>
      </c>
      <c r="I347" s="924"/>
      <c r="Q347" s="935"/>
      <c r="S347" s="931"/>
    </row>
    <row r="348" spans="1:19" ht="15">
      <c r="B348" s="745"/>
      <c r="C348" s="755"/>
      <c r="D348" s="745"/>
      <c r="E348" s="755"/>
      <c r="F348" s="745"/>
      <c r="G348" s="746"/>
      <c r="H348" s="768"/>
      <c r="I348" s="948"/>
      <c r="Q348" s="935"/>
      <c r="S348" s="931"/>
    </row>
    <row r="349" spans="1:19" ht="15">
      <c r="A349" s="938" t="s">
        <v>163</v>
      </c>
      <c r="B349" s="745"/>
      <c r="C349" s="755"/>
      <c r="D349" s="745"/>
      <c r="E349" s="755"/>
      <c r="F349" s="745"/>
      <c r="G349" s="746"/>
      <c r="H349" s="769">
        <f>H347+H341</f>
        <v>29875369.309999999</v>
      </c>
      <c r="I349" s="746"/>
      <c r="N349" s="1015"/>
      <c r="O349" s="745"/>
      <c r="P349" s="745"/>
      <c r="Q349" s="935"/>
      <c r="S349" s="931"/>
    </row>
    <row r="350" spans="1:19" ht="15">
      <c r="A350" s="777"/>
      <c r="B350" s="745"/>
      <c r="C350" s="755"/>
      <c r="D350" s="745"/>
      <c r="E350" s="755"/>
      <c r="F350" s="745"/>
      <c r="G350" s="746"/>
      <c r="H350" s="768"/>
      <c r="I350" s="746"/>
      <c r="M350" s="925"/>
      <c r="N350" s="1015"/>
      <c r="O350" s="745"/>
      <c r="P350" s="745"/>
      <c r="Q350" s="935"/>
      <c r="S350" s="931"/>
    </row>
    <row r="351" spans="1:19" ht="15">
      <c r="A351" s="777"/>
      <c r="B351" s="745"/>
      <c r="C351" s="755"/>
      <c r="D351" s="745"/>
      <c r="E351" s="755"/>
      <c r="F351" s="745"/>
      <c r="G351" s="746"/>
      <c r="H351" s="768"/>
      <c r="I351" s="746"/>
      <c r="Q351" s="935"/>
      <c r="S351" s="931"/>
    </row>
    <row r="352" spans="1:19" ht="12.75">
      <c r="A352" s="1031" t="str">
        <f>'Sch M-1.3-pg 1'!$A$1</f>
        <v>DATA:  __X__ BASE PERIOD  ____  FORECAST PERIOD</v>
      </c>
      <c r="B352" s="922"/>
      <c r="C352" s="922"/>
      <c r="D352" s="922"/>
      <c r="E352" s="922"/>
      <c r="F352" s="922"/>
      <c r="G352" s="922"/>
      <c r="H352" s="922"/>
      <c r="I352" s="923" t="str">
        <f>'Sch M-1.3-pg 1'!$J$1</f>
        <v>Schedule M-1.3</v>
      </c>
    </row>
    <row r="353" spans="1:19" ht="12.75">
      <c r="A353" s="959" t="str">
        <f>'Sch M-1.3-pg 1'!$A$2</f>
        <v>TYPE OF FILING: __X__ ORIGINAL  _____ UPDATED  _____ REVISED</v>
      </c>
      <c r="B353" s="922"/>
      <c r="C353" s="922"/>
      <c r="D353" s="922"/>
      <c r="E353" s="922"/>
      <c r="F353" s="922"/>
      <c r="G353" s="922"/>
      <c r="H353" s="922"/>
      <c r="I353" s="923" t="str">
        <f>"Page "&amp;M353&amp;" of "&amp;N353</f>
        <v>Page 12 of 18</v>
      </c>
      <c r="M353" s="771">
        <f>M318+1</f>
        <v>12</v>
      </c>
      <c r="N353" s="1032">
        <f>$N$2</f>
        <v>18</v>
      </c>
    </row>
    <row r="354" spans="1:19" ht="12.75">
      <c r="A354" s="959" t="str">
        <f>'Sch M-1.3-pg 1'!$A$3</f>
        <v>WORK PAPER REFERENCE NO(S):</v>
      </c>
      <c r="B354" s="922"/>
      <c r="C354" s="922"/>
      <c r="D354" s="922"/>
      <c r="E354" s="922"/>
      <c r="F354" s="922"/>
      <c r="G354" s="922"/>
      <c r="H354" s="922"/>
      <c r="I354" s="924" t="str">
        <f>'Sch M-1.3-pg 1'!$J$3</f>
        <v>Witness:  M.J. Blake</v>
      </c>
      <c r="S354" s="931"/>
    </row>
    <row r="355" spans="1:19" ht="12.75">
      <c r="A355" s="926"/>
      <c r="B355" s="922"/>
      <c r="C355" s="922"/>
      <c r="D355" s="922"/>
      <c r="E355" s="922"/>
      <c r="F355" s="922"/>
      <c r="G355" s="922"/>
      <c r="H355" s="922"/>
      <c r="I355" s="948"/>
      <c r="S355" s="931"/>
    </row>
    <row r="356" spans="1:19" ht="12.75">
      <c r="A356" s="927"/>
      <c r="B356" s="745"/>
      <c r="C356" s="747"/>
      <c r="D356" s="928"/>
      <c r="E356" s="747"/>
      <c r="F356" s="745"/>
      <c r="G356" s="747" t="s">
        <v>144</v>
      </c>
      <c r="H356" s="747" t="s">
        <v>145</v>
      </c>
      <c r="I356" s="746"/>
      <c r="J356" s="940"/>
      <c r="K356" s="940"/>
    </row>
    <row r="357" spans="1:19" ht="12.75">
      <c r="A357" s="945"/>
      <c r="B357" s="946"/>
      <c r="C357" s="748" t="s">
        <v>100</v>
      </c>
      <c r="D357" s="770"/>
      <c r="E357" s="749" t="s">
        <v>147</v>
      </c>
      <c r="F357" s="947"/>
      <c r="G357" s="749" t="s">
        <v>148</v>
      </c>
      <c r="H357" s="749" t="s">
        <v>149</v>
      </c>
      <c r="I357" s="746"/>
      <c r="J357" s="940"/>
      <c r="L357" s="745"/>
      <c r="M357" s="925"/>
      <c r="N357" s="1015"/>
    </row>
    <row r="358" spans="1:19" ht="15">
      <c r="A358" s="777"/>
      <c r="B358" s="745"/>
      <c r="C358" s="755"/>
      <c r="D358" s="745"/>
      <c r="E358" s="755"/>
      <c r="F358" s="745"/>
      <c r="G358" s="746"/>
      <c r="H358" s="768"/>
      <c r="I358" s="746"/>
      <c r="J358" s="940"/>
      <c r="L358" s="745"/>
    </row>
    <row r="359" spans="1:19" ht="12.75">
      <c r="A359" s="777" t="s">
        <v>508</v>
      </c>
      <c r="B359" s="745"/>
      <c r="C359" s="750"/>
      <c r="D359" s="745"/>
      <c r="E359" s="750"/>
      <c r="F359" s="750"/>
      <c r="G359" s="745"/>
      <c r="H359" s="745"/>
      <c r="I359" s="746"/>
      <c r="J359" s="940"/>
      <c r="L359" s="745"/>
      <c r="M359" s="925"/>
      <c r="N359" s="1015"/>
    </row>
    <row r="360" spans="1:19" ht="12.75">
      <c r="A360" s="930" t="s">
        <v>1442</v>
      </c>
      <c r="B360" s="745"/>
      <c r="C360" s="755">
        <f>SUMIF(_12MonResults_Rate,MiscData!$U$16,_12MonResults_CustomerCount)+SUMIF(_12MonResults_Rate,MiscData!$U$16,_12MonResults_CustomerCount_Adj)</f>
        <v>23</v>
      </c>
      <c r="D360" s="745"/>
      <c r="E360" s="745"/>
      <c r="F360" s="745"/>
      <c r="G360" s="751">
        <f>SUMIF(_Rates_Tariff_Category,MiscData!$T$4&amp;MiscData!$W$23,_Rates_BasicServiceCharge)</f>
        <v>0</v>
      </c>
      <c r="H360" s="752">
        <f>ROUND($C360*G360,0)</f>
        <v>0</v>
      </c>
      <c r="I360" s="746"/>
      <c r="J360" s="940"/>
      <c r="L360" s="745"/>
      <c r="M360" s="925"/>
      <c r="N360" s="1015"/>
    </row>
    <row r="361" spans="1:19" ht="12.75">
      <c r="A361" s="932" t="s">
        <v>493</v>
      </c>
      <c r="B361" s="745"/>
      <c r="C361" s="755"/>
      <c r="D361" s="745"/>
      <c r="E361" s="745"/>
      <c r="F361" s="745"/>
      <c r="G361" s="756"/>
      <c r="H361" s="757">
        <f>SUMIF(_12MonResults_Rate,MiscData!$U$16,_12MonResults_Revenue_Adj_BSC)</f>
        <v>0</v>
      </c>
      <c r="I361" s="746"/>
      <c r="J361" s="940"/>
      <c r="K361" s="942"/>
      <c r="M361" s="925"/>
      <c r="N361" s="1015"/>
    </row>
    <row r="362" spans="1:19" ht="12.75">
      <c r="A362" s="930" t="s">
        <v>1443</v>
      </c>
      <c r="B362" s="745"/>
      <c r="C362" s="745"/>
      <c r="D362" s="745"/>
      <c r="E362" s="755">
        <f>SUMIF(_12MonResults_Rate,MiscData!$U$16,_12MonResults_KWH_Total)+SUMIF(_12MonResults_Rate,MiscData!$U$16,_12MonResults_KWH_OutOfPeriod)</f>
        <v>180866</v>
      </c>
      <c r="F362" s="745"/>
      <c r="G362" s="758">
        <f>SUMIF(_Rates_Tariff_Category,MiscData!$T$4&amp;MiscData!$W$23,_Rates_Energy)</f>
        <v>6.3799999999999996E-2</v>
      </c>
      <c r="H362" s="752">
        <f>ROUND($E362*G362,)</f>
        <v>11539</v>
      </c>
      <c r="I362" s="746"/>
      <c r="J362" s="940"/>
    </row>
    <row r="363" spans="1:19" ht="12.75">
      <c r="A363" s="933" t="s">
        <v>150</v>
      </c>
      <c r="B363" s="745"/>
      <c r="C363" s="757"/>
      <c r="D363" s="757"/>
      <c r="E363" s="757"/>
      <c r="F363" s="745"/>
      <c r="G363" s="756"/>
      <c r="H363" s="757">
        <f>SUMIF(_12MonResults_Rate,MiscData!$U$16,_12MonResults_Revenue_Adj_Energy)</f>
        <v>-0.01</v>
      </c>
      <c r="I363" s="746"/>
      <c r="J363" s="940"/>
      <c r="L363" s="745"/>
      <c r="M363" s="925"/>
      <c r="N363" s="1015"/>
    </row>
    <row r="364" spans="1:19" ht="15">
      <c r="A364" s="934" t="s">
        <v>151</v>
      </c>
      <c r="B364" s="745"/>
      <c r="C364" s="772">
        <f>SUM(C360:C360)</f>
        <v>23</v>
      </c>
      <c r="D364" s="745"/>
      <c r="E364" s="772">
        <f>SUM(E362:E363)</f>
        <v>180866</v>
      </c>
      <c r="F364" s="755"/>
      <c r="G364" s="745"/>
      <c r="H364" s="759">
        <f>SUM(H360:H363)</f>
        <v>11538.99</v>
      </c>
      <c r="I364" s="746"/>
      <c r="J364" s="940"/>
      <c r="L364" s="745"/>
      <c r="M364" s="925"/>
      <c r="N364" s="1015"/>
    </row>
    <row r="365" spans="1:19" ht="12.75">
      <c r="A365" s="933"/>
      <c r="B365" s="745"/>
      <c r="C365" s="757"/>
      <c r="D365" s="757"/>
      <c r="E365" s="755" t="str">
        <f>IF(SUMIF(_12MonResults_Rate,MiscData!$U$16,_12MonResults_KWH_Total)=E364,"",SUMIF(_12MonResults_Rate,MiscData!$U$16,_12MonResults_KWH_Total))</f>
        <v/>
      </c>
      <c r="F365" s="745"/>
      <c r="G365" s="745"/>
      <c r="H365" s="755" t="str">
        <f>IF(ABS(SUMIF(_12MonResults_Rate,MiscData!$U$16,_12MonResults_Revenue_Calculated)-H364)&lt;1,"",SUMIF(_12MonResults_Rate,MiscData!$U$16,_12MonResults_Revenue_Calculated))</f>
        <v/>
      </c>
      <c r="I365" s="746"/>
      <c r="J365" s="940"/>
      <c r="L365" s="745"/>
      <c r="M365" s="925"/>
      <c r="N365" s="1015"/>
    </row>
    <row r="366" spans="1:19" ht="12.75">
      <c r="A366" s="934"/>
      <c r="B366" s="745"/>
      <c r="C366" s="757"/>
      <c r="D366" s="757"/>
      <c r="E366" s="757"/>
      <c r="F366" s="745"/>
      <c r="G366" s="745"/>
      <c r="H366" s="757"/>
      <c r="I366" s="746"/>
      <c r="J366" s="940"/>
    </row>
    <row r="367" spans="1:19" ht="12.75">
      <c r="A367" s="934"/>
      <c r="B367" s="745"/>
      <c r="C367" s="755"/>
      <c r="D367" s="763"/>
      <c r="E367" s="755"/>
      <c r="F367" s="755" t="s">
        <v>783</v>
      </c>
      <c r="G367" s="776"/>
      <c r="H367" s="765">
        <f>'Sch M-1.3-pg 1'!$J$45</f>
        <v>1</v>
      </c>
      <c r="I367" s="746"/>
      <c r="J367" s="940"/>
    </row>
    <row r="368" spans="1:19" ht="12.75">
      <c r="A368" s="934"/>
      <c r="B368" s="745"/>
      <c r="C368" s="755"/>
      <c r="D368" s="745"/>
      <c r="E368" s="755"/>
      <c r="F368" s="755"/>
      <c r="G368" s="746"/>
      <c r="H368" s="766"/>
      <c r="I368" s="746"/>
      <c r="J368" s="940"/>
      <c r="S368" s="931"/>
    </row>
    <row r="369" spans="1:19" ht="15">
      <c r="A369" s="937" t="s">
        <v>155</v>
      </c>
      <c r="B369" s="745"/>
      <c r="C369" s="755"/>
      <c r="D369" s="755"/>
      <c r="E369" s="745"/>
      <c r="F369" s="745"/>
      <c r="G369" s="746"/>
      <c r="H369" s="767">
        <f>H364/H367</f>
        <v>11538.99</v>
      </c>
      <c r="I369" s="746"/>
      <c r="J369" s="940"/>
      <c r="S369" s="931"/>
    </row>
    <row r="370" spans="1:19" ht="12.75">
      <c r="A370" s="937"/>
      <c r="B370" s="745"/>
      <c r="C370" s="755"/>
      <c r="D370" s="745"/>
      <c r="E370" s="745"/>
      <c r="F370" s="745"/>
      <c r="G370" s="746"/>
      <c r="H370" s="752"/>
      <c r="I370" s="746"/>
      <c r="J370" s="940"/>
      <c r="K370" s="942"/>
    </row>
    <row r="371" spans="1:19" ht="15">
      <c r="A371" s="937" t="s">
        <v>156</v>
      </c>
      <c r="B371" s="745"/>
      <c r="C371" s="755"/>
      <c r="D371" s="745"/>
      <c r="E371" s="755"/>
      <c r="F371" s="745"/>
      <c r="G371" s="746"/>
      <c r="H371" s="768"/>
      <c r="I371" s="746"/>
    </row>
    <row r="372" spans="1:19" ht="12.75">
      <c r="A372" s="937" t="s">
        <v>157</v>
      </c>
      <c r="B372" s="745"/>
      <c r="C372" s="755"/>
      <c r="D372" s="745"/>
      <c r="E372" s="755"/>
      <c r="F372" s="745"/>
      <c r="G372" s="746"/>
      <c r="H372" s="752">
        <f>SUMIF(_12MonResults_Rate,MiscData!$U$16,_12MonResults_Revenue_FAC)</f>
        <v>371.60999999999996</v>
      </c>
      <c r="I372" s="746"/>
    </row>
    <row r="373" spans="1:19" ht="12.75">
      <c r="A373" s="937" t="s">
        <v>158</v>
      </c>
      <c r="B373" s="745"/>
      <c r="C373" s="755"/>
      <c r="D373" s="745"/>
      <c r="E373" s="755"/>
      <c r="F373" s="745"/>
      <c r="G373" s="746"/>
      <c r="H373" s="752">
        <f>SUMIF(_12MonResults_RateClass,MiscData!$U$16,_12MonResults_Revenue_DSM)</f>
        <v>0</v>
      </c>
      <c r="I373" s="746"/>
    </row>
    <row r="374" spans="1:19" ht="12.75">
      <c r="A374" s="937" t="s">
        <v>159</v>
      </c>
      <c r="B374" s="745"/>
      <c r="C374" s="755"/>
      <c r="D374" s="745"/>
      <c r="E374" s="755"/>
      <c r="F374" s="745"/>
      <c r="G374" s="746"/>
      <c r="H374" s="752">
        <f>SUMIF(_12MonResults_RateClass,MiscData!$U$16,_12MonResults_Revenue_ECR)</f>
        <v>460.88</v>
      </c>
      <c r="I374" s="746"/>
    </row>
    <row r="375" spans="1:19" ht="15">
      <c r="A375" s="938" t="s">
        <v>162</v>
      </c>
      <c r="B375" s="745"/>
      <c r="C375" s="755"/>
      <c r="D375" s="745"/>
      <c r="E375" s="755"/>
      <c r="F375" s="745"/>
      <c r="G375" s="746"/>
      <c r="H375" s="759">
        <f>SUM(H372:H374)+1</f>
        <v>833.49</v>
      </c>
      <c r="I375" s="746"/>
    </row>
    <row r="376" spans="1:19" ht="15">
      <c r="A376" s="938"/>
      <c r="B376" s="745"/>
      <c r="C376" s="755"/>
      <c r="D376" s="745"/>
      <c r="E376" s="755"/>
      <c r="F376" s="745"/>
      <c r="G376" s="746"/>
      <c r="H376" s="768"/>
      <c r="I376" s="746"/>
      <c r="L376" s="745"/>
      <c r="N376" s="1015"/>
      <c r="O376" s="745"/>
      <c r="P376" s="745"/>
    </row>
    <row r="377" spans="1:19" ht="15">
      <c r="A377" s="938" t="s">
        <v>163</v>
      </c>
      <c r="B377" s="745"/>
      <c r="C377" s="755"/>
      <c r="D377" s="745"/>
      <c r="E377" s="755"/>
      <c r="F377" s="745"/>
      <c r="G377" s="746"/>
      <c r="H377" s="769">
        <f>H375+H369</f>
        <v>12372.48</v>
      </c>
      <c r="I377" s="750"/>
      <c r="L377" s="745"/>
      <c r="N377" s="1015"/>
      <c r="O377" s="745"/>
      <c r="P377" s="745"/>
    </row>
    <row r="378" spans="1:19" ht="15">
      <c r="A378" s="777"/>
      <c r="B378" s="745"/>
      <c r="C378" s="755"/>
      <c r="D378" s="745"/>
      <c r="E378" s="755"/>
      <c r="F378" s="745"/>
      <c r="G378" s="746"/>
      <c r="H378" s="768"/>
      <c r="I378" s="746"/>
    </row>
    <row r="379" spans="1:19" ht="15">
      <c r="A379" s="777"/>
      <c r="B379" s="745"/>
      <c r="C379" s="755"/>
      <c r="D379" s="745"/>
      <c r="E379" s="755"/>
      <c r="F379" s="745"/>
      <c r="G379" s="746"/>
      <c r="H379" s="768"/>
      <c r="I379" s="746"/>
      <c r="J379" s="940"/>
      <c r="L379" s="745"/>
      <c r="M379" s="925"/>
      <c r="N379" s="1015"/>
    </row>
    <row r="380" spans="1:19" ht="12.75">
      <c r="A380" s="1031" t="str">
        <f>'Sch M-1.3-pg 1'!$A$1</f>
        <v>DATA:  __X__ BASE PERIOD  ____  FORECAST PERIOD</v>
      </c>
      <c r="B380" s="922"/>
      <c r="C380" s="922"/>
      <c r="D380" s="922"/>
      <c r="E380" s="922"/>
      <c r="F380" s="922"/>
      <c r="G380" s="922"/>
      <c r="H380" s="922"/>
      <c r="I380" s="923" t="str">
        <f>'Sch M-1.3-pg 1'!$J$1</f>
        <v>Schedule M-1.3</v>
      </c>
      <c r="Q380" s="935"/>
      <c r="S380" s="931"/>
    </row>
    <row r="381" spans="1:19" ht="12.75">
      <c r="A381" s="959" t="str">
        <f>'Sch M-1.3-pg 1'!$A$2</f>
        <v>TYPE OF FILING: __X__ ORIGINAL  _____ UPDATED  _____ REVISED</v>
      </c>
      <c r="B381" s="922"/>
      <c r="C381" s="922"/>
      <c r="D381" s="922"/>
      <c r="E381" s="922"/>
      <c r="F381" s="922"/>
      <c r="G381" s="922"/>
      <c r="H381" s="922"/>
      <c r="I381" s="923" t="str">
        <f>"Page "&amp;M381&amp;" of "&amp;N381</f>
        <v>Page 13 of 18</v>
      </c>
      <c r="M381" s="771">
        <f>M353+1</f>
        <v>13</v>
      </c>
      <c r="N381" s="1032">
        <f>$N$2</f>
        <v>18</v>
      </c>
      <c r="Q381" s="935"/>
      <c r="S381" s="931"/>
    </row>
    <row r="382" spans="1:19" ht="12.75">
      <c r="A382" s="959" t="str">
        <f>'Sch M-1.3-pg 1'!$A$3</f>
        <v>WORK PAPER REFERENCE NO(S):</v>
      </c>
      <c r="B382" s="922"/>
      <c r="C382" s="922"/>
      <c r="D382" s="922"/>
      <c r="E382" s="922"/>
      <c r="F382" s="922"/>
      <c r="G382" s="922"/>
      <c r="H382" s="922"/>
      <c r="I382" s="924" t="str">
        <f>'Sch M-1.3-pg 1'!$J$3</f>
        <v>Witness:  M.J. Blake</v>
      </c>
      <c r="Q382" s="935"/>
      <c r="S382" s="931"/>
    </row>
    <row r="383" spans="1:19" ht="12.75">
      <c r="A383" s="926"/>
      <c r="B383" s="922"/>
      <c r="C383" s="922"/>
      <c r="D383" s="922"/>
      <c r="E383" s="922"/>
      <c r="F383" s="922"/>
      <c r="G383" s="922"/>
      <c r="H383" s="922"/>
      <c r="I383" s="948"/>
      <c r="Q383" s="935"/>
      <c r="S383" s="931"/>
    </row>
    <row r="384" spans="1:19" ht="12.75">
      <c r="A384" s="927"/>
      <c r="B384" s="745"/>
      <c r="C384" s="747"/>
      <c r="D384" s="928"/>
      <c r="E384" s="747"/>
      <c r="F384" s="745"/>
      <c r="G384" s="747" t="s">
        <v>144</v>
      </c>
      <c r="H384" s="747" t="s">
        <v>145</v>
      </c>
      <c r="I384" s="746"/>
      <c r="M384" s="925"/>
      <c r="N384" s="1015"/>
      <c r="O384" s="745"/>
      <c r="P384" s="745"/>
      <c r="Q384" s="935"/>
      <c r="S384" s="931"/>
    </row>
    <row r="385" spans="1:19" ht="12.75">
      <c r="A385" s="945"/>
      <c r="B385" s="946"/>
      <c r="C385" s="748" t="s">
        <v>100</v>
      </c>
      <c r="D385" s="770"/>
      <c r="E385" s="749" t="s">
        <v>147</v>
      </c>
      <c r="F385" s="947"/>
      <c r="G385" s="749" t="s">
        <v>148</v>
      </c>
      <c r="H385" s="749" t="s">
        <v>149</v>
      </c>
      <c r="I385" s="947"/>
      <c r="Q385" s="935"/>
      <c r="S385" s="931"/>
    </row>
    <row r="386" spans="1:19" ht="12.75">
      <c r="I386" s="746"/>
      <c r="L386" s="745"/>
      <c r="N386" s="1015"/>
      <c r="O386" s="745"/>
      <c r="P386" s="745"/>
    </row>
    <row r="387" spans="1:19" ht="12.75">
      <c r="A387" s="777" t="s">
        <v>640</v>
      </c>
      <c r="B387" s="745"/>
      <c r="C387" s="750"/>
      <c r="D387" s="745"/>
      <c r="E387" s="750"/>
      <c r="F387" s="750"/>
      <c r="G387" s="745"/>
      <c r="H387" s="745"/>
      <c r="I387" s="750"/>
    </row>
    <row r="388" spans="1:19" ht="12.75">
      <c r="A388" s="930" t="s">
        <v>1442</v>
      </c>
      <c r="B388" s="745"/>
      <c r="C388" s="755">
        <f>SUMIF(_12MonResults_Rate,MiscData!$U$17,_12MonResults_CustomerCount)+SUMIF(_12MonResults_Rate,MiscData!$U$17,_12MonResults_CustomerCount_Adj)</f>
        <v>8974</v>
      </c>
      <c r="D388" s="745"/>
      <c r="E388" s="745"/>
      <c r="F388" s="745"/>
      <c r="G388" s="751">
        <f>SUMIF(_Rates_Tariff_Category,MiscData!$T$4&amp;MiscData!$W$25,_Rates_BasicServiceCharge)</f>
        <v>3.25</v>
      </c>
      <c r="H388" s="752">
        <f>ROUND($C388*G388,0)</f>
        <v>29166</v>
      </c>
      <c r="I388" s="750"/>
    </row>
    <row r="389" spans="1:19" ht="12.75">
      <c r="A389" s="932" t="s">
        <v>493</v>
      </c>
      <c r="B389" s="745"/>
      <c r="C389" s="755"/>
      <c r="D389" s="745"/>
      <c r="E389" s="745"/>
      <c r="F389" s="745"/>
      <c r="G389" s="756"/>
      <c r="H389" s="757">
        <f>SUMIF(_12MonResults_Rate,MiscData!$U$17,_12MonResults_Revenue_Adj_BSC)</f>
        <v>-13</v>
      </c>
      <c r="I389" s="746"/>
    </row>
    <row r="390" spans="1:19" ht="12.75">
      <c r="A390" s="930" t="s">
        <v>1443</v>
      </c>
      <c r="B390" s="745"/>
      <c r="C390" s="745"/>
      <c r="D390" s="745"/>
      <c r="E390" s="755">
        <f>SUMIF(_12MonResults_Rate,MiscData!$U$17,_12MonResults_KWH_Total)+SUMIF(_12MonResults_Rate,MiscData!$U$17,_12MonResults_KWH_OutOfPeriod)</f>
        <v>1289493</v>
      </c>
      <c r="F390" s="745"/>
      <c r="G390" s="758">
        <f>SUMIF(_Rates_Tariff_Category,MiscData!$T$4&amp;MiscData!$W$25,_Rates_Energy)</f>
        <v>7.9780000000000004E-2</v>
      </c>
      <c r="H390" s="752">
        <f>ROUND($E390*G390,0)-1</f>
        <v>102875</v>
      </c>
      <c r="I390" s="746"/>
    </row>
    <row r="391" spans="1:19" ht="12.75">
      <c r="A391" s="933" t="s">
        <v>150</v>
      </c>
      <c r="B391" s="745"/>
      <c r="C391" s="757"/>
      <c r="D391" s="757"/>
      <c r="E391" s="757"/>
      <c r="F391" s="745"/>
      <c r="G391" s="756"/>
      <c r="H391" s="757">
        <f>SUMIF(_12MonResults_Rate,MiscData!$U$17,_12MonResults_Revenue_Adj_Energy)</f>
        <v>1.9</v>
      </c>
      <c r="I391" s="746"/>
    </row>
    <row r="392" spans="1:19" ht="12.75">
      <c r="A392" s="934"/>
      <c r="B392" s="745"/>
      <c r="C392" s="757"/>
      <c r="D392" s="745"/>
      <c r="E392" s="755"/>
      <c r="F392" s="745"/>
      <c r="G392" s="745"/>
      <c r="H392" s="757"/>
      <c r="I392" s="746"/>
    </row>
    <row r="393" spans="1:19" ht="15">
      <c r="A393" s="934" t="s">
        <v>151</v>
      </c>
      <c r="B393" s="745"/>
      <c r="C393" s="762">
        <f>C388</f>
        <v>8974</v>
      </c>
      <c r="D393" s="762"/>
      <c r="E393" s="762">
        <f>E390</f>
        <v>1289493</v>
      </c>
      <c r="F393" s="759"/>
      <c r="G393" s="759"/>
      <c r="H393" s="759">
        <f>SUM(H388:H391)</f>
        <v>132029.9</v>
      </c>
      <c r="I393" s="746"/>
    </row>
    <row r="394" spans="1:19" ht="12.75">
      <c r="A394" s="934"/>
      <c r="B394" s="745"/>
      <c r="C394" s="757"/>
      <c r="D394" s="757"/>
      <c r="E394" s="757"/>
      <c r="F394" s="745"/>
      <c r="G394" s="745"/>
      <c r="H394" s="757"/>
      <c r="I394" s="750"/>
    </row>
    <row r="395" spans="1:19" ht="12.75">
      <c r="A395" s="934"/>
      <c r="B395" s="745"/>
      <c r="C395" s="755"/>
      <c r="D395" s="763"/>
      <c r="E395" s="755"/>
      <c r="F395" s="755" t="s">
        <v>783</v>
      </c>
      <c r="G395" s="776"/>
      <c r="H395" s="765">
        <f>'Sch M-1.3-pg 1'!$J$47</f>
        <v>0.99998485215705279</v>
      </c>
      <c r="I395" s="746"/>
    </row>
    <row r="396" spans="1:19" ht="12.75">
      <c r="A396" s="934"/>
      <c r="B396" s="745"/>
      <c r="C396" s="755"/>
      <c r="D396" s="745"/>
      <c r="E396" s="755"/>
      <c r="F396" s="755"/>
      <c r="G396" s="746"/>
      <c r="H396" s="766"/>
      <c r="I396" s="746"/>
      <c r="K396" s="941"/>
    </row>
    <row r="397" spans="1:19" ht="15">
      <c r="A397" s="937" t="s">
        <v>155</v>
      </c>
      <c r="B397" s="745"/>
      <c r="C397" s="755"/>
      <c r="D397" s="755"/>
      <c r="E397" s="745"/>
      <c r="F397" s="745"/>
      <c r="G397" s="746"/>
      <c r="H397" s="767">
        <f>H393/H395</f>
        <v>132031.8999984852</v>
      </c>
      <c r="I397" s="746"/>
    </row>
    <row r="398" spans="1:19" ht="12.75">
      <c r="A398" s="937"/>
      <c r="B398" s="745"/>
      <c r="C398" s="755"/>
      <c r="D398" s="745"/>
      <c r="E398" s="745"/>
      <c r="F398" s="745"/>
      <c r="G398" s="746"/>
      <c r="H398" s="752"/>
      <c r="I398" s="746"/>
    </row>
    <row r="399" spans="1:19" ht="15">
      <c r="A399" s="937" t="s">
        <v>156</v>
      </c>
      <c r="B399" s="745"/>
      <c r="C399" s="755"/>
      <c r="D399" s="745"/>
      <c r="E399" s="755"/>
      <c r="F399" s="745"/>
      <c r="G399" s="746"/>
      <c r="H399" s="768"/>
      <c r="I399" s="746"/>
    </row>
    <row r="400" spans="1:19" ht="12.75">
      <c r="A400" s="937" t="s">
        <v>157</v>
      </c>
      <c r="B400" s="745"/>
      <c r="C400" s="755"/>
      <c r="D400" s="745"/>
      <c r="E400" s="755"/>
      <c r="F400" s="745"/>
      <c r="G400" s="746"/>
      <c r="H400" s="752">
        <f>SUMIF(_12MonResults_RateClass,MiscData!$U$17,_12MonResults_Revenue_FAC)+1</f>
        <v>2595.3799999999997</v>
      </c>
      <c r="I400" s="746"/>
    </row>
    <row r="401" spans="1:16" ht="12.75">
      <c r="A401" s="937" t="s">
        <v>158</v>
      </c>
      <c r="B401" s="745"/>
      <c r="C401" s="755"/>
      <c r="D401" s="745"/>
      <c r="E401" s="755"/>
      <c r="F401" s="745"/>
      <c r="G401" s="746"/>
      <c r="H401" s="752">
        <f>SUMIF(_12MonResults_RateClass,MiscData!$U$17,_12MonResults_Revenue_DSM)</f>
        <v>0</v>
      </c>
      <c r="I401" s="746"/>
    </row>
    <row r="402" spans="1:16" ht="12.75">
      <c r="A402" s="937" t="s">
        <v>159</v>
      </c>
      <c r="B402" s="745"/>
      <c r="C402" s="755"/>
      <c r="D402" s="745"/>
      <c r="E402" s="755"/>
      <c r="F402" s="745"/>
      <c r="G402" s="746"/>
      <c r="H402" s="752">
        <f>SUMIF(_12MonResults_RateClass,MiscData!$U$17,_12MonResults_Revenue_ECR)</f>
        <v>3932.3000000000006</v>
      </c>
      <c r="I402" s="746"/>
    </row>
    <row r="403" spans="1:16" ht="15">
      <c r="A403" s="938" t="s">
        <v>162</v>
      </c>
      <c r="B403" s="745"/>
      <c r="C403" s="755"/>
      <c r="D403" s="745"/>
      <c r="E403" s="755"/>
      <c r="F403" s="745"/>
      <c r="G403" s="746"/>
      <c r="H403" s="759">
        <f>SUM(H400:H402)-1</f>
        <v>6526.68</v>
      </c>
      <c r="I403" s="746"/>
    </row>
    <row r="404" spans="1:16" ht="15">
      <c r="A404" s="938"/>
      <c r="B404" s="745"/>
      <c r="C404" s="755"/>
      <c r="D404" s="745"/>
      <c r="E404" s="755"/>
      <c r="F404" s="745"/>
      <c r="G404" s="746"/>
      <c r="H404" s="768"/>
      <c r="I404" s="746"/>
      <c r="K404" s="944"/>
      <c r="L404" s="745"/>
      <c r="N404" s="1033"/>
      <c r="O404" s="745"/>
      <c r="P404" s="745"/>
    </row>
    <row r="405" spans="1:16" ht="15">
      <c r="A405" s="938" t="s">
        <v>163</v>
      </c>
      <c r="B405" s="745"/>
      <c r="C405" s="755"/>
      <c r="D405" s="745"/>
      <c r="E405" s="755"/>
      <c r="F405" s="745"/>
      <c r="G405" s="746"/>
      <c r="H405" s="769">
        <f>H403+H397</f>
        <v>138558.57999848519</v>
      </c>
      <c r="I405" s="746"/>
      <c r="L405" s="745"/>
      <c r="N405" s="1033"/>
      <c r="O405" s="745"/>
      <c r="P405" s="745"/>
    </row>
    <row r="406" spans="1:16" ht="15">
      <c r="A406" s="777"/>
      <c r="B406" s="745"/>
      <c r="C406" s="755"/>
      <c r="D406" s="745"/>
      <c r="E406" s="755"/>
      <c r="F406" s="745"/>
      <c r="G406" s="746"/>
      <c r="H406" s="768"/>
      <c r="I406" s="746"/>
      <c r="K406" s="944"/>
    </row>
    <row r="407" spans="1:16" ht="12.75">
      <c r="I407" s="746"/>
      <c r="J407" s="940"/>
      <c r="L407" s="745"/>
      <c r="M407" s="925"/>
      <c r="N407" s="1015"/>
    </row>
  </sheetData>
  <sortState ref="Q16:Q3771">
    <sortCondition ref="Q16:Q3771"/>
  </sortState>
  <printOptions horizontalCentered="1"/>
  <pageMargins left="0.7" right="0.7" top="1.54" bottom="0.75" header="0.57999999999999996" footer="0.3"/>
  <pageSetup scale="90" fitToHeight="12" orientation="landscape" r:id="rId1"/>
  <headerFooter scaleWithDoc="0">
    <oddHeader xml:space="preserve">&amp;C&amp;"Calibri,Bold"&amp;10Kentucky Utilities Company
Case No. 2014-00371
Base Period Revenues by Rate Schedule at Present Rates
for the Twelve Months Ended February 28, 2015&amp;R
</oddHeader>
  </headerFooter>
  <rowBreaks count="12" manualBreakCount="12">
    <brk id="37" max="8" man="1"/>
    <brk id="70" max="8" man="1"/>
    <brk id="102" max="8" man="1"/>
    <brk id="137" max="8" man="1"/>
    <brk id="172" max="8" man="1"/>
    <brk id="209" max="8" man="1"/>
    <brk id="245" max="8" man="1"/>
    <brk id="280" max="8" man="1"/>
    <brk id="315" max="8" man="1"/>
    <brk id="350" max="8" man="1"/>
    <brk id="378" max="8" man="1"/>
    <brk id="406"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AC189"/>
  <sheetViews>
    <sheetView tabSelected="1" view="pageBreakPreview" topLeftCell="A143" zoomScale="60" zoomScaleNormal="100" workbookViewId="0">
      <selection activeCell="A371" sqref="A371"/>
    </sheetView>
  </sheetViews>
  <sheetFormatPr defaultRowHeight="12"/>
  <cols>
    <col min="1" max="1" width="73.1640625" style="764" customWidth="1"/>
    <col min="2" max="2" width="0" style="764" hidden="1" customWidth="1"/>
    <col min="3" max="3" width="18.1640625" style="764" bestFit="1" customWidth="1"/>
    <col min="4" max="4" width="3.33203125" style="764" customWidth="1"/>
    <col min="5" max="5" width="15.1640625" style="764" customWidth="1"/>
    <col min="6" max="6" width="3.5" style="764" customWidth="1"/>
    <col min="7" max="7" width="20.1640625" style="764" bestFit="1" customWidth="1"/>
    <col min="8" max="8" width="3.83203125" style="764" customWidth="1"/>
    <col min="9" max="9" width="3.6640625" style="764" customWidth="1"/>
    <col min="10" max="10" width="19.83203125" style="764" customWidth="1"/>
    <col min="11" max="20" width="9.33203125" style="764"/>
    <col min="21" max="21" width="10.6640625" style="764" bestFit="1" customWidth="1"/>
    <col min="22" max="24" width="18.6640625" style="764" bestFit="1" customWidth="1"/>
    <col min="25" max="26" width="19.1640625" style="764" bestFit="1" customWidth="1"/>
    <col min="27" max="27" width="12.33203125" style="764" bestFit="1" customWidth="1"/>
    <col min="28" max="28" width="9.33203125" style="764"/>
    <col min="29" max="29" width="10" style="764" bestFit="1" customWidth="1"/>
    <col min="30" max="16384" width="9.33203125" style="764"/>
  </cols>
  <sheetData>
    <row r="1" spans="1:29" s="771" customFormat="1" ht="15">
      <c r="A1" s="777"/>
      <c r="B1" s="745"/>
      <c r="C1" s="755"/>
      <c r="D1" s="745"/>
      <c r="E1" s="755"/>
      <c r="F1" s="745"/>
      <c r="G1" s="746"/>
      <c r="H1" s="768"/>
      <c r="I1" s="746"/>
      <c r="Q1" s="940"/>
      <c r="S1" s="745"/>
      <c r="T1" s="925"/>
      <c r="U1" s="745"/>
    </row>
    <row r="2" spans="1:29" s="771" customFormat="1" ht="12.75">
      <c r="A2" s="1031" t="str">
        <f>'Sch M-1.3-pg 1'!$A$1</f>
        <v>DATA:  __X__ BASE PERIOD  ____  FORECAST PERIOD</v>
      </c>
      <c r="B2" s="922"/>
      <c r="C2" s="922"/>
      <c r="D2" s="922"/>
      <c r="E2" s="922"/>
      <c r="F2" s="922"/>
      <c r="G2" s="922"/>
      <c r="H2" s="923" t="str">
        <f>'Sch M-1.3-pg 1'!$J$1</f>
        <v>Schedule M-1.3</v>
      </c>
      <c r="J2" s="922"/>
      <c r="X2" s="935"/>
      <c r="Z2" s="931"/>
    </row>
    <row r="3" spans="1:29" s="771" customFormat="1" ht="12.75">
      <c r="A3" s="959" t="str">
        <f>'Sch M-1.3-pg 1'!$A$2</f>
        <v>TYPE OF FILING: __X__ ORIGINAL  _____ UPDATED  _____ REVISED</v>
      </c>
      <c r="B3" s="922"/>
      <c r="C3" s="922"/>
      <c r="D3" s="922"/>
      <c r="E3" s="922"/>
      <c r="F3" s="922"/>
      <c r="G3" s="922"/>
      <c r="H3" s="923" t="str">
        <f>"Page "&amp;M3&amp;" of "&amp;N3</f>
        <v>Page 14 of 18</v>
      </c>
      <c r="J3" s="922"/>
      <c r="M3" s="771">
        <f>'Sch M-1.3-pg2-13'!M381+1</f>
        <v>14</v>
      </c>
      <c r="N3" s="771">
        <f>$N$147</f>
        <v>18</v>
      </c>
      <c r="X3" s="935"/>
      <c r="Z3" s="931"/>
    </row>
    <row r="4" spans="1:29" s="771" customFormat="1" ht="12.75">
      <c r="A4" s="959" t="str">
        <f>'Sch M-1.3-pg 1'!$A$3</f>
        <v>WORK PAPER REFERENCE NO(S):</v>
      </c>
      <c r="B4" s="922"/>
      <c r="C4" s="922"/>
      <c r="D4" s="922"/>
      <c r="E4" s="922"/>
      <c r="F4" s="922"/>
      <c r="G4" s="922"/>
      <c r="H4" s="924" t="str">
        <f>'Sch M-1.3-pg 1'!$J$3</f>
        <v>Witness:  M.J. Blake</v>
      </c>
      <c r="J4" s="922"/>
      <c r="X4" s="935"/>
      <c r="Z4" s="931"/>
    </row>
    <row r="5" spans="1:29" s="771" customFormat="1" ht="12.75">
      <c r="A5" s="926"/>
      <c r="B5" s="922"/>
      <c r="C5" s="922"/>
      <c r="D5" s="922"/>
      <c r="E5" s="922"/>
      <c r="F5" s="922"/>
      <c r="G5" s="922"/>
      <c r="H5" s="922"/>
      <c r="I5" s="948"/>
      <c r="J5" s="922"/>
      <c r="X5" s="935"/>
      <c r="Z5" s="931"/>
    </row>
    <row r="6" spans="1:29" s="771" customFormat="1" ht="12.75">
      <c r="A6" s="927"/>
      <c r="B6" s="745"/>
      <c r="C6" s="747" t="s">
        <v>1471</v>
      </c>
      <c r="D6" s="928"/>
      <c r="E6" s="747" t="s">
        <v>929</v>
      </c>
      <c r="F6" s="745"/>
      <c r="G6" s="747" t="s">
        <v>1452</v>
      </c>
      <c r="H6" s="747"/>
      <c r="I6" s="746"/>
      <c r="T6" s="925"/>
      <c r="U6" s="745"/>
      <c r="V6" s="745"/>
      <c r="W6" s="745"/>
      <c r="X6" s="935"/>
      <c r="Z6" s="931"/>
    </row>
    <row r="7" spans="1:29" s="771" customFormat="1" ht="12.75">
      <c r="A7" s="945"/>
      <c r="B7" s="946"/>
      <c r="C7" s="748" t="s">
        <v>1451</v>
      </c>
      <c r="D7" s="770"/>
      <c r="E7" s="749" t="s">
        <v>127</v>
      </c>
      <c r="F7" s="947"/>
      <c r="G7" s="749" t="s">
        <v>149</v>
      </c>
      <c r="H7" s="747"/>
      <c r="I7" s="746"/>
      <c r="X7" s="935"/>
      <c r="Z7" s="931"/>
    </row>
    <row r="8" spans="1:29" ht="12.75">
      <c r="A8" s="777" t="s">
        <v>1289</v>
      </c>
      <c r="B8" s="745"/>
      <c r="C8" s="745"/>
      <c r="D8" s="750"/>
      <c r="E8" s="750"/>
      <c r="F8" s="750"/>
      <c r="G8" s="745"/>
      <c r="H8" s="750"/>
      <c r="I8" s="750"/>
      <c r="J8" s="750"/>
    </row>
    <row r="9" spans="1:29" ht="12.75">
      <c r="A9" s="929" t="s">
        <v>1312</v>
      </c>
      <c r="B9" s="745"/>
      <c r="C9" s="745"/>
      <c r="D9" s="750"/>
      <c r="E9" s="750"/>
      <c r="F9" s="750"/>
      <c r="G9" s="745"/>
      <c r="H9" s="750"/>
      <c r="I9" s="750"/>
      <c r="J9" s="750"/>
    </row>
    <row r="10" spans="1:29" ht="12.75">
      <c r="A10" s="951" t="s">
        <v>514</v>
      </c>
      <c r="B10" s="745"/>
      <c r="C10" s="745"/>
      <c r="D10" s="745"/>
      <c r="E10" s="752"/>
      <c r="F10" s="745"/>
      <c r="G10" s="752"/>
      <c r="H10" s="745"/>
      <c r="I10" s="751"/>
      <c r="J10" s="752"/>
      <c r="V10" s="745"/>
      <c r="W10" s="745"/>
      <c r="X10" s="745"/>
      <c r="Y10" s="745"/>
      <c r="Z10" s="745"/>
      <c r="AA10" s="878"/>
      <c r="AC10" s="878"/>
    </row>
    <row r="11" spans="1:29" ht="12.75">
      <c r="A11" s="952" t="s">
        <v>1290</v>
      </c>
      <c r="B11" s="754" t="s">
        <v>381</v>
      </c>
      <c r="C11" s="755">
        <f t="shared" ref="C11:C18" si="0">SUMIF(_12MonLights_RateCategory,$B11,_12MonLights_Count)+SUMIF(_12MonLights_RateCategory,$B11,_12MonLights_Count_Adj)</f>
        <v>102508</v>
      </c>
      <c r="D11" s="745"/>
      <c r="E11" s="751">
        <f>SUMIF(_Lights_Tariff_Category,MiscData!$T$4&amp;$B11,_Lights_Rates)</f>
        <v>8.66</v>
      </c>
      <c r="F11" s="745"/>
      <c r="G11" s="752">
        <f t="shared" ref="G11:G18" si="1">ROUND(SUM($C11*$E11),0)</f>
        <v>887719</v>
      </c>
      <c r="H11" s="745"/>
      <c r="I11" s="751"/>
      <c r="J11" s="752"/>
      <c r="S11" s="877"/>
      <c r="V11" s="745"/>
      <c r="W11" s="745"/>
      <c r="X11" s="745"/>
      <c r="Y11" s="745"/>
      <c r="Z11" s="745"/>
      <c r="AA11" s="878"/>
      <c r="AC11" s="878"/>
    </row>
    <row r="12" spans="1:29" ht="12.75">
      <c r="A12" s="953" t="s">
        <v>1291</v>
      </c>
      <c r="B12" s="754" t="s">
        <v>380</v>
      </c>
      <c r="C12" s="755">
        <f t="shared" si="0"/>
        <v>103542</v>
      </c>
      <c r="D12" s="745"/>
      <c r="E12" s="751">
        <f>SUMIF(_Lights_Tariff_Category,MiscData!$T$4&amp;$B12,_Lights_Rates)</f>
        <v>11.600000000000001</v>
      </c>
      <c r="F12" s="745"/>
      <c r="G12" s="752">
        <f t="shared" si="1"/>
        <v>1201087</v>
      </c>
      <c r="H12" s="745"/>
      <c r="I12" s="751"/>
      <c r="J12" s="752"/>
      <c r="V12" s="745"/>
      <c r="W12" s="745"/>
      <c r="X12" s="745"/>
      <c r="Y12" s="745"/>
      <c r="Z12" s="745"/>
      <c r="AA12" s="878"/>
      <c r="AC12" s="878"/>
    </row>
    <row r="13" spans="1:29" ht="12.75">
      <c r="A13" s="953" t="s">
        <v>1292</v>
      </c>
      <c r="B13" s="754" t="s">
        <v>404</v>
      </c>
      <c r="C13" s="755">
        <f t="shared" si="0"/>
        <v>242239</v>
      </c>
      <c r="D13" s="745"/>
      <c r="E13" s="751">
        <f>SUMIF(_Lights_Tariff_Category,MiscData!$T$4&amp;$B13,_Lights_Rates)</f>
        <v>9.14</v>
      </c>
      <c r="F13" s="745"/>
      <c r="G13" s="752">
        <f t="shared" si="1"/>
        <v>2214064</v>
      </c>
      <c r="H13" s="745"/>
      <c r="I13" s="756"/>
      <c r="J13" s="757"/>
      <c r="AA13" s="878"/>
      <c r="AC13" s="878"/>
    </row>
    <row r="14" spans="1:29" ht="12.75">
      <c r="A14" s="953" t="s">
        <v>1293</v>
      </c>
      <c r="B14" s="754" t="s">
        <v>403</v>
      </c>
      <c r="C14" s="755">
        <f t="shared" si="0"/>
        <v>40086</v>
      </c>
      <c r="D14" s="745"/>
      <c r="E14" s="751">
        <f>SUMIF(_Lights_Tariff_Category,MiscData!$T$4&amp;$B14,_Lights_Rates)</f>
        <v>12.3</v>
      </c>
      <c r="F14" s="745"/>
      <c r="G14" s="752">
        <f t="shared" si="1"/>
        <v>493058</v>
      </c>
      <c r="H14" s="745"/>
      <c r="I14" s="758"/>
      <c r="J14" s="752"/>
      <c r="V14" s="745"/>
      <c r="W14" s="745"/>
      <c r="X14" s="745"/>
      <c r="Y14" s="745"/>
      <c r="Z14" s="745"/>
      <c r="AA14" s="878"/>
      <c r="AC14" s="878"/>
    </row>
    <row r="15" spans="1:29" ht="12.75">
      <c r="A15" s="953" t="s">
        <v>1294</v>
      </c>
      <c r="B15" s="754" t="s">
        <v>361</v>
      </c>
      <c r="C15" s="755">
        <f t="shared" si="0"/>
        <v>89637</v>
      </c>
      <c r="D15" s="745"/>
      <c r="E15" s="751">
        <f>SUMIF(_Lights_Tariff_Category,MiscData!$T$4&amp;$B15,_Lights_Rates)</f>
        <v>14.25</v>
      </c>
      <c r="F15" s="745"/>
      <c r="G15" s="752">
        <f t="shared" si="1"/>
        <v>1277327</v>
      </c>
      <c r="H15" s="745"/>
      <c r="I15" s="758"/>
      <c r="J15" s="752"/>
      <c r="V15" s="745"/>
      <c r="W15" s="745"/>
      <c r="X15" s="745"/>
      <c r="Y15" s="745"/>
      <c r="Z15" s="745"/>
      <c r="AA15" s="878"/>
      <c r="AC15" s="878"/>
    </row>
    <row r="16" spans="1:29" ht="12.75">
      <c r="A16" s="953" t="s">
        <v>1295</v>
      </c>
      <c r="B16" s="754" t="s">
        <v>360</v>
      </c>
      <c r="C16" s="755">
        <f t="shared" si="0"/>
        <v>61264</v>
      </c>
      <c r="D16" s="745"/>
      <c r="E16" s="751">
        <f>SUMIF(_Lights_Tariff_Category,MiscData!$T$4&amp;$B16,_Lights_Rates)</f>
        <v>17.41</v>
      </c>
      <c r="F16" s="745"/>
      <c r="G16" s="752">
        <f t="shared" si="1"/>
        <v>1066606</v>
      </c>
      <c r="H16" s="745"/>
      <c r="I16" s="758"/>
      <c r="J16" s="752"/>
      <c r="V16" s="745"/>
      <c r="W16" s="745"/>
      <c r="X16" s="745"/>
      <c r="Y16" s="745"/>
      <c r="Z16" s="745"/>
      <c r="AA16" s="878"/>
    </row>
    <row r="17" spans="1:27" ht="12.75">
      <c r="A17" s="953" t="s">
        <v>911</v>
      </c>
      <c r="B17" s="754" t="s">
        <v>393</v>
      </c>
      <c r="C17" s="755">
        <f t="shared" si="0"/>
        <v>33237</v>
      </c>
      <c r="D17" s="745"/>
      <c r="E17" s="751">
        <f>SUMIF(_Lights_Tariff_Category,MiscData!$T$4&amp;$B17,_Lights_Rates)</f>
        <v>22.84</v>
      </c>
      <c r="F17" s="745"/>
      <c r="G17" s="752">
        <f t="shared" si="1"/>
        <v>759133</v>
      </c>
      <c r="H17" s="745"/>
      <c r="I17" s="745"/>
      <c r="J17" s="752"/>
      <c r="AA17" s="878"/>
    </row>
    <row r="18" spans="1:27" ht="15">
      <c r="A18" s="953" t="s">
        <v>1296</v>
      </c>
      <c r="B18" s="754" t="s">
        <v>392</v>
      </c>
      <c r="C18" s="755">
        <f t="shared" si="0"/>
        <v>5976</v>
      </c>
      <c r="D18" s="745"/>
      <c r="E18" s="751">
        <f>SUMIF(_Lights_Tariff_Category,MiscData!$T$4&amp;$B18,_Lights_Rates)</f>
        <v>24.46</v>
      </c>
      <c r="F18" s="745"/>
      <c r="G18" s="752">
        <f t="shared" si="1"/>
        <v>146173</v>
      </c>
      <c r="H18" s="755"/>
      <c r="I18" s="755"/>
      <c r="J18" s="759"/>
      <c r="AA18" s="878"/>
    </row>
    <row r="19" spans="1:27" ht="12.75">
      <c r="A19" s="951"/>
      <c r="B19" s="745"/>
      <c r="C19" s="745"/>
      <c r="D19" s="750"/>
      <c r="E19" s="750"/>
      <c r="F19" s="750"/>
      <c r="G19" s="760"/>
      <c r="H19" s="750"/>
      <c r="I19" s="750"/>
      <c r="J19" s="750"/>
      <c r="AA19" s="878"/>
    </row>
    <row r="20" spans="1:27" ht="12.75">
      <c r="A20" s="953" t="s">
        <v>1297</v>
      </c>
      <c r="B20" s="754" t="s">
        <v>415</v>
      </c>
      <c r="C20" s="755">
        <f>SUMIF(_12MonLights_RateCategory,$B20,_12MonLights_Count)+SUMIF(_12MonLights_RateCategory,$B20,_12MonLights_Count_Adj)</f>
        <v>131818</v>
      </c>
      <c r="D20" s="745"/>
      <c r="E20" s="751">
        <f>SUMIF(_Lights_Tariff_Category,MiscData!$T$4&amp;$B20,_Lights_Rates)</f>
        <v>9</v>
      </c>
      <c r="F20" s="745"/>
      <c r="G20" s="752">
        <f>ROUND(SUM($C20*$E20),0)</f>
        <v>1186362</v>
      </c>
      <c r="H20" s="745"/>
      <c r="I20" s="751"/>
      <c r="J20" s="752"/>
      <c r="S20" s="877"/>
      <c r="V20" s="745"/>
      <c r="W20" s="745"/>
      <c r="X20" s="745"/>
      <c r="Y20" s="745"/>
      <c r="Z20" s="745"/>
      <c r="AA20" s="878"/>
    </row>
    <row r="21" spans="1:27" ht="12.75">
      <c r="A21" s="953" t="s">
        <v>1298</v>
      </c>
      <c r="B21" s="754" t="s">
        <v>365</v>
      </c>
      <c r="C21" s="755">
        <f>SUMIF(_12MonLights_RateCategory,$B21,_12MonLights_Count)+SUMIF(_12MonLights_RateCategory,$B21,_12MonLights_Count_Adj)</f>
        <v>78093</v>
      </c>
      <c r="D21" s="745"/>
      <c r="E21" s="751">
        <f>SUMIF(_Lights_Tariff_Category,MiscData!$T$4&amp;$B21,_Lights_Rates)</f>
        <v>13.639999999999999</v>
      </c>
      <c r="F21" s="745"/>
      <c r="G21" s="752">
        <f>ROUND(SUM($C21*$E21),0)</f>
        <v>1065189</v>
      </c>
      <c r="H21" s="745"/>
      <c r="I21" s="751"/>
      <c r="J21" s="752"/>
      <c r="V21" s="745"/>
      <c r="W21" s="745"/>
      <c r="X21" s="745"/>
      <c r="Y21" s="745"/>
      <c r="Z21" s="745"/>
      <c r="AA21" s="878"/>
    </row>
    <row r="22" spans="1:27" ht="12.75">
      <c r="A22" s="953" t="s">
        <v>1299</v>
      </c>
      <c r="B22" s="754" t="s">
        <v>397</v>
      </c>
      <c r="C22" s="755">
        <f>SUMIF(_12MonLights_RateCategory,$B22,_12MonLights_Count)+SUMIF(_12MonLights_RateCategory,$B22,_12MonLights_Count_Adj)</f>
        <v>98657</v>
      </c>
      <c r="D22" s="745"/>
      <c r="E22" s="751">
        <f>SUMIF(_Lights_Tariff_Category,MiscData!$T$4&amp;$B22,_Lights_Rates)</f>
        <v>19.46</v>
      </c>
      <c r="F22" s="745"/>
      <c r="G22" s="752">
        <f>ROUND(SUM($C22*$E22),0)</f>
        <v>1919865</v>
      </c>
      <c r="H22" s="745"/>
      <c r="I22" s="751"/>
      <c r="J22" s="752"/>
      <c r="V22" s="745"/>
      <c r="W22" s="745"/>
      <c r="X22" s="745"/>
      <c r="Y22" s="745"/>
      <c r="Z22" s="745"/>
      <c r="AA22" s="878"/>
    </row>
    <row r="23" spans="1:27" ht="12.75">
      <c r="A23" s="953"/>
      <c r="B23" s="754"/>
      <c r="C23" s="755"/>
      <c r="D23" s="745"/>
      <c r="E23" s="751"/>
      <c r="F23" s="745"/>
      <c r="G23" s="752"/>
      <c r="H23" s="745"/>
      <c r="I23" s="756"/>
      <c r="J23" s="757"/>
      <c r="AA23" s="878"/>
    </row>
    <row r="24" spans="1:27" ht="12.75">
      <c r="A24" s="953" t="s">
        <v>1300</v>
      </c>
      <c r="B24" s="754" t="s">
        <v>416</v>
      </c>
      <c r="C24" s="755">
        <f>SUMIF(_12MonLights_RateCategory,$B24,_12MonLights_Count)+SUMIF(_12MonLights_RateCategory,$B24,_12MonLights_Count_Adj)</f>
        <v>432525</v>
      </c>
      <c r="D24" s="745"/>
      <c r="E24" s="751">
        <f>SUMIF(_Lights_Tariff_Category,MiscData!$T$4&amp;$B24,_Lights_Rates)</f>
        <v>7.84</v>
      </c>
      <c r="F24" s="745"/>
      <c r="G24" s="752">
        <f>ROUND(SUM($C24*$E24),0)</f>
        <v>3390996</v>
      </c>
      <c r="H24" s="745"/>
      <c r="I24" s="758"/>
      <c r="J24" s="752"/>
      <c r="V24" s="745"/>
      <c r="W24" s="745"/>
      <c r="X24" s="745"/>
      <c r="Y24" s="745"/>
      <c r="Z24" s="745"/>
      <c r="AA24" s="878"/>
    </row>
    <row r="25" spans="1:27" ht="12.75">
      <c r="A25" s="953"/>
      <c r="B25" s="754"/>
      <c r="C25" s="755"/>
      <c r="D25" s="745"/>
      <c r="E25" s="751"/>
      <c r="F25" s="745"/>
      <c r="G25" s="752"/>
      <c r="H25" s="745"/>
      <c r="I25" s="758"/>
      <c r="J25" s="752"/>
      <c r="V25" s="745"/>
      <c r="W25" s="745"/>
      <c r="X25" s="745"/>
      <c r="Y25" s="745"/>
      <c r="Z25" s="745"/>
      <c r="AA25" s="878"/>
    </row>
    <row r="26" spans="1:27" ht="12.75">
      <c r="A26" s="951" t="s">
        <v>576</v>
      </c>
      <c r="B26" s="745"/>
      <c r="C26" s="745"/>
      <c r="D26" s="745"/>
      <c r="E26" s="752"/>
      <c r="F26" s="745"/>
      <c r="G26" s="752"/>
      <c r="H26" s="745"/>
      <c r="I26" s="758"/>
      <c r="J26" s="752"/>
      <c r="V26" s="745"/>
      <c r="W26" s="745"/>
      <c r="X26" s="745"/>
      <c r="Y26" s="745"/>
      <c r="Z26" s="745"/>
      <c r="AA26" s="878"/>
    </row>
    <row r="27" spans="1:27" ht="12.75">
      <c r="A27" s="953" t="s">
        <v>1301</v>
      </c>
      <c r="B27" s="754" t="s">
        <v>338</v>
      </c>
      <c r="C27" s="755">
        <f>SUMIF(_12MonLights_RateCategory,$B27,_12MonLights_Count)+SUMIF(_12MonLights_RateCategory,$B27,_12MonLights_Count_Adj)</f>
        <v>7792</v>
      </c>
      <c r="D27" s="745"/>
      <c r="E27" s="751">
        <f>SUMIF(_Lights_Tariff_Category,MiscData!$T$4&amp;$B27,_Lights_Rates)</f>
        <v>14.25</v>
      </c>
      <c r="F27" s="745"/>
      <c r="G27" s="752">
        <f>ROUND(SUM($C27*$E27),0)</f>
        <v>111036</v>
      </c>
      <c r="H27" s="745"/>
      <c r="I27" s="745"/>
      <c r="J27" s="752"/>
      <c r="AA27" s="878"/>
    </row>
    <row r="28" spans="1:27" ht="15">
      <c r="A28" s="953" t="s">
        <v>1302</v>
      </c>
      <c r="B28" s="754" t="s">
        <v>370</v>
      </c>
      <c r="C28" s="755">
        <f>SUMIF(_12MonLights_RateCategory,$B28,_12MonLights_Count)+SUMIF(_12MonLights_RateCategory,$B28,_12MonLights_Count_Adj)</f>
        <v>60808</v>
      </c>
      <c r="D28" s="745"/>
      <c r="E28" s="751">
        <f>SUMIF(_Lights_Tariff_Category,MiscData!$T$4&amp;$B28,_Lights_Rates)</f>
        <v>20.200000000000003</v>
      </c>
      <c r="F28" s="745"/>
      <c r="G28" s="752">
        <f>ROUND(SUM($C28*$E28),0)</f>
        <v>1228322</v>
      </c>
      <c r="H28" s="755"/>
      <c r="I28" s="755"/>
      <c r="J28" s="759"/>
      <c r="AA28" s="878"/>
    </row>
    <row r="29" spans="1:27" ht="12.75">
      <c r="A29" s="953" t="s">
        <v>1303</v>
      </c>
      <c r="B29" s="754" t="s">
        <v>333</v>
      </c>
      <c r="C29" s="755">
        <f>SUMIF(_12MonLights_RateCategory,$B29,_12MonLights_Count)+SUMIF(_12MonLights_RateCategory,$B29,_12MonLights_Count_Adj)</f>
        <v>12435</v>
      </c>
      <c r="D29" s="745"/>
      <c r="E29" s="751">
        <f>SUMIF(_Lights_Tariff_Category,MiscData!$T$4&amp;$B29,_Lights_Rates)</f>
        <v>42.350000000000009</v>
      </c>
      <c r="F29" s="745"/>
      <c r="G29" s="752">
        <f>ROUND(SUM($C29*$E29),0)</f>
        <v>526622</v>
      </c>
      <c r="H29" s="745"/>
      <c r="I29" s="745"/>
      <c r="J29" s="757"/>
      <c r="AA29" s="878"/>
    </row>
    <row r="30" spans="1:27" ht="12.75">
      <c r="A30" s="953"/>
      <c r="B30" s="754"/>
      <c r="C30" s="755"/>
      <c r="D30" s="745"/>
      <c r="E30" s="751"/>
      <c r="F30" s="745"/>
      <c r="G30" s="752"/>
      <c r="H30" s="745"/>
      <c r="I30" s="745"/>
      <c r="J30" s="745"/>
      <c r="AA30" s="878"/>
    </row>
    <row r="31" spans="1:27" s="771" customFormat="1" ht="15">
      <c r="A31" s="777"/>
      <c r="B31" s="745"/>
      <c r="C31" s="755"/>
      <c r="D31" s="745"/>
      <c r="E31" s="755"/>
      <c r="F31" s="745"/>
      <c r="G31" s="746"/>
      <c r="H31" s="768"/>
      <c r="I31" s="746"/>
      <c r="Q31" s="940"/>
      <c r="S31" s="745"/>
      <c r="T31" s="925"/>
      <c r="U31" s="745"/>
    </row>
    <row r="32" spans="1:27" s="771" customFormat="1" ht="12.75">
      <c r="A32" s="1031" t="str">
        <f>'Sch M-1.3-pg 1'!$A$1</f>
        <v>DATA:  __X__ BASE PERIOD  ____  FORECAST PERIOD</v>
      </c>
      <c r="B32" s="922"/>
      <c r="C32" s="922"/>
      <c r="D32" s="922"/>
      <c r="E32" s="922"/>
      <c r="F32" s="922"/>
      <c r="G32" s="922"/>
      <c r="H32" s="923" t="str">
        <f>'Sch M-1.3-pg 1'!$J$1</f>
        <v>Schedule M-1.3</v>
      </c>
      <c r="J32" s="922"/>
      <c r="X32" s="935"/>
      <c r="Z32" s="931"/>
    </row>
    <row r="33" spans="1:27" s="771" customFormat="1" ht="12.75">
      <c r="A33" s="959" t="str">
        <f>'Sch M-1.3-pg 1'!$A$2</f>
        <v>TYPE OF FILING: __X__ ORIGINAL  _____ UPDATED  _____ REVISED</v>
      </c>
      <c r="B33" s="922"/>
      <c r="C33" s="922"/>
      <c r="D33" s="922"/>
      <c r="E33" s="922"/>
      <c r="F33" s="922"/>
      <c r="G33" s="922"/>
      <c r="H33" s="923" t="str">
        <f>"Page "&amp;M33&amp;" of "&amp;N33</f>
        <v>Page 15 of 18</v>
      </c>
      <c r="J33" s="922"/>
      <c r="M33" s="771">
        <f>M3+1</f>
        <v>15</v>
      </c>
      <c r="N33" s="771">
        <f>$N$147</f>
        <v>18</v>
      </c>
      <c r="X33" s="935"/>
      <c r="Z33" s="931"/>
    </row>
    <row r="34" spans="1:27" s="771" customFormat="1" ht="12.75">
      <c r="A34" s="959" t="str">
        <f>'Sch M-1.3-pg 1'!$A$3</f>
        <v>WORK PAPER REFERENCE NO(S):</v>
      </c>
      <c r="B34" s="922"/>
      <c r="C34" s="922"/>
      <c r="D34" s="922"/>
      <c r="E34" s="922"/>
      <c r="F34" s="922"/>
      <c r="G34" s="922"/>
      <c r="H34" s="924" t="str">
        <f>'Sch M-1.3-pg 1'!$J$3</f>
        <v>Witness:  M.J. Blake</v>
      </c>
      <c r="J34" s="922"/>
      <c r="X34" s="935"/>
      <c r="Z34" s="931"/>
    </row>
    <row r="35" spans="1:27" s="771" customFormat="1" ht="12.75">
      <c r="A35" s="926"/>
      <c r="B35" s="922"/>
      <c r="C35" s="922"/>
      <c r="D35" s="922"/>
      <c r="E35" s="922"/>
      <c r="F35" s="922"/>
      <c r="G35" s="922"/>
      <c r="H35" s="922"/>
      <c r="I35" s="948"/>
      <c r="J35" s="922"/>
      <c r="X35" s="935"/>
      <c r="Z35" s="931"/>
    </row>
    <row r="36" spans="1:27" s="771" customFormat="1" ht="12.75">
      <c r="A36" s="927"/>
      <c r="B36" s="745"/>
      <c r="C36" s="747" t="s">
        <v>1471</v>
      </c>
      <c r="D36" s="928"/>
      <c r="E36" s="747" t="s">
        <v>929</v>
      </c>
      <c r="F36" s="745"/>
      <c r="G36" s="747" t="s">
        <v>1452</v>
      </c>
      <c r="H36" s="747"/>
      <c r="I36" s="746"/>
      <c r="T36" s="925"/>
      <c r="U36" s="745"/>
      <c r="V36" s="745"/>
      <c r="W36" s="745"/>
      <c r="X36" s="935"/>
      <c r="Z36" s="931"/>
    </row>
    <row r="37" spans="1:27" s="771" customFormat="1" ht="12.75">
      <c r="A37" s="945"/>
      <c r="B37" s="946"/>
      <c r="C37" s="748" t="s">
        <v>1451</v>
      </c>
      <c r="D37" s="770"/>
      <c r="E37" s="749" t="s">
        <v>127</v>
      </c>
      <c r="F37" s="947"/>
      <c r="G37" s="749" t="s">
        <v>149</v>
      </c>
      <c r="H37" s="747"/>
      <c r="I37" s="746"/>
      <c r="X37" s="935"/>
      <c r="Z37" s="931"/>
    </row>
    <row r="38" spans="1:27" ht="12.75">
      <c r="A38" s="953"/>
      <c r="B38" s="754"/>
      <c r="C38" s="755"/>
      <c r="D38" s="745"/>
      <c r="E38" s="751"/>
      <c r="F38" s="745"/>
      <c r="G38" s="752"/>
      <c r="H38" s="745"/>
      <c r="I38" s="745"/>
      <c r="J38" s="745"/>
      <c r="AA38" s="878"/>
    </row>
    <row r="39" spans="1:27" ht="12.75">
      <c r="A39" s="954" t="s">
        <v>1313</v>
      </c>
      <c r="B39" s="745"/>
      <c r="C39" s="745"/>
      <c r="D39" s="755"/>
      <c r="E39" s="752"/>
      <c r="F39" s="745"/>
      <c r="G39" s="752"/>
      <c r="H39" s="745"/>
      <c r="I39" s="758"/>
      <c r="J39" s="752"/>
      <c r="V39" s="745"/>
      <c r="W39" s="745"/>
      <c r="X39" s="745"/>
      <c r="Y39" s="745"/>
      <c r="Z39" s="745"/>
      <c r="AA39" s="878"/>
    </row>
    <row r="40" spans="1:27" ht="12.75">
      <c r="A40" s="951" t="s">
        <v>514</v>
      </c>
      <c r="B40" s="745"/>
      <c r="C40" s="745"/>
      <c r="D40" s="745"/>
      <c r="E40" s="752"/>
      <c r="F40" s="745"/>
      <c r="G40" s="752"/>
      <c r="H40" s="745"/>
      <c r="I40" s="758"/>
      <c r="J40" s="752"/>
      <c r="V40" s="745"/>
      <c r="W40" s="745"/>
      <c r="X40" s="745"/>
      <c r="Y40" s="745"/>
      <c r="Z40" s="745"/>
      <c r="AA40" s="878"/>
    </row>
    <row r="41" spans="1:27" ht="12.75">
      <c r="A41" s="953" t="s">
        <v>1304</v>
      </c>
      <c r="B41" s="754" t="s">
        <v>389</v>
      </c>
      <c r="C41" s="755">
        <f>SUMIF(_12MonLights_RateCategory,$B41,_12MonLights_Count)+SUMIF(_12MonLights_RateCategory,$B41,_12MonLights_Count_Adj)</f>
        <v>15911</v>
      </c>
      <c r="D41" s="745"/>
      <c r="E41" s="751">
        <f>SUMIF(_Lights_Tariff_Category,MiscData!$T$4&amp;$B41,_Lights_Rates)</f>
        <v>10.770000000000001</v>
      </c>
      <c r="F41" s="745"/>
      <c r="G41" s="752">
        <f>ROUND(SUM($C41*$E41),0)</f>
        <v>171361</v>
      </c>
      <c r="H41" s="745"/>
      <c r="I41" s="745"/>
      <c r="J41" s="752"/>
      <c r="AA41" s="878"/>
    </row>
    <row r="42" spans="1:27" ht="15">
      <c r="A42" s="953" t="s">
        <v>1305</v>
      </c>
      <c r="B42" s="754" t="s">
        <v>412</v>
      </c>
      <c r="C42" s="755">
        <f>SUMIF(_12MonLights_RateCategory,$B42,_12MonLights_Count)+SUMIF(_12MonLights_RateCategory,$B42,_12MonLights_Count_Adj)</f>
        <v>47650</v>
      </c>
      <c r="D42" s="745"/>
      <c r="E42" s="751">
        <f>SUMIF(_Lights_Tariff_Category,MiscData!$T$4&amp;$B42,_Lights_Rates)</f>
        <v>11.16</v>
      </c>
      <c r="F42" s="745"/>
      <c r="G42" s="752">
        <f>ROUND(SUM($C42*$E42),0)</f>
        <v>531774</v>
      </c>
      <c r="H42" s="755"/>
      <c r="I42" s="755"/>
      <c r="J42" s="759"/>
      <c r="AA42" s="878"/>
    </row>
    <row r="43" spans="1:27" ht="12.75">
      <c r="A43" s="953"/>
      <c r="B43" s="754"/>
      <c r="C43" s="755"/>
      <c r="D43" s="745"/>
      <c r="E43" s="751"/>
      <c r="F43" s="745"/>
      <c r="G43" s="752"/>
      <c r="H43" s="745"/>
      <c r="I43" s="745"/>
      <c r="J43" s="757"/>
      <c r="AA43" s="878"/>
    </row>
    <row r="44" spans="1:27" ht="12.75">
      <c r="A44" s="953" t="s">
        <v>1306</v>
      </c>
      <c r="B44" s="754" t="s">
        <v>382</v>
      </c>
      <c r="C44" s="755">
        <f>SUMIF(_12MonLights_RateCategory,$B44,_12MonLights_Count)+SUMIF(_12MonLights_RateCategory,$B44,_12MonLights_Count_Adj)</f>
        <v>618</v>
      </c>
      <c r="D44" s="745"/>
      <c r="E44" s="751">
        <f>SUMIF(_Lights_Tariff_Category,MiscData!$T$4&amp;$B44,_Lights_Rates)</f>
        <v>14.860000000000001</v>
      </c>
      <c r="F44" s="745"/>
      <c r="G44" s="752">
        <f>ROUND(SUM($C44*$E44),0)</f>
        <v>9183</v>
      </c>
      <c r="H44" s="745"/>
      <c r="I44" s="745"/>
      <c r="J44" s="745"/>
      <c r="AA44" s="878"/>
    </row>
    <row r="45" spans="1:27" ht="12.75">
      <c r="A45" s="953" t="s">
        <v>1307</v>
      </c>
      <c r="B45" s="754" t="s">
        <v>384</v>
      </c>
      <c r="C45" s="755">
        <f>SUMIF(_12MonLights_RateCategory,$B45,_12MonLights_Count)+SUMIF(_12MonLights_RateCategory,$B45,_12MonLights_Count_Adj)</f>
        <v>1752</v>
      </c>
      <c r="D45" s="745"/>
      <c r="E45" s="751">
        <f>SUMIF(_Lights_Tariff_Category,MiscData!$T$4&amp;$B45,_Lights_Rates)</f>
        <v>21.38</v>
      </c>
      <c r="F45" s="745"/>
      <c r="G45" s="752">
        <f>ROUND(SUM($C45*$E45),0)</f>
        <v>37458</v>
      </c>
      <c r="H45" s="750"/>
      <c r="I45" s="750"/>
      <c r="J45" s="750"/>
      <c r="AA45" s="878"/>
    </row>
    <row r="46" spans="1:27" ht="12.75">
      <c r="A46" s="953" t="s">
        <v>1308</v>
      </c>
      <c r="B46" s="754" t="s">
        <v>405</v>
      </c>
      <c r="C46" s="755">
        <f>SUMIF(_12MonLights_RateCategory,$B46,_12MonLights_Count)+SUMIF(_12MonLights_RateCategory,$B46,_12MonLights_Count_Adj)</f>
        <v>5601</v>
      </c>
      <c r="D46" s="745"/>
      <c r="E46" s="751">
        <f>SUMIF(_Lights_Tariff_Category,MiscData!$T$4&amp;$B46,_Lights_Rates)</f>
        <v>15.360000000000001</v>
      </c>
      <c r="F46" s="745"/>
      <c r="G46" s="752">
        <f>ROUND(SUM($C46*$E46),0)</f>
        <v>86031</v>
      </c>
      <c r="H46" s="745"/>
      <c r="I46" s="751"/>
      <c r="J46" s="752"/>
      <c r="S46" s="877"/>
      <c r="V46" s="745"/>
      <c r="AA46" s="878"/>
    </row>
    <row r="47" spans="1:27" ht="12.75">
      <c r="A47" s="953" t="s">
        <v>1309</v>
      </c>
      <c r="B47" s="754" t="s">
        <v>407</v>
      </c>
      <c r="C47" s="755">
        <f>SUMIF(_12MonLights_RateCategory,$B47,_12MonLights_Count)+SUMIF(_12MonLights_RateCategory,$B47,_12MonLights_Count_Adj)</f>
        <v>13826</v>
      </c>
      <c r="D47" s="745"/>
      <c r="E47" s="751">
        <f>SUMIF(_Lights_Tariff_Category,MiscData!$T$4&amp;$B47,_Lights_Rates)</f>
        <v>22</v>
      </c>
      <c r="F47" s="745"/>
      <c r="G47" s="752">
        <f>ROUND(SUM($C47*$E47),0)</f>
        <v>304172</v>
      </c>
      <c r="H47" s="745"/>
      <c r="I47" s="751"/>
      <c r="J47" s="752"/>
      <c r="V47" s="745"/>
      <c r="AA47" s="878"/>
    </row>
    <row r="48" spans="1:27" ht="12.75">
      <c r="A48" s="953"/>
      <c r="B48" s="754"/>
      <c r="C48" s="755"/>
      <c r="D48" s="745"/>
      <c r="E48" s="751"/>
      <c r="F48" s="745"/>
      <c r="G48" s="752"/>
      <c r="H48" s="745"/>
      <c r="I48" s="751"/>
      <c r="J48" s="752"/>
      <c r="V48" s="745"/>
      <c r="AA48" s="878"/>
    </row>
    <row r="49" spans="1:27" ht="12.75">
      <c r="A49" s="953" t="s">
        <v>1310</v>
      </c>
      <c r="B49" s="754" t="s">
        <v>387</v>
      </c>
      <c r="C49" s="755">
        <f>SUMIF(_12MonLights_RateCategory,$B49,_12MonLights_Count)+SUMIF(_12MonLights_RateCategory,$B49,_12MonLights_Count_Adj)</f>
        <v>252</v>
      </c>
      <c r="D49" s="745"/>
      <c r="E49" s="751">
        <f>SUMIF(_Lights_Tariff_Category,MiscData!$T$4&amp;$B49,_Lights_Rates)</f>
        <v>30.84</v>
      </c>
      <c r="F49" s="745"/>
      <c r="G49" s="752">
        <f>ROUND(SUM($C49*$E49),0)</f>
        <v>7772</v>
      </c>
      <c r="H49" s="745"/>
      <c r="I49" s="756"/>
      <c r="J49" s="757"/>
      <c r="AA49" s="878"/>
    </row>
    <row r="50" spans="1:27" ht="12.75">
      <c r="A50" s="953" t="s">
        <v>1311</v>
      </c>
      <c r="B50" s="754" t="s">
        <v>410</v>
      </c>
      <c r="C50" s="755">
        <f>SUMIF(_12MonLights_RateCategory,$B50,_12MonLights_Count)+SUMIF(_12MonLights_RateCategory,$B50,_12MonLights_Count_Adj)</f>
        <v>120</v>
      </c>
      <c r="D50" s="745"/>
      <c r="E50" s="751">
        <f>SUMIF(_Lights_Tariff_Category,MiscData!$T$4&amp;$B50,_Lights_Rates)</f>
        <v>31.22</v>
      </c>
      <c r="F50" s="745"/>
      <c r="G50" s="752">
        <f>ROUND(SUM($C50*$E50),0)</f>
        <v>3746</v>
      </c>
      <c r="H50" s="745"/>
      <c r="I50" s="758"/>
      <c r="J50" s="752"/>
      <c r="V50" s="745"/>
      <c r="AA50" s="878"/>
    </row>
    <row r="51" spans="1:27" ht="12.75">
      <c r="A51" s="953"/>
      <c r="B51" s="754"/>
      <c r="C51" s="755"/>
      <c r="D51" s="745"/>
      <c r="E51" s="751"/>
      <c r="F51" s="745"/>
      <c r="G51" s="752"/>
      <c r="H51" s="745"/>
      <c r="I51" s="758"/>
      <c r="J51" s="752"/>
      <c r="V51" s="745"/>
      <c r="AA51" s="878"/>
    </row>
    <row r="52" spans="1:27" ht="12.75">
      <c r="A52" s="953" t="s">
        <v>1314</v>
      </c>
      <c r="B52" s="754" t="s">
        <v>715</v>
      </c>
      <c r="C52" s="755">
        <f t="shared" ref="C52:C59" si="2">SUMIF(_12MonLights_RateCategory,$B52,_12MonLights_Count)+SUMIF(_12MonLights_RateCategory,$B52,_12MonLights_Count_Adj)</f>
        <v>24</v>
      </c>
      <c r="D52" s="745"/>
      <c r="E52" s="751">
        <f>SUMIF(_Lights_Tariff_Category,MiscData!$T$4&amp;$B52,_Lights_Rates)</f>
        <v>15.370000000000001</v>
      </c>
      <c r="F52" s="745"/>
      <c r="G52" s="752">
        <f t="shared" ref="G52:G59" si="3">ROUND(SUM($C52*$E52),0)</f>
        <v>369</v>
      </c>
      <c r="H52" s="745"/>
      <c r="I52" s="758"/>
      <c r="J52" s="752"/>
      <c r="V52" s="745"/>
      <c r="AA52" s="878"/>
    </row>
    <row r="53" spans="1:27" ht="12.75">
      <c r="A53" s="953" t="s">
        <v>1315</v>
      </c>
      <c r="B53" s="754" t="s">
        <v>390</v>
      </c>
      <c r="C53" s="755">
        <f t="shared" si="2"/>
        <v>54348</v>
      </c>
      <c r="D53" s="745"/>
      <c r="E53" s="751">
        <f>SUMIF(_Lights_Tariff_Category,MiscData!$T$4&amp;$B53,_Lights_Rates)</f>
        <v>16.79</v>
      </c>
      <c r="F53" s="745"/>
      <c r="G53" s="752">
        <f t="shared" si="3"/>
        <v>912503</v>
      </c>
      <c r="H53" s="745"/>
      <c r="I53" s="758"/>
      <c r="J53" s="752"/>
      <c r="V53" s="745"/>
      <c r="AA53" s="878"/>
    </row>
    <row r="54" spans="1:27" ht="12.75">
      <c r="A54" s="953" t="s">
        <v>1316</v>
      </c>
      <c r="B54" s="754" t="s">
        <v>683</v>
      </c>
      <c r="C54" s="755">
        <f t="shared" si="2"/>
        <v>111</v>
      </c>
      <c r="D54" s="745"/>
      <c r="E54" s="751">
        <f>SUMIF(_Lights_Tariff_Category,MiscData!$T$4&amp;$B54,_Lights_Rates)</f>
        <v>15.35</v>
      </c>
      <c r="F54" s="745"/>
      <c r="G54" s="752">
        <f t="shared" si="3"/>
        <v>1704</v>
      </c>
      <c r="H54" s="745"/>
      <c r="I54" s="745"/>
      <c r="J54" s="752"/>
      <c r="AA54" s="878"/>
    </row>
    <row r="55" spans="1:27" ht="15">
      <c r="A55" s="953" t="s">
        <v>1317</v>
      </c>
      <c r="B55" s="754" t="s">
        <v>414</v>
      </c>
      <c r="C55" s="755">
        <f t="shared" si="2"/>
        <v>12575</v>
      </c>
      <c r="D55" s="745"/>
      <c r="E55" s="751">
        <f>SUMIF(_Lights_Tariff_Category,MiscData!$T$4&amp;$B55,_Lights_Rates)</f>
        <v>20.97</v>
      </c>
      <c r="F55" s="745"/>
      <c r="G55" s="752">
        <f t="shared" si="3"/>
        <v>263698</v>
      </c>
      <c r="H55" s="755"/>
      <c r="I55" s="755"/>
      <c r="J55" s="759"/>
      <c r="AA55" s="878"/>
    </row>
    <row r="56" spans="1:27" ht="12.75">
      <c r="A56" s="953" t="s">
        <v>1318</v>
      </c>
      <c r="B56" s="754" t="s">
        <v>463</v>
      </c>
      <c r="C56" s="755">
        <f t="shared" si="2"/>
        <v>278</v>
      </c>
      <c r="D56" s="745"/>
      <c r="E56" s="751">
        <f>SUMIF(_Lights_Tariff_Category,MiscData!$T$4&amp;$B56,_Lights_Rates)</f>
        <v>17.72</v>
      </c>
      <c r="F56" s="745"/>
      <c r="G56" s="752">
        <f t="shared" si="3"/>
        <v>4926</v>
      </c>
      <c r="H56" s="745"/>
      <c r="I56" s="758"/>
      <c r="J56" s="752"/>
      <c r="V56" s="745"/>
      <c r="AA56" s="878"/>
    </row>
    <row r="57" spans="1:27" ht="12.75">
      <c r="A57" s="953" t="s">
        <v>1319</v>
      </c>
      <c r="B57" s="754" t="s">
        <v>364</v>
      </c>
      <c r="C57" s="755">
        <f t="shared" si="2"/>
        <v>16761</v>
      </c>
      <c r="D57" s="745"/>
      <c r="E57" s="751">
        <f>SUMIF(_Lights_Tariff_Category,MiscData!$T$4&amp;$B57,_Lights_Rates)</f>
        <v>26.86</v>
      </c>
      <c r="F57" s="745"/>
      <c r="G57" s="752">
        <f t="shared" si="3"/>
        <v>450200</v>
      </c>
      <c r="H57" s="745"/>
      <c r="I57" s="745"/>
      <c r="J57" s="752"/>
      <c r="AA57" s="878"/>
    </row>
    <row r="58" spans="1:27" ht="15">
      <c r="A58" s="953" t="s">
        <v>1320</v>
      </c>
      <c r="B58" s="754" t="s">
        <v>653</v>
      </c>
      <c r="C58" s="755">
        <f t="shared" si="2"/>
        <v>286</v>
      </c>
      <c r="D58" s="745"/>
      <c r="E58" s="751">
        <f>SUMIF(_Lights_Tariff_Category,MiscData!$T$4&amp;$B58,_Lights_Rates)</f>
        <v>21.490000000000002</v>
      </c>
      <c r="F58" s="745"/>
      <c r="G58" s="752">
        <f t="shared" si="3"/>
        <v>6146</v>
      </c>
      <c r="H58" s="755"/>
      <c r="I58" s="755"/>
      <c r="J58" s="759"/>
      <c r="AA58" s="878"/>
    </row>
    <row r="59" spans="1:27" ht="12.75">
      <c r="A59" s="953" t="s">
        <v>1321</v>
      </c>
      <c r="B59" s="754" t="s">
        <v>396</v>
      </c>
      <c r="C59" s="755">
        <f t="shared" si="2"/>
        <v>11333</v>
      </c>
      <c r="D59" s="745"/>
      <c r="E59" s="751">
        <f>SUMIF(_Lights_Tariff_Category,MiscData!$T$4&amp;$B59,_Lights_Rates)</f>
        <v>33.119999999999997</v>
      </c>
      <c r="F59" s="745"/>
      <c r="G59" s="752">
        <f t="shared" si="3"/>
        <v>375349</v>
      </c>
      <c r="H59" s="745"/>
      <c r="I59" s="745"/>
      <c r="J59" s="757"/>
      <c r="AA59" s="878"/>
    </row>
    <row r="60" spans="1:27" ht="12.75">
      <c r="A60" s="953"/>
      <c r="B60" s="754"/>
      <c r="C60" s="755"/>
      <c r="D60" s="745"/>
      <c r="E60" s="751"/>
      <c r="F60" s="745"/>
      <c r="G60" s="752"/>
      <c r="H60" s="745"/>
      <c r="I60" s="745"/>
      <c r="J60" s="757"/>
      <c r="AA60" s="878"/>
    </row>
    <row r="61" spans="1:27" ht="12.75">
      <c r="A61" s="953" t="s">
        <v>1322</v>
      </c>
      <c r="B61" s="754" t="s">
        <v>432</v>
      </c>
      <c r="C61" s="755">
        <f>SUMIF(_12MonLights_RateCategory,$B61,_12MonLights_Count)+SUMIF(_12MonLights_RateCategory,$B61,_12MonLights_Count_Adj)</f>
        <v>0</v>
      </c>
      <c r="D61" s="745"/>
      <c r="E61" s="751">
        <f>SUMIF(_Lights_Tariff_Category,MiscData!$T$4&amp;$B61,_Lights_Rates)</f>
        <v>22.49</v>
      </c>
      <c r="F61" s="745"/>
      <c r="G61" s="752">
        <f>ROUND(SUM($C61*$E61),0)</f>
        <v>0</v>
      </c>
      <c r="H61" s="745"/>
    </row>
    <row r="62" spans="1:27" ht="12.75">
      <c r="A62" s="953" t="s">
        <v>1323</v>
      </c>
      <c r="B62" s="754" t="s">
        <v>433</v>
      </c>
      <c r="C62" s="755">
        <f>SUMIF(_12MonLights_RateCategory,$B62,_12MonLights_Count)+SUMIF(_12MonLights_RateCategory,$B62,_12MonLights_Count_Adj)</f>
        <v>0</v>
      </c>
      <c r="D62" s="745"/>
      <c r="E62" s="751">
        <f>SUMIF(_Lights_Tariff_Category,MiscData!$T$4&amp;$B62,_Lights_Rates)</f>
        <v>23.5</v>
      </c>
      <c r="F62" s="745"/>
      <c r="G62" s="751">
        <f>ROUND(SUM($C62*$E62),0)</f>
        <v>0</v>
      </c>
      <c r="H62" s="752"/>
    </row>
    <row r="63" spans="1:27" ht="12.75">
      <c r="A63" s="953"/>
      <c r="B63" s="754"/>
      <c r="C63" s="755"/>
      <c r="D63" s="745"/>
      <c r="E63" s="751"/>
      <c r="F63" s="745"/>
      <c r="G63" s="752"/>
      <c r="H63" s="745"/>
      <c r="I63" s="745"/>
      <c r="J63" s="757"/>
      <c r="AA63" s="878"/>
    </row>
    <row r="64" spans="1:27" ht="12.75">
      <c r="A64" s="953"/>
      <c r="B64" s="754"/>
      <c r="C64" s="755"/>
      <c r="D64" s="745"/>
      <c r="E64" s="751"/>
      <c r="F64" s="745"/>
      <c r="G64" s="752"/>
      <c r="H64" s="745"/>
      <c r="I64" s="745"/>
      <c r="J64" s="757"/>
      <c r="AA64" s="878"/>
    </row>
    <row r="65" spans="1:27" s="771" customFormat="1" ht="12.75">
      <c r="A65" s="1031" t="str">
        <f>'Sch M-1.3-pg 1'!$A$1</f>
        <v>DATA:  __X__ BASE PERIOD  ____  FORECAST PERIOD</v>
      </c>
      <c r="B65" s="922"/>
      <c r="C65" s="922"/>
      <c r="D65" s="922"/>
      <c r="E65" s="922"/>
      <c r="F65" s="922"/>
      <c r="G65" s="922"/>
      <c r="H65" s="923" t="str">
        <f>'Sch M-1.3-pg 1'!$J$1</f>
        <v>Schedule M-1.3</v>
      </c>
      <c r="J65" s="922"/>
      <c r="X65" s="935"/>
      <c r="Z65" s="931"/>
    </row>
    <row r="66" spans="1:27" s="771" customFormat="1" ht="12.75">
      <c r="A66" s="959" t="str">
        <f>'Sch M-1.3-pg 1'!$A$2</f>
        <v>TYPE OF FILING: __X__ ORIGINAL  _____ UPDATED  _____ REVISED</v>
      </c>
      <c r="B66" s="922"/>
      <c r="C66" s="922"/>
      <c r="D66" s="922"/>
      <c r="E66" s="922"/>
      <c r="F66" s="922"/>
      <c r="G66" s="922"/>
      <c r="H66" s="923" t="str">
        <f>"Page "&amp;M66&amp;" of "&amp;N66</f>
        <v>Page 16 of 18</v>
      </c>
      <c r="J66" s="922"/>
      <c r="M66" s="771">
        <f>M33+1</f>
        <v>16</v>
      </c>
      <c r="N66" s="771">
        <f>$N$147</f>
        <v>18</v>
      </c>
      <c r="X66" s="935"/>
      <c r="Z66" s="931"/>
    </row>
    <row r="67" spans="1:27" s="771" customFormat="1" ht="12.75">
      <c r="A67" s="959" t="str">
        <f>'Sch M-1.3-pg 1'!$A$3</f>
        <v>WORK PAPER REFERENCE NO(S):</v>
      </c>
      <c r="B67" s="922"/>
      <c r="C67" s="922"/>
      <c r="D67" s="922"/>
      <c r="E67" s="922"/>
      <c r="F67" s="922"/>
      <c r="G67" s="922"/>
      <c r="H67" s="924" t="str">
        <f>'Sch M-1.3-pg 1'!$J$3</f>
        <v>Witness:  M.J. Blake</v>
      </c>
      <c r="J67" s="922"/>
      <c r="X67" s="935"/>
      <c r="Z67" s="931"/>
    </row>
    <row r="68" spans="1:27" s="771" customFormat="1" ht="12.75">
      <c r="A68" s="926"/>
      <c r="B68" s="922"/>
      <c r="C68" s="922"/>
      <c r="D68" s="922"/>
      <c r="E68" s="922"/>
      <c r="F68" s="922"/>
      <c r="G68" s="922"/>
      <c r="H68" s="922"/>
      <c r="I68" s="948"/>
      <c r="J68" s="922"/>
      <c r="X68" s="935"/>
      <c r="Z68" s="931"/>
    </row>
    <row r="69" spans="1:27" s="771" customFormat="1" ht="12.75">
      <c r="A69" s="927"/>
      <c r="B69" s="745"/>
      <c r="C69" s="747" t="s">
        <v>1471</v>
      </c>
      <c r="D69" s="928"/>
      <c r="E69" s="747" t="s">
        <v>929</v>
      </c>
      <c r="F69" s="745"/>
      <c r="G69" s="747" t="s">
        <v>1452</v>
      </c>
      <c r="H69" s="747"/>
      <c r="I69" s="746"/>
      <c r="T69" s="925"/>
      <c r="U69" s="745"/>
      <c r="V69" s="745"/>
      <c r="W69" s="745"/>
      <c r="X69" s="935"/>
      <c r="Z69" s="931"/>
    </row>
    <row r="70" spans="1:27" s="771" customFormat="1" ht="12.75">
      <c r="A70" s="945"/>
      <c r="B70" s="946"/>
      <c r="C70" s="748" t="s">
        <v>1451</v>
      </c>
      <c r="D70" s="770"/>
      <c r="E70" s="749" t="s">
        <v>127</v>
      </c>
      <c r="F70" s="947"/>
      <c r="G70" s="749" t="s">
        <v>149</v>
      </c>
      <c r="H70" s="747"/>
      <c r="I70" s="746"/>
      <c r="X70" s="935"/>
      <c r="Z70" s="931"/>
    </row>
    <row r="71" spans="1:27" ht="12.75">
      <c r="A71" s="955" t="s">
        <v>1324</v>
      </c>
      <c r="B71" s="745"/>
      <c r="C71" s="745"/>
      <c r="D71" s="757"/>
      <c r="E71" s="757" t="s">
        <v>152</v>
      </c>
      <c r="F71" s="745"/>
      <c r="G71" s="956"/>
      <c r="H71" s="745"/>
      <c r="I71" s="745"/>
      <c r="J71" s="745"/>
      <c r="Y71" s="877"/>
      <c r="AA71" s="878"/>
    </row>
    <row r="72" spans="1:27" ht="12.75">
      <c r="A72" s="879" t="s">
        <v>630</v>
      </c>
      <c r="B72" s="761">
        <v>0</v>
      </c>
      <c r="C72" s="755">
        <f>SUMIF(GranVille!$B$41:$B$113,$B72,GranVille!Y$41:Y$113)</f>
        <v>4648</v>
      </c>
      <c r="D72" s="745"/>
      <c r="E72" s="751">
        <f>SUMIF(GranVille!$B$2:$B$15,$B72,GranVille!$U$2:$U$15)</f>
        <v>55.33</v>
      </c>
      <c r="F72" s="745"/>
      <c r="G72" s="752">
        <f>ROUND(SUM($C72*$E72),0)</f>
        <v>257174</v>
      </c>
      <c r="H72" s="750"/>
      <c r="I72" s="750"/>
      <c r="J72" s="750"/>
      <c r="AA72" s="878"/>
    </row>
    <row r="73" spans="1:27" ht="12.75">
      <c r="A73" s="879" t="s">
        <v>632</v>
      </c>
      <c r="B73" s="754"/>
      <c r="C73" s="755"/>
      <c r="D73" s="745"/>
      <c r="E73" s="751"/>
      <c r="F73" s="745"/>
      <c r="G73" s="752"/>
      <c r="H73" s="745"/>
      <c r="I73" s="751"/>
      <c r="J73" s="752"/>
      <c r="V73" s="745"/>
      <c r="AA73" s="878"/>
    </row>
    <row r="74" spans="1:27" ht="12.75">
      <c r="A74" s="879" t="s">
        <v>634</v>
      </c>
      <c r="B74" s="761">
        <v>2</v>
      </c>
      <c r="C74" s="755">
        <f>SUMIF(GranVille!$B$41:$B$113,$B74,GranVille!Y$41:Y$113)</f>
        <v>353</v>
      </c>
      <c r="D74" s="745"/>
      <c r="E74" s="751">
        <f>SUMIF(GranVille!$B$2:$B$15,$B74,GranVille!$U$2:$U$15)</f>
        <v>20.57</v>
      </c>
      <c r="F74" s="745"/>
      <c r="G74" s="752">
        <f t="shared" ref="G74:G83" si="4">ROUND(SUM($C74*$E74),0)</f>
        <v>7261</v>
      </c>
      <c r="H74" s="745"/>
      <c r="I74" s="751"/>
      <c r="J74" s="752"/>
      <c r="V74" s="745"/>
      <c r="AA74" s="878"/>
    </row>
    <row r="75" spans="1:27" ht="12.75">
      <c r="A75" s="879" t="s">
        <v>635</v>
      </c>
      <c r="B75" s="761">
        <v>3</v>
      </c>
      <c r="C75" s="755">
        <f>SUMIF(GranVille!$B$41:$B$113,$B75,GranVille!Y$41:Y$113)</f>
        <v>288</v>
      </c>
      <c r="D75" s="745"/>
      <c r="E75" s="751">
        <f>SUMIF(GranVille!$B$2:$B$15,$B75,GranVille!$U$2:$U$15)</f>
        <v>3.21</v>
      </c>
      <c r="F75" s="745"/>
      <c r="G75" s="752">
        <f t="shared" si="4"/>
        <v>924</v>
      </c>
      <c r="H75" s="745"/>
      <c r="I75" s="751"/>
      <c r="J75" s="757"/>
      <c r="AA75" s="878"/>
    </row>
    <row r="76" spans="1:27" ht="12.75">
      <c r="A76" s="879" t="s">
        <v>636</v>
      </c>
      <c r="B76" s="761">
        <v>4</v>
      </c>
      <c r="C76" s="755">
        <f>SUMIF(GranVille!$B$41:$B$113,$B76,GranVille!Y$41:Y$113)</f>
        <v>1210</v>
      </c>
      <c r="D76" s="745"/>
      <c r="E76" s="751">
        <f>SUMIF(GranVille!$B$2:$B$15,$B76,GranVille!$U$2:$U$15)</f>
        <v>4.43</v>
      </c>
      <c r="F76" s="745"/>
      <c r="G76" s="752">
        <f t="shared" si="4"/>
        <v>5360</v>
      </c>
      <c r="H76" s="745"/>
      <c r="I76" s="758"/>
      <c r="J76" s="752"/>
      <c r="V76" s="745"/>
      <c r="AA76" s="878"/>
    </row>
    <row r="77" spans="1:27" ht="12.75">
      <c r="A77" s="879" t="s">
        <v>637</v>
      </c>
      <c r="B77" s="761">
        <v>5</v>
      </c>
      <c r="C77" s="755">
        <f>SUMIF(GranVille!$B$41:$B$113,$B77,GranVille!Y$41:Y$113)</f>
        <v>1200</v>
      </c>
      <c r="D77" s="745"/>
      <c r="E77" s="751">
        <f>SUMIF(GranVille!$B$2:$B$15,$B77,GranVille!$U$2:$U$15)</f>
        <v>2.95</v>
      </c>
      <c r="F77" s="745"/>
      <c r="G77" s="752">
        <f t="shared" si="4"/>
        <v>3540</v>
      </c>
      <c r="H77" s="745"/>
      <c r="I77" s="758"/>
      <c r="J77" s="752"/>
      <c r="V77" s="745"/>
      <c r="AA77" s="878"/>
    </row>
    <row r="78" spans="1:27" ht="12.75">
      <c r="A78" s="879" t="s">
        <v>638</v>
      </c>
      <c r="B78" s="761">
        <v>7</v>
      </c>
      <c r="C78" s="755">
        <f>SUMIF(GranVille!$B$41:$B$113,$B78,GranVille!Y$41:Y$113)</f>
        <v>0</v>
      </c>
      <c r="D78" s="745"/>
      <c r="E78" s="751">
        <f>SUMIF(GranVille!$B$2:$B$15,$B78,GranVille!$U$2:$U$15)</f>
        <v>3.66</v>
      </c>
      <c r="F78" s="745"/>
      <c r="G78" s="752">
        <f t="shared" si="4"/>
        <v>0</v>
      </c>
      <c r="H78" s="745"/>
      <c r="I78" s="758"/>
      <c r="J78" s="752"/>
      <c r="V78" s="745"/>
      <c r="AA78" s="878"/>
    </row>
    <row r="79" spans="1:27" ht="12.75">
      <c r="A79" s="879" t="s">
        <v>603</v>
      </c>
      <c r="B79" s="761">
        <v>6</v>
      </c>
      <c r="C79" s="755">
        <f>SUMIF(GranVille!$B$41:$B$113,$B79,GranVille!Y$41:Y$113)</f>
        <v>413</v>
      </c>
      <c r="D79" s="745"/>
      <c r="E79" s="751">
        <f>SUMIF(GranVille!$B$2:$B$15,$B79,GranVille!$U$2:$U$15)</f>
        <v>1.36</v>
      </c>
      <c r="F79" s="745"/>
      <c r="G79" s="752">
        <f t="shared" si="4"/>
        <v>562</v>
      </c>
      <c r="H79" s="745"/>
      <c r="I79" s="758"/>
      <c r="J79" s="752"/>
      <c r="V79" s="745"/>
      <c r="AA79" s="878"/>
    </row>
    <row r="80" spans="1:27" ht="12.75">
      <c r="A80" s="879" t="s">
        <v>605</v>
      </c>
      <c r="B80" s="761">
        <v>8</v>
      </c>
      <c r="C80" s="755">
        <f>SUMIF(GranVille!$B$41:$B$113,$B80,GranVille!Y$41:Y$113)</f>
        <v>689</v>
      </c>
      <c r="D80" s="745"/>
      <c r="E80" s="751">
        <f>SUMIF(GranVille!$B$2:$B$15,$B80,GranVille!$U$2:$U$15)</f>
        <v>19.190000000000001</v>
      </c>
      <c r="F80" s="745"/>
      <c r="G80" s="752">
        <f t="shared" si="4"/>
        <v>13222</v>
      </c>
      <c r="H80" s="745"/>
      <c r="I80" s="758"/>
      <c r="J80" s="752"/>
      <c r="V80" s="745"/>
      <c r="AA80" s="878"/>
    </row>
    <row r="81" spans="1:27" ht="12.75">
      <c r="A81" s="879" t="s">
        <v>639</v>
      </c>
      <c r="B81" s="761">
        <v>10</v>
      </c>
      <c r="C81" s="755">
        <f>SUMIF(GranVille!$B$41:$B$113,$B81,GranVille!Y$41:Y$113)</f>
        <v>0</v>
      </c>
      <c r="D81" s="745"/>
      <c r="E81" s="751">
        <f>SUMIF(GranVille!$B$2:$B$15,$B81,GranVille!$U$2:$U$15)</f>
        <v>2.62</v>
      </c>
      <c r="F81" s="745"/>
      <c r="G81" s="752">
        <f t="shared" si="4"/>
        <v>0</v>
      </c>
      <c r="H81" s="745"/>
      <c r="I81" s="758"/>
      <c r="J81" s="752"/>
      <c r="V81" s="745"/>
      <c r="AA81" s="878"/>
    </row>
    <row r="82" spans="1:27" ht="12.75">
      <c r="A82" s="879" t="s">
        <v>608</v>
      </c>
      <c r="B82" s="761">
        <v>11</v>
      </c>
      <c r="C82" s="755">
        <f>SUMIF(GranVille!$B$41:$B$113,$B82,GranVille!Y$41:Y$113)</f>
        <v>666</v>
      </c>
      <c r="D82" s="745"/>
      <c r="E82" s="751">
        <f>SUMIF(GranVille!$B$2:$B$15,$B82,GranVille!$U$2:$U$15)</f>
        <v>4.45</v>
      </c>
      <c r="F82" s="745"/>
      <c r="G82" s="752">
        <f t="shared" si="4"/>
        <v>2964</v>
      </c>
      <c r="H82" s="745"/>
      <c r="I82" s="758"/>
      <c r="J82" s="752"/>
      <c r="V82" s="745"/>
      <c r="AA82" s="878"/>
    </row>
    <row r="83" spans="1:27" ht="12.75">
      <c r="A83" s="879" t="s">
        <v>609</v>
      </c>
      <c r="B83" s="761">
        <v>12</v>
      </c>
      <c r="C83" s="755">
        <f>SUMIF(GranVille!$B$41:$B$113,$B83,GranVille!Y$41:Y$113)</f>
        <v>0</v>
      </c>
      <c r="D83" s="745"/>
      <c r="E83" s="751">
        <f>SUMIF(GranVille!$B$2:$B$15,$B83,GranVille!$U$2:$U$15)</f>
        <v>4.9400000000000004</v>
      </c>
      <c r="F83" s="745"/>
      <c r="G83" s="752">
        <f t="shared" si="4"/>
        <v>0</v>
      </c>
      <c r="H83" s="745"/>
      <c r="I83" s="758"/>
      <c r="J83" s="752"/>
      <c r="V83" s="745"/>
      <c r="AA83" s="878"/>
    </row>
    <row r="84" spans="1:27" ht="12.75">
      <c r="A84" s="879"/>
      <c r="B84" s="761"/>
      <c r="C84" s="755"/>
      <c r="D84" s="745"/>
      <c r="E84" s="751"/>
      <c r="F84" s="745"/>
      <c r="G84" s="752"/>
      <c r="H84" s="745"/>
      <c r="I84" s="758"/>
      <c r="J84" s="752"/>
      <c r="V84" s="745"/>
      <c r="AA84" s="878"/>
    </row>
    <row r="85" spans="1:27" ht="12.75">
      <c r="A85" s="951" t="s">
        <v>576</v>
      </c>
      <c r="B85" s="761"/>
      <c r="C85" s="755"/>
      <c r="D85" s="745"/>
      <c r="E85" s="751"/>
      <c r="F85" s="745"/>
      <c r="G85" s="752"/>
      <c r="H85" s="745"/>
      <c r="I85" s="758"/>
      <c r="J85" s="752"/>
      <c r="V85" s="745"/>
      <c r="AA85" s="878"/>
    </row>
    <row r="86" spans="1:27" ht="12.75">
      <c r="A86" s="953" t="s">
        <v>907</v>
      </c>
      <c r="B86" s="754" t="s">
        <v>337</v>
      </c>
      <c r="C86" s="755">
        <f t="shared" ref="C86:C91" si="5">SUMIF(_12MonLights_RateCategory,$B86,_12MonLights_Count)+SUMIF(_12MonLights_RateCategory,$B86,_12MonLights_Count_Adj)</f>
        <v>695</v>
      </c>
      <c r="D86" s="745"/>
      <c r="E86" s="751">
        <f>SUMIF(_Lights_Tariff_Category,MiscData!$T$4&amp;$B86,_Lights_Rates)</f>
        <v>15.47</v>
      </c>
      <c r="F86" s="745"/>
      <c r="G86" s="752">
        <f t="shared" ref="G86:G91" si="6">ROUND(SUM($C86*$E86),0)</f>
        <v>10752</v>
      </c>
      <c r="H86" s="745"/>
      <c r="I86" s="758"/>
      <c r="J86" s="752"/>
      <c r="V86" s="745"/>
      <c r="AA86" s="878"/>
    </row>
    <row r="87" spans="1:27" ht="12.75">
      <c r="A87" s="953" t="s">
        <v>1325</v>
      </c>
      <c r="B87" s="754" t="s">
        <v>334</v>
      </c>
      <c r="C87" s="755">
        <f t="shared" si="5"/>
        <v>2129</v>
      </c>
      <c r="D87" s="745"/>
      <c r="E87" s="751">
        <f>SUMIF(_Lights_Tariff_Category,MiscData!$T$4&amp;$B87,_Lights_Rates)</f>
        <v>28.37</v>
      </c>
      <c r="F87" s="745"/>
      <c r="G87" s="752">
        <f t="shared" si="6"/>
        <v>60400</v>
      </c>
      <c r="H87" s="745"/>
      <c r="I87" s="758"/>
      <c r="J87" s="752"/>
      <c r="V87" s="745"/>
      <c r="AA87" s="878"/>
    </row>
    <row r="88" spans="1:27" ht="12.75">
      <c r="A88" s="953" t="s">
        <v>928</v>
      </c>
      <c r="B88" s="754" t="s">
        <v>369</v>
      </c>
      <c r="C88" s="755">
        <f t="shared" si="5"/>
        <v>3649</v>
      </c>
      <c r="D88" s="745"/>
      <c r="E88" s="751">
        <f>SUMIF(_Lights_Tariff_Category,MiscData!$T$4&amp;$B88,_Lights_Rates)</f>
        <v>21.930000000000003</v>
      </c>
      <c r="F88" s="745"/>
      <c r="G88" s="752">
        <f t="shared" si="6"/>
        <v>80023</v>
      </c>
      <c r="H88" s="745"/>
      <c r="I88" s="758"/>
      <c r="J88" s="752"/>
      <c r="V88" s="745"/>
      <c r="AA88" s="878"/>
    </row>
    <row r="89" spans="1:27" ht="12.75">
      <c r="A89" s="953" t="s">
        <v>1326</v>
      </c>
      <c r="B89" s="754" t="s">
        <v>366</v>
      </c>
      <c r="C89" s="755">
        <f t="shared" si="5"/>
        <v>7466</v>
      </c>
      <c r="D89" s="745"/>
      <c r="E89" s="751">
        <f>SUMIF(_Lights_Tariff_Category,MiscData!$T$4&amp;$B89,_Lights_Rates)</f>
        <v>34.830000000000005</v>
      </c>
      <c r="F89" s="745"/>
      <c r="G89" s="752">
        <f t="shared" si="6"/>
        <v>260041</v>
      </c>
      <c r="H89" s="745"/>
      <c r="I89" s="758"/>
      <c r="J89" s="752"/>
      <c r="V89" s="745"/>
      <c r="AA89" s="878"/>
    </row>
    <row r="90" spans="1:27" ht="12.75">
      <c r="A90" s="953" t="s">
        <v>908</v>
      </c>
      <c r="B90" s="754" t="s">
        <v>332</v>
      </c>
      <c r="C90" s="755">
        <f t="shared" si="5"/>
        <v>529</v>
      </c>
      <c r="D90" s="745"/>
      <c r="E90" s="751">
        <f>SUMIF(_Lights_Tariff_Category,MiscData!$T$4&amp;$B90,_Lights_Rates)</f>
        <v>45.7</v>
      </c>
      <c r="F90" s="745"/>
      <c r="G90" s="752">
        <f t="shared" si="6"/>
        <v>24175</v>
      </c>
      <c r="H90" s="745"/>
      <c r="I90" s="758"/>
      <c r="J90" s="752"/>
      <c r="V90" s="745"/>
      <c r="AA90" s="878"/>
    </row>
    <row r="91" spans="1:27" ht="12.75">
      <c r="A91" s="953" t="s">
        <v>1327</v>
      </c>
      <c r="B91" s="754" t="s">
        <v>329</v>
      </c>
      <c r="C91" s="755">
        <f t="shared" si="5"/>
        <v>1888</v>
      </c>
      <c r="D91" s="745"/>
      <c r="E91" s="751">
        <f>SUMIF(_Lights_Tariff_Category,MiscData!$T$4&amp;$B91,_Lights_Rates)</f>
        <v>58.59</v>
      </c>
      <c r="F91" s="745"/>
      <c r="G91" s="752">
        <f t="shared" si="6"/>
        <v>110618</v>
      </c>
      <c r="H91" s="745"/>
      <c r="I91" s="758"/>
      <c r="J91" s="752"/>
      <c r="V91" s="745"/>
      <c r="AA91" s="878"/>
    </row>
    <row r="92" spans="1:27" ht="12.75">
      <c r="A92" s="951"/>
      <c r="B92" s="761"/>
      <c r="C92" s="755"/>
      <c r="D92" s="745"/>
      <c r="E92" s="751"/>
      <c r="F92" s="745"/>
      <c r="G92" s="752"/>
      <c r="H92" s="745"/>
      <c r="I92" s="758"/>
      <c r="J92" s="752"/>
      <c r="V92" s="745"/>
      <c r="AA92" s="878"/>
    </row>
    <row r="93" spans="1:27" ht="15">
      <c r="A93" s="879" t="s">
        <v>803</v>
      </c>
      <c r="B93" s="761"/>
      <c r="C93" s="755"/>
      <c r="D93" s="745"/>
      <c r="E93" s="751"/>
      <c r="F93" s="745"/>
      <c r="G93" s="759">
        <f>ROUND(SUMIF(_12MonLights_RateClass,"LS",_12MonLights_Revenue_Adj),0)+2</f>
        <v>-10288</v>
      </c>
      <c r="H93" s="745"/>
      <c r="I93" s="758"/>
      <c r="J93" s="752"/>
      <c r="V93" s="745"/>
      <c r="AA93" s="878"/>
    </row>
    <row r="94" spans="1:27" ht="12.75">
      <c r="A94" s="879"/>
      <c r="B94" s="761"/>
      <c r="C94" s="755"/>
      <c r="D94" s="745"/>
      <c r="E94" s="751"/>
      <c r="F94" s="745"/>
      <c r="G94" s="752"/>
      <c r="H94" s="745"/>
      <c r="I94" s="758"/>
      <c r="J94" s="752"/>
      <c r="V94" s="745"/>
      <c r="AA94" s="878"/>
    </row>
    <row r="95" spans="1:27" ht="15">
      <c r="A95" s="838" t="s">
        <v>1453</v>
      </c>
      <c r="B95" s="745"/>
      <c r="C95" s="762">
        <f>SUM(C11:C72,C86:C91)</f>
        <v>1703067</v>
      </c>
      <c r="D95" s="762"/>
      <c r="E95" s="759"/>
      <c r="F95" s="759"/>
      <c r="G95" s="759">
        <f>SUM(G11:G93)</f>
        <v>21466679</v>
      </c>
      <c r="H95" s="759"/>
      <c r="I95" s="759"/>
      <c r="J95" s="759"/>
      <c r="AA95" s="878"/>
    </row>
    <row r="96" spans="1:27" ht="15">
      <c r="A96" s="934"/>
      <c r="B96" s="745"/>
      <c r="C96" s="762"/>
      <c r="D96" s="762"/>
      <c r="E96" s="759"/>
      <c r="F96" s="759"/>
      <c r="G96" s="759"/>
      <c r="H96" s="759"/>
      <c r="I96" s="759"/>
      <c r="J96" s="759"/>
      <c r="AA96" s="878"/>
    </row>
    <row r="97" spans="1:27" ht="12.75">
      <c r="A97" s="934"/>
      <c r="B97" s="745"/>
      <c r="C97" s="745"/>
      <c r="D97" s="755"/>
      <c r="E97" s="839" t="s">
        <v>1454</v>
      </c>
      <c r="F97" s="765"/>
      <c r="G97" s="765">
        <f>'Sch M-1.3-pg 1'!$J$52</f>
        <v>1.0000827474212541</v>
      </c>
      <c r="H97" s="765"/>
    </row>
    <row r="98" spans="1:27" ht="12.75">
      <c r="A98" s="934"/>
      <c r="B98" s="745"/>
      <c r="C98" s="745"/>
      <c r="D98" s="755"/>
      <c r="E98" s="766"/>
      <c r="F98" s="745"/>
      <c r="G98" s="766"/>
      <c r="H98" s="745"/>
    </row>
    <row r="99" spans="1:27" ht="15">
      <c r="A99" s="937" t="s">
        <v>155</v>
      </c>
      <c r="B99" s="745"/>
      <c r="C99" s="745"/>
      <c r="D99" s="745"/>
      <c r="F99" s="745"/>
      <c r="G99" s="767">
        <f>G95/G97</f>
        <v>21464902.834642962</v>
      </c>
      <c r="H99" s="745"/>
    </row>
    <row r="100" spans="1:27" ht="15">
      <c r="A100" s="777"/>
      <c r="B100" s="745"/>
      <c r="C100" s="745"/>
      <c r="D100" s="755"/>
      <c r="E100" s="745"/>
      <c r="F100" s="745"/>
      <c r="G100" s="768"/>
      <c r="H100" s="745"/>
      <c r="W100" s="745"/>
      <c r="X100" s="745"/>
      <c r="Y100" s="745"/>
    </row>
    <row r="101" spans="1:27" ht="15">
      <c r="A101" s="937" t="s">
        <v>156</v>
      </c>
      <c r="B101" s="745"/>
      <c r="C101" s="745"/>
      <c r="D101" s="755"/>
      <c r="E101" s="745"/>
      <c r="F101" s="745"/>
      <c r="G101" s="768"/>
      <c r="H101" s="745"/>
    </row>
    <row r="102" spans="1:27" ht="12.75">
      <c r="A102" s="937" t="s">
        <v>157</v>
      </c>
      <c r="B102" s="745"/>
      <c r="C102" s="745"/>
      <c r="D102" s="755"/>
      <c r="E102" s="745"/>
      <c r="F102" s="745"/>
      <c r="G102" s="752">
        <f>'12MonLights'!Q1080</f>
        <v>203091.2522239472</v>
      </c>
      <c r="H102" s="745"/>
      <c r="W102" s="745"/>
      <c r="X102" s="745"/>
      <c r="Y102" s="745"/>
    </row>
    <row r="103" spans="1:27" ht="12.75">
      <c r="A103" s="937" t="s">
        <v>158</v>
      </c>
      <c r="B103" s="745"/>
      <c r="C103" s="745"/>
      <c r="D103" s="755"/>
      <c r="E103" s="745"/>
      <c r="F103" s="745"/>
      <c r="G103" s="752">
        <v>0</v>
      </c>
      <c r="H103" s="745"/>
      <c r="W103" s="745"/>
      <c r="X103" s="745"/>
      <c r="Y103" s="745"/>
    </row>
    <row r="104" spans="1:27" ht="12.75">
      <c r="A104" s="937" t="s">
        <v>159</v>
      </c>
      <c r="B104" s="745"/>
      <c r="C104" s="745"/>
      <c r="D104" s="755"/>
      <c r="E104" s="745"/>
      <c r="F104" s="745"/>
      <c r="G104" s="752">
        <f>'12MonLights'!S1080</f>
        <v>462658.54700241273</v>
      </c>
      <c r="H104" s="745"/>
      <c r="W104" s="745"/>
      <c r="X104" s="745"/>
      <c r="Y104" s="745"/>
    </row>
    <row r="105" spans="1:27" ht="15">
      <c r="A105" s="938" t="s">
        <v>162</v>
      </c>
      <c r="B105" s="745"/>
      <c r="C105" s="745"/>
      <c r="D105" s="755"/>
      <c r="E105" s="745"/>
      <c r="F105" s="745"/>
      <c r="G105" s="759">
        <f>SUM(G102:G104)</f>
        <v>665749.79922635993</v>
      </c>
      <c r="H105" s="745"/>
    </row>
    <row r="106" spans="1:27" ht="15">
      <c r="A106" s="938"/>
      <c r="B106" s="745"/>
      <c r="C106" s="745"/>
      <c r="D106" s="755"/>
      <c r="E106" s="745"/>
      <c r="F106" s="745"/>
      <c r="G106" s="768"/>
      <c r="H106" s="745"/>
    </row>
    <row r="107" spans="1:27" ht="15">
      <c r="A107" s="938" t="s">
        <v>163</v>
      </c>
      <c r="B107" s="745"/>
      <c r="C107" s="745"/>
      <c r="D107" s="755"/>
      <c r="E107" s="745"/>
      <c r="F107" s="745"/>
      <c r="G107" s="769">
        <f>G105+G99</f>
        <v>22130652.63386932</v>
      </c>
      <c r="H107" s="745"/>
      <c r="X107" s="745"/>
      <c r="Y107" s="745"/>
    </row>
    <row r="108" spans="1:27" ht="12.75">
      <c r="A108" s="934"/>
      <c r="B108" s="745"/>
      <c r="C108" s="757"/>
      <c r="D108" s="757"/>
      <c r="E108" s="757"/>
      <c r="F108" s="745"/>
      <c r="G108" s="757"/>
      <c r="H108" s="745"/>
      <c r="I108" s="745"/>
      <c r="J108" s="757"/>
      <c r="AA108" s="878"/>
    </row>
    <row r="109" spans="1:27" s="771" customFormat="1" ht="12.75">
      <c r="A109" s="1031" t="str">
        <f>'Sch M-1.3-pg 1'!$A$1</f>
        <v>DATA:  __X__ BASE PERIOD  ____  FORECAST PERIOD</v>
      </c>
      <c r="B109" s="922"/>
      <c r="C109" s="922"/>
      <c r="D109" s="922"/>
      <c r="E109" s="922"/>
      <c r="F109" s="922"/>
      <c r="G109" s="922"/>
      <c r="H109" s="923" t="str">
        <f>'Sch M-1.3-pg 1'!$J$1</f>
        <v>Schedule M-1.3</v>
      </c>
      <c r="J109" s="922"/>
      <c r="X109" s="935"/>
      <c r="Z109" s="931"/>
    </row>
    <row r="110" spans="1:27" s="771" customFormat="1" ht="12.75">
      <c r="A110" s="959" t="str">
        <f>'Sch M-1.3-pg 1'!$A$2</f>
        <v>TYPE OF FILING: __X__ ORIGINAL  _____ UPDATED  _____ REVISED</v>
      </c>
      <c r="B110" s="922"/>
      <c r="C110" s="922"/>
      <c r="D110" s="922"/>
      <c r="E110" s="922"/>
      <c r="F110" s="922"/>
      <c r="G110" s="922"/>
      <c r="H110" s="923" t="str">
        <f>"Page "&amp;M110&amp;" of "&amp;N110</f>
        <v>Page 17 of 18</v>
      </c>
      <c r="J110" s="922"/>
      <c r="M110" s="771">
        <f>M66+1</f>
        <v>17</v>
      </c>
      <c r="N110" s="771">
        <f>$N$147</f>
        <v>18</v>
      </c>
      <c r="X110" s="935"/>
      <c r="Z110" s="931"/>
    </row>
    <row r="111" spans="1:27" s="771" customFormat="1" ht="12.75">
      <c r="A111" s="959" t="str">
        <f>'Sch M-1.3-pg 1'!$A$3</f>
        <v>WORK PAPER REFERENCE NO(S):</v>
      </c>
      <c r="B111" s="922"/>
      <c r="C111" s="922"/>
      <c r="D111" s="922"/>
      <c r="E111" s="922"/>
      <c r="F111" s="922"/>
      <c r="G111" s="922"/>
      <c r="H111" s="924" t="str">
        <f>'Sch M-1.3-pg 1'!$J$3</f>
        <v>Witness:  M.J. Blake</v>
      </c>
      <c r="J111" s="922"/>
      <c r="X111" s="935"/>
      <c r="Z111" s="931"/>
    </row>
    <row r="112" spans="1:27" s="771" customFormat="1" ht="12.75">
      <c r="A112" s="926"/>
      <c r="B112" s="922"/>
      <c r="C112" s="922"/>
      <c r="D112" s="922"/>
      <c r="E112" s="922"/>
      <c r="F112" s="922"/>
      <c r="G112" s="922"/>
      <c r="H112" s="922"/>
      <c r="I112" s="948"/>
      <c r="J112" s="922"/>
      <c r="X112" s="935"/>
      <c r="Z112" s="931"/>
    </row>
    <row r="113" spans="1:27" s="771" customFormat="1" ht="12.75">
      <c r="A113" s="927"/>
      <c r="B113" s="745"/>
      <c r="C113" s="747" t="s">
        <v>1471</v>
      </c>
      <c r="D113" s="928"/>
      <c r="E113" s="747" t="s">
        <v>929</v>
      </c>
      <c r="F113" s="745"/>
      <c r="G113" s="747" t="s">
        <v>1452</v>
      </c>
      <c r="H113" s="747"/>
      <c r="I113" s="746"/>
      <c r="T113" s="925"/>
      <c r="U113" s="745"/>
      <c r="V113" s="745"/>
      <c r="W113" s="745"/>
      <c r="X113" s="935"/>
      <c r="Z113" s="931"/>
    </row>
    <row r="114" spans="1:27" s="771" customFormat="1" ht="12.75">
      <c r="A114" s="945"/>
      <c r="B114" s="946"/>
      <c r="C114" s="748" t="s">
        <v>1451</v>
      </c>
      <c r="D114" s="770"/>
      <c r="E114" s="749" t="s">
        <v>127</v>
      </c>
      <c r="F114" s="947"/>
      <c r="G114" s="749" t="s">
        <v>149</v>
      </c>
      <c r="H114" s="747"/>
      <c r="I114" s="746"/>
      <c r="X114" s="935"/>
      <c r="Z114" s="931"/>
    </row>
    <row r="115" spans="1:27" ht="12.75">
      <c r="A115" s="937" t="s">
        <v>1328</v>
      </c>
      <c r="B115" s="745"/>
      <c r="C115" s="745"/>
      <c r="D115" s="750"/>
      <c r="E115" s="750"/>
      <c r="F115" s="750"/>
      <c r="G115" s="745"/>
      <c r="H115" s="765"/>
      <c r="I115" s="765"/>
      <c r="J115" s="765"/>
      <c r="AA115" s="878"/>
    </row>
    <row r="116" spans="1:27" ht="12.75">
      <c r="A116" s="929" t="s">
        <v>1329</v>
      </c>
      <c r="B116" s="745"/>
      <c r="C116" s="745"/>
      <c r="D116" s="750"/>
      <c r="E116" s="750"/>
      <c r="F116" s="750"/>
      <c r="G116" s="745"/>
      <c r="H116" s="745"/>
      <c r="I116" s="745"/>
      <c r="J116" s="766"/>
      <c r="AA116" s="878"/>
    </row>
    <row r="117" spans="1:27" ht="15">
      <c r="A117" s="951" t="s">
        <v>514</v>
      </c>
      <c r="B117" s="745"/>
      <c r="C117" s="745"/>
      <c r="D117" s="745"/>
      <c r="E117" s="752"/>
      <c r="F117" s="745"/>
      <c r="G117" s="752"/>
      <c r="H117" s="745"/>
      <c r="I117" s="745"/>
      <c r="J117" s="767"/>
      <c r="AA117" s="878"/>
    </row>
    <row r="118" spans="1:27" ht="12.75">
      <c r="A118" s="953" t="s">
        <v>910</v>
      </c>
      <c r="B118" s="754" t="s">
        <v>372</v>
      </c>
      <c r="C118" s="755">
        <f>SUMIF(_12MonLights_RateCategory,$B118,_12MonLights_Count)+SUMIF(_12MonLights_RateCategory,$B118,_12MonLights_Count_Adj)</f>
        <v>78858</v>
      </c>
      <c r="D118" s="745"/>
      <c r="E118" s="751">
        <f>SUMIF(_Lights_Tariff_Category,MiscData!$T$4&amp;$B118,_Lights_Rates)</f>
        <v>7.54</v>
      </c>
      <c r="F118" s="745"/>
      <c r="G118" s="752">
        <f>ROUND(SUM($C118*$E118),0)</f>
        <v>594589</v>
      </c>
      <c r="H118" s="745"/>
      <c r="I118" s="745"/>
      <c r="J118" s="752"/>
      <c r="AA118" s="878"/>
    </row>
    <row r="119" spans="1:27" ht="15">
      <c r="A119" s="953" t="s">
        <v>1330</v>
      </c>
      <c r="B119" s="754" t="s">
        <v>371</v>
      </c>
      <c r="C119" s="755">
        <f>SUMIF(_12MonLights_RateCategory,$B119,_12MonLights_Count)+SUMIF(_12MonLights_RateCategory,$B119,_12MonLights_Count_Adj)</f>
        <v>43380</v>
      </c>
      <c r="D119" s="745"/>
      <c r="E119" s="751">
        <f>SUMIF(_Lights_Tariff_Category,MiscData!$T$4&amp;$B119,_Lights_Rates)</f>
        <v>10.49</v>
      </c>
      <c r="F119" s="745"/>
      <c r="G119" s="752">
        <f>ROUND(SUM($C119*$E119),0)</f>
        <v>455056</v>
      </c>
      <c r="H119" s="752"/>
      <c r="I119" s="752"/>
      <c r="J119" s="767"/>
      <c r="AA119" s="878"/>
    </row>
    <row r="120" spans="1:27" ht="15">
      <c r="A120" s="953" t="s">
        <v>911</v>
      </c>
      <c r="B120" s="754" t="s">
        <v>398</v>
      </c>
      <c r="C120" s="755">
        <f>SUMIF(_12MonLights_RateCategory,$B120,_12MonLights_Count)+SUMIF(_12MonLights_RateCategory,$B120,_12MonLights_Count_Adj)</f>
        <v>1654</v>
      </c>
      <c r="D120" s="745"/>
      <c r="E120" s="751">
        <f>SUMIF(_Lights_Tariff_Category,MiscData!$T$4&amp;$B120,_Lights_Rates)</f>
        <v>11.71</v>
      </c>
      <c r="F120" s="745"/>
      <c r="G120" s="752">
        <f>ROUND(SUM($C120*$E120),0)</f>
        <v>19368</v>
      </c>
      <c r="H120" s="745"/>
      <c r="I120" s="745"/>
      <c r="J120" s="768"/>
      <c r="AA120" s="878"/>
    </row>
    <row r="121" spans="1:27" ht="15">
      <c r="A121" s="953"/>
      <c r="B121" s="754"/>
      <c r="C121" s="755"/>
      <c r="D121" s="745"/>
      <c r="E121" s="751"/>
      <c r="F121" s="745"/>
      <c r="G121" s="752"/>
      <c r="H121" s="745"/>
      <c r="I121" s="745"/>
      <c r="J121" s="768"/>
      <c r="AA121" s="878"/>
    </row>
    <row r="122" spans="1:27" ht="12.75">
      <c r="A122" s="953" t="s">
        <v>909</v>
      </c>
      <c r="B122" s="754" t="s">
        <v>391</v>
      </c>
      <c r="C122" s="755">
        <f>SUMIF(_12MonLights_RateCategory,$B122,_12MonLights_Count)+SUMIF(_12MonLights_RateCategory,$B122,_12MonLights_Count_Adj)</f>
        <v>2020</v>
      </c>
      <c r="D122" s="745"/>
      <c r="E122" s="751">
        <f>SUMIF(_Lights_Tariff_Category,MiscData!$T$4&amp;$B122,_Lights_Rates)</f>
        <v>7.4399999999999995</v>
      </c>
      <c r="F122" s="745"/>
      <c r="G122" s="752">
        <f>ROUND(SUM($C122*$E122),0)</f>
        <v>15029</v>
      </c>
      <c r="H122" s="745"/>
      <c r="I122" s="745"/>
      <c r="J122" s="752"/>
      <c r="W122" s="745"/>
      <c r="X122" s="745"/>
      <c r="AA122" s="878"/>
    </row>
    <row r="123" spans="1:27" ht="12.75">
      <c r="A123" s="953"/>
      <c r="B123" s="754"/>
      <c r="C123" s="755"/>
      <c r="D123" s="745"/>
      <c r="E123" s="751"/>
      <c r="F123" s="745"/>
      <c r="G123" s="752"/>
      <c r="H123" s="745"/>
      <c r="I123" s="745"/>
      <c r="J123" s="752"/>
      <c r="W123" s="745"/>
      <c r="X123" s="745"/>
      <c r="AA123" s="878"/>
    </row>
    <row r="124" spans="1:27" ht="15">
      <c r="A124" s="951" t="s">
        <v>576</v>
      </c>
      <c r="B124" s="745"/>
      <c r="C124" s="745"/>
      <c r="D124" s="750"/>
      <c r="E124" s="750"/>
      <c r="F124" s="750"/>
      <c r="G124" s="760"/>
      <c r="H124" s="745"/>
      <c r="I124" s="745"/>
      <c r="J124" s="768"/>
      <c r="W124" s="745"/>
      <c r="X124" s="745"/>
      <c r="AA124" s="878"/>
    </row>
    <row r="125" spans="1:27" ht="15">
      <c r="A125" s="953" t="s">
        <v>1331</v>
      </c>
      <c r="B125" s="754" t="s">
        <v>336</v>
      </c>
      <c r="C125" s="755">
        <f>SUMIF(_12MonLights_RateCategory,$B125,_12MonLights_Count)+SUMIF(_12MonLights_RateCategory,$B125,_12MonLights_Count_Adj)</f>
        <v>1771</v>
      </c>
      <c r="D125" s="745"/>
      <c r="E125" s="751">
        <f>SUMIF(_Lights_Tariff_Category,MiscData!$T$4&amp;$B125,_Lights_Rates)</f>
        <v>18.649999999999999</v>
      </c>
      <c r="F125" s="745"/>
      <c r="G125" s="752">
        <f>ROUND(SUM($C125*$E125),0)</f>
        <v>33029</v>
      </c>
      <c r="H125" s="745"/>
      <c r="I125" s="745"/>
      <c r="J125" s="769"/>
      <c r="AA125" s="878"/>
    </row>
    <row r="126" spans="1:27" ht="15">
      <c r="A126" s="953" t="s">
        <v>1332</v>
      </c>
      <c r="B126" s="754" t="s">
        <v>368</v>
      </c>
      <c r="C126" s="755">
        <f>SUMIF(_12MonLights_RateCategory,$B126,_12MonLights_Count)+SUMIF(_12MonLights_RateCategory,$B126,_12MonLights_Count_Adj)</f>
        <v>12226</v>
      </c>
      <c r="D126" s="745"/>
      <c r="E126" s="751">
        <f>SUMIF(_Lights_Tariff_Category,MiscData!$T$4&amp;$B126,_Lights_Rates)</f>
        <v>24.59</v>
      </c>
      <c r="F126" s="745"/>
      <c r="G126" s="752">
        <f>ROUND(SUM($C126*$E126),0)</f>
        <v>300637</v>
      </c>
      <c r="H126" s="745"/>
      <c r="I126" s="745"/>
      <c r="J126" s="768"/>
      <c r="AA126" s="878"/>
    </row>
    <row r="127" spans="1:27" ht="15">
      <c r="A127" s="953" t="s">
        <v>1333</v>
      </c>
      <c r="B127" s="754" t="s">
        <v>331</v>
      </c>
      <c r="C127" s="755">
        <f>SUMIF(_12MonLights_RateCategory,$B127,_12MonLights_Count)+SUMIF(_12MonLights_RateCategory,$B127,_12MonLights_Count_Adj)</f>
        <v>2718</v>
      </c>
      <c r="D127" s="745"/>
      <c r="E127" s="751">
        <f>SUMIF(_Lights_Tariff_Category,MiscData!$T$4&amp;$B127,_Lights_Rates)</f>
        <v>46.740000000000009</v>
      </c>
      <c r="F127" s="745"/>
      <c r="G127" s="752">
        <f>ROUND(SUM($C127*$E127),0)</f>
        <v>127039</v>
      </c>
      <c r="H127" s="745"/>
      <c r="I127" s="745"/>
      <c r="J127" s="768"/>
      <c r="AA127" s="878"/>
    </row>
    <row r="128" spans="1:27" ht="15">
      <c r="A128" s="951"/>
      <c r="B128" s="745"/>
      <c r="C128" s="745"/>
      <c r="D128" s="750"/>
      <c r="E128" s="750"/>
      <c r="F128" s="750"/>
      <c r="G128" s="760"/>
      <c r="H128" s="745"/>
      <c r="I128" s="745"/>
      <c r="J128" s="768"/>
      <c r="AA128" s="878"/>
    </row>
    <row r="129" spans="1:27" ht="15">
      <c r="A129" s="951" t="s">
        <v>531</v>
      </c>
      <c r="B129" s="745"/>
      <c r="C129" s="745"/>
      <c r="D129" s="750"/>
      <c r="E129" s="750"/>
      <c r="F129" s="750"/>
      <c r="G129" s="760"/>
      <c r="H129" s="745"/>
      <c r="I129" s="745"/>
      <c r="J129" s="768"/>
      <c r="AA129" s="878"/>
    </row>
    <row r="130" spans="1:27" ht="15">
      <c r="A130" s="953" t="s">
        <v>912</v>
      </c>
      <c r="B130" s="754" t="s">
        <v>401</v>
      </c>
      <c r="C130" s="755">
        <f t="shared" ref="C130:C135" si="7">SUMIF(_12MonLights_RateCategory,$B130,_12MonLights_Count)+SUMIF(_12MonLights_RateCategory,$B130,_12MonLights_Count_Adj)</f>
        <v>12844</v>
      </c>
      <c r="D130" s="745"/>
      <c r="E130" s="751">
        <f>SUMIF(_Lights_Tariff_Category,MiscData!$T$4&amp;$B130,_Lights_Rates)</f>
        <v>9.5600000000000023</v>
      </c>
      <c r="F130" s="745"/>
      <c r="G130" s="752">
        <f t="shared" ref="G130:G135" si="8">ROUND(SUM($C130*$E130),0)</f>
        <v>122789</v>
      </c>
      <c r="H130" s="745"/>
      <c r="I130" s="745"/>
      <c r="J130" s="768"/>
      <c r="AA130" s="878"/>
    </row>
    <row r="131" spans="1:27" ht="15">
      <c r="A131" s="953" t="s">
        <v>1334</v>
      </c>
      <c r="B131" s="754" t="s">
        <v>400</v>
      </c>
      <c r="C131" s="755">
        <f t="shared" si="7"/>
        <v>1654</v>
      </c>
      <c r="D131" s="745"/>
      <c r="E131" s="751">
        <f>SUMIF(_Lights_Tariff_Category,MiscData!$T$4&amp;$B131,_Lights_Rates)</f>
        <v>11.870000000000001</v>
      </c>
      <c r="F131" s="745"/>
      <c r="G131" s="752">
        <f t="shared" si="8"/>
        <v>19633</v>
      </c>
      <c r="H131" s="745"/>
      <c r="I131" s="745"/>
      <c r="J131" s="768"/>
      <c r="AA131" s="878"/>
    </row>
    <row r="132" spans="1:27" ht="15">
      <c r="A132" s="953" t="s">
        <v>913</v>
      </c>
      <c r="B132" s="754" t="s">
        <v>328</v>
      </c>
      <c r="C132" s="755">
        <f t="shared" si="7"/>
        <v>8761</v>
      </c>
      <c r="D132" s="745"/>
      <c r="E132" s="751">
        <f>SUMIF(_Lights_Tariff_Category,MiscData!$T$4&amp;$B132,_Lights_Rates)</f>
        <v>11.32</v>
      </c>
      <c r="F132" s="745"/>
      <c r="G132" s="752">
        <f t="shared" si="8"/>
        <v>99175</v>
      </c>
      <c r="H132" s="745"/>
      <c r="I132" s="745"/>
      <c r="J132" s="768"/>
      <c r="AA132" s="878"/>
    </row>
    <row r="133" spans="1:27" ht="15">
      <c r="A133" s="953" t="s">
        <v>1335</v>
      </c>
      <c r="B133" s="754" t="s">
        <v>327</v>
      </c>
      <c r="C133" s="755">
        <f t="shared" si="7"/>
        <v>5333</v>
      </c>
      <c r="D133" s="745"/>
      <c r="E133" s="751">
        <f>SUMIF(_Lights_Tariff_Category,MiscData!$T$4&amp;$B133,_Lights_Rates)</f>
        <v>13.360000000000001</v>
      </c>
      <c r="F133" s="745"/>
      <c r="G133" s="752">
        <f t="shared" si="8"/>
        <v>71249</v>
      </c>
      <c r="H133" s="745"/>
      <c r="I133" s="745"/>
      <c r="J133" s="768"/>
      <c r="AA133" s="878"/>
    </row>
    <row r="134" spans="1:27" ht="15">
      <c r="A134" s="953" t="s">
        <v>914</v>
      </c>
      <c r="B134" s="754" t="s">
        <v>437</v>
      </c>
      <c r="C134" s="755">
        <f t="shared" si="7"/>
        <v>17850</v>
      </c>
      <c r="D134" s="745"/>
      <c r="E134" s="751">
        <f>SUMIF(_Lights_Tariff_Category,MiscData!$T$4&amp;$B134,_Lights_Rates)</f>
        <v>12.809999999999999</v>
      </c>
      <c r="F134" s="745"/>
      <c r="G134" s="752">
        <f t="shared" si="8"/>
        <v>228659</v>
      </c>
      <c r="H134" s="745"/>
      <c r="I134" s="745"/>
      <c r="J134" s="768"/>
      <c r="AA134" s="878"/>
    </row>
    <row r="135" spans="1:27" ht="15">
      <c r="A135" s="953" t="s">
        <v>1336</v>
      </c>
      <c r="B135" s="754" t="s">
        <v>357</v>
      </c>
      <c r="C135" s="755">
        <f t="shared" si="7"/>
        <v>17601</v>
      </c>
      <c r="D135" s="745"/>
      <c r="E135" s="751">
        <f>SUMIF(_Lights_Tariff_Category,MiscData!$T$4&amp;$B135,_Lights_Rates)</f>
        <v>15.079999999999998</v>
      </c>
      <c r="F135" s="745"/>
      <c r="G135" s="752">
        <f t="shared" si="8"/>
        <v>265423</v>
      </c>
      <c r="H135" s="745"/>
      <c r="I135" s="745"/>
      <c r="J135" s="768"/>
      <c r="AA135" s="878"/>
    </row>
    <row r="136" spans="1:27" ht="12.75">
      <c r="A136" s="953"/>
      <c r="B136" s="754"/>
      <c r="C136" s="755"/>
      <c r="D136" s="745"/>
      <c r="E136" s="751"/>
      <c r="F136" s="745"/>
      <c r="G136" s="752"/>
      <c r="H136" s="745"/>
      <c r="AA136" s="878"/>
    </row>
    <row r="137" spans="1:27" ht="12.75">
      <c r="A137" s="953" t="s">
        <v>915</v>
      </c>
      <c r="B137" s="754" t="s">
        <v>402</v>
      </c>
      <c r="C137" s="755">
        <f>SUMIF(_12MonLights_RateCategory,$B137,_12MonLights_Count)+SUMIF(_12MonLights_RateCategory,$B137,_12MonLights_Count_Adj)</f>
        <v>86011</v>
      </c>
      <c r="D137" s="745"/>
      <c r="E137" s="751">
        <f>SUMIF(_Lights_Tariff_Category,MiscData!$T$4&amp;$B137,_Lights_Rates)</f>
        <v>10.570000000000002</v>
      </c>
      <c r="F137" s="745"/>
      <c r="G137" s="752">
        <f>ROUND(SUM($C137*$E137),0)</f>
        <v>909136</v>
      </c>
      <c r="H137" s="745"/>
      <c r="I137" s="745"/>
      <c r="J137" s="752"/>
      <c r="W137" s="745"/>
      <c r="X137" s="745"/>
      <c r="AA137" s="878"/>
    </row>
    <row r="138" spans="1:27" ht="12.75">
      <c r="A138" s="953"/>
      <c r="B138" s="754"/>
      <c r="C138" s="755"/>
      <c r="D138" s="745"/>
      <c r="E138" s="751"/>
      <c r="F138" s="745"/>
      <c r="G138" s="752"/>
      <c r="H138" s="745"/>
      <c r="AA138" s="878"/>
    </row>
    <row r="139" spans="1:27" ht="12.75">
      <c r="A139" s="951" t="s">
        <v>532</v>
      </c>
      <c r="B139" s="745"/>
      <c r="C139" s="745"/>
      <c r="D139" s="745"/>
      <c r="E139" s="752"/>
      <c r="F139" s="745"/>
      <c r="G139" s="752"/>
      <c r="H139" s="745"/>
      <c r="AA139" s="878"/>
    </row>
    <row r="140" spans="1:27" ht="12.75">
      <c r="A140" s="953" t="s">
        <v>916</v>
      </c>
      <c r="B140" s="754" t="s">
        <v>326</v>
      </c>
      <c r="C140" s="755">
        <f>SUMIF(_12MonLights_RateCategory,$B140,_12MonLights_Count)+SUMIF(_12MonLights_RateCategory,$B140,_12MonLights_Count_Adj)</f>
        <v>60</v>
      </c>
      <c r="D140" s="745"/>
      <c r="E140" s="751">
        <f>SUMIF(_Lights_Tariff_Category,MiscData!$T$4&amp;$B140,_Lights_Rates)</f>
        <v>3.39</v>
      </c>
      <c r="F140" s="745"/>
      <c r="G140" s="752">
        <f>ROUND(SUM($C140*$E140),0)</f>
        <v>203</v>
      </c>
      <c r="H140" s="745"/>
      <c r="V140" s="745"/>
      <c r="W140" s="745"/>
      <c r="X140" s="745"/>
      <c r="AA140" s="878"/>
    </row>
    <row r="141" spans="1:27" ht="12.75">
      <c r="A141" s="953" t="s">
        <v>917</v>
      </c>
      <c r="B141" s="754" t="s">
        <v>356</v>
      </c>
      <c r="C141" s="755">
        <f>SUMIF(_12MonLights_RateCategory,$B141,_12MonLights_Count)+SUMIF(_12MonLights_RateCategory,$B141,_12MonLights_Count_Adj)</f>
        <v>8111</v>
      </c>
      <c r="D141" s="745"/>
      <c r="E141" s="751">
        <f>SUMIF(_Lights_Tariff_Category,MiscData!$T$4&amp;$B141,_Lights_Rates)</f>
        <v>4.5400000000000009</v>
      </c>
      <c r="F141" s="745"/>
      <c r="G141" s="752">
        <f>ROUND(SUM($C141*$E141),0)</f>
        <v>36824</v>
      </c>
      <c r="H141" s="755"/>
      <c r="S141" s="877"/>
      <c r="V141" s="745"/>
      <c r="W141" s="745"/>
      <c r="X141" s="745"/>
      <c r="AA141" s="878"/>
    </row>
    <row r="142" spans="1:27" ht="12.75">
      <c r="A142" s="953" t="s">
        <v>918</v>
      </c>
      <c r="B142" s="754" t="s">
        <v>374</v>
      </c>
      <c r="C142" s="755">
        <f>SUMIF(_12MonLights_RateCategory,$B142,_12MonLights_Count)+SUMIF(_12MonLights_RateCategory,$B142,_12MonLights_Count_Adj)</f>
        <v>982</v>
      </c>
      <c r="D142" s="745"/>
      <c r="E142" s="751">
        <f>SUMIF(_Lights_Tariff_Category,MiscData!$T$4&amp;$B142,_Lights_Rates)</f>
        <v>6.78</v>
      </c>
      <c r="F142" s="745"/>
      <c r="G142" s="752">
        <f>ROUND(SUM($C142*$E142),0)</f>
        <v>6658</v>
      </c>
      <c r="H142" s="745"/>
      <c r="V142" s="745"/>
      <c r="W142" s="745"/>
      <c r="X142" s="745"/>
      <c r="AA142" s="878"/>
    </row>
    <row r="143" spans="1:27" ht="12.75">
      <c r="A143" s="953" t="s">
        <v>1337</v>
      </c>
      <c r="B143" s="754" t="s">
        <v>373</v>
      </c>
      <c r="C143" s="755">
        <f>SUMIF(_12MonLights_RateCategory,$B143,_12MonLights_Count)+SUMIF(_12MonLights_RateCategory,$B143,_12MonLights_Count_Adj)</f>
        <v>52</v>
      </c>
      <c r="D143" s="745"/>
      <c r="E143" s="751">
        <f>SUMIF(_Lights_Tariff_Category,MiscData!$T$4&amp;$B143,_Lights_Rates)</f>
        <v>7.74</v>
      </c>
      <c r="F143" s="745"/>
      <c r="G143" s="752">
        <f>ROUND(SUM($C143*$E143),0)</f>
        <v>402</v>
      </c>
      <c r="H143" s="745"/>
      <c r="AA143" s="878"/>
    </row>
    <row r="144" spans="1:27" ht="12.75">
      <c r="A144" s="953" t="s">
        <v>919</v>
      </c>
      <c r="B144" s="754" t="s">
        <v>399</v>
      </c>
      <c r="C144" s="755">
        <f>SUMIF(_12MonLights_RateCategory,$B144,_12MonLights_Count)+SUMIF(_12MonLights_RateCategory,$B144,_12MonLights_Count_Adj)</f>
        <v>24</v>
      </c>
      <c r="D144" s="745"/>
      <c r="E144" s="751">
        <f>SUMIF(_Lights_Tariff_Category,MiscData!$T$4&amp;$B144,_Lights_Rates)</f>
        <v>9.06</v>
      </c>
      <c r="F144" s="745"/>
      <c r="G144" s="752">
        <f>ROUND(SUM($C144*$E144),0)</f>
        <v>217</v>
      </c>
      <c r="H144" s="750"/>
      <c r="V144" s="745"/>
      <c r="W144" s="745"/>
      <c r="X144" s="745"/>
      <c r="AA144" s="878"/>
    </row>
    <row r="145" spans="1:27" ht="12.75">
      <c r="A145" s="957"/>
      <c r="B145" s="754"/>
      <c r="C145" s="755"/>
      <c r="D145" s="745"/>
      <c r="E145" s="751"/>
      <c r="F145" s="745"/>
      <c r="G145" s="752"/>
      <c r="H145" s="745"/>
      <c r="AA145" s="878"/>
    </row>
    <row r="146" spans="1:27" s="771" customFormat="1" ht="12.75">
      <c r="A146" s="1031" t="str">
        <f>'Sch M-1.3-pg 1'!$A$1</f>
        <v>DATA:  __X__ BASE PERIOD  ____  FORECAST PERIOD</v>
      </c>
      <c r="B146" s="922"/>
      <c r="C146" s="922"/>
      <c r="D146" s="922"/>
      <c r="E146" s="922"/>
      <c r="F146" s="922"/>
      <c r="G146" s="922"/>
      <c r="H146" s="923" t="str">
        <f>'Sch M-1.3-pg 1'!$J$1</f>
        <v>Schedule M-1.3</v>
      </c>
      <c r="J146" s="922"/>
      <c r="X146" s="935"/>
      <c r="Z146" s="931"/>
    </row>
    <row r="147" spans="1:27" s="771" customFormat="1" ht="12.75">
      <c r="A147" s="959" t="str">
        <f>'Sch M-1.3-pg 1'!$A$2</f>
        <v>TYPE OF FILING: __X__ ORIGINAL  _____ UPDATED  _____ REVISED</v>
      </c>
      <c r="B147" s="922"/>
      <c r="C147" s="922"/>
      <c r="D147" s="922"/>
      <c r="E147" s="922"/>
      <c r="F147" s="922"/>
      <c r="G147" s="922"/>
      <c r="H147" s="923" t="str">
        <f>"Page "&amp;M147&amp;" of "&amp;N147</f>
        <v>Page 18 of 18</v>
      </c>
      <c r="J147" s="922"/>
      <c r="M147" s="771">
        <f>M110+1</f>
        <v>18</v>
      </c>
      <c r="N147" s="771">
        <f>M147</f>
        <v>18</v>
      </c>
      <c r="X147" s="935"/>
      <c r="Z147" s="931"/>
    </row>
    <row r="148" spans="1:27" s="771" customFormat="1" ht="12.75">
      <c r="A148" s="959" t="str">
        <f>'Sch M-1.3-pg 1'!$A$3</f>
        <v>WORK PAPER REFERENCE NO(S):</v>
      </c>
      <c r="B148" s="922"/>
      <c r="C148" s="922"/>
      <c r="D148" s="922"/>
      <c r="E148" s="922"/>
      <c r="F148" s="922"/>
      <c r="G148" s="922"/>
      <c r="H148" s="924" t="str">
        <f>'Sch M-1.3-pg 1'!$J$3</f>
        <v>Witness:  M.J. Blake</v>
      </c>
      <c r="J148" s="922"/>
      <c r="X148" s="935"/>
      <c r="Z148" s="931"/>
    </row>
    <row r="149" spans="1:27" s="771" customFormat="1" ht="12.75">
      <c r="A149" s="926"/>
      <c r="B149" s="922"/>
      <c r="C149" s="922"/>
      <c r="D149" s="922"/>
      <c r="E149" s="922"/>
      <c r="F149" s="922"/>
      <c r="G149" s="922"/>
      <c r="H149" s="922"/>
      <c r="I149" s="948"/>
      <c r="J149" s="922"/>
      <c r="X149" s="935"/>
      <c r="Z149" s="931"/>
    </row>
    <row r="150" spans="1:27" s="771" customFormat="1" ht="12.75">
      <c r="A150" s="927"/>
      <c r="B150" s="745"/>
      <c r="C150" s="747" t="s">
        <v>1471</v>
      </c>
      <c r="D150" s="928"/>
      <c r="E150" s="747" t="s">
        <v>929</v>
      </c>
      <c r="F150" s="745"/>
      <c r="G150" s="747" t="s">
        <v>1452</v>
      </c>
      <c r="H150" s="747"/>
      <c r="I150" s="746"/>
      <c r="T150" s="925"/>
      <c r="U150" s="745"/>
      <c r="V150" s="745"/>
      <c r="W150" s="745"/>
      <c r="X150" s="935"/>
      <c r="Z150" s="931"/>
    </row>
    <row r="151" spans="1:27" s="771" customFormat="1" ht="12.75">
      <c r="A151" s="945"/>
      <c r="B151" s="946"/>
      <c r="C151" s="748" t="s">
        <v>1451</v>
      </c>
      <c r="D151" s="770"/>
      <c r="E151" s="749" t="s">
        <v>127</v>
      </c>
      <c r="F151" s="947"/>
      <c r="G151" s="749" t="s">
        <v>149</v>
      </c>
      <c r="H151" s="747"/>
      <c r="I151" s="746"/>
      <c r="X151" s="935"/>
      <c r="Z151" s="931"/>
    </row>
    <row r="152" spans="1:27" ht="12.75">
      <c r="A152" s="957"/>
      <c r="B152" s="754"/>
      <c r="C152" s="755"/>
      <c r="D152" s="745"/>
      <c r="E152" s="751"/>
      <c r="F152" s="745"/>
      <c r="G152" s="752"/>
      <c r="H152" s="745"/>
      <c r="AA152" s="878"/>
    </row>
    <row r="153" spans="1:27" ht="12.75">
      <c r="A153" s="929" t="s">
        <v>1338</v>
      </c>
      <c r="B153" s="754"/>
      <c r="C153" s="755"/>
      <c r="D153" s="745"/>
      <c r="E153" s="751"/>
      <c r="F153" s="745"/>
      <c r="G153" s="752"/>
      <c r="H153" s="745"/>
      <c r="AA153" s="878"/>
    </row>
    <row r="154" spans="1:27" ht="12.75">
      <c r="A154" s="951" t="s">
        <v>576</v>
      </c>
      <c r="B154" s="754"/>
      <c r="C154" s="755"/>
      <c r="D154" s="745"/>
      <c r="E154" s="751"/>
      <c r="F154" s="745"/>
      <c r="G154" s="752"/>
      <c r="H154" s="745"/>
      <c r="AA154" s="878"/>
    </row>
    <row r="155" spans="1:27" ht="12.75">
      <c r="A155" s="952" t="s">
        <v>1339</v>
      </c>
      <c r="B155" s="754" t="s">
        <v>335</v>
      </c>
      <c r="C155" s="755">
        <f>SUMIF(_12MonLights_RateCategory,$B155,_12MonLights_Count)+SUMIF(_12MonLights_RateCategory,$B155,_12MonLights_Count_Adj)</f>
        <v>40</v>
      </c>
      <c r="D155" s="745"/>
      <c r="E155" s="751">
        <f>SUMIF(_Lights_Tariff_Category,MiscData!$T$4&amp;$B155,_Lights_Rates)</f>
        <v>27.15</v>
      </c>
      <c r="F155" s="745"/>
      <c r="G155" s="752">
        <f>ROUND(SUM($C155*$E155),0)</f>
        <v>1086</v>
      </c>
      <c r="H155" s="745"/>
      <c r="V155" s="745"/>
      <c r="W155" s="745"/>
      <c r="X155" s="745"/>
      <c r="AA155" s="878"/>
    </row>
    <row r="156" spans="1:27" ht="12.75">
      <c r="A156" s="953" t="s">
        <v>1340</v>
      </c>
      <c r="B156" s="754" t="s">
        <v>367</v>
      </c>
      <c r="C156" s="755">
        <f>SUMIF(_12MonLights_RateCategory,$B156,_12MonLights_Count)+SUMIF(_12MonLights_RateCategory,$B156,_12MonLights_Count_Adj)</f>
        <v>3477</v>
      </c>
      <c r="D156" s="745"/>
      <c r="E156" s="751">
        <f>SUMIF(_Lights_Tariff_Category,MiscData!$T$4&amp;$B156,_Lights_Rates)</f>
        <v>33.100000000000009</v>
      </c>
      <c r="F156" s="745"/>
      <c r="G156" s="752">
        <f>ROUND(SUM($C156*$E156),0)</f>
        <v>115089</v>
      </c>
      <c r="H156" s="755"/>
      <c r="S156" s="877"/>
      <c r="V156" s="745"/>
      <c r="W156" s="745"/>
      <c r="X156" s="745"/>
      <c r="AA156" s="878"/>
    </row>
    <row r="157" spans="1:27" ht="12.75">
      <c r="A157" s="953" t="s">
        <v>1341</v>
      </c>
      <c r="B157" s="754" t="s">
        <v>330</v>
      </c>
      <c r="C157" s="755">
        <f>SUMIF(_12MonLights_RateCategory,$B157,_12MonLights_Count)+SUMIF(_12MonLights_RateCategory,$B157,_12MonLights_Count_Adj)</f>
        <v>637</v>
      </c>
      <c r="D157" s="745"/>
      <c r="E157" s="751">
        <f>SUMIF(_Lights_Tariff_Category,MiscData!$T$4&amp;$B157,_Lights_Rates)</f>
        <v>55.250000000000007</v>
      </c>
      <c r="F157" s="745"/>
      <c r="G157" s="752">
        <f>ROUND(SUM($C157*$E157),0)</f>
        <v>35194</v>
      </c>
      <c r="H157" s="745"/>
      <c r="V157" s="745"/>
      <c r="W157" s="745"/>
      <c r="X157" s="745"/>
      <c r="AA157" s="878"/>
    </row>
    <row r="158" spans="1:27" ht="12.75">
      <c r="A158" s="953"/>
      <c r="B158" s="754"/>
      <c r="C158" s="755"/>
      <c r="D158" s="745"/>
      <c r="E158" s="751"/>
      <c r="F158" s="745"/>
      <c r="G158" s="752"/>
      <c r="H158" s="745"/>
      <c r="AA158" s="878"/>
    </row>
    <row r="159" spans="1:27" ht="12.75">
      <c r="A159" s="951" t="s">
        <v>514</v>
      </c>
      <c r="B159" s="754"/>
      <c r="C159" s="755"/>
      <c r="D159" s="745"/>
      <c r="E159" s="751"/>
      <c r="F159" s="745"/>
      <c r="G159" s="752"/>
      <c r="H159" s="750"/>
      <c r="V159" s="745"/>
      <c r="W159" s="745"/>
      <c r="X159" s="745"/>
      <c r="AA159" s="878"/>
    </row>
    <row r="160" spans="1:27" ht="12.75">
      <c r="A160" s="953" t="s">
        <v>1342</v>
      </c>
      <c r="B160" s="754" t="s">
        <v>375</v>
      </c>
      <c r="C160" s="755">
        <f>SUMIF(_12MonLights_RateCategory,$B160,_12MonLights_Count)+SUMIF(_12MonLights_RateCategory,$B160,_12MonLights_Count_Adj)</f>
        <v>24</v>
      </c>
      <c r="D160" s="745"/>
      <c r="E160" s="751">
        <f>SUMIF(_Lights_Tariff_Category,MiscData!$T$4&amp;$B160,_Lights_Rates)</f>
        <v>13.610000000000001</v>
      </c>
      <c r="F160" s="745"/>
      <c r="G160" s="752">
        <f>ROUND(SUM($C160*$E160),0)</f>
        <v>327</v>
      </c>
      <c r="H160" s="745"/>
      <c r="V160" s="745"/>
      <c r="W160" s="745"/>
      <c r="X160" s="745"/>
      <c r="AA160" s="878"/>
    </row>
    <row r="161" spans="1:27" ht="12.75">
      <c r="A161" s="953" t="s">
        <v>1343</v>
      </c>
      <c r="B161" s="754" t="s">
        <v>376</v>
      </c>
      <c r="C161" s="755">
        <f>SUMIF(_12MonLights_RateCategory,$B161,_12MonLights_Count)+SUMIF(_12MonLights_RateCategory,$B161,_12MonLights_Count_Adj)</f>
        <v>2863</v>
      </c>
      <c r="D161" s="745"/>
      <c r="E161" s="751">
        <f>SUMIF(_Lights_Tariff_Category,MiscData!$T$4&amp;$B161,_Lights_Rates)</f>
        <v>20.259999999999998</v>
      </c>
      <c r="F161" s="745"/>
      <c r="G161" s="752">
        <f>ROUND(SUM($C161*$E161),0)</f>
        <v>58004</v>
      </c>
      <c r="H161" s="745"/>
      <c r="V161" s="745"/>
      <c r="W161" s="745"/>
      <c r="X161" s="745"/>
      <c r="AA161" s="878"/>
    </row>
    <row r="162" spans="1:27" ht="12.75">
      <c r="A162" s="953"/>
      <c r="B162" s="754"/>
      <c r="C162" s="755"/>
      <c r="D162" s="745"/>
      <c r="E162" s="751"/>
      <c r="F162" s="745"/>
      <c r="G162" s="752"/>
      <c r="H162" s="745"/>
      <c r="AA162" s="878"/>
    </row>
    <row r="163" spans="1:27" ht="12.75">
      <c r="A163" s="953" t="s">
        <v>1344</v>
      </c>
      <c r="B163" s="754" t="s">
        <v>379</v>
      </c>
      <c r="C163" s="755">
        <f>SUMIF(_12MonLights_RateCategory,$B163,_12MonLights_Count)+SUMIF(_12MonLights_RateCategory,$B163,_12MonLights_Count_Adj)</f>
        <v>10144</v>
      </c>
      <c r="D163" s="745"/>
      <c r="E163" s="751">
        <f>SUMIF(_Lights_Tariff_Category,MiscData!$T$4&amp;$B163,_Lights_Rates)</f>
        <v>9.620000000000001</v>
      </c>
      <c r="F163" s="745"/>
      <c r="G163" s="752">
        <f>ROUND(SUM($C163*$E163),0)</f>
        <v>97585</v>
      </c>
      <c r="H163" s="745"/>
      <c r="AA163" s="878"/>
    </row>
    <row r="164" spans="1:27" ht="12.75">
      <c r="A164" s="953"/>
      <c r="B164" s="754"/>
      <c r="C164" s="755"/>
      <c r="D164" s="745"/>
      <c r="E164" s="751"/>
      <c r="F164" s="745"/>
      <c r="G164" s="752"/>
      <c r="H164" s="745"/>
      <c r="AA164" s="878"/>
    </row>
    <row r="165" spans="1:27" ht="12.75">
      <c r="A165" s="953" t="s">
        <v>1345</v>
      </c>
      <c r="B165" s="754" t="s">
        <v>386</v>
      </c>
      <c r="C165" s="755">
        <f>SUMIF(_12MonLights_RateCategory,$B165,_12MonLights_Count)+SUMIF(_12MonLights_RateCategory,$B165,_12MonLights_Count_Adj)</f>
        <v>336</v>
      </c>
      <c r="D165" s="745"/>
      <c r="E165" s="751">
        <f>SUMIF(_Lights_Tariff_Category,MiscData!$T$4&amp;$B165,_Lights_Rates)</f>
        <v>30.84</v>
      </c>
      <c r="F165" s="745"/>
      <c r="G165" s="752">
        <f>ROUND(SUM($C165*$E165),0)</f>
        <v>10362</v>
      </c>
      <c r="H165" s="745"/>
      <c r="AA165" s="878"/>
    </row>
    <row r="166" spans="1:27" ht="12.75">
      <c r="A166" s="953" t="s">
        <v>1346</v>
      </c>
      <c r="B166" s="754" t="s">
        <v>409</v>
      </c>
      <c r="C166" s="755">
        <f>SUMIF(_12MonLights_RateCategory,$B166,_12MonLights_Count)+SUMIF(_12MonLights_RateCategory,$B166,_12MonLights_Count_Adj)</f>
        <v>1150</v>
      </c>
      <c r="D166" s="745"/>
      <c r="E166" s="751">
        <f>SUMIF(_Lights_Tariff_Category,MiscData!$T$4&amp;$B166,_Lights_Rates)</f>
        <v>31.22</v>
      </c>
      <c r="F166" s="745"/>
      <c r="G166" s="752">
        <f>ROUND(SUM($C166*$E166),0)</f>
        <v>35903</v>
      </c>
      <c r="H166" s="745"/>
      <c r="AA166" s="878"/>
    </row>
    <row r="167" spans="1:27" ht="12.75">
      <c r="A167" s="952"/>
      <c r="B167" s="754"/>
      <c r="C167" s="755"/>
      <c r="D167" s="745"/>
      <c r="E167" s="751"/>
      <c r="F167" s="745"/>
      <c r="G167" s="752"/>
      <c r="H167" s="745"/>
      <c r="AA167" s="878"/>
    </row>
    <row r="168" spans="1:27" ht="15">
      <c r="A168" s="879" t="s">
        <v>803</v>
      </c>
      <c r="B168" s="761"/>
      <c r="C168" s="755"/>
      <c r="D168" s="745"/>
      <c r="E168" s="751"/>
      <c r="F168" s="745"/>
      <c r="G168" s="759">
        <f>ROUND(SUMIF(_12MonLights_RateClass,"RLS",_12MonLights_Revenue_Adj),0)+2</f>
        <v>13471</v>
      </c>
      <c r="H168" s="745"/>
      <c r="AA168" s="878"/>
    </row>
    <row r="169" spans="1:27" ht="12.75">
      <c r="A169" s="879"/>
      <c r="B169" s="754"/>
      <c r="C169" s="755"/>
      <c r="D169" s="745"/>
      <c r="E169" s="751"/>
      <c r="F169" s="745"/>
      <c r="G169" s="752"/>
      <c r="H169" s="745"/>
      <c r="AA169" s="878"/>
    </row>
    <row r="170" spans="1:27" ht="15">
      <c r="A170" s="838" t="s">
        <v>1529</v>
      </c>
      <c r="B170" s="745"/>
      <c r="C170" s="762">
        <f>SUM(C118:C166)</f>
        <v>320581</v>
      </c>
      <c r="D170" s="762"/>
      <c r="E170" s="759"/>
      <c r="F170" s="759"/>
      <c r="G170" s="759">
        <f>SUM(G118:G169)</f>
        <v>3672136</v>
      </c>
      <c r="H170" s="759"/>
    </row>
    <row r="171" spans="1:27" ht="15">
      <c r="A171" s="838"/>
      <c r="B171" s="745"/>
      <c r="C171" s="762"/>
      <c r="D171" s="762"/>
      <c r="E171" s="759"/>
      <c r="F171" s="759"/>
      <c r="G171" s="759"/>
      <c r="H171" s="759"/>
    </row>
    <row r="172" spans="1:27" ht="12.75">
      <c r="A172" s="934"/>
      <c r="B172" s="745"/>
      <c r="C172" s="745"/>
      <c r="D172" s="755"/>
      <c r="F172" s="765"/>
      <c r="G172" s="765">
        <f>'Sch M-1.3-pg 1'!$J$52</f>
        <v>1.0000827474212541</v>
      </c>
      <c r="H172" s="765"/>
    </row>
    <row r="173" spans="1:27" ht="12.75">
      <c r="A173" s="934"/>
      <c r="B173" s="745"/>
      <c r="C173" s="745"/>
      <c r="D173" s="755"/>
      <c r="E173" s="766"/>
      <c r="F173" s="745"/>
      <c r="G173" s="766"/>
      <c r="H173" s="745"/>
    </row>
    <row r="174" spans="1:27" ht="15">
      <c r="A174" s="937" t="s">
        <v>155</v>
      </c>
      <c r="B174" s="745"/>
      <c r="C174" s="745"/>
      <c r="D174" s="745"/>
      <c r="F174" s="745"/>
      <c r="G174" s="767">
        <f>G170/G172</f>
        <v>3671832.1653570388</v>
      </c>
      <c r="H174" s="745"/>
    </row>
    <row r="175" spans="1:27" ht="12.75">
      <c r="A175" s="937"/>
      <c r="B175" s="745"/>
      <c r="C175" s="745"/>
      <c r="D175" s="745"/>
      <c r="F175" s="745"/>
      <c r="G175" s="752"/>
      <c r="H175" s="745"/>
      <c r="W175" s="745"/>
      <c r="X175" s="745"/>
      <c r="Y175" s="745"/>
    </row>
    <row r="176" spans="1:27" ht="15">
      <c r="A176" s="937" t="s">
        <v>156</v>
      </c>
      <c r="B176" s="745"/>
      <c r="C176" s="745"/>
      <c r="D176" s="755"/>
      <c r="E176" s="745"/>
      <c r="F176" s="745"/>
      <c r="G176" s="768"/>
      <c r="H176" s="745"/>
    </row>
    <row r="177" spans="1:25" ht="12.75">
      <c r="A177" s="937" t="s">
        <v>157</v>
      </c>
      <c r="B177" s="745"/>
      <c r="C177" s="745"/>
      <c r="D177" s="755"/>
      <c r="E177" s="745"/>
      <c r="F177" s="745"/>
      <c r="G177" s="752">
        <f>'12MonLights'!Q1081</f>
        <v>39990.357776052762</v>
      </c>
      <c r="H177" s="745"/>
      <c r="W177" s="745"/>
      <c r="X177" s="745"/>
      <c r="Y177" s="745"/>
    </row>
    <row r="178" spans="1:25" ht="12.75">
      <c r="A178" s="937" t="s">
        <v>158</v>
      </c>
      <c r="B178" s="745"/>
      <c r="C178" s="745"/>
      <c r="D178" s="755"/>
      <c r="E178" s="745"/>
      <c r="F178" s="745"/>
      <c r="G178" s="752">
        <v>0</v>
      </c>
      <c r="H178" s="745"/>
      <c r="W178" s="745"/>
      <c r="X178" s="745"/>
      <c r="Y178" s="745"/>
    </row>
    <row r="179" spans="1:25" ht="12.75">
      <c r="A179" s="937" t="s">
        <v>159</v>
      </c>
      <c r="B179" s="745"/>
      <c r="C179" s="745"/>
      <c r="D179" s="755"/>
      <c r="E179" s="745"/>
      <c r="F179" s="745"/>
      <c r="G179" s="752">
        <f>'12MonLights'!S1081</f>
        <v>79557.912997587293</v>
      </c>
      <c r="H179" s="745"/>
      <c r="W179" s="745"/>
      <c r="X179" s="745"/>
      <c r="Y179" s="745"/>
    </row>
    <row r="180" spans="1:25" ht="15">
      <c r="A180" s="938" t="s">
        <v>162</v>
      </c>
      <c r="B180" s="745"/>
      <c r="C180" s="745"/>
      <c r="D180" s="755"/>
      <c r="E180" s="745"/>
      <c r="F180" s="745"/>
      <c r="G180" s="759">
        <f>SUM(G177:G179)</f>
        <v>119548.27077364005</v>
      </c>
      <c r="H180" s="745"/>
    </row>
    <row r="181" spans="1:25" ht="15">
      <c r="A181" s="938"/>
      <c r="B181" s="745"/>
      <c r="C181" s="745"/>
      <c r="D181" s="755"/>
      <c r="E181" s="745"/>
      <c r="F181" s="745"/>
      <c r="G181" s="768"/>
      <c r="H181" s="745"/>
    </row>
    <row r="182" spans="1:25" ht="15">
      <c r="A182" s="938" t="s">
        <v>163</v>
      </c>
      <c r="B182" s="745"/>
      <c r="C182" s="745"/>
      <c r="D182" s="755"/>
      <c r="E182" s="745"/>
      <c r="F182" s="745"/>
      <c r="G182" s="769">
        <f>G180+G174</f>
        <v>3791380.4361306787</v>
      </c>
      <c r="H182" s="745"/>
      <c r="X182" s="745"/>
      <c r="Y182" s="745"/>
    </row>
    <row r="183" spans="1:25" ht="15">
      <c r="A183" s="838"/>
      <c r="B183" s="745"/>
      <c r="C183" s="762"/>
      <c r="D183" s="762"/>
      <c r="E183" s="759"/>
      <c r="F183" s="759"/>
      <c r="G183" s="759"/>
      <c r="H183" s="759"/>
    </row>
    <row r="184" spans="1:25" ht="15">
      <c r="A184" s="777" t="s">
        <v>1556</v>
      </c>
      <c r="B184" s="745"/>
      <c r="C184" s="762"/>
      <c r="D184" s="762"/>
      <c r="E184" s="759"/>
      <c r="F184" s="759"/>
      <c r="G184" s="1035">
        <f>G107+G182</f>
        <v>25922033.07</v>
      </c>
      <c r="H184" s="759"/>
    </row>
    <row r="185" spans="1:25" ht="15">
      <c r="A185" s="838"/>
      <c r="B185" s="745"/>
      <c r="C185" s="762"/>
      <c r="D185" s="762"/>
      <c r="E185" s="759"/>
      <c r="F185" s="759"/>
      <c r="G185" s="759"/>
      <c r="H185" s="759"/>
    </row>
    <row r="188" spans="1:25">
      <c r="G188" s="958"/>
    </row>
    <row r="189" spans="1:25">
      <c r="G189" s="958"/>
    </row>
  </sheetData>
  <conditionalFormatting sqref="E108">
    <cfRule type="notContainsBlanks" dxfId="7" priority="38">
      <formula>LEN(TRIM(E108))&gt;0</formula>
    </cfRule>
  </conditionalFormatting>
  <printOptions horizontalCentered="1"/>
  <pageMargins left="0.7" right="0.7" top="1.33" bottom="0.75" header="0.53" footer="0.3"/>
  <pageSetup scale="80" fitToHeight="5" orientation="landscape" r:id="rId1"/>
  <headerFooter scaleWithDoc="0">
    <oddHeader xml:space="preserve">&amp;C&amp;"-,Bold"&amp;10Kentucky Utilities Company
Case No. 2014-00371
Base Period Revenues by Rate Schedule 
for the Twelve Months Ended February 28, 2015&amp;R&amp;"Arial,Bold"
</oddHeader>
  </headerFooter>
  <rowBreaks count="5" manualBreakCount="5">
    <brk id="30" max="7" man="1"/>
    <brk id="63" max="7" man="1"/>
    <brk id="107" max="7" man="1"/>
    <brk id="144" max="7" man="1"/>
    <brk id="184"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pageSetUpPr fitToPage="1"/>
  </sheetPr>
  <dimension ref="A1:AB215"/>
  <sheetViews>
    <sheetView workbookViewId="0"/>
  </sheetViews>
  <sheetFormatPr defaultColWidth="10.6640625" defaultRowHeight="12.75"/>
  <cols>
    <col min="1" max="1" width="52.83203125" style="48" customWidth="1"/>
    <col min="2" max="2" width="10" style="48" customWidth="1"/>
    <col min="3" max="3" width="17.5" style="48" bestFit="1" customWidth="1"/>
    <col min="4" max="4" width="17.33203125" style="48" bestFit="1" customWidth="1"/>
    <col min="5" max="5" width="16" style="48" bestFit="1" customWidth="1"/>
    <col min="6" max="8" width="16.33203125" style="48" bestFit="1" customWidth="1"/>
    <col min="9" max="9" width="17" style="48" customWidth="1"/>
    <col min="10" max="10" width="17.1640625" style="48" bestFit="1" customWidth="1"/>
    <col min="11" max="11" width="19" style="48" bestFit="1" customWidth="1"/>
    <col min="12" max="12" width="16" style="48" bestFit="1" customWidth="1"/>
    <col min="13" max="13" width="18.1640625" style="48" bestFit="1" customWidth="1"/>
    <col min="14" max="14" width="18" style="48" bestFit="1" customWidth="1"/>
    <col min="15" max="15" width="21.6640625" style="48" bestFit="1" customWidth="1"/>
    <col min="16" max="16" width="3.33203125" style="48" customWidth="1"/>
    <col min="17" max="27" width="14.83203125" style="48" customWidth="1"/>
    <col min="28" max="28" width="18.33203125" style="48" customWidth="1"/>
    <col min="29" max="40" width="14.83203125" style="48" customWidth="1"/>
    <col min="41" max="41" width="18.33203125" style="48" customWidth="1"/>
    <col min="42" max="16384" width="10.6640625" style="48"/>
  </cols>
  <sheetData>
    <row r="1" spans="1:18">
      <c r="C1" s="173"/>
      <c r="D1" s="173"/>
      <c r="E1" s="173"/>
      <c r="F1" s="173"/>
      <c r="G1" s="173"/>
      <c r="H1" s="173"/>
      <c r="I1" s="173"/>
      <c r="J1" s="173"/>
      <c r="K1" s="173"/>
      <c r="L1" s="173"/>
      <c r="M1" s="173"/>
      <c r="N1" s="173"/>
      <c r="O1" s="173" t="s">
        <v>693</v>
      </c>
    </row>
    <row r="2" spans="1:18" ht="13.5" thickBot="1">
      <c r="C2" s="174">
        <f>MiscData!$A5</f>
        <v>42035</v>
      </c>
      <c r="D2" s="174">
        <f>MiscData!$A6</f>
        <v>42063</v>
      </c>
      <c r="E2" s="174">
        <f>MiscData!$A7</f>
        <v>41729</v>
      </c>
      <c r="F2" s="174">
        <f>MiscData!$A8</f>
        <v>41759</v>
      </c>
      <c r="G2" s="174">
        <f>MiscData!$A9</f>
        <v>41790</v>
      </c>
      <c r="H2" s="174">
        <f>MiscData!$A10</f>
        <v>41820</v>
      </c>
      <c r="I2" s="174">
        <f>MiscData!$A11</f>
        <v>41851</v>
      </c>
      <c r="J2" s="174">
        <f>MiscData!$A12</f>
        <v>41882</v>
      </c>
      <c r="K2" s="174">
        <f>MiscData!$A13</f>
        <v>41912</v>
      </c>
      <c r="L2" s="174">
        <f>MiscData!$A14</f>
        <v>41943</v>
      </c>
      <c r="M2" s="174">
        <f>MiscData!$A15</f>
        <v>41973</v>
      </c>
      <c r="N2" s="174">
        <f>MiscData!$A16</f>
        <v>42004</v>
      </c>
      <c r="O2" s="175" t="s">
        <v>694</v>
      </c>
    </row>
    <row r="3" spans="1:18">
      <c r="C3" s="215" t="str">
        <f>TEXT(C2,"MMM YYYY")</f>
        <v>Jan 2015</v>
      </c>
      <c r="D3" s="215" t="str">
        <f t="shared" ref="D3:N3" si="0">TEXT(D2,"MMM YYYY")</f>
        <v>Feb 2015</v>
      </c>
      <c r="E3" s="215" t="str">
        <f t="shared" si="0"/>
        <v>Mar 2014</v>
      </c>
      <c r="F3" s="215" t="str">
        <f t="shared" si="0"/>
        <v>Apr 2014</v>
      </c>
      <c r="G3" s="215" t="str">
        <f t="shared" si="0"/>
        <v>May 2014</v>
      </c>
      <c r="H3" s="215" t="str">
        <f t="shared" si="0"/>
        <v>Jun 2014</v>
      </c>
      <c r="I3" s="215" t="str">
        <f t="shared" si="0"/>
        <v>Jul 2014</v>
      </c>
      <c r="J3" s="215" t="str">
        <f t="shared" si="0"/>
        <v>Aug 2014</v>
      </c>
      <c r="K3" s="215" t="str">
        <f t="shared" si="0"/>
        <v>Sep 2014</v>
      </c>
      <c r="L3" s="215" t="str">
        <f t="shared" si="0"/>
        <v>Oct 2014</v>
      </c>
      <c r="M3" s="215" t="str">
        <f t="shared" si="0"/>
        <v>Nov 2014</v>
      </c>
      <c r="N3" s="215" t="str">
        <f t="shared" si="0"/>
        <v>Dec 2014</v>
      </c>
    </row>
    <row r="5" spans="1:18">
      <c r="A5" s="176"/>
      <c r="B5" s="176"/>
      <c r="C5" s="1036" t="s">
        <v>761</v>
      </c>
      <c r="D5" s="1037"/>
      <c r="E5" s="1037"/>
      <c r="F5" s="1037"/>
      <c r="G5" s="1037"/>
      <c r="H5" s="1037"/>
      <c r="I5" s="1037"/>
      <c r="J5" s="1037"/>
      <c r="K5" s="1037"/>
      <c r="L5" s="1037"/>
      <c r="M5" s="1037"/>
      <c r="N5" s="1038"/>
    </row>
    <row r="6" spans="1:18">
      <c r="A6" s="176"/>
      <c r="B6" s="176"/>
      <c r="C6" s="177"/>
      <c r="D6" s="177"/>
      <c r="E6" s="177"/>
      <c r="F6" s="177"/>
      <c r="G6" s="177"/>
      <c r="H6" s="177"/>
      <c r="I6" s="177"/>
      <c r="J6" s="177"/>
      <c r="K6" s="177"/>
      <c r="L6" s="177"/>
      <c r="M6" s="177"/>
      <c r="N6" s="177"/>
      <c r="O6" s="177"/>
    </row>
    <row r="7" spans="1:18">
      <c r="A7" s="178" t="s">
        <v>695</v>
      </c>
      <c r="B7" s="176"/>
      <c r="C7" s="179">
        <f>VLOOKUP(C$2,MiscData!$A$5:$C$16,3,FALSE)</f>
        <v>0</v>
      </c>
      <c r="D7" s="179">
        <f>VLOOKUP(D$2,MiscData!$A$5:$C$16,3,FALSE)</f>
        <v>0</v>
      </c>
      <c r="E7" s="179">
        <f>VLOOKUP(E$2,MiscData!$A$5:$C$16,3,FALSE)</f>
        <v>0</v>
      </c>
      <c r="F7" s="179">
        <f>VLOOKUP(F$2,MiscData!$A$5:$C$16,3,FALSE)</f>
        <v>1.7099999999999999E-3</v>
      </c>
      <c r="G7" s="179">
        <f>VLOOKUP(G$2,MiscData!$A$5:$C$16,3,FALSE)</f>
        <v>2.3700000000000001E-3</v>
      </c>
      <c r="H7" s="179">
        <f>VLOOKUP(H$2,MiscData!$A$5:$C$16,3,FALSE)</f>
        <v>4.4900000000000001E-3</v>
      </c>
      <c r="I7" s="179">
        <f>VLOOKUP(I$2,MiscData!$A$5:$C$16,3,FALSE)</f>
        <v>2.8300000000000001E-3</v>
      </c>
      <c r="J7" s="179">
        <f>VLOOKUP(J$2,MiscData!$A$5:$C$16,3,FALSE)</f>
        <v>-4.0999999999999999E-4</v>
      </c>
      <c r="K7" s="179">
        <f>VLOOKUP(K$2,MiscData!$A$5:$C$16,3,FALSE)</f>
        <v>0</v>
      </c>
      <c r="L7" s="179">
        <f>VLOOKUP(L$2,MiscData!$A$5:$C$16,3,FALSE)</f>
        <v>0</v>
      </c>
      <c r="M7" s="179">
        <f>VLOOKUP(M$2,MiscData!$A$5:$C$16,3,FALSE)</f>
        <v>0</v>
      </c>
      <c r="N7" s="179">
        <f>VLOOKUP(N$2,MiscData!$A$5:$C$16,3,FALSE)</f>
        <v>0</v>
      </c>
      <c r="O7" s="177"/>
    </row>
    <row r="8" spans="1:18">
      <c r="C8" s="180"/>
      <c r="D8" s="180"/>
      <c r="E8" s="180"/>
      <c r="F8" s="180"/>
      <c r="N8" s="180"/>
      <c r="O8" s="177"/>
    </row>
    <row r="9" spans="1:18">
      <c r="A9" s="181" t="s">
        <v>109</v>
      </c>
      <c r="B9" s="181"/>
    </row>
    <row r="10" spans="1:18">
      <c r="A10" s="182" t="s">
        <v>696</v>
      </c>
      <c r="B10" s="171" t="s">
        <v>15</v>
      </c>
      <c r="C10" s="214">
        <f t="shared" ref="C10:N12" si="1">ROUND(SUMIFS(_12MonResults_KWH_Total,_12MonResults_RateClass,$B10,_12MonResults_RevMonth,C$3)*C$7,0)</f>
        <v>0</v>
      </c>
      <c r="D10" s="214">
        <f t="shared" si="1"/>
        <v>0</v>
      </c>
      <c r="E10" s="214">
        <f t="shared" si="1"/>
        <v>0</v>
      </c>
      <c r="F10" s="214">
        <f t="shared" si="1"/>
        <v>727851</v>
      </c>
      <c r="G10" s="214">
        <f t="shared" si="1"/>
        <v>834268</v>
      </c>
      <c r="H10" s="214">
        <f t="shared" si="1"/>
        <v>1972320</v>
      </c>
      <c r="I10" s="214">
        <f t="shared" si="1"/>
        <v>1468226</v>
      </c>
      <c r="J10" s="214">
        <f t="shared" si="1"/>
        <v>-186851</v>
      </c>
      <c r="K10" s="214">
        <f t="shared" si="1"/>
        <v>0</v>
      </c>
      <c r="L10" s="214">
        <f t="shared" si="1"/>
        <v>0</v>
      </c>
      <c r="M10" s="214">
        <f t="shared" si="1"/>
        <v>0</v>
      </c>
      <c r="N10" s="214">
        <f t="shared" si="1"/>
        <v>0</v>
      </c>
      <c r="O10" s="214">
        <f>SUM(C10:N10)</f>
        <v>4815814</v>
      </c>
      <c r="P10" s="183"/>
      <c r="Q10" s="184"/>
      <c r="R10" s="183"/>
    </row>
    <row r="11" spans="1:18">
      <c r="A11" s="216" t="s">
        <v>762</v>
      </c>
      <c r="B11" s="171" t="s">
        <v>17</v>
      </c>
      <c r="C11" s="214">
        <f t="shared" si="1"/>
        <v>0</v>
      </c>
      <c r="D11" s="214">
        <f t="shared" si="1"/>
        <v>0</v>
      </c>
      <c r="E11" s="214">
        <f t="shared" si="1"/>
        <v>0</v>
      </c>
      <c r="F11" s="214">
        <f t="shared" si="1"/>
        <v>136</v>
      </c>
      <c r="G11" s="214">
        <f t="shared" si="1"/>
        <v>145</v>
      </c>
      <c r="H11" s="214">
        <f t="shared" si="1"/>
        <v>318</v>
      </c>
      <c r="I11" s="214">
        <f t="shared" si="1"/>
        <v>221</v>
      </c>
      <c r="J11" s="214">
        <f t="shared" si="1"/>
        <v>-29</v>
      </c>
      <c r="K11" s="214">
        <f t="shared" si="1"/>
        <v>0</v>
      </c>
      <c r="L11" s="214">
        <f t="shared" si="1"/>
        <v>0</v>
      </c>
      <c r="M11" s="214">
        <f t="shared" si="1"/>
        <v>0</v>
      </c>
      <c r="N11" s="214">
        <f t="shared" si="1"/>
        <v>0</v>
      </c>
      <c r="O11" s="214">
        <f>SUM(C11:N11)</f>
        <v>791</v>
      </c>
      <c r="P11" s="183"/>
      <c r="Q11" s="184"/>
      <c r="R11" s="183"/>
    </row>
    <row r="12" spans="1:18" ht="15">
      <c r="A12" s="216" t="s">
        <v>763</v>
      </c>
      <c r="B12" s="172" t="s">
        <v>222</v>
      </c>
      <c r="C12" s="217">
        <f t="shared" si="1"/>
        <v>0</v>
      </c>
      <c r="D12" s="217">
        <f t="shared" si="1"/>
        <v>0</v>
      </c>
      <c r="E12" s="217">
        <f t="shared" si="1"/>
        <v>0</v>
      </c>
      <c r="F12" s="217">
        <f t="shared" si="1"/>
        <v>9</v>
      </c>
      <c r="G12" s="217">
        <f t="shared" si="1"/>
        <v>9</v>
      </c>
      <c r="H12" s="217">
        <f t="shared" si="1"/>
        <v>23</v>
      </c>
      <c r="I12" s="217">
        <f t="shared" si="1"/>
        <v>17</v>
      </c>
      <c r="J12" s="217">
        <f t="shared" si="1"/>
        <v>-3</v>
      </c>
      <c r="K12" s="217">
        <f t="shared" si="1"/>
        <v>0</v>
      </c>
      <c r="L12" s="217">
        <f t="shared" si="1"/>
        <v>0</v>
      </c>
      <c r="M12" s="217">
        <f t="shared" si="1"/>
        <v>0</v>
      </c>
      <c r="N12" s="217">
        <f t="shared" si="1"/>
        <v>0</v>
      </c>
      <c r="O12" s="217">
        <f>SUM(C12:N12)</f>
        <v>55</v>
      </c>
      <c r="P12" s="185"/>
      <c r="Q12" s="218"/>
      <c r="R12" s="185"/>
    </row>
    <row r="13" spans="1:18">
      <c r="B13" s="171"/>
      <c r="C13" s="214">
        <f t="shared" ref="C13:O13" si="2">SUM(C10:C12)</f>
        <v>0</v>
      </c>
      <c r="D13" s="214">
        <f>SUM(D10:D12)</f>
        <v>0</v>
      </c>
      <c r="E13" s="214">
        <f t="shared" si="2"/>
        <v>0</v>
      </c>
      <c r="F13" s="214">
        <f t="shared" si="2"/>
        <v>727996</v>
      </c>
      <c r="G13" s="214">
        <f t="shared" si="2"/>
        <v>834422</v>
      </c>
      <c r="H13" s="214">
        <f t="shared" si="2"/>
        <v>1972661</v>
      </c>
      <c r="I13" s="214">
        <f t="shared" si="2"/>
        <v>1468464</v>
      </c>
      <c r="J13" s="214">
        <f t="shared" si="2"/>
        <v>-186883</v>
      </c>
      <c r="K13" s="214">
        <f t="shared" si="2"/>
        <v>0</v>
      </c>
      <c r="L13" s="214">
        <f t="shared" si="2"/>
        <v>0</v>
      </c>
      <c r="M13" s="214">
        <f t="shared" si="2"/>
        <v>0</v>
      </c>
      <c r="N13" s="214">
        <f t="shared" si="2"/>
        <v>0</v>
      </c>
      <c r="O13" s="214">
        <f t="shared" si="2"/>
        <v>4816660</v>
      </c>
      <c r="P13" s="183"/>
      <c r="Q13" s="184"/>
      <c r="R13" s="183"/>
    </row>
    <row r="14" spans="1:18">
      <c r="B14" s="172"/>
      <c r="C14" s="183"/>
      <c r="D14" s="183"/>
      <c r="E14" s="183"/>
      <c r="F14" s="183"/>
      <c r="G14" s="183"/>
      <c r="H14" s="183"/>
      <c r="I14" s="183"/>
      <c r="J14" s="183"/>
      <c r="K14" s="183"/>
      <c r="L14" s="183"/>
      <c r="M14" s="183"/>
      <c r="N14" s="183"/>
      <c r="O14" s="183"/>
      <c r="P14" s="183"/>
      <c r="Q14" s="184"/>
      <c r="R14" s="183"/>
    </row>
    <row r="15" spans="1:18">
      <c r="A15" s="48" t="s">
        <v>112</v>
      </c>
      <c r="B15" s="172"/>
      <c r="C15" s="183"/>
      <c r="D15" s="183"/>
      <c r="E15" s="183"/>
      <c r="F15" s="183"/>
      <c r="G15" s="183"/>
      <c r="H15" s="183"/>
      <c r="I15" s="183"/>
      <c r="J15" s="183"/>
      <c r="K15" s="183"/>
      <c r="L15" s="183"/>
      <c r="M15" s="183"/>
      <c r="N15" s="183"/>
      <c r="O15" s="183"/>
      <c r="P15" s="183"/>
      <c r="Q15" s="184"/>
      <c r="R15" s="183"/>
    </row>
    <row r="16" spans="1:18">
      <c r="A16" s="182" t="s">
        <v>697</v>
      </c>
      <c r="B16" s="172" t="s">
        <v>224</v>
      </c>
      <c r="C16" s="214">
        <f t="shared" ref="C16:N17" si="3">ROUND(SUMIFS(_12MonResults_KWH_Total,_12MonResults_RateClass,$B16,_12MonResults_RevMonth,C$3)*C$7,0)</f>
        <v>0</v>
      </c>
      <c r="D16" s="214">
        <f t="shared" si="3"/>
        <v>0</v>
      </c>
      <c r="E16" s="214">
        <f t="shared" si="3"/>
        <v>0</v>
      </c>
      <c r="F16" s="214">
        <f t="shared" si="3"/>
        <v>101977</v>
      </c>
      <c r="G16" s="214">
        <f t="shared" si="3"/>
        <v>130750</v>
      </c>
      <c r="H16" s="214">
        <f t="shared" si="3"/>
        <v>266081</v>
      </c>
      <c r="I16" s="214">
        <f t="shared" si="3"/>
        <v>187138</v>
      </c>
      <c r="J16" s="214">
        <f t="shared" si="3"/>
        <v>-25071</v>
      </c>
      <c r="K16" s="214">
        <f t="shared" si="3"/>
        <v>0</v>
      </c>
      <c r="L16" s="214">
        <f t="shared" si="3"/>
        <v>0</v>
      </c>
      <c r="M16" s="214">
        <f t="shared" si="3"/>
        <v>0</v>
      </c>
      <c r="N16" s="214">
        <f t="shared" si="3"/>
        <v>0</v>
      </c>
      <c r="O16" s="214">
        <f>SUM(C16:N16)</f>
        <v>660875</v>
      </c>
      <c r="P16" s="183"/>
      <c r="Q16" s="184"/>
      <c r="R16" s="183"/>
    </row>
    <row r="17" spans="1:18" ht="15">
      <c r="A17" s="182" t="s">
        <v>64</v>
      </c>
      <c r="B17" s="172" t="s">
        <v>18</v>
      </c>
      <c r="C17" s="217">
        <f t="shared" si="3"/>
        <v>0</v>
      </c>
      <c r="D17" s="217">
        <f t="shared" si="3"/>
        <v>0</v>
      </c>
      <c r="E17" s="217">
        <f t="shared" si="3"/>
        <v>0</v>
      </c>
      <c r="F17" s="217">
        <f t="shared" si="3"/>
        <v>130840</v>
      </c>
      <c r="G17" s="217">
        <f t="shared" si="3"/>
        <v>184035</v>
      </c>
      <c r="H17" s="217">
        <f t="shared" si="3"/>
        <v>407981</v>
      </c>
      <c r="I17" s="217">
        <f t="shared" si="3"/>
        <v>281469</v>
      </c>
      <c r="J17" s="217">
        <f t="shared" si="3"/>
        <v>-37140</v>
      </c>
      <c r="K17" s="217">
        <f t="shared" si="3"/>
        <v>0</v>
      </c>
      <c r="L17" s="217">
        <f t="shared" si="3"/>
        <v>0</v>
      </c>
      <c r="M17" s="217">
        <f t="shared" si="3"/>
        <v>0</v>
      </c>
      <c r="N17" s="217">
        <f t="shared" si="3"/>
        <v>0</v>
      </c>
      <c r="O17" s="217">
        <f>SUM(C17:N17)</f>
        <v>967185</v>
      </c>
      <c r="P17" s="185"/>
      <c r="Q17" s="218"/>
      <c r="R17" s="185"/>
    </row>
    <row r="18" spans="1:18">
      <c r="B18" s="171"/>
      <c r="C18" s="214">
        <f>SUM(C16:C17)</f>
        <v>0</v>
      </c>
      <c r="D18" s="214">
        <f>SUM(D16:D17)</f>
        <v>0</v>
      </c>
      <c r="E18" s="214">
        <f t="shared" ref="E18:O18" si="4">SUM(E16:E17)</f>
        <v>0</v>
      </c>
      <c r="F18" s="214">
        <f t="shared" si="4"/>
        <v>232817</v>
      </c>
      <c r="G18" s="214">
        <f t="shared" si="4"/>
        <v>314785</v>
      </c>
      <c r="H18" s="214">
        <f t="shared" si="4"/>
        <v>674062</v>
      </c>
      <c r="I18" s="214">
        <f t="shared" si="4"/>
        <v>468607</v>
      </c>
      <c r="J18" s="214">
        <f t="shared" si="4"/>
        <v>-62211</v>
      </c>
      <c r="K18" s="214">
        <f t="shared" si="4"/>
        <v>0</v>
      </c>
      <c r="L18" s="214">
        <f t="shared" si="4"/>
        <v>0</v>
      </c>
      <c r="M18" s="214">
        <f t="shared" si="4"/>
        <v>0</v>
      </c>
      <c r="N18" s="214">
        <f t="shared" si="4"/>
        <v>0</v>
      </c>
      <c r="O18" s="214">
        <f t="shared" si="4"/>
        <v>1628060</v>
      </c>
      <c r="P18" s="183"/>
      <c r="Q18" s="184"/>
      <c r="R18" s="183"/>
    </row>
    <row r="19" spans="1:18">
      <c r="B19" s="171"/>
      <c r="C19" s="214"/>
      <c r="D19" s="214"/>
      <c r="E19" s="214"/>
      <c r="F19" s="214"/>
      <c r="G19" s="214"/>
      <c r="H19" s="214"/>
      <c r="I19" s="214"/>
      <c r="J19" s="214"/>
      <c r="K19" s="214"/>
      <c r="L19" s="214"/>
      <c r="M19" s="214"/>
      <c r="N19" s="214"/>
      <c r="O19" s="214"/>
      <c r="P19" s="183"/>
      <c r="Q19" s="184"/>
      <c r="R19" s="183"/>
    </row>
    <row r="20" spans="1:18" ht="15">
      <c r="A20" s="48" t="s">
        <v>462</v>
      </c>
      <c r="B20" s="171"/>
      <c r="C20" s="185"/>
      <c r="D20" s="185"/>
      <c r="E20" s="185"/>
      <c r="F20" s="185"/>
      <c r="G20" s="185"/>
      <c r="H20" s="185"/>
      <c r="I20" s="185"/>
      <c r="J20" s="185"/>
      <c r="K20" s="185"/>
      <c r="L20" s="185"/>
      <c r="M20" s="185"/>
      <c r="N20" s="185"/>
      <c r="O20" s="185"/>
      <c r="P20" s="183"/>
      <c r="Q20" s="184"/>
      <c r="R20" s="183"/>
    </row>
    <row r="21" spans="1:18">
      <c r="A21" s="182" t="s">
        <v>219</v>
      </c>
      <c r="B21" s="171" t="s">
        <v>219</v>
      </c>
      <c r="C21" s="214">
        <f t="shared" ref="C21:N23" si="5">ROUND(SUMIFS(_12MonResults_KWH_Total,_12MonResults_RateClass,$B21,_12MonResults_RevMonth,C$3)*C$7,0)</f>
        <v>0</v>
      </c>
      <c r="D21" s="214">
        <f t="shared" si="5"/>
        <v>0</v>
      </c>
      <c r="E21" s="214">
        <f t="shared" si="5"/>
        <v>0</v>
      </c>
      <c r="F21" s="214">
        <f t="shared" si="5"/>
        <v>-476</v>
      </c>
      <c r="G21" s="214">
        <f t="shared" si="5"/>
        <v>1126</v>
      </c>
      <c r="H21" s="214">
        <f t="shared" si="5"/>
        <v>1908</v>
      </c>
      <c r="I21" s="214">
        <f t="shared" si="5"/>
        <v>1164</v>
      </c>
      <c r="J21" s="214">
        <f t="shared" si="5"/>
        <v>-163</v>
      </c>
      <c r="K21" s="214">
        <f t="shared" si="5"/>
        <v>0</v>
      </c>
      <c r="L21" s="214">
        <f t="shared" si="5"/>
        <v>0</v>
      </c>
      <c r="M21" s="214">
        <f t="shared" si="5"/>
        <v>0</v>
      </c>
      <c r="N21" s="214">
        <f t="shared" si="5"/>
        <v>0</v>
      </c>
      <c r="O21" s="214">
        <f>SUM(C21:N21)</f>
        <v>3559</v>
      </c>
      <c r="P21" s="183"/>
      <c r="Q21" s="184"/>
      <c r="R21" s="183"/>
    </row>
    <row r="22" spans="1:18">
      <c r="A22" s="182" t="s">
        <v>764</v>
      </c>
      <c r="B22" s="172" t="s">
        <v>228</v>
      </c>
      <c r="C22" s="214">
        <f t="shared" si="5"/>
        <v>0</v>
      </c>
      <c r="D22" s="214">
        <f t="shared" si="5"/>
        <v>0</v>
      </c>
      <c r="E22" s="214">
        <f t="shared" si="5"/>
        <v>0</v>
      </c>
      <c r="F22" s="214">
        <f t="shared" si="5"/>
        <v>20154</v>
      </c>
      <c r="G22" s="214">
        <f t="shared" si="5"/>
        <v>26275</v>
      </c>
      <c r="H22" s="214">
        <f t="shared" si="5"/>
        <v>49047</v>
      </c>
      <c r="I22" s="214">
        <f t="shared" si="5"/>
        <v>26961</v>
      </c>
      <c r="J22" s="214">
        <f t="shared" si="5"/>
        <v>-3826</v>
      </c>
      <c r="K22" s="214">
        <f t="shared" si="5"/>
        <v>0</v>
      </c>
      <c r="L22" s="214">
        <f t="shared" si="5"/>
        <v>0</v>
      </c>
      <c r="M22" s="214">
        <f t="shared" si="5"/>
        <v>0</v>
      </c>
      <c r="N22" s="214">
        <f t="shared" si="5"/>
        <v>0</v>
      </c>
      <c r="O22" s="214">
        <f>SUM(C22:N22)</f>
        <v>118611</v>
      </c>
      <c r="P22" s="183"/>
      <c r="Q22" s="184"/>
      <c r="R22" s="183"/>
    </row>
    <row r="23" spans="1:18" ht="15">
      <c r="A23" s="182" t="s">
        <v>765</v>
      </c>
      <c r="B23" s="172" t="s">
        <v>766</v>
      </c>
      <c r="C23" s="217">
        <f t="shared" si="5"/>
        <v>0</v>
      </c>
      <c r="D23" s="217">
        <f t="shared" si="5"/>
        <v>0</v>
      </c>
      <c r="E23" s="217">
        <f t="shared" si="5"/>
        <v>0</v>
      </c>
      <c r="F23" s="217">
        <f t="shared" si="5"/>
        <v>0</v>
      </c>
      <c r="G23" s="217">
        <f t="shared" si="5"/>
        <v>0</v>
      </c>
      <c r="H23" s="217">
        <f t="shared" si="5"/>
        <v>0</v>
      </c>
      <c r="I23" s="217">
        <f t="shared" si="5"/>
        <v>0</v>
      </c>
      <c r="J23" s="217">
        <f t="shared" si="5"/>
        <v>0</v>
      </c>
      <c r="K23" s="217">
        <f t="shared" si="5"/>
        <v>0</v>
      </c>
      <c r="L23" s="217">
        <f t="shared" si="5"/>
        <v>0</v>
      </c>
      <c r="M23" s="217">
        <f t="shared" si="5"/>
        <v>0</v>
      </c>
      <c r="N23" s="217">
        <f t="shared" si="5"/>
        <v>0</v>
      </c>
      <c r="O23" s="217">
        <f>SUM(C23:N23)</f>
        <v>0</v>
      </c>
      <c r="P23" s="185"/>
      <c r="Q23" s="218"/>
      <c r="R23" s="185"/>
    </row>
    <row r="24" spans="1:18">
      <c r="A24" s="182"/>
      <c r="B24" s="172"/>
      <c r="C24" s="214">
        <f t="shared" ref="C24:O24" si="6">SUM(C21:C23)</f>
        <v>0</v>
      </c>
      <c r="D24" s="214">
        <f>SUM(D21:D23)</f>
        <v>0</v>
      </c>
      <c r="E24" s="214">
        <f t="shared" si="6"/>
        <v>0</v>
      </c>
      <c r="F24" s="214">
        <f t="shared" si="6"/>
        <v>19678</v>
      </c>
      <c r="G24" s="214">
        <f t="shared" si="6"/>
        <v>27401</v>
      </c>
      <c r="H24" s="214">
        <f t="shared" si="6"/>
        <v>50955</v>
      </c>
      <c r="I24" s="214">
        <f t="shared" si="6"/>
        <v>28125</v>
      </c>
      <c r="J24" s="214">
        <f t="shared" si="6"/>
        <v>-3989</v>
      </c>
      <c r="K24" s="214">
        <f t="shared" si="6"/>
        <v>0</v>
      </c>
      <c r="L24" s="214">
        <f t="shared" si="6"/>
        <v>0</v>
      </c>
      <c r="M24" s="214">
        <f t="shared" si="6"/>
        <v>0</v>
      </c>
      <c r="N24" s="214">
        <f t="shared" si="6"/>
        <v>0</v>
      </c>
      <c r="O24" s="214">
        <f t="shared" si="6"/>
        <v>122170</v>
      </c>
      <c r="P24" s="183"/>
      <c r="Q24" s="184"/>
      <c r="R24" s="183"/>
    </row>
    <row r="25" spans="1:18">
      <c r="B25" s="171"/>
      <c r="C25" s="183"/>
      <c r="D25" s="183"/>
      <c r="E25" s="183"/>
      <c r="F25" s="183"/>
      <c r="G25" s="183"/>
      <c r="H25" s="183"/>
      <c r="I25" s="183"/>
      <c r="J25" s="183"/>
      <c r="K25" s="183"/>
      <c r="L25" s="183"/>
      <c r="M25" s="183"/>
      <c r="N25" s="183"/>
      <c r="O25" s="183"/>
      <c r="P25" s="183"/>
      <c r="Q25" s="184"/>
      <c r="R25" s="183"/>
    </row>
    <row r="26" spans="1:18">
      <c r="A26" s="186" t="s">
        <v>113</v>
      </c>
      <c r="B26" s="171"/>
      <c r="C26" s="183"/>
      <c r="D26" s="183"/>
      <c r="E26" s="183"/>
      <c r="F26" s="183"/>
      <c r="G26" s="183"/>
      <c r="H26" s="183"/>
      <c r="I26" s="183"/>
      <c r="J26" s="183"/>
      <c r="K26" s="183"/>
      <c r="L26" s="183"/>
      <c r="M26" s="183"/>
      <c r="N26" s="183"/>
      <c r="O26" s="183"/>
      <c r="P26" s="183"/>
      <c r="Q26" s="184"/>
      <c r="R26" s="183"/>
    </row>
    <row r="27" spans="1:18">
      <c r="A27" s="188" t="s">
        <v>767</v>
      </c>
      <c r="B27" s="171" t="s">
        <v>25</v>
      </c>
      <c r="C27" s="214">
        <f t="shared" ref="C27:N28" si="7">ROUND(SUMIFS(_12MonResults_KWH_Total,_12MonResults_RateClass,$B27,_12MonResults_RevMonth,C$3)*C$7,0)</f>
        <v>0</v>
      </c>
      <c r="D27" s="214">
        <f t="shared" si="7"/>
        <v>0</v>
      </c>
      <c r="E27" s="214">
        <f t="shared" si="7"/>
        <v>0</v>
      </c>
      <c r="F27" s="214">
        <f t="shared" si="7"/>
        <v>306687</v>
      </c>
      <c r="G27" s="214">
        <f t="shared" si="7"/>
        <v>450064</v>
      </c>
      <c r="H27" s="214">
        <f t="shared" si="7"/>
        <v>941392</v>
      </c>
      <c r="I27" s="214">
        <f t="shared" si="7"/>
        <v>614087</v>
      </c>
      <c r="J27" s="214">
        <f t="shared" si="7"/>
        <v>-81317</v>
      </c>
      <c r="K27" s="214">
        <f t="shared" si="7"/>
        <v>0</v>
      </c>
      <c r="L27" s="214">
        <f t="shared" si="7"/>
        <v>0</v>
      </c>
      <c r="M27" s="214">
        <f t="shared" si="7"/>
        <v>0</v>
      </c>
      <c r="N27" s="214">
        <f t="shared" si="7"/>
        <v>0</v>
      </c>
      <c r="O27" s="214">
        <f>SUM(C27:N27)</f>
        <v>2230913</v>
      </c>
      <c r="P27" s="183"/>
      <c r="Q27" s="184"/>
      <c r="R27" s="183"/>
    </row>
    <row r="28" spans="1:18" ht="15">
      <c r="A28" s="188" t="s">
        <v>768</v>
      </c>
      <c r="B28" s="171" t="s">
        <v>26</v>
      </c>
      <c r="C28" s="217">
        <f t="shared" si="7"/>
        <v>0</v>
      </c>
      <c r="D28" s="217">
        <f t="shared" si="7"/>
        <v>0</v>
      </c>
      <c r="E28" s="217">
        <f t="shared" si="7"/>
        <v>0</v>
      </c>
      <c r="F28" s="217">
        <f t="shared" si="7"/>
        <v>43499</v>
      </c>
      <c r="G28" s="217">
        <f t="shared" si="7"/>
        <v>56221</v>
      </c>
      <c r="H28" s="217">
        <f t="shared" si="7"/>
        <v>124285</v>
      </c>
      <c r="I28" s="217">
        <f t="shared" si="7"/>
        <v>71831</v>
      </c>
      <c r="J28" s="217">
        <f t="shared" si="7"/>
        <v>-8709</v>
      </c>
      <c r="K28" s="217">
        <f t="shared" si="7"/>
        <v>0</v>
      </c>
      <c r="L28" s="217">
        <f t="shared" si="7"/>
        <v>0</v>
      </c>
      <c r="M28" s="217">
        <f t="shared" si="7"/>
        <v>0</v>
      </c>
      <c r="N28" s="217">
        <f t="shared" si="7"/>
        <v>0</v>
      </c>
      <c r="O28" s="217">
        <f>SUM(C28:N28)</f>
        <v>287127</v>
      </c>
      <c r="P28" s="185"/>
      <c r="Q28" s="218"/>
      <c r="R28" s="185"/>
    </row>
    <row r="29" spans="1:18">
      <c r="B29" s="189"/>
      <c r="C29" s="214">
        <f t="shared" ref="C29:O29" si="8">SUM(C27:C28)</f>
        <v>0</v>
      </c>
      <c r="D29" s="214">
        <f t="shared" si="8"/>
        <v>0</v>
      </c>
      <c r="E29" s="214">
        <f t="shared" si="8"/>
        <v>0</v>
      </c>
      <c r="F29" s="214">
        <f t="shared" si="8"/>
        <v>350186</v>
      </c>
      <c r="G29" s="214">
        <f t="shared" si="8"/>
        <v>506285</v>
      </c>
      <c r="H29" s="214">
        <f t="shared" si="8"/>
        <v>1065677</v>
      </c>
      <c r="I29" s="214">
        <f t="shared" si="8"/>
        <v>685918</v>
      </c>
      <c r="J29" s="214">
        <f t="shared" si="8"/>
        <v>-90026</v>
      </c>
      <c r="K29" s="214">
        <f t="shared" si="8"/>
        <v>0</v>
      </c>
      <c r="L29" s="214">
        <f t="shared" si="8"/>
        <v>0</v>
      </c>
      <c r="M29" s="214">
        <f t="shared" si="8"/>
        <v>0</v>
      </c>
      <c r="N29" s="214">
        <f t="shared" si="8"/>
        <v>0</v>
      </c>
      <c r="O29" s="214">
        <f t="shared" si="8"/>
        <v>2518040</v>
      </c>
      <c r="P29" s="183"/>
      <c r="Q29" s="184"/>
      <c r="R29" s="183"/>
    </row>
    <row r="30" spans="1:18">
      <c r="A30" s="181" t="s">
        <v>698</v>
      </c>
      <c r="B30" s="189"/>
      <c r="C30" s="183"/>
      <c r="D30" s="183"/>
      <c r="E30" s="183"/>
      <c r="F30" s="183"/>
      <c r="G30" s="183"/>
      <c r="H30" s="183"/>
      <c r="I30" s="183"/>
      <c r="J30" s="183"/>
      <c r="K30" s="183"/>
      <c r="L30" s="183"/>
      <c r="M30" s="183"/>
      <c r="N30" s="183"/>
      <c r="O30" s="183"/>
      <c r="P30" s="183"/>
      <c r="Q30" s="184"/>
      <c r="R30" s="183"/>
    </row>
    <row r="31" spans="1:18">
      <c r="A31" s="188" t="s">
        <v>699</v>
      </c>
      <c r="B31" s="172" t="s">
        <v>221</v>
      </c>
      <c r="C31" s="214">
        <f t="shared" ref="C31:N32" si="9">ROUND(SUMIFS(_12MonResults_KWH_Total,_12MonResults_RateClass,$B31,_12MonResults_RevMonth,C$3)*C$7,0)</f>
        <v>0</v>
      </c>
      <c r="D31" s="214">
        <f t="shared" si="9"/>
        <v>0</v>
      </c>
      <c r="E31" s="214">
        <f t="shared" si="9"/>
        <v>0</v>
      </c>
      <c r="F31" s="214">
        <f t="shared" si="9"/>
        <v>573953</v>
      </c>
      <c r="G31" s="214">
        <f t="shared" si="9"/>
        <v>811361</v>
      </c>
      <c r="H31" s="214">
        <f t="shared" si="9"/>
        <v>1639286</v>
      </c>
      <c r="I31" s="214">
        <f t="shared" si="9"/>
        <v>1179215</v>
      </c>
      <c r="J31" s="214">
        <f t="shared" si="9"/>
        <v>-131761</v>
      </c>
      <c r="K31" s="214">
        <f t="shared" si="9"/>
        <v>0</v>
      </c>
      <c r="L31" s="214">
        <f t="shared" si="9"/>
        <v>0</v>
      </c>
      <c r="M31" s="214">
        <f t="shared" si="9"/>
        <v>0</v>
      </c>
      <c r="N31" s="214">
        <f t="shared" si="9"/>
        <v>0</v>
      </c>
      <c r="O31" s="214">
        <f>SUM(C31:N31)</f>
        <v>4072054</v>
      </c>
      <c r="P31" s="183"/>
      <c r="Q31" s="184"/>
      <c r="R31" s="183"/>
    </row>
    <row r="32" spans="1:18" ht="15">
      <c r="A32" s="188" t="s">
        <v>700</v>
      </c>
      <c r="B32" s="172" t="s">
        <v>220</v>
      </c>
      <c r="C32" s="217">
        <f t="shared" si="9"/>
        <v>0</v>
      </c>
      <c r="D32" s="217">
        <f t="shared" si="9"/>
        <v>0</v>
      </c>
      <c r="E32" s="217">
        <f t="shared" si="9"/>
        <v>0</v>
      </c>
      <c r="F32" s="217">
        <f t="shared" si="9"/>
        <v>161840</v>
      </c>
      <c r="G32" s="217">
        <f t="shared" si="9"/>
        <v>239011</v>
      </c>
      <c r="H32" s="217">
        <f t="shared" si="9"/>
        <v>514203</v>
      </c>
      <c r="I32" s="217">
        <f t="shared" si="9"/>
        <v>353107</v>
      </c>
      <c r="J32" s="217">
        <f t="shared" si="9"/>
        <v>-48335</v>
      </c>
      <c r="K32" s="217">
        <f t="shared" si="9"/>
        <v>0</v>
      </c>
      <c r="L32" s="217">
        <f t="shared" si="9"/>
        <v>0</v>
      </c>
      <c r="M32" s="217">
        <f t="shared" si="9"/>
        <v>0</v>
      </c>
      <c r="N32" s="217">
        <f t="shared" si="9"/>
        <v>0</v>
      </c>
      <c r="O32" s="217">
        <f>SUM(C32:N32)</f>
        <v>1219826</v>
      </c>
      <c r="P32" s="185"/>
      <c r="Q32" s="218"/>
      <c r="R32" s="185"/>
    </row>
    <row r="33" spans="1:18">
      <c r="B33" s="189"/>
      <c r="C33" s="214">
        <f t="shared" ref="C33:O33" si="10">SUM(C31:C32)</f>
        <v>0</v>
      </c>
      <c r="D33" s="214">
        <f t="shared" si="10"/>
        <v>0</v>
      </c>
      <c r="E33" s="214">
        <f t="shared" si="10"/>
        <v>0</v>
      </c>
      <c r="F33" s="214">
        <f t="shared" si="10"/>
        <v>735793</v>
      </c>
      <c r="G33" s="214">
        <f t="shared" si="10"/>
        <v>1050372</v>
      </c>
      <c r="H33" s="214">
        <f t="shared" si="10"/>
        <v>2153489</v>
      </c>
      <c r="I33" s="214">
        <f t="shared" si="10"/>
        <v>1532322</v>
      </c>
      <c r="J33" s="214">
        <f t="shared" si="10"/>
        <v>-180096</v>
      </c>
      <c r="K33" s="214">
        <f t="shared" si="10"/>
        <v>0</v>
      </c>
      <c r="L33" s="214">
        <f t="shared" si="10"/>
        <v>0</v>
      </c>
      <c r="M33" s="214">
        <f t="shared" si="10"/>
        <v>0</v>
      </c>
      <c r="N33" s="214">
        <f t="shared" si="10"/>
        <v>0</v>
      </c>
      <c r="O33" s="214">
        <f t="shared" si="10"/>
        <v>5291880</v>
      </c>
      <c r="P33" s="183"/>
      <c r="Q33" s="184"/>
      <c r="R33" s="183"/>
    </row>
    <row r="34" spans="1:18">
      <c r="A34" s="186"/>
      <c r="B34" s="171"/>
      <c r="C34" s="183"/>
      <c r="D34" s="183"/>
      <c r="E34" s="183"/>
      <c r="F34" s="183"/>
      <c r="G34" s="183"/>
      <c r="H34" s="183"/>
      <c r="I34" s="183"/>
      <c r="J34" s="183"/>
      <c r="K34" s="183"/>
      <c r="L34" s="183"/>
      <c r="M34" s="183"/>
      <c r="N34" s="183"/>
      <c r="O34" s="183"/>
      <c r="P34" s="183"/>
      <c r="Q34" s="184"/>
      <c r="R34" s="183"/>
    </row>
    <row r="35" spans="1:18">
      <c r="B35" s="171"/>
      <c r="C35" s="183"/>
      <c r="D35" s="183"/>
      <c r="E35" s="183"/>
      <c r="F35" s="183"/>
      <c r="G35" s="183"/>
      <c r="H35" s="183"/>
      <c r="I35" s="183"/>
      <c r="J35" s="183"/>
      <c r="K35" s="183"/>
      <c r="L35" s="183"/>
      <c r="M35" s="183"/>
      <c r="N35" s="183"/>
      <c r="O35" s="183"/>
      <c r="P35" s="183"/>
      <c r="Q35" s="184"/>
      <c r="R35" s="183"/>
    </row>
    <row r="36" spans="1:18">
      <c r="A36" s="181" t="s">
        <v>770</v>
      </c>
      <c r="B36" s="171" t="s">
        <v>19</v>
      </c>
      <c r="C36" s="214">
        <f t="shared" ref="C36:N36" si="11">ROUND(SUMIFS(_12MonResults_KWH_Total,_12MonResults_RateClass,$B36,_12MonResults_RevMonth,C$3)*C$7,0)</f>
        <v>0</v>
      </c>
      <c r="D36" s="214">
        <f t="shared" si="11"/>
        <v>0</v>
      </c>
      <c r="E36" s="214">
        <f t="shared" si="11"/>
        <v>0</v>
      </c>
      <c r="F36" s="214">
        <f t="shared" si="11"/>
        <v>233829</v>
      </c>
      <c r="G36" s="214">
        <f t="shared" si="11"/>
        <v>310409</v>
      </c>
      <c r="H36" s="214">
        <f t="shared" si="11"/>
        <v>601258</v>
      </c>
      <c r="I36" s="214">
        <f t="shared" si="11"/>
        <v>349509</v>
      </c>
      <c r="J36" s="214">
        <f t="shared" si="11"/>
        <v>-57357</v>
      </c>
      <c r="K36" s="214">
        <f t="shared" si="11"/>
        <v>0</v>
      </c>
      <c r="L36" s="214">
        <f t="shared" si="11"/>
        <v>0</v>
      </c>
      <c r="M36" s="214">
        <f t="shared" si="11"/>
        <v>0</v>
      </c>
      <c r="N36" s="214">
        <f t="shared" si="11"/>
        <v>0</v>
      </c>
      <c r="O36" s="214">
        <f>SUM(C36:N36)</f>
        <v>1437648</v>
      </c>
      <c r="P36" s="183"/>
      <c r="Q36" s="184"/>
      <c r="R36" s="183"/>
    </row>
    <row r="37" spans="1:18">
      <c r="B37" s="171"/>
      <c r="C37" s="183"/>
      <c r="D37" s="183"/>
      <c r="E37" s="183"/>
      <c r="F37" s="183"/>
      <c r="G37" s="183"/>
      <c r="H37" s="183"/>
      <c r="I37" s="183"/>
      <c r="J37" s="183"/>
      <c r="K37" s="183"/>
      <c r="L37" s="183"/>
      <c r="M37" s="183"/>
      <c r="N37" s="183"/>
      <c r="O37" s="183"/>
      <c r="P37" s="183"/>
      <c r="Q37" s="184"/>
      <c r="R37" s="183"/>
    </row>
    <row r="38" spans="1:18">
      <c r="A38" s="48" t="s">
        <v>769</v>
      </c>
      <c r="B38" s="172" t="s">
        <v>28</v>
      </c>
      <c r="C38" s="214">
        <f t="shared" ref="C38:N38" si="12">ROUND(SUMIFS(_12MonResults_KWH_Total,_12MonResults_RateClass,$B38,_12MonResults_RevMonth,C$3)*C$7,0)</f>
        <v>0</v>
      </c>
      <c r="D38" s="214">
        <f t="shared" si="12"/>
        <v>0</v>
      </c>
      <c r="E38" s="214">
        <f t="shared" si="12"/>
        <v>0</v>
      </c>
      <c r="F38" s="214">
        <f t="shared" si="12"/>
        <v>85322</v>
      </c>
      <c r="G38" s="214">
        <f t="shared" si="12"/>
        <v>112622</v>
      </c>
      <c r="H38" s="214">
        <f t="shared" si="12"/>
        <v>216274</v>
      </c>
      <c r="I38" s="214">
        <f t="shared" si="12"/>
        <v>120422</v>
      </c>
      <c r="J38" s="214">
        <f t="shared" si="12"/>
        <v>-19218</v>
      </c>
      <c r="K38" s="214">
        <f t="shared" si="12"/>
        <v>0</v>
      </c>
      <c r="L38" s="214">
        <f t="shared" si="12"/>
        <v>0</v>
      </c>
      <c r="M38" s="214">
        <f t="shared" si="12"/>
        <v>0</v>
      </c>
      <c r="N38" s="214">
        <f t="shared" si="12"/>
        <v>0</v>
      </c>
      <c r="O38" s="214">
        <f>SUM(C38:N38)</f>
        <v>515422</v>
      </c>
      <c r="P38" s="183"/>
      <c r="Q38" s="184"/>
      <c r="R38" s="183"/>
    </row>
    <row r="39" spans="1:18">
      <c r="B39" s="171"/>
      <c r="C39" s="183"/>
      <c r="D39" s="183"/>
      <c r="E39" s="183"/>
      <c r="F39" s="183"/>
      <c r="G39" s="183"/>
      <c r="H39" s="183"/>
      <c r="I39" s="183"/>
      <c r="J39" s="183"/>
      <c r="K39" s="183"/>
      <c r="L39" s="183"/>
      <c r="M39" s="183"/>
      <c r="N39" s="183"/>
      <c r="O39" s="183"/>
      <c r="P39" s="183"/>
      <c r="Q39" s="184"/>
      <c r="R39" s="183"/>
    </row>
    <row r="40" spans="1:18">
      <c r="A40" s="48" t="s">
        <v>701</v>
      </c>
      <c r="B40" s="171"/>
      <c r="C40" s="183"/>
      <c r="D40" s="183"/>
      <c r="E40" s="183"/>
      <c r="F40" s="183"/>
      <c r="G40" s="183"/>
      <c r="H40" s="183"/>
      <c r="I40" s="183"/>
      <c r="J40" s="183"/>
      <c r="K40" s="183"/>
      <c r="L40" s="183"/>
      <c r="M40" s="183"/>
      <c r="N40" s="183"/>
      <c r="O40" s="183"/>
      <c r="P40" s="183"/>
      <c r="Q40" s="184"/>
      <c r="R40" s="183"/>
    </row>
    <row r="41" spans="1:18">
      <c r="A41" s="187" t="s">
        <v>773</v>
      </c>
      <c r="B41" s="171" t="s">
        <v>20</v>
      </c>
      <c r="C41" s="214">
        <f t="shared" ref="C41:N42" si="13">ROUND(SUMIFS(_12MonResults_KWH_Total,_12MonResults_RateClass,$B41,_12MonResults_RevMonth,C$3)*C$7,0)</f>
        <v>0</v>
      </c>
      <c r="D41" s="214">
        <f t="shared" si="13"/>
        <v>0</v>
      </c>
      <c r="E41" s="214">
        <f t="shared" si="13"/>
        <v>0</v>
      </c>
      <c r="F41" s="214">
        <f t="shared" si="13"/>
        <v>27</v>
      </c>
      <c r="G41" s="214">
        <f t="shared" si="13"/>
        <v>30</v>
      </c>
      <c r="H41" s="214">
        <f t="shared" si="13"/>
        <v>57</v>
      </c>
      <c r="I41" s="214">
        <f t="shared" si="13"/>
        <v>38</v>
      </c>
      <c r="J41" s="214">
        <f t="shared" si="13"/>
        <v>-5</v>
      </c>
      <c r="K41" s="214">
        <f t="shared" si="13"/>
        <v>0</v>
      </c>
      <c r="L41" s="214">
        <f t="shared" si="13"/>
        <v>0</v>
      </c>
      <c r="M41" s="214">
        <f t="shared" si="13"/>
        <v>0</v>
      </c>
      <c r="N41" s="214">
        <f t="shared" si="13"/>
        <v>0</v>
      </c>
      <c r="O41" s="214">
        <f>SUM(C41:N41)</f>
        <v>147</v>
      </c>
      <c r="P41" s="183"/>
      <c r="Q41" s="184"/>
      <c r="R41" s="183"/>
    </row>
    <row r="42" spans="1:18">
      <c r="A42" s="188" t="s">
        <v>774</v>
      </c>
      <c r="B42" s="171" t="s">
        <v>21</v>
      </c>
      <c r="C42" s="214">
        <f t="shared" si="13"/>
        <v>0</v>
      </c>
      <c r="D42" s="214">
        <f t="shared" si="13"/>
        <v>0</v>
      </c>
      <c r="E42" s="214">
        <f t="shared" si="13"/>
        <v>0</v>
      </c>
      <c r="F42" s="214">
        <f t="shared" si="13"/>
        <v>179</v>
      </c>
      <c r="G42" s="214">
        <f t="shared" si="13"/>
        <v>247</v>
      </c>
      <c r="H42" s="214">
        <f t="shared" si="13"/>
        <v>475</v>
      </c>
      <c r="I42" s="214">
        <f t="shared" si="13"/>
        <v>298</v>
      </c>
      <c r="J42" s="214">
        <f t="shared" si="13"/>
        <v>-47</v>
      </c>
      <c r="K42" s="214">
        <f t="shared" si="13"/>
        <v>0</v>
      </c>
      <c r="L42" s="214">
        <f t="shared" si="13"/>
        <v>0</v>
      </c>
      <c r="M42" s="214">
        <f t="shared" si="13"/>
        <v>0</v>
      </c>
      <c r="N42" s="214">
        <f t="shared" si="13"/>
        <v>0</v>
      </c>
      <c r="O42" s="214">
        <f>SUM(C42:N42)</f>
        <v>1152</v>
      </c>
      <c r="P42" s="183"/>
      <c r="Q42" s="184"/>
      <c r="R42" s="183"/>
    </row>
    <row r="43" spans="1:18">
      <c r="A43" s="187" t="s">
        <v>924</v>
      </c>
      <c r="B43" s="189" t="s">
        <v>745</v>
      </c>
      <c r="C43" s="214">
        <f t="shared" ref="C43:N45" si="14">ROUND(SUMIFS(_12MonLights_KWH,_12MonLights_RateClass,$B43,_12MonLights_RevMonth,C$3)*C$7,0)</f>
        <v>0</v>
      </c>
      <c r="D43" s="214">
        <f t="shared" si="14"/>
        <v>0</v>
      </c>
      <c r="E43" s="214">
        <f t="shared" si="14"/>
        <v>0</v>
      </c>
      <c r="F43" s="214">
        <f t="shared" si="14"/>
        <v>0</v>
      </c>
      <c r="G43" s="214">
        <f t="shared" si="14"/>
        <v>0</v>
      </c>
      <c r="H43" s="214">
        <f t="shared" si="14"/>
        <v>0</v>
      </c>
      <c r="I43" s="214">
        <f t="shared" si="14"/>
        <v>0</v>
      </c>
      <c r="J43" s="214">
        <f t="shared" si="14"/>
        <v>0</v>
      </c>
      <c r="K43" s="214">
        <f t="shared" si="14"/>
        <v>0</v>
      </c>
      <c r="L43" s="214">
        <f t="shared" si="14"/>
        <v>0</v>
      </c>
      <c r="M43" s="214">
        <f t="shared" si="14"/>
        <v>0</v>
      </c>
      <c r="N43" s="214">
        <f t="shared" si="14"/>
        <v>0</v>
      </c>
      <c r="O43" s="214">
        <f>SUM(C43:N43)</f>
        <v>0</v>
      </c>
      <c r="P43" s="183"/>
      <c r="Q43" s="184"/>
      <c r="R43" s="183"/>
    </row>
    <row r="44" spans="1:18">
      <c r="A44" s="188" t="s">
        <v>771</v>
      </c>
      <c r="B44" s="172" t="s">
        <v>702</v>
      </c>
      <c r="C44" s="214">
        <f t="shared" si="14"/>
        <v>0</v>
      </c>
      <c r="D44" s="214">
        <f t="shared" si="14"/>
        <v>0</v>
      </c>
      <c r="E44" s="214">
        <f t="shared" si="14"/>
        <v>0</v>
      </c>
      <c r="F44" s="214">
        <f t="shared" si="14"/>
        <v>0</v>
      </c>
      <c r="G44" s="214">
        <f t="shared" si="14"/>
        <v>0</v>
      </c>
      <c r="H44" s="214">
        <f t="shared" si="14"/>
        <v>0</v>
      </c>
      <c r="I44" s="214">
        <f t="shared" si="14"/>
        <v>0</v>
      </c>
      <c r="J44" s="214">
        <f t="shared" si="14"/>
        <v>0</v>
      </c>
      <c r="K44" s="214">
        <f t="shared" si="14"/>
        <v>0</v>
      </c>
      <c r="L44" s="214">
        <f t="shared" si="14"/>
        <v>0</v>
      </c>
      <c r="M44" s="214">
        <f t="shared" si="14"/>
        <v>0</v>
      </c>
      <c r="N44" s="214">
        <f t="shared" si="14"/>
        <v>0</v>
      </c>
      <c r="O44" s="214">
        <f>SUM(C44:N44)</f>
        <v>0</v>
      </c>
      <c r="P44" s="183"/>
      <c r="Q44" s="184"/>
      <c r="R44" s="183"/>
    </row>
    <row r="45" spans="1:18" ht="15">
      <c r="A45" s="188" t="s">
        <v>772</v>
      </c>
      <c r="B45" s="171" t="s">
        <v>703</v>
      </c>
      <c r="C45" s="217">
        <f t="shared" si="14"/>
        <v>0</v>
      </c>
      <c r="D45" s="217">
        <f t="shared" si="14"/>
        <v>0</v>
      </c>
      <c r="E45" s="217">
        <f t="shared" si="14"/>
        <v>0</v>
      </c>
      <c r="F45" s="217">
        <f t="shared" si="14"/>
        <v>0</v>
      </c>
      <c r="G45" s="217">
        <f t="shared" si="14"/>
        <v>0</v>
      </c>
      <c r="H45" s="217">
        <f t="shared" si="14"/>
        <v>0</v>
      </c>
      <c r="I45" s="217">
        <f t="shared" si="14"/>
        <v>0</v>
      </c>
      <c r="J45" s="217">
        <f t="shared" si="14"/>
        <v>0</v>
      </c>
      <c r="K45" s="217">
        <f t="shared" si="14"/>
        <v>0</v>
      </c>
      <c r="L45" s="217">
        <f t="shared" si="14"/>
        <v>0</v>
      </c>
      <c r="M45" s="217">
        <f t="shared" si="14"/>
        <v>0</v>
      </c>
      <c r="N45" s="217">
        <f t="shared" si="14"/>
        <v>0</v>
      </c>
      <c r="O45" s="217">
        <f>SUM(C45:N45)</f>
        <v>0</v>
      </c>
      <c r="P45" s="185"/>
      <c r="Q45" s="218"/>
      <c r="R45" s="185"/>
    </row>
    <row r="46" spans="1:18">
      <c r="C46" s="214">
        <f>SUM(C41:C45)</f>
        <v>0</v>
      </c>
      <c r="D46" s="214">
        <f>SUM(D41:D45)</f>
        <v>0</v>
      </c>
      <c r="E46" s="214">
        <f t="shared" ref="E46:O46" si="15">SUM(E41:E45)</f>
        <v>0</v>
      </c>
      <c r="F46" s="214">
        <f t="shared" si="15"/>
        <v>206</v>
      </c>
      <c r="G46" s="214">
        <f t="shared" si="15"/>
        <v>277</v>
      </c>
      <c r="H46" s="214">
        <f t="shared" si="15"/>
        <v>532</v>
      </c>
      <c r="I46" s="214">
        <f t="shared" si="15"/>
        <v>336</v>
      </c>
      <c r="J46" s="214">
        <f t="shared" si="15"/>
        <v>-52</v>
      </c>
      <c r="K46" s="214">
        <f t="shared" si="15"/>
        <v>0</v>
      </c>
      <c r="L46" s="214">
        <f t="shared" si="15"/>
        <v>0</v>
      </c>
      <c r="M46" s="214">
        <f t="shared" si="15"/>
        <v>0</v>
      </c>
      <c r="N46" s="214">
        <f t="shared" si="15"/>
        <v>0</v>
      </c>
      <c r="O46" s="214">
        <f t="shared" si="15"/>
        <v>1299</v>
      </c>
      <c r="P46" s="183"/>
      <c r="Q46" s="184"/>
      <c r="R46" s="183"/>
    </row>
    <row r="47" spans="1:18">
      <c r="C47" s="183"/>
      <c r="D47" s="183"/>
      <c r="E47" s="183"/>
      <c r="F47" s="183"/>
      <c r="G47" s="183"/>
      <c r="H47" s="183"/>
      <c r="I47" s="183"/>
      <c r="J47" s="183"/>
      <c r="K47" s="183"/>
      <c r="L47" s="183"/>
      <c r="M47" s="183"/>
      <c r="N47" s="183"/>
      <c r="O47" s="183"/>
      <c r="P47" s="183"/>
      <c r="Q47" s="183"/>
      <c r="R47" s="183"/>
    </row>
    <row r="48" spans="1:18">
      <c r="A48" s="171" t="s">
        <v>60</v>
      </c>
      <c r="B48" s="171"/>
      <c r="C48" s="219">
        <f>SUM(C13,C18,C24,C29,C33,C36,C38,C46)</f>
        <v>0</v>
      </c>
      <c r="D48" s="219">
        <f>SUM(D13,D18,D24,D29,D33,D36,D38,D46)</f>
        <v>0</v>
      </c>
      <c r="E48" s="219">
        <f t="shared" ref="E48:O48" si="16">SUM(E13,E18,E24,E29,E33,E36,E38,E46)</f>
        <v>0</v>
      </c>
      <c r="F48" s="219">
        <f t="shared" si="16"/>
        <v>2385827</v>
      </c>
      <c r="G48" s="219">
        <f t="shared" si="16"/>
        <v>3156573</v>
      </c>
      <c r="H48" s="219">
        <f t="shared" si="16"/>
        <v>6734908</v>
      </c>
      <c r="I48" s="219">
        <f t="shared" si="16"/>
        <v>4653703</v>
      </c>
      <c r="J48" s="219">
        <f t="shared" si="16"/>
        <v>-599832</v>
      </c>
      <c r="K48" s="219">
        <f t="shared" si="16"/>
        <v>0</v>
      </c>
      <c r="L48" s="219">
        <f t="shared" si="16"/>
        <v>0</v>
      </c>
      <c r="M48" s="219">
        <f t="shared" si="16"/>
        <v>0</v>
      </c>
      <c r="N48" s="219">
        <f t="shared" si="16"/>
        <v>0</v>
      </c>
      <c r="O48" s="219">
        <f t="shared" si="16"/>
        <v>16331179</v>
      </c>
      <c r="P48" s="183"/>
      <c r="Q48" s="190"/>
      <c r="R48" s="183"/>
    </row>
    <row r="49" spans="1:20">
      <c r="C49" s="183"/>
      <c r="D49" s="183"/>
      <c r="E49" s="183"/>
      <c r="F49" s="183"/>
      <c r="G49" s="183"/>
      <c r="H49" s="183"/>
      <c r="I49" s="183"/>
      <c r="J49" s="183"/>
      <c r="K49" s="183"/>
      <c r="L49" s="183"/>
      <c r="M49" s="183"/>
      <c r="N49" s="183"/>
      <c r="O49" s="183"/>
      <c r="P49" s="183"/>
      <c r="Q49" s="183"/>
      <c r="R49" s="183"/>
    </row>
    <row r="50" spans="1:20">
      <c r="A50" s="224" t="s">
        <v>776</v>
      </c>
      <c r="B50" s="55"/>
      <c r="C50" s="220"/>
      <c r="D50" s="220"/>
      <c r="E50" s="220"/>
      <c r="F50" s="220"/>
      <c r="G50" s="220"/>
      <c r="H50" s="220"/>
      <c r="I50" s="220"/>
      <c r="J50" s="220"/>
      <c r="K50" s="220"/>
      <c r="L50" s="220"/>
      <c r="M50" s="220"/>
      <c r="N50" s="220"/>
      <c r="O50" s="221"/>
      <c r="P50" s="221"/>
      <c r="Q50" s="221" t="s">
        <v>775</v>
      </c>
      <c r="R50" s="221"/>
      <c r="S50" s="55"/>
      <c r="T50" s="191"/>
    </row>
    <row r="51" spans="1:20">
      <c r="A51" s="55"/>
      <c r="B51" s="55"/>
      <c r="C51" s="221"/>
      <c r="D51" s="221"/>
      <c r="E51" s="222"/>
      <c r="F51" s="222"/>
      <c r="G51" s="221"/>
      <c r="H51" s="223"/>
      <c r="I51" s="222"/>
      <c r="J51" s="222"/>
      <c r="K51" s="222"/>
      <c r="L51" s="221"/>
      <c r="M51" s="221"/>
      <c r="N51" s="221"/>
      <c r="O51" s="221"/>
      <c r="P51" s="221"/>
      <c r="Q51" s="221"/>
      <c r="R51" s="221"/>
      <c r="S51" s="55"/>
      <c r="T51" s="192"/>
    </row>
    <row r="52" spans="1:20">
      <c r="C52" s="193"/>
      <c r="D52" s="193"/>
      <c r="E52" s="193"/>
      <c r="F52" s="193"/>
      <c r="G52" s="193"/>
      <c r="H52" s="193"/>
      <c r="I52" s="193"/>
      <c r="J52" s="193"/>
      <c r="K52" s="193"/>
      <c r="L52" s="193"/>
      <c r="M52" s="193"/>
      <c r="N52" s="193"/>
      <c r="O52" s="183"/>
      <c r="P52" s="183"/>
      <c r="Q52" s="183"/>
      <c r="R52" s="183"/>
    </row>
    <row r="53" spans="1:20">
      <c r="C53" s="183"/>
      <c r="D53" s="183"/>
      <c r="E53" s="183"/>
      <c r="F53" s="183"/>
      <c r="G53" s="183"/>
      <c r="H53" s="183"/>
      <c r="I53" s="183"/>
      <c r="J53" s="183"/>
      <c r="K53" s="183"/>
      <c r="L53" s="183"/>
      <c r="M53" s="183"/>
      <c r="N53" s="183"/>
      <c r="O53" s="183"/>
      <c r="P53" s="183"/>
      <c r="Q53" s="183"/>
      <c r="R53" s="183"/>
    </row>
    <row r="54" spans="1:20">
      <c r="C54" s="1039" t="s">
        <v>704</v>
      </c>
      <c r="D54" s="1040"/>
      <c r="E54" s="1040"/>
      <c r="F54" s="1040"/>
      <c r="G54" s="1040"/>
      <c r="H54" s="1040"/>
      <c r="I54" s="1040"/>
      <c r="J54" s="1040"/>
      <c r="K54" s="1040"/>
      <c r="L54" s="1040"/>
      <c r="M54" s="1040"/>
      <c r="N54" s="1041"/>
      <c r="O54" s="183"/>
      <c r="P54" s="183"/>
      <c r="Q54" s="183"/>
      <c r="R54" s="183"/>
    </row>
    <row r="55" spans="1:20">
      <c r="C55" s="194"/>
      <c r="D55" s="195"/>
      <c r="E55" s="195"/>
      <c r="F55" s="195"/>
      <c r="G55" s="195"/>
      <c r="H55" s="195"/>
      <c r="I55" s="195"/>
      <c r="J55" s="195"/>
      <c r="K55" s="195"/>
      <c r="L55" s="195"/>
      <c r="M55" s="195"/>
      <c r="N55" s="195"/>
      <c r="O55" s="183"/>
      <c r="P55" s="183"/>
      <c r="Q55" s="183"/>
      <c r="R55" s="183"/>
    </row>
    <row r="56" spans="1:20">
      <c r="A56" s="178" t="s">
        <v>695</v>
      </c>
      <c r="B56" s="176"/>
      <c r="C56" s="179">
        <f>C7</f>
        <v>0</v>
      </c>
      <c r="D56" s="179">
        <f t="shared" ref="D56:N56" si="17">D7</f>
        <v>0</v>
      </c>
      <c r="E56" s="179">
        <f t="shared" si="17"/>
        <v>0</v>
      </c>
      <c r="F56" s="179">
        <f t="shared" si="17"/>
        <v>1.7099999999999999E-3</v>
      </c>
      <c r="G56" s="179">
        <f t="shared" si="17"/>
        <v>2.3700000000000001E-3</v>
      </c>
      <c r="H56" s="179">
        <f t="shared" si="17"/>
        <v>4.4900000000000001E-3</v>
      </c>
      <c r="I56" s="179">
        <f t="shared" si="17"/>
        <v>2.8300000000000001E-3</v>
      </c>
      <c r="J56" s="179">
        <f t="shared" si="17"/>
        <v>-4.0999999999999999E-4</v>
      </c>
      <c r="K56" s="179">
        <f t="shared" si="17"/>
        <v>0</v>
      </c>
      <c r="L56" s="179">
        <f t="shared" si="17"/>
        <v>0</v>
      </c>
      <c r="M56" s="179">
        <f t="shared" si="17"/>
        <v>0</v>
      </c>
      <c r="N56" s="179">
        <f t="shared" si="17"/>
        <v>0</v>
      </c>
      <c r="O56" s="183"/>
      <c r="P56" s="183"/>
      <c r="Q56" s="183"/>
      <c r="R56" s="183"/>
    </row>
    <row r="57" spans="1:20" ht="15">
      <c r="A57" s="178" t="s">
        <v>705</v>
      </c>
      <c r="C57" s="196">
        <f>ROUND(C58-C56,5)</f>
        <v>0</v>
      </c>
      <c r="D57" s="196">
        <f t="shared" ref="D57:N57" si="18">D58-D56</f>
        <v>0</v>
      </c>
      <c r="E57" s="196">
        <f t="shared" si="18"/>
        <v>0</v>
      </c>
      <c r="F57" s="196">
        <f t="shared" si="18"/>
        <v>0</v>
      </c>
      <c r="G57" s="196">
        <f t="shared" si="18"/>
        <v>0</v>
      </c>
      <c r="H57" s="196">
        <f t="shared" si="18"/>
        <v>0</v>
      </c>
      <c r="I57" s="196">
        <f t="shared" si="18"/>
        <v>0</v>
      </c>
      <c r="J57" s="196">
        <f t="shared" si="18"/>
        <v>-6.5052130349130266E-19</v>
      </c>
      <c r="K57" s="196">
        <f t="shared" si="18"/>
        <v>0</v>
      </c>
      <c r="L57" s="196">
        <f t="shared" si="18"/>
        <v>0</v>
      </c>
      <c r="M57" s="196">
        <f t="shared" si="18"/>
        <v>0</v>
      </c>
      <c r="N57" s="196">
        <f t="shared" si="18"/>
        <v>0</v>
      </c>
      <c r="O57" s="183"/>
      <c r="P57" s="183"/>
      <c r="Q57" s="183"/>
      <c r="R57" s="183"/>
    </row>
    <row r="58" spans="1:20">
      <c r="A58" s="178" t="s">
        <v>706</v>
      </c>
      <c r="C58" s="179">
        <f>VLOOKUP(C$2,MiscData!$A$5:$E$16,5,FALSE)</f>
        <v>0</v>
      </c>
      <c r="D58" s="179">
        <f>VLOOKUP(D$2,MiscData!$A$5:$E$16,5,FALSE)</f>
        <v>0</v>
      </c>
      <c r="E58" s="179">
        <f>VLOOKUP(E$2,MiscData!$A$5:$E$16,5,FALSE)</f>
        <v>0</v>
      </c>
      <c r="F58" s="179">
        <f>VLOOKUP(F$2,MiscData!$A$5:$E$16,5,FALSE)</f>
        <v>1.7099999999999997E-3</v>
      </c>
      <c r="G58" s="179">
        <f>VLOOKUP(G$2,MiscData!$A$5:$E$16,5,FALSE)</f>
        <v>2.3699999999999971E-3</v>
      </c>
      <c r="H58" s="179">
        <f>VLOOKUP(H$2,MiscData!$A$5:$E$16,5,FALSE)</f>
        <v>4.4900000000000009E-3</v>
      </c>
      <c r="I58" s="179">
        <f>VLOOKUP(I$2,MiscData!$A$5:$E$16,5,FALSE)</f>
        <v>2.8299999999999992E-3</v>
      </c>
      <c r="J58" s="179">
        <f>VLOOKUP(J$2,MiscData!$A$5:$E$16,5,FALSE)</f>
        <v>-4.1000000000000064E-4</v>
      </c>
      <c r="K58" s="179">
        <f>VLOOKUP(K$2,MiscData!$A$5:$E$16,5,FALSE)</f>
        <v>0</v>
      </c>
      <c r="L58" s="179">
        <f>VLOOKUP(L$2,MiscData!$A$5:$E$16,5,FALSE)</f>
        <v>0</v>
      </c>
      <c r="M58" s="179">
        <f>VLOOKUP(M$2,MiscData!$A$5:$E$16,5,FALSE)</f>
        <v>0</v>
      </c>
      <c r="N58" s="179">
        <f>VLOOKUP(N$2,MiscData!$A$5:$E$16,5,FALSE)</f>
        <v>0</v>
      </c>
      <c r="O58" s="183"/>
      <c r="P58" s="183"/>
      <c r="Q58" s="183"/>
      <c r="R58" s="183"/>
    </row>
    <row r="59" spans="1:20">
      <c r="C59" s="183"/>
      <c r="D59" s="183"/>
      <c r="E59" s="183"/>
      <c r="F59" s="183"/>
      <c r="G59" s="183"/>
      <c r="H59" s="183"/>
      <c r="I59" s="183"/>
      <c r="J59" s="183"/>
      <c r="K59" s="183"/>
      <c r="L59" s="183"/>
      <c r="M59" s="183"/>
      <c r="N59" s="183"/>
      <c r="O59" s="183"/>
      <c r="P59" s="183"/>
      <c r="Q59" s="183"/>
      <c r="R59" s="183"/>
    </row>
    <row r="60" spans="1:20">
      <c r="A60" s="181" t="s">
        <v>109</v>
      </c>
      <c r="B60" s="181"/>
    </row>
    <row r="61" spans="1:20">
      <c r="A61" s="182" t="s">
        <v>696</v>
      </c>
      <c r="B61" s="171" t="s">
        <v>15</v>
      </c>
      <c r="C61" s="214" t="e">
        <f t="shared" ref="C61:N63" si="19">ROUND(SUMIFS(_FACResults_KWH,_FACResults_RateClass,$B61,_FACResults_RevMonth3,C$3)*C$58,0)</f>
        <v>#REF!</v>
      </c>
      <c r="D61" s="214" t="e">
        <f t="shared" si="19"/>
        <v>#REF!</v>
      </c>
      <c r="E61" s="214" t="e">
        <f t="shared" si="19"/>
        <v>#REF!</v>
      </c>
      <c r="F61" s="214" t="e">
        <f t="shared" si="19"/>
        <v>#REF!</v>
      </c>
      <c r="G61" s="214" t="e">
        <f t="shared" si="19"/>
        <v>#REF!</v>
      </c>
      <c r="H61" s="214" t="e">
        <f t="shared" si="19"/>
        <v>#REF!</v>
      </c>
      <c r="I61" s="214" t="e">
        <f t="shared" si="19"/>
        <v>#REF!</v>
      </c>
      <c r="J61" s="214" t="e">
        <f t="shared" si="19"/>
        <v>#REF!</v>
      </c>
      <c r="K61" s="214" t="e">
        <f t="shared" si="19"/>
        <v>#REF!</v>
      </c>
      <c r="L61" s="214" t="e">
        <f t="shared" si="19"/>
        <v>#REF!</v>
      </c>
      <c r="M61" s="214" t="e">
        <f t="shared" si="19"/>
        <v>#REF!</v>
      </c>
      <c r="N61" s="214" t="e">
        <f t="shared" si="19"/>
        <v>#REF!</v>
      </c>
      <c r="O61" s="214" t="e">
        <f>SUM(C61:N61)</f>
        <v>#REF!</v>
      </c>
      <c r="P61" s="183"/>
      <c r="Q61" s="184"/>
      <c r="R61" s="183"/>
    </row>
    <row r="62" spans="1:20">
      <c r="A62" s="216" t="s">
        <v>762</v>
      </c>
      <c r="B62" s="171" t="s">
        <v>17</v>
      </c>
      <c r="C62" s="214" t="e">
        <f t="shared" si="19"/>
        <v>#REF!</v>
      </c>
      <c r="D62" s="214" t="e">
        <f t="shared" si="19"/>
        <v>#REF!</v>
      </c>
      <c r="E62" s="214" t="e">
        <f t="shared" si="19"/>
        <v>#REF!</v>
      </c>
      <c r="F62" s="214" t="e">
        <f t="shared" si="19"/>
        <v>#REF!</v>
      </c>
      <c r="G62" s="214" t="e">
        <f t="shared" si="19"/>
        <v>#REF!</v>
      </c>
      <c r="H62" s="214" t="e">
        <f t="shared" si="19"/>
        <v>#REF!</v>
      </c>
      <c r="I62" s="214" t="e">
        <f t="shared" si="19"/>
        <v>#REF!</v>
      </c>
      <c r="J62" s="214" t="e">
        <f t="shared" si="19"/>
        <v>#REF!</v>
      </c>
      <c r="K62" s="214" t="e">
        <f t="shared" si="19"/>
        <v>#REF!</v>
      </c>
      <c r="L62" s="214" t="e">
        <f t="shared" si="19"/>
        <v>#REF!</v>
      </c>
      <c r="M62" s="214" t="e">
        <f t="shared" si="19"/>
        <v>#REF!</v>
      </c>
      <c r="N62" s="214" t="e">
        <f t="shared" si="19"/>
        <v>#REF!</v>
      </c>
      <c r="O62" s="214" t="e">
        <f>SUM(C62:N62)</f>
        <v>#REF!</v>
      </c>
      <c r="P62" s="183"/>
      <c r="Q62" s="184"/>
      <c r="R62" s="183"/>
    </row>
    <row r="63" spans="1:20" ht="15">
      <c r="A63" s="216" t="s">
        <v>763</v>
      </c>
      <c r="B63" s="172" t="s">
        <v>222</v>
      </c>
      <c r="C63" s="217" t="e">
        <f t="shared" si="19"/>
        <v>#REF!</v>
      </c>
      <c r="D63" s="217" t="e">
        <f t="shared" si="19"/>
        <v>#REF!</v>
      </c>
      <c r="E63" s="217" t="e">
        <f t="shared" si="19"/>
        <v>#REF!</v>
      </c>
      <c r="F63" s="217" t="e">
        <f t="shared" si="19"/>
        <v>#REF!</v>
      </c>
      <c r="G63" s="217" t="e">
        <f t="shared" si="19"/>
        <v>#REF!</v>
      </c>
      <c r="H63" s="217" t="e">
        <f t="shared" si="19"/>
        <v>#REF!</v>
      </c>
      <c r="I63" s="217" t="e">
        <f t="shared" si="19"/>
        <v>#REF!</v>
      </c>
      <c r="J63" s="217" t="e">
        <f t="shared" si="19"/>
        <v>#REF!</v>
      </c>
      <c r="K63" s="217" t="e">
        <f t="shared" si="19"/>
        <v>#REF!</v>
      </c>
      <c r="L63" s="217" t="e">
        <f t="shared" si="19"/>
        <v>#REF!</v>
      </c>
      <c r="M63" s="217" t="e">
        <f t="shared" si="19"/>
        <v>#REF!</v>
      </c>
      <c r="N63" s="217" t="e">
        <f t="shared" si="19"/>
        <v>#REF!</v>
      </c>
      <c r="O63" s="217" t="e">
        <f>SUM(C63:N63)</f>
        <v>#REF!</v>
      </c>
      <c r="P63" s="185"/>
      <c r="Q63" s="218"/>
      <c r="R63" s="185"/>
    </row>
    <row r="64" spans="1:20">
      <c r="B64" s="171"/>
      <c r="C64" s="214" t="e">
        <f>SUM(C61:C63)</f>
        <v>#REF!</v>
      </c>
      <c r="D64" s="214" t="e">
        <f>SUM(D61:D63)</f>
        <v>#REF!</v>
      </c>
      <c r="E64" s="214" t="e">
        <f t="shared" ref="E64:O64" si="20">SUM(E61:E63)</f>
        <v>#REF!</v>
      </c>
      <c r="F64" s="214" t="e">
        <f t="shared" si="20"/>
        <v>#REF!</v>
      </c>
      <c r="G64" s="214" t="e">
        <f t="shared" si="20"/>
        <v>#REF!</v>
      </c>
      <c r="H64" s="214" t="e">
        <f t="shared" si="20"/>
        <v>#REF!</v>
      </c>
      <c r="I64" s="214" t="e">
        <f t="shared" si="20"/>
        <v>#REF!</v>
      </c>
      <c r="J64" s="214" t="e">
        <f t="shared" si="20"/>
        <v>#REF!</v>
      </c>
      <c r="K64" s="214" t="e">
        <f t="shared" si="20"/>
        <v>#REF!</v>
      </c>
      <c r="L64" s="214" t="e">
        <f t="shared" si="20"/>
        <v>#REF!</v>
      </c>
      <c r="M64" s="214" t="e">
        <f t="shared" si="20"/>
        <v>#REF!</v>
      </c>
      <c r="N64" s="214" t="e">
        <f t="shared" si="20"/>
        <v>#REF!</v>
      </c>
      <c r="O64" s="214" t="e">
        <f t="shared" si="20"/>
        <v>#REF!</v>
      </c>
      <c r="P64" s="183"/>
      <c r="Q64" s="184"/>
      <c r="R64" s="183"/>
    </row>
    <row r="65" spans="1:28">
      <c r="B65" s="172"/>
      <c r="C65" s="183"/>
      <c r="D65" s="183"/>
      <c r="E65" s="183"/>
      <c r="F65" s="183"/>
      <c r="G65" s="183"/>
      <c r="H65" s="183"/>
      <c r="I65" s="183"/>
      <c r="J65" s="183"/>
      <c r="K65" s="183"/>
      <c r="L65" s="183"/>
      <c r="M65" s="183"/>
      <c r="N65" s="183"/>
      <c r="O65" s="183"/>
      <c r="P65" s="183"/>
      <c r="Q65" s="184"/>
      <c r="R65" s="183"/>
    </row>
    <row r="66" spans="1:28">
      <c r="A66" s="48" t="s">
        <v>112</v>
      </c>
      <c r="B66" s="172"/>
      <c r="C66" s="183"/>
      <c r="D66" s="183"/>
      <c r="E66" s="183"/>
      <c r="F66" s="183"/>
      <c r="G66" s="183"/>
      <c r="H66" s="183"/>
      <c r="I66" s="183"/>
      <c r="J66" s="183"/>
      <c r="K66" s="183"/>
      <c r="L66" s="183"/>
      <c r="M66" s="183"/>
      <c r="N66" s="183"/>
      <c r="O66" s="183"/>
      <c r="P66" s="183"/>
      <c r="Q66" s="184"/>
      <c r="R66" s="183"/>
    </row>
    <row r="67" spans="1:28">
      <c r="A67" s="182" t="s">
        <v>697</v>
      </c>
      <c r="B67" s="172" t="s">
        <v>224</v>
      </c>
      <c r="C67" s="214" t="e">
        <f t="shared" ref="C67:N68" si="21">ROUND(SUMIFS(_FACResults_KWH,_FACResults_RateClass,$B67,_FACResults_RevMonth3,C$3)*C$58,0)</f>
        <v>#REF!</v>
      </c>
      <c r="D67" s="214" t="e">
        <f t="shared" si="21"/>
        <v>#REF!</v>
      </c>
      <c r="E67" s="214" t="e">
        <f t="shared" si="21"/>
        <v>#REF!</v>
      </c>
      <c r="F67" s="214" t="e">
        <f t="shared" si="21"/>
        <v>#REF!</v>
      </c>
      <c r="G67" s="214" t="e">
        <f t="shared" si="21"/>
        <v>#REF!</v>
      </c>
      <c r="H67" s="214" t="e">
        <f t="shared" si="21"/>
        <v>#REF!</v>
      </c>
      <c r="I67" s="214" t="e">
        <f t="shared" si="21"/>
        <v>#REF!</v>
      </c>
      <c r="J67" s="214" t="e">
        <f t="shared" si="21"/>
        <v>#REF!</v>
      </c>
      <c r="K67" s="214" t="e">
        <f t="shared" si="21"/>
        <v>#REF!</v>
      </c>
      <c r="L67" s="214" t="e">
        <f t="shared" si="21"/>
        <v>#REF!</v>
      </c>
      <c r="M67" s="214" t="e">
        <f t="shared" si="21"/>
        <v>#REF!</v>
      </c>
      <c r="N67" s="214" t="e">
        <f t="shared" si="21"/>
        <v>#REF!</v>
      </c>
      <c r="O67" s="214" t="e">
        <f>SUM(C67:N67)</f>
        <v>#REF!</v>
      </c>
      <c r="P67" s="183"/>
      <c r="Q67" s="184"/>
      <c r="R67" s="183"/>
    </row>
    <row r="68" spans="1:28" ht="15">
      <c r="A68" s="182" t="s">
        <v>64</v>
      </c>
      <c r="B68" s="172" t="s">
        <v>18</v>
      </c>
      <c r="C68" s="217" t="e">
        <f t="shared" si="21"/>
        <v>#REF!</v>
      </c>
      <c r="D68" s="217" t="e">
        <f t="shared" si="21"/>
        <v>#REF!</v>
      </c>
      <c r="E68" s="217" t="e">
        <f t="shared" si="21"/>
        <v>#REF!</v>
      </c>
      <c r="F68" s="217" t="e">
        <f t="shared" si="21"/>
        <v>#REF!</v>
      </c>
      <c r="G68" s="217" t="e">
        <f t="shared" si="21"/>
        <v>#REF!</v>
      </c>
      <c r="H68" s="217" t="e">
        <f t="shared" si="21"/>
        <v>#REF!</v>
      </c>
      <c r="I68" s="217" t="e">
        <f t="shared" si="21"/>
        <v>#REF!</v>
      </c>
      <c r="J68" s="217" t="e">
        <f t="shared" si="21"/>
        <v>#REF!</v>
      </c>
      <c r="K68" s="217" t="e">
        <f t="shared" si="21"/>
        <v>#REF!</v>
      </c>
      <c r="L68" s="217" t="e">
        <f t="shared" si="21"/>
        <v>#REF!</v>
      </c>
      <c r="M68" s="217" t="e">
        <f t="shared" si="21"/>
        <v>#REF!</v>
      </c>
      <c r="N68" s="217" t="e">
        <f t="shared" si="21"/>
        <v>#REF!</v>
      </c>
      <c r="O68" s="217" t="e">
        <f>SUM(C68:N68)</f>
        <v>#REF!</v>
      </c>
      <c r="P68" s="185"/>
      <c r="Q68" s="218"/>
      <c r="R68" s="185"/>
    </row>
    <row r="69" spans="1:28">
      <c r="B69" s="171"/>
      <c r="C69" s="214" t="e">
        <f t="shared" ref="C69:O69" si="22">SUM(C67:C68)</f>
        <v>#REF!</v>
      </c>
      <c r="D69" s="214" t="e">
        <f t="shared" si="22"/>
        <v>#REF!</v>
      </c>
      <c r="E69" s="214" t="e">
        <f t="shared" si="22"/>
        <v>#REF!</v>
      </c>
      <c r="F69" s="214" t="e">
        <f t="shared" si="22"/>
        <v>#REF!</v>
      </c>
      <c r="G69" s="214" t="e">
        <f t="shared" si="22"/>
        <v>#REF!</v>
      </c>
      <c r="H69" s="214" t="e">
        <f t="shared" si="22"/>
        <v>#REF!</v>
      </c>
      <c r="I69" s="214" t="e">
        <f t="shared" si="22"/>
        <v>#REF!</v>
      </c>
      <c r="J69" s="214" t="e">
        <f t="shared" si="22"/>
        <v>#REF!</v>
      </c>
      <c r="K69" s="214" t="e">
        <f t="shared" si="22"/>
        <v>#REF!</v>
      </c>
      <c r="L69" s="214" t="e">
        <f t="shared" si="22"/>
        <v>#REF!</v>
      </c>
      <c r="M69" s="214" t="e">
        <f t="shared" si="22"/>
        <v>#REF!</v>
      </c>
      <c r="N69" s="214" t="e">
        <f t="shared" si="22"/>
        <v>#REF!</v>
      </c>
      <c r="O69" s="214" t="e">
        <f t="shared" si="22"/>
        <v>#REF!</v>
      </c>
      <c r="P69" s="183"/>
      <c r="Q69" s="184"/>
      <c r="R69" s="183"/>
    </row>
    <row r="70" spans="1:28">
      <c r="B70" s="171"/>
      <c r="C70" s="214"/>
      <c r="D70" s="214"/>
      <c r="E70" s="214"/>
      <c r="F70" s="214"/>
      <c r="G70" s="214"/>
      <c r="H70" s="214"/>
      <c r="I70" s="214"/>
      <c r="J70" s="214"/>
      <c r="K70" s="214"/>
      <c r="L70" s="214"/>
      <c r="M70" s="214"/>
      <c r="N70" s="214"/>
      <c r="O70" s="214"/>
      <c r="P70" s="183"/>
      <c r="Q70" s="184"/>
      <c r="R70" s="183"/>
    </row>
    <row r="71" spans="1:28" ht="15">
      <c r="A71" s="48" t="s">
        <v>462</v>
      </c>
      <c r="B71" s="171"/>
      <c r="C71" s="185"/>
      <c r="D71" s="185"/>
      <c r="E71" s="185"/>
      <c r="F71" s="185"/>
      <c r="G71" s="185"/>
      <c r="H71" s="185"/>
      <c r="I71" s="185"/>
      <c r="J71" s="185"/>
      <c r="K71" s="185"/>
      <c r="L71" s="185"/>
      <c r="M71" s="185"/>
      <c r="N71" s="185"/>
      <c r="O71" s="185"/>
      <c r="P71" s="183"/>
      <c r="Q71" s="184"/>
      <c r="R71" s="183"/>
    </row>
    <row r="72" spans="1:28">
      <c r="A72" s="182" t="s">
        <v>219</v>
      </c>
      <c r="B72" s="171" t="s">
        <v>219</v>
      </c>
      <c r="C72" s="214" t="e">
        <f t="shared" ref="C72:N74" si="23">ROUND(SUMIFS(_FACResults_KWH,_FACResults_RateClass,$B72,_FACResults_RevMonth3,C$3)*C$58,0)</f>
        <v>#REF!</v>
      </c>
      <c r="D72" s="214" t="e">
        <f t="shared" si="23"/>
        <v>#REF!</v>
      </c>
      <c r="E72" s="214" t="e">
        <f t="shared" si="23"/>
        <v>#REF!</v>
      </c>
      <c r="F72" s="214" t="e">
        <f t="shared" si="23"/>
        <v>#REF!</v>
      </c>
      <c r="G72" s="214" t="e">
        <f t="shared" si="23"/>
        <v>#REF!</v>
      </c>
      <c r="H72" s="214" t="e">
        <f t="shared" si="23"/>
        <v>#REF!</v>
      </c>
      <c r="I72" s="214" t="e">
        <f t="shared" si="23"/>
        <v>#REF!</v>
      </c>
      <c r="J72" s="214" t="e">
        <f t="shared" si="23"/>
        <v>#REF!</v>
      </c>
      <c r="K72" s="214" t="e">
        <f t="shared" si="23"/>
        <v>#REF!</v>
      </c>
      <c r="L72" s="214" t="e">
        <f t="shared" si="23"/>
        <v>#REF!</v>
      </c>
      <c r="M72" s="214" t="e">
        <f t="shared" si="23"/>
        <v>#REF!</v>
      </c>
      <c r="N72" s="214" t="e">
        <f t="shared" si="23"/>
        <v>#REF!</v>
      </c>
      <c r="O72" s="214" t="e">
        <f>SUM(C72:N72)</f>
        <v>#REF!</v>
      </c>
      <c r="P72" s="183"/>
      <c r="Q72" s="184"/>
      <c r="R72" s="183"/>
    </row>
    <row r="73" spans="1:28">
      <c r="A73" s="182" t="s">
        <v>764</v>
      </c>
      <c r="B73" s="172" t="s">
        <v>228</v>
      </c>
      <c r="C73" s="214" t="e">
        <f t="shared" si="23"/>
        <v>#REF!</v>
      </c>
      <c r="D73" s="214" t="e">
        <f t="shared" si="23"/>
        <v>#REF!</v>
      </c>
      <c r="E73" s="214" t="e">
        <f t="shared" si="23"/>
        <v>#REF!</v>
      </c>
      <c r="F73" s="214" t="e">
        <f t="shared" si="23"/>
        <v>#REF!</v>
      </c>
      <c r="G73" s="214" t="e">
        <f t="shared" si="23"/>
        <v>#REF!</v>
      </c>
      <c r="H73" s="214" t="e">
        <f t="shared" si="23"/>
        <v>#REF!</v>
      </c>
      <c r="I73" s="214" t="e">
        <f t="shared" si="23"/>
        <v>#REF!</v>
      </c>
      <c r="J73" s="214" t="e">
        <f t="shared" si="23"/>
        <v>#REF!</v>
      </c>
      <c r="K73" s="214" t="e">
        <f t="shared" si="23"/>
        <v>#REF!</v>
      </c>
      <c r="L73" s="214" t="e">
        <f t="shared" si="23"/>
        <v>#REF!</v>
      </c>
      <c r="M73" s="214" t="e">
        <f t="shared" si="23"/>
        <v>#REF!</v>
      </c>
      <c r="N73" s="214" t="e">
        <f t="shared" si="23"/>
        <v>#REF!</v>
      </c>
      <c r="O73" s="214" t="e">
        <f>SUM(C73:N73)</f>
        <v>#REF!</v>
      </c>
      <c r="P73" s="183"/>
      <c r="Q73" s="184"/>
      <c r="R73" s="183"/>
    </row>
    <row r="74" spans="1:28" ht="15">
      <c r="A74" s="182" t="s">
        <v>765</v>
      </c>
      <c r="B74" s="172" t="s">
        <v>766</v>
      </c>
      <c r="C74" s="217" t="e">
        <f t="shared" si="23"/>
        <v>#REF!</v>
      </c>
      <c r="D74" s="217" t="e">
        <f t="shared" si="23"/>
        <v>#REF!</v>
      </c>
      <c r="E74" s="217" t="e">
        <f t="shared" si="23"/>
        <v>#REF!</v>
      </c>
      <c r="F74" s="217" t="e">
        <f t="shared" si="23"/>
        <v>#REF!</v>
      </c>
      <c r="G74" s="217" t="e">
        <f t="shared" si="23"/>
        <v>#REF!</v>
      </c>
      <c r="H74" s="217" t="e">
        <f t="shared" si="23"/>
        <v>#REF!</v>
      </c>
      <c r="I74" s="217" t="e">
        <f t="shared" si="23"/>
        <v>#REF!</v>
      </c>
      <c r="J74" s="217" t="e">
        <f t="shared" si="23"/>
        <v>#REF!</v>
      </c>
      <c r="K74" s="217" t="e">
        <f t="shared" si="23"/>
        <v>#REF!</v>
      </c>
      <c r="L74" s="217" t="e">
        <f t="shared" si="23"/>
        <v>#REF!</v>
      </c>
      <c r="M74" s="217" t="e">
        <f t="shared" si="23"/>
        <v>#REF!</v>
      </c>
      <c r="N74" s="217" t="e">
        <f t="shared" si="23"/>
        <v>#REF!</v>
      </c>
      <c r="O74" s="217" t="e">
        <f>SUM(C74:N74)</f>
        <v>#REF!</v>
      </c>
      <c r="P74" s="185"/>
      <c r="Q74" s="218"/>
      <c r="R74" s="185"/>
    </row>
    <row r="75" spans="1:28">
      <c r="A75" s="182"/>
      <c r="B75" s="172"/>
      <c r="C75" s="214" t="e">
        <f>SUM(C72:C74)</f>
        <v>#REF!</v>
      </c>
      <c r="D75" s="214" t="e">
        <f>SUM(D72:D74)</f>
        <v>#REF!</v>
      </c>
      <c r="E75" s="214" t="e">
        <f t="shared" ref="E75:O75" si="24">SUM(E72:E74)</f>
        <v>#REF!</v>
      </c>
      <c r="F75" s="214" t="e">
        <f t="shared" si="24"/>
        <v>#REF!</v>
      </c>
      <c r="G75" s="214" t="e">
        <f t="shared" si="24"/>
        <v>#REF!</v>
      </c>
      <c r="H75" s="214" t="e">
        <f t="shared" si="24"/>
        <v>#REF!</v>
      </c>
      <c r="I75" s="214" t="e">
        <f t="shared" si="24"/>
        <v>#REF!</v>
      </c>
      <c r="J75" s="214" t="e">
        <f t="shared" si="24"/>
        <v>#REF!</v>
      </c>
      <c r="K75" s="214" t="e">
        <f t="shared" si="24"/>
        <v>#REF!</v>
      </c>
      <c r="L75" s="214" t="e">
        <f t="shared" si="24"/>
        <v>#REF!</v>
      </c>
      <c r="M75" s="214" t="e">
        <f t="shared" si="24"/>
        <v>#REF!</v>
      </c>
      <c r="N75" s="214" t="e">
        <f t="shared" si="24"/>
        <v>#REF!</v>
      </c>
      <c r="O75" s="214" t="e">
        <f t="shared" si="24"/>
        <v>#REF!</v>
      </c>
      <c r="P75" s="183"/>
      <c r="Q75" s="184"/>
      <c r="R75" s="183"/>
    </row>
    <row r="76" spans="1:28">
      <c r="B76" s="171"/>
      <c r="C76" s="183"/>
      <c r="D76" s="183"/>
      <c r="E76" s="183"/>
      <c r="F76" s="183"/>
      <c r="G76" s="183"/>
      <c r="H76" s="183"/>
      <c r="I76" s="183"/>
      <c r="J76" s="183"/>
      <c r="K76" s="183"/>
      <c r="L76" s="183"/>
      <c r="M76" s="183"/>
      <c r="N76" s="183"/>
      <c r="O76" s="183"/>
      <c r="P76" s="183"/>
      <c r="Q76" s="184"/>
      <c r="R76" s="183"/>
      <c r="AB76" s="197" t="s">
        <v>707</v>
      </c>
    </row>
    <row r="77" spans="1:28">
      <c r="A77" s="186" t="s">
        <v>113</v>
      </c>
      <c r="B77" s="171"/>
      <c r="C77" s="183"/>
      <c r="D77" s="183"/>
      <c r="E77" s="183"/>
      <c r="F77" s="183"/>
      <c r="G77" s="183"/>
      <c r="H77" s="183"/>
      <c r="I77" s="183"/>
      <c r="J77" s="183"/>
      <c r="K77" s="183"/>
      <c r="L77" s="183"/>
      <c r="M77" s="183"/>
      <c r="N77" s="183"/>
      <c r="O77" s="183"/>
      <c r="P77" s="183"/>
      <c r="Q77" s="184"/>
      <c r="R77" s="183"/>
      <c r="AB77" s="197"/>
    </row>
    <row r="78" spans="1:28">
      <c r="A78" s="188" t="s">
        <v>767</v>
      </c>
      <c r="B78" s="171" t="s">
        <v>25</v>
      </c>
      <c r="C78" s="214" t="e">
        <f t="shared" ref="C78:N79" si="25">ROUND(SUMIFS(_FACResults_KWH,_FACResults_RateClass,$B78,_FACResults_RevMonth3,C$3)*C$58,0)</f>
        <v>#REF!</v>
      </c>
      <c r="D78" s="214" t="e">
        <f t="shared" si="25"/>
        <v>#REF!</v>
      </c>
      <c r="E78" s="214" t="e">
        <f t="shared" si="25"/>
        <v>#REF!</v>
      </c>
      <c r="F78" s="214" t="e">
        <f t="shared" si="25"/>
        <v>#REF!</v>
      </c>
      <c r="G78" s="214" t="e">
        <f t="shared" si="25"/>
        <v>#REF!</v>
      </c>
      <c r="H78" s="214" t="e">
        <f t="shared" si="25"/>
        <v>#REF!</v>
      </c>
      <c r="I78" s="214" t="e">
        <f t="shared" si="25"/>
        <v>#REF!</v>
      </c>
      <c r="J78" s="214" t="e">
        <f t="shared" si="25"/>
        <v>#REF!</v>
      </c>
      <c r="K78" s="214" t="e">
        <f t="shared" si="25"/>
        <v>#REF!</v>
      </c>
      <c r="L78" s="214" t="e">
        <f t="shared" si="25"/>
        <v>#REF!</v>
      </c>
      <c r="M78" s="214" t="e">
        <f t="shared" si="25"/>
        <v>#REF!</v>
      </c>
      <c r="N78" s="214" t="e">
        <f t="shared" si="25"/>
        <v>#REF!</v>
      </c>
      <c r="O78" s="214" t="e">
        <f>SUM(C78:N78)</f>
        <v>#REF!</v>
      </c>
      <c r="P78" s="183"/>
      <c r="Q78" s="184"/>
      <c r="R78" s="183"/>
    </row>
    <row r="79" spans="1:28" ht="15">
      <c r="A79" s="188" t="s">
        <v>768</v>
      </c>
      <c r="B79" s="171" t="s">
        <v>26</v>
      </c>
      <c r="C79" s="217" t="e">
        <f t="shared" si="25"/>
        <v>#REF!</v>
      </c>
      <c r="D79" s="217" t="e">
        <f t="shared" si="25"/>
        <v>#REF!</v>
      </c>
      <c r="E79" s="217" t="e">
        <f t="shared" si="25"/>
        <v>#REF!</v>
      </c>
      <c r="F79" s="217" t="e">
        <f t="shared" si="25"/>
        <v>#REF!</v>
      </c>
      <c r="G79" s="217" t="e">
        <f t="shared" si="25"/>
        <v>#REF!</v>
      </c>
      <c r="H79" s="217" t="e">
        <f t="shared" si="25"/>
        <v>#REF!</v>
      </c>
      <c r="I79" s="217" t="e">
        <f t="shared" si="25"/>
        <v>#REF!</v>
      </c>
      <c r="J79" s="217" t="e">
        <f t="shared" si="25"/>
        <v>#REF!</v>
      </c>
      <c r="K79" s="217" t="e">
        <f t="shared" si="25"/>
        <v>#REF!</v>
      </c>
      <c r="L79" s="217" t="e">
        <f t="shared" si="25"/>
        <v>#REF!</v>
      </c>
      <c r="M79" s="217" t="e">
        <f t="shared" si="25"/>
        <v>#REF!</v>
      </c>
      <c r="N79" s="217" t="e">
        <f t="shared" si="25"/>
        <v>#REF!</v>
      </c>
      <c r="O79" s="217" t="e">
        <f>SUM(C79:N79)</f>
        <v>#REF!</v>
      </c>
      <c r="P79" s="185"/>
      <c r="Q79" s="218"/>
      <c r="R79" s="185"/>
    </row>
    <row r="80" spans="1:28">
      <c r="B80" s="189"/>
      <c r="C80" s="214" t="e">
        <f t="shared" ref="C80:O80" si="26">SUM(C78:C79)</f>
        <v>#REF!</v>
      </c>
      <c r="D80" s="214" t="e">
        <f t="shared" si="26"/>
        <v>#REF!</v>
      </c>
      <c r="E80" s="214" t="e">
        <f t="shared" si="26"/>
        <v>#REF!</v>
      </c>
      <c r="F80" s="214" t="e">
        <f t="shared" si="26"/>
        <v>#REF!</v>
      </c>
      <c r="G80" s="214" t="e">
        <f t="shared" si="26"/>
        <v>#REF!</v>
      </c>
      <c r="H80" s="214" t="e">
        <f t="shared" si="26"/>
        <v>#REF!</v>
      </c>
      <c r="I80" s="214" t="e">
        <f t="shared" si="26"/>
        <v>#REF!</v>
      </c>
      <c r="J80" s="214" t="e">
        <f t="shared" si="26"/>
        <v>#REF!</v>
      </c>
      <c r="K80" s="214" t="e">
        <f t="shared" si="26"/>
        <v>#REF!</v>
      </c>
      <c r="L80" s="214" t="e">
        <f t="shared" si="26"/>
        <v>#REF!</v>
      </c>
      <c r="M80" s="214" t="e">
        <f t="shared" si="26"/>
        <v>#REF!</v>
      </c>
      <c r="N80" s="214" t="e">
        <f t="shared" si="26"/>
        <v>#REF!</v>
      </c>
      <c r="O80" s="214" t="e">
        <f t="shared" si="26"/>
        <v>#REF!</v>
      </c>
      <c r="P80" s="183"/>
      <c r="Q80" s="184"/>
      <c r="R80" s="183"/>
    </row>
    <row r="81" spans="1:28">
      <c r="A81" s="181" t="s">
        <v>698</v>
      </c>
      <c r="B81" s="189"/>
      <c r="C81" s="183"/>
      <c r="D81" s="183"/>
      <c r="E81" s="183"/>
      <c r="F81" s="183"/>
      <c r="G81" s="183"/>
      <c r="H81" s="183"/>
      <c r="I81" s="183"/>
      <c r="J81" s="183"/>
      <c r="K81" s="183"/>
      <c r="L81" s="183"/>
      <c r="M81" s="183"/>
      <c r="N81" s="183"/>
      <c r="O81" s="183"/>
      <c r="P81" s="183"/>
      <c r="Q81" s="184"/>
      <c r="R81" s="183"/>
    </row>
    <row r="82" spans="1:28">
      <c r="A82" s="188" t="s">
        <v>699</v>
      </c>
      <c r="B82" s="172" t="s">
        <v>221</v>
      </c>
      <c r="C82" s="214" t="e">
        <f t="shared" ref="C82:N83" si="27">ROUND(SUMIFS(_FACResults_KWH,_FACResults_RateClass,$B82,_FACResults_RevMonth3,C$3)*C$58,0)</f>
        <v>#REF!</v>
      </c>
      <c r="D82" s="214" t="e">
        <f t="shared" si="27"/>
        <v>#REF!</v>
      </c>
      <c r="E82" s="214" t="e">
        <f t="shared" si="27"/>
        <v>#REF!</v>
      </c>
      <c r="F82" s="214" t="e">
        <f t="shared" si="27"/>
        <v>#REF!</v>
      </c>
      <c r="G82" s="214" t="e">
        <f t="shared" si="27"/>
        <v>#REF!</v>
      </c>
      <c r="H82" s="214" t="e">
        <f t="shared" si="27"/>
        <v>#REF!</v>
      </c>
      <c r="I82" s="214" t="e">
        <f t="shared" si="27"/>
        <v>#REF!</v>
      </c>
      <c r="J82" s="214" t="e">
        <f t="shared" si="27"/>
        <v>#REF!</v>
      </c>
      <c r="K82" s="214" t="e">
        <f t="shared" si="27"/>
        <v>#REF!</v>
      </c>
      <c r="L82" s="214" t="e">
        <f t="shared" si="27"/>
        <v>#REF!</v>
      </c>
      <c r="M82" s="214" t="e">
        <f t="shared" si="27"/>
        <v>#REF!</v>
      </c>
      <c r="N82" s="214" t="e">
        <f t="shared" si="27"/>
        <v>#REF!</v>
      </c>
      <c r="O82" s="214" t="e">
        <f>SUM(C82:N82)</f>
        <v>#REF!</v>
      </c>
      <c r="P82" s="183"/>
      <c r="Q82" s="184"/>
      <c r="R82" s="183"/>
    </row>
    <row r="83" spans="1:28" ht="15">
      <c r="A83" s="188" t="s">
        <v>700</v>
      </c>
      <c r="B83" s="172" t="s">
        <v>220</v>
      </c>
      <c r="C83" s="217" t="e">
        <f t="shared" si="27"/>
        <v>#REF!</v>
      </c>
      <c r="D83" s="217" t="e">
        <f t="shared" si="27"/>
        <v>#REF!</v>
      </c>
      <c r="E83" s="217" t="e">
        <f t="shared" si="27"/>
        <v>#REF!</v>
      </c>
      <c r="F83" s="217" t="e">
        <f t="shared" si="27"/>
        <v>#REF!</v>
      </c>
      <c r="G83" s="217" t="e">
        <f t="shared" si="27"/>
        <v>#REF!</v>
      </c>
      <c r="H83" s="217" t="e">
        <f t="shared" si="27"/>
        <v>#REF!</v>
      </c>
      <c r="I83" s="217" t="e">
        <f t="shared" si="27"/>
        <v>#REF!</v>
      </c>
      <c r="J83" s="217" t="e">
        <f t="shared" si="27"/>
        <v>#REF!</v>
      </c>
      <c r="K83" s="217" t="e">
        <f t="shared" si="27"/>
        <v>#REF!</v>
      </c>
      <c r="L83" s="217" t="e">
        <f t="shared" si="27"/>
        <v>#REF!</v>
      </c>
      <c r="M83" s="217" t="e">
        <f t="shared" si="27"/>
        <v>#REF!</v>
      </c>
      <c r="N83" s="217" t="e">
        <f t="shared" si="27"/>
        <v>#REF!</v>
      </c>
      <c r="O83" s="217" t="e">
        <f>SUM(C83:N83)</f>
        <v>#REF!</v>
      </c>
      <c r="P83" s="185"/>
      <c r="Q83" s="218"/>
      <c r="R83" s="185"/>
    </row>
    <row r="84" spans="1:28">
      <c r="B84" s="189"/>
      <c r="C84" s="214" t="e">
        <f t="shared" ref="C84:O84" si="28">SUM(C82:C83)</f>
        <v>#REF!</v>
      </c>
      <c r="D84" s="214" t="e">
        <f t="shared" si="28"/>
        <v>#REF!</v>
      </c>
      <c r="E84" s="214" t="e">
        <f t="shared" si="28"/>
        <v>#REF!</v>
      </c>
      <c r="F84" s="214" t="e">
        <f t="shared" si="28"/>
        <v>#REF!</v>
      </c>
      <c r="G84" s="214" t="e">
        <f t="shared" si="28"/>
        <v>#REF!</v>
      </c>
      <c r="H84" s="214" t="e">
        <f t="shared" si="28"/>
        <v>#REF!</v>
      </c>
      <c r="I84" s="214" t="e">
        <f t="shared" si="28"/>
        <v>#REF!</v>
      </c>
      <c r="J84" s="214" t="e">
        <f t="shared" si="28"/>
        <v>#REF!</v>
      </c>
      <c r="K84" s="214" t="e">
        <f t="shared" si="28"/>
        <v>#REF!</v>
      </c>
      <c r="L84" s="214" t="e">
        <f t="shared" si="28"/>
        <v>#REF!</v>
      </c>
      <c r="M84" s="214" t="e">
        <f t="shared" si="28"/>
        <v>#REF!</v>
      </c>
      <c r="N84" s="214" t="e">
        <f t="shared" si="28"/>
        <v>#REF!</v>
      </c>
      <c r="O84" s="214" t="e">
        <f t="shared" si="28"/>
        <v>#REF!</v>
      </c>
      <c r="P84" s="183"/>
      <c r="Q84" s="184"/>
      <c r="R84" s="183"/>
    </row>
    <row r="85" spans="1:28">
      <c r="A85" s="186"/>
      <c r="B85" s="171"/>
      <c r="C85" s="183"/>
      <c r="D85" s="183"/>
      <c r="E85" s="183"/>
      <c r="F85" s="183"/>
      <c r="G85" s="183"/>
      <c r="H85" s="183"/>
      <c r="I85" s="183"/>
      <c r="J85" s="183"/>
      <c r="K85" s="183"/>
      <c r="L85" s="183"/>
      <c r="M85" s="183"/>
      <c r="N85" s="183"/>
      <c r="O85" s="183"/>
      <c r="P85" s="183"/>
      <c r="Q85" s="184"/>
      <c r="R85" s="183"/>
    </row>
    <row r="86" spans="1:28">
      <c r="B86" s="171"/>
      <c r="C86" s="183"/>
      <c r="D86" s="183"/>
      <c r="E86" s="183"/>
      <c r="F86" s="183"/>
      <c r="G86" s="183"/>
      <c r="H86" s="183"/>
      <c r="I86" s="183"/>
      <c r="J86" s="183"/>
      <c r="K86" s="183"/>
      <c r="L86" s="183"/>
      <c r="M86" s="183"/>
      <c r="N86" s="183"/>
      <c r="O86" s="183"/>
      <c r="P86" s="183"/>
      <c r="Q86" s="184"/>
      <c r="R86" s="183"/>
    </row>
    <row r="87" spans="1:28">
      <c r="A87" s="181" t="s">
        <v>770</v>
      </c>
      <c r="B87" s="171" t="s">
        <v>19</v>
      </c>
      <c r="C87" s="214" t="e">
        <f t="shared" ref="C87:N87" si="29">ROUND(SUMIFS(_FACResults_KWH,_FACResults_RateClass,$B87,_FACResults_RevMonth3,C$3)*C$58,0)</f>
        <v>#REF!</v>
      </c>
      <c r="D87" s="214" t="e">
        <f t="shared" si="29"/>
        <v>#REF!</v>
      </c>
      <c r="E87" s="214" t="e">
        <f t="shared" si="29"/>
        <v>#REF!</v>
      </c>
      <c r="F87" s="214" t="e">
        <f t="shared" si="29"/>
        <v>#REF!</v>
      </c>
      <c r="G87" s="214" t="e">
        <f t="shared" si="29"/>
        <v>#REF!</v>
      </c>
      <c r="H87" s="214" t="e">
        <f t="shared" si="29"/>
        <v>#REF!</v>
      </c>
      <c r="I87" s="214" t="e">
        <f t="shared" si="29"/>
        <v>#REF!</v>
      </c>
      <c r="J87" s="214" t="e">
        <f t="shared" si="29"/>
        <v>#REF!</v>
      </c>
      <c r="K87" s="214" t="e">
        <f t="shared" si="29"/>
        <v>#REF!</v>
      </c>
      <c r="L87" s="214" t="e">
        <f t="shared" si="29"/>
        <v>#REF!</v>
      </c>
      <c r="M87" s="214" t="e">
        <f t="shared" si="29"/>
        <v>#REF!</v>
      </c>
      <c r="N87" s="214" t="e">
        <f t="shared" si="29"/>
        <v>#REF!</v>
      </c>
      <c r="O87" s="214" t="e">
        <f>SUM(C87:N87)</f>
        <v>#REF!</v>
      </c>
      <c r="P87" s="183"/>
      <c r="Q87" s="184"/>
      <c r="R87" s="183"/>
    </row>
    <row r="88" spans="1:28">
      <c r="B88" s="171"/>
      <c r="C88" s="183"/>
      <c r="D88" s="183"/>
      <c r="E88" s="183"/>
      <c r="F88" s="183"/>
      <c r="G88" s="183"/>
      <c r="H88" s="183"/>
      <c r="I88" s="183"/>
      <c r="J88" s="183"/>
      <c r="K88" s="183"/>
      <c r="L88" s="183"/>
      <c r="M88" s="183"/>
      <c r="N88" s="183"/>
      <c r="O88" s="183"/>
      <c r="P88" s="183"/>
      <c r="Q88" s="184"/>
      <c r="R88" s="183"/>
    </row>
    <row r="89" spans="1:28">
      <c r="A89" s="48" t="s">
        <v>769</v>
      </c>
      <c r="B89" s="172" t="s">
        <v>28</v>
      </c>
      <c r="C89" s="214" t="e">
        <f t="shared" ref="C89:N89" si="30">ROUND(SUMIFS(_FACResults_KWH,_FACResults_RateClass,$B89,_FACResults_RevMonth3,C$3)*C$58,0)</f>
        <v>#REF!</v>
      </c>
      <c r="D89" s="214" t="e">
        <f t="shared" si="30"/>
        <v>#REF!</v>
      </c>
      <c r="E89" s="214" t="e">
        <f t="shared" si="30"/>
        <v>#REF!</v>
      </c>
      <c r="F89" s="214" t="e">
        <f t="shared" si="30"/>
        <v>#REF!</v>
      </c>
      <c r="G89" s="214" t="e">
        <f t="shared" si="30"/>
        <v>#REF!</v>
      </c>
      <c r="H89" s="214" t="e">
        <f t="shared" si="30"/>
        <v>#REF!</v>
      </c>
      <c r="I89" s="214" t="e">
        <f t="shared" si="30"/>
        <v>#REF!</v>
      </c>
      <c r="J89" s="214" t="e">
        <f t="shared" si="30"/>
        <v>#REF!</v>
      </c>
      <c r="K89" s="214" t="e">
        <f t="shared" si="30"/>
        <v>#REF!</v>
      </c>
      <c r="L89" s="214" t="e">
        <f t="shared" si="30"/>
        <v>#REF!</v>
      </c>
      <c r="M89" s="214" t="e">
        <f t="shared" si="30"/>
        <v>#REF!</v>
      </c>
      <c r="N89" s="214" t="e">
        <f t="shared" si="30"/>
        <v>#REF!</v>
      </c>
      <c r="O89" s="214" t="e">
        <f>SUM(C89:N89)</f>
        <v>#REF!</v>
      </c>
      <c r="P89" s="183"/>
      <c r="Q89" s="184"/>
      <c r="R89" s="183"/>
    </row>
    <row r="90" spans="1:28">
      <c r="B90" s="171"/>
      <c r="C90" s="183"/>
      <c r="D90" s="183"/>
      <c r="E90" s="183"/>
      <c r="F90" s="183"/>
      <c r="G90" s="183"/>
      <c r="H90" s="183"/>
      <c r="I90" s="183"/>
      <c r="J90" s="183"/>
      <c r="K90" s="183"/>
      <c r="L90" s="183"/>
      <c r="M90" s="183"/>
      <c r="N90" s="183"/>
      <c r="O90" s="183"/>
      <c r="P90" s="183"/>
      <c r="Q90" s="184"/>
      <c r="R90" s="183"/>
    </row>
    <row r="91" spans="1:28">
      <c r="A91" s="48" t="s">
        <v>701</v>
      </c>
      <c r="B91" s="171"/>
      <c r="C91" s="183"/>
      <c r="D91" s="183"/>
      <c r="E91" s="183"/>
      <c r="F91" s="183"/>
      <c r="G91" s="183"/>
      <c r="H91" s="183"/>
      <c r="I91" s="183"/>
      <c r="J91" s="183"/>
      <c r="K91" s="183"/>
      <c r="L91" s="183"/>
      <c r="M91" s="183"/>
      <c r="N91" s="183"/>
      <c r="O91" s="183"/>
      <c r="P91" s="183"/>
      <c r="Q91" s="184"/>
      <c r="R91" s="183"/>
    </row>
    <row r="92" spans="1:28">
      <c r="A92" s="187" t="s">
        <v>773</v>
      </c>
      <c r="B92" s="171" t="s">
        <v>20</v>
      </c>
      <c r="C92" s="214" t="e">
        <f t="shared" ref="C92:N93" si="31">ROUND(SUMIFS(_FACResults_KWH,_FACResults_RateClass,$B92,_FACResults_RevMonth3,C$3)*C$58,0)</f>
        <v>#REF!</v>
      </c>
      <c r="D92" s="214" t="e">
        <f t="shared" si="31"/>
        <v>#REF!</v>
      </c>
      <c r="E92" s="214" t="e">
        <f t="shared" si="31"/>
        <v>#REF!</v>
      </c>
      <c r="F92" s="214" t="e">
        <f t="shared" si="31"/>
        <v>#REF!</v>
      </c>
      <c r="G92" s="214" t="e">
        <f t="shared" si="31"/>
        <v>#REF!</v>
      </c>
      <c r="H92" s="214" t="e">
        <f t="shared" si="31"/>
        <v>#REF!</v>
      </c>
      <c r="I92" s="214" t="e">
        <f t="shared" si="31"/>
        <v>#REF!</v>
      </c>
      <c r="J92" s="214" t="e">
        <f t="shared" si="31"/>
        <v>#REF!</v>
      </c>
      <c r="K92" s="214" t="e">
        <f t="shared" si="31"/>
        <v>#REF!</v>
      </c>
      <c r="L92" s="214" t="e">
        <f t="shared" si="31"/>
        <v>#REF!</v>
      </c>
      <c r="M92" s="214" t="e">
        <f t="shared" si="31"/>
        <v>#REF!</v>
      </c>
      <c r="N92" s="214" t="e">
        <f t="shared" si="31"/>
        <v>#REF!</v>
      </c>
      <c r="O92" s="214" t="e">
        <f>SUM(C92:N92)</f>
        <v>#REF!</v>
      </c>
      <c r="P92" s="183"/>
      <c r="Q92" s="184"/>
      <c r="R92" s="183"/>
    </row>
    <row r="93" spans="1:28">
      <c r="A93" s="188" t="s">
        <v>774</v>
      </c>
      <c r="B93" s="171" t="s">
        <v>21</v>
      </c>
      <c r="C93" s="214" t="e">
        <f t="shared" si="31"/>
        <v>#REF!</v>
      </c>
      <c r="D93" s="214" t="e">
        <f t="shared" si="31"/>
        <v>#REF!</v>
      </c>
      <c r="E93" s="214" t="e">
        <f t="shared" si="31"/>
        <v>#REF!</v>
      </c>
      <c r="F93" s="214" t="e">
        <f t="shared" si="31"/>
        <v>#REF!</v>
      </c>
      <c r="G93" s="214" t="e">
        <f t="shared" si="31"/>
        <v>#REF!</v>
      </c>
      <c r="H93" s="214" t="e">
        <f t="shared" si="31"/>
        <v>#REF!</v>
      </c>
      <c r="I93" s="214" t="e">
        <f t="shared" si="31"/>
        <v>#REF!</v>
      </c>
      <c r="J93" s="214" t="e">
        <f t="shared" si="31"/>
        <v>#REF!</v>
      </c>
      <c r="K93" s="214" t="e">
        <f t="shared" si="31"/>
        <v>#REF!</v>
      </c>
      <c r="L93" s="214" t="e">
        <f t="shared" si="31"/>
        <v>#REF!</v>
      </c>
      <c r="M93" s="214" t="e">
        <f t="shared" si="31"/>
        <v>#REF!</v>
      </c>
      <c r="N93" s="214" t="e">
        <f t="shared" si="31"/>
        <v>#REF!</v>
      </c>
      <c r="O93" s="214" t="e">
        <f>SUM(C93:N93)</f>
        <v>#REF!</v>
      </c>
      <c r="P93" s="183"/>
      <c r="Q93" s="184"/>
      <c r="R93" s="183"/>
      <c r="AB93" s="198">
        <v>-7350.5279999999912</v>
      </c>
    </row>
    <row r="94" spans="1:28">
      <c r="A94" s="188" t="s">
        <v>1288</v>
      </c>
      <c r="B94" s="172" t="s">
        <v>1035</v>
      </c>
      <c r="C94" s="214" t="e">
        <f>ROUND(SUMIFS(_FACLights_KWH,_FACLights_RateClass,$B94,_FACLights_RevMonth,C$3)*C$58,0)</f>
        <v>#REF!</v>
      </c>
      <c r="D94" s="214" t="e">
        <f t="shared" ref="C94:N95" si="32">ROUND(SUMIFS(_FACLights_KWH,_FACLights_RateClass,$B94,_FACLights_RevMonth,D$3)*D$58,0)</f>
        <v>#REF!</v>
      </c>
      <c r="E94" s="214" t="e">
        <f t="shared" si="32"/>
        <v>#REF!</v>
      </c>
      <c r="F94" s="214" t="e">
        <f>ROUND(SUMIFS(_FACLights_KWH,_FACLights_RateClass,$B94,_FACLights_RevMonth,F$3)*F$58,0)</f>
        <v>#REF!</v>
      </c>
      <c r="G94" s="214" t="e">
        <f t="shared" si="32"/>
        <v>#REF!</v>
      </c>
      <c r="H94" s="214" t="e">
        <f t="shared" si="32"/>
        <v>#REF!</v>
      </c>
      <c r="I94" s="214" t="e">
        <f t="shared" si="32"/>
        <v>#REF!</v>
      </c>
      <c r="J94" s="214" t="e">
        <f t="shared" si="32"/>
        <v>#REF!</v>
      </c>
      <c r="K94" s="214" t="e">
        <f t="shared" si="32"/>
        <v>#REF!</v>
      </c>
      <c r="L94" s="214" t="e">
        <f t="shared" si="32"/>
        <v>#REF!</v>
      </c>
      <c r="M94" s="214" t="e">
        <f t="shared" si="32"/>
        <v>#REF!</v>
      </c>
      <c r="N94" s="214" t="e">
        <f t="shared" si="32"/>
        <v>#REF!</v>
      </c>
      <c r="O94" s="214" t="e">
        <f>SUM(C94:N94)</f>
        <v>#REF!</v>
      </c>
      <c r="P94" s="183"/>
      <c r="Q94" s="184"/>
      <c r="R94" s="183"/>
    </row>
    <row r="95" spans="1:28" ht="15">
      <c r="A95" s="188" t="s">
        <v>1287</v>
      </c>
      <c r="B95" s="171" t="s">
        <v>1036</v>
      </c>
      <c r="C95" s="217" t="e">
        <f t="shared" si="32"/>
        <v>#REF!</v>
      </c>
      <c r="D95" s="217" t="e">
        <f t="shared" si="32"/>
        <v>#REF!</v>
      </c>
      <c r="E95" s="217" t="e">
        <f t="shared" si="32"/>
        <v>#REF!</v>
      </c>
      <c r="F95" s="217" t="e">
        <f t="shared" si="32"/>
        <v>#REF!</v>
      </c>
      <c r="G95" s="217" t="e">
        <f t="shared" si="32"/>
        <v>#REF!</v>
      </c>
      <c r="H95" s="217" t="e">
        <f t="shared" si="32"/>
        <v>#REF!</v>
      </c>
      <c r="I95" s="217" t="e">
        <f t="shared" si="32"/>
        <v>#REF!</v>
      </c>
      <c r="J95" s="217" t="e">
        <f t="shared" si="32"/>
        <v>#REF!</v>
      </c>
      <c r="K95" s="217" t="e">
        <f t="shared" si="32"/>
        <v>#REF!</v>
      </c>
      <c r="L95" s="217" t="e">
        <f t="shared" si="32"/>
        <v>#REF!</v>
      </c>
      <c r="M95" s="217" t="e">
        <f t="shared" si="32"/>
        <v>#REF!</v>
      </c>
      <c r="N95" s="217" t="e">
        <f t="shared" si="32"/>
        <v>#REF!</v>
      </c>
      <c r="O95" s="217" t="e">
        <f>SUM(C95:N95)</f>
        <v>#REF!</v>
      </c>
      <c r="P95" s="185"/>
      <c r="Q95" s="218"/>
      <c r="R95" s="185"/>
    </row>
    <row r="96" spans="1:28">
      <c r="C96" s="214" t="e">
        <f t="shared" ref="C96:O96" si="33">SUM(C92:C95)</f>
        <v>#REF!</v>
      </c>
      <c r="D96" s="214" t="e">
        <f t="shared" si="33"/>
        <v>#REF!</v>
      </c>
      <c r="E96" s="214" t="e">
        <f t="shared" si="33"/>
        <v>#REF!</v>
      </c>
      <c r="F96" s="214" t="e">
        <f t="shared" si="33"/>
        <v>#REF!</v>
      </c>
      <c r="G96" s="214" t="e">
        <f t="shared" si="33"/>
        <v>#REF!</v>
      </c>
      <c r="H96" s="214" t="e">
        <f t="shared" si="33"/>
        <v>#REF!</v>
      </c>
      <c r="I96" s="214" t="e">
        <f t="shared" si="33"/>
        <v>#REF!</v>
      </c>
      <c r="J96" s="214" t="e">
        <f t="shared" si="33"/>
        <v>#REF!</v>
      </c>
      <c r="K96" s="214" t="e">
        <f t="shared" si="33"/>
        <v>#REF!</v>
      </c>
      <c r="L96" s="214" t="e">
        <f t="shared" si="33"/>
        <v>#REF!</v>
      </c>
      <c r="M96" s="214" t="e">
        <f t="shared" si="33"/>
        <v>#REF!</v>
      </c>
      <c r="N96" s="214" t="e">
        <f t="shared" si="33"/>
        <v>#REF!</v>
      </c>
      <c r="O96" s="214" t="e">
        <f t="shared" si="33"/>
        <v>#REF!</v>
      </c>
      <c r="P96" s="183"/>
      <c r="Q96" s="184"/>
      <c r="R96" s="183"/>
    </row>
    <row r="97" spans="1:19">
      <c r="C97" s="183"/>
      <c r="D97" s="183"/>
      <c r="E97" s="183"/>
      <c r="F97" s="183"/>
      <c r="G97" s="183"/>
      <c r="H97" s="183"/>
      <c r="I97" s="183"/>
      <c r="J97" s="183"/>
      <c r="K97" s="183"/>
      <c r="L97" s="183"/>
      <c r="M97" s="183"/>
      <c r="N97" s="183"/>
      <c r="O97" s="183"/>
      <c r="P97" s="183"/>
      <c r="Q97" s="183"/>
      <c r="R97" s="183"/>
    </row>
    <row r="98" spans="1:19">
      <c r="A98" s="171" t="s">
        <v>60</v>
      </c>
      <c r="B98" s="171"/>
      <c r="C98" s="219" t="e">
        <f t="shared" ref="C98:O98" si="34">SUM(C64,C69,C75,C80,C84,C87,C89,C96)</f>
        <v>#REF!</v>
      </c>
      <c r="D98" s="219" t="e">
        <f t="shared" si="34"/>
        <v>#REF!</v>
      </c>
      <c r="E98" s="219" t="e">
        <f t="shared" si="34"/>
        <v>#REF!</v>
      </c>
      <c r="F98" s="219" t="e">
        <f t="shared" si="34"/>
        <v>#REF!</v>
      </c>
      <c r="G98" s="219" t="e">
        <f t="shared" si="34"/>
        <v>#REF!</v>
      </c>
      <c r="H98" s="219" t="e">
        <f t="shared" si="34"/>
        <v>#REF!</v>
      </c>
      <c r="I98" s="219" t="e">
        <f t="shared" si="34"/>
        <v>#REF!</v>
      </c>
      <c r="J98" s="219" t="e">
        <f t="shared" si="34"/>
        <v>#REF!</v>
      </c>
      <c r="K98" s="219" t="e">
        <f t="shared" si="34"/>
        <v>#REF!</v>
      </c>
      <c r="L98" s="219" t="e">
        <f t="shared" si="34"/>
        <v>#REF!</v>
      </c>
      <c r="M98" s="219" t="e">
        <f t="shared" si="34"/>
        <v>#REF!</v>
      </c>
      <c r="N98" s="219" t="e">
        <f t="shared" si="34"/>
        <v>#REF!</v>
      </c>
      <c r="O98" s="219" t="e">
        <f t="shared" si="34"/>
        <v>#REF!</v>
      </c>
      <c r="P98" s="183"/>
      <c r="Q98" s="190"/>
      <c r="R98" s="183"/>
    </row>
    <row r="99" spans="1:19" ht="15">
      <c r="B99" s="189"/>
      <c r="C99" s="185"/>
      <c r="D99" s="185"/>
      <c r="E99" s="185"/>
      <c r="F99" s="185"/>
      <c r="G99" s="185"/>
      <c r="H99" s="185"/>
      <c r="I99" s="185"/>
      <c r="J99" s="185"/>
      <c r="K99" s="185"/>
      <c r="L99" s="185"/>
      <c r="M99" s="185"/>
      <c r="N99" s="185"/>
      <c r="O99" s="185"/>
      <c r="P99" s="183"/>
      <c r="Q99" s="183"/>
      <c r="R99" s="183"/>
    </row>
    <row r="100" spans="1:19">
      <c r="A100" s="55" t="s">
        <v>776</v>
      </c>
      <c r="B100" s="225"/>
      <c r="C100" s="221" t="e">
        <f t="shared" ref="C100:N100" si="35">SUMIF(_FACResults_RevMonth3,C3,_FACResults_FAC)</f>
        <v>#REF!</v>
      </c>
      <c r="D100" s="221" t="e">
        <f t="shared" si="35"/>
        <v>#REF!</v>
      </c>
      <c r="E100" s="221" t="e">
        <f t="shared" si="35"/>
        <v>#REF!</v>
      </c>
      <c r="F100" s="221" t="e">
        <f t="shared" si="35"/>
        <v>#REF!</v>
      </c>
      <c r="G100" s="221" t="e">
        <f t="shared" si="35"/>
        <v>#REF!</v>
      </c>
      <c r="H100" s="221" t="e">
        <f t="shared" si="35"/>
        <v>#REF!</v>
      </c>
      <c r="I100" s="221" t="e">
        <f t="shared" si="35"/>
        <v>#REF!</v>
      </c>
      <c r="J100" s="221" t="e">
        <f t="shared" si="35"/>
        <v>#REF!</v>
      </c>
      <c r="K100" s="221" t="e">
        <f t="shared" si="35"/>
        <v>#REF!</v>
      </c>
      <c r="L100" s="221" t="e">
        <f t="shared" si="35"/>
        <v>#REF!</v>
      </c>
      <c r="M100" s="221" t="e">
        <f t="shared" si="35"/>
        <v>#REF!</v>
      </c>
      <c r="N100" s="221" t="e">
        <f t="shared" si="35"/>
        <v>#REF!</v>
      </c>
      <c r="O100" s="221"/>
      <c r="P100" s="221"/>
      <c r="Q100" s="221" t="s">
        <v>777</v>
      </c>
      <c r="R100" s="221"/>
      <c r="S100" s="55"/>
    </row>
    <row r="101" spans="1:19">
      <c r="A101" s="226"/>
      <c r="B101" s="226"/>
      <c r="C101" s="227" t="e">
        <f t="shared" ref="C101:N101" si="36">SUMIF(_FACLights_RevMonth,C3,_FACLights_FAC)</f>
        <v>#REF!</v>
      </c>
      <c r="D101" s="227" t="e">
        <f t="shared" si="36"/>
        <v>#REF!</v>
      </c>
      <c r="E101" s="227" t="e">
        <f t="shared" si="36"/>
        <v>#REF!</v>
      </c>
      <c r="F101" s="227" t="e">
        <f t="shared" si="36"/>
        <v>#REF!</v>
      </c>
      <c r="G101" s="227" t="e">
        <f t="shared" si="36"/>
        <v>#REF!</v>
      </c>
      <c r="H101" s="227" t="e">
        <f t="shared" si="36"/>
        <v>#REF!</v>
      </c>
      <c r="I101" s="227" t="e">
        <f t="shared" si="36"/>
        <v>#REF!</v>
      </c>
      <c r="J101" s="227" t="e">
        <f t="shared" si="36"/>
        <v>#REF!</v>
      </c>
      <c r="K101" s="227" t="e">
        <f t="shared" si="36"/>
        <v>#REF!</v>
      </c>
      <c r="L101" s="227" t="e">
        <f t="shared" si="36"/>
        <v>#REF!</v>
      </c>
      <c r="M101" s="227" t="e">
        <f t="shared" si="36"/>
        <v>#REF!</v>
      </c>
      <c r="N101" s="227" t="e">
        <f t="shared" si="36"/>
        <v>#REF!</v>
      </c>
      <c r="O101" s="227"/>
      <c r="P101" s="221"/>
      <c r="Q101" s="222" t="s">
        <v>778</v>
      </c>
      <c r="R101" s="221"/>
      <c r="S101" s="55"/>
    </row>
    <row r="102" spans="1:19">
      <c r="A102" s="226"/>
      <c r="B102" s="226"/>
      <c r="C102" s="227" t="e">
        <f>C100+C101</f>
        <v>#REF!</v>
      </c>
      <c r="D102" s="227" t="e">
        <f t="shared" ref="D102:N102" si="37">D100+D101</f>
        <v>#REF!</v>
      </c>
      <c r="E102" s="227" t="e">
        <f t="shared" si="37"/>
        <v>#REF!</v>
      </c>
      <c r="F102" s="227" t="e">
        <f t="shared" si="37"/>
        <v>#REF!</v>
      </c>
      <c r="G102" s="227" t="e">
        <f t="shared" si="37"/>
        <v>#REF!</v>
      </c>
      <c r="H102" s="227" t="e">
        <f t="shared" si="37"/>
        <v>#REF!</v>
      </c>
      <c r="I102" s="227" t="e">
        <f t="shared" si="37"/>
        <v>#REF!</v>
      </c>
      <c r="J102" s="227" t="e">
        <f t="shared" si="37"/>
        <v>#REF!</v>
      </c>
      <c r="K102" s="227" t="e">
        <f t="shared" si="37"/>
        <v>#REF!</v>
      </c>
      <c r="L102" s="227" t="e">
        <f t="shared" si="37"/>
        <v>#REF!</v>
      </c>
      <c r="M102" s="227" t="e">
        <f t="shared" si="37"/>
        <v>#REF!</v>
      </c>
      <c r="N102" s="227" t="e">
        <f t="shared" si="37"/>
        <v>#REF!</v>
      </c>
      <c r="O102" s="227"/>
      <c r="P102" s="221"/>
      <c r="Q102" s="221"/>
      <c r="R102" s="221"/>
      <c r="S102" s="55"/>
    </row>
    <row r="103" spans="1:19">
      <c r="A103" s="226"/>
      <c r="B103" s="226"/>
      <c r="C103" s="221" t="e">
        <f>C102-C98</f>
        <v>#REF!</v>
      </c>
      <c r="D103" s="221" t="e">
        <f t="shared" ref="D103:N103" si="38">D102-D98</f>
        <v>#REF!</v>
      </c>
      <c r="E103" s="221" t="e">
        <f t="shared" si="38"/>
        <v>#REF!</v>
      </c>
      <c r="F103" s="221" t="e">
        <f t="shared" si="38"/>
        <v>#REF!</v>
      </c>
      <c r="G103" s="221" t="e">
        <f t="shared" si="38"/>
        <v>#REF!</v>
      </c>
      <c r="H103" s="221" t="e">
        <f t="shared" si="38"/>
        <v>#REF!</v>
      </c>
      <c r="I103" s="221" t="e">
        <f t="shared" si="38"/>
        <v>#REF!</v>
      </c>
      <c r="J103" s="221" t="e">
        <f t="shared" si="38"/>
        <v>#REF!</v>
      </c>
      <c r="K103" s="221" t="e">
        <f t="shared" si="38"/>
        <v>#REF!</v>
      </c>
      <c r="L103" s="221" t="e">
        <f t="shared" si="38"/>
        <v>#REF!</v>
      </c>
      <c r="M103" s="221" t="e">
        <f t="shared" si="38"/>
        <v>#REF!</v>
      </c>
      <c r="N103" s="221" t="e">
        <f t="shared" si="38"/>
        <v>#REF!</v>
      </c>
      <c r="O103" s="221"/>
      <c r="P103" s="221"/>
      <c r="Q103" s="221"/>
      <c r="R103" s="221"/>
      <c r="S103" s="55"/>
    </row>
    <row r="104" spans="1:19">
      <c r="A104" s="171"/>
      <c r="B104" s="171"/>
      <c r="C104" s="183"/>
      <c r="D104" s="183"/>
      <c r="E104" s="183"/>
      <c r="F104" s="183"/>
      <c r="G104" s="183"/>
      <c r="H104" s="183"/>
      <c r="I104" s="183"/>
      <c r="J104" s="183"/>
      <c r="K104" s="183"/>
      <c r="L104" s="183"/>
      <c r="M104" s="183"/>
      <c r="N104" s="183"/>
      <c r="O104" s="183"/>
      <c r="P104" s="183"/>
      <c r="Q104" s="183"/>
      <c r="R104" s="183"/>
    </row>
    <row r="105" spans="1:19">
      <c r="C105" s="193"/>
      <c r="D105" s="193"/>
      <c r="E105" s="193"/>
      <c r="F105" s="193"/>
      <c r="G105" s="193"/>
      <c r="H105" s="193"/>
      <c r="I105" s="193"/>
      <c r="J105" s="193"/>
      <c r="K105" s="193"/>
      <c r="L105" s="193"/>
      <c r="M105" s="193"/>
      <c r="N105" s="193"/>
      <c r="O105" s="183"/>
      <c r="P105" s="183"/>
      <c r="Q105" s="183"/>
      <c r="R105" s="183"/>
    </row>
    <row r="106" spans="1:19">
      <c r="C106" s="183"/>
      <c r="D106" s="183"/>
      <c r="E106" s="183"/>
      <c r="F106" s="183"/>
      <c r="G106" s="183"/>
      <c r="H106" s="183"/>
      <c r="I106" s="183"/>
      <c r="J106" s="183"/>
      <c r="K106" s="183"/>
      <c r="L106" s="183"/>
      <c r="M106" s="183"/>
      <c r="N106" s="183"/>
      <c r="O106" s="183"/>
      <c r="P106" s="183"/>
      <c r="Q106" s="183"/>
      <c r="R106" s="183"/>
    </row>
    <row r="107" spans="1:19">
      <c r="C107" s="1039" t="s">
        <v>708</v>
      </c>
      <c r="D107" s="1040"/>
      <c r="E107" s="1040"/>
      <c r="F107" s="1040"/>
      <c r="G107" s="1040"/>
      <c r="H107" s="1040"/>
      <c r="I107" s="1040"/>
      <c r="J107" s="1040"/>
      <c r="K107" s="1040"/>
      <c r="L107" s="1040"/>
      <c r="M107" s="1040"/>
      <c r="N107" s="1041"/>
      <c r="O107" s="183"/>
      <c r="P107" s="183"/>
      <c r="Q107" s="183"/>
      <c r="R107" s="183"/>
    </row>
    <row r="108" spans="1:19">
      <c r="C108" s="183"/>
      <c r="D108" s="183"/>
      <c r="E108" s="183"/>
      <c r="F108" s="183"/>
      <c r="G108" s="183"/>
      <c r="H108" s="183"/>
      <c r="I108" s="183"/>
      <c r="J108" s="183"/>
      <c r="K108" s="183"/>
      <c r="L108" s="183"/>
      <c r="M108" s="183"/>
      <c r="N108" s="183"/>
      <c r="O108" s="183"/>
      <c r="P108" s="183"/>
      <c r="Q108" s="183"/>
      <c r="R108" s="183"/>
    </row>
    <row r="109" spans="1:19">
      <c r="A109" s="181" t="s">
        <v>109</v>
      </c>
      <c r="B109" s="181"/>
    </row>
    <row r="110" spans="1:19">
      <c r="A110" s="182" t="s">
        <v>696</v>
      </c>
      <c r="B110" s="171" t="s">
        <v>15</v>
      </c>
      <c r="C110" s="214" t="e">
        <f t="shared" ref="C110:N110" si="39">C61-C10</f>
        <v>#REF!</v>
      </c>
      <c r="D110" s="214" t="e">
        <f t="shared" si="39"/>
        <v>#REF!</v>
      </c>
      <c r="E110" s="214" t="e">
        <f t="shared" si="39"/>
        <v>#REF!</v>
      </c>
      <c r="F110" s="214" t="e">
        <f t="shared" si="39"/>
        <v>#REF!</v>
      </c>
      <c r="G110" s="214" t="e">
        <f t="shared" si="39"/>
        <v>#REF!</v>
      </c>
      <c r="H110" s="214" t="e">
        <f t="shared" si="39"/>
        <v>#REF!</v>
      </c>
      <c r="I110" s="214" t="e">
        <f t="shared" si="39"/>
        <v>#REF!</v>
      </c>
      <c r="J110" s="214" t="e">
        <f t="shared" si="39"/>
        <v>#REF!</v>
      </c>
      <c r="K110" s="214" t="e">
        <f t="shared" si="39"/>
        <v>#REF!</v>
      </c>
      <c r="L110" s="214" t="e">
        <f t="shared" si="39"/>
        <v>#REF!</v>
      </c>
      <c r="M110" s="214" t="e">
        <f t="shared" si="39"/>
        <v>#REF!</v>
      </c>
      <c r="N110" s="214" t="e">
        <f t="shared" si="39"/>
        <v>#REF!</v>
      </c>
      <c r="O110" s="214" t="e">
        <f>SUM(C110:N110)</f>
        <v>#REF!</v>
      </c>
      <c r="P110" s="183"/>
      <c r="Q110" s="184"/>
      <c r="R110" s="183"/>
    </row>
    <row r="111" spans="1:19">
      <c r="A111" s="216" t="s">
        <v>762</v>
      </c>
      <c r="B111" s="171" t="s">
        <v>17</v>
      </c>
      <c r="C111" s="214" t="e">
        <f t="shared" ref="C111:N111" si="40">C62-C11</f>
        <v>#REF!</v>
      </c>
      <c r="D111" s="214" t="e">
        <f t="shared" si="40"/>
        <v>#REF!</v>
      </c>
      <c r="E111" s="214" t="e">
        <f t="shared" si="40"/>
        <v>#REF!</v>
      </c>
      <c r="F111" s="214" t="e">
        <f t="shared" si="40"/>
        <v>#REF!</v>
      </c>
      <c r="G111" s="214" t="e">
        <f t="shared" si="40"/>
        <v>#REF!</v>
      </c>
      <c r="H111" s="214" t="e">
        <f t="shared" si="40"/>
        <v>#REF!</v>
      </c>
      <c r="I111" s="214" t="e">
        <f t="shared" si="40"/>
        <v>#REF!</v>
      </c>
      <c r="J111" s="214" t="e">
        <f t="shared" si="40"/>
        <v>#REF!</v>
      </c>
      <c r="K111" s="214" t="e">
        <f t="shared" si="40"/>
        <v>#REF!</v>
      </c>
      <c r="L111" s="214" t="e">
        <f t="shared" si="40"/>
        <v>#REF!</v>
      </c>
      <c r="M111" s="214" t="e">
        <f t="shared" si="40"/>
        <v>#REF!</v>
      </c>
      <c r="N111" s="214" t="e">
        <f t="shared" si="40"/>
        <v>#REF!</v>
      </c>
      <c r="O111" s="214" t="e">
        <f>SUM(C111:N111)</f>
        <v>#REF!</v>
      </c>
      <c r="P111" s="183"/>
      <c r="Q111" s="184"/>
      <c r="R111" s="183"/>
    </row>
    <row r="112" spans="1:19" ht="15">
      <c r="A112" s="216" t="s">
        <v>763</v>
      </c>
      <c r="B112" s="172" t="s">
        <v>222</v>
      </c>
      <c r="C112" s="217" t="e">
        <f t="shared" ref="C112:N112" si="41">C63-C12</f>
        <v>#REF!</v>
      </c>
      <c r="D112" s="217" t="e">
        <f t="shared" si="41"/>
        <v>#REF!</v>
      </c>
      <c r="E112" s="217" t="e">
        <f t="shared" si="41"/>
        <v>#REF!</v>
      </c>
      <c r="F112" s="217" t="e">
        <f t="shared" si="41"/>
        <v>#REF!</v>
      </c>
      <c r="G112" s="217" t="e">
        <f t="shared" si="41"/>
        <v>#REF!</v>
      </c>
      <c r="H112" s="217" t="e">
        <f t="shared" si="41"/>
        <v>#REF!</v>
      </c>
      <c r="I112" s="217" t="e">
        <f t="shared" si="41"/>
        <v>#REF!</v>
      </c>
      <c r="J112" s="217" t="e">
        <f t="shared" si="41"/>
        <v>#REF!</v>
      </c>
      <c r="K112" s="217" t="e">
        <f t="shared" si="41"/>
        <v>#REF!</v>
      </c>
      <c r="L112" s="217" t="e">
        <f t="shared" si="41"/>
        <v>#REF!</v>
      </c>
      <c r="M112" s="217" t="e">
        <f t="shared" si="41"/>
        <v>#REF!</v>
      </c>
      <c r="N112" s="217" t="e">
        <f t="shared" si="41"/>
        <v>#REF!</v>
      </c>
      <c r="O112" s="217" t="e">
        <f>SUM(C112:N112)</f>
        <v>#REF!</v>
      </c>
      <c r="P112" s="185"/>
      <c r="Q112" s="218"/>
      <c r="R112" s="185"/>
    </row>
    <row r="113" spans="1:24">
      <c r="B113" s="171"/>
      <c r="C113" s="214" t="e">
        <f>SUM(C110:C112)</f>
        <v>#REF!</v>
      </c>
      <c r="D113" s="214" t="e">
        <f>SUM(D110:D112)</f>
        <v>#REF!</v>
      </c>
      <c r="E113" s="214" t="e">
        <f t="shared" ref="E113:O113" si="42">SUM(E110:E112)</f>
        <v>#REF!</v>
      </c>
      <c r="F113" s="214" t="e">
        <f t="shared" si="42"/>
        <v>#REF!</v>
      </c>
      <c r="G113" s="214" t="e">
        <f t="shared" si="42"/>
        <v>#REF!</v>
      </c>
      <c r="H113" s="214" t="e">
        <f t="shared" si="42"/>
        <v>#REF!</v>
      </c>
      <c r="I113" s="214" t="e">
        <f t="shared" si="42"/>
        <v>#REF!</v>
      </c>
      <c r="J113" s="214" t="e">
        <f t="shared" si="42"/>
        <v>#REF!</v>
      </c>
      <c r="K113" s="214" t="e">
        <f t="shared" si="42"/>
        <v>#REF!</v>
      </c>
      <c r="L113" s="214" t="e">
        <f t="shared" si="42"/>
        <v>#REF!</v>
      </c>
      <c r="M113" s="214" t="e">
        <f t="shared" si="42"/>
        <v>#REF!</v>
      </c>
      <c r="N113" s="214" t="e">
        <f t="shared" si="42"/>
        <v>#REF!</v>
      </c>
      <c r="O113" s="214" t="e">
        <f t="shared" si="42"/>
        <v>#REF!</v>
      </c>
      <c r="P113" s="183"/>
      <c r="Q113" s="184"/>
      <c r="R113" s="183"/>
    </row>
    <row r="114" spans="1:24">
      <c r="B114" s="172"/>
      <c r="C114" s="183"/>
      <c r="D114" s="183"/>
      <c r="E114" s="183"/>
      <c r="F114" s="183"/>
      <c r="G114" s="183"/>
      <c r="H114" s="183"/>
      <c r="I114" s="183"/>
      <c r="J114" s="183"/>
      <c r="K114" s="183"/>
      <c r="L114" s="183"/>
      <c r="M114" s="183"/>
      <c r="N114" s="183"/>
      <c r="O114" s="183"/>
      <c r="P114" s="183"/>
      <c r="Q114" s="184"/>
      <c r="R114" s="183"/>
    </row>
    <row r="115" spans="1:24">
      <c r="A115" s="48" t="s">
        <v>112</v>
      </c>
      <c r="B115" s="172"/>
      <c r="C115" s="183"/>
      <c r="D115" s="183"/>
      <c r="E115" s="183"/>
      <c r="F115" s="183"/>
      <c r="G115" s="183"/>
      <c r="H115" s="183"/>
      <c r="I115" s="183"/>
      <c r="J115" s="183"/>
      <c r="K115" s="183"/>
      <c r="L115" s="183"/>
      <c r="M115" s="183"/>
      <c r="N115" s="183"/>
      <c r="O115" s="183"/>
      <c r="P115" s="183"/>
      <c r="Q115" s="184"/>
      <c r="R115" s="183"/>
    </row>
    <row r="116" spans="1:24">
      <c r="A116" s="182" t="s">
        <v>697</v>
      </c>
      <c r="B116" s="172" t="s">
        <v>224</v>
      </c>
      <c r="C116" s="214" t="e">
        <f t="shared" ref="C116:N116" si="43">C67-C16</f>
        <v>#REF!</v>
      </c>
      <c r="D116" s="214" t="e">
        <f t="shared" si="43"/>
        <v>#REF!</v>
      </c>
      <c r="E116" s="214" t="e">
        <f t="shared" si="43"/>
        <v>#REF!</v>
      </c>
      <c r="F116" s="214" t="e">
        <f t="shared" si="43"/>
        <v>#REF!</v>
      </c>
      <c r="G116" s="214" t="e">
        <f t="shared" si="43"/>
        <v>#REF!</v>
      </c>
      <c r="H116" s="214" t="e">
        <f t="shared" si="43"/>
        <v>#REF!</v>
      </c>
      <c r="I116" s="214" t="e">
        <f t="shared" si="43"/>
        <v>#REF!</v>
      </c>
      <c r="J116" s="214" t="e">
        <f t="shared" si="43"/>
        <v>#REF!</v>
      </c>
      <c r="K116" s="214" t="e">
        <f t="shared" si="43"/>
        <v>#REF!</v>
      </c>
      <c r="L116" s="214" t="e">
        <f t="shared" si="43"/>
        <v>#REF!</v>
      </c>
      <c r="M116" s="214" t="e">
        <f t="shared" si="43"/>
        <v>#REF!</v>
      </c>
      <c r="N116" s="214" t="e">
        <f t="shared" si="43"/>
        <v>#REF!</v>
      </c>
      <c r="O116" s="214" t="e">
        <f>SUM(C116:N116)</f>
        <v>#REF!</v>
      </c>
      <c r="P116" s="183"/>
      <c r="Q116" s="184"/>
      <c r="R116" s="183"/>
    </row>
    <row r="117" spans="1:24" ht="15">
      <c r="A117" s="182" t="s">
        <v>64</v>
      </c>
      <c r="B117" s="172" t="s">
        <v>18</v>
      </c>
      <c r="C117" s="217" t="e">
        <f t="shared" ref="C117:N117" si="44">C68-C17</f>
        <v>#REF!</v>
      </c>
      <c r="D117" s="217" t="e">
        <f t="shared" si="44"/>
        <v>#REF!</v>
      </c>
      <c r="E117" s="217" t="e">
        <f t="shared" si="44"/>
        <v>#REF!</v>
      </c>
      <c r="F117" s="217" t="e">
        <f t="shared" si="44"/>
        <v>#REF!</v>
      </c>
      <c r="G117" s="217" t="e">
        <f t="shared" si="44"/>
        <v>#REF!</v>
      </c>
      <c r="H117" s="217" t="e">
        <f t="shared" si="44"/>
        <v>#REF!</v>
      </c>
      <c r="I117" s="217" t="e">
        <f t="shared" si="44"/>
        <v>#REF!</v>
      </c>
      <c r="J117" s="217" t="e">
        <f t="shared" si="44"/>
        <v>#REF!</v>
      </c>
      <c r="K117" s="217" t="e">
        <f t="shared" si="44"/>
        <v>#REF!</v>
      </c>
      <c r="L117" s="217" t="e">
        <f t="shared" si="44"/>
        <v>#REF!</v>
      </c>
      <c r="M117" s="217" t="e">
        <f t="shared" si="44"/>
        <v>#REF!</v>
      </c>
      <c r="N117" s="217" t="e">
        <f t="shared" si="44"/>
        <v>#REF!</v>
      </c>
      <c r="O117" s="217" t="e">
        <f>SUM(C117:N117)</f>
        <v>#REF!</v>
      </c>
      <c r="P117" s="185"/>
      <c r="Q117" s="218"/>
      <c r="R117" s="185"/>
    </row>
    <row r="118" spans="1:24">
      <c r="B118" s="171"/>
      <c r="C118" s="214" t="e">
        <f t="shared" ref="C118:O118" si="45">SUM(C116:C117)</f>
        <v>#REF!</v>
      </c>
      <c r="D118" s="214" t="e">
        <f t="shared" si="45"/>
        <v>#REF!</v>
      </c>
      <c r="E118" s="214" t="e">
        <f t="shared" si="45"/>
        <v>#REF!</v>
      </c>
      <c r="F118" s="214" t="e">
        <f t="shared" si="45"/>
        <v>#REF!</v>
      </c>
      <c r="G118" s="214" t="e">
        <f t="shared" si="45"/>
        <v>#REF!</v>
      </c>
      <c r="H118" s="214" t="e">
        <f t="shared" si="45"/>
        <v>#REF!</v>
      </c>
      <c r="I118" s="214" t="e">
        <f t="shared" si="45"/>
        <v>#REF!</v>
      </c>
      <c r="J118" s="214" t="e">
        <f t="shared" si="45"/>
        <v>#REF!</v>
      </c>
      <c r="K118" s="214" t="e">
        <f t="shared" si="45"/>
        <v>#REF!</v>
      </c>
      <c r="L118" s="214" t="e">
        <f t="shared" si="45"/>
        <v>#REF!</v>
      </c>
      <c r="M118" s="214" t="e">
        <f t="shared" si="45"/>
        <v>#REF!</v>
      </c>
      <c r="N118" s="214" t="e">
        <f t="shared" si="45"/>
        <v>#REF!</v>
      </c>
      <c r="O118" s="214" t="e">
        <f t="shared" si="45"/>
        <v>#REF!</v>
      </c>
      <c r="P118" s="183"/>
      <c r="Q118" s="184"/>
      <c r="R118" s="183"/>
    </row>
    <row r="119" spans="1:24">
      <c r="B119" s="171"/>
      <c r="C119" s="214"/>
      <c r="D119" s="214"/>
      <c r="E119" s="214"/>
      <c r="F119" s="214"/>
      <c r="G119" s="214"/>
      <c r="H119" s="214"/>
      <c r="I119" s="214"/>
      <c r="J119" s="214"/>
      <c r="K119" s="214"/>
      <c r="L119" s="214"/>
      <c r="M119" s="214"/>
      <c r="N119" s="214"/>
      <c r="O119" s="214"/>
      <c r="P119" s="183"/>
      <c r="Q119" s="184"/>
      <c r="R119" s="183"/>
    </row>
    <row r="120" spans="1:24" ht="15">
      <c r="A120" s="48" t="s">
        <v>462</v>
      </c>
      <c r="B120" s="171"/>
      <c r="C120" s="185"/>
      <c r="D120" s="185"/>
      <c r="E120" s="185"/>
      <c r="F120" s="185"/>
      <c r="G120" s="185"/>
      <c r="H120" s="185"/>
      <c r="I120" s="185"/>
      <c r="J120" s="185"/>
      <c r="K120" s="185"/>
      <c r="L120" s="185"/>
      <c r="M120" s="185"/>
      <c r="N120" s="185"/>
      <c r="O120" s="185"/>
      <c r="P120" s="183"/>
      <c r="Q120" s="184"/>
      <c r="R120" s="183"/>
    </row>
    <row r="121" spans="1:24">
      <c r="A121" s="182" t="s">
        <v>219</v>
      </c>
      <c r="B121" s="171" t="s">
        <v>219</v>
      </c>
      <c r="C121" s="214" t="e">
        <f t="shared" ref="C121:N121" si="46">C72-C21</f>
        <v>#REF!</v>
      </c>
      <c r="D121" s="214" t="e">
        <f t="shared" si="46"/>
        <v>#REF!</v>
      </c>
      <c r="E121" s="214" t="e">
        <f t="shared" si="46"/>
        <v>#REF!</v>
      </c>
      <c r="F121" s="214" t="e">
        <f t="shared" si="46"/>
        <v>#REF!</v>
      </c>
      <c r="G121" s="214" t="e">
        <f t="shared" si="46"/>
        <v>#REF!</v>
      </c>
      <c r="H121" s="214" t="e">
        <f t="shared" si="46"/>
        <v>#REF!</v>
      </c>
      <c r="I121" s="214" t="e">
        <f t="shared" si="46"/>
        <v>#REF!</v>
      </c>
      <c r="J121" s="214" t="e">
        <f t="shared" si="46"/>
        <v>#REF!</v>
      </c>
      <c r="K121" s="214" t="e">
        <f t="shared" si="46"/>
        <v>#REF!</v>
      </c>
      <c r="L121" s="214" t="e">
        <f t="shared" si="46"/>
        <v>#REF!</v>
      </c>
      <c r="M121" s="214" t="e">
        <f t="shared" si="46"/>
        <v>#REF!</v>
      </c>
      <c r="N121" s="214" t="e">
        <f t="shared" si="46"/>
        <v>#REF!</v>
      </c>
      <c r="O121" s="214" t="e">
        <f>SUM(C121:N121)</f>
        <v>#REF!</v>
      </c>
      <c r="P121" s="183"/>
      <c r="Q121" s="184"/>
      <c r="R121" s="183"/>
    </row>
    <row r="122" spans="1:24">
      <c r="A122" s="182" t="s">
        <v>764</v>
      </c>
      <c r="B122" s="172" t="s">
        <v>228</v>
      </c>
      <c r="C122" s="214" t="e">
        <f t="shared" ref="C122:N122" si="47">C73-C22</f>
        <v>#REF!</v>
      </c>
      <c r="D122" s="214" t="e">
        <f t="shared" si="47"/>
        <v>#REF!</v>
      </c>
      <c r="E122" s="214" t="e">
        <f t="shared" si="47"/>
        <v>#REF!</v>
      </c>
      <c r="F122" s="214" t="e">
        <f t="shared" si="47"/>
        <v>#REF!</v>
      </c>
      <c r="G122" s="214" t="e">
        <f t="shared" si="47"/>
        <v>#REF!</v>
      </c>
      <c r="H122" s="214" t="e">
        <f t="shared" si="47"/>
        <v>#REF!</v>
      </c>
      <c r="I122" s="214" t="e">
        <f t="shared" si="47"/>
        <v>#REF!</v>
      </c>
      <c r="J122" s="214" t="e">
        <f t="shared" si="47"/>
        <v>#REF!</v>
      </c>
      <c r="K122" s="214" t="e">
        <f t="shared" si="47"/>
        <v>#REF!</v>
      </c>
      <c r="L122" s="214" t="e">
        <f t="shared" si="47"/>
        <v>#REF!</v>
      </c>
      <c r="M122" s="214" t="e">
        <f t="shared" si="47"/>
        <v>#REF!</v>
      </c>
      <c r="N122" s="214" t="e">
        <f t="shared" si="47"/>
        <v>#REF!</v>
      </c>
      <c r="O122" s="214" t="e">
        <f>SUM(C122:N122)</f>
        <v>#REF!</v>
      </c>
      <c r="P122" s="183"/>
      <c r="Q122" s="184"/>
      <c r="R122" s="183"/>
    </row>
    <row r="123" spans="1:24" ht="15">
      <c r="A123" s="182" t="s">
        <v>765</v>
      </c>
      <c r="B123" s="172" t="s">
        <v>766</v>
      </c>
      <c r="C123" s="217" t="e">
        <f t="shared" ref="C123:N123" si="48">C74-C23</f>
        <v>#REF!</v>
      </c>
      <c r="D123" s="217" t="e">
        <f t="shared" si="48"/>
        <v>#REF!</v>
      </c>
      <c r="E123" s="217" t="e">
        <f t="shared" si="48"/>
        <v>#REF!</v>
      </c>
      <c r="F123" s="217" t="e">
        <f t="shared" si="48"/>
        <v>#REF!</v>
      </c>
      <c r="G123" s="217" t="e">
        <f t="shared" si="48"/>
        <v>#REF!</v>
      </c>
      <c r="H123" s="217" t="e">
        <f t="shared" si="48"/>
        <v>#REF!</v>
      </c>
      <c r="I123" s="217" t="e">
        <f t="shared" si="48"/>
        <v>#REF!</v>
      </c>
      <c r="J123" s="217" t="e">
        <f t="shared" si="48"/>
        <v>#REF!</v>
      </c>
      <c r="K123" s="217" t="e">
        <f t="shared" si="48"/>
        <v>#REF!</v>
      </c>
      <c r="L123" s="217" t="e">
        <f t="shared" si="48"/>
        <v>#REF!</v>
      </c>
      <c r="M123" s="217" t="e">
        <f t="shared" si="48"/>
        <v>#REF!</v>
      </c>
      <c r="N123" s="217" t="e">
        <f t="shared" si="48"/>
        <v>#REF!</v>
      </c>
      <c r="O123" s="217" t="e">
        <f>SUM(C123:N123)</f>
        <v>#REF!</v>
      </c>
      <c r="P123" s="185"/>
      <c r="Q123" s="218"/>
      <c r="R123" s="185"/>
    </row>
    <row r="124" spans="1:24">
      <c r="A124" s="182"/>
      <c r="B124" s="172"/>
      <c r="C124" s="214" t="e">
        <f>SUM(C121:C123)</f>
        <v>#REF!</v>
      </c>
      <c r="D124" s="214" t="e">
        <f>SUM(D121:D123)</f>
        <v>#REF!</v>
      </c>
      <c r="E124" s="214" t="e">
        <f t="shared" ref="E124:O124" si="49">SUM(E121:E123)</f>
        <v>#REF!</v>
      </c>
      <c r="F124" s="214" t="e">
        <f t="shared" si="49"/>
        <v>#REF!</v>
      </c>
      <c r="G124" s="214" t="e">
        <f t="shared" si="49"/>
        <v>#REF!</v>
      </c>
      <c r="H124" s="214" t="e">
        <f t="shared" si="49"/>
        <v>#REF!</v>
      </c>
      <c r="I124" s="214" t="e">
        <f t="shared" si="49"/>
        <v>#REF!</v>
      </c>
      <c r="J124" s="214" t="e">
        <f t="shared" si="49"/>
        <v>#REF!</v>
      </c>
      <c r="K124" s="214" t="e">
        <f t="shared" si="49"/>
        <v>#REF!</v>
      </c>
      <c r="L124" s="214" t="e">
        <f t="shared" si="49"/>
        <v>#REF!</v>
      </c>
      <c r="M124" s="214" t="e">
        <f t="shared" si="49"/>
        <v>#REF!</v>
      </c>
      <c r="N124" s="214" t="e">
        <f t="shared" si="49"/>
        <v>#REF!</v>
      </c>
      <c r="O124" s="214" t="e">
        <f t="shared" si="49"/>
        <v>#REF!</v>
      </c>
      <c r="P124" s="183"/>
      <c r="Q124" s="184"/>
      <c r="R124" s="183"/>
    </row>
    <row r="125" spans="1:24">
      <c r="B125" s="171"/>
      <c r="C125" s="183"/>
      <c r="D125" s="183"/>
      <c r="E125" s="183"/>
      <c r="F125" s="183"/>
      <c r="G125" s="183"/>
      <c r="H125" s="183"/>
      <c r="I125" s="183"/>
      <c r="J125" s="183"/>
      <c r="K125" s="183"/>
      <c r="L125" s="183"/>
      <c r="M125" s="183"/>
      <c r="N125" s="183"/>
      <c r="O125" s="183"/>
      <c r="P125" s="183"/>
      <c r="Q125" s="184"/>
      <c r="R125" s="183"/>
    </row>
    <row r="126" spans="1:24">
      <c r="A126" s="186" t="s">
        <v>113</v>
      </c>
      <c r="B126" s="171"/>
      <c r="C126" s="183"/>
      <c r="D126" s="183"/>
      <c r="E126" s="183"/>
      <c r="F126" s="183"/>
      <c r="G126" s="183"/>
      <c r="H126" s="183"/>
      <c r="I126" s="183"/>
      <c r="J126" s="183"/>
      <c r="K126" s="183"/>
      <c r="L126" s="183"/>
      <c r="M126" s="183"/>
      <c r="N126" s="183"/>
      <c r="O126" s="183"/>
      <c r="P126" s="183"/>
      <c r="Q126" s="184"/>
      <c r="R126" s="183"/>
    </row>
    <row r="127" spans="1:24">
      <c r="A127" s="188" t="s">
        <v>767</v>
      </c>
      <c r="B127" s="171" t="s">
        <v>25</v>
      </c>
      <c r="C127" s="214" t="e">
        <f t="shared" ref="C127:N127" si="50">C78-C27</f>
        <v>#REF!</v>
      </c>
      <c r="D127" s="214" t="e">
        <f t="shared" si="50"/>
        <v>#REF!</v>
      </c>
      <c r="E127" s="214" t="e">
        <f t="shared" si="50"/>
        <v>#REF!</v>
      </c>
      <c r="F127" s="214" t="e">
        <f t="shared" si="50"/>
        <v>#REF!</v>
      </c>
      <c r="G127" s="214" t="e">
        <f t="shared" si="50"/>
        <v>#REF!</v>
      </c>
      <c r="H127" s="214" t="e">
        <f t="shared" si="50"/>
        <v>#REF!</v>
      </c>
      <c r="I127" s="214" t="e">
        <f t="shared" si="50"/>
        <v>#REF!</v>
      </c>
      <c r="J127" s="214" t="e">
        <f t="shared" si="50"/>
        <v>#REF!</v>
      </c>
      <c r="K127" s="214" t="e">
        <f t="shared" si="50"/>
        <v>#REF!</v>
      </c>
      <c r="L127" s="214" t="e">
        <f t="shared" si="50"/>
        <v>#REF!</v>
      </c>
      <c r="M127" s="214" t="e">
        <f t="shared" si="50"/>
        <v>#REF!</v>
      </c>
      <c r="N127" s="214" t="e">
        <f t="shared" si="50"/>
        <v>#REF!</v>
      </c>
      <c r="O127" s="214" t="e">
        <f>SUM(C127:N127)</f>
        <v>#REF!</v>
      </c>
      <c r="P127" s="183"/>
      <c r="Q127" s="184"/>
      <c r="R127" s="183"/>
    </row>
    <row r="128" spans="1:24" ht="15">
      <c r="A128" s="188" t="s">
        <v>768</v>
      </c>
      <c r="B128" s="171" t="s">
        <v>26</v>
      </c>
      <c r="C128" s="217" t="e">
        <f t="shared" ref="C128:N128" si="51">C79-C28</f>
        <v>#REF!</v>
      </c>
      <c r="D128" s="217" t="e">
        <f t="shared" si="51"/>
        <v>#REF!</v>
      </c>
      <c r="E128" s="217" t="e">
        <f t="shared" si="51"/>
        <v>#REF!</v>
      </c>
      <c r="F128" s="217" t="e">
        <f t="shared" si="51"/>
        <v>#REF!</v>
      </c>
      <c r="G128" s="217" t="e">
        <f t="shared" si="51"/>
        <v>#REF!</v>
      </c>
      <c r="H128" s="217" t="e">
        <f t="shared" si="51"/>
        <v>#REF!</v>
      </c>
      <c r="I128" s="217" t="e">
        <f t="shared" si="51"/>
        <v>#REF!</v>
      </c>
      <c r="J128" s="217" t="e">
        <f t="shared" si="51"/>
        <v>#REF!</v>
      </c>
      <c r="K128" s="217" t="e">
        <f t="shared" si="51"/>
        <v>#REF!</v>
      </c>
      <c r="L128" s="217" t="e">
        <f t="shared" si="51"/>
        <v>#REF!</v>
      </c>
      <c r="M128" s="217" t="e">
        <f t="shared" si="51"/>
        <v>#REF!</v>
      </c>
      <c r="N128" s="217" t="e">
        <f t="shared" si="51"/>
        <v>#REF!</v>
      </c>
      <c r="O128" s="217" t="e">
        <f>SUM(C128:N128)</f>
        <v>#REF!</v>
      </c>
      <c r="P128" s="185"/>
      <c r="Q128" s="218"/>
      <c r="R128" s="185"/>
      <c r="X128" s="198">
        <f>-T50+AB93</f>
        <v>-7350.5279999999912</v>
      </c>
    </row>
    <row r="129" spans="1:24">
      <c r="B129" s="189"/>
      <c r="C129" s="214" t="e">
        <f t="shared" ref="C129:O129" si="52">SUM(C127:C128)</f>
        <v>#REF!</v>
      </c>
      <c r="D129" s="214" t="e">
        <f t="shared" si="52"/>
        <v>#REF!</v>
      </c>
      <c r="E129" s="214" t="e">
        <f t="shared" si="52"/>
        <v>#REF!</v>
      </c>
      <c r="F129" s="214" t="e">
        <f t="shared" si="52"/>
        <v>#REF!</v>
      </c>
      <c r="G129" s="214" t="e">
        <f t="shared" si="52"/>
        <v>#REF!</v>
      </c>
      <c r="H129" s="214" t="e">
        <f t="shared" si="52"/>
        <v>#REF!</v>
      </c>
      <c r="I129" s="214" t="e">
        <f t="shared" si="52"/>
        <v>#REF!</v>
      </c>
      <c r="J129" s="214" t="e">
        <f t="shared" si="52"/>
        <v>#REF!</v>
      </c>
      <c r="K129" s="214" t="e">
        <f t="shared" si="52"/>
        <v>#REF!</v>
      </c>
      <c r="L129" s="214" t="e">
        <f t="shared" si="52"/>
        <v>#REF!</v>
      </c>
      <c r="M129" s="214" t="e">
        <f t="shared" si="52"/>
        <v>#REF!</v>
      </c>
      <c r="N129" s="214" t="e">
        <f t="shared" si="52"/>
        <v>#REF!</v>
      </c>
      <c r="O129" s="214" t="e">
        <f t="shared" si="52"/>
        <v>#REF!</v>
      </c>
      <c r="P129" s="183"/>
      <c r="Q129" s="184"/>
      <c r="R129" s="183"/>
      <c r="X129" s="197" t="s">
        <v>707</v>
      </c>
    </row>
    <row r="130" spans="1:24">
      <c r="A130" s="181" t="s">
        <v>698</v>
      </c>
      <c r="B130" s="189"/>
      <c r="C130" s="183"/>
      <c r="D130" s="183"/>
      <c r="E130" s="183"/>
      <c r="F130" s="183"/>
      <c r="G130" s="183"/>
      <c r="H130" s="183"/>
      <c r="I130" s="183"/>
      <c r="J130" s="183"/>
      <c r="K130" s="183"/>
      <c r="L130" s="183"/>
      <c r="M130" s="183"/>
      <c r="N130" s="183"/>
      <c r="O130" s="183"/>
      <c r="P130" s="183"/>
      <c r="Q130" s="184"/>
      <c r="R130" s="183"/>
    </row>
    <row r="131" spans="1:24">
      <c r="A131" s="188" t="s">
        <v>699</v>
      </c>
      <c r="B131" s="172" t="s">
        <v>221</v>
      </c>
      <c r="C131" s="214" t="e">
        <f t="shared" ref="C131:N131" si="53">C82-C31</f>
        <v>#REF!</v>
      </c>
      <c r="D131" s="214" t="e">
        <f t="shared" si="53"/>
        <v>#REF!</v>
      </c>
      <c r="E131" s="214" t="e">
        <f t="shared" si="53"/>
        <v>#REF!</v>
      </c>
      <c r="F131" s="214" t="e">
        <f t="shared" si="53"/>
        <v>#REF!</v>
      </c>
      <c r="G131" s="214" t="e">
        <f t="shared" si="53"/>
        <v>#REF!</v>
      </c>
      <c r="H131" s="214" t="e">
        <f t="shared" si="53"/>
        <v>#REF!</v>
      </c>
      <c r="I131" s="214" t="e">
        <f t="shared" si="53"/>
        <v>#REF!</v>
      </c>
      <c r="J131" s="214" t="e">
        <f t="shared" si="53"/>
        <v>#REF!</v>
      </c>
      <c r="K131" s="214" t="e">
        <f t="shared" si="53"/>
        <v>#REF!</v>
      </c>
      <c r="L131" s="214" t="e">
        <f t="shared" si="53"/>
        <v>#REF!</v>
      </c>
      <c r="M131" s="214" t="e">
        <f t="shared" si="53"/>
        <v>#REF!</v>
      </c>
      <c r="N131" s="214" t="e">
        <f t="shared" si="53"/>
        <v>#REF!</v>
      </c>
      <c r="O131" s="214" t="e">
        <f>SUM(C131:N131)</f>
        <v>#REF!</v>
      </c>
      <c r="P131" s="183"/>
      <c r="Q131" s="184"/>
      <c r="R131" s="183"/>
    </row>
    <row r="132" spans="1:24" ht="15">
      <c r="A132" s="188" t="s">
        <v>700</v>
      </c>
      <c r="B132" s="172" t="s">
        <v>220</v>
      </c>
      <c r="C132" s="217" t="e">
        <f t="shared" ref="C132:N132" si="54">C83-C32</f>
        <v>#REF!</v>
      </c>
      <c r="D132" s="217" t="e">
        <f t="shared" si="54"/>
        <v>#REF!</v>
      </c>
      <c r="E132" s="217" t="e">
        <f t="shared" si="54"/>
        <v>#REF!</v>
      </c>
      <c r="F132" s="217" t="e">
        <f t="shared" si="54"/>
        <v>#REF!</v>
      </c>
      <c r="G132" s="217" t="e">
        <f t="shared" si="54"/>
        <v>#REF!</v>
      </c>
      <c r="H132" s="217" t="e">
        <f t="shared" si="54"/>
        <v>#REF!</v>
      </c>
      <c r="I132" s="217" t="e">
        <f t="shared" si="54"/>
        <v>#REF!</v>
      </c>
      <c r="J132" s="217" t="e">
        <f t="shared" si="54"/>
        <v>#REF!</v>
      </c>
      <c r="K132" s="217" t="e">
        <f t="shared" si="54"/>
        <v>#REF!</v>
      </c>
      <c r="L132" s="217" t="e">
        <f t="shared" si="54"/>
        <v>#REF!</v>
      </c>
      <c r="M132" s="217" t="e">
        <f t="shared" si="54"/>
        <v>#REF!</v>
      </c>
      <c r="N132" s="217" t="e">
        <f t="shared" si="54"/>
        <v>#REF!</v>
      </c>
      <c r="O132" s="217" t="e">
        <f>SUM(C132:N132)</f>
        <v>#REF!</v>
      </c>
      <c r="P132" s="185"/>
      <c r="Q132" s="218"/>
      <c r="R132" s="185"/>
    </row>
    <row r="133" spans="1:24">
      <c r="B133" s="189"/>
      <c r="C133" s="214" t="e">
        <f t="shared" ref="C133:O133" si="55">SUM(C131:C132)</f>
        <v>#REF!</v>
      </c>
      <c r="D133" s="214" t="e">
        <f t="shared" si="55"/>
        <v>#REF!</v>
      </c>
      <c r="E133" s="214" t="e">
        <f t="shared" si="55"/>
        <v>#REF!</v>
      </c>
      <c r="F133" s="214" t="e">
        <f t="shared" si="55"/>
        <v>#REF!</v>
      </c>
      <c r="G133" s="214" t="e">
        <f t="shared" si="55"/>
        <v>#REF!</v>
      </c>
      <c r="H133" s="214" t="e">
        <f t="shared" si="55"/>
        <v>#REF!</v>
      </c>
      <c r="I133" s="214" t="e">
        <f t="shared" si="55"/>
        <v>#REF!</v>
      </c>
      <c r="J133" s="214" t="e">
        <f t="shared" si="55"/>
        <v>#REF!</v>
      </c>
      <c r="K133" s="214" t="e">
        <f t="shared" si="55"/>
        <v>#REF!</v>
      </c>
      <c r="L133" s="214" t="e">
        <f t="shared" si="55"/>
        <v>#REF!</v>
      </c>
      <c r="M133" s="214" t="e">
        <f t="shared" si="55"/>
        <v>#REF!</v>
      </c>
      <c r="N133" s="214" t="e">
        <f t="shared" si="55"/>
        <v>#REF!</v>
      </c>
      <c r="O133" s="214" t="e">
        <f t="shared" si="55"/>
        <v>#REF!</v>
      </c>
      <c r="P133" s="183"/>
      <c r="Q133" s="184"/>
      <c r="R133" s="183"/>
    </row>
    <row r="134" spans="1:24">
      <c r="A134" s="186"/>
      <c r="B134" s="171"/>
      <c r="C134" s="183"/>
      <c r="D134" s="183"/>
      <c r="E134" s="183"/>
      <c r="F134" s="183"/>
      <c r="G134" s="183"/>
      <c r="H134" s="183"/>
      <c r="I134" s="183"/>
      <c r="J134" s="183"/>
      <c r="K134" s="183"/>
      <c r="L134" s="183"/>
      <c r="M134" s="183"/>
      <c r="N134" s="183"/>
      <c r="O134" s="183"/>
      <c r="P134" s="183"/>
      <c r="Q134" s="184"/>
      <c r="R134" s="183"/>
    </row>
    <row r="135" spans="1:24">
      <c r="B135" s="171"/>
      <c r="C135" s="183"/>
      <c r="D135" s="183"/>
      <c r="E135" s="183"/>
      <c r="F135" s="183"/>
      <c r="G135" s="183"/>
      <c r="H135" s="183"/>
      <c r="I135" s="183"/>
      <c r="J135" s="183"/>
      <c r="K135" s="183"/>
      <c r="L135" s="183"/>
      <c r="M135" s="183"/>
      <c r="N135" s="183"/>
      <c r="O135" s="183"/>
      <c r="P135" s="183"/>
      <c r="Q135" s="184"/>
      <c r="R135" s="183"/>
    </row>
    <row r="136" spans="1:24">
      <c r="A136" s="181" t="s">
        <v>770</v>
      </c>
      <c r="B136" s="171" t="s">
        <v>19</v>
      </c>
      <c r="C136" s="214" t="e">
        <f t="shared" ref="C136:N136" si="56">C87-C36</f>
        <v>#REF!</v>
      </c>
      <c r="D136" s="214" t="e">
        <f t="shared" si="56"/>
        <v>#REF!</v>
      </c>
      <c r="E136" s="214" t="e">
        <f t="shared" si="56"/>
        <v>#REF!</v>
      </c>
      <c r="F136" s="214" t="e">
        <f t="shared" si="56"/>
        <v>#REF!</v>
      </c>
      <c r="G136" s="214" t="e">
        <f t="shared" si="56"/>
        <v>#REF!</v>
      </c>
      <c r="H136" s="214" t="e">
        <f t="shared" si="56"/>
        <v>#REF!</v>
      </c>
      <c r="I136" s="214" t="e">
        <f t="shared" si="56"/>
        <v>#REF!</v>
      </c>
      <c r="J136" s="214" t="e">
        <f t="shared" si="56"/>
        <v>#REF!</v>
      </c>
      <c r="K136" s="214" t="e">
        <f t="shared" si="56"/>
        <v>#REF!</v>
      </c>
      <c r="L136" s="214" t="e">
        <f t="shared" si="56"/>
        <v>#REF!</v>
      </c>
      <c r="M136" s="214" t="e">
        <f t="shared" si="56"/>
        <v>#REF!</v>
      </c>
      <c r="N136" s="214" t="e">
        <f t="shared" si="56"/>
        <v>#REF!</v>
      </c>
      <c r="O136" s="214" t="e">
        <f>SUM(C136:N136)</f>
        <v>#REF!</v>
      </c>
      <c r="P136" s="183"/>
      <c r="Q136" s="184"/>
      <c r="R136" s="183"/>
    </row>
    <row r="137" spans="1:24">
      <c r="B137" s="171"/>
      <c r="C137" s="183"/>
      <c r="D137" s="183"/>
      <c r="E137" s="183"/>
      <c r="F137" s="183"/>
      <c r="G137" s="183"/>
      <c r="H137" s="183"/>
      <c r="I137" s="183"/>
      <c r="J137" s="183"/>
      <c r="K137" s="183"/>
      <c r="L137" s="183"/>
      <c r="M137" s="183"/>
      <c r="N137" s="183"/>
      <c r="O137" s="183"/>
      <c r="P137" s="183"/>
      <c r="Q137" s="184"/>
      <c r="R137" s="183"/>
    </row>
    <row r="138" spans="1:24">
      <c r="A138" s="48" t="s">
        <v>769</v>
      </c>
      <c r="B138" s="172" t="s">
        <v>28</v>
      </c>
      <c r="C138" s="214" t="e">
        <f t="shared" ref="C138:N138" si="57">C89-C38</f>
        <v>#REF!</v>
      </c>
      <c r="D138" s="214" t="e">
        <f t="shared" si="57"/>
        <v>#REF!</v>
      </c>
      <c r="E138" s="214" t="e">
        <f t="shared" si="57"/>
        <v>#REF!</v>
      </c>
      <c r="F138" s="214" t="e">
        <f t="shared" si="57"/>
        <v>#REF!</v>
      </c>
      <c r="G138" s="214" t="e">
        <f t="shared" si="57"/>
        <v>#REF!</v>
      </c>
      <c r="H138" s="214" t="e">
        <f t="shared" si="57"/>
        <v>#REF!</v>
      </c>
      <c r="I138" s="214" t="e">
        <f t="shared" si="57"/>
        <v>#REF!</v>
      </c>
      <c r="J138" s="214" t="e">
        <f t="shared" si="57"/>
        <v>#REF!</v>
      </c>
      <c r="K138" s="214" t="e">
        <f t="shared" si="57"/>
        <v>#REF!</v>
      </c>
      <c r="L138" s="214" t="e">
        <f t="shared" si="57"/>
        <v>#REF!</v>
      </c>
      <c r="M138" s="214" t="e">
        <f t="shared" si="57"/>
        <v>#REF!</v>
      </c>
      <c r="N138" s="214" t="e">
        <f t="shared" si="57"/>
        <v>#REF!</v>
      </c>
      <c r="O138" s="214" t="e">
        <f>SUM(C138:N138)</f>
        <v>#REF!</v>
      </c>
      <c r="P138" s="183"/>
      <c r="Q138" s="184"/>
      <c r="R138" s="183"/>
    </row>
    <row r="139" spans="1:24">
      <c r="B139" s="171"/>
      <c r="C139" s="183"/>
      <c r="D139" s="183"/>
      <c r="E139" s="183"/>
      <c r="F139" s="183"/>
      <c r="G139" s="183"/>
      <c r="H139" s="183"/>
      <c r="I139" s="183"/>
      <c r="J139" s="183"/>
      <c r="K139" s="183"/>
      <c r="L139" s="183"/>
      <c r="M139" s="183"/>
      <c r="N139" s="183"/>
      <c r="O139" s="183"/>
      <c r="P139" s="183"/>
      <c r="Q139" s="184"/>
      <c r="R139" s="183"/>
    </row>
    <row r="140" spans="1:24">
      <c r="A140" s="48" t="s">
        <v>701</v>
      </c>
      <c r="B140" s="171"/>
      <c r="C140" s="183"/>
      <c r="D140" s="183"/>
      <c r="E140" s="183"/>
      <c r="F140" s="183"/>
      <c r="G140" s="183"/>
      <c r="H140" s="183"/>
      <c r="I140" s="183"/>
      <c r="J140" s="183"/>
      <c r="K140" s="183"/>
      <c r="L140" s="183"/>
      <c r="M140" s="183"/>
      <c r="N140" s="183"/>
      <c r="O140" s="183"/>
      <c r="P140" s="183"/>
      <c r="Q140" s="184"/>
      <c r="R140" s="183"/>
    </row>
    <row r="141" spans="1:24">
      <c r="A141" s="187" t="s">
        <v>773</v>
      </c>
      <c r="B141" s="171" t="s">
        <v>20</v>
      </c>
      <c r="C141" s="214" t="e">
        <f t="shared" ref="C141:N141" si="58">C92-C41</f>
        <v>#REF!</v>
      </c>
      <c r="D141" s="214" t="e">
        <f t="shared" si="58"/>
        <v>#REF!</v>
      </c>
      <c r="E141" s="214" t="e">
        <f t="shared" si="58"/>
        <v>#REF!</v>
      </c>
      <c r="F141" s="214" t="e">
        <f t="shared" si="58"/>
        <v>#REF!</v>
      </c>
      <c r="G141" s="214" t="e">
        <f t="shared" si="58"/>
        <v>#REF!</v>
      </c>
      <c r="H141" s="214" t="e">
        <f t="shared" si="58"/>
        <v>#REF!</v>
      </c>
      <c r="I141" s="214" t="e">
        <f t="shared" si="58"/>
        <v>#REF!</v>
      </c>
      <c r="J141" s="214" t="e">
        <f t="shared" si="58"/>
        <v>#REF!</v>
      </c>
      <c r="K141" s="214" t="e">
        <f t="shared" si="58"/>
        <v>#REF!</v>
      </c>
      <c r="L141" s="214" t="e">
        <f t="shared" si="58"/>
        <v>#REF!</v>
      </c>
      <c r="M141" s="214" t="e">
        <f t="shared" si="58"/>
        <v>#REF!</v>
      </c>
      <c r="N141" s="214" t="e">
        <f t="shared" si="58"/>
        <v>#REF!</v>
      </c>
      <c r="O141" s="214" t="e">
        <f>SUM(C141:N141)</f>
        <v>#REF!</v>
      </c>
      <c r="P141" s="183"/>
      <c r="Q141" s="184"/>
      <c r="R141" s="183"/>
    </row>
    <row r="142" spans="1:24">
      <c r="A142" s="188" t="s">
        <v>774</v>
      </c>
      <c r="B142" s="171" t="s">
        <v>21</v>
      </c>
      <c r="C142" s="214" t="e">
        <f t="shared" ref="C142:N142" si="59">C93-C42</f>
        <v>#REF!</v>
      </c>
      <c r="D142" s="214" t="e">
        <f t="shared" si="59"/>
        <v>#REF!</v>
      </c>
      <c r="E142" s="214" t="e">
        <f t="shared" si="59"/>
        <v>#REF!</v>
      </c>
      <c r="F142" s="214" t="e">
        <f t="shared" si="59"/>
        <v>#REF!</v>
      </c>
      <c r="G142" s="214" t="e">
        <f t="shared" si="59"/>
        <v>#REF!</v>
      </c>
      <c r="H142" s="214" t="e">
        <f t="shared" si="59"/>
        <v>#REF!</v>
      </c>
      <c r="I142" s="214" t="e">
        <f t="shared" si="59"/>
        <v>#REF!</v>
      </c>
      <c r="J142" s="214" t="e">
        <f t="shared" si="59"/>
        <v>#REF!</v>
      </c>
      <c r="K142" s="214" t="e">
        <f t="shared" si="59"/>
        <v>#REF!</v>
      </c>
      <c r="L142" s="214" t="e">
        <f t="shared" si="59"/>
        <v>#REF!</v>
      </c>
      <c r="M142" s="214" t="e">
        <f t="shared" si="59"/>
        <v>#REF!</v>
      </c>
      <c r="N142" s="214" t="e">
        <f t="shared" si="59"/>
        <v>#REF!</v>
      </c>
      <c r="O142" s="214" t="e">
        <f>SUM(C142:N142)</f>
        <v>#REF!</v>
      </c>
      <c r="P142" s="183"/>
      <c r="Q142" s="184"/>
      <c r="R142" s="183"/>
    </row>
    <row r="143" spans="1:24">
      <c r="A143" s="188" t="s">
        <v>1288</v>
      </c>
      <c r="B143" s="172" t="s">
        <v>702</v>
      </c>
      <c r="C143" s="214" t="e">
        <f t="shared" ref="C143:N143" si="60">C94-C44</f>
        <v>#REF!</v>
      </c>
      <c r="D143" s="214" t="e">
        <f t="shared" si="60"/>
        <v>#REF!</v>
      </c>
      <c r="E143" s="214" t="e">
        <f t="shared" si="60"/>
        <v>#REF!</v>
      </c>
      <c r="F143" s="214" t="e">
        <f t="shared" si="60"/>
        <v>#REF!</v>
      </c>
      <c r="G143" s="214" t="e">
        <f t="shared" si="60"/>
        <v>#REF!</v>
      </c>
      <c r="H143" s="214" t="e">
        <f t="shared" si="60"/>
        <v>#REF!</v>
      </c>
      <c r="I143" s="214" t="e">
        <f t="shared" si="60"/>
        <v>#REF!</v>
      </c>
      <c r="J143" s="214" t="e">
        <f t="shared" si="60"/>
        <v>#REF!</v>
      </c>
      <c r="K143" s="214" t="e">
        <f t="shared" si="60"/>
        <v>#REF!</v>
      </c>
      <c r="L143" s="214" t="e">
        <f t="shared" si="60"/>
        <v>#REF!</v>
      </c>
      <c r="M143" s="214" t="e">
        <f t="shared" si="60"/>
        <v>#REF!</v>
      </c>
      <c r="N143" s="214" t="e">
        <f t="shared" si="60"/>
        <v>#REF!</v>
      </c>
      <c r="O143" s="214" t="e">
        <f>SUM(C143:N143)</f>
        <v>#REF!</v>
      </c>
      <c r="P143" s="183"/>
      <c r="Q143" s="184"/>
      <c r="R143" s="183"/>
    </row>
    <row r="144" spans="1:24" ht="15">
      <c r="A144" s="188" t="s">
        <v>1287</v>
      </c>
      <c r="B144" s="171" t="s">
        <v>703</v>
      </c>
      <c r="C144" s="217" t="e">
        <f t="shared" ref="C144:N144" si="61">C95-C45</f>
        <v>#REF!</v>
      </c>
      <c r="D144" s="217" t="e">
        <f t="shared" si="61"/>
        <v>#REF!</v>
      </c>
      <c r="E144" s="217" t="e">
        <f t="shared" si="61"/>
        <v>#REF!</v>
      </c>
      <c r="F144" s="217" t="e">
        <f t="shared" si="61"/>
        <v>#REF!</v>
      </c>
      <c r="G144" s="217" t="e">
        <f t="shared" si="61"/>
        <v>#REF!</v>
      </c>
      <c r="H144" s="217" t="e">
        <f t="shared" si="61"/>
        <v>#REF!</v>
      </c>
      <c r="I144" s="217" t="e">
        <f t="shared" si="61"/>
        <v>#REF!</v>
      </c>
      <c r="J144" s="217" t="e">
        <f t="shared" si="61"/>
        <v>#REF!</v>
      </c>
      <c r="K144" s="217" t="e">
        <f t="shared" si="61"/>
        <v>#REF!</v>
      </c>
      <c r="L144" s="217" t="e">
        <f t="shared" si="61"/>
        <v>#REF!</v>
      </c>
      <c r="M144" s="217" t="e">
        <f t="shared" si="61"/>
        <v>#REF!</v>
      </c>
      <c r="N144" s="217" t="e">
        <f t="shared" si="61"/>
        <v>#REF!</v>
      </c>
      <c r="O144" s="217" t="e">
        <f>SUM(C144:N144)</f>
        <v>#REF!</v>
      </c>
      <c r="P144" s="185"/>
      <c r="Q144" s="218"/>
      <c r="R144" s="185"/>
    </row>
    <row r="145" spans="1:18">
      <c r="C145" s="214" t="e">
        <f t="shared" ref="C145:O145" si="62">SUM(C141:C144)</f>
        <v>#REF!</v>
      </c>
      <c r="D145" s="214" t="e">
        <f t="shared" si="62"/>
        <v>#REF!</v>
      </c>
      <c r="E145" s="214" t="e">
        <f t="shared" si="62"/>
        <v>#REF!</v>
      </c>
      <c r="F145" s="214" t="e">
        <f t="shared" si="62"/>
        <v>#REF!</v>
      </c>
      <c r="G145" s="214" t="e">
        <f t="shared" si="62"/>
        <v>#REF!</v>
      </c>
      <c r="H145" s="214" t="e">
        <f t="shared" si="62"/>
        <v>#REF!</v>
      </c>
      <c r="I145" s="214" t="e">
        <f t="shared" si="62"/>
        <v>#REF!</v>
      </c>
      <c r="J145" s="214" t="e">
        <f t="shared" si="62"/>
        <v>#REF!</v>
      </c>
      <c r="K145" s="214" t="e">
        <f t="shared" si="62"/>
        <v>#REF!</v>
      </c>
      <c r="L145" s="214" t="e">
        <f t="shared" si="62"/>
        <v>#REF!</v>
      </c>
      <c r="M145" s="214" t="e">
        <f t="shared" si="62"/>
        <v>#REF!</v>
      </c>
      <c r="N145" s="214" t="e">
        <f t="shared" si="62"/>
        <v>#REF!</v>
      </c>
      <c r="O145" s="214" t="e">
        <f t="shared" si="62"/>
        <v>#REF!</v>
      </c>
      <c r="P145" s="183"/>
      <c r="Q145" s="184"/>
      <c r="R145" s="183"/>
    </row>
    <row r="146" spans="1:18">
      <c r="C146" s="183"/>
      <c r="D146" s="183"/>
      <c r="E146" s="183"/>
      <c r="F146" s="183"/>
      <c r="G146" s="183"/>
      <c r="H146" s="183"/>
      <c r="I146" s="183"/>
      <c r="J146" s="183"/>
      <c r="K146" s="183"/>
      <c r="L146" s="183"/>
      <c r="M146" s="183"/>
      <c r="N146" s="183"/>
      <c r="O146" s="183"/>
      <c r="P146" s="183"/>
      <c r="Q146" s="183"/>
      <c r="R146" s="183"/>
    </row>
    <row r="147" spans="1:18">
      <c r="A147" s="171" t="s">
        <v>60</v>
      </c>
      <c r="B147" s="171"/>
      <c r="C147" s="219" t="e">
        <f t="shared" ref="C147:O147" si="63">SUM(C113,C118,C124,C129,C133,C136,C138,C145)</f>
        <v>#REF!</v>
      </c>
      <c r="D147" s="219" t="e">
        <f t="shared" si="63"/>
        <v>#REF!</v>
      </c>
      <c r="E147" s="219" t="e">
        <f t="shared" si="63"/>
        <v>#REF!</v>
      </c>
      <c r="F147" s="219" t="e">
        <f t="shared" si="63"/>
        <v>#REF!</v>
      </c>
      <c r="G147" s="219" t="e">
        <f t="shared" si="63"/>
        <v>#REF!</v>
      </c>
      <c r="H147" s="219" t="e">
        <f t="shared" si="63"/>
        <v>#REF!</v>
      </c>
      <c r="I147" s="219" t="e">
        <f t="shared" si="63"/>
        <v>#REF!</v>
      </c>
      <c r="J147" s="219" t="e">
        <f t="shared" si="63"/>
        <v>#REF!</v>
      </c>
      <c r="K147" s="219" t="e">
        <f t="shared" si="63"/>
        <v>#REF!</v>
      </c>
      <c r="L147" s="219" t="e">
        <f t="shared" si="63"/>
        <v>#REF!</v>
      </c>
      <c r="M147" s="219" t="e">
        <f t="shared" si="63"/>
        <v>#REF!</v>
      </c>
      <c r="N147" s="219" t="e">
        <f t="shared" si="63"/>
        <v>#REF!</v>
      </c>
      <c r="O147" s="219" t="e">
        <f t="shared" si="63"/>
        <v>#REF!</v>
      </c>
      <c r="P147" s="183"/>
      <c r="Q147" s="190"/>
      <c r="R147" s="183"/>
    </row>
    <row r="148" spans="1:18" ht="15">
      <c r="B148" s="189"/>
      <c r="C148" s="185"/>
      <c r="D148" s="185"/>
      <c r="E148" s="185"/>
      <c r="F148" s="185"/>
      <c r="G148" s="185"/>
      <c r="H148" s="185"/>
      <c r="I148" s="185"/>
      <c r="J148" s="185"/>
      <c r="K148" s="185"/>
      <c r="L148" s="185"/>
      <c r="M148" s="185"/>
      <c r="N148" s="185"/>
      <c r="O148" s="185"/>
      <c r="P148" s="183"/>
      <c r="Q148" s="183"/>
      <c r="R148" s="183"/>
    </row>
    <row r="149" spans="1:18">
      <c r="B149" s="189"/>
      <c r="C149" s="183"/>
      <c r="D149" s="183"/>
      <c r="E149" s="183"/>
      <c r="F149" s="183"/>
      <c r="G149" s="183"/>
      <c r="H149" s="183"/>
      <c r="I149" s="183"/>
      <c r="J149" s="183"/>
      <c r="K149" s="183"/>
      <c r="L149" s="183"/>
      <c r="M149" s="183"/>
      <c r="N149" s="183"/>
      <c r="O149" s="183"/>
      <c r="P149" s="183"/>
      <c r="Q149" s="183"/>
      <c r="R149" s="183"/>
    </row>
    <row r="150" spans="1:18">
      <c r="B150" s="171"/>
      <c r="C150" s="183"/>
      <c r="D150" s="183"/>
      <c r="E150" s="183"/>
      <c r="F150" s="183"/>
      <c r="G150" s="183"/>
      <c r="H150" s="183"/>
      <c r="I150" s="183"/>
      <c r="J150" s="183"/>
      <c r="K150" s="183"/>
      <c r="L150" s="183"/>
      <c r="M150" s="183"/>
      <c r="N150" s="183"/>
      <c r="O150" s="183"/>
      <c r="P150" s="183"/>
      <c r="Q150" s="183"/>
      <c r="R150" s="183"/>
    </row>
    <row r="151" spans="1:18">
      <c r="A151" s="187"/>
      <c r="B151" s="171"/>
      <c r="C151" s="183"/>
      <c r="D151" s="183"/>
      <c r="E151" s="183"/>
      <c r="F151" s="183"/>
      <c r="G151" s="183"/>
      <c r="H151" s="183"/>
      <c r="I151" s="183"/>
      <c r="J151" s="183"/>
      <c r="K151" s="183"/>
      <c r="L151" s="183"/>
      <c r="M151" s="183"/>
      <c r="N151" s="183"/>
      <c r="O151" s="183"/>
      <c r="P151" s="183"/>
      <c r="Q151" s="183"/>
      <c r="R151" s="183"/>
    </row>
    <row r="152" spans="1:18">
      <c r="A152" s="187"/>
      <c r="B152" s="171"/>
      <c r="C152" s="183"/>
      <c r="D152" s="183"/>
      <c r="E152" s="183"/>
      <c r="F152" s="183"/>
      <c r="G152" s="183"/>
      <c r="H152" s="183"/>
      <c r="I152" s="183"/>
      <c r="J152" s="183"/>
      <c r="K152" s="183"/>
      <c r="L152" s="183"/>
      <c r="M152" s="183"/>
      <c r="N152" s="183"/>
      <c r="O152" s="183"/>
      <c r="P152" s="183"/>
      <c r="Q152" s="183"/>
      <c r="R152" s="183"/>
    </row>
    <row r="153" spans="1:18">
      <c r="A153" s="187"/>
      <c r="B153" s="172"/>
      <c r="C153" s="183"/>
      <c r="D153" s="183"/>
      <c r="E153" s="183"/>
      <c r="F153" s="183"/>
      <c r="G153" s="183"/>
      <c r="H153" s="183"/>
      <c r="I153" s="183"/>
      <c r="J153" s="183"/>
      <c r="K153" s="183"/>
      <c r="L153" s="183"/>
      <c r="M153" s="183"/>
      <c r="N153" s="183"/>
      <c r="O153" s="183"/>
      <c r="P153" s="183"/>
      <c r="Q153" s="183"/>
      <c r="R153" s="183"/>
    </row>
    <row r="154" spans="1:18">
      <c r="A154" s="188"/>
      <c r="B154" s="171"/>
      <c r="C154" s="183"/>
      <c r="D154" s="183"/>
      <c r="E154" s="183"/>
      <c r="F154" s="183"/>
      <c r="G154" s="183"/>
      <c r="H154" s="183"/>
      <c r="I154" s="183"/>
      <c r="J154" s="183"/>
      <c r="K154" s="183"/>
      <c r="L154" s="183"/>
      <c r="M154" s="183"/>
      <c r="N154" s="183"/>
      <c r="O154" s="183"/>
      <c r="P154" s="183"/>
      <c r="Q154" s="183"/>
      <c r="R154" s="183"/>
    </row>
    <row r="155" spans="1:18">
      <c r="A155" s="187"/>
      <c r="B155" s="171"/>
      <c r="C155" s="183"/>
      <c r="D155" s="183"/>
      <c r="E155" s="183"/>
      <c r="F155" s="183"/>
      <c r="G155" s="183"/>
      <c r="H155" s="183"/>
      <c r="I155" s="183"/>
      <c r="J155" s="183"/>
      <c r="K155" s="183"/>
      <c r="L155" s="183"/>
      <c r="M155" s="183"/>
      <c r="N155" s="183"/>
      <c r="O155" s="183"/>
      <c r="P155" s="183"/>
      <c r="Q155" s="183"/>
      <c r="R155" s="183"/>
    </row>
    <row r="156" spans="1:18" ht="15">
      <c r="A156" s="188"/>
      <c r="B156" s="171"/>
      <c r="C156" s="185"/>
      <c r="D156" s="185"/>
      <c r="E156" s="185"/>
      <c r="F156" s="185"/>
      <c r="G156" s="185"/>
      <c r="H156" s="185"/>
      <c r="I156" s="185"/>
      <c r="J156" s="185"/>
      <c r="K156" s="185"/>
      <c r="L156" s="185"/>
      <c r="M156" s="185"/>
      <c r="N156" s="185"/>
      <c r="O156" s="185"/>
      <c r="P156" s="183"/>
      <c r="Q156" s="183"/>
      <c r="R156" s="183"/>
    </row>
    <row r="157" spans="1:18">
      <c r="C157" s="183"/>
      <c r="D157" s="183"/>
      <c r="E157" s="183"/>
      <c r="F157" s="183"/>
      <c r="G157" s="183"/>
      <c r="H157" s="183"/>
      <c r="I157" s="183"/>
      <c r="J157" s="183"/>
      <c r="K157" s="183"/>
      <c r="L157" s="183"/>
      <c r="M157" s="183"/>
      <c r="N157" s="183"/>
      <c r="O157" s="183"/>
      <c r="P157" s="183"/>
      <c r="Q157" s="183"/>
      <c r="R157" s="183"/>
    </row>
    <row r="158" spans="1:18">
      <c r="C158" s="183"/>
      <c r="D158" s="183"/>
      <c r="E158" s="183"/>
      <c r="F158" s="183"/>
      <c r="G158" s="183"/>
      <c r="H158" s="183"/>
      <c r="I158" s="183"/>
      <c r="J158" s="183"/>
      <c r="K158" s="183"/>
      <c r="L158" s="183"/>
      <c r="M158" s="183"/>
      <c r="N158" s="183"/>
      <c r="O158" s="183"/>
      <c r="P158" s="183"/>
      <c r="Q158" s="183"/>
      <c r="R158" s="183"/>
    </row>
    <row r="159" spans="1:18">
      <c r="A159" s="171"/>
      <c r="B159" s="172"/>
      <c r="C159" s="183"/>
      <c r="D159" s="183"/>
      <c r="E159" s="183"/>
      <c r="F159" s="183"/>
      <c r="G159" s="183"/>
      <c r="H159" s="183"/>
      <c r="I159" s="183"/>
      <c r="J159" s="183"/>
      <c r="K159" s="183"/>
      <c r="L159" s="183"/>
      <c r="M159" s="183"/>
      <c r="N159" s="183"/>
      <c r="O159" s="183"/>
      <c r="P159" s="183"/>
      <c r="Q159" s="183"/>
      <c r="R159" s="183"/>
    </row>
    <row r="160" spans="1:18">
      <c r="A160" s="171"/>
      <c r="B160" s="171"/>
      <c r="C160" s="183"/>
      <c r="D160" s="183"/>
      <c r="E160" s="183"/>
      <c r="F160" s="183"/>
      <c r="G160" s="183"/>
      <c r="H160" s="183"/>
      <c r="I160" s="183"/>
      <c r="J160" s="183"/>
      <c r="K160" s="183"/>
      <c r="L160" s="183"/>
      <c r="M160" s="183"/>
      <c r="N160" s="183"/>
      <c r="O160" s="183"/>
      <c r="P160" s="183"/>
      <c r="Q160" s="183"/>
      <c r="R160" s="183"/>
    </row>
    <row r="161" spans="1:18">
      <c r="A161" s="171"/>
      <c r="B161" s="171"/>
      <c r="C161" s="183"/>
      <c r="D161" s="183"/>
      <c r="E161" s="183"/>
      <c r="F161" s="183"/>
      <c r="G161" s="183"/>
      <c r="H161" s="183"/>
      <c r="I161" s="183"/>
      <c r="J161" s="183"/>
      <c r="K161" s="183"/>
      <c r="L161" s="183"/>
      <c r="M161" s="183"/>
      <c r="N161" s="183"/>
      <c r="O161" s="183"/>
      <c r="P161" s="183"/>
      <c r="Q161" s="183"/>
      <c r="R161" s="183"/>
    </row>
    <row r="162" spans="1:18">
      <c r="A162" s="171"/>
      <c r="B162" s="171"/>
      <c r="C162" s="183"/>
      <c r="D162" s="183"/>
      <c r="E162" s="183"/>
      <c r="F162" s="183"/>
      <c r="G162" s="183"/>
      <c r="H162" s="183"/>
      <c r="I162" s="183"/>
      <c r="J162" s="183"/>
      <c r="K162" s="183"/>
      <c r="L162" s="183"/>
      <c r="M162" s="183"/>
      <c r="N162" s="183"/>
      <c r="O162" s="183"/>
      <c r="P162" s="183"/>
      <c r="Q162" s="183"/>
      <c r="R162" s="183"/>
    </row>
    <row r="163" spans="1:18">
      <c r="A163" s="171"/>
      <c r="B163" s="171"/>
      <c r="C163" s="190"/>
      <c r="D163" s="190"/>
      <c r="E163" s="190"/>
      <c r="F163" s="190"/>
      <c r="G163" s="190"/>
      <c r="H163" s="190"/>
      <c r="I163" s="190"/>
      <c r="J163" s="190"/>
      <c r="K163" s="190"/>
      <c r="L163" s="190"/>
      <c r="M163" s="190"/>
      <c r="N163" s="190"/>
      <c r="O163" s="190"/>
      <c r="P163" s="183"/>
      <c r="Q163" s="183"/>
      <c r="R163" s="183"/>
    </row>
    <row r="164" spans="1:18">
      <c r="A164" s="171"/>
      <c r="B164" s="171"/>
      <c r="C164" s="183"/>
      <c r="D164" s="183"/>
      <c r="E164" s="183"/>
      <c r="F164" s="183"/>
      <c r="G164" s="183"/>
      <c r="H164" s="183"/>
      <c r="I164" s="183"/>
      <c r="J164" s="183"/>
      <c r="K164" s="183"/>
      <c r="L164" s="183"/>
      <c r="M164" s="183"/>
      <c r="N164" s="183"/>
      <c r="O164" s="183"/>
      <c r="P164" s="183"/>
      <c r="Q164" s="183"/>
      <c r="R164" s="183"/>
    </row>
    <row r="165" spans="1:18">
      <c r="A165" s="171"/>
      <c r="B165" s="171"/>
      <c r="C165" s="183"/>
      <c r="D165" s="183"/>
      <c r="E165" s="183"/>
      <c r="F165" s="183"/>
      <c r="G165" s="183"/>
      <c r="H165" s="183"/>
      <c r="I165" s="183"/>
      <c r="J165" s="183"/>
      <c r="K165" s="183"/>
      <c r="L165" s="183"/>
      <c r="M165" s="183"/>
      <c r="N165" s="183"/>
      <c r="O165" s="183"/>
      <c r="P165" s="183"/>
      <c r="Q165" s="183"/>
      <c r="R165" s="183"/>
    </row>
    <row r="166" spans="1:18">
      <c r="C166" s="190"/>
      <c r="D166" s="190"/>
      <c r="E166" s="190"/>
      <c r="F166" s="190"/>
      <c r="G166" s="190"/>
      <c r="H166" s="190"/>
      <c r="I166" s="190"/>
      <c r="J166" s="190"/>
      <c r="K166" s="190"/>
      <c r="L166" s="190"/>
      <c r="M166" s="190"/>
      <c r="N166" s="190"/>
      <c r="O166" s="190"/>
      <c r="P166" s="183"/>
      <c r="Q166" s="190"/>
      <c r="R166" s="183"/>
    </row>
    <row r="167" spans="1:18">
      <c r="C167" s="183"/>
      <c r="D167" s="183"/>
      <c r="E167" s="183"/>
      <c r="F167" s="183"/>
      <c r="G167" s="183"/>
      <c r="H167" s="183"/>
      <c r="I167" s="183"/>
      <c r="J167" s="183"/>
      <c r="K167" s="183"/>
      <c r="L167" s="183"/>
      <c r="M167" s="183"/>
      <c r="N167" s="183"/>
      <c r="O167" s="183"/>
      <c r="P167" s="183"/>
      <c r="Q167" s="183"/>
      <c r="R167" s="183"/>
    </row>
    <row r="168" spans="1:18">
      <c r="C168" s="183"/>
      <c r="D168" s="183"/>
      <c r="E168" s="183"/>
      <c r="F168" s="183"/>
      <c r="G168" s="183"/>
      <c r="H168" s="183"/>
      <c r="I168" s="183"/>
      <c r="J168" s="183"/>
      <c r="K168" s="183"/>
      <c r="L168" s="183"/>
      <c r="M168" s="183"/>
      <c r="N168" s="183"/>
      <c r="O168" s="183"/>
      <c r="P168" s="183"/>
      <c r="Q168" s="183"/>
      <c r="R168" s="183"/>
    </row>
    <row r="169" spans="1:18">
      <c r="C169" s="183"/>
      <c r="D169" s="183"/>
      <c r="E169" s="183"/>
      <c r="F169" s="183"/>
      <c r="G169" s="183"/>
      <c r="H169" s="183"/>
      <c r="I169" s="183"/>
      <c r="J169" s="183"/>
      <c r="K169" s="183"/>
      <c r="L169" s="183"/>
      <c r="M169" s="183"/>
      <c r="N169" s="183"/>
      <c r="O169" s="183"/>
      <c r="P169" s="183"/>
      <c r="Q169" s="183"/>
      <c r="R169" s="183"/>
    </row>
    <row r="170" spans="1:18">
      <c r="C170" s="183"/>
      <c r="D170" s="183"/>
      <c r="E170" s="183"/>
      <c r="F170" s="183"/>
      <c r="G170" s="183"/>
      <c r="H170" s="183"/>
      <c r="I170" s="183"/>
      <c r="J170" s="183"/>
      <c r="K170" s="183"/>
      <c r="L170" s="183"/>
      <c r="M170" s="183"/>
      <c r="N170" s="183"/>
      <c r="O170" s="183"/>
      <c r="P170" s="183"/>
      <c r="Q170" s="183"/>
      <c r="R170" s="183"/>
    </row>
    <row r="171" spans="1:18">
      <c r="C171" s="183"/>
      <c r="D171" s="183"/>
      <c r="E171" s="183"/>
      <c r="F171" s="183"/>
      <c r="G171" s="183"/>
      <c r="H171" s="183"/>
      <c r="I171" s="183"/>
      <c r="J171" s="183"/>
      <c r="K171" s="183"/>
      <c r="L171" s="183"/>
      <c r="M171" s="183"/>
      <c r="N171" s="183"/>
      <c r="O171" s="183"/>
      <c r="P171" s="183"/>
      <c r="Q171" s="183"/>
      <c r="R171" s="183"/>
    </row>
    <row r="172" spans="1:18">
      <c r="C172" s="183"/>
      <c r="D172" s="183"/>
      <c r="E172" s="183"/>
      <c r="F172" s="183"/>
      <c r="G172" s="183"/>
      <c r="H172" s="183"/>
      <c r="I172" s="183"/>
      <c r="J172" s="183"/>
      <c r="K172" s="183"/>
      <c r="L172" s="183"/>
      <c r="M172" s="183"/>
      <c r="N172" s="183"/>
      <c r="O172" s="183"/>
      <c r="P172" s="183"/>
      <c r="Q172" s="183"/>
      <c r="R172" s="183"/>
    </row>
    <row r="173" spans="1:18">
      <c r="C173" s="183"/>
      <c r="D173" s="183"/>
      <c r="E173" s="183"/>
      <c r="F173" s="183"/>
      <c r="G173" s="183"/>
      <c r="H173" s="183"/>
      <c r="I173" s="183"/>
      <c r="J173" s="183"/>
      <c r="K173" s="183"/>
      <c r="L173" s="183"/>
      <c r="M173" s="183"/>
      <c r="N173" s="183"/>
      <c r="O173" s="183"/>
      <c r="P173" s="183"/>
      <c r="Q173" s="183"/>
      <c r="R173" s="183"/>
    </row>
    <row r="174" spans="1:18">
      <c r="C174" s="183"/>
      <c r="D174" s="183"/>
      <c r="E174" s="183"/>
      <c r="F174" s="183"/>
      <c r="G174" s="183"/>
      <c r="H174" s="183"/>
      <c r="I174" s="183"/>
      <c r="J174" s="183"/>
      <c r="K174" s="183"/>
      <c r="L174" s="183"/>
      <c r="M174" s="183"/>
      <c r="N174" s="183"/>
      <c r="O174" s="183"/>
      <c r="P174" s="183"/>
      <c r="Q174" s="183"/>
      <c r="R174" s="183"/>
    </row>
    <row r="175" spans="1:18">
      <c r="C175" s="183"/>
      <c r="D175" s="183"/>
      <c r="E175" s="183"/>
      <c r="F175" s="183"/>
      <c r="G175" s="183"/>
      <c r="H175" s="183"/>
      <c r="I175" s="183"/>
      <c r="J175" s="183"/>
      <c r="K175" s="183"/>
      <c r="L175" s="183"/>
      <c r="M175" s="183"/>
      <c r="N175" s="183"/>
      <c r="O175" s="183"/>
      <c r="P175" s="183"/>
      <c r="Q175" s="183"/>
      <c r="R175" s="183"/>
    </row>
    <row r="176" spans="1:18">
      <c r="C176" s="183"/>
      <c r="D176" s="183"/>
      <c r="E176" s="183"/>
      <c r="F176" s="183"/>
      <c r="G176" s="183"/>
      <c r="H176" s="183"/>
      <c r="I176" s="183"/>
      <c r="J176" s="183"/>
      <c r="K176" s="183"/>
      <c r="L176" s="183"/>
      <c r="M176" s="183"/>
      <c r="N176" s="183"/>
      <c r="O176" s="183"/>
      <c r="P176" s="183"/>
      <c r="Q176" s="183"/>
      <c r="R176" s="183"/>
    </row>
    <row r="177" spans="3:18">
      <c r="C177" s="183"/>
      <c r="D177" s="183"/>
      <c r="E177" s="183"/>
      <c r="F177" s="183"/>
      <c r="G177" s="183"/>
      <c r="H177" s="183"/>
      <c r="I177" s="183"/>
      <c r="J177" s="183"/>
      <c r="K177" s="183"/>
      <c r="L177" s="183"/>
      <c r="M177" s="183"/>
      <c r="N177" s="183"/>
      <c r="O177" s="183"/>
      <c r="P177" s="183"/>
      <c r="Q177" s="183"/>
      <c r="R177" s="183"/>
    </row>
    <row r="178" spans="3:18">
      <c r="C178" s="183"/>
      <c r="D178" s="183"/>
      <c r="E178" s="183"/>
      <c r="F178" s="183"/>
      <c r="G178" s="183"/>
      <c r="H178" s="183"/>
      <c r="I178" s="183"/>
      <c r="J178" s="183"/>
      <c r="K178" s="183"/>
      <c r="L178" s="183"/>
      <c r="M178" s="183"/>
      <c r="N178" s="183"/>
      <c r="O178" s="183"/>
      <c r="P178" s="183"/>
      <c r="Q178" s="183"/>
      <c r="R178" s="183"/>
    </row>
    <row r="179" spans="3:18">
      <c r="C179" s="183"/>
      <c r="D179" s="183"/>
      <c r="E179" s="183"/>
      <c r="F179" s="183"/>
      <c r="G179" s="183"/>
      <c r="H179" s="183"/>
      <c r="I179" s="183"/>
      <c r="J179" s="183"/>
      <c r="K179" s="183"/>
      <c r="L179" s="183"/>
      <c r="M179" s="183"/>
      <c r="N179" s="183"/>
      <c r="O179" s="183"/>
      <c r="P179" s="183"/>
      <c r="Q179" s="183"/>
      <c r="R179" s="183"/>
    </row>
    <row r="180" spans="3:18">
      <c r="C180" s="183"/>
      <c r="D180" s="183"/>
      <c r="E180" s="183"/>
      <c r="F180" s="183"/>
      <c r="G180" s="183"/>
      <c r="H180" s="183"/>
      <c r="I180" s="183"/>
      <c r="J180" s="183"/>
      <c r="K180" s="183"/>
      <c r="L180" s="183"/>
      <c r="M180" s="183"/>
      <c r="N180" s="183"/>
      <c r="O180" s="183"/>
      <c r="P180" s="183"/>
      <c r="Q180" s="183"/>
      <c r="R180" s="183"/>
    </row>
    <row r="181" spans="3:18">
      <c r="C181" s="183"/>
      <c r="D181" s="183"/>
      <c r="E181" s="183"/>
      <c r="F181" s="183"/>
      <c r="G181" s="183"/>
      <c r="H181" s="183"/>
      <c r="I181" s="183"/>
      <c r="J181" s="183"/>
      <c r="K181" s="183"/>
      <c r="L181" s="183"/>
      <c r="M181" s="183"/>
      <c r="N181" s="183"/>
      <c r="O181" s="183"/>
      <c r="P181" s="183"/>
      <c r="Q181" s="183"/>
      <c r="R181" s="183"/>
    </row>
    <row r="182" spans="3:18">
      <c r="C182" s="183"/>
      <c r="D182" s="183"/>
      <c r="E182" s="183"/>
      <c r="F182" s="183"/>
      <c r="G182" s="183"/>
      <c r="H182" s="183"/>
      <c r="I182" s="183"/>
      <c r="J182" s="183"/>
      <c r="K182" s="183"/>
      <c r="L182" s="183"/>
      <c r="M182" s="183"/>
      <c r="N182" s="183"/>
      <c r="O182" s="183"/>
      <c r="P182" s="183"/>
      <c r="Q182" s="183"/>
      <c r="R182" s="183"/>
    </row>
    <row r="183" spans="3:18">
      <c r="C183" s="183"/>
      <c r="D183" s="183"/>
      <c r="E183" s="183"/>
      <c r="F183" s="183"/>
      <c r="G183" s="183"/>
      <c r="H183" s="183"/>
      <c r="I183" s="183"/>
      <c r="J183" s="183"/>
      <c r="K183" s="183"/>
      <c r="L183" s="183"/>
      <c r="M183" s="183"/>
      <c r="N183" s="183"/>
      <c r="O183" s="183"/>
      <c r="P183" s="183"/>
      <c r="Q183" s="183"/>
      <c r="R183" s="183"/>
    </row>
    <row r="184" spans="3:18">
      <c r="C184" s="183"/>
      <c r="D184" s="183"/>
      <c r="E184" s="183"/>
      <c r="F184" s="183"/>
      <c r="G184" s="183"/>
      <c r="H184" s="183"/>
      <c r="I184" s="183"/>
      <c r="J184" s="183"/>
      <c r="K184" s="183"/>
      <c r="L184" s="183"/>
      <c r="M184" s="183"/>
      <c r="N184" s="183"/>
      <c r="O184" s="183"/>
      <c r="P184" s="183"/>
      <c r="Q184" s="183"/>
      <c r="R184" s="183"/>
    </row>
    <row r="185" spans="3:18">
      <c r="C185" s="183"/>
      <c r="D185" s="183"/>
      <c r="E185" s="183"/>
      <c r="F185" s="183"/>
      <c r="G185" s="183"/>
      <c r="H185" s="183"/>
      <c r="I185" s="183"/>
      <c r="J185" s="183"/>
      <c r="K185" s="183"/>
      <c r="L185" s="183"/>
      <c r="M185" s="183"/>
      <c r="N185" s="183"/>
      <c r="O185" s="183"/>
      <c r="P185" s="183"/>
      <c r="Q185" s="183"/>
      <c r="R185" s="183"/>
    </row>
    <row r="186" spans="3:18">
      <c r="C186" s="183"/>
      <c r="D186" s="183"/>
      <c r="E186" s="183"/>
      <c r="F186" s="183"/>
      <c r="G186" s="183"/>
      <c r="H186" s="183"/>
      <c r="I186" s="183"/>
      <c r="J186" s="183"/>
      <c r="K186" s="183"/>
      <c r="L186" s="183"/>
      <c r="M186" s="183"/>
      <c r="N186" s="183"/>
      <c r="O186" s="183"/>
      <c r="P186" s="183"/>
      <c r="Q186" s="183"/>
      <c r="R186" s="183"/>
    </row>
    <row r="187" spans="3:18">
      <c r="C187" s="183"/>
      <c r="D187" s="183"/>
      <c r="E187" s="183"/>
      <c r="F187" s="183"/>
      <c r="G187" s="183"/>
      <c r="H187" s="183"/>
      <c r="I187" s="183"/>
      <c r="J187" s="183"/>
      <c r="K187" s="183"/>
      <c r="L187" s="183"/>
      <c r="M187" s="183"/>
      <c r="N187" s="183"/>
      <c r="O187" s="183"/>
      <c r="P187" s="183"/>
      <c r="Q187" s="183"/>
      <c r="R187" s="183"/>
    </row>
    <row r="188" spans="3:18">
      <c r="C188" s="183"/>
      <c r="D188" s="183"/>
      <c r="E188" s="183"/>
      <c r="F188" s="183"/>
      <c r="G188" s="183"/>
      <c r="H188" s="183"/>
      <c r="I188" s="183"/>
      <c r="J188" s="183"/>
      <c r="K188" s="183"/>
      <c r="L188" s="183"/>
      <c r="M188" s="183"/>
      <c r="N188" s="183"/>
      <c r="O188" s="183"/>
      <c r="P188" s="183"/>
      <c r="Q188" s="183"/>
      <c r="R188" s="183"/>
    </row>
    <row r="189" spans="3:18">
      <c r="C189" s="183"/>
      <c r="D189" s="183"/>
      <c r="E189" s="183"/>
      <c r="F189" s="183"/>
      <c r="G189" s="183"/>
      <c r="H189" s="183"/>
      <c r="I189" s="183"/>
      <c r="J189" s="183"/>
      <c r="K189" s="183"/>
      <c r="L189" s="183"/>
      <c r="M189" s="183"/>
      <c r="N189" s="183"/>
      <c r="O189" s="183"/>
      <c r="P189" s="183"/>
      <c r="Q189" s="183"/>
      <c r="R189" s="183"/>
    </row>
    <row r="190" spans="3:18">
      <c r="C190" s="183"/>
      <c r="D190" s="183"/>
      <c r="E190" s="183"/>
      <c r="F190" s="183"/>
      <c r="G190" s="183"/>
      <c r="H190" s="183"/>
      <c r="I190" s="183"/>
      <c r="J190" s="183"/>
      <c r="K190" s="183"/>
      <c r="L190" s="183"/>
      <c r="M190" s="183"/>
      <c r="N190" s="183"/>
      <c r="O190" s="183"/>
      <c r="P190" s="183"/>
      <c r="Q190" s="183"/>
      <c r="R190" s="183"/>
    </row>
    <row r="191" spans="3:18">
      <c r="C191" s="183"/>
      <c r="D191" s="183"/>
      <c r="E191" s="183"/>
      <c r="F191" s="183"/>
      <c r="G191" s="183"/>
      <c r="H191" s="183"/>
      <c r="I191" s="183"/>
      <c r="J191" s="183"/>
      <c r="K191" s="183"/>
      <c r="L191" s="183"/>
      <c r="M191" s="183"/>
      <c r="N191" s="183"/>
      <c r="O191" s="183"/>
      <c r="P191" s="183"/>
      <c r="Q191" s="183"/>
      <c r="R191" s="183"/>
    </row>
    <row r="192" spans="3:18">
      <c r="C192" s="183"/>
      <c r="D192" s="183"/>
      <c r="E192" s="183"/>
      <c r="F192" s="183"/>
      <c r="G192" s="183"/>
      <c r="H192" s="183"/>
      <c r="I192" s="183"/>
      <c r="J192" s="183"/>
      <c r="K192" s="183"/>
      <c r="L192" s="183"/>
      <c r="M192" s="183"/>
      <c r="N192" s="183"/>
      <c r="O192" s="183"/>
      <c r="P192" s="183"/>
      <c r="Q192" s="183"/>
      <c r="R192" s="183"/>
    </row>
    <row r="193" spans="3:18">
      <c r="C193" s="183"/>
      <c r="D193" s="183"/>
      <c r="E193" s="183"/>
      <c r="F193" s="183"/>
      <c r="G193" s="183"/>
      <c r="H193" s="183"/>
      <c r="I193" s="183"/>
      <c r="J193" s="183"/>
      <c r="K193" s="183"/>
      <c r="L193" s="183"/>
      <c r="M193" s="183"/>
      <c r="N193" s="183"/>
      <c r="O193" s="183"/>
      <c r="P193" s="183"/>
      <c r="Q193" s="183"/>
      <c r="R193" s="183"/>
    </row>
    <row r="194" spans="3:18">
      <c r="C194" s="183"/>
      <c r="D194" s="183"/>
      <c r="E194" s="183"/>
      <c r="F194" s="183"/>
      <c r="G194" s="183"/>
      <c r="H194" s="183"/>
      <c r="I194" s="183"/>
      <c r="J194" s="183"/>
      <c r="K194" s="183"/>
      <c r="L194" s="183"/>
      <c r="M194" s="183"/>
      <c r="N194" s="183"/>
      <c r="O194" s="183"/>
      <c r="P194" s="183"/>
      <c r="Q194" s="183"/>
      <c r="R194" s="183"/>
    </row>
    <row r="195" spans="3:18">
      <c r="C195" s="183"/>
      <c r="D195" s="183"/>
      <c r="E195" s="183"/>
      <c r="F195" s="183"/>
      <c r="G195" s="183"/>
      <c r="H195" s="183"/>
      <c r="I195" s="183"/>
      <c r="J195" s="183"/>
      <c r="K195" s="183"/>
      <c r="L195" s="183"/>
      <c r="M195" s="183"/>
      <c r="N195" s="183"/>
      <c r="O195" s="183"/>
      <c r="P195" s="183"/>
      <c r="Q195" s="183"/>
      <c r="R195" s="183"/>
    </row>
    <row r="196" spans="3:18">
      <c r="C196" s="183"/>
      <c r="D196" s="183"/>
      <c r="E196" s="183"/>
      <c r="F196" s="183"/>
      <c r="G196" s="183"/>
      <c r="H196" s="183"/>
      <c r="I196" s="183"/>
      <c r="J196" s="183"/>
      <c r="K196" s="183"/>
      <c r="L196" s="183"/>
      <c r="M196" s="183"/>
      <c r="N196" s="183"/>
      <c r="O196" s="183"/>
      <c r="P196" s="183"/>
      <c r="Q196" s="183"/>
      <c r="R196" s="183"/>
    </row>
    <row r="197" spans="3:18">
      <c r="C197" s="183"/>
      <c r="D197" s="183"/>
      <c r="E197" s="183"/>
      <c r="F197" s="183"/>
      <c r="G197" s="183"/>
      <c r="H197" s="183"/>
      <c r="I197" s="183"/>
      <c r="J197" s="183"/>
      <c r="K197" s="183"/>
      <c r="L197" s="183"/>
      <c r="M197" s="183"/>
      <c r="N197" s="183"/>
      <c r="O197" s="183"/>
      <c r="P197" s="183"/>
      <c r="Q197" s="183"/>
      <c r="R197" s="183"/>
    </row>
    <row r="198" spans="3:18">
      <c r="C198" s="183"/>
      <c r="D198" s="183"/>
      <c r="E198" s="183"/>
      <c r="F198" s="183"/>
      <c r="G198" s="183"/>
      <c r="H198" s="183"/>
      <c r="I198" s="183"/>
      <c r="J198" s="183"/>
      <c r="K198" s="183"/>
      <c r="L198" s="183"/>
      <c r="M198" s="183"/>
      <c r="N198" s="183"/>
      <c r="O198" s="183"/>
      <c r="P198" s="183"/>
      <c r="Q198" s="183"/>
      <c r="R198" s="183"/>
    </row>
    <row r="199" spans="3:18">
      <c r="C199" s="183"/>
      <c r="D199" s="183"/>
      <c r="E199" s="183"/>
      <c r="F199" s="183"/>
      <c r="G199" s="183"/>
      <c r="H199" s="183"/>
      <c r="I199" s="183"/>
      <c r="J199" s="183"/>
      <c r="K199" s="183"/>
      <c r="L199" s="183"/>
      <c r="M199" s="183"/>
      <c r="N199" s="183"/>
      <c r="O199" s="183"/>
      <c r="P199" s="183"/>
      <c r="Q199" s="183"/>
      <c r="R199" s="183"/>
    </row>
    <row r="200" spans="3:18">
      <c r="C200" s="183"/>
      <c r="D200" s="183"/>
      <c r="E200" s="183"/>
      <c r="F200" s="183"/>
      <c r="G200" s="183"/>
      <c r="H200" s="183"/>
      <c r="I200" s="183"/>
      <c r="J200" s="183"/>
      <c r="K200" s="183"/>
      <c r="L200" s="183"/>
      <c r="M200" s="183"/>
      <c r="N200" s="183"/>
      <c r="O200" s="183"/>
      <c r="P200" s="183"/>
      <c r="Q200" s="183"/>
      <c r="R200" s="183"/>
    </row>
    <row r="201" spans="3:18">
      <c r="C201" s="183"/>
      <c r="D201" s="183"/>
      <c r="E201" s="183"/>
      <c r="F201" s="183"/>
      <c r="G201" s="183"/>
      <c r="H201" s="183"/>
      <c r="I201" s="183"/>
      <c r="J201" s="183"/>
      <c r="K201" s="183"/>
      <c r="L201" s="183"/>
      <c r="M201" s="183"/>
      <c r="N201" s="183"/>
      <c r="O201" s="183"/>
      <c r="P201" s="183"/>
      <c r="Q201" s="183"/>
      <c r="R201" s="183"/>
    </row>
    <row r="202" spans="3:18">
      <c r="C202" s="183"/>
      <c r="D202" s="183"/>
      <c r="E202" s="183"/>
      <c r="F202" s="183"/>
      <c r="G202" s="183"/>
      <c r="H202" s="183"/>
      <c r="I202" s="183"/>
      <c r="J202" s="183"/>
      <c r="K202" s="183"/>
      <c r="L202" s="183"/>
      <c r="M202" s="183"/>
      <c r="N202" s="183"/>
      <c r="O202" s="183"/>
      <c r="P202" s="183"/>
      <c r="Q202" s="183"/>
      <c r="R202" s="183"/>
    </row>
    <row r="203" spans="3:18">
      <c r="C203" s="183"/>
      <c r="D203" s="183"/>
      <c r="E203" s="183"/>
      <c r="F203" s="183"/>
      <c r="G203" s="183"/>
      <c r="H203" s="183"/>
      <c r="I203" s="183"/>
      <c r="J203" s="183"/>
      <c r="K203" s="183"/>
      <c r="L203" s="183"/>
      <c r="M203" s="183"/>
      <c r="N203" s="183"/>
      <c r="O203" s="183"/>
      <c r="P203" s="183"/>
      <c r="Q203" s="183"/>
      <c r="R203" s="183"/>
    </row>
    <row r="204" spans="3:18">
      <c r="C204" s="183"/>
      <c r="D204" s="183"/>
      <c r="E204" s="183"/>
      <c r="F204" s="183"/>
      <c r="G204" s="183"/>
      <c r="H204" s="183"/>
      <c r="I204" s="183"/>
      <c r="J204" s="183"/>
      <c r="K204" s="183"/>
      <c r="L204" s="183"/>
      <c r="M204" s="183"/>
      <c r="N204" s="183"/>
      <c r="O204" s="183"/>
      <c r="P204" s="183"/>
      <c r="Q204" s="183"/>
      <c r="R204" s="183"/>
    </row>
    <row r="205" spans="3:18">
      <c r="C205" s="183"/>
      <c r="D205" s="183"/>
      <c r="E205" s="183"/>
      <c r="F205" s="183"/>
      <c r="G205" s="183"/>
      <c r="H205" s="183"/>
      <c r="I205" s="183"/>
      <c r="J205" s="183"/>
      <c r="K205" s="183"/>
      <c r="L205" s="183"/>
      <c r="M205" s="183"/>
      <c r="N205" s="183"/>
      <c r="O205" s="183"/>
      <c r="P205" s="183"/>
      <c r="Q205" s="183"/>
      <c r="R205" s="183"/>
    </row>
    <row r="206" spans="3:18">
      <c r="C206" s="183"/>
      <c r="D206" s="183"/>
      <c r="E206" s="183"/>
      <c r="F206" s="183"/>
      <c r="G206" s="183"/>
      <c r="H206" s="183"/>
      <c r="I206" s="183"/>
      <c r="J206" s="183"/>
      <c r="K206" s="183"/>
      <c r="L206" s="183"/>
      <c r="M206" s="183"/>
      <c r="N206" s="183"/>
      <c r="O206" s="183"/>
      <c r="P206" s="183"/>
      <c r="Q206" s="183"/>
      <c r="R206" s="183"/>
    </row>
    <row r="207" spans="3:18">
      <c r="C207" s="183"/>
      <c r="D207" s="183"/>
      <c r="E207" s="183"/>
      <c r="F207" s="183"/>
      <c r="G207" s="183"/>
      <c r="H207" s="183"/>
      <c r="I207" s="183"/>
      <c r="J207" s="183"/>
      <c r="K207" s="183"/>
      <c r="L207" s="183"/>
      <c r="M207" s="183"/>
      <c r="N207" s="183"/>
      <c r="O207" s="183"/>
      <c r="P207" s="183"/>
      <c r="Q207" s="183"/>
      <c r="R207" s="183"/>
    </row>
    <row r="208" spans="3:18">
      <c r="C208" s="183"/>
      <c r="D208" s="183"/>
      <c r="E208" s="183"/>
      <c r="F208" s="183"/>
      <c r="G208" s="183"/>
      <c r="H208" s="183"/>
      <c r="I208" s="183"/>
      <c r="J208" s="183"/>
      <c r="K208" s="183"/>
      <c r="L208" s="183"/>
      <c r="M208" s="183"/>
      <c r="N208" s="183"/>
      <c r="O208" s="183"/>
      <c r="P208" s="183"/>
      <c r="Q208" s="183"/>
      <c r="R208" s="183"/>
    </row>
    <row r="209" spans="3:18">
      <c r="C209" s="183"/>
      <c r="D209" s="183"/>
      <c r="E209" s="183"/>
      <c r="F209" s="183"/>
      <c r="G209" s="183"/>
      <c r="H209" s="183"/>
      <c r="I209" s="183"/>
      <c r="J209" s="183"/>
      <c r="K209" s="183"/>
      <c r="L209" s="183"/>
      <c r="M209" s="183"/>
      <c r="N209" s="183"/>
      <c r="O209" s="183"/>
      <c r="P209" s="183"/>
      <c r="Q209" s="183"/>
      <c r="R209" s="183"/>
    </row>
    <row r="210" spans="3:18">
      <c r="C210" s="183"/>
      <c r="D210" s="183"/>
      <c r="E210" s="183"/>
      <c r="F210" s="183"/>
      <c r="G210" s="183"/>
      <c r="H210" s="183"/>
      <c r="I210" s="183"/>
      <c r="J210" s="183"/>
      <c r="K210" s="183"/>
      <c r="L210" s="183"/>
      <c r="M210" s="183"/>
      <c r="N210" s="183"/>
      <c r="O210" s="183"/>
      <c r="P210" s="183"/>
      <c r="Q210" s="183"/>
      <c r="R210" s="183"/>
    </row>
    <row r="211" spans="3:18">
      <c r="C211" s="183"/>
      <c r="D211" s="183"/>
      <c r="E211" s="183"/>
      <c r="F211" s="183"/>
      <c r="G211" s="183"/>
      <c r="H211" s="183"/>
      <c r="I211" s="183"/>
      <c r="J211" s="183"/>
      <c r="K211" s="183"/>
      <c r="L211" s="183"/>
      <c r="M211" s="183"/>
      <c r="N211" s="183"/>
      <c r="O211" s="183"/>
      <c r="P211" s="183"/>
      <c r="Q211" s="183"/>
      <c r="R211" s="183"/>
    </row>
    <row r="212" spans="3:18">
      <c r="C212" s="183"/>
      <c r="D212" s="183"/>
      <c r="E212" s="183"/>
      <c r="F212" s="183"/>
      <c r="G212" s="183"/>
      <c r="H212" s="183"/>
      <c r="I212" s="183"/>
      <c r="J212" s="183"/>
      <c r="K212" s="183"/>
      <c r="L212" s="183"/>
      <c r="M212" s="183"/>
      <c r="N212" s="183"/>
      <c r="O212" s="183"/>
      <c r="P212" s="183"/>
      <c r="Q212" s="183"/>
      <c r="R212" s="183"/>
    </row>
    <row r="213" spans="3:18">
      <c r="C213" s="183"/>
      <c r="D213" s="183"/>
      <c r="E213" s="183"/>
      <c r="F213" s="183"/>
      <c r="G213" s="183"/>
      <c r="H213" s="183"/>
      <c r="I213" s="183"/>
      <c r="J213" s="183"/>
      <c r="K213" s="183"/>
      <c r="L213" s="183"/>
      <c r="M213" s="183"/>
      <c r="N213" s="183"/>
      <c r="O213" s="183"/>
      <c r="P213" s="183"/>
      <c r="Q213" s="183"/>
      <c r="R213" s="183"/>
    </row>
    <row r="214" spans="3:18">
      <c r="C214" s="183"/>
      <c r="D214" s="183"/>
      <c r="E214" s="183"/>
      <c r="F214" s="183"/>
      <c r="G214" s="183"/>
      <c r="H214" s="183"/>
      <c r="I214" s="183"/>
      <c r="J214" s="183"/>
      <c r="K214" s="183"/>
      <c r="L214" s="183"/>
      <c r="M214" s="183"/>
      <c r="N214" s="183"/>
      <c r="O214" s="183"/>
      <c r="P214" s="183"/>
      <c r="Q214" s="183"/>
      <c r="R214" s="183"/>
    </row>
    <row r="215" spans="3:18">
      <c r="C215" s="183"/>
      <c r="D215" s="183"/>
      <c r="E215" s="183"/>
      <c r="F215" s="183"/>
      <c r="G215" s="183"/>
      <c r="H215" s="183"/>
      <c r="I215" s="183"/>
      <c r="J215" s="183"/>
      <c r="K215" s="183"/>
      <c r="L215" s="183"/>
      <c r="M215" s="183"/>
      <c r="N215" s="183"/>
      <c r="O215" s="183"/>
      <c r="P215" s="183"/>
      <c r="Q215" s="183"/>
      <c r="R215" s="183"/>
    </row>
  </sheetData>
  <mergeCells count="3">
    <mergeCell ref="C5:N5"/>
    <mergeCell ref="C54:N54"/>
    <mergeCell ref="C107:N107"/>
  </mergeCells>
  <printOptions horizontalCentered="1"/>
  <pageMargins left="0.5" right="0.5" top="1.42" bottom="0.75" header="0.9" footer="0.3"/>
  <pageSetup scale="10" fitToHeight="3" orientation="landscape" r:id="rId1"/>
  <headerFooter scaleWithDoc="0" alignWithMargins="0">
    <oddHeader>&amp;C&amp;"Times New Roman,Bold"&amp;10KENTUCKY UTILITIES COMPANY
Adjustment to Reflect FAC Billings for a Full Year of the Roll-in
Twelve Months Ended March 31, 2012</oddHeader>
    <oddFooter>&amp;R&amp;"Times New Roman,Bold"&amp;11Conroy Exhibit P2
Page &amp;P of &amp;N</oddFooter>
  </headerFooter>
  <rowBreaks count="2" manualBreakCount="2">
    <brk id="49" max="14" man="1"/>
    <brk id="104"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308"/>
  <sheetViews>
    <sheetView workbookViewId="0"/>
  </sheetViews>
  <sheetFormatPr defaultRowHeight="12"/>
  <cols>
    <col min="1" max="1" width="36.83203125" bestFit="1" customWidth="1"/>
    <col min="2" max="2" width="26.33203125" customWidth="1"/>
    <col min="3" max="3" width="22" customWidth="1"/>
    <col min="4" max="4" width="15.1640625" customWidth="1"/>
    <col min="5" max="5" width="14.1640625" customWidth="1"/>
    <col min="6" max="6" width="18.5" bestFit="1" customWidth="1"/>
    <col min="7" max="7" width="12.83203125" customWidth="1"/>
    <col min="8" max="8" width="16.33203125" customWidth="1"/>
    <col min="9" max="9" width="17.5" customWidth="1"/>
    <col min="10" max="10" width="14.33203125" customWidth="1"/>
    <col min="11" max="11" width="17.83203125" bestFit="1" customWidth="1"/>
    <col min="12" max="12" width="15.1640625" bestFit="1" customWidth="1"/>
    <col min="14" max="14" width="13.5" bestFit="1" customWidth="1"/>
    <col min="15" max="15" width="11.5" bestFit="1" customWidth="1"/>
    <col min="16" max="16" width="15.1640625" bestFit="1" customWidth="1"/>
    <col min="17" max="17" width="16.1640625" bestFit="1" customWidth="1"/>
    <col min="18" max="18" width="10.5" bestFit="1" customWidth="1"/>
    <col min="19" max="19" width="11.5" bestFit="1" customWidth="1"/>
    <col min="20" max="20" width="13.5" bestFit="1" customWidth="1"/>
    <col min="21" max="21" width="10.5" bestFit="1" customWidth="1"/>
    <col min="22" max="22" width="15.33203125" customWidth="1"/>
    <col min="23" max="23" width="14.5" customWidth="1"/>
    <col min="24" max="24" width="13.5" bestFit="1" customWidth="1"/>
    <col min="25" max="25" width="14.1640625" customWidth="1"/>
    <col min="26" max="26" width="18" customWidth="1"/>
    <col min="27" max="27" width="16.5" bestFit="1" customWidth="1"/>
  </cols>
  <sheetData>
    <row r="1" spans="1:27">
      <c r="A1" s="28" t="s">
        <v>830</v>
      </c>
      <c r="B1" s="28"/>
      <c r="C1" s="29">
        <v>-1</v>
      </c>
      <c r="D1" s="29">
        <f t="shared" ref="D1:K1" si="0">C1-1</f>
        <v>-2</v>
      </c>
      <c r="E1" s="29">
        <f t="shared" si="0"/>
        <v>-3</v>
      </c>
      <c r="F1" s="29">
        <f t="shared" si="0"/>
        <v>-4</v>
      </c>
      <c r="G1" s="29">
        <f t="shared" si="0"/>
        <v>-5</v>
      </c>
      <c r="H1" s="29">
        <f t="shared" si="0"/>
        <v>-6</v>
      </c>
      <c r="I1" s="29">
        <f t="shared" si="0"/>
        <v>-7</v>
      </c>
      <c r="J1" s="29">
        <f t="shared" si="0"/>
        <v>-8</v>
      </c>
      <c r="K1" s="29">
        <f t="shared" si="0"/>
        <v>-9</v>
      </c>
    </row>
    <row r="2" spans="1:27" ht="60" customHeight="1">
      <c r="A2" s="12" t="s">
        <v>831</v>
      </c>
      <c r="B2" s="42" t="s">
        <v>1349</v>
      </c>
      <c r="C2" s="2" t="str">
        <f>"Average Number of Customers, 13 Months Ended "&amp;TEXT(MiscData!$F$1,"mmmm dd, yyyy")</f>
        <v>Average Number of Customers, 13 Months Ended February 28, 2015</v>
      </c>
      <c r="D2" s="2" t="str">
        <f>"Number of Customers Served at "&amp;TEXT(MiscData!$F$1,"mmmm dd, yyyy")</f>
        <v>Number of Customers Served at February 28, 2015</v>
      </c>
      <c r="E2" s="2" t="s">
        <v>93</v>
      </c>
      <c r="F2" s="27" t="s">
        <v>94</v>
      </c>
      <c r="G2" s="2" t="s">
        <v>95</v>
      </c>
      <c r="H2" s="2" t="s">
        <v>96</v>
      </c>
      <c r="I2" s="65" t="s">
        <v>734</v>
      </c>
      <c r="J2" s="2" t="s">
        <v>97</v>
      </c>
      <c r="K2" s="2" t="s">
        <v>98</v>
      </c>
      <c r="N2" s="65" t="s">
        <v>784</v>
      </c>
      <c r="O2" s="65" t="s">
        <v>785</v>
      </c>
      <c r="P2" s="2" t="s">
        <v>735</v>
      </c>
      <c r="Q2" s="65" t="s">
        <v>736</v>
      </c>
      <c r="R2" s="65" t="s">
        <v>737</v>
      </c>
      <c r="S2" s="65" t="s">
        <v>738</v>
      </c>
      <c r="T2" s="2" t="s">
        <v>739</v>
      </c>
      <c r="V2" s="2" t="s">
        <v>758</v>
      </c>
      <c r="W2" s="65" t="s">
        <v>759</v>
      </c>
      <c r="X2" s="65" t="s">
        <v>786</v>
      </c>
      <c r="Y2" s="65" t="s">
        <v>787</v>
      </c>
      <c r="Z2" s="2" t="s">
        <v>788</v>
      </c>
      <c r="AA2" s="65" t="s">
        <v>789</v>
      </c>
    </row>
    <row r="3" spans="1:27">
      <c r="B3" t="str">
        <f>TEXT(MiscData!$F$1,"mmm yyyy")</f>
        <v>Feb 2015</v>
      </c>
      <c r="C3" s="2"/>
      <c r="D3" s="2"/>
      <c r="E3" s="30" t="str">
        <f>TEXT($D$1*-1,"(0)")&amp;" - "&amp;TEXT($C$1*-1,"(0)")</f>
        <v>(2) - (1)</v>
      </c>
      <c r="G3" s="30" t="str">
        <f>TEXT($F$1*-1,"(0)")&amp;" / "&amp;TEXT($C$1*-1,"(0)")</f>
        <v>(4) / (1)</v>
      </c>
      <c r="H3" s="30" t="str">
        <f>TEXT($E$1*-1,"(0)")&amp;" * "&amp;TEXT($G$1*-1,"(0)")</f>
        <v>(3) * (5)</v>
      </c>
      <c r="J3" s="30" t="str">
        <f>TEXT($I$1*-1,"(0)")&amp;" / "&amp;TEXT($F$1*-1,"(0)")</f>
        <v>(7) / (4)</v>
      </c>
      <c r="K3" s="30" t="str">
        <f>TEXT($H$1*-1,"(0)")&amp;" * "&amp;TEXT($J$1*-1,"(0)")</f>
        <v>(6) * (8)</v>
      </c>
      <c r="T3" s="12"/>
    </row>
    <row r="4" spans="1:27">
      <c r="C4" s="2"/>
      <c r="D4" s="2"/>
      <c r="E4" s="30"/>
      <c r="G4" s="30"/>
      <c r="H4" s="30"/>
      <c r="J4" s="30"/>
      <c r="K4" s="30"/>
    </row>
    <row r="5" spans="1:27">
      <c r="A5" s="17" t="s">
        <v>15</v>
      </c>
      <c r="B5" s="165"/>
      <c r="C5" s="165"/>
      <c r="D5" s="165"/>
      <c r="E5" s="31"/>
      <c r="F5" s="165"/>
      <c r="G5" s="31"/>
      <c r="H5" s="31"/>
      <c r="I5" s="166"/>
      <c r="L5" s="3"/>
      <c r="N5" s="165" t="e">
        <f>ROUND(SUMIF(_ECR_RateClass,'Yr End Cust Adj'!$A5,_ECRResults_Revenue),0)</f>
        <v>#REF!</v>
      </c>
      <c r="O5" s="165">
        <f>SUMIF(_12MonResults_RateClass,'Yr End Cust Adj'!$A5,_12MonResults_Revenue_FAC)</f>
        <v>12713905.880000005</v>
      </c>
      <c r="P5" s="165" t="e">
        <f>-SUMIF(_ECR_RateClass,'Yr End Cust Adj'!$A5,_ECR_BaseRevenue)</f>
        <v>#REF!</v>
      </c>
      <c r="Q5" s="436" t="e">
        <f>SUMIF(_13Month_RateClass,'Yr End Cust Adj'!$A5,_13thMonth_Revenue_Current)</f>
        <v>#REF!</v>
      </c>
      <c r="R5" s="436" t="e">
        <f>SUMIF(_13Month_RateClass,'Yr End Cust Adj'!$A5,_13thMonth_FAC_Current)</f>
        <v>#REF!</v>
      </c>
      <c r="S5" s="436" t="e">
        <f>-SUMIF(_13Month_RateClass,'Yr End Cust Adj'!$A5,_13Month_Base_ECR_Total)</f>
        <v>#REF!</v>
      </c>
      <c r="T5" s="167" t="e">
        <f>SUM(N5:S5)</f>
        <v>#REF!</v>
      </c>
      <c r="V5">
        <f>-'Rate Switch'!C108</f>
        <v>-381</v>
      </c>
      <c r="W5">
        <f>'Rate Switch'!$C$33+'Rate Switch'!$C$40</f>
        <v>1217</v>
      </c>
      <c r="X5">
        <f>-'Rate Switch'!$D$108</f>
        <v>-491600</v>
      </c>
      <c r="Y5" s="19">
        <f>'Rate Switch'!$D$33+'Rate Switch'!$D$40</f>
        <v>461265</v>
      </c>
      <c r="Z5" s="8">
        <f>-'Rate Switch'!$O$108</f>
        <v>-40323.089999999997</v>
      </c>
      <c r="AA5" s="8">
        <f>'Rate Switch'!$W$33+'Rate Switch'!$W$40</f>
        <v>47205.320000000007</v>
      </c>
    </row>
    <row r="6" spans="1:27">
      <c r="A6" s="17" t="s">
        <v>17</v>
      </c>
      <c r="B6" s="165"/>
      <c r="C6" s="165"/>
      <c r="D6" s="165"/>
      <c r="E6" s="31"/>
      <c r="F6" s="165"/>
      <c r="G6" s="31"/>
      <c r="H6" s="31"/>
      <c r="I6" s="166"/>
      <c r="N6" s="165" t="e">
        <f>ROUND(SUMIF(_ECR_RateClass,'Yr End Cust Adj'!$A6,_ECRResults_Revenue),0)</f>
        <v>#REF!</v>
      </c>
      <c r="O6" s="165" t="e">
        <f>SUMIF(_FACResults_RateClass,'Yr End Cust Adj'!$A6,_FACResults_FAC)</f>
        <v>#REF!</v>
      </c>
      <c r="P6" s="165" t="e">
        <f>-SUMIF(_ECR_RateClass,'Yr End Cust Adj'!$A6,_ECR_BaseRevenue)</f>
        <v>#REF!</v>
      </c>
      <c r="Q6" s="436" t="e">
        <f>SUMIF(_13Month_RateClass,'Yr End Cust Adj'!$A6,_13thMonth_Revenue_Current)</f>
        <v>#REF!</v>
      </c>
      <c r="R6" s="436" t="e">
        <f>SUMIF(_13Month_RateClass,'Yr End Cust Adj'!$A6,_13thMonth_FAC_Current)</f>
        <v>#REF!</v>
      </c>
      <c r="S6" s="436" t="e">
        <f>-SUMIF(_13Month_RateClass,'Yr End Cust Adj'!$A6,_13Month_Base_ECR_Total)</f>
        <v>#REF!</v>
      </c>
      <c r="T6" s="167" t="e">
        <f>SUM(N6:S6)</f>
        <v>#REF!</v>
      </c>
      <c r="V6">
        <f>-'Rate Switch'!$C$112</f>
        <v>0</v>
      </c>
      <c r="X6">
        <f>-'Rate Switch'!$D$112</f>
        <v>0</v>
      </c>
      <c r="Y6" s="19"/>
      <c r="Z6" s="8">
        <f>-'Rate Switch'!$O$112</f>
        <v>0</v>
      </c>
      <c r="AA6" s="8"/>
    </row>
    <row r="7" spans="1:27" ht="14.25">
      <c r="B7" s="31"/>
      <c r="C7" s="32"/>
      <c r="D7" s="32"/>
      <c r="E7" s="32"/>
      <c r="F7" s="46"/>
      <c r="G7" s="35"/>
      <c r="H7" s="31"/>
      <c r="I7" s="37"/>
      <c r="N7" s="31"/>
      <c r="T7" s="14"/>
    </row>
    <row r="8" spans="1:27">
      <c r="A8" s="12" t="s">
        <v>1388</v>
      </c>
      <c r="B8" s="779"/>
      <c r="C8" s="165"/>
      <c r="D8" s="31"/>
      <c r="E8" s="31"/>
      <c r="F8" s="780"/>
      <c r="G8" s="35"/>
      <c r="H8" s="31"/>
      <c r="I8" s="36"/>
      <c r="J8" s="39"/>
      <c r="K8" s="38"/>
      <c r="T8" s="14"/>
    </row>
    <row r="9" spans="1:27">
      <c r="F9" s="19"/>
      <c r="T9" s="14"/>
    </row>
    <row r="10" spans="1:27">
      <c r="A10" s="17" t="s">
        <v>222</v>
      </c>
      <c r="B10" s="165"/>
      <c r="C10" s="165"/>
      <c r="D10" s="165"/>
      <c r="E10" s="31"/>
      <c r="F10" s="165"/>
      <c r="G10" s="31"/>
      <c r="H10" s="31"/>
      <c r="I10" s="166"/>
      <c r="N10" s="165" t="e">
        <f>ROUND(SUMIF(_ECR_RateClass,'Yr End Cust Adj'!$A10,_ECRResults_Revenue),0)</f>
        <v>#REF!</v>
      </c>
      <c r="O10" s="165" t="e">
        <f>SUMIF(_FACResults_RateClass,'Yr End Cust Adj'!$A10,_FACResults_FAC)</f>
        <v>#REF!</v>
      </c>
      <c r="P10" s="165" t="e">
        <f>-SUMIF(_ECR_RateClass,'Yr End Cust Adj'!$A10,_ECR_BaseRevenue)</f>
        <v>#REF!</v>
      </c>
      <c r="Q10" s="436" t="e">
        <f>SUMIF(_13Month_RateClass,'Yr End Cust Adj'!$A10,_13thMonth_Revenue_Current)</f>
        <v>#REF!</v>
      </c>
      <c r="R10" s="436" t="e">
        <f>SUMIF(_13Month_RateClass,'Yr End Cust Adj'!$A10,_13thMonth_FAC_Current)</f>
        <v>#REF!</v>
      </c>
      <c r="S10" s="436" t="e">
        <f>-SUMIF(_13Month_RateClass,'Yr End Cust Adj'!$A10,_13Month_Base_ECR_Total)</f>
        <v>#REF!</v>
      </c>
      <c r="T10" s="167" t="e">
        <f>SUM(N10:S10)</f>
        <v>#REF!</v>
      </c>
      <c r="Y10" s="19"/>
      <c r="Z10" s="8"/>
      <c r="AA10" s="8"/>
    </row>
    <row r="11" spans="1:27">
      <c r="A11" t="s">
        <v>490</v>
      </c>
      <c r="B11" s="31"/>
      <c r="C11" s="31"/>
      <c r="D11" s="31"/>
      <c r="E11" s="31"/>
      <c r="F11" s="19"/>
      <c r="G11" s="35"/>
      <c r="H11" s="31"/>
      <c r="I11" s="36"/>
      <c r="J11" s="39"/>
      <c r="K11" s="38"/>
      <c r="N11" s="31"/>
      <c r="T11" s="14"/>
    </row>
    <row r="12" spans="1:27">
      <c r="C12" s="31"/>
      <c r="D12" s="31"/>
      <c r="E12" s="31"/>
      <c r="F12" s="19"/>
      <c r="G12" s="35"/>
      <c r="H12" s="31"/>
      <c r="I12" s="36"/>
      <c r="J12" s="39"/>
      <c r="K12" s="38"/>
      <c r="T12" s="14"/>
    </row>
    <row r="13" spans="1:27">
      <c r="A13" s="17" t="s">
        <v>224</v>
      </c>
      <c r="B13" s="165"/>
      <c r="C13" s="165"/>
      <c r="D13" s="165"/>
      <c r="E13" s="213"/>
      <c r="F13" s="165"/>
      <c r="G13" s="31"/>
      <c r="H13" s="31"/>
      <c r="I13" s="166"/>
      <c r="N13" s="165" t="e">
        <f>ROUND(SUMIF(_ECR_RateClass,'Yr End Cust Adj'!$A13,_ECRResults_Revenue),0)</f>
        <v>#REF!</v>
      </c>
      <c r="O13" s="165" t="e">
        <f>SUMIF(_FACResults_RateClass,'Yr End Cust Adj'!$A13,_FACResults_FAC)</f>
        <v>#REF!</v>
      </c>
      <c r="P13" s="165" t="e">
        <f>-SUMIF(_ECR_RateClass,'Yr End Cust Adj'!$A13,_ECR_BaseRevenue)</f>
        <v>#REF!</v>
      </c>
      <c r="Q13" s="436" t="e">
        <f>SUMIF(_13Month_RateClass,'Yr End Cust Adj'!$A13,_13thMonth_Revenue_Current)</f>
        <v>#REF!</v>
      </c>
      <c r="R13" s="436" t="e">
        <f>SUMIF(_13Month_RateClass,'Yr End Cust Adj'!$A13,_13thMonth_FAC_Current)</f>
        <v>#REF!</v>
      </c>
      <c r="S13" s="436" t="e">
        <f>-SUMIF(_13Month_RateClass,'Yr End Cust Adj'!$A13,_13Month_Base_ECR_Total)</f>
        <v>#REF!</v>
      </c>
      <c r="T13" s="167" t="e">
        <f>SUM(N13:S13)</f>
        <v>#REF!</v>
      </c>
      <c r="V13">
        <f>-'Rate Switch'!$C$113</f>
        <v>-15007</v>
      </c>
      <c r="W13">
        <f>'Rate Switch'!$C$15</f>
        <v>2408</v>
      </c>
      <c r="X13">
        <f>-'Rate Switch'!$D$113</f>
        <v>-55669955</v>
      </c>
      <c r="Y13" s="19">
        <f>'Rate Switch'!$D$15</f>
        <v>6761883</v>
      </c>
      <c r="Z13" s="8">
        <f>-'Rate Switch'!$O$113</f>
        <v>-5171609.5600000005</v>
      </c>
      <c r="AA13" s="8">
        <f>'Rate Switch'!$W$15</f>
        <v>638620.55000000005</v>
      </c>
    </row>
    <row r="14" spans="1:27">
      <c r="A14" s="17" t="s">
        <v>18</v>
      </c>
      <c r="B14" s="165"/>
      <c r="C14" s="165"/>
      <c r="D14" s="165"/>
      <c r="E14" s="213"/>
      <c r="F14" s="165"/>
      <c r="G14" s="31"/>
      <c r="H14" s="31"/>
      <c r="I14" s="166"/>
      <c r="N14" s="165" t="e">
        <f>ROUND(SUMIF(_ECR_RateClass,'Yr End Cust Adj'!$A14,_ECRResults_Revenue),0)</f>
        <v>#REF!</v>
      </c>
      <c r="O14" s="165" t="e">
        <f>SUMIF(_FACResults_RateClass,'Yr End Cust Adj'!$A14,_FACResults_FAC)</f>
        <v>#REF!</v>
      </c>
      <c r="P14" s="165" t="e">
        <f>-SUMIF(_ECR_RateClass,'Yr End Cust Adj'!$A14,_ECR_BaseRevenue)</f>
        <v>#REF!</v>
      </c>
      <c r="Q14" s="436" t="e">
        <f>SUMIF(_13Month_RateClass,'Yr End Cust Adj'!$A14,_13thMonth_Revenue_Current)</f>
        <v>#REF!</v>
      </c>
      <c r="R14" s="436" t="e">
        <f>SUMIF(_13Month_RateClass,'Yr End Cust Adj'!$A14,_13thMonth_FAC_Current)</f>
        <v>#REF!</v>
      </c>
      <c r="S14" s="436" t="e">
        <f>-SUMIF(_13Month_RateClass,'Yr End Cust Adj'!$A14,_13Month_Base_ECR_Total)</f>
        <v>#REF!</v>
      </c>
      <c r="T14" s="167" t="e">
        <f>SUM(N14:S14)</f>
        <v>#REF!</v>
      </c>
      <c r="V14">
        <f>-'Rate Switch'!C115</f>
        <v>-2</v>
      </c>
      <c r="W14">
        <f>'Rate Switch'!$C$25</f>
        <v>15194</v>
      </c>
      <c r="X14">
        <f>-'Rate Switch'!D115</f>
        <v>0</v>
      </c>
      <c r="Y14" s="19">
        <f>'Rate Switch'!$D$25</f>
        <v>67293909</v>
      </c>
      <c r="Z14" s="8">
        <f>-'Rate Switch'!O115</f>
        <v>-40</v>
      </c>
      <c r="AA14" s="8">
        <f>'Rate Switch'!$W$25</f>
        <v>6416803.3700000001</v>
      </c>
    </row>
    <row r="15" spans="1:27">
      <c r="B15" s="31"/>
      <c r="C15" s="31"/>
      <c r="D15" s="31"/>
      <c r="E15" s="31"/>
      <c r="F15" s="19"/>
      <c r="G15" s="31"/>
      <c r="H15" s="31"/>
      <c r="I15" s="36"/>
      <c r="N15" s="31"/>
      <c r="T15" s="14"/>
    </row>
    <row r="16" spans="1:27">
      <c r="A16" s="12" t="s">
        <v>112</v>
      </c>
      <c r="C16" s="31"/>
      <c r="D16" s="31"/>
      <c r="E16" s="31"/>
      <c r="F16" s="19"/>
      <c r="G16" s="35"/>
      <c r="H16" s="31"/>
      <c r="I16" s="36"/>
      <c r="J16" s="39"/>
      <c r="K16" s="38"/>
      <c r="T16" s="14"/>
    </row>
    <row r="17" spans="1:27">
      <c r="C17" s="31"/>
      <c r="D17" s="31"/>
      <c r="E17" s="31"/>
      <c r="F17" s="19"/>
      <c r="G17" s="35"/>
      <c r="H17" s="31"/>
      <c r="I17" s="36"/>
      <c r="J17" s="39"/>
      <c r="K17" s="38"/>
      <c r="T17" s="14"/>
    </row>
    <row r="18" spans="1:27">
      <c r="A18" s="17" t="s">
        <v>219</v>
      </c>
      <c r="B18" s="165"/>
      <c r="C18" s="165"/>
      <c r="D18" s="165"/>
      <c r="E18" s="213"/>
      <c r="F18" s="165"/>
      <c r="G18" s="31"/>
      <c r="H18" s="31"/>
      <c r="I18" s="166"/>
      <c r="N18" s="165" t="e">
        <f>ROUND(SUMIF(_ECR_RateClass,'Yr End Cust Adj'!$A18,_ECRResults_Revenue),0)</f>
        <v>#REF!</v>
      </c>
      <c r="O18" s="165" t="e">
        <f>SUMIF(_FACResults_RateClass,'Yr End Cust Adj'!$A18,_FACResults_FAC)</f>
        <v>#REF!</v>
      </c>
      <c r="P18" s="165" t="e">
        <f>-SUMIF(_ECR_RateClass,'Yr End Cust Adj'!$A18,_ECR_BaseRevenue)</f>
        <v>#REF!</v>
      </c>
      <c r="Q18" s="436" t="e">
        <f>SUMIF(_13Month_RateClass,'Yr End Cust Adj'!$A18,_13thMonth_Revenue_Current)</f>
        <v>#REF!</v>
      </c>
      <c r="R18" s="436" t="e">
        <f>SUMIF(_13Month_RateClass,'Yr End Cust Adj'!$A18,_13thMonth_FAC_Current)</f>
        <v>#REF!</v>
      </c>
      <c r="S18" s="436" t="e">
        <f>-SUMIF(_13Month_RateClass,'Yr End Cust Adj'!$A18,_13Month_Base_ECR_Total)</f>
        <v>#REF!</v>
      </c>
      <c r="T18" s="167" t="e">
        <f>SUM(N18:S18)</f>
        <v>#REF!</v>
      </c>
      <c r="V18">
        <f>-'Rate Switch'!$C$116</f>
        <v>-6</v>
      </c>
      <c r="W18">
        <f>'Rate Switch'!$C$93</f>
        <v>12</v>
      </c>
      <c r="X18">
        <f>-'Rate Switch'!$D$116</f>
        <v>-161960</v>
      </c>
      <c r="Y18" s="19">
        <f>'Rate Switch'!$D$93</f>
        <v>3999</v>
      </c>
      <c r="Z18" s="8">
        <f>-'Rate Switch'!$O$116</f>
        <v>-11805.39</v>
      </c>
      <c r="AA18" s="8">
        <f>'Rate Switch'!$W$93</f>
        <v>523.28000000000009</v>
      </c>
    </row>
    <row r="19" spans="1:27">
      <c r="A19" s="17" t="s">
        <v>228</v>
      </c>
      <c r="B19" s="165"/>
      <c r="C19" s="165"/>
      <c r="D19" s="165"/>
      <c r="E19" s="213"/>
      <c r="F19" s="165"/>
      <c r="G19" s="31"/>
      <c r="H19" s="31"/>
      <c r="I19" s="166"/>
      <c r="N19" s="165" t="e">
        <f>ROUND(SUMIF(_ECR_RateClass,'Yr End Cust Adj'!$A19,_ECRResults_Revenue),0)</f>
        <v>#REF!</v>
      </c>
      <c r="O19" s="165" t="e">
        <f>SUMIF(_FACResults_RateClass,'Yr End Cust Adj'!$A19,_FACResults_FAC)</f>
        <v>#REF!</v>
      </c>
      <c r="P19" s="165" t="e">
        <f>-SUMIF(_ECR_RateClass,'Yr End Cust Adj'!$A19,_ECR_BaseRevenue)</f>
        <v>#REF!</v>
      </c>
      <c r="Q19" s="436" t="e">
        <f>SUMIF(_13Month_RateClass,'Yr End Cust Adj'!$A19,_13thMonth_Revenue_Current)</f>
        <v>#REF!</v>
      </c>
      <c r="R19" s="436" t="e">
        <f>SUMIF(_13Month_RateClass,'Yr End Cust Adj'!$A19,_13thMonth_FAC_Current)</f>
        <v>#REF!</v>
      </c>
      <c r="S19" s="436" t="e">
        <f>-SUMIF(_13Month_RateClass,'Yr End Cust Adj'!$A19,_13Month_Base_ECR_Total)</f>
        <v>#REF!</v>
      </c>
      <c r="T19" s="167" t="e">
        <f>SUM(N19:S19)</f>
        <v>#REF!</v>
      </c>
      <c r="V19">
        <f>-'Rate Switch'!C117</f>
        <v>-31</v>
      </c>
      <c r="W19">
        <f>'Rate Switch'!$C$96</f>
        <v>2</v>
      </c>
      <c r="X19">
        <f>-'Rate Switch'!D117</f>
        <v>-2694079</v>
      </c>
      <c r="Y19" s="19">
        <f>'Rate Switch'!$D$96</f>
        <v>161200</v>
      </c>
      <c r="Z19" s="8">
        <f>-'Rate Switch'!$O$117</f>
        <v>-191008.5</v>
      </c>
      <c r="AA19" s="8">
        <f>'Rate Switch'!$W$96</f>
        <v>11703.25</v>
      </c>
    </row>
    <row r="20" spans="1:27">
      <c r="B20" s="31"/>
      <c r="C20" s="31"/>
      <c r="D20" s="31"/>
      <c r="E20" s="31"/>
      <c r="F20" s="19"/>
      <c r="G20" s="31"/>
      <c r="H20" s="31"/>
      <c r="I20" s="36"/>
      <c r="N20" s="31"/>
      <c r="T20" s="14"/>
    </row>
    <row r="21" spans="1:27">
      <c r="A21" t="s">
        <v>491</v>
      </c>
      <c r="C21" s="31"/>
      <c r="D21" s="31"/>
      <c r="E21" s="31"/>
      <c r="F21" s="19"/>
      <c r="G21" s="35"/>
      <c r="H21" s="31"/>
      <c r="I21" s="36"/>
      <c r="J21" s="39"/>
      <c r="K21" s="38"/>
      <c r="T21" s="14"/>
    </row>
    <row r="22" spans="1:27">
      <c r="C22" s="31"/>
      <c r="D22" s="31"/>
      <c r="E22" s="31"/>
      <c r="F22" s="19"/>
      <c r="G22" s="35"/>
      <c r="H22" s="31"/>
      <c r="I22" s="36"/>
      <c r="J22" s="39"/>
      <c r="K22" s="38"/>
      <c r="T22" s="14"/>
    </row>
    <row r="23" spans="1:27">
      <c r="A23" t="s">
        <v>85</v>
      </c>
      <c r="C23" s="31"/>
      <c r="D23" s="31"/>
      <c r="E23" s="31"/>
      <c r="F23" s="19"/>
      <c r="G23" s="31"/>
      <c r="H23" s="31"/>
      <c r="I23" s="36"/>
      <c r="T23" s="14"/>
    </row>
    <row r="24" spans="1:27">
      <c r="A24" s="17" t="s">
        <v>26</v>
      </c>
      <c r="B24" s="165"/>
      <c r="C24" s="165"/>
      <c r="D24" s="165"/>
      <c r="E24" s="213"/>
      <c r="F24" s="165"/>
      <c r="G24" s="32"/>
      <c r="H24" s="32"/>
      <c r="I24" s="166"/>
      <c r="J24" s="60"/>
      <c r="K24" s="60"/>
      <c r="N24" s="165" t="e">
        <f>ROUND(SUMIF(_ECR_RateClass,'Yr End Cust Adj'!$A24,_ECRResults_Revenue),0)</f>
        <v>#REF!</v>
      </c>
      <c r="O24" s="165" t="e">
        <f>SUMIF(_FACResults_RateClass,'Yr End Cust Adj'!$A24,_FACResults_FAC)</f>
        <v>#REF!</v>
      </c>
      <c r="P24" s="165" t="e">
        <f>-SUMIF(_ECR_RateClass,'Yr End Cust Adj'!$A24,_ECR_BaseRevenue)</f>
        <v>#REF!</v>
      </c>
      <c r="Q24" s="436" t="e">
        <f>SUMIF(_13Month_RateClass,'Yr End Cust Adj'!$A24,_13thMonth_Revenue_Current)</f>
        <v>#REF!</v>
      </c>
      <c r="R24" s="436" t="e">
        <f>SUMIF(_13Month_RateClass,'Yr End Cust Adj'!$A24,_13thMonth_FAC_Current)</f>
        <v>#REF!</v>
      </c>
      <c r="S24" s="436" t="e">
        <f>-SUMIF(_13Month_RateClass,'Yr End Cust Adj'!$A24,_13Month_Base_ECR_Total)</f>
        <v>#REF!</v>
      </c>
      <c r="T24" s="167" t="e">
        <f>SUM(N24:S24)</f>
        <v>#REF!</v>
      </c>
      <c r="V24">
        <f>-'Rate Switch'!$C$121</f>
        <v>-28</v>
      </c>
      <c r="W24">
        <f>'Rate Switch'!$C$70</f>
        <v>12</v>
      </c>
      <c r="X24">
        <f>-'Rate Switch'!$D$121</f>
        <v>-2924228</v>
      </c>
      <c r="Y24" s="19">
        <f>'Rate Switch'!$D$70</f>
        <v>621600</v>
      </c>
      <c r="Z24" s="8">
        <f>-'Rate Switch'!$O$121</f>
        <v>-181571.72</v>
      </c>
      <c r="AA24" s="8">
        <f>'Rate Switch'!$W$70</f>
        <v>57419.54</v>
      </c>
    </row>
    <row r="25" spans="1:27">
      <c r="A25" t="s">
        <v>87</v>
      </c>
      <c r="B25" s="31"/>
      <c r="C25" s="31"/>
      <c r="D25" s="31"/>
      <c r="E25" s="31"/>
      <c r="F25" s="19"/>
      <c r="G25" s="35"/>
      <c r="H25" s="31"/>
      <c r="I25" s="36"/>
      <c r="J25" s="39"/>
      <c r="K25" s="38"/>
      <c r="N25" s="31"/>
      <c r="T25" s="14"/>
    </row>
    <row r="26" spans="1:27">
      <c r="A26" s="17" t="s">
        <v>25</v>
      </c>
      <c r="B26" s="165"/>
      <c r="C26" s="165"/>
      <c r="D26" s="165"/>
      <c r="E26" s="213"/>
      <c r="F26" s="165"/>
      <c r="G26" s="35"/>
      <c r="H26" s="35"/>
      <c r="I26" s="166"/>
      <c r="J26" s="61"/>
      <c r="K26" s="61"/>
      <c r="L26" s="61"/>
      <c r="M26" s="61"/>
      <c r="N26" s="165" t="e">
        <f>ROUND(SUMIF(_ECR_RateClass,'Yr End Cust Adj'!$A26,_ECRResults_Revenue),0)</f>
        <v>#REF!</v>
      </c>
      <c r="O26" s="165" t="e">
        <f>SUMIF(_FACResults_RateClass,'Yr End Cust Adj'!$A26,_FACResults_FAC)</f>
        <v>#REF!</v>
      </c>
      <c r="P26" s="165" t="e">
        <f>-SUMIF(_ECR_RateClass,'Yr End Cust Adj'!$A26,_ECR_BaseRevenue)</f>
        <v>#REF!</v>
      </c>
      <c r="Q26" s="436" t="e">
        <f>SUMIF(_13Month_RateClass,'Yr End Cust Adj'!$A26,_13thMonth_Revenue_Current)</f>
        <v>#REF!</v>
      </c>
      <c r="R26" s="436" t="e">
        <f>SUMIF(_13Month_RateClass,'Yr End Cust Adj'!$A26,_13thMonth_FAC_Current)</f>
        <v>#REF!</v>
      </c>
      <c r="S26" s="436" t="e">
        <f>-SUMIF(_13Month_RateClass,'Yr End Cust Adj'!$A26,_13Month_Base_ECR_Total)</f>
        <v>#REF!</v>
      </c>
      <c r="T26" s="167" t="e">
        <f>SUM(N26:S26)</f>
        <v>#REF!</v>
      </c>
      <c r="V26" s="14">
        <f>-'Rate Switch'!$C$118</f>
        <v>-2697</v>
      </c>
      <c r="W26" s="14">
        <f>'Rate Switch'!$C$62</f>
        <v>1351</v>
      </c>
      <c r="X26" s="14">
        <f>-'Rate Switch'!$D$118</f>
        <v>-143287124</v>
      </c>
      <c r="Y26" s="22">
        <f>'Rate Switch'!$D$62</f>
        <v>42378209</v>
      </c>
      <c r="Z26" s="13">
        <f>-'Rate Switch'!$O$118</f>
        <v>-10405880.710000001</v>
      </c>
      <c r="AA26" s="13">
        <f>'Rate Switch'!$W$62</f>
        <v>3143257.13</v>
      </c>
    </row>
    <row r="27" spans="1:27">
      <c r="A27" t="s">
        <v>86</v>
      </c>
      <c r="B27" s="31"/>
      <c r="C27" s="31"/>
      <c r="D27" s="31"/>
      <c r="E27" s="31"/>
      <c r="F27" s="19"/>
      <c r="G27" s="35"/>
      <c r="H27" s="31"/>
      <c r="I27" s="36"/>
      <c r="J27" s="39"/>
      <c r="K27" s="285"/>
      <c r="N27" s="31"/>
      <c r="T27" s="14"/>
    </row>
    <row r="28" spans="1:27">
      <c r="C28" s="31"/>
      <c r="D28" s="31"/>
      <c r="E28" s="31"/>
      <c r="F28" s="19"/>
      <c r="G28" s="35"/>
      <c r="H28" s="31"/>
      <c r="I28" s="36"/>
      <c r="J28" s="39"/>
      <c r="K28" s="38"/>
      <c r="T28" s="14"/>
    </row>
    <row r="29" spans="1:27">
      <c r="A29" t="s">
        <v>88</v>
      </c>
      <c r="C29" s="31"/>
      <c r="D29" s="31"/>
      <c r="E29" s="31"/>
      <c r="F29" s="19"/>
      <c r="G29" s="31"/>
      <c r="H29" s="31"/>
      <c r="I29" s="36"/>
      <c r="T29" s="14"/>
    </row>
    <row r="30" spans="1:27">
      <c r="A30" s="12" t="s">
        <v>221</v>
      </c>
      <c r="B30" s="741"/>
      <c r="C30" s="741"/>
      <c r="D30" s="741"/>
      <c r="E30" s="213"/>
      <c r="F30" s="165"/>
      <c r="G30" s="32"/>
      <c r="H30" s="32"/>
      <c r="I30" s="166"/>
      <c r="J30" s="60"/>
      <c r="K30" s="60"/>
      <c r="N30" s="165" t="e">
        <f>ROUND(SUMIF(_ECR_RateClass,'Yr End Cust Adj'!$A30,_ECRResults_Revenue),0)</f>
        <v>#REF!</v>
      </c>
      <c r="O30" s="165" t="e">
        <f>SUMIF(_FACResults_RateClass,'Yr End Cust Adj'!$A30,_FACResults_FAC)</f>
        <v>#REF!</v>
      </c>
      <c r="P30" s="165" t="e">
        <f>-SUMIF(_ECR_RateClass,'Yr End Cust Adj'!$A30,_ECR_BaseRevenue)</f>
        <v>#REF!</v>
      </c>
      <c r="Q30" s="436" t="e">
        <f>SUMIF(_13Month_RateClass,'Yr End Cust Adj'!$A30,_13thMonth_Revenue_Current)</f>
        <v>#REF!</v>
      </c>
      <c r="R30" s="436" t="e">
        <f>SUMIF(_13Month_RateClass,'Yr End Cust Adj'!$A30,_13thMonth_FAC_Current)</f>
        <v>#REF!</v>
      </c>
      <c r="S30" s="436" t="e">
        <f>-SUMIF(_13Month_RateClass,'Yr End Cust Adj'!$A30,_13Month_Base_ECR_Total)</f>
        <v>#REF!</v>
      </c>
      <c r="T30" s="167" t="e">
        <f>SUM(N30:S30)</f>
        <v>#REF!</v>
      </c>
      <c r="V30">
        <v>0</v>
      </c>
      <c r="W30">
        <f>'Rate Switch'!$C$66+'Rate Switch'!$C$82</f>
        <v>139</v>
      </c>
      <c r="X30">
        <v>0</v>
      </c>
      <c r="Y30" s="19">
        <f>'Rate Switch'!$D$66+'Rate Switch'!$D$82</f>
        <v>45348740</v>
      </c>
      <c r="Z30" s="8">
        <v>0</v>
      </c>
      <c r="AA30" s="8">
        <f>'Rate Switch'!$W$66+'Rate Switch'!$W$82</f>
        <v>2596467.0400000005</v>
      </c>
    </row>
    <row r="31" spans="1:27">
      <c r="A31" s="407" t="s">
        <v>87</v>
      </c>
      <c r="B31" s="31"/>
      <c r="C31" s="31"/>
      <c r="D31" s="740"/>
      <c r="E31" s="31"/>
      <c r="F31" s="19"/>
      <c r="G31" s="62"/>
      <c r="H31" s="31"/>
      <c r="I31" s="36"/>
      <c r="J31" s="39"/>
      <c r="K31" s="38"/>
      <c r="N31" s="31"/>
      <c r="T31" s="14"/>
    </row>
    <row r="32" spans="1:27">
      <c r="A32" s="12" t="s">
        <v>220</v>
      </c>
      <c r="B32" s="165"/>
      <c r="C32" s="165"/>
      <c r="D32" s="165"/>
      <c r="E32" s="213"/>
      <c r="F32" s="165"/>
      <c r="G32" s="32"/>
      <c r="H32" s="32"/>
      <c r="I32" s="166"/>
      <c r="J32" s="60"/>
      <c r="K32" s="60"/>
      <c r="N32" s="165" t="e">
        <f>ROUND(SUMIF(_ECR_RateClass,'Yr End Cust Adj'!$A32,_ECRResults_Revenue),0)</f>
        <v>#REF!</v>
      </c>
      <c r="O32" s="165" t="e">
        <f>SUMIF(_FACResults_RateClass,'Yr End Cust Adj'!$A32,_FACResults_FAC)</f>
        <v>#REF!</v>
      </c>
      <c r="P32" s="165" t="e">
        <f>-SUMIF(_ECR_RateClass,'Yr End Cust Adj'!$A32,_ECR_BaseRevenue)</f>
        <v>#REF!</v>
      </c>
      <c r="Q32" s="436" t="e">
        <f>SUMIF(_13Month_RateClass,'Yr End Cust Adj'!$A32,_13thMonth_Revenue_Current)</f>
        <v>#REF!</v>
      </c>
      <c r="R32" s="436" t="e">
        <f>SUMIF(_13Month_RateClass,'Yr End Cust Adj'!$A32,_13thMonth_FAC_Current)</f>
        <v>#REF!</v>
      </c>
      <c r="S32" s="436" t="e">
        <f>-SUMIF(_13Month_RateClass,'Yr End Cust Adj'!$A32,_13Month_Base_ECR_Total)</f>
        <v>#REF!</v>
      </c>
      <c r="T32" s="167" t="e">
        <f>SUM(N32:S32)</f>
        <v>#REF!</v>
      </c>
      <c r="V32">
        <v>0</v>
      </c>
      <c r="W32">
        <f>'Rate Switch'!$C$91</f>
        <v>805</v>
      </c>
      <c r="X32">
        <v>0</v>
      </c>
      <c r="Y32" s="19">
        <f>'Rate Switch'!$D$91</f>
        <v>142882138</v>
      </c>
      <c r="Z32" s="8">
        <v>0</v>
      </c>
      <c r="AA32" s="8">
        <f>'Rate Switch'!$W$91</f>
        <v>9430064.6399999987</v>
      </c>
    </row>
    <row r="33" spans="1:27">
      <c r="A33" t="s">
        <v>86</v>
      </c>
      <c r="B33" s="31"/>
      <c r="C33" s="31"/>
      <c r="D33" s="31"/>
      <c r="E33" s="31"/>
      <c r="F33" s="19"/>
      <c r="G33" s="62"/>
      <c r="H33" s="31"/>
      <c r="I33" s="36"/>
      <c r="J33" s="39"/>
      <c r="K33" s="38"/>
      <c r="N33" s="31"/>
      <c r="T33" s="14"/>
    </row>
    <row r="34" spans="1:27">
      <c r="C34" s="31"/>
      <c r="D34" s="31"/>
      <c r="E34" s="31"/>
      <c r="F34" s="19"/>
      <c r="G34" s="35"/>
      <c r="H34" s="31"/>
      <c r="I34" s="36"/>
      <c r="J34" s="39"/>
      <c r="K34" s="38"/>
      <c r="T34" s="14"/>
    </row>
    <row r="35" spans="1:27">
      <c r="A35" s="17" t="s">
        <v>19</v>
      </c>
      <c r="B35" s="165"/>
      <c r="C35" s="165"/>
      <c r="D35" s="165"/>
      <c r="E35" s="31"/>
      <c r="F35" s="165"/>
      <c r="G35" s="31"/>
      <c r="H35" s="31"/>
      <c r="I35" s="166"/>
      <c r="N35" s="165" t="e">
        <f>ROUND(SUMIF(_ECR_RateClass,'Yr End Cust Adj'!$A35,_ECRResults_Revenue),0)</f>
        <v>#REF!</v>
      </c>
      <c r="O35" s="165" t="e">
        <f>SUMIF(_FACResults_RateClass,'Yr End Cust Adj'!$A35,_FACResults_FAC)</f>
        <v>#REF!</v>
      </c>
      <c r="P35" s="165" t="e">
        <f>-SUMIF(_ECR_RateClass,'Yr End Cust Adj'!$A35,_ECR_BaseRevenue)</f>
        <v>#REF!</v>
      </c>
      <c r="Q35" s="436" t="e">
        <f>SUMIF(_13Month_RateClass,'Yr End Cust Adj'!$A35,_13thMonth_Revenue_Current)</f>
        <v>#REF!</v>
      </c>
      <c r="R35" s="436" t="e">
        <f>SUMIF(_13Month_RateClass,'Yr End Cust Adj'!$A35,_13thMonth_FAC_Current)</f>
        <v>#REF!</v>
      </c>
      <c r="S35" s="436" t="e">
        <f>-SUMIF(_13Month_RateClass,'Yr End Cust Adj'!$A35,_13Month_Base_ECR_Total)</f>
        <v>#REF!</v>
      </c>
      <c r="T35" s="167" t="e">
        <f>SUM(N35:S35)</f>
        <v>#REF!</v>
      </c>
      <c r="V35">
        <f>-'Rate Switch'!$C$122</f>
        <v>0</v>
      </c>
      <c r="X35">
        <f>-'Rate Switch'!$D$122</f>
        <v>0</v>
      </c>
      <c r="Y35" s="19"/>
      <c r="Z35" s="8">
        <f>-'Rate Switch'!$O$122</f>
        <v>0</v>
      </c>
      <c r="AA35" s="8"/>
    </row>
    <row r="36" spans="1:27">
      <c r="A36" t="s">
        <v>89</v>
      </c>
      <c r="C36" s="31"/>
      <c r="D36" s="31"/>
      <c r="E36" s="31"/>
      <c r="F36" s="19"/>
      <c r="G36" s="62"/>
      <c r="H36" s="31"/>
      <c r="I36" s="36"/>
      <c r="J36" s="39"/>
      <c r="K36" s="38"/>
      <c r="T36" s="14"/>
    </row>
    <row r="37" spans="1:27">
      <c r="F37" s="19"/>
      <c r="T37" s="14"/>
    </row>
    <row r="38" spans="1:27">
      <c r="A38" s="17" t="s">
        <v>27</v>
      </c>
      <c r="B38" s="165"/>
      <c r="C38" s="165"/>
      <c r="D38" s="165"/>
      <c r="E38" s="35"/>
      <c r="F38" s="165"/>
      <c r="G38" s="35"/>
      <c r="H38" s="35"/>
      <c r="I38" s="166"/>
      <c r="J38" s="61"/>
      <c r="K38" s="61"/>
      <c r="N38" s="165" t="e">
        <f>ROUND(SUMIF(_ECR_RateClass,'Yr End Cust Adj'!$A38,_ECRResults_Revenue),0)</f>
        <v>#REF!</v>
      </c>
      <c r="O38" s="165" t="e">
        <f>SUMIF(_FACResults_RateClass,'Yr End Cust Adj'!$A38,_FACResults_FAC)</f>
        <v>#REF!</v>
      </c>
      <c r="P38" s="165" t="e">
        <f>-SUMIF(_ECR_RateClass,'Yr End Cust Adj'!$A38,_ECR_BaseRevenue)</f>
        <v>#REF!</v>
      </c>
      <c r="Q38" s="436" t="e">
        <f>SUMIF(_13Month_RateClass,'Yr End Cust Adj'!$A38,_13thMonth_Revenue_Current)</f>
        <v>#REF!</v>
      </c>
      <c r="R38" s="436" t="e">
        <f>SUMIF(_13Month_RateClass,'Yr End Cust Adj'!$A38,_13thMonth_FAC_Current)</f>
        <v>#REF!</v>
      </c>
      <c r="S38" s="436" t="e">
        <f>-SUMIF(_13Month_RateClass,'Yr End Cust Adj'!$A38,_13Month_Base_ECR_Total)</f>
        <v>#REF!</v>
      </c>
      <c r="T38" s="167" t="e">
        <f>SUM(N38:S38)</f>
        <v>#REF!</v>
      </c>
      <c r="V38">
        <v>0</v>
      </c>
      <c r="X38">
        <v>0</v>
      </c>
      <c r="Y38" s="19"/>
      <c r="Z38">
        <v>0</v>
      </c>
      <c r="AA38" s="8"/>
    </row>
    <row r="39" spans="1:27">
      <c r="A39" s="17" t="s">
        <v>28</v>
      </c>
      <c r="B39" s="165"/>
      <c r="C39" s="165"/>
      <c r="D39" s="165"/>
      <c r="E39" s="31"/>
      <c r="F39" s="165"/>
      <c r="G39" s="31"/>
      <c r="H39" s="31"/>
      <c r="I39" s="166"/>
      <c r="N39" s="165" t="e">
        <f>ROUND(SUMIF(_ECR_RateClass,'Yr End Cust Adj'!$A39,_ECRResults_Revenue),0)</f>
        <v>#REF!</v>
      </c>
      <c r="O39" s="165" t="e">
        <f>SUMIF(_FACResults_RateClass,'Yr End Cust Adj'!$A39,_FACResults_FAC)</f>
        <v>#REF!</v>
      </c>
      <c r="P39" s="165" t="e">
        <f>-SUMIF(_ECR_RateClass,'Yr End Cust Adj'!$A39,_ECR_BaseRevenue)</f>
        <v>#REF!</v>
      </c>
      <c r="Q39" s="436" t="e">
        <f>SUMIF(_13Month_RateClass,'Yr End Cust Adj'!$A39,_13thMonth_Revenue_Current)</f>
        <v>#REF!</v>
      </c>
      <c r="R39" s="436" t="e">
        <f>SUMIF(_13Month_RateClass,'Yr End Cust Adj'!$A39,_13thMonth_FAC_Current)</f>
        <v>#REF!</v>
      </c>
      <c r="S39" s="436" t="e">
        <f>-SUMIF(_13Month_RateClass,'Yr End Cust Adj'!$A39,_13Month_Base_ECR_Total)</f>
        <v>#REF!</v>
      </c>
      <c r="T39" s="167" t="e">
        <f>SUM(N39:S39)</f>
        <v>#REF!</v>
      </c>
      <c r="V39">
        <v>0</v>
      </c>
      <c r="X39">
        <v>0</v>
      </c>
      <c r="Y39" s="19"/>
      <c r="Z39">
        <v>0</v>
      </c>
      <c r="AA39" s="8"/>
    </row>
    <row r="40" spans="1:27">
      <c r="A40" t="s">
        <v>114</v>
      </c>
      <c r="C40" s="31"/>
      <c r="D40" s="31"/>
      <c r="E40" s="31"/>
      <c r="F40" s="19"/>
      <c r="G40" s="35"/>
      <c r="H40" s="31"/>
      <c r="I40" s="36"/>
      <c r="J40" s="39"/>
      <c r="K40" s="38"/>
      <c r="T40" s="14"/>
    </row>
    <row r="41" spans="1:27">
      <c r="F41" s="19"/>
      <c r="T41" s="14"/>
    </row>
    <row r="42" spans="1:27">
      <c r="A42" s="17" t="s">
        <v>20</v>
      </c>
      <c r="B42" s="165"/>
      <c r="C42" s="165"/>
      <c r="D42" s="165"/>
      <c r="E42" s="31"/>
      <c r="F42" s="165"/>
      <c r="G42" s="31"/>
      <c r="H42" s="31"/>
      <c r="I42" s="166"/>
      <c r="N42" s="165" t="e">
        <f>ROUND(SUMIF(_ECR_RateClass,'Yr End Cust Adj'!$A42,_ECRResults_Revenue),0)</f>
        <v>#REF!</v>
      </c>
      <c r="O42" s="165" t="e">
        <f>SUMIF(_FACResults_RateClass,'Yr End Cust Adj'!$A42,_FACResults_FAC)</f>
        <v>#REF!</v>
      </c>
      <c r="P42" s="165" t="e">
        <f>-SUMIF(_ECR_RateClass,'Yr End Cust Adj'!$A42,_ECR_BaseRevenue)</f>
        <v>#REF!</v>
      </c>
      <c r="Q42" s="436" t="e">
        <f>SUMIF(_13Month_RateClass,'Yr End Cust Adj'!$A42,_13thMonth_Revenue_Current)</f>
        <v>#REF!</v>
      </c>
      <c r="R42" s="436" t="e">
        <f>SUMIF(_13Month_RateClass,'Yr End Cust Adj'!$A42,_13thMonth_FAC_Current)</f>
        <v>#REF!</v>
      </c>
      <c r="S42" s="436" t="e">
        <f>-SUMIF(_13Month_RateClass,'Yr End Cust Adj'!$A42,_13Month_Base_ECR_Total)</f>
        <v>#REF!</v>
      </c>
      <c r="T42" s="167" t="e">
        <f>SUM(N42:S42)</f>
        <v>#REF!</v>
      </c>
      <c r="V42">
        <v>0</v>
      </c>
      <c r="X42">
        <v>0</v>
      </c>
      <c r="Y42" s="19"/>
      <c r="Z42">
        <v>0</v>
      </c>
      <c r="AA42" s="8"/>
    </row>
    <row r="43" spans="1:27">
      <c r="A43" s="12" t="s">
        <v>92</v>
      </c>
      <c r="C43" s="31"/>
      <c r="D43" s="31"/>
      <c r="E43" s="31"/>
      <c r="F43" s="19"/>
      <c r="G43" s="35"/>
      <c r="H43" s="31"/>
      <c r="I43" s="36"/>
      <c r="J43" s="39"/>
      <c r="K43" s="38"/>
      <c r="T43" s="14"/>
    </row>
    <row r="44" spans="1:27">
      <c r="A44" t="s">
        <v>21</v>
      </c>
      <c r="B44" s="165"/>
      <c r="C44" s="165"/>
      <c r="D44" s="165"/>
      <c r="E44" s="31"/>
      <c r="F44" s="165"/>
      <c r="G44" s="31"/>
      <c r="H44" s="31"/>
      <c r="I44" s="166"/>
      <c r="N44" s="165" t="e">
        <f>ROUND(SUMIF(_ECR_RateClass,'Yr End Cust Adj'!$A44,_ECRResults_Revenue),0)</f>
        <v>#REF!</v>
      </c>
      <c r="O44" s="165" t="e">
        <f>SUMIF(_FACResults_RateClass,'Yr End Cust Adj'!$A44,_FACResults_FAC)</f>
        <v>#REF!</v>
      </c>
      <c r="P44" s="165" t="e">
        <f>-SUMIF(_ECR_RateClass,'Yr End Cust Adj'!$A44,_ECR_BaseRevenue)</f>
        <v>#REF!</v>
      </c>
      <c r="Q44" s="436" t="e">
        <f>SUMIF(_13Month_RateClass,'Yr End Cust Adj'!$A44,_13thMonth_Revenue_Current)</f>
        <v>#REF!</v>
      </c>
      <c r="R44" s="436" t="e">
        <f>SUMIF(_13Month_RateClass,'Yr End Cust Adj'!$A44,_13thMonth_FAC_Current)</f>
        <v>#REF!</v>
      </c>
      <c r="S44" s="436" t="e">
        <f>-SUMIF(_13Month_RateClass,'Yr End Cust Adj'!$A44,_13Month_Base_ECR_Total)</f>
        <v>#REF!</v>
      </c>
      <c r="T44" s="167" t="e">
        <f>SUM(N44:S44)</f>
        <v>#REF!</v>
      </c>
      <c r="V44">
        <v>0</v>
      </c>
      <c r="W44">
        <f>'Rate Switch'!$C$48</f>
        <v>76</v>
      </c>
      <c r="X44">
        <v>0</v>
      </c>
      <c r="Y44" s="19">
        <f>'Rate Switch'!$D$48</f>
        <v>133792</v>
      </c>
      <c r="Z44">
        <v>0</v>
      </c>
      <c r="AA44" s="8">
        <f>'Rate Switch'!$W$48</f>
        <v>10668.95</v>
      </c>
    </row>
    <row r="45" spans="1:27">
      <c r="A45" t="s">
        <v>90</v>
      </c>
      <c r="C45" s="31"/>
      <c r="D45" s="31"/>
      <c r="E45" s="31"/>
      <c r="F45" s="19"/>
      <c r="G45" s="35"/>
      <c r="H45" s="31"/>
      <c r="I45" s="36"/>
      <c r="J45" s="39"/>
      <c r="K45" s="38"/>
      <c r="T45" s="14"/>
    </row>
    <row r="46" spans="1:27">
      <c r="F46" s="19"/>
      <c r="N46" s="31"/>
      <c r="O46" s="31"/>
      <c r="P46" s="31"/>
      <c r="T46" s="14"/>
    </row>
    <row r="47" spans="1:27">
      <c r="C47" s="40"/>
      <c r="D47" s="40"/>
      <c r="E47" s="31"/>
      <c r="F47" s="19"/>
      <c r="G47" s="35"/>
      <c r="H47" s="31"/>
      <c r="I47" s="36"/>
      <c r="J47" s="39"/>
      <c r="K47" s="38"/>
      <c r="T47" s="14"/>
    </row>
    <row r="48" spans="1:27">
      <c r="A48" t="s">
        <v>1035</v>
      </c>
      <c r="B48" s="165"/>
      <c r="C48" s="165"/>
      <c r="D48" s="165"/>
      <c r="E48" s="31"/>
      <c r="F48" s="165"/>
      <c r="G48" s="31"/>
      <c r="H48" s="31"/>
      <c r="I48" s="166"/>
      <c r="J48" s="41"/>
      <c r="N48" s="434" t="e">
        <f>ROUND(SUMIF(_ECRRollinLights_RateClass,'Yr End Cust Adj'!$A48,_ECRRollinLights_BaseRevenue),0)</f>
        <v>#REF!</v>
      </c>
      <c r="O48" s="434" t="e">
        <f>SUMIF(_FACLights_RateClass,'Yr End Cust Adj'!$A48,_FACLights_FAC)</f>
        <v>#REF!</v>
      </c>
      <c r="P48" s="434" t="e">
        <f>-SUMIF(_BaseECRLights_RateClass,'Yr End Cust Adj'!$A48,_BaseECRLights_Revenue)</f>
        <v>#REF!</v>
      </c>
      <c r="Q48" s="435" t="e">
        <f>SUMIF(_13Month_RateClass,'Yr End Cust Adj'!$A48,_13thMonth_Revenue_Current)</f>
        <v>#REF!</v>
      </c>
      <c r="R48" s="435" t="e">
        <f>SUMIF(_13Month_RateClass,'Yr End Cust Adj'!$A48,_13thMonth_FAC_Current)</f>
        <v>#REF!</v>
      </c>
      <c r="S48" s="435" t="e">
        <f>-SUMIF(_13Month_RateClass,'Yr End Cust Adj'!$A48,_13Month_Base_ECR_Total)</f>
        <v>#REF!</v>
      </c>
      <c r="T48" s="167" t="e">
        <f>SUM(N48:S48)</f>
        <v>#REF!</v>
      </c>
      <c r="Y48" s="19"/>
      <c r="Z48" s="8"/>
      <c r="AA48" s="8"/>
    </row>
    <row r="49" spans="1:27">
      <c r="A49" t="s">
        <v>1036</v>
      </c>
      <c r="B49" s="165"/>
      <c r="C49" s="165"/>
      <c r="D49" s="165"/>
      <c r="E49" s="31"/>
      <c r="F49" s="165"/>
      <c r="G49" s="31"/>
      <c r="H49" s="31"/>
      <c r="I49" s="166"/>
      <c r="J49" s="41"/>
      <c r="N49" s="434" t="e">
        <f>ROUND(SUMIF(_ECRRollinLights_RateClass,'Yr End Cust Adj'!$A49,_ECRRollinLights_BaseRevenue),0)+2</f>
        <v>#REF!</v>
      </c>
      <c r="O49" s="434" t="e">
        <f>SUMIF(_FACLights_RateClass,'Yr End Cust Adj'!$A49,_FACLights_FAC)</f>
        <v>#REF!</v>
      </c>
      <c r="P49" s="434" t="e">
        <f>-SUMIF(_BaseECRLights_RateClass,'Yr End Cust Adj'!$A49,_BaseECRLights_Revenue)</f>
        <v>#REF!</v>
      </c>
      <c r="Q49" s="435" t="e">
        <f>SUMIF(_13Month_RateClass,'Yr End Cust Adj'!$A49,_13thMonth_Revenue_Current)</f>
        <v>#REF!</v>
      </c>
      <c r="R49" s="435" t="e">
        <f>SUMIF(_13Month_RateClass,'Yr End Cust Adj'!$A49,_13thMonth_FAC_Current)</f>
        <v>#REF!</v>
      </c>
      <c r="S49" s="435" t="e">
        <f>-SUMIF(_13Month_RateClass,'Yr End Cust Adj'!$A49,_13Month_Base_ECR_Total)</f>
        <v>#REF!</v>
      </c>
      <c r="T49" s="167" t="e">
        <f>SUM(N49:S49)</f>
        <v>#REF!</v>
      </c>
      <c r="Y49" s="19"/>
      <c r="Z49" s="8"/>
      <c r="AA49" s="8"/>
    </row>
    <row r="50" spans="1:27" ht="14.25">
      <c r="A50" t="s">
        <v>922</v>
      </c>
      <c r="C50" s="167"/>
      <c r="D50" s="167"/>
      <c r="E50" s="167"/>
      <c r="F50" s="167"/>
      <c r="G50" s="199"/>
      <c r="H50" s="167"/>
      <c r="I50" s="200"/>
      <c r="J50" s="11"/>
      <c r="K50" s="38"/>
    </row>
    <row r="51" spans="1:27" ht="12.75" thickBot="1">
      <c r="F51" s="19"/>
    </row>
    <row r="52" spans="1:27" ht="12.75" thickBot="1">
      <c r="A52" t="s">
        <v>465</v>
      </c>
      <c r="C52" s="31"/>
      <c r="D52" s="31"/>
      <c r="F52" s="31"/>
      <c r="I52" s="31"/>
      <c r="K52" s="259"/>
      <c r="N52" s="31" t="e">
        <f t="shared" ref="N52:T52" si="1">SUM(N5:N49)</f>
        <v>#REF!</v>
      </c>
      <c r="O52" s="31" t="e">
        <f t="shared" si="1"/>
        <v>#REF!</v>
      </c>
      <c r="P52" s="31" t="e">
        <f t="shared" si="1"/>
        <v>#REF!</v>
      </c>
      <c r="Q52" s="31" t="e">
        <f t="shared" si="1"/>
        <v>#REF!</v>
      </c>
      <c r="R52" s="31" t="e">
        <f t="shared" si="1"/>
        <v>#REF!</v>
      </c>
      <c r="S52" s="31" t="e">
        <f t="shared" si="1"/>
        <v>#REF!</v>
      </c>
      <c r="T52" s="31" t="e">
        <f t="shared" si="1"/>
        <v>#REF!</v>
      </c>
      <c r="V52" s="31">
        <f t="shared" ref="V52:AA52" si="2">SUM(V5:V48)</f>
        <v>-18152</v>
      </c>
      <c r="W52" s="31">
        <f t="shared" si="2"/>
        <v>21216</v>
      </c>
      <c r="X52" s="31">
        <f t="shared" si="2"/>
        <v>-205228946</v>
      </c>
      <c r="Y52" s="31">
        <f t="shared" si="2"/>
        <v>306046735</v>
      </c>
      <c r="Z52" s="31">
        <f t="shared" si="2"/>
        <v>-16002238.970000001</v>
      </c>
      <c r="AA52" s="31">
        <f t="shared" si="2"/>
        <v>22352733.07</v>
      </c>
    </row>
    <row r="53" spans="1:27">
      <c r="F53" s="19"/>
    </row>
    <row r="54" spans="1:27">
      <c r="F54" s="19"/>
      <c r="Q54" s="11" t="e">
        <f>#REF!</f>
        <v>#REF!</v>
      </c>
    </row>
    <row r="55" spans="1:27">
      <c r="A55" t="s">
        <v>101</v>
      </c>
      <c r="F55" s="19"/>
      <c r="Q55" s="8" t="e">
        <f>#REF!</f>
        <v>#REF!</v>
      </c>
    </row>
    <row r="56" spans="1:27">
      <c r="A56" t="s">
        <v>104</v>
      </c>
      <c r="B56" s="31">
        <f>SUM(B5:B50)</f>
        <v>0</v>
      </c>
      <c r="F56" s="19">
        <f>F52</f>
        <v>0</v>
      </c>
      <c r="I56" s="19">
        <f>I52</f>
        <v>0</v>
      </c>
      <c r="N56" s="31"/>
      <c r="O56" s="31"/>
      <c r="Q56" s="11" t="e">
        <f>Q52-Q54-Q55</f>
        <v>#REF!</v>
      </c>
    </row>
    <row r="57" spans="1:27">
      <c r="A57" t="s">
        <v>102</v>
      </c>
      <c r="B57" s="31" t="e">
        <f>SUM(#REF!)</f>
        <v>#REF!</v>
      </c>
      <c r="F57" s="19" t="e">
        <f>#REF!</f>
        <v>#REF!</v>
      </c>
      <c r="I57" s="19" t="e">
        <f>#REF!+#REF!-#REF!</f>
        <v>#REF!</v>
      </c>
      <c r="N57" s="31"/>
      <c r="O57" s="31"/>
    </row>
    <row r="58" spans="1:27">
      <c r="A58" t="s">
        <v>103</v>
      </c>
      <c r="B58" s="31">
        <f>SUM('12MonResults'!F473:G473)</f>
        <v>6188598</v>
      </c>
      <c r="F58" s="31">
        <f>'12MonResults'!K473</f>
        <v>18466596693</v>
      </c>
      <c r="I58" s="31" t="e">
        <f>#REF!+#REF!</f>
        <v>#REF!</v>
      </c>
      <c r="N58" s="31"/>
      <c r="O58" s="31"/>
    </row>
    <row r="59" spans="1:27">
      <c r="A59" t="s">
        <v>733</v>
      </c>
      <c r="B59" s="31">
        <f>SUM('12MonLights'!$E$1071:$F$1071)</f>
        <v>2023648</v>
      </c>
      <c r="F59" s="31">
        <f>'12MonLights'!$G$1071</f>
        <v>119802347</v>
      </c>
      <c r="I59" s="31" t="e">
        <f>#REF!+#REF!</f>
        <v>#REF!</v>
      </c>
      <c r="N59" s="31"/>
      <c r="O59" s="31"/>
    </row>
    <row r="60" spans="1:27">
      <c r="A60" t="s">
        <v>740</v>
      </c>
      <c r="B60" s="31"/>
      <c r="F60" s="31"/>
      <c r="I60" s="31" t="e">
        <f>-#REF!</f>
        <v>#REF!</v>
      </c>
      <c r="J60" s="31"/>
      <c r="N60" s="31"/>
      <c r="O60" s="31"/>
    </row>
    <row r="61" spans="1:27">
      <c r="B61" s="31" t="e">
        <f>B57+B58+B59</f>
        <v>#REF!</v>
      </c>
      <c r="F61" s="31" t="e">
        <f>F57+F58+F59</f>
        <v>#REF!</v>
      </c>
      <c r="I61" s="31" t="e">
        <f>I57+I58+I59+I60</f>
        <v>#REF!</v>
      </c>
    </row>
    <row r="62" spans="1:27">
      <c r="B62" s="31" t="e">
        <f>B61-B56</f>
        <v>#REF!</v>
      </c>
      <c r="C62" t="e">
        <f>IF(B61=B56,"OK","ERR")</f>
        <v>#REF!</v>
      </c>
      <c r="F62" s="19"/>
      <c r="G62" t="e">
        <f>IF(F61=F56,"OK","ERR")</f>
        <v>#REF!</v>
      </c>
      <c r="I62" s="31" t="e">
        <f>I61-I56</f>
        <v>#REF!</v>
      </c>
      <c r="J62" t="e">
        <f>IF(I61=I56,"OK","ERR")</f>
        <v>#REF!</v>
      </c>
    </row>
    <row r="63" spans="1:27">
      <c r="A63" s="12"/>
      <c r="B63" s="31"/>
      <c r="I63" s="31">
        <f>Z52+AA52</f>
        <v>6350494.0999999996</v>
      </c>
      <c r="J63" t="s">
        <v>816</v>
      </c>
    </row>
    <row r="64" spans="1:27">
      <c r="A64" s="45" t="s">
        <v>78</v>
      </c>
      <c r="B64" s="31">
        <f>SUMIF(_12MonResults_RateClass,A64,_12MonResults_CustomerCount)</f>
        <v>0</v>
      </c>
      <c r="C64" s="31"/>
      <c r="D64" s="31"/>
      <c r="E64" s="31"/>
      <c r="F64" s="31"/>
      <c r="I64" s="31" t="e">
        <f>I62+I63</f>
        <v>#REF!</v>
      </c>
    </row>
    <row r="65" spans="1:17">
      <c r="B65" s="31" t="s">
        <v>815</v>
      </c>
      <c r="C65" s="31"/>
      <c r="D65" s="31"/>
      <c r="E65" s="31"/>
      <c r="F65" s="31"/>
    </row>
    <row r="66" spans="1:17">
      <c r="A66" t="s">
        <v>880</v>
      </c>
      <c r="B66" s="31"/>
      <c r="C66" s="31"/>
      <c r="D66" s="31"/>
      <c r="E66" s="31"/>
      <c r="F66" s="31"/>
    </row>
    <row r="67" spans="1:17" s="283" customFormat="1">
      <c r="B67" s="284"/>
      <c r="C67" s="284"/>
      <c r="D67" s="284"/>
      <c r="E67" s="284"/>
      <c r="F67" s="284"/>
    </row>
    <row r="68" spans="1:17" s="283" customFormat="1">
      <c r="B68" s="284"/>
      <c r="C68" s="284"/>
      <c r="D68" s="284"/>
      <c r="E68" s="284"/>
      <c r="F68" s="284"/>
    </row>
    <row r="69" spans="1:17" s="283" customFormat="1">
      <c r="B69" s="284"/>
      <c r="C69" s="284"/>
      <c r="D69" s="284"/>
      <c r="E69" s="284"/>
      <c r="F69" s="284"/>
    </row>
    <row r="70" spans="1:17" s="283" customFormat="1">
      <c r="B70" s="284"/>
      <c r="C70" s="284"/>
      <c r="D70" s="284"/>
      <c r="E70" s="284"/>
      <c r="F70" s="284"/>
    </row>
    <row r="71" spans="1:17" s="283" customFormat="1">
      <c r="B71" s="284"/>
      <c r="C71" s="284"/>
      <c r="D71" s="284"/>
      <c r="E71" s="284"/>
      <c r="F71" s="284"/>
    </row>
    <row r="72" spans="1:17">
      <c r="B72" s="31"/>
      <c r="C72" s="31"/>
      <c r="D72" s="31"/>
      <c r="E72" s="31"/>
      <c r="F72" s="31"/>
    </row>
    <row r="73" spans="1:17">
      <c r="A73" s="61"/>
      <c r="B73" s="35"/>
      <c r="C73" s="781">
        <v>-1</v>
      </c>
      <c r="D73" s="781">
        <f t="shared" ref="D73:K73" si="3">C73-1</f>
        <v>-2</v>
      </c>
      <c r="E73" s="781">
        <f t="shared" si="3"/>
        <v>-3</v>
      </c>
      <c r="F73" s="781">
        <f t="shared" si="3"/>
        <v>-4</v>
      </c>
      <c r="G73" s="781">
        <f t="shared" si="3"/>
        <v>-5</v>
      </c>
      <c r="H73" s="781">
        <f t="shared" si="3"/>
        <v>-6</v>
      </c>
      <c r="I73" s="781">
        <f t="shared" si="3"/>
        <v>-7</v>
      </c>
      <c r="J73" s="781">
        <f t="shared" si="3"/>
        <v>-8</v>
      </c>
      <c r="K73" s="781">
        <f t="shared" si="3"/>
        <v>-9</v>
      </c>
    </row>
    <row r="74" spans="1:17" ht="60">
      <c r="A74" s="61"/>
      <c r="B74" s="35"/>
      <c r="C74" s="440" t="str">
        <f>"Average Number of Customers, 13 Months Ended "&amp;TEXT(MiscData!$F$1,"mmmm dd, yyyy")</f>
        <v>Average Number of Customers, 13 Months Ended February 28, 2015</v>
      </c>
      <c r="D74" s="440" t="str">
        <f>"Number of Customers Served at "&amp;TEXT(MiscData!$F$1,"mmmm dd, yyyy")</f>
        <v>Number of Customers Served at February 28, 2015</v>
      </c>
      <c r="E74" s="440" t="s">
        <v>93</v>
      </c>
      <c r="F74" s="442" t="s">
        <v>920</v>
      </c>
      <c r="G74" s="440" t="s">
        <v>95</v>
      </c>
      <c r="H74" s="440" t="s">
        <v>96</v>
      </c>
      <c r="I74" s="442" t="s">
        <v>734</v>
      </c>
      <c r="J74" s="440" t="s">
        <v>97</v>
      </c>
      <c r="K74" s="440" t="s">
        <v>98</v>
      </c>
      <c r="P74" s="407" t="str">
        <f>TEXT(MiscData!$F$1,"mmm yyyy")</f>
        <v>Feb 2015</v>
      </c>
      <c r="Q74" s="407" t="s">
        <v>1390</v>
      </c>
    </row>
    <row r="75" spans="1:17">
      <c r="A75" s="61"/>
      <c r="B75" s="35"/>
      <c r="C75" s="440"/>
      <c r="D75" s="440"/>
      <c r="E75" s="782" t="str">
        <f>TEXT($D$73*-1,"(0)")&amp;" - "&amp;TEXT($C$73*-1,"(0)")</f>
        <v>(2) - (1)</v>
      </c>
      <c r="F75" s="585" t="s">
        <v>921</v>
      </c>
      <c r="G75" s="782" t="str">
        <f>TEXT($F$73*-1,"(0)")&amp;" / "&amp;TEXT($C$73*-1,"(0)")</f>
        <v>(4) / (1)</v>
      </c>
      <c r="H75" s="782" t="str">
        <f>TEXT($E$73*-1,"(0)")&amp;" * "&amp;TEXT($G$73*-1,"(0)")</f>
        <v>(3) * (5)</v>
      </c>
      <c r="I75" s="585" t="s">
        <v>871</v>
      </c>
      <c r="J75" s="782" t="str">
        <f>TEXT($I$73*-1,"(0)")&amp;" / "&amp;TEXT($F$73*-1,"(0)")</f>
        <v>(7) / (4)</v>
      </c>
      <c r="K75" s="782" t="str">
        <f>TEXT($H$73*-1,"(0)")&amp;" * "&amp;TEXT($J$73*-1,"(0)")</f>
        <v>(6) * (8)</v>
      </c>
      <c r="P75" s="407" t="s">
        <v>15</v>
      </c>
      <c r="Q75" s="741">
        <f t="shared" ref="Q75:Q93" si="4">SUMIFS(_12MonResults_CustomerCount,_12MonResults_RevMonth,$P$74,_12MonResults_RateClass,$P75)+SUMIFS(_12MonResults_CustomerCount_Adj,_12MonResults_RevMonth,$P$74,_12MonResults_RateClass,$P75)</f>
        <v>428357</v>
      </c>
    </row>
    <row r="76" spans="1:17">
      <c r="A76" s="61"/>
      <c r="B76" s="35"/>
      <c r="C76" s="35"/>
      <c r="D76" s="35"/>
      <c r="E76" s="35"/>
      <c r="F76" s="35"/>
      <c r="G76" s="61"/>
      <c r="H76" s="61"/>
      <c r="I76" s="61"/>
      <c r="J76" s="61"/>
      <c r="K76" s="61"/>
      <c r="P76" s="407" t="s">
        <v>17</v>
      </c>
      <c r="Q76" s="741">
        <f t="shared" si="4"/>
        <v>0</v>
      </c>
    </row>
    <row r="77" spans="1:17">
      <c r="A77" s="407" t="str">
        <f>A8</f>
        <v>Residential Service including VFD including rate switching</v>
      </c>
      <c r="B77" s="35"/>
      <c r="C77" s="601" t="e">
        <f>$G$235</f>
        <v>#REF!</v>
      </c>
      <c r="D77" s="601">
        <f>Q75+Q76</f>
        <v>428357</v>
      </c>
      <c r="E77" s="601" t="e">
        <f>D77-C77</f>
        <v>#REF!</v>
      </c>
      <c r="F77" s="601" t="e">
        <f>$K$235</f>
        <v>#REF!</v>
      </c>
      <c r="G77" s="601" t="e">
        <f>ROUND(F77/C77,0)</f>
        <v>#REF!</v>
      </c>
      <c r="H77" s="601" t="e">
        <f>ROUND(E77*G77,0)</f>
        <v>#REF!</v>
      </c>
      <c r="I77" s="736" t="e">
        <f>$K$276</f>
        <v>#REF!</v>
      </c>
      <c r="J77" s="794" t="e">
        <f>ROUND(I77/F77,5)</f>
        <v>#REF!</v>
      </c>
      <c r="K77" s="736" t="e">
        <f>ROUND(H77*J77,0)</f>
        <v>#REF!</v>
      </c>
      <c r="P77" s="407" t="s">
        <v>222</v>
      </c>
      <c r="Q77" s="741">
        <f t="shared" si="4"/>
        <v>0</v>
      </c>
    </row>
    <row r="78" spans="1:17">
      <c r="A78" s="407"/>
      <c r="B78" s="35"/>
      <c r="C78" s="19"/>
      <c r="D78" s="19"/>
      <c r="E78" s="19"/>
      <c r="F78" s="19"/>
      <c r="G78" s="19"/>
      <c r="H78" s="19"/>
      <c r="I78" s="36"/>
      <c r="J78" s="241"/>
      <c r="K78" s="36"/>
      <c r="P78" s="415" t="s">
        <v>224</v>
      </c>
      <c r="Q78" s="741">
        <f t="shared" si="4"/>
        <v>63452</v>
      </c>
    </row>
    <row r="79" spans="1:17" ht="12" customHeight="1">
      <c r="A79" s="407" t="str">
        <f>A11</f>
        <v>Residential Service -- Electric Vehicle Only</v>
      </c>
      <c r="B79" s="35"/>
      <c r="C79" s="601" t="e">
        <f>$G$237</f>
        <v>#REF!</v>
      </c>
      <c r="D79" s="601">
        <f>Q77</f>
        <v>0</v>
      </c>
      <c r="E79" s="601" t="e">
        <f>D79-C79</f>
        <v>#REF!</v>
      </c>
      <c r="F79" s="601" t="e">
        <f>$K$237</f>
        <v>#REF!</v>
      </c>
      <c r="G79" s="601" t="e">
        <f>ROUND(F79/C79,0)</f>
        <v>#REF!</v>
      </c>
      <c r="H79" s="601" t="e">
        <f>ROUND(E79*G79,0)</f>
        <v>#REF!</v>
      </c>
      <c r="I79" s="736" t="e">
        <f>$K$278</f>
        <v>#REF!</v>
      </c>
      <c r="J79" s="794" t="e">
        <f>ROUND(I79/F79,5)</f>
        <v>#REF!</v>
      </c>
      <c r="K79" s="736" t="e">
        <f>ROUND(H79*J79,0)</f>
        <v>#REF!</v>
      </c>
      <c r="P79" s="407" t="s">
        <v>18</v>
      </c>
      <c r="Q79" s="741">
        <f t="shared" si="4"/>
        <v>18548</v>
      </c>
    </row>
    <row r="80" spans="1:17" ht="12" customHeight="1">
      <c r="A80" s="407"/>
      <c r="B80" s="35"/>
      <c r="C80" s="19"/>
      <c r="D80" s="19"/>
      <c r="E80" s="19"/>
      <c r="F80" s="19"/>
      <c r="G80" s="19"/>
      <c r="H80" s="19"/>
      <c r="I80" s="36"/>
      <c r="J80" s="241"/>
      <c r="K80" s="36"/>
      <c r="P80" s="407" t="s">
        <v>219</v>
      </c>
      <c r="Q80" s="741">
        <f t="shared" si="4"/>
        <v>371</v>
      </c>
    </row>
    <row r="81" spans="1:17" ht="12" customHeight="1">
      <c r="A81" s="407" t="str">
        <f>A16</f>
        <v>General Service</v>
      </c>
      <c r="B81" s="35"/>
      <c r="C81" s="601"/>
      <c r="D81" s="19"/>
      <c r="E81" s="601"/>
      <c r="F81" s="601"/>
      <c r="G81" s="601"/>
      <c r="H81" s="601"/>
      <c r="I81" s="36"/>
      <c r="J81" s="241">
        <f>J16</f>
        <v>0</v>
      </c>
      <c r="K81" s="36">
        <f>K16</f>
        <v>0</v>
      </c>
      <c r="P81" s="407" t="s">
        <v>228</v>
      </c>
      <c r="Q81" s="741">
        <f t="shared" si="4"/>
        <v>258</v>
      </c>
    </row>
    <row r="82" spans="1:17" ht="12" customHeight="1">
      <c r="A82" s="742" t="s">
        <v>931</v>
      </c>
      <c r="B82" s="35"/>
      <c r="C82" s="601" t="e">
        <f>$G$240</f>
        <v>#REF!</v>
      </c>
      <c r="D82" s="601">
        <f>Q78</f>
        <v>63452</v>
      </c>
      <c r="E82" s="601" t="e">
        <f>D82-C82</f>
        <v>#REF!</v>
      </c>
      <c r="F82" s="601" t="e">
        <f>$K$240</f>
        <v>#REF!</v>
      </c>
      <c r="G82" s="601" t="e">
        <f>ROUND(F82/C82,0)</f>
        <v>#REF!</v>
      </c>
      <c r="H82" s="601" t="e">
        <f>ROUND(E82*G82,0)</f>
        <v>#REF!</v>
      </c>
      <c r="I82" s="736" t="e">
        <f>$K$281</f>
        <v>#REF!</v>
      </c>
      <c r="J82" s="794" t="e">
        <f>ROUND(I82/F82,5)</f>
        <v>#REF!</v>
      </c>
      <c r="K82" s="736" t="e">
        <f>ROUND(H82*J82,0)</f>
        <v>#REF!</v>
      </c>
      <c r="P82" s="407"/>
      <c r="Q82" s="741"/>
    </row>
    <row r="83" spans="1:17" ht="12" customHeight="1">
      <c r="A83" s="742" t="s">
        <v>930</v>
      </c>
      <c r="B83" s="35"/>
      <c r="C83" s="601" t="e">
        <f>$G$241</f>
        <v>#REF!</v>
      </c>
      <c r="D83" s="601">
        <f>Q79</f>
        <v>18548</v>
      </c>
      <c r="E83" s="601" t="e">
        <f>D83-C83</f>
        <v>#REF!</v>
      </c>
      <c r="F83" s="601" t="e">
        <f>$K$241</f>
        <v>#REF!</v>
      </c>
      <c r="G83" s="601" t="e">
        <f>ROUND(F83/C83,0)</f>
        <v>#REF!</v>
      </c>
      <c r="H83" s="601" t="e">
        <f>ROUND(E83*G83,0)</f>
        <v>#REF!</v>
      </c>
      <c r="I83" s="736" t="e">
        <f>$K$282</f>
        <v>#REF!</v>
      </c>
      <c r="J83" s="794" t="e">
        <f>ROUND(I83/F83,5)</f>
        <v>#REF!</v>
      </c>
      <c r="K83" s="736" t="e">
        <f>ROUND(H83*J83,0)</f>
        <v>#REF!</v>
      </c>
      <c r="P83" s="407"/>
      <c r="Q83" s="741"/>
    </row>
    <row r="84" spans="1:17" ht="12" customHeight="1">
      <c r="A84" s="407"/>
      <c r="B84" s="35"/>
      <c r="C84" s="19"/>
      <c r="D84" s="19"/>
      <c r="E84" s="19"/>
      <c r="F84" s="19"/>
      <c r="G84" s="19"/>
      <c r="H84" s="19"/>
      <c r="I84" s="36"/>
      <c r="J84" s="241"/>
      <c r="K84" s="36"/>
      <c r="P84" s="407" t="s">
        <v>26</v>
      </c>
      <c r="Q84" s="741">
        <f t="shared" si="4"/>
        <v>211</v>
      </c>
    </row>
    <row r="85" spans="1:17" ht="12" customHeight="1">
      <c r="A85" s="415" t="str">
        <f>A21</f>
        <v>Rate AES</v>
      </c>
      <c r="B85" s="35"/>
      <c r="C85" s="601"/>
      <c r="D85" s="264"/>
      <c r="E85" s="601"/>
      <c r="F85" s="601">
        <f>K243</f>
        <v>0</v>
      </c>
      <c r="G85" s="601"/>
      <c r="H85" s="601"/>
      <c r="I85" s="266"/>
      <c r="J85" s="268">
        <f>J21</f>
        <v>0</v>
      </c>
      <c r="K85" s="266">
        <f>K21</f>
        <v>0</v>
      </c>
      <c r="P85" s="407" t="s">
        <v>25</v>
      </c>
      <c r="Q85" s="741">
        <f t="shared" si="4"/>
        <v>4770</v>
      </c>
    </row>
    <row r="86" spans="1:17" ht="12" customHeight="1">
      <c r="A86" s="742" t="s">
        <v>931</v>
      </c>
      <c r="B86" s="35"/>
      <c r="C86" s="601" t="e">
        <f>$G$244</f>
        <v>#REF!</v>
      </c>
      <c r="D86" s="793">
        <f>Q80</f>
        <v>371</v>
      </c>
      <c r="E86" s="601" t="e">
        <f>D86-C86</f>
        <v>#REF!</v>
      </c>
      <c r="F86" s="601" t="e">
        <f>$K$244</f>
        <v>#REF!</v>
      </c>
      <c r="G86" s="601" t="e">
        <f>ROUND(F86/C86,0)</f>
        <v>#REF!</v>
      </c>
      <c r="H86" s="601" t="e">
        <f>ROUND(E86*G86,0)</f>
        <v>#REF!</v>
      </c>
      <c r="I86" s="736" t="e">
        <f>$K$285</f>
        <v>#REF!</v>
      </c>
      <c r="J86" s="794" t="e">
        <f>ROUND(I86/F86,5)</f>
        <v>#REF!</v>
      </c>
      <c r="K86" s="736" t="e">
        <f>ROUND(H86*J86,0)</f>
        <v>#REF!</v>
      </c>
      <c r="P86" s="407"/>
      <c r="Q86" s="741"/>
    </row>
    <row r="87" spans="1:17" ht="12" customHeight="1">
      <c r="A87" s="742" t="s">
        <v>930</v>
      </c>
      <c r="B87" s="35"/>
      <c r="C87" s="601" t="e">
        <f>$G$245</f>
        <v>#REF!</v>
      </c>
      <c r="D87" s="793">
        <f>Q81</f>
        <v>258</v>
      </c>
      <c r="E87" s="601" t="e">
        <f>D87-C87</f>
        <v>#REF!</v>
      </c>
      <c r="F87" s="601" t="e">
        <f>$K$245</f>
        <v>#REF!</v>
      </c>
      <c r="G87" s="601" t="e">
        <f>ROUND(F87/C87,0)</f>
        <v>#REF!</v>
      </c>
      <c r="H87" s="601" t="e">
        <f>ROUND(E87*G87,0)</f>
        <v>#REF!</v>
      </c>
      <c r="I87" s="736" t="e">
        <f>$K$286</f>
        <v>#REF!</v>
      </c>
      <c r="J87" s="794" t="e">
        <f>ROUND(I87/F87,5)</f>
        <v>#REF!</v>
      </c>
      <c r="K87" s="736" t="e">
        <f>ROUND(H87*J87,0)</f>
        <v>#REF!</v>
      </c>
      <c r="P87" s="407"/>
      <c r="Q87" s="741"/>
    </row>
    <row r="88" spans="1:17" ht="12" customHeight="1">
      <c r="A88" s="407"/>
      <c r="B88" s="35"/>
      <c r="C88" s="19"/>
      <c r="D88" s="19"/>
      <c r="E88" s="19"/>
      <c r="F88" s="19"/>
      <c r="G88" s="19"/>
      <c r="H88" s="19"/>
      <c r="I88" s="36"/>
      <c r="J88" s="241"/>
      <c r="K88" s="36"/>
      <c r="P88" s="407" t="s">
        <v>221</v>
      </c>
      <c r="Q88" s="741">
        <f t="shared" si="4"/>
        <v>239</v>
      </c>
    </row>
    <row r="89" spans="1:17" ht="12" customHeight="1">
      <c r="A89" s="407" t="str">
        <f>A23</f>
        <v>Power Service</v>
      </c>
      <c r="B89" s="35"/>
      <c r="C89" s="19"/>
      <c r="D89" s="601"/>
      <c r="E89" s="19"/>
      <c r="F89" s="19"/>
      <c r="G89" s="19"/>
      <c r="H89" s="19"/>
      <c r="I89" s="36"/>
      <c r="J89" s="241"/>
      <c r="K89" s="36"/>
      <c r="P89" s="407" t="s">
        <v>220</v>
      </c>
      <c r="Q89" s="741">
        <f t="shared" si="4"/>
        <v>456</v>
      </c>
    </row>
    <row r="90" spans="1:17" ht="12" customHeight="1">
      <c r="A90" s="742" t="str">
        <f>A25</f>
        <v>Primary</v>
      </c>
      <c r="B90" s="35"/>
      <c r="C90" s="601" t="e">
        <f>$G$248</f>
        <v>#REF!</v>
      </c>
      <c r="D90" s="743">
        <f>Q84</f>
        <v>211</v>
      </c>
      <c r="E90" s="601" t="e">
        <f>D90-C90</f>
        <v>#REF!</v>
      </c>
      <c r="F90" s="601" t="e">
        <f>$K$248</f>
        <v>#REF!</v>
      </c>
      <c r="G90" s="601" t="e">
        <f>ROUND(F90/C90,0)</f>
        <v>#REF!</v>
      </c>
      <c r="H90" s="601" t="e">
        <f>ROUND(E90*G90,0)</f>
        <v>#REF!</v>
      </c>
      <c r="I90" s="736" t="e">
        <f>$K$289</f>
        <v>#REF!</v>
      </c>
      <c r="J90" s="794" t="e">
        <f>ROUND(I90/F90,5)</f>
        <v>#REF!</v>
      </c>
      <c r="K90" s="736" t="e">
        <f>ROUND(H90*J90,0)</f>
        <v>#REF!</v>
      </c>
      <c r="P90" s="407" t="s">
        <v>19</v>
      </c>
      <c r="Q90" s="741">
        <f t="shared" si="4"/>
        <v>32</v>
      </c>
    </row>
    <row r="91" spans="1:17" ht="12" customHeight="1">
      <c r="A91" s="742" t="str">
        <f>A27</f>
        <v>Secondary</v>
      </c>
      <c r="B91" s="35"/>
      <c r="C91" s="601" t="e">
        <f>$G$249</f>
        <v>#REF!</v>
      </c>
      <c r="D91" s="743">
        <f>Q85</f>
        <v>4770</v>
      </c>
      <c r="E91" s="601" t="e">
        <f>D91-C91</f>
        <v>#REF!</v>
      </c>
      <c r="F91" s="601" t="e">
        <f>$K$249</f>
        <v>#REF!</v>
      </c>
      <c r="G91" s="601" t="e">
        <f>ROUND(F91/C91,0)</f>
        <v>#REF!</v>
      </c>
      <c r="H91" s="601" t="e">
        <f>ROUND(E91*G91,0)</f>
        <v>#REF!</v>
      </c>
      <c r="I91" s="736" t="e">
        <f>$K$290</f>
        <v>#REF!</v>
      </c>
      <c r="J91" s="794" t="e">
        <f>ROUND(I91/F91,5)</f>
        <v>#REF!</v>
      </c>
      <c r="K91" s="736" t="e">
        <f>ROUND(H91*J91,0)</f>
        <v>#REF!</v>
      </c>
      <c r="P91" s="407" t="s">
        <v>28</v>
      </c>
      <c r="Q91" s="741">
        <f t="shared" si="4"/>
        <v>1</v>
      </c>
    </row>
    <row r="92" spans="1:17" ht="12" customHeight="1">
      <c r="A92" s="407"/>
      <c r="B92" s="35"/>
      <c r="C92" s="19"/>
      <c r="D92" s="19"/>
      <c r="E92" s="19"/>
      <c r="F92" s="19"/>
      <c r="G92" s="19"/>
      <c r="H92" s="19"/>
      <c r="I92" s="36"/>
      <c r="J92" s="241"/>
      <c r="K92" s="36"/>
      <c r="P92" s="407" t="s">
        <v>20</v>
      </c>
      <c r="Q92" s="741">
        <f t="shared" si="4"/>
        <v>2</v>
      </c>
    </row>
    <row r="93" spans="1:17" ht="12" customHeight="1">
      <c r="A93" s="407" t="str">
        <f>A29</f>
        <v>Industrial Time of Day</v>
      </c>
      <c r="B93" s="35"/>
      <c r="C93" s="19"/>
      <c r="D93" s="19"/>
      <c r="E93" s="19"/>
      <c r="F93" s="19"/>
      <c r="G93" s="19"/>
      <c r="H93" s="19"/>
      <c r="I93" s="36"/>
      <c r="J93" s="241"/>
      <c r="K93" s="36"/>
      <c r="P93" s="407" t="s">
        <v>21</v>
      </c>
      <c r="Q93" s="741">
        <f t="shared" si="4"/>
        <v>747</v>
      </c>
    </row>
    <row r="94" spans="1:17" ht="12" customHeight="1">
      <c r="A94" s="742" t="str">
        <f>A31&amp;" (a)"</f>
        <v>Primary (a)</v>
      </c>
      <c r="B94" s="407"/>
      <c r="C94" s="601"/>
      <c r="D94" s="743">
        <f>Q88</f>
        <v>239</v>
      </c>
      <c r="E94" s="743"/>
      <c r="F94" s="601" t="e">
        <f>$K$252</f>
        <v>#REF!</v>
      </c>
      <c r="G94" s="743"/>
      <c r="H94" s="743"/>
      <c r="I94" s="736" t="e">
        <f>$K$293</f>
        <v>#REF!</v>
      </c>
      <c r="J94" s="794"/>
      <c r="K94" s="736">
        <f>ROUND(H94*J94,0)</f>
        <v>0</v>
      </c>
      <c r="P94" s="407" t="s">
        <v>1035</v>
      </c>
      <c r="Q94" s="741">
        <f>SUMIFS(_12MonLights_Count,_12MonLights_RevMonth,$P$74,_12MonLights_RateClass,'Yr End Cust Adj'!$P94)+SUMIFS(_12MonLights_Count_Adj,_12MonLights_RevMonth,$P$74,_12MonLights_RateClass,'Yr End Cust Adj'!$P94)</f>
        <v>141934</v>
      </c>
    </row>
    <row r="95" spans="1:17">
      <c r="A95" s="742" t="str">
        <f>A33&amp;" (b)"</f>
        <v>Secondary (b)</v>
      </c>
      <c r="B95" s="35"/>
      <c r="C95" s="601"/>
      <c r="D95" s="743">
        <f>Q89</f>
        <v>456</v>
      </c>
      <c r="E95" s="265"/>
      <c r="F95" s="601" t="e">
        <f>$K$253</f>
        <v>#REF!</v>
      </c>
      <c r="G95" s="265"/>
      <c r="H95" s="265"/>
      <c r="I95" s="736" t="e">
        <f>$K$294</f>
        <v>#REF!</v>
      </c>
      <c r="J95" s="794"/>
      <c r="K95" s="736">
        <f>ROUND(H95*J95,0)</f>
        <v>0</v>
      </c>
      <c r="P95" s="407" t="s">
        <v>1036</v>
      </c>
      <c r="Q95" s="741">
        <f>SUMIFS(_12MonLights_Count,_12MonLights_RevMonth,$P$74,_12MonLights_RateClass,'Yr End Cust Adj'!$P95)+SUMIFS(_12MonLights_Count_Adj,_12MonLights_RevMonth,$P$74,_12MonLights_RateClass,'Yr End Cust Adj'!$P95)</f>
        <v>26773</v>
      </c>
    </row>
    <row r="96" spans="1:17">
      <c r="A96" s="407"/>
      <c r="B96" s="61"/>
      <c r="C96" s="19"/>
      <c r="D96" s="601"/>
      <c r="E96" s="19"/>
      <c r="F96" s="19"/>
      <c r="G96" s="19"/>
      <c r="H96" s="19"/>
      <c r="I96" s="36"/>
      <c r="J96" s="241"/>
      <c r="K96" s="36"/>
    </row>
    <row r="97" spans="1:11">
      <c r="A97" s="407" t="str">
        <f>A36&amp;" (c)"</f>
        <v>Retail Transmisison Service (c)</v>
      </c>
      <c r="B97" s="61"/>
      <c r="C97" s="19"/>
      <c r="D97" s="601">
        <f>Q90</f>
        <v>32</v>
      </c>
      <c r="E97" s="19"/>
      <c r="F97" s="601" t="e">
        <f>$K$255</f>
        <v>#REF!</v>
      </c>
      <c r="G97" s="265"/>
      <c r="H97" s="19"/>
      <c r="I97" s="736" t="e">
        <f>$K$296</f>
        <v>#REF!</v>
      </c>
      <c r="J97" s="794"/>
      <c r="K97" s="736">
        <f>ROUND(H97*J97,0)</f>
        <v>0</v>
      </c>
    </row>
    <row r="98" spans="1:11">
      <c r="A98" s="407"/>
      <c r="B98" s="61"/>
      <c r="C98" s="19"/>
      <c r="D98" s="601"/>
      <c r="E98" s="19"/>
      <c r="F98" s="19"/>
      <c r="G98" s="19"/>
      <c r="H98" s="19"/>
      <c r="I98" s="36"/>
      <c r="J98" s="241"/>
      <c r="K98" s="36"/>
    </row>
    <row r="99" spans="1:11">
      <c r="A99" s="407" t="str">
        <f>A40</f>
        <v>Fluctuating Load Service</v>
      </c>
      <c r="B99" s="61"/>
      <c r="C99" s="601" t="e">
        <f>$G$257</f>
        <v>#REF!</v>
      </c>
      <c r="D99" s="601">
        <f>Q91</f>
        <v>1</v>
      </c>
      <c r="E99" s="601" t="e">
        <f>D99-C99</f>
        <v>#REF!</v>
      </c>
      <c r="F99" s="601" t="e">
        <f>$K$257</f>
        <v>#REF!</v>
      </c>
      <c r="G99" s="601" t="e">
        <f>ROUND(F99/C99,0)</f>
        <v>#REF!</v>
      </c>
      <c r="H99" s="601" t="e">
        <f>ROUND(E99*G99,0)</f>
        <v>#REF!</v>
      </c>
      <c r="I99" s="736" t="e">
        <f>$K$298</f>
        <v>#REF!</v>
      </c>
      <c r="J99" s="794" t="e">
        <f>ROUND(I99/F99,5)</f>
        <v>#REF!</v>
      </c>
      <c r="K99" s="736" t="e">
        <f>ROUND(H99*J99,0)</f>
        <v>#REF!</v>
      </c>
    </row>
    <row r="100" spans="1:11">
      <c r="A100" s="407"/>
      <c r="B100" s="61"/>
      <c r="C100" s="19"/>
      <c r="D100" s="601"/>
      <c r="E100" s="19"/>
      <c r="F100" s="19"/>
      <c r="G100" s="19"/>
      <c r="H100" s="19"/>
      <c r="I100" s="36"/>
      <c r="J100" s="241"/>
      <c r="K100" s="36"/>
    </row>
    <row r="101" spans="1:11">
      <c r="A101" s="407" t="str">
        <f>A43</f>
        <v>Lighting Energy</v>
      </c>
      <c r="B101" s="61"/>
      <c r="C101" s="601" t="e">
        <f>$G$259</f>
        <v>#REF!</v>
      </c>
      <c r="D101" s="601">
        <f>Q92</f>
        <v>2</v>
      </c>
      <c r="E101" s="601" t="e">
        <f>D101-C101</f>
        <v>#REF!</v>
      </c>
      <c r="F101" s="601" t="e">
        <f>$K$259</f>
        <v>#REF!</v>
      </c>
      <c r="G101" s="601" t="e">
        <f>ROUND(F101/C101,0)</f>
        <v>#REF!</v>
      </c>
      <c r="H101" s="601" t="e">
        <f>ROUND(E101*G101,0)</f>
        <v>#REF!</v>
      </c>
      <c r="I101" s="736" t="e">
        <f>$K$300</f>
        <v>#REF!</v>
      </c>
      <c r="J101" s="794" t="e">
        <f>ROUND(I101/F101,5)</f>
        <v>#REF!</v>
      </c>
      <c r="K101" s="736" t="e">
        <f>ROUND(H101*J101,0)</f>
        <v>#REF!</v>
      </c>
    </row>
    <row r="102" spans="1:11">
      <c r="A102" s="407"/>
      <c r="B102" s="61"/>
      <c r="C102" s="19"/>
      <c r="D102" s="601"/>
      <c r="E102" s="19"/>
      <c r="F102" s="19"/>
      <c r="G102" s="19"/>
      <c r="H102" s="19"/>
      <c r="I102" s="36"/>
      <c r="J102" s="241"/>
      <c r="K102" s="36"/>
    </row>
    <row r="103" spans="1:11">
      <c r="A103" s="407" t="str">
        <f>A45</f>
        <v>Traffic Energy</v>
      </c>
      <c r="B103" s="61"/>
      <c r="C103" s="601" t="e">
        <f>$G$261</f>
        <v>#REF!</v>
      </c>
      <c r="D103" s="601">
        <f>Q93</f>
        <v>747</v>
      </c>
      <c r="E103" s="601" t="e">
        <f>D103-C103</f>
        <v>#REF!</v>
      </c>
      <c r="F103" s="601" t="e">
        <f>$K$261</f>
        <v>#REF!</v>
      </c>
      <c r="G103" s="601" t="e">
        <f>ROUND(F103/C103,0)</f>
        <v>#REF!</v>
      </c>
      <c r="H103" s="601" t="e">
        <f>ROUND(E103*G103,0)</f>
        <v>#REF!</v>
      </c>
      <c r="I103" s="736" t="e">
        <f>$K$302</f>
        <v>#REF!</v>
      </c>
      <c r="J103" s="794" t="e">
        <f>ROUND(I103/F103,5)</f>
        <v>#REF!</v>
      </c>
      <c r="K103" s="736" t="e">
        <f>ROUND(H103*J103,0)</f>
        <v>#REF!</v>
      </c>
    </row>
    <row r="104" spans="1:11">
      <c r="A104" s="407"/>
      <c r="B104" s="61"/>
      <c r="D104" s="267"/>
      <c r="E104" s="267"/>
      <c r="F104" s="19"/>
      <c r="G104" s="19"/>
      <c r="H104" s="19"/>
      <c r="I104" s="36"/>
      <c r="J104" s="36"/>
      <c r="K104" s="36"/>
    </row>
    <row r="105" spans="1:11" ht="14.25">
      <c r="A105" s="407" t="s">
        <v>1395</v>
      </c>
      <c r="B105" s="61"/>
      <c r="C105" s="789" t="s">
        <v>828</v>
      </c>
      <c r="D105" s="790"/>
      <c r="E105" s="47"/>
      <c r="F105" s="47"/>
      <c r="G105" s="47"/>
      <c r="H105" s="47"/>
      <c r="I105" s="37"/>
      <c r="J105" s="243"/>
      <c r="K105" s="37"/>
    </row>
    <row r="106" spans="1:11">
      <c r="A106" s="742" t="s">
        <v>91</v>
      </c>
      <c r="B106" s="61"/>
      <c r="C106" s="601" t="e">
        <f>ROUND(SUM(Q255:T255)/13,0)</f>
        <v>#REF!</v>
      </c>
      <c r="D106" s="601">
        <f>Q94</f>
        <v>141934</v>
      </c>
      <c r="E106" s="601" t="e">
        <f>D106-C106</f>
        <v>#REF!</v>
      </c>
      <c r="F106" s="601" t="e">
        <f>$K$264</f>
        <v>#REF!</v>
      </c>
      <c r="G106" s="199"/>
      <c r="H106" s="212"/>
      <c r="I106" s="736" t="e">
        <f>$K$305</f>
        <v>#REF!</v>
      </c>
      <c r="J106" s="243"/>
      <c r="K106" s="242"/>
    </row>
    <row r="107" spans="1:11" ht="14.25">
      <c r="A107" s="742" t="s">
        <v>1396</v>
      </c>
      <c r="B107" s="61"/>
      <c r="C107" s="602" t="e">
        <f>ROUND(SUM(Q256:T256)/13,0)</f>
        <v>#REF!</v>
      </c>
      <c r="D107" s="602">
        <f>Q95</f>
        <v>26773</v>
      </c>
      <c r="E107" s="601" t="e">
        <f>D107-C107</f>
        <v>#REF!</v>
      </c>
      <c r="F107" s="602" t="e">
        <f>$K$265</f>
        <v>#REF!</v>
      </c>
      <c r="G107" s="199"/>
      <c r="H107" s="47"/>
      <c r="I107" s="786" t="e">
        <f>$K$306</f>
        <v>#REF!</v>
      </c>
      <c r="J107" s="243"/>
      <c r="K107" s="242"/>
    </row>
    <row r="108" spans="1:11">
      <c r="A108" s="742"/>
      <c r="B108" s="61"/>
      <c r="C108" s="601" t="e">
        <f>SUM(C106:C107)</f>
        <v>#REF!</v>
      </c>
      <c r="D108" s="601">
        <f>SUM(D106:D107)</f>
        <v>168707</v>
      </c>
      <c r="E108" s="601" t="e">
        <f>D108-C108</f>
        <v>#REF!</v>
      </c>
      <c r="F108" s="601" t="e">
        <f>SUM(F106:F107)</f>
        <v>#REF!</v>
      </c>
      <c r="G108" s="601" t="e">
        <f>ROUND(F108/C108,0)</f>
        <v>#REF!</v>
      </c>
      <c r="H108" s="601" t="e">
        <f>ROUND(E108*G108,0)</f>
        <v>#REF!</v>
      </c>
      <c r="I108" s="736" t="e">
        <f>SUM(I106:I107)</f>
        <v>#REF!</v>
      </c>
      <c r="J108" s="600" t="e">
        <f>ROUND(I108/C108,5)</f>
        <v>#REF!</v>
      </c>
      <c r="K108" s="736" t="e">
        <f>ROUND(E108*J108,0)</f>
        <v>#REF!</v>
      </c>
    </row>
    <row r="109" spans="1:11">
      <c r="A109" s="407"/>
      <c r="B109" s="61"/>
      <c r="C109" s="19"/>
      <c r="D109" s="19"/>
      <c r="E109" s="19"/>
      <c r="F109" s="19"/>
      <c r="G109" s="19"/>
      <c r="H109" s="19"/>
      <c r="I109" s="36"/>
      <c r="J109" s="36"/>
      <c r="K109" s="36"/>
    </row>
    <row r="110" spans="1:11">
      <c r="A110" s="664" t="str">
        <f>A52</f>
        <v>Totals</v>
      </c>
      <c r="B110" s="61"/>
      <c r="C110" s="601" t="e">
        <f>SUM(C77:C103,C108)</f>
        <v>#REF!</v>
      </c>
      <c r="D110" s="601">
        <f>SUM(D77:D103,D108)</f>
        <v>686151</v>
      </c>
      <c r="E110" s="19"/>
      <c r="F110" s="601" t="e">
        <f>SUM(F77:F103,F108)</f>
        <v>#REF!</v>
      </c>
      <c r="G110" s="19"/>
      <c r="H110" s="19"/>
      <c r="I110" s="736" t="e">
        <f>SUM(I77:I103,I108)</f>
        <v>#REF!</v>
      </c>
      <c r="J110" s="19"/>
      <c r="K110" s="736" t="e">
        <f>SUM(K77:K103,K108)</f>
        <v>#REF!</v>
      </c>
    </row>
    <row r="111" spans="1:11">
      <c r="A111" s="61"/>
      <c r="B111" s="61"/>
      <c r="C111" s="61"/>
      <c r="D111" s="61"/>
      <c r="E111" s="61"/>
      <c r="F111" s="61"/>
      <c r="G111" s="61"/>
      <c r="H111" s="61"/>
      <c r="I111" s="61"/>
      <c r="J111" s="61"/>
      <c r="K111" s="61"/>
    </row>
    <row r="112" spans="1:11">
      <c r="A112" s="785" t="s">
        <v>879</v>
      </c>
      <c r="B112" s="275"/>
      <c r="C112" s="791" t="e">
        <f>C130</f>
        <v>#REF!</v>
      </c>
      <c r="D112" s="785" t="s">
        <v>827</v>
      </c>
      <c r="E112" s="276"/>
      <c r="F112" s="22"/>
      <c r="G112" s="276"/>
      <c r="H112" s="276"/>
      <c r="I112" s="276"/>
      <c r="J112" s="276"/>
      <c r="K112" s="783" t="e">
        <f>K110*C112</f>
        <v>#REF!</v>
      </c>
    </row>
    <row r="113" spans="1:11">
      <c r="A113" s="275"/>
      <c r="B113" s="275"/>
      <c r="C113" s="275"/>
      <c r="D113" s="275"/>
      <c r="E113" s="276"/>
      <c r="F113" s="22"/>
      <c r="G113" s="276"/>
      <c r="H113" s="276"/>
      <c r="I113" s="276"/>
      <c r="J113" s="276"/>
      <c r="K113" s="275"/>
    </row>
    <row r="114" spans="1:11" ht="12.75" thickBot="1">
      <c r="A114" s="61"/>
      <c r="B114" s="275"/>
      <c r="C114" s="275"/>
      <c r="D114" s="61"/>
      <c r="E114" s="61"/>
      <c r="F114" s="61"/>
      <c r="G114" s="792" t="s">
        <v>927</v>
      </c>
      <c r="H114" s="276"/>
      <c r="I114" s="403"/>
      <c r="J114" s="276"/>
      <c r="K114" s="784" t="e">
        <f>+K110-K112</f>
        <v>#REF!</v>
      </c>
    </row>
    <row r="115" spans="1:11" ht="12.75" thickTop="1">
      <c r="A115" s="274" t="s">
        <v>868</v>
      </c>
      <c r="B115" s="61"/>
      <c r="C115" s="61"/>
      <c r="D115" s="61"/>
      <c r="E115" s="61"/>
      <c r="F115" s="61"/>
      <c r="G115" s="61"/>
      <c r="H115" s="61"/>
      <c r="I115" s="61"/>
      <c r="J115" s="61"/>
      <c r="K115" s="61"/>
    </row>
    <row r="116" spans="1:11">
      <c r="A116" s="274" t="s">
        <v>869</v>
      </c>
      <c r="B116" s="61"/>
      <c r="C116" s="61"/>
      <c r="D116" s="61"/>
      <c r="E116" s="61"/>
      <c r="F116" s="61"/>
      <c r="G116" s="61"/>
      <c r="H116" s="61"/>
      <c r="I116" s="61"/>
      <c r="J116" s="61"/>
      <c r="K116" s="61"/>
    </row>
    <row r="117" spans="1:11">
      <c r="A117" s="274" t="s">
        <v>870</v>
      </c>
      <c r="B117" s="61"/>
      <c r="C117" s="61"/>
      <c r="D117" s="61"/>
      <c r="E117" s="61"/>
      <c r="F117" s="61"/>
      <c r="G117" s="61"/>
      <c r="H117" s="61"/>
      <c r="I117" s="61"/>
      <c r="J117" s="61"/>
      <c r="K117" s="61"/>
    </row>
    <row r="118" spans="1:11">
      <c r="A118" s="61"/>
      <c r="B118" s="61"/>
      <c r="C118" s="61"/>
      <c r="D118" s="61"/>
      <c r="E118" s="61"/>
      <c r="F118" s="61"/>
      <c r="G118" s="61"/>
      <c r="H118" s="61"/>
      <c r="I118" s="61"/>
      <c r="J118" s="61"/>
      <c r="K118" s="61"/>
    </row>
    <row r="119" spans="1:11">
      <c r="A119" s="61"/>
      <c r="B119" s="61"/>
      <c r="C119" s="61"/>
      <c r="D119" s="61"/>
      <c r="E119" s="61"/>
      <c r="F119" s="61"/>
      <c r="G119" s="61"/>
      <c r="H119" s="61"/>
      <c r="I119" s="61"/>
      <c r="J119" s="61"/>
      <c r="K119" s="61"/>
    </row>
    <row r="120" spans="1:11">
      <c r="A120" s="407" t="s">
        <v>819</v>
      </c>
      <c r="B120" s="407"/>
      <c r="C120" s="61"/>
      <c r="D120" s="61"/>
      <c r="E120" s="61"/>
      <c r="F120" s="61"/>
      <c r="G120" s="61"/>
      <c r="H120" s="61"/>
      <c r="I120" s="61"/>
      <c r="J120" s="61"/>
      <c r="K120" s="61"/>
    </row>
    <row r="121" spans="1:11">
      <c r="A121" s="407"/>
      <c r="B121" s="407"/>
      <c r="C121" s="61"/>
      <c r="D121" s="61"/>
      <c r="E121" s="61"/>
      <c r="F121" s="61"/>
      <c r="G121" s="61"/>
      <c r="H121" s="61"/>
      <c r="I121" s="61"/>
      <c r="J121" s="61"/>
      <c r="K121" s="61"/>
    </row>
    <row r="122" spans="1:11">
      <c r="A122" s="407" t="s">
        <v>820</v>
      </c>
      <c r="B122" s="407"/>
      <c r="C122" s="736">
        <v>926012530</v>
      </c>
      <c r="D122" s="61" t="s">
        <v>1403</v>
      </c>
      <c r="E122" s="61"/>
      <c r="F122" s="61"/>
      <c r="G122" s="61"/>
      <c r="H122" s="61"/>
      <c r="I122" s="61"/>
      <c r="J122" s="61"/>
      <c r="K122" s="61"/>
    </row>
    <row r="123" spans="1:11">
      <c r="A123" s="742" t="s">
        <v>821</v>
      </c>
      <c r="B123" s="407"/>
      <c r="C123" s="736">
        <f>143387269-C124</f>
        <v>114153986</v>
      </c>
      <c r="D123" s="274" t="s">
        <v>1407</v>
      </c>
      <c r="E123" s="61"/>
      <c r="F123" s="61"/>
      <c r="G123" s="61"/>
      <c r="H123" s="61"/>
      <c r="I123" s="61"/>
      <c r="J123" s="61"/>
      <c r="K123" s="61"/>
    </row>
    <row r="124" spans="1:11">
      <c r="A124" s="742" t="s">
        <v>822</v>
      </c>
      <c r="B124" s="407"/>
      <c r="C124" s="736">
        <v>29233283</v>
      </c>
      <c r="D124" s="274" t="s">
        <v>1406</v>
      </c>
      <c r="E124" s="61"/>
      <c r="F124" s="61"/>
      <c r="G124" s="61"/>
      <c r="H124" s="61"/>
      <c r="I124" s="61"/>
      <c r="J124" s="61"/>
      <c r="K124" s="61"/>
    </row>
    <row r="125" spans="1:11" ht="14.25">
      <c r="A125" s="742" t="s">
        <v>823</v>
      </c>
      <c r="B125" s="407"/>
      <c r="C125" s="786">
        <v>1235740</v>
      </c>
      <c r="D125" s="61" t="s">
        <v>1404</v>
      </c>
      <c r="E125" s="61"/>
      <c r="F125" s="61"/>
      <c r="G125" s="61"/>
      <c r="H125" s="61"/>
      <c r="I125" s="61"/>
      <c r="J125" s="61"/>
      <c r="K125" s="61"/>
    </row>
    <row r="126" spans="1:11">
      <c r="A126" s="787" t="s">
        <v>824</v>
      </c>
      <c r="B126" s="407"/>
      <c r="C126" s="736">
        <f>C122-SUM(C123:C125)</f>
        <v>781389521</v>
      </c>
      <c r="D126" s="61"/>
      <c r="E126" s="61"/>
      <c r="F126" s="61"/>
      <c r="G126" s="61"/>
      <c r="H126" s="61"/>
      <c r="I126" s="61"/>
      <c r="J126" s="61"/>
      <c r="K126" s="61"/>
    </row>
    <row r="127" spans="1:11">
      <c r="A127" s="407"/>
      <c r="B127" s="407"/>
      <c r="C127" s="36"/>
      <c r="D127" s="61"/>
      <c r="E127" s="61"/>
      <c r="F127" s="61"/>
      <c r="G127" s="61"/>
      <c r="H127" s="61"/>
      <c r="I127" s="61"/>
      <c r="J127" s="61"/>
      <c r="K127" s="61"/>
    </row>
    <row r="128" spans="1:11">
      <c r="A128" s="407" t="s">
        <v>825</v>
      </c>
      <c r="B128" s="407"/>
      <c r="C128" s="736" t="e">
        <f>'Sch M-1.3-pg 1'!#REF!</f>
        <v>#REF!</v>
      </c>
      <c r="D128" s="61"/>
      <c r="E128" s="61"/>
      <c r="F128" s="61"/>
      <c r="G128" s="61"/>
      <c r="H128" s="61"/>
      <c r="I128" s="61"/>
      <c r="J128" s="61"/>
      <c r="K128" s="61"/>
    </row>
    <row r="129" spans="1:11">
      <c r="A129" s="407"/>
      <c r="B129" s="407"/>
      <c r="C129" s="61"/>
      <c r="D129" s="61"/>
      <c r="E129" s="61"/>
      <c r="F129" s="61"/>
      <c r="G129" s="61"/>
      <c r="H129" s="61"/>
      <c r="I129" s="61"/>
      <c r="J129" s="61"/>
      <c r="K129" s="61"/>
    </row>
    <row r="130" spans="1:11">
      <c r="A130" s="744" t="s">
        <v>826</v>
      </c>
      <c r="B130" s="407"/>
      <c r="C130" s="407" t="e">
        <f>C126/C128</f>
        <v>#REF!</v>
      </c>
      <c r="D130" s="61"/>
      <c r="E130" s="61"/>
      <c r="F130" s="61"/>
      <c r="G130" s="61"/>
      <c r="H130" s="61"/>
      <c r="I130" s="61"/>
      <c r="J130" s="61"/>
      <c r="K130" s="61"/>
    </row>
    <row r="131" spans="1:11">
      <c r="A131" s="61"/>
      <c r="B131" s="61"/>
      <c r="C131" s="61"/>
      <c r="D131" s="61"/>
      <c r="E131" s="61"/>
      <c r="F131" s="61"/>
      <c r="G131" s="61"/>
      <c r="H131" s="61"/>
      <c r="I131" s="61"/>
      <c r="J131" s="61"/>
      <c r="K131" s="61"/>
    </row>
    <row r="132" spans="1:11">
      <c r="A132" s="61"/>
      <c r="B132" s="61"/>
      <c r="C132" s="61"/>
      <c r="D132" s="61"/>
      <c r="E132" s="61"/>
      <c r="F132" s="61"/>
      <c r="G132" s="61"/>
      <c r="H132" s="61"/>
      <c r="I132" s="61"/>
      <c r="J132" s="61"/>
      <c r="K132" s="61"/>
    </row>
    <row r="133" spans="1:11">
      <c r="A133" s="274" t="s">
        <v>854</v>
      </c>
      <c r="B133" s="61"/>
      <c r="C133" s="61"/>
      <c r="D133" s="61"/>
      <c r="E133" s="61"/>
      <c r="F133" s="61"/>
      <c r="G133" s="61"/>
      <c r="H133" s="61"/>
      <c r="I133" s="61"/>
      <c r="J133" s="61"/>
      <c r="K133" s="61"/>
    </row>
    <row r="134" spans="1:11">
      <c r="A134" s="61"/>
      <c r="B134" s="61"/>
      <c r="C134" s="277">
        <v>-1</v>
      </c>
      <c r="D134" s="277">
        <f>C134-1</f>
        <v>-2</v>
      </c>
      <c r="E134" s="277">
        <f>D134-1</f>
        <v>-3</v>
      </c>
      <c r="F134" s="277">
        <f>E134-1</f>
        <v>-4</v>
      </c>
      <c r="G134" s="277">
        <f>F134-1</f>
        <v>-5</v>
      </c>
      <c r="H134" s="277">
        <f>G134-1</f>
        <v>-6</v>
      </c>
      <c r="I134" s="277"/>
      <c r="J134" s="277">
        <f>H134-1</f>
        <v>-7</v>
      </c>
      <c r="K134" s="277">
        <f>J134-1</f>
        <v>-8</v>
      </c>
    </row>
    <row r="135" spans="1:11" ht="36">
      <c r="A135" s="61"/>
      <c r="B135" s="61"/>
      <c r="C135" s="61"/>
      <c r="D135" s="278" t="s">
        <v>834</v>
      </c>
      <c r="E135" s="278"/>
      <c r="F135" s="278"/>
      <c r="G135" s="278"/>
      <c r="H135" s="278"/>
      <c r="I135" s="61"/>
      <c r="J135" s="273" t="s">
        <v>856</v>
      </c>
      <c r="K135" s="272" t="s">
        <v>98</v>
      </c>
    </row>
    <row r="136" spans="1:11" ht="24">
      <c r="A136" s="61"/>
      <c r="B136" s="61"/>
      <c r="C136" s="61"/>
      <c r="D136" s="272" t="s">
        <v>795</v>
      </c>
      <c r="E136" s="272" t="s">
        <v>835</v>
      </c>
      <c r="F136" s="272" t="s">
        <v>836</v>
      </c>
      <c r="G136" s="272" t="s">
        <v>837</v>
      </c>
      <c r="H136" s="272" t="s">
        <v>838</v>
      </c>
      <c r="I136" s="61"/>
      <c r="J136" s="61"/>
      <c r="K136" s="61"/>
    </row>
    <row r="137" spans="1:11">
      <c r="A137" s="407" t="s">
        <v>832</v>
      </c>
      <c r="B137" s="407" t="s">
        <v>1371</v>
      </c>
      <c r="C137" s="407" t="s">
        <v>833</v>
      </c>
      <c r="D137" s="735">
        <v>9</v>
      </c>
      <c r="E137" s="735">
        <v>1672800</v>
      </c>
      <c r="F137" s="735">
        <v>11836.7</v>
      </c>
      <c r="G137" s="735">
        <v>11836.7</v>
      </c>
      <c r="H137" s="735">
        <v>11554.6</v>
      </c>
      <c r="I137" s="407"/>
      <c r="J137" s="736">
        <v>161241.07</v>
      </c>
      <c r="K137" s="736">
        <f t="shared" ref="K137:K142" si="5">-J137</f>
        <v>-161241.07</v>
      </c>
    </row>
    <row r="138" spans="1:11">
      <c r="A138" s="407" t="s">
        <v>839</v>
      </c>
      <c r="B138" s="407" t="s">
        <v>1372</v>
      </c>
      <c r="C138" s="407" t="s">
        <v>833</v>
      </c>
      <c r="D138" s="735">
        <v>2</v>
      </c>
      <c r="E138" s="735">
        <v>91800</v>
      </c>
      <c r="F138" s="735">
        <v>1389.1</v>
      </c>
      <c r="G138" s="735">
        <v>1389.1</v>
      </c>
      <c r="H138" s="735">
        <v>1347.2</v>
      </c>
      <c r="I138" s="407"/>
      <c r="J138" s="736">
        <v>17293.439999999999</v>
      </c>
      <c r="K138" s="736">
        <f t="shared" si="5"/>
        <v>-17293.439999999999</v>
      </c>
    </row>
    <row r="139" spans="1:11">
      <c r="A139" s="407" t="s">
        <v>842</v>
      </c>
      <c r="B139" s="407" t="s">
        <v>1373</v>
      </c>
      <c r="C139" s="407" t="s">
        <v>833</v>
      </c>
      <c r="D139" s="735">
        <v>5</v>
      </c>
      <c r="E139" s="735">
        <v>820800</v>
      </c>
      <c r="F139" s="735">
        <v>4067.2</v>
      </c>
      <c r="G139" s="735">
        <v>4067.2</v>
      </c>
      <c r="H139" s="735">
        <v>4063.9999999999995</v>
      </c>
      <c r="I139" s="407"/>
      <c r="J139" s="736">
        <v>88605.18</v>
      </c>
      <c r="K139" s="736">
        <f t="shared" si="5"/>
        <v>-88605.18</v>
      </c>
    </row>
    <row r="140" spans="1:11">
      <c r="A140" s="407" t="s">
        <v>843</v>
      </c>
      <c r="B140" s="407" t="s">
        <v>1374</v>
      </c>
      <c r="C140" s="407" t="s">
        <v>833</v>
      </c>
      <c r="D140" s="735">
        <v>7</v>
      </c>
      <c r="E140" s="735">
        <v>2114400</v>
      </c>
      <c r="F140" s="735">
        <v>5047.1000000000004</v>
      </c>
      <c r="G140" s="735">
        <v>4968.7000000000007</v>
      </c>
      <c r="H140" s="735">
        <v>4914.4000000000005</v>
      </c>
      <c r="I140" s="407"/>
      <c r="J140" s="736">
        <v>119024.75</v>
      </c>
      <c r="K140" s="736">
        <f t="shared" si="5"/>
        <v>-119024.75</v>
      </c>
    </row>
    <row r="141" spans="1:11">
      <c r="A141" s="407" t="s">
        <v>844</v>
      </c>
      <c r="B141" s="407" t="s">
        <v>1375</v>
      </c>
      <c r="C141" s="407" t="s">
        <v>833</v>
      </c>
      <c r="D141" s="735">
        <v>7</v>
      </c>
      <c r="E141" s="735">
        <v>4447200</v>
      </c>
      <c r="F141" s="735">
        <v>5047.1000000000004</v>
      </c>
      <c r="G141" s="735">
        <v>4968.7000000000007</v>
      </c>
      <c r="H141" s="735">
        <v>4914.4000000000005</v>
      </c>
      <c r="I141" s="407"/>
      <c r="J141" s="736">
        <v>237124.92</v>
      </c>
      <c r="K141" s="736">
        <f t="shared" si="5"/>
        <v>-237124.92</v>
      </c>
    </row>
    <row r="142" spans="1:11">
      <c r="A142" s="407" t="s">
        <v>845</v>
      </c>
      <c r="B142" s="407" t="s">
        <v>1376</v>
      </c>
      <c r="C142" s="407" t="s">
        <v>833</v>
      </c>
      <c r="D142" s="735">
        <v>11</v>
      </c>
      <c r="E142" s="735">
        <v>2344800</v>
      </c>
      <c r="F142" s="735">
        <v>7659.2999999999993</v>
      </c>
      <c r="G142" s="735">
        <v>7634.2</v>
      </c>
      <c r="H142" s="735">
        <v>7482.9000000000005</v>
      </c>
      <c r="I142" s="407"/>
      <c r="J142" s="736">
        <v>152487.76999999999</v>
      </c>
      <c r="K142" s="736">
        <f t="shared" si="5"/>
        <v>-152487.76999999999</v>
      </c>
    </row>
    <row r="143" spans="1:11">
      <c r="A143" s="61"/>
      <c r="B143" s="61"/>
      <c r="C143" s="61"/>
      <c r="D143" s="240"/>
      <c r="E143" s="240"/>
      <c r="F143" s="240"/>
      <c r="G143" s="240"/>
      <c r="H143" s="240"/>
      <c r="I143" s="61"/>
      <c r="J143" s="36"/>
      <c r="K143" s="36"/>
    </row>
    <row r="144" spans="1:11">
      <c r="A144" s="415" t="s">
        <v>846</v>
      </c>
      <c r="B144" s="407" t="s">
        <v>1377</v>
      </c>
      <c r="C144" s="403" t="s">
        <v>1378</v>
      </c>
      <c r="D144" s="735">
        <v>6</v>
      </c>
      <c r="E144" s="735">
        <v>3708000</v>
      </c>
      <c r="F144" s="735">
        <v>8452.6999999999989</v>
      </c>
      <c r="G144" s="735">
        <v>7827.8</v>
      </c>
      <c r="H144" s="735">
        <v>7768.2</v>
      </c>
      <c r="I144" s="407"/>
      <c r="J144" s="736">
        <v>217780.83</v>
      </c>
      <c r="K144" s="736"/>
    </row>
    <row r="145" spans="1:11">
      <c r="A145" s="407"/>
      <c r="B145" s="407"/>
      <c r="C145" s="449" t="s">
        <v>841</v>
      </c>
      <c r="D145" s="735">
        <v>12</v>
      </c>
      <c r="E145" s="735">
        <v>7416000</v>
      </c>
      <c r="F145" s="735">
        <v>16905.400000000001</v>
      </c>
      <c r="G145" s="735">
        <v>15655.6</v>
      </c>
      <c r="H145" s="735">
        <v>15536.4</v>
      </c>
      <c r="I145" s="407"/>
      <c r="J145" s="736">
        <v>435561.66</v>
      </c>
      <c r="K145" s="736">
        <f>J145-J144</f>
        <v>217780.83</v>
      </c>
    </row>
    <row r="146" spans="1:11">
      <c r="A146" s="61"/>
      <c r="B146" s="61"/>
      <c r="C146" s="738" t="s">
        <v>1351</v>
      </c>
      <c r="D146" s="240"/>
      <c r="E146" s="240"/>
      <c r="F146" s="240"/>
      <c r="G146" s="240"/>
      <c r="H146" s="240"/>
      <c r="I146" s="61"/>
      <c r="J146" s="36"/>
      <c r="K146" s="36"/>
    </row>
    <row r="147" spans="1:11">
      <c r="A147" s="415" t="s">
        <v>847</v>
      </c>
      <c r="B147" s="407" t="s">
        <v>1379</v>
      </c>
      <c r="C147" s="403" t="s">
        <v>1380</v>
      </c>
      <c r="D147" s="735">
        <v>3</v>
      </c>
      <c r="E147" s="735">
        <v>494400</v>
      </c>
      <c r="F147" s="735">
        <v>4302</v>
      </c>
      <c r="G147" s="735">
        <v>4302</v>
      </c>
      <c r="H147" s="735">
        <v>4302</v>
      </c>
      <c r="I147" s="407"/>
      <c r="J147" s="736">
        <v>58703.15</v>
      </c>
      <c r="K147" s="736"/>
    </row>
    <row r="148" spans="1:11">
      <c r="A148" s="407"/>
      <c r="B148" s="407"/>
      <c r="C148" s="449" t="s">
        <v>841</v>
      </c>
      <c r="D148" s="735">
        <v>12</v>
      </c>
      <c r="E148" s="735">
        <v>1977600</v>
      </c>
      <c r="F148" s="735">
        <v>17208</v>
      </c>
      <c r="G148" s="735">
        <v>17208</v>
      </c>
      <c r="H148" s="735">
        <v>17208</v>
      </c>
      <c r="I148" s="407"/>
      <c r="J148" s="736">
        <v>234812.59</v>
      </c>
      <c r="K148" s="736">
        <f>J148-J147</f>
        <v>176109.44</v>
      </c>
    </row>
    <row r="149" spans="1:11">
      <c r="A149" s="61"/>
      <c r="B149" s="61"/>
      <c r="C149" s="738" t="s">
        <v>1351</v>
      </c>
      <c r="D149" s="240"/>
      <c r="E149" s="240"/>
      <c r="F149" s="240"/>
      <c r="G149" s="240"/>
      <c r="H149" s="240"/>
      <c r="I149" s="61"/>
      <c r="J149" s="36"/>
      <c r="K149" s="36"/>
    </row>
    <row r="150" spans="1:11">
      <c r="A150" s="415" t="s">
        <v>848</v>
      </c>
      <c r="B150" s="407" t="s">
        <v>1381</v>
      </c>
      <c r="C150" s="403" t="s">
        <v>1382</v>
      </c>
      <c r="D150" s="735">
        <v>1.4</v>
      </c>
      <c r="E150" s="735">
        <v>301200</v>
      </c>
      <c r="F150" s="735">
        <v>1544.2</v>
      </c>
      <c r="G150" s="735">
        <v>1506.3</v>
      </c>
      <c r="H150" s="735">
        <v>1297.5999999999999</v>
      </c>
      <c r="I150" s="407"/>
      <c r="J150" s="736">
        <v>21969.279999999999</v>
      </c>
      <c r="K150" s="736"/>
    </row>
    <row r="151" spans="1:11">
      <c r="A151" s="407"/>
      <c r="B151" s="407"/>
      <c r="C151" s="449" t="s">
        <v>841</v>
      </c>
      <c r="D151" s="735">
        <v>12</v>
      </c>
      <c r="E151" s="735">
        <v>2581700</v>
      </c>
      <c r="F151" s="735">
        <v>13236</v>
      </c>
      <c r="G151" s="735">
        <v>12911.1</v>
      </c>
      <c r="H151" s="735">
        <v>11122.3</v>
      </c>
      <c r="I151" s="407"/>
      <c r="J151" s="736">
        <v>188308.15</v>
      </c>
      <c r="K151" s="736">
        <f>J151-J150</f>
        <v>166338.87</v>
      </c>
    </row>
    <row r="152" spans="1:11">
      <c r="A152" s="61"/>
      <c r="B152" s="61"/>
      <c r="C152" s="738" t="s">
        <v>1351</v>
      </c>
      <c r="D152" s="240"/>
      <c r="E152" s="240"/>
      <c r="F152" s="240"/>
      <c r="G152" s="240"/>
      <c r="H152" s="240"/>
      <c r="I152" s="61"/>
      <c r="J152" s="36"/>
      <c r="K152" s="36"/>
    </row>
    <row r="153" spans="1:11">
      <c r="A153" s="415" t="s">
        <v>849</v>
      </c>
      <c r="B153" s="407" t="s">
        <v>1383</v>
      </c>
      <c r="C153" s="403" t="s">
        <v>1382</v>
      </c>
      <c r="D153" s="735">
        <v>1.2</v>
      </c>
      <c r="E153" s="735">
        <v>348000</v>
      </c>
      <c r="F153" s="735">
        <v>3898.3</v>
      </c>
      <c r="G153" s="735">
        <v>3898.3</v>
      </c>
      <c r="H153" s="735">
        <v>3851.5</v>
      </c>
      <c r="I153" s="407"/>
      <c r="J153" s="736">
        <v>41353.129999999997</v>
      </c>
      <c r="K153" s="736"/>
    </row>
    <row r="154" spans="1:11">
      <c r="A154" s="407"/>
      <c r="B154" s="407"/>
      <c r="C154" s="449" t="s">
        <v>841</v>
      </c>
      <c r="D154" s="735">
        <v>12</v>
      </c>
      <c r="E154" s="735">
        <v>3480000</v>
      </c>
      <c r="F154" s="735">
        <v>38983</v>
      </c>
      <c r="G154" s="735">
        <v>38983</v>
      </c>
      <c r="H154" s="735">
        <v>38515</v>
      </c>
      <c r="I154" s="407"/>
      <c r="J154" s="736">
        <v>413531.3</v>
      </c>
      <c r="K154" s="736">
        <f>J154-J153</f>
        <v>372178.17</v>
      </c>
    </row>
    <row r="155" spans="1:11">
      <c r="A155" s="61"/>
      <c r="B155" s="61"/>
      <c r="C155" s="738" t="s">
        <v>1351</v>
      </c>
      <c r="D155" s="240"/>
      <c r="E155" s="240"/>
      <c r="F155" s="240"/>
      <c r="G155" s="240"/>
      <c r="H155" s="240"/>
      <c r="I155" s="61"/>
      <c r="J155" s="36"/>
      <c r="K155" s="36"/>
    </row>
    <row r="156" spans="1:11">
      <c r="A156" s="276"/>
      <c r="B156" s="276"/>
      <c r="C156" s="276"/>
      <c r="D156" s="737"/>
      <c r="E156" s="737"/>
      <c r="F156" s="737"/>
      <c r="G156" s="737"/>
      <c r="H156" s="737"/>
      <c r="I156" s="276"/>
      <c r="J156" s="257"/>
      <c r="K156" s="257"/>
    </row>
    <row r="157" spans="1:11">
      <c r="A157" s="407" t="s">
        <v>872</v>
      </c>
      <c r="B157" s="407"/>
      <c r="C157" s="601">
        <f>COUNTIF(C137:C143, "Left the System")</f>
        <v>6</v>
      </c>
      <c r="D157" s="407"/>
      <c r="E157" s="601">
        <f>SUMIF(C137:C143,"Left the System",E137:E143)</f>
        <v>11491800</v>
      </c>
      <c r="F157" s="735"/>
      <c r="G157" s="735"/>
      <c r="H157" s="735"/>
      <c r="I157" s="407"/>
      <c r="J157" s="736"/>
      <c r="K157" s="736"/>
    </row>
    <row r="158" spans="1:11" ht="14.25">
      <c r="A158" s="415" t="s">
        <v>1350</v>
      </c>
      <c r="B158" s="407"/>
      <c r="C158" s="602">
        <f>COUNTIF($C$144:$C$156,"New")</f>
        <v>4</v>
      </c>
      <c r="D158" s="735"/>
      <c r="E158" s="602">
        <f>SUMIF($D$144:$D$156,"12",$E$144:$E$156)-SUMIF($D$144:$D$156,"&lt;&gt;12",$E$144:$E$156)</f>
        <v>10603700</v>
      </c>
      <c r="F158" s="735"/>
      <c r="G158" s="735"/>
      <c r="H158" s="735"/>
      <c r="I158" s="407"/>
      <c r="J158" s="736"/>
      <c r="K158" s="736"/>
    </row>
    <row r="159" spans="1:11">
      <c r="A159" s="415" t="s">
        <v>932</v>
      </c>
      <c r="B159" s="407"/>
      <c r="C159" s="601">
        <f>C158-C157</f>
        <v>-2</v>
      </c>
      <c r="D159" s="735"/>
      <c r="E159" s="601">
        <f>E158-E157</f>
        <v>-888100</v>
      </c>
      <c r="F159" s="407" t="s">
        <v>875</v>
      </c>
      <c r="G159" s="735"/>
      <c r="H159" s="735"/>
      <c r="I159" s="407"/>
      <c r="J159" s="736"/>
      <c r="K159" s="739">
        <f>SUM(K137:K156)</f>
        <v>156630.17999999993</v>
      </c>
    </row>
    <row r="160" spans="1:11">
      <c r="A160" s="61"/>
      <c r="B160" s="61"/>
      <c r="C160" s="61"/>
      <c r="D160" s="61"/>
      <c r="E160" s="61"/>
      <c r="F160" s="61"/>
      <c r="G160" s="61"/>
      <c r="H160" s="61"/>
      <c r="I160" s="61"/>
      <c r="J160" s="61"/>
      <c r="K160" s="61"/>
    </row>
    <row r="161" spans="1:11">
      <c r="A161" s="61" t="s">
        <v>829</v>
      </c>
      <c r="B161" s="61"/>
      <c r="C161" s="61"/>
      <c r="D161" s="61"/>
      <c r="E161" s="61"/>
      <c r="F161" s="61"/>
      <c r="G161" s="61"/>
      <c r="H161" s="61"/>
      <c r="I161" s="61"/>
      <c r="J161" s="61"/>
      <c r="K161" s="61"/>
    </row>
    <row r="162" spans="1:11">
      <c r="A162" s="61"/>
      <c r="B162" s="61"/>
      <c r="C162" s="277">
        <v>-1</v>
      </c>
      <c r="D162" s="277">
        <f>C162-1</f>
        <v>-2</v>
      </c>
      <c r="E162" s="277">
        <f>D162-1</f>
        <v>-3</v>
      </c>
      <c r="F162" s="277">
        <f>E162-1</f>
        <v>-4</v>
      </c>
      <c r="G162" s="277">
        <f>F162-1</f>
        <v>-5</v>
      </c>
      <c r="H162" s="277">
        <f>G162-1</f>
        <v>-6</v>
      </c>
      <c r="I162" s="277"/>
      <c r="J162" s="277">
        <f>H162-1</f>
        <v>-7</v>
      </c>
      <c r="K162" s="277">
        <f>J162-1</f>
        <v>-8</v>
      </c>
    </row>
    <row r="163" spans="1:11" ht="36">
      <c r="A163" s="61"/>
      <c r="B163" s="61"/>
      <c r="C163" s="61"/>
      <c r="D163" s="278" t="s">
        <v>834</v>
      </c>
      <c r="E163" s="278"/>
      <c r="F163" s="278"/>
      <c r="G163" s="278"/>
      <c r="H163" s="278"/>
      <c r="I163" s="61"/>
      <c r="J163" s="273" t="s">
        <v>856</v>
      </c>
      <c r="K163" s="272" t="s">
        <v>98</v>
      </c>
    </row>
    <row r="164" spans="1:11" ht="24">
      <c r="A164" s="61"/>
      <c r="B164" s="61"/>
      <c r="C164" s="61"/>
      <c r="D164" s="272" t="s">
        <v>795</v>
      </c>
      <c r="E164" s="272" t="s">
        <v>835</v>
      </c>
      <c r="F164" s="272" t="s">
        <v>836</v>
      </c>
      <c r="G164" s="272" t="s">
        <v>837</v>
      </c>
      <c r="H164" s="272" t="s">
        <v>838</v>
      </c>
      <c r="I164" s="61"/>
      <c r="J164" s="61"/>
      <c r="K164" s="61"/>
    </row>
    <row r="165" spans="1:11">
      <c r="A165" s="61" t="s">
        <v>832</v>
      </c>
      <c r="B165" s="61"/>
      <c r="C165" s="61" t="s">
        <v>833</v>
      </c>
      <c r="D165" s="240">
        <v>1</v>
      </c>
      <c r="E165" s="240">
        <v>120300</v>
      </c>
      <c r="F165" s="240">
        <v>900</v>
      </c>
      <c r="G165" s="240">
        <v>629.9</v>
      </c>
      <c r="H165" s="240">
        <v>624</v>
      </c>
      <c r="I165" s="61"/>
      <c r="J165" s="36">
        <v>10506.91</v>
      </c>
      <c r="K165" s="36">
        <v>-10506.91</v>
      </c>
    </row>
    <row r="166" spans="1:11">
      <c r="A166" s="61"/>
      <c r="B166" s="61"/>
      <c r="C166" s="61"/>
      <c r="D166" s="240"/>
      <c r="E166" s="240"/>
      <c r="F166" s="240"/>
      <c r="G166" s="240"/>
      <c r="H166" s="240"/>
      <c r="I166" s="61"/>
      <c r="J166" s="36"/>
      <c r="K166" s="36"/>
    </row>
    <row r="167" spans="1:11">
      <c r="A167" s="61" t="s">
        <v>839</v>
      </c>
      <c r="B167" s="61"/>
      <c r="C167" s="61" t="s">
        <v>840</v>
      </c>
      <c r="D167" s="240">
        <v>10</v>
      </c>
      <c r="E167" s="240">
        <v>837900</v>
      </c>
      <c r="F167" s="240">
        <v>5534</v>
      </c>
      <c r="G167" s="240">
        <v>2035</v>
      </c>
      <c r="H167" s="240">
        <v>1936.3000000000002</v>
      </c>
      <c r="I167" s="61"/>
      <c r="J167" s="36">
        <v>64617.55</v>
      </c>
      <c r="K167" s="36"/>
    </row>
    <row r="168" spans="1:11">
      <c r="A168" s="61"/>
      <c r="B168" s="61"/>
      <c r="C168" s="279" t="s">
        <v>841</v>
      </c>
      <c r="D168" s="240">
        <v>12</v>
      </c>
      <c r="E168" s="240">
        <v>1005480</v>
      </c>
      <c r="F168" s="240">
        <v>6640.8</v>
      </c>
      <c r="G168" s="240">
        <v>2442</v>
      </c>
      <c r="H168" s="240">
        <v>2323.6</v>
      </c>
      <c r="I168" s="61"/>
      <c r="J168" s="36">
        <v>73040.309600000008</v>
      </c>
      <c r="K168" s="36">
        <v>8422.7596000000049</v>
      </c>
    </row>
    <row r="169" spans="1:11">
      <c r="A169" s="61"/>
      <c r="B169" s="61"/>
      <c r="C169" s="61"/>
      <c r="D169" s="240"/>
      <c r="E169" s="240"/>
      <c r="F169" s="240"/>
      <c r="G169" s="240"/>
      <c r="H169" s="240"/>
      <c r="I169" s="61"/>
      <c r="J169" s="36"/>
      <c r="K169" s="36"/>
    </row>
    <row r="170" spans="1:11">
      <c r="A170" s="61" t="s">
        <v>842</v>
      </c>
      <c r="B170" s="61"/>
      <c r="C170" s="61" t="s">
        <v>840</v>
      </c>
      <c r="D170" s="240">
        <v>10</v>
      </c>
      <c r="E170" s="240">
        <v>1084500</v>
      </c>
      <c r="F170" s="240">
        <v>7968.35</v>
      </c>
      <c r="G170" s="240">
        <v>2611.6999999999998</v>
      </c>
      <c r="H170" s="240">
        <v>2534.6</v>
      </c>
      <c r="I170" s="61"/>
      <c r="J170" s="36">
        <v>85948.22</v>
      </c>
      <c r="K170" s="36"/>
    </row>
    <row r="171" spans="1:11">
      <c r="A171" s="61"/>
      <c r="B171" s="61"/>
      <c r="C171" s="279" t="s">
        <v>841</v>
      </c>
      <c r="D171" s="240">
        <v>12</v>
      </c>
      <c r="E171" s="240">
        <v>1301400</v>
      </c>
      <c r="F171" s="240">
        <v>9562</v>
      </c>
      <c r="G171" s="240">
        <v>3134</v>
      </c>
      <c r="H171" s="240">
        <v>3041.5</v>
      </c>
      <c r="I171" s="61"/>
      <c r="J171" s="36">
        <v>96846.463000000003</v>
      </c>
      <c r="K171" s="36">
        <v>10898.243000000002</v>
      </c>
    </row>
    <row r="172" spans="1:11">
      <c r="A172" s="61"/>
      <c r="B172" s="61"/>
      <c r="C172" s="61"/>
      <c r="D172" s="240"/>
      <c r="E172" s="240"/>
      <c r="F172" s="240"/>
      <c r="G172" s="240"/>
      <c r="H172" s="240"/>
      <c r="I172" s="61"/>
      <c r="J172" s="36"/>
      <c r="K172" s="36"/>
    </row>
    <row r="173" spans="1:11">
      <c r="A173" s="274" t="s">
        <v>843</v>
      </c>
      <c r="B173" s="61"/>
      <c r="C173" s="61" t="s">
        <v>840</v>
      </c>
      <c r="D173" s="240">
        <v>10</v>
      </c>
      <c r="E173" s="240">
        <v>687600</v>
      </c>
      <c r="F173" s="240">
        <v>1558.1</v>
      </c>
      <c r="G173" s="240">
        <v>1558.1</v>
      </c>
      <c r="H173" s="240">
        <v>1558.1</v>
      </c>
      <c r="I173" s="61"/>
      <c r="J173" s="36">
        <v>53516.05</v>
      </c>
      <c r="K173" s="36"/>
    </row>
    <row r="174" spans="1:11">
      <c r="A174" s="274"/>
      <c r="B174" s="61"/>
      <c r="C174" s="279" t="s">
        <v>841</v>
      </c>
      <c r="D174" s="240">
        <v>12</v>
      </c>
      <c r="E174" s="240">
        <v>825120</v>
      </c>
      <c r="F174" s="240">
        <v>1869.7</v>
      </c>
      <c r="G174" s="240">
        <v>1869.7</v>
      </c>
      <c r="H174" s="240">
        <v>1869.7</v>
      </c>
      <c r="I174" s="61"/>
      <c r="J174" s="36">
        <v>48979.815399999999</v>
      </c>
      <c r="K174" s="36">
        <v>-4536.2346000000034</v>
      </c>
    </row>
    <row r="175" spans="1:11">
      <c r="A175" s="274"/>
      <c r="B175" s="61"/>
      <c r="C175" s="61"/>
      <c r="D175" s="240"/>
      <c r="E175" s="240"/>
      <c r="F175" s="240"/>
      <c r="G175" s="240"/>
      <c r="H175" s="240"/>
      <c r="I175" s="61"/>
      <c r="J175" s="36"/>
      <c r="K175" s="36"/>
    </row>
    <row r="176" spans="1:11">
      <c r="A176" s="274" t="s">
        <v>844</v>
      </c>
      <c r="B176" s="61"/>
      <c r="C176" s="61" t="s">
        <v>840</v>
      </c>
      <c r="D176" s="240">
        <v>10</v>
      </c>
      <c r="E176" s="240">
        <v>401120</v>
      </c>
      <c r="F176" s="240">
        <v>3112.5</v>
      </c>
      <c r="G176" s="240">
        <v>977.09999999999991</v>
      </c>
      <c r="H176" s="240">
        <v>936.19999999999993</v>
      </c>
      <c r="I176" s="61"/>
      <c r="J176" s="36">
        <v>33702.980000000003</v>
      </c>
      <c r="K176" s="36"/>
    </row>
    <row r="177" spans="1:11">
      <c r="A177" s="274"/>
      <c r="B177" s="61"/>
      <c r="C177" s="279" t="s">
        <v>841</v>
      </c>
      <c r="D177" s="240">
        <v>12</v>
      </c>
      <c r="E177" s="240">
        <v>481344</v>
      </c>
      <c r="F177" s="240">
        <v>3735</v>
      </c>
      <c r="G177" s="240">
        <v>1172.5</v>
      </c>
      <c r="H177" s="240">
        <v>1123.4000000000001</v>
      </c>
      <c r="I177" s="61"/>
      <c r="J177" s="36">
        <v>37963.886680000003</v>
      </c>
      <c r="K177" s="36">
        <v>4260.9066800000001</v>
      </c>
    </row>
    <row r="178" spans="1:11">
      <c r="A178" s="274"/>
      <c r="B178" s="61"/>
      <c r="C178" s="61"/>
      <c r="D178" s="240"/>
      <c r="E178" s="240"/>
      <c r="F178" s="240"/>
      <c r="G178" s="240"/>
      <c r="H178" s="240"/>
      <c r="I178" s="61"/>
      <c r="J178" s="36"/>
      <c r="K178" s="36"/>
    </row>
    <row r="179" spans="1:11">
      <c r="A179" s="274" t="s">
        <v>845</v>
      </c>
      <c r="B179" s="61"/>
      <c r="C179" s="274" t="s">
        <v>850</v>
      </c>
      <c r="D179" s="240">
        <v>9</v>
      </c>
      <c r="E179" s="240">
        <v>1184000</v>
      </c>
      <c r="F179" s="240">
        <v>7647.4</v>
      </c>
      <c r="G179" s="240">
        <v>3526.2999999999997</v>
      </c>
      <c r="H179" s="240">
        <v>3521.0999999999995</v>
      </c>
      <c r="I179" s="61"/>
      <c r="J179" s="36">
        <v>94763.249999999985</v>
      </c>
      <c r="K179" s="36"/>
    </row>
    <row r="180" spans="1:11">
      <c r="A180" s="274"/>
      <c r="B180" s="61"/>
      <c r="C180" s="279" t="s">
        <v>841</v>
      </c>
      <c r="D180" s="240">
        <v>12</v>
      </c>
      <c r="E180" s="240">
        <v>1578667</v>
      </c>
      <c r="F180" s="240">
        <v>10196.5</v>
      </c>
      <c r="G180" s="240">
        <v>4701.7</v>
      </c>
      <c r="H180" s="240">
        <v>4694.8</v>
      </c>
      <c r="I180" s="61"/>
      <c r="J180" s="36">
        <v>118787.87974</v>
      </c>
      <c r="K180" s="36">
        <v>24024.629740000019</v>
      </c>
    </row>
    <row r="181" spans="1:11" ht="12" customHeight="1">
      <c r="A181" s="274"/>
      <c r="B181" s="61"/>
      <c r="C181" s="61"/>
      <c r="D181" s="240"/>
      <c r="E181" s="240"/>
      <c r="F181" s="240"/>
      <c r="G181" s="240"/>
      <c r="H181" s="240"/>
      <c r="I181" s="61"/>
      <c r="J181" s="36"/>
      <c r="K181" s="36"/>
    </row>
    <row r="182" spans="1:11" ht="12" customHeight="1">
      <c r="A182" s="274" t="s">
        <v>846</v>
      </c>
      <c r="B182" s="61"/>
      <c r="C182" s="61" t="s">
        <v>840</v>
      </c>
      <c r="D182" s="240">
        <v>10</v>
      </c>
      <c r="E182" s="240">
        <v>588720</v>
      </c>
      <c r="F182" s="240">
        <v>2175.8000000000002</v>
      </c>
      <c r="G182" s="240">
        <v>1345.8</v>
      </c>
      <c r="H182" s="240">
        <v>1324.1999999999998</v>
      </c>
      <c r="I182" s="61"/>
      <c r="J182" s="36">
        <v>39463.549999999996</v>
      </c>
      <c r="K182" s="36"/>
    </row>
    <row r="183" spans="1:11" ht="12" customHeight="1">
      <c r="A183" s="274"/>
      <c r="B183" s="61"/>
      <c r="C183" s="279" t="s">
        <v>841</v>
      </c>
      <c r="D183" s="240">
        <v>12</v>
      </c>
      <c r="E183" s="240">
        <v>706464</v>
      </c>
      <c r="F183" s="240">
        <v>2611</v>
      </c>
      <c r="G183" s="240">
        <v>1615</v>
      </c>
      <c r="H183" s="240">
        <v>1589</v>
      </c>
      <c r="I183" s="61"/>
      <c r="J183" s="36">
        <v>45350.872080000001</v>
      </c>
      <c r="K183" s="36">
        <v>5887.3220800000054</v>
      </c>
    </row>
    <row r="184" spans="1:11" ht="12" customHeight="1">
      <c r="A184" s="274"/>
      <c r="B184" s="61"/>
      <c r="C184" s="61"/>
      <c r="D184" s="240"/>
      <c r="E184" s="240"/>
      <c r="F184" s="240"/>
      <c r="G184" s="240"/>
      <c r="H184" s="240"/>
      <c r="I184" s="61"/>
      <c r="J184" s="36"/>
      <c r="K184" s="36"/>
    </row>
    <row r="185" spans="1:11">
      <c r="A185" s="274" t="s">
        <v>847</v>
      </c>
      <c r="B185" s="61"/>
      <c r="C185" s="61" t="s">
        <v>840</v>
      </c>
      <c r="D185" s="240">
        <v>10</v>
      </c>
      <c r="E185" s="240">
        <v>3853600</v>
      </c>
      <c r="F185" s="240">
        <v>7872.0499999999984</v>
      </c>
      <c r="G185" s="240">
        <v>7539.2000000000007</v>
      </c>
      <c r="H185" s="240">
        <v>7316.6</v>
      </c>
      <c r="I185" s="61"/>
      <c r="J185" s="36">
        <v>217477.90999999997</v>
      </c>
      <c r="K185" s="36"/>
    </row>
    <row r="186" spans="1:11">
      <c r="A186" s="274"/>
      <c r="B186" s="61"/>
      <c r="C186" s="279" t="s">
        <v>841</v>
      </c>
      <c r="D186" s="240">
        <v>12</v>
      </c>
      <c r="E186" s="240">
        <v>4624320</v>
      </c>
      <c r="F186" s="240">
        <v>9446.5</v>
      </c>
      <c r="G186" s="240">
        <v>9047</v>
      </c>
      <c r="H186" s="240">
        <v>8779.9</v>
      </c>
      <c r="I186" s="61"/>
      <c r="J186" s="36">
        <v>250218.39640000003</v>
      </c>
      <c r="K186" s="36">
        <v>32740.486400000053</v>
      </c>
    </row>
    <row r="187" spans="1:11">
      <c r="A187" s="274"/>
      <c r="B187" s="61"/>
      <c r="C187" s="61"/>
      <c r="D187" s="240"/>
      <c r="E187" s="240"/>
      <c r="F187" s="240"/>
      <c r="G187" s="240"/>
      <c r="H187" s="240"/>
      <c r="I187" s="61"/>
      <c r="J187" s="36"/>
      <c r="K187" s="36"/>
    </row>
    <row r="188" spans="1:11">
      <c r="A188" s="274" t="s">
        <v>848</v>
      </c>
      <c r="B188" s="61"/>
      <c r="C188" s="274" t="s">
        <v>853</v>
      </c>
      <c r="D188" s="240">
        <v>5</v>
      </c>
      <c r="E188" s="240">
        <v>154000</v>
      </c>
      <c r="F188" s="240">
        <v>1950.8999999999999</v>
      </c>
      <c r="G188" s="240">
        <v>1646.6000000000001</v>
      </c>
      <c r="H188" s="240">
        <v>1542.1</v>
      </c>
      <c r="I188" s="61"/>
      <c r="J188" s="36">
        <v>23967.22</v>
      </c>
      <c r="K188" s="36"/>
    </row>
    <row r="189" spans="1:11">
      <c r="A189" s="274"/>
      <c r="B189" s="61"/>
      <c r="C189" s="279" t="s">
        <v>841</v>
      </c>
      <c r="D189" s="240">
        <v>12</v>
      </c>
      <c r="E189" s="240">
        <v>369600</v>
      </c>
      <c r="F189" s="240">
        <v>4682.2</v>
      </c>
      <c r="G189" s="240">
        <v>3951.8</v>
      </c>
      <c r="H189" s="240">
        <v>3701</v>
      </c>
      <c r="I189" s="61"/>
      <c r="J189" s="36">
        <v>53697.786</v>
      </c>
      <c r="K189" s="36">
        <v>29730.565999999999</v>
      </c>
    </row>
    <row r="190" spans="1:11">
      <c r="A190" s="274"/>
      <c r="B190" s="61"/>
      <c r="C190" s="61"/>
      <c r="D190" s="240"/>
      <c r="E190" s="240"/>
      <c r="F190" s="240"/>
      <c r="G190" s="240"/>
      <c r="H190" s="240"/>
      <c r="I190" s="61"/>
      <c r="J190" s="36"/>
      <c r="K190" s="36"/>
    </row>
    <row r="191" spans="1:11">
      <c r="A191" s="274" t="s">
        <v>849</v>
      </c>
      <c r="B191" s="61"/>
      <c r="C191" s="274" t="s">
        <v>853</v>
      </c>
      <c r="D191" s="240">
        <v>5</v>
      </c>
      <c r="E191" s="240">
        <v>111600</v>
      </c>
      <c r="F191" s="240">
        <v>1234.4000000000001</v>
      </c>
      <c r="G191" s="240">
        <v>469.4</v>
      </c>
      <c r="H191" s="240">
        <v>431.29999999999995</v>
      </c>
      <c r="I191" s="61"/>
      <c r="J191" s="36">
        <v>12177.09</v>
      </c>
      <c r="K191" s="36"/>
    </row>
    <row r="192" spans="1:11">
      <c r="A192" s="274"/>
      <c r="B192" s="61"/>
      <c r="C192" s="279" t="s">
        <v>841</v>
      </c>
      <c r="D192" s="240">
        <v>12</v>
      </c>
      <c r="E192" s="240">
        <v>267840</v>
      </c>
      <c r="F192" s="240">
        <v>2962.6</v>
      </c>
      <c r="G192" s="240">
        <v>1126.5999999999999</v>
      </c>
      <c r="H192" s="240">
        <v>1035.0999999999999</v>
      </c>
      <c r="I192" s="61"/>
      <c r="J192" s="36">
        <v>27633.431799999998</v>
      </c>
      <c r="K192" s="36">
        <v>15456.341799999998</v>
      </c>
    </row>
    <row r="193" spans="1:11">
      <c r="A193" s="274"/>
      <c r="B193" s="61"/>
      <c r="C193" s="279"/>
      <c r="D193" s="240"/>
      <c r="E193" s="240"/>
      <c r="F193" s="240"/>
      <c r="G193" s="240"/>
      <c r="H193" s="240"/>
      <c r="I193" s="61"/>
      <c r="J193" s="36"/>
      <c r="K193" s="36"/>
    </row>
    <row r="194" spans="1:11">
      <c r="A194" s="61" t="s">
        <v>872</v>
      </c>
      <c r="B194" s="61"/>
      <c r="C194" s="19">
        <v>-1</v>
      </c>
      <c r="D194" s="240"/>
      <c r="E194" s="240"/>
      <c r="F194" s="240"/>
      <c r="G194" s="240"/>
      <c r="H194" s="240"/>
      <c r="I194" s="61"/>
      <c r="J194" s="36"/>
      <c r="K194" s="36"/>
    </row>
    <row r="195" spans="1:11" ht="14.25">
      <c r="A195" s="61" t="s">
        <v>873</v>
      </c>
      <c r="B195" s="61"/>
      <c r="C195" s="47">
        <v>9</v>
      </c>
      <c r="D195" s="61"/>
      <c r="E195" s="61"/>
      <c r="F195" s="61"/>
      <c r="G195" s="61"/>
      <c r="H195" s="61"/>
      <c r="I195" s="61"/>
      <c r="J195" s="61"/>
      <c r="K195" s="61"/>
    </row>
    <row r="196" spans="1:11">
      <c r="A196" s="12" t="s">
        <v>933</v>
      </c>
      <c r="B196" s="61"/>
      <c r="C196" s="19">
        <f>SUM(C194:C195)</f>
        <v>8</v>
      </c>
      <c r="D196" s="61"/>
      <c r="E196" s="61"/>
      <c r="F196" s="280" t="s">
        <v>874</v>
      </c>
      <c r="G196" s="61"/>
      <c r="H196" s="61"/>
      <c r="I196" s="61"/>
      <c r="J196" s="61"/>
      <c r="K196" s="281">
        <f>SUM(K165:K192)</f>
        <v>116378.11070000008</v>
      </c>
    </row>
    <row r="197" spans="1:11">
      <c r="A197" s="61"/>
      <c r="B197" s="61"/>
      <c r="C197" s="61"/>
      <c r="D197" s="61"/>
      <c r="E197" s="61"/>
      <c r="F197" s="61"/>
      <c r="G197" s="61"/>
      <c r="H197" s="61"/>
      <c r="I197" s="61"/>
      <c r="J197" s="61"/>
      <c r="K197" s="61"/>
    </row>
    <row r="198" spans="1:11">
      <c r="A198" s="274" t="s">
        <v>855</v>
      </c>
      <c r="B198" s="61"/>
      <c r="C198" s="61"/>
      <c r="D198" s="61"/>
      <c r="E198" s="61"/>
      <c r="F198" s="61"/>
      <c r="G198" s="61"/>
      <c r="H198" s="61"/>
      <c r="I198" s="61"/>
      <c r="J198" s="61"/>
      <c r="K198" s="61"/>
    </row>
    <row r="199" spans="1:11">
      <c r="A199" s="61"/>
      <c r="B199" s="61"/>
      <c r="C199" s="277">
        <v>-1</v>
      </c>
      <c r="D199" s="277">
        <f>C199-1</f>
        <v>-2</v>
      </c>
      <c r="E199" s="277">
        <f>D199-1</f>
        <v>-3</v>
      </c>
      <c r="F199" s="277">
        <f>E199-1</f>
        <v>-4</v>
      </c>
      <c r="G199" s="277">
        <f>F199-1</f>
        <v>-5</v>
      </c>
      <c r="H199" s="277">
        <f>G199-1</f>
        <v>-6</v>
      </c>
      <c r="I199" s="277"/>
      <c r="J199" s="277">
        <f>H199-1</f>
        <v>-7</v>
      </c>
      <c r="K199" s="277">
        <f>J199-1</f>
        <v>-8</v>
      </c>
    </row>
    <row r="200" spans="1:11" ht="36">
      <c r="A200" s="61"/>
      <c r="B200" s="61"/>
      <c r="C200" s="61"/>
      <c r="D200" s="278" t="s">
        <v>834</v>
      </c>
      <c r="E200" s="278"/>
      <c r="F200" s="278"/>
      <c r="G200" s="278"/>
      <c r="H200" s="278"/>
      <c r="I200" s="61"/>
      <c r="J200" s="273" t="s">
        <v>856</v>
      </c>
      <c r="K200" s="272" t="s">
        <v>98</v>
      </c>
    </row>
    <row r="201" spans="1:11" ht="24">
      <c r="A201" s="61"/>
      <c r="B201" s="61"/>
      <c r="C201" s="61"/>
      <c r="D201" s="272" t="s">
        <v>795</v>
      </c>
      <c r="E201" s="272" t="s">
        <v>835</v>
      </c>
      <c r="F201" s="272" t="s">
        <v>836</v>
      </c>
      <c r="G201" s="272" t="s">
        <v>837</v>
      </c>
      <c r="H201" s="272" t="s">
        <v>838</v>
      </c>
      <c r="I201" s="61"/>
      <c r="J201" s="61"/>
      <c r="K201" s="61"/>
    </row>
    <row r="202" spans="1:11">
      <c r="A202" s="61" t="s">
        <v>832</v>
      </c>
      <c r="B202" s="61"/>
      <c r="C202" s="61" t="s">
        <v>833</v>
      </c>
      <c r="D202" s="240">
        <v>5</v>
      </c>
      <c r="E202" s="240">
        <v>4638000</v>
      </c>
      <c r="F202" s="240">
        <v>20075.8</v>
      </c>
      <c r="G202" s="240">
        <v>19414.3</v>
      </c>
      <c r="H202" s="240">
        <v>18861.399999999998</v>
      </c>
      <c r="I202" s="61"/>
      <c r="J202" s="36">
        <v>289328</v>
      </c>
      <c r="K202" s="36">
        <f>-J202</f>
        <v>-289328</v>
      </c>
    </row>
    <row r="203" spans="1:11">
      <c r="A203" s="61" t="s">
        <v>839</v>
      </c>
      <c r="B203" s="61"/>
      <c r="C203" s="61" t="s">
        <v>833</v>
      </c>
      <c r="D203" s="240">
        <v>8</v>
      </c>
      <c r="E203" s="240">
        <v>90000</v>
      </c>
      <c r="F203" s="240">
        <v>2636.7999999999997</v>
      </c>
      <c r="G203" s="240">
        <v>1757.6000000000001</v>
      </c>
      <c r="H203" s="240">
        <v>1757.6000000000001</v>
      </c>
      <c r="I203" s="61"/>
      <c r="J203" s="36">
        <v>19578</v>
      </c>
      <c r="K203" s="36">
        <f>-J203</f>
        <v>-19578</v>
      </c>
    </row>
    <row r="204" spans="1:11">
      <c r="A204" s="61" t="s">
        <v>842</v>
      </c>
      <c r="B204" s="61"/>
      <c r="C204" s="61" t="s">
        <v>833</v>
      </c>
      <c r="D204" s="240">
        <v>8</v>
      </c>
      <c r="E204" s="240">
        <v>6000</v>
      </c>
      <c r="F204" s="240">
        <v>2625</v>
      </c>
      <c r="G204" s="240">
        <v>103.6</v>
      </c>
      <c r="H204" s="240">
        <v>103.6</v>
      </c>
      <c r="I204" s="61"/>
      <c r="J204" s="36">
        <v>6541</v>
      </c>
      <c r="K204" s="36">
        <f>-J204</f>
        <v>-6541</v>
      </c>
    </row>
    <row r="205" spans="1:11">
      <c r="A205" s="274" t="s">
        <v>843</v>
      </c>
      <c r="B205" s="61"/>
      <c r="C205" s="61" t="s">
        <v>833</v>
      </c>
      <c r="D205" s="240">
        <v>2</v>
      </c>
      <c r="E205" s="240">
        <v>18000</v>
      </c>
      <c r="F205" s="240">
        <v>500</v>
      </c>
      <c r="G205" s="240">
        <v>136.6</v>
      </c>
      <c r="H205" s="240">
        <v>123</v>
      </c>
      <c r="I205" s="61"/>
      <c r="J205" s="36">
        <v>2506</v>
      </c>
      <c r="K205" s="36">
        <f>-J205</f>
        <v>-2506</v>
      </c>
    </row>
    <row r="206" spans="1:11">
      <c r="A206" s="61"/>
      <c r="B206" s="61"/>
      <c r="C206" s="279"/>
      <c r="D206" s="240"/>
      <c r="E206" s="240"/>
      <c r="F206" s="240"/>
      <c r="G206" s="240"/>
      <c r="H206" s="240"/>
      <c r="I206" s="61"/>
      <c r="J206" s="36"/>
      <c r="K206" s="36"/>
    </row>
    <row r="207" spans="1:11">
      <c r="A207" s="61"/>
      <c r="B207" s="61"/>
      <c r="C207" s="61"/>
      <c r="D207" s="240"/>
      <c r="E207" s="240"/>
      <c r="F207" s="240"/>
      <c r="G207" s="240"/>
      <c r="H207" s="240"/>
      <c r="I207" s="61"/>
      <c r="J207" s="36"/>
      <c r="K207" s="36"/>
    </row>
    <row r="208" spans="1:11">
      <c r="A208" s="274" t="s">
        <v>844</v>
      </c>
      <c r="B208" s="61"/>
      <c r="C208" s="274" t="s">
        <v>851</v>
      </c>
      <c r="D208" s="240">
        <v>11</v>
      </c>
      <c r="E208" s="240">
        <v>180000</v>
      </c>
      <c r="F208" s="240">
        <v>2750</v>
      </c>
      <c r="G208" s="240">
        <v>485.20000000000005</v>
      </c>
      <c r="H208" s="240">
        <v>479.80000000000007</v>
      </c>
      <c r="I208" s="61"/>
      <c r="J208" s="36">
        <v>16614</v>
      </c>
      <c r="K208" s="36"/>
    </row>
    <row r="209" spans="1:11">
      <c r="A209" s="61"/>
      <c r="B209" s="61"/>
      <c r="C209" s="279" t="s">
        <v>841</v>
      </c>
      <c r="D209" s="240">
        <v>12</v>
      </c>
      <c r="E209" s="240">
        <v>196363.63636363635</v>
      </c>
      <c r="F209" s="240">
        <v>3000</v>
      </c>
      <c r="G209" s="240">
        <v>529.30909090909097</v>
      </c>
      <c r="H209" s="240">
        <v>523.41818181818189</v>
      </c>
      <c r="I209" s="61"/>
      <c r="J209" s="36">
        <v>18324</v>
      </c>
      <c r="K209" s="36">
        <f>J209-J208</f>
        <v>1710</v>
      </c>
    </row>
    <row r="210" spans="1:11">
      <c r="A210" s="61"/>
      <c r="B210" s="61"/>
      <c r="C210" s="61"/>
      <c r="D210" s="240"/>
      <c r="E210" s="240"/>
      <c r="F210" s="240"/>
      <c r="G210" s="240"/>
      <c r="H210" s="240"/>
      <c r="I210" s="61"/>
      <c r="J210" s="36"/>
      <c r="K210" s="36"/>
    </row>
    <row r="211" spans="1:11">
      <c r="A211" s="274" t="s">
        <v>845</v>
      </c>
      <c r="B211" s="61"/>
      <c r="C211" s="274" t="s">
        <v>857</v>
      </c>
      <c r="D211" s="240">
        <v>8</v>
      </c>
      <c r="E211" s="240">
        <v>6600000</v>
      </c>
      <c r="F211" s="240">
        <v>28350.100000000002</v>
      </c>
      <c r="G211" s="240">
        <v>27145.8</v>
      </c>
      <c r="H211" s="240">
        <v>26662.899999999998</v>
      </c>
      <c r="I211" s="61"/>
      <c r="J211" s="36">
        <v>409977</v>
      </c>
      <c r="K211" s="36"/>
    </row>
    <row r="212" spans="1:11">
      <c r="A212" s="61"/>
      <c r="B212" s="61"/>
      <c r="C212" s="279" t="s">
        <v>841</v>
      </c>
      <c r="D212" s="240">
        <v>12</v>
      </c>
      <c r="E212" s="240">
        <v>9900000</v>
      </c>
      <c r="F212" s="240">
        <v>42525.15</v>
      </c>
      <c r="G212" s="240">
        <v>40718.699999999997</v>
      </c>
      <c r="H212" s="240">
        <v>39994.35</v>
      </c>
      <c r="I212" s="61"/>
      <c r="J212" s="36">
        <v>615365</v>
      </c>
      <c r="K212" s="36">
        <f>J212-J211</f>
        <v>205388</v>
      </c>
    </row>
    <row r="213" spans="1:11">
      <c r="A213" s="61"/>
      <c r="B213" s="61"/>
      <c r="C213" s="61"/>
      <c r="D213" s="240"/>
      <c r="E213" s="240"/>
      <c r="F213" s="240"/>
      <c r="G213" s="240"/>
      <c r="H213" s="240"/>
      <c r="I213" s="61"/>
      <c r="J213" s="36"/>
      <c r="K213" s="36"/>
    </row>
    <row r="214" spans="1:11">
      <c r="A214" s="274" t="s">
        <v>846</v>
      </c>
      <c r="B214" s="61"/>
      <c r="C214" s="274" t="s">
        <v>852</v>
      </c>
      <c r="D214" s="240">
        <v>7</v>
      </c>
      <c r="E214" s="240">
        <v>198000</v>
      </c>
      <c r="F214" s="240">
        <v>6300</v>
      </c>
      <c r="G214" s="240">
        <v>1637.3</v>
      </c>
      <c r="H214" s="240">
        <v>1549.3999999999999</v>
      </c>
      <c r="I214" s="61"/>
      <c r="J214" s="36">
        <v>24415</v>
      </c>
      <c r="K214" s="36"/>
    </row>
    <row r="215" spans="1:11">
      <c r="A215" s="61"/>
      <c r="B215" s="61"/>
      <c r="C215" s="279" t="s">
        <v>841</v>
      </c>
      <c r="D215" s="240">
        <v>12</v>
      </c>
      <c r="E215" s="240">
        <v>339428.57142857142</v>
      </c>
      <c r="F215" s="240">
        <v>10800</v>
      </c>
      <c r="G215" s="240">
        <v>2806.8</v>
      </c>
      <c r="H215" s="240">
        <v>2656.1142857142854</v>
      </c>
      <c r="I215" s="61"/>
      <c r="J215" s="36">
        <v>42626</v>
      </c>
      <c r="K215" s="36">
        <f>J215-J214</f>
        <v>18211</v>
      </c>
    </row>
    <row r="216" spans="1:11">
      <c r="A216" s="61"/>
      <c r="B216" s="61"/>
      <c r="C216" s="61"/>
      <c r="D216" s="240"/>
      <c r="E216" s="240"/>
      <c r="F216" s="240"/>
      <c r="G216" s="240"/>
      <c r="H216" s="240"/>
      <c r="I216" s="61"/>
      <c r="J216" s="36"/>
      <c r="K216" s="36"/>
    </row>
    <row r="217" spans="1:11">
      <c r="A217" s="274" t="s">
        <v>847</v>
      </c>
      <c r="B217" s="61"/>
      <c r="C217" s="274" t="s">
        <v>857</v>
      </c>
      <c r="D217" s="240">
        <v>8</v>
      </c>
      <c r="E217" s="240">
        <v>6582000</v>
      </c>
      <c r="F217" s="240">
        <v>32400</v>
      </c>
      <c r="G217" s="240">
        <v>21934.1</v>
      </c>
      <c r="H217" s="240">
        <v>21320.800000000003</v>
      </c>
      <c r="I217" s="61"/>
      <c r="J217" s="36">
        <v>382357</v>
      </c>
      <c r="K217" s="36"/>
    </row>
    <row r="218" spans="1:11">
      <c r="A218" s="61"/>
      <c r="B218" s="61"/>
      <c r="C218" s="279" t="s">
        <v>841</v>
      </c>
      <c r="D218" s="240">
        <v>12</v>
      </c>
      <c r="E218" s="240">
        <v>9873000</v>
      </c>
      <c r="F218" s="240">
        <v>48600</v>
      </c>
      <c r="G218" s="240">
        <v>32901.149999999994</v>
      </c>
      <c r="H218" s="240">
        <v>31981.200000000004</v>
      </c>
      <c r="I218" s="61"/>
      <c r="J218" s="36">
        <v>573260</v>
      </c>
      <c r="K218" s="36">
        <f>J218-J217</f>
        <v>190903</v>
      </c>
    </row>
    <row r="219" spans="1:11">
      <c r="A219" s="274"/>
      <c r="B219" s="61"/>
      <c r="C219" s="61"/>
      <c r="D219" s="240"/>
      <c r="E219" s="240"/>
      <c r="F219" s="240"/>
      <c r="G219" s="240"/>
      <c r="H219" s="240"/>
      <c r="I219" s="61"/>
      <c r="J219" s="36"/>
      <c r="K219" s="36"/>
    </row>
    <row r="220" spans="1:11">
      <c r="A220" s="274" t="s">
        <v>848</v>
      </c>
      <c r="B220" s="61"/>
      <c r="C220" s="274" t="s">
        <v>852</v>
      </c>
      <c r="D220" s="240">
        <v>6</v>
      </c>
      <c r="E220" s="240">
        <v>912000</v>
      </c>
      <c r="F220" s="240">
        <v>5982</v>
      </c>
      <c r="G220" s="240">
        <v>5351.4000000000005</v>
      </c>
      <c r="H220" s="240">
        <v>5319.1</v>
      </c>
      <c r="I220" s="61"/>
      <c r="J220" s="36">
        <v>71992</v>
      </c>
      <c r="K220" s="36"/>
    </row>
    <row r="221" spans="1:11">
      <c r="A221" s="61"/>
      <c r="B221" s="61"/>
      <c r="C221" s="279" t="s">
        <v>841</v>
      </c>
      <c r="D221" s="240">
        <v>12</v>
      </c>
      <c r="E221" s="240">
        <v>1824000</v>
      </c>
      <c r="F221" s="240">
        <v>11964</v>
      </c>
      <c r="G221" s="240">
        <v>10702.800000000001</v>
      </c>
      <c r="H221" s="240">
        <v>10638.2</v>
      </c>
      <c r="I221" s="61"/>
      <c r="J221" s="36">
        <v>140716</v>
      </c>
      <c r="K221" s="36">
        <f>J221-J220</f>
        <v>68724</v>
      </c>
    </row>
    <row r="222" spans="1:11">
      <c r="A222" s="61"/>
      <c r="B222" s="61"/>
      <c r="C222" s="61"/>
      <c r="D222" s="240"/>
      <c r="E222" s="240"/>
      <c r="F222" s="240"/>
      <c r="G222" s="240"/>
      <c r="H222" s="240"/>
      <c r="I222" s="61"/>
      <c r="J222" s="36"/>
      <c r="K222" s="36"/>
    </row>
    <row r="223" spans="1:11">
      <c r="A223" s="61" t="s">
        <v>872</v>
      </c>
      <c r="B223" s="61"/>
      <c r="C223" s="19">
        <v>-4</v>
      </c>
      <c r="D223" s="240"/>
      <c r="E223" s="240"/>
      <c r="F223" s="240"/>
      <c r="G223" s="240"/>
      <c r="H223" s="240"/>
      <c r="I223" s="61"/>
      <c r="J223" s="36"/>
      <c r="K223" s="36"/>
    </row>
    <row r="224" spans="1:11" ht="14.25">
      <c r="A224" s="61" t="s">
        <v>873</v>
      </c>
      <c r="B224" s="61"/>
      <c r="C224" s="47">
        <v>5</v>
      </c>
      <c r="D224" s="240"/>
      <c r="E224" s="240"/>
      <c r="F224" s="240"/>
      <c r="G224" s="240"/>
      <c r="H224" s="240"/>
      <c r="I224" s="61"/>
      <c r="J224" s="36"/>
      <c r="K224" s="36"/>
    </row>
    <row r="225" spans="1:25">
      <c r="A225" s="12" t="s">
        <v>934</v>
      </c>
      <c r="B225" s="61"/>
      <c r="C225" s="19">
        <f>SUM(C223:C224)</f>
        <v>1</v>
      </c>
      <c r="D225" s="61"/>
      <c r="E225" s="61" t="s">
        <v>876</v>
      </c>
      <c r="F225" s="61"/>
      <c r="G225" s="61"/>
      <c r="H225" s="61"/>
      <c r="I225" s="61"/>
      <c r="J225" s="61"/>
      <c r="K225" s="281">
        <f>SUM(K202:K222)</f>
        <v>166983</v>
      </c>
    </row>
    <row r="226" spans="1:25">
      <c r="A226" s="61"/>
      <c r="B226" s="61"/>
      <c r="C226" s="61"/>
      <c r="D226" s="61"/>
      <c r="E226" s="61"/>
      <c r="F226" s="61"/>
      <c r="G226" s="61"/>
      <c r="H226" s="61"/>
      <c r="I226" s="61"/>
      <c r="J226" s="61"/>
      <c r="K226" s="61"/>
    </row>
    <row r="227" spans="1:25">
      <c r="A227" s="61"/>
      <c r="B227" s="61"/>
      <c r="C227" s="61"/>
      <c r="D227" s="61"/>
      <c r="E227" s="61"/>
      <c r="F227" s="61"/>
      <c r="G227" s="61"/>
      <c r="H227" s="61"/>
      <c r="I227" s="61"/>
      <c r="J227" s="61"/>
      <c r="K227" s="61"/>
    </row>
    <row r="228" spans="1:25">
      <c r="A228" s="61"/>
      <c r="B228" s="61"/>
      <c r="C228" s="61"/>
      <c r="D228" s="61"/>
      <c r="E228" s="61"/>
      <c r="F228" s="61"/>
      <c r="G228" s="61"/>
      <c r="H228" s="61"/>
      <c r="I228" s="61"/>
      <c r="J228" s="61"/>
      <c r="K228" s="61"/>
    </row>
    <row r="229" spans="1:25">
      <c r="A229" s="61"/>
      <c r="B229" s="61"/>
      <c r="C229" s="61"/>
      <c r="D229" s="61"/>
      <c r="E229" s="61"/>
      <c r="F229" s="61"/>
      <c r="G229" s="61"/>
      <c r="H229" s="61"/>
      <c r="I229" s="61"/>
      <c r="J229" s="61"/>
      <c r="K229" s="61"/>
    </row>
    <row r="230" spans="1:25">
      <c r="A230" s="407" t="s">
        <v>858</v>
      </c>
      <c r="B230" s="407"/>
      <c r="C230" s="407"/>
      <c r="D230" s="407"/>
      <c r="E230" s="407"/>
      <c r="F230" s="407"/>
      <c r="G230" s="407"/>
      <c r="H230" s="407"/>
      <c r="I230" s="407"/>
      <c r="J230" s="407"/>
      <c r="K230" s="407"/>
    </row>
    <row r="231" spans="1:25">
      <c r="A231" s="407" t="s">
        <v>1387</v>
      </c>
      <c r="B231" s="407"/>
      <c r="C231" s="407"/>
      <c r="D231" s="407"/>
      <c r="E231" s="407"/>
      <c r="F231" s="407"/>
      <c r="G231" s="407"/>
      <c r="H231" s="407"/>
      <c r="I231" s="407"/>
      <c r="J231" s="407"/>
      <c r="K231" s="407"/>
    </row>
    <row r="232" spans="1:25">
      <c r="A232" s="407"/>
      <c r="B232" s="407"/>
      <c r="C232" s="788">
        <v>-1</v>
      </c>
      <c r="D232" s="788">
        <f>C232-1</f>
        <v>-2</v>
      </c>
      <c r="E232" s="788">
        <f>D232-1</f>
        <v>-3</v>
      </c>
      <c r="F232" s="788">
        <f>E232-1</f>
        <v>-4</v>
      </c>
      <c r="G232" s="788">
        <f>F232-1</f>
        <v>-5</v>
      </c>
      <c r="H232" s="788">
        <f>G232-1</f>
        <v>-6</v>
      </c>
      <c r="I232" s="788"/>
      <c r="J232" s="788">
        <f>H232-1</f>
        <v>-7</v>
      </c>
      <c r="K232" s="788">
        <f>J232-1</f>
        <v>-8</v>
      </c>
    </row>
    <row r="233" spans="1:25" ht="84">
      <c r="A233" s="407"/>
      <c r="B233" s="407"/>
      <c r="C233" s="442" t="s">
        <v>1384</v>
      </c>
      <c r="D233" s="442" t="s">
        <v>1385</v>
      </c>
      <c r="E233" s="442" t="s">
        <v>1386</v>
      </c>
      <c r="F233" s="440" t="s">
        <v>859</v>
      </c>
      <c r="G233" s="440" t="s">
        <v>1389</v>
      </c>
      <c r="H233" s="442" t="s">
        <v>877</v>
      </c>
      <c r="I233" s="442" t="s">
        <v>860</v>
      </c>
      <c r="J233" s="442" t="s">
        <v>861</v>
      </c>
      <c r="K233" s="442" t="s">
        <v>878</v>
      </c>
    </row>
    <row r="234" spans="1:25">
      <c r="A234" s="61"/>
      <c r="B234" s="61"/>
      <c r="C234" s="61"/>
      <c r="D234" s="61"/>
      <c r="E234" s="61"/>
      <c r="F234" s="61"/>
      <c r="G234" s="61"/>
      <c r="H234" s="61"/>
      <c r="I234" s="61"/>
      <c r="J234" s="61"/>
      <c r="K234" s="61"/>
      <c r="Q234" s="407" t="s">
        <v>1391</v>
      </c>
      <c r="R234" s="407" t="s">
        <v>1392</v>
      </c>
      <c r="S234" s="407" t="s">
        <v>1393</v>
      </c>
      <c r="T234" s="407" t="s">
        <v>1392</v>
      </c>
      <c r="U234" s="407"/>
      <c r="V234" s="415" t="s">
        <v>1397</v>
      </c>
      <c r="W234" s="407" t="s">
        <v>1392</v>
      </c>
      <c r="X234" s="415" t="s">
        <v>1398</v>
      </c>
      <c r="Y234" s="407" t="s">
        <v>1392</v>
      </c>
    </row>
    <row r="235" spans="1:25">
      <c r="A235" s="407" t="str">
        <f>A77</f>
        <v>Residential Service including VFD including rate switching</v>
      </c>
      <c r="B235" s="35"/>
      <c r="C235" s="510" t="e">
        <f>SUM(Q235:T236)</f>
        <v>#REF!</v>
      </c>
      <c r="D235" s="601">
        <v>1287</v>
      </c>
      <c r="E235" s="601">
        <v>-363</v>
      </c>
      <c r="F235" s="601" t="e">
        <f>C235+D235+E235</f>
        <v>#REF!</v>
      </c>
      <c r="G235" s="601" t="e">
        <f>ROUND(F235/13,0)</f>
        <v>#REF!</v>
      </c>
      <c r="H235" s="510" t="e">
        <f>SUM(V235:Y236)</f>
        <v>#REF!</v>
      </c>
      <c r="I235" s="601">
        <v>623217</v>
      </c>
      <c r="J235" s="601">
        <v>-464042</v>
      </c>
      <c r="K235" s="601" t="e">
        <f>SUM(H235:J235)</f>
        <v>#REF!</v>
      </c>
      <c r="P235" s="407" t="s">
        <v>15</v>
      </c>
      <c r="Q235" s="741">
        <f t="shared" ref="Q235:Q254" si="6">SUMIFS(_12MonResults_CustomerCount,_12MonResults_RateClass,$P235)</f>
        <v>5114023</v>
      </c>
      <c r="R235" s="669">
        <f t="shared" ref="R235:R254" si="7">+SUMIFS(_12MonResults_CustomerCount_Adj,_12MonResults_RateClass,$P235)</f>
        <v>2891</v>
      </c>
      <c r="S235" s="669" t="e">
        <f t="shared" ref="S235:S256" si="8">+SUMIFS(_13Month_Count,_13Month_RateClass,$P235)</f>
        <v>#REF!</v>
      </c>
      <c r="T235" s="669" t="e">
        <f t="shared" ref="T235:T256" si="9">+SUMIFS(_13Month_Count_Adj,_13Month_RateClass,$P235)</f>
        <v>#REF!</v>
      </c>
      <c r="V235" s="741">
        <f t="shared" ref="V235:V254" si="10">SUMIFS(_12MonResults_KWH_Total,_12MonResults_RateClass,$P235)</f>
        <v>6160953734</v>
      </c>
      <c r="W235" s="669">
        <f t="shared" ref="W235:W254" si="11">+SUMIFS(_12MonResults_KWH_OutOfPeriod,_12MonResults_RateClass,$P235)</f>
        <v>0</v>
      </c>
      <c r="X235" s="669" t="e">
        <f t="shared" ref="X235:X256" si="12">+SUMIFS(_13Month_Energy,_13Month_RateClass,$P235)</f>
        <v>#REF!</v>
      </c>
      <c r="Y235" s="669" t="e">
        <f t="shared" ref="Y235:Y256" si="13">+SUMIFS(_13Month_Count_Adj,_13Month_RateClass,$P235)</f>
        <v>#REF!</v>
      </c>
    </row>
    <row r="236" spans="1:25">
      <c r="A236" s="61"/>
      <c r="B236" s="61"/>
      <c r="C236" s="601"/>
      <c r="D236" s="601"/>
      <c r="E236" s="601"/>
      <c r="F236" s="601"/>
      <c r="G236" s="407"/>
      <c r="H236" s="601"/>
      <c r="I236" s="19"/>
      <c r="J236" s="19"/>
      <c r="K236" s="19"/>
      <c r="P236" s="407" t="s">
        <v>17</v>
      </c>
      <c r="Q236" s="741">
        <f t="shared" si="6"/>
        <v>298</v>
      </c>
      <c r="R236" s="669">
        <f t="shared" si="7"/>
        <v>0</v>
      </c>
      <c r="S236" s="669" t="e">
        <f t="shared" si="8"/>
        <v>#REF!</v>
      </c>
      <c r="T236" s="669" t="e">
        <f t="shared" si="9"/>
        <v>#REF!</v>
      </c>
      <c r="V236" s="741">
        <f t="shared" si="10"/>
        <v>491828</v>
      </c>
      <c r="W236" s="669">
        <f t="shared" si="11"/>
        <v>0</v>
      </c>
      <c r="X236" s="669" t="e">
        <f t="shared" si="12"/>
        <v>#REF!</v>
      </c>
      <c r="Y236" s="669" t="e">
        <f t="shared" si="13"/>
        <v>#REF!</v>
      </c>
    </row>
    <row r="237" spans="1:25">
      <c r="A237" s="407" t="str">
        <f>A79</f>
        <v>Residential Service -- Electric Vehicle Only</v>
      </c>
      <c r="B237" s="199"/>
      <c r="C237" s="510" t="e">
        <f>SUM(Q237:T237)</f>
        <v>#REF!</v>
      </c>
      <c r="D237" s="601"/>
      <c r="E237" s="601"/>
      <c r="F237" s="601" t="e">
        <f>C237+D237+E237</f>
        <v>#REF!</v>
      </c>
      <c r="G237" s="601" t="e">
        <f>ROUND(F237/13,0)</f>
        <v>#REF!</v>
      </c>
      <c r="H237" s="510" t="e">
        <f>SUM(V237:Y237)</f>
        <v>#REF!</v>
      </c>
      <c r="I237" s="19"/>
      <c r="J237" s="19"/>
      <c r="K237" s="601" t="e">
        <f>SUM(H237:J237)</f>
        <v>#REF!</v>
      </c>
      <c r="P237" s="407" t="s">
        <v>222</v>
      </c>
      <c r="Q237" s="741">
        <f t="shared" si="6"/>
        <v>33</v>
      </c>
      <c r="R237" s="669">
        <f t="shared" si="7"/>
        <v>1</v>
      </c>
      <c r="S237" s="669" t="e">
        <f t="shared" si="8"/>
        <v>#REF!</v>
      </c>
      <c r="T237" s="669" t="e">
        <f t="shared" si="9"/>
        <v>#REF!</v>
      </c>
      <c r="V237" s="741">
        <f t="shared" si="10"/>
        <v>36492</v>
      </c>
      <c r="W237" s="669">
        <f t="shared" si="11"/>
        <v>0</v>
      </c>
      <c r="X237" s="669" t="e">
        <f t="shared" si="12"/>
        <v>#REF!</v>
      </c>
      <c r="Y237" s="669" t="e">
        <f t="shared" si="13"/>
        <v>#REF!</v>
      </c>
    </row>
    <row r="238" spans="1:25">
      <c r="A238" s="407"/>
      <c r="B238" s="61"/>
      <c r="C238" s="601"/>
      <c r="D238" s="601"/>
      <c r="E238" s="601"/>
      <c r="F238" s="601"/>
      <c r="G238" s="407"/>
      <c r="H238" s="601"/>
      <c r="I238" s="19"/>
      <c r="J238" s="19"/>
      <c r="K238" s="19"/>
      <c r="P238" s="415" t="s">
        <v>224</v>
      </c>
      <c r="Q238" s="741">
        <f t="shared" si="6"/>
        <v>765255</v>
      </c>
      <c r="R238" s="669">
        <f t="shared" si="7"/>
        <v>0</v>
      </c>
      <c r="S238" s="669" t="e">
        <f t="shared" si="8"/>
        <v>#REF!</v>
      </c>
      <c r="T238" s="669" t="e">
        <f t="shared" si="9"/>
        <v>#REF!</v>
      </c>
      <c r="V238" s="741">
        <f t="shared" si="10"/>
        <v>767571547</v>
      </c>
      <c r="W238" s="669">
        <f t="shared" si="11"/>
        <v>0</v>
      </c>
      <c r="X238" s="669" t="e">
        <f t="shared" si="12"/>
        <v>#REF!</v>
      </c>
      <c r="Y238" s="669" t="e">
        <f t="shared" si="13"/>
        <v>#REF!</v>
      </c>
    </row>
    <row r="239" spans="1:25">
      <c r="A239" s="407" t="str">
        <f>A81</f>
        <v>General Service</v>
      </c>
      <c r="B239" s="35"/>
      <c r="C239" s="510"/>
      <c r="D239" s="601"/>
      <c r="E239" s="601"/>
      <c r="F239" s="601"/>
      <c r="G239" s="601"/>
      <c r="H239" s="510"/>
      <c r="I239" s="19"/>
      <c r="J239" s="19"/>
      <c r="K239" s="601">
        <f>SUM(H239:J239)</f>
        <v>0</v>
      </c>
      <c r="P239" s="407" t="s">
        <v>18</v>
      </c>
      <c r="Q239" s="741">
        <f t="shared" si="6"/>
        <v>218149</v>
      </c>
      <c r="R239" s="669">
        <f t="shared" si="7"/>
        <v>0</v>
      </c>
      <c r="S239" s="669" t="e">
        <f t="shared" si="8"/>
        <v>#REF!</v>
      </c>
      <c r="T239" s="669" t="e">
        <f t="shared" si="9"/>
        <v>#REF!</v>
      </c>
      <c r="V239" s="741">
        <f t="shared" si="10"/>
        <v>1091324875</v>
      </c>
      <c r="W239" s="669">
        <f t="shared" si="11"/>
        <v>0</v>
      </c>
      <c r="X239" s="669" t="e">
        <f t="shared" si="12"/>
        <v>#REF!</v>
      </c>
      <c r="Y239" s="669" t="e">
        <f t="shared" si="13"/>
        <v>#REF!</v>
      </c>
    </row>
    <row r="240" spans="1:25">
      <c r="A240" s="742" t="s">
        <v>931</v>
      </c>
      <c r="B240" s="35"/>
      <c r="C240" s="510" t="e">
        <f>SUM(Q238:T238)</f>
        <v>#REF!</v>
      </c>
      <c r="D240" s="601"/>
      <c r="E240" s="601"/>
      <c r="F240" s="601" t="e">
        <f>C240+D240+E240</f>
        <v>#REF!</v>
      </c>
      <c r="G240" s="601" t="e">
        <f>ROUND(F240/13,0)</f>
        <v>#REF!</v>
      </c>
      <c r="H240" s="510" t="e">
        <f>SUM(V238:Y238)</f>
        <v>#REF!</v>
      </c>
      <c r="I240" s="19"/>
      <c r="J240" s="19"/>
      <c r="K240" s="601" t="e">
        <f>SUM(H240:J240)</f>
        <v>#REF!</v>
      </c>
      <c r="P240" s="407"/>
      <c r="Q240" s="741"/>
      <c r="R240" s="669"/>
      <c r="S240" s="669"/>
      <c r="T240" s="669"/>
      <c r="V240" s="741"/>
      <c r="W240" s="669"/>
      <c r="X240" s="669"/>
      <c r="Y240" s="669"/>
    </row>
    <row r="241" spans="1:25">
      <c r="A241" s="742" t="s">
        <v>930</v>
      </c>
      <c r="B241" s="35"/>
      <c r="C241" s="510" t="e">
        <f>SUM(Q239:T239)</f>
        <v>#REF!</v>
      </c>
      <c r="D241" s="601"/>
      <c r="E241" s="601"/>
      <c r="F241" s="601" t="e">
        <f>C241+D241+E241</f>
        <v>#REF!</v>
      </c>
      <c r="G241" s="601" t="e">
        <f>ROUND(F241/13,0)</f>
        <v>#REF!</v>
      </c>
      <c r="H241" s="510" t="e">
        <f>SUM(V239:Y239)</f>
        <v>#REF!</v>
      </c>
      <c r="I241" s="19"/>
      <c r="J241" s="19"/>
      <c r="K241" s="601" t="e">
        <f>SUM(H241:J241)</f>
        <v>#REF!</v>
      </c>
      <c r="P241" s="407"/>
      <c r="Q241" s="741"/>
      <c r="R241" s="669"/>
      <c r="S241" s="669"/>
      <c r="T241" s="669"/>
      <c r="V241" s="741"/>
      <c r="W241" s="669"/>
      <c r="X241" s="669"/>
      <c r="Y241" s="669"/>
    </row>
    <row r="242" spans="1:25">
      <c r="A242" s="407"/>
      <c r="B242" s="61"/>
      <c r="C242" s="601"/>
      <c r="D242" s="601"/>
      <c r="E242" s="601"/>
      <c r="F242" s="601"/>
      <c r="G242" s="407"/>
      <c r="H242" s="601"/>
      <c r="I242" s="19"/>
      <c r="J242" s="19"/>
      <c r="K242" s="19"/>
      <c r="P242" s="407" t="s">
        <v>219</v>
      </c>
      <c r="Q242" s="741">
        <f t="shared" si="6"/>
        <v>4366</v>
      </c>
      <c r="R242" s="669">
        <f t="shared" si="7"/>
        <v>43</v>
      </c>
      <c r="S242" s="669" t="e">
        <f t="shared" si="8"/>
        <v>#REF!</v>
      </c>
      <c r="T242" s="669" t="e">
        <f t="shared" si="9"/>
        <v>#REF!</v>
      </c>
      <c r="V242" s="741">
        <f t="shared" si="10"/>
        <v>7577190</v>
      </c>
      <c r="W242" s="669">
        <f t="shared" si="11"/>
        <v>0</v>
      </c>
      <c r="X242" s="669" t="e">
        <f t="shared" si="12"/>
        <v>#REF!</v>
      </c>
      <c r="Y242" s="669" t="e">
        <f t="shared" si="13"/>
        <v>#REF!</v>
      </c>
    </row>
    <row r="243" spans="1:25">
      <c r="A243" s="407" t="str">
        <f>A85</f>
        <v>Rate AES</v>
      </c>
      <c r="B243" s="35"/>
      <c r="C243" s="510"/>
      <c r="D243" s="601"/>
      <c r="E243" s="601"/>
      <c r="F243" s="601"/>
      <c r="G243" s="601"/>
      <c r="H243" s="510"/>
      <c r="I243" s="19"/>
      <c r="J243" s="19"/>
      <c r="K243" s="601">
        <f>SUM(H243:J243)</f>
        <v>0</v>
      </c>
      <c r="P243" s="407" t="s">
        <v>228</v>
      </c>
      <c r="Q243" s="741">
        <f t="shared" si="6"/>
        <v>3151</v>
      </c>
      <c r="R243" s="669">
        <f t="shared" si="7"/>
        <v>16</v>
      </c>
      <c r="S243" s="669" t="e">
        <f t="shared" si="8"/>
        <v>#REF!</v>
      </c>
      <c r="T243" s="669" t="e">
        <f t="shared" si="9"/>
        <v>#REF!</v>
      </c>
      <c r="V243" s="741">
        <f t="shared" si="10"/>
        <v>141954558</v>
      </c>
      <c r="W243" s="669">
        <f t="shared" si="11"/>
        <v>0</v>
      </c>
      <c r="X243" s="669" t="e">
        <f t="shared" si="12"/>
        <v>#REF!</v>
      </c>
      <c r="Y243" s="669" t="e">
        <f t="shared" si="13"/>
        <v>#REF!</v>
      </c>
    </row>
    <row r="244" spans="1:25">
      <c r="A244" s="742" t="s">
        <v>931</v>
      </c>
      <c r="B244" s="35"/>
      <c r="C244" s="510" t="e">
        <f>SUM(Q242:T242)</f>
        <v>#REF!</v>
      </c>
      <c r="D244" s="601"/>
      <c r="E244" s="601"/>
      <c r="F244" s="601" t="e">
        <f>C244+D244+E244</f>
        <v>#REF!</v>
      </c>
      <c r="G244" s="601" t="e">
        <f>ROUND(F244/13,0)</f>
        <v>#REF!</v>
      </c>
      <c r="H244" s="510" t="e">
        <f>SUM(V242:Y242)</f>
        <v>#REF!</v>
      </c>
      <c r="I244" s="19"/>
      <c r="J244" s="19"/>
      <c r="K244" s="601" t="e">
        <f>SUM(H244:J244)</f>
        <v>#REF!</v>
      </c>
      <c r="P244" s="407"/>
      <c r="Q244" s="741"/>
      <c r="R244" s="669"/>
      <c r="S244" s="669"/>
      <c r="T244" s="669"/>
      <c r="V244" s="741"/>
      <c r="W244" s="669"/>
      <c r="X244" s="669"/>
      <c r="Y244" s="669"/>
    </row>
    <row r="245" spans="1:25">
      <c r="A245" s="742" t="s">
        <v>930</v>
      </c>
      <c r="B245" s="35"/>
      <c r="C245" s="510" t="e">
        <f>SUM(Q243:T243)</f>
        <v>#REF!</v>
      </c>
      <c r="D245" s="601"/>
      <c r="E245" s="601"/>
      <c r="F245" s="601" t="e">
        <f>C245+D245+E245</f>
        <v>#REF!</v>
      </c>
      <c r="G245" s="601" t="e">
        <f>ROUND(F245/13,0)</f>
        <v>#REF!</v>
      </c>
      <c r="H245" s="510" t="e">
        <f>SUM(V243:Y243)</f>
        <v>#REF!</v>
      </c>
      <c r="I245" s="19"/>
      <c r="J245" s="19"/>
      <c r="K245" s="601" t="e">
        <f>SUM(H245:J245)</f>
        <v>#REF!</v>
      </c>
      <c r="P245" s="407"/>
      <c r="Q245" s="741"/>
      <c r="R245" s="669"/>
      <c r="S245" s="669"/>
      <c r="T245" s="669"/>
      <c r="V245" s="741"/>
      <c r="W245" s="669"/>
      <c r="X245" s="669"/>
      <c r="Y245" s="669"/>
    </row>
    <row r="246" spans="1:25">
      <c r="A246" s="407"/>
      <c r="B246" s="61"/>
      <c r="C246" s="510"/>
      <c r="D246" s="601"/>
      <c r="E246" s="601"/>
      <c r="F246" s="601"/>
      <c r="G246" s="407"/>
      <c r="H246" s="601"/>
      <c r="I246" s="19"/>
      <c r="J246" s="19"/>
      <c r="K246" s="19"/>
      <c r="P246" s="407" t="s">
        <v>26</v>
      </c>
      <c r="Q246" s="741">
        <f t="shared" si="6"/>
        <v>2728</v>
      </c>
      <c r="R246" s="669">
        <f t="shared" si="7"/>
        <v>5</v>
      </c>
      <c r="S246" s="669" t="e">
        <f t="shared" si="8"/>
        <v>#REF!</v>
      </c>
      <c r="T246" s="669" t="e">
        <f t="shared" si="9"/>
        <v>#REF!</v>
      </c>
      <c r="V246" s="741">
        <f t="shared" si="10"/>
        <v>265320458</v>
      </c>
      <c r="W246" s="669">
        <f t="shared" si="11"/>
        <v>0</v>
      </c>
      <c r="X246" s="669" t="e">
        <f t="shared" si="12"/>
        <v>#REF!</v>
      </c>
      <c r="Y246" s="669" t="e">
        <f t="shared" si="13"/>
        <v>#REF!</v>
      </c>
    </row>
    <row r="247" spans="1:25">
      <c r="A247" s="407" t="str">
        <f>A89</f>
        <v>Power Service</v>
      </c>
      <c r="B247" s="61"/>
      <c r="C247" s="510"/>
      <c r="D247" s="601"/>
      <c r="E247" s="601"/>
      <c r="F247" s="601"/>
      <c r="G247" s="407"/>
      <c r="H247" s="601"/>
      <c r="I247" s="19"/>
      <c r="J247" s="19"/>
      <c r="K247" s="19"/>
      <c r="P247" s="407" t="s">
        <v>25</v>
      </c>
      <c r="Q247" s="741">
        <f t="shared" si="6"/>
        <v>60073</v>
      </c>
      <c r="R247" s="669">
        <f t="shared" si="7"/>
        <v>5</v>
      </c>
      <c r="S247" s="669" t="e">
        <f t="shared" si="8"/>
        <v>#REF!</v>
      </c>
      <c r="T247" s="669" t="e">
        <f t="shared" si="9"/>
        <v>#REF!</v>
      </c>
      <c r="V247" s="741">
        <f t="shared" si="10"/>
        <v>2292480067</v>
      </c>
      <c r="W247" s="669">
        <f t="shared" si="11"/>
        <v>0</v>
      </c>
      <c r="X247" s="669" t="e">
        <f t="shared" si="12"/>
        <v>#REF!</v>
      </c>
      <c r="Y247" s="669" t="e">
        <f t="shared" si="13"/>
        <v>#REF!</v>
      </c>
    </row>
    <row r="248" spans="1:25">
      <c r="A248" s="407" t="str">
        <f>A90</f>
        <v>Primary</v>
      </c>
      <c r="B248" s="35"/>
      <c r="C248" s="510" t="e">
        <f>SUM(Q246:T246)</f>
        <v>#REF!</v>
      </c>
      <c r="D248" s="601"/>
      <c r="E248" s="601"/>
      <c r="F248" s="601" t="e">
        <f>C248+D248+E248</f>
        <v>#REF!</v>
      </c>
      <c r="G248" s="601" t="e">
        <f>ROUND(F248/13,0)</f>
        <v>#REF!</v>
      </c>
      <c r="H248" s="510" t="e">
        <f>SUM(V246:Y246)</f>
        <v>#REF!</v>
      </c>
      <c r="I248" s="19"/>
      <c r="J248" s="19"/>
      <c r="K248" s="601" t="e">
        <f>SUM(H248:J248)</f>
        <v>#REF!</v>
      </c>
      <c r="P248" s="407" t="s">
        <v>221</v>
      </c>
      <c r="Q248" s="741">
        <f t="shared" si="6"/>
        <v>2684</v>
      </c>
      <c r="R248" s="669">
        <f t="shared" si="7"/>
        <v>14</v>
      </c>
      <c r="S248" s="669" t="e">
        <f t="shared" si="8"/>
        <v>#REF!</v>
      </c>
      <c r="T248" s="669" t="e">
        <f t="shared" si="9"/>
        <v>#REF!</v>
      </c>
      <c r="V248" s="741">
        <f t="shared" si="10"/>
        <v>4199750975</v>
      </c>
      <c r="W248" s="669">
        <f t="shared" si="11"/>
        <v>0</v>
      </c>
      <c r="X248" s="669" t="e">
        <f t="shared" si="12"/>
        <v>#REF!</v>
      </c>
      <c r="Y248" s="669" t="e">
        <f t="shared" si="13"/>
        <v>#REF!</v>
      </c>
    </row>
    <row r="249" spans="1:25">
      <c r="A249" s="407" t="str">
        <f>A91</f>
        <v>Secondary</v>
      </c>
      <c r="B249" s="35"/>
      <c r="C249" s="510" t="e">
        <f>SUM(Q247:T247)</f>
        <v>#REF!</v>
      </c>
      <c r="D249" s="601"/>
      <c r="E249" s="601"/>
      <c r="F249" s="601" t="e">
        <f>C249+D249+E249</f>
        <v>#REF!</v>
      </c>
      <c r="G249" s="601" t="e">
        <f>ROUND(F249/13,0)</f>
        <v>#REF!</v>
      </c>
      <c r="H249" s="510" t="e">
        <f>SUM(V247:Y247)</f>
        <v>#REF!</v>
      </c>
      <c r="I249" s="19"/>
      <c r="J249" s="19"/>
      <c r="K249" s="601" t="e">
        <f>SUM(H249:J249)</f>
        <v>#REF!</v>
      </c>
      <c r="P249" s="407" t="s">
        <v>220</v>
      </c>
      <c r="Q249" s="741">
        <f t="shared" si="6"/>
        <v>5413</v>
      </c>
      <c r="R249" s="669">
        <f t="shared" si="7"/>
        <v>29</v>
      </c>
      <c r="S249" s="669" t="e">
        <f t="shared" si="8"/>
        <v>#REF!</v>
      </c>
      <c r="T249" s="669" t="e">
        <f t="shared" si="9"/>
        <v>#REF!</v>
      </c>
      <c r="V249" s="741">
        <f t="shared" si="10"/>
        <v>1369283940</v>
      </c>
      <c r="W249" s="669">
        <f t="shared" si="11"/>
        <v>0</v>
      </c>
      <c r="X249" s="669" t="e">
        <f t="shared" si="12"/>
        <v>#REF!</v>
      </c>
      <c r="Y249" s="669" t="e">
        <f t="shared" si="13"/>
        <v>#REF!</v>
      </c>
    </row>
    <row r="250" spans="1:25">
      <c r="A250" s="407"/>
      <c r="B250" s="61"/>
      <c r="C250" s="510"/>
      <c r="D250" s="601"/>
      <c r="E250" s="601"/>
      <c r="F250" s="601"/>
      <c r="G250" s="407"/>
      <c r="H250" s="601"/>
      <c r="I250" s="19"/>
      <c r="J250" s="19"/>
      <c r="K250" s="19"/>
      <c r="P250" s="407" t="s">
        <v>19</v>
      </c>
      <c r="Q250" s="741">
        <f t="shared" si="6"/>
        <v>382</v>
      </c>
      <c r="R250" s="669">
        <f t="shared" si="7"/>
        <v>3</v>
      </c>
      <c r="S250" s="669" t="e">
        <f t="shared" si="8"/>
        <v>#REF!</v>
      </c>
      <c r="T250" s="669" t="e">
        <f t="shared" si="9"/>
        <v>#REF!</v>
      </c>
      <c r="V250" s="741">
        <f t="shared" si="10"/>
        <v>1603173602</v>
      </c>
      <c r="W250" s="669">
        <f t="shared" si="11"/>
        <v>0</v>
      </c>
      <c r="X250" s="669" t="e">
        <f t="shared" si="12"/>
        <v>#REF!</v>
      </c>
      <c r="Y250" s="669" t="e">
        <f t="shared" si="13"/>
        <v>#REF!</v>
      </c>
    </row>
    <row r="251" spans="1:25">
      <c r="A251" s="407" t="s">
        <v>1394</v>
      </c>
      <c r="B251" s="35"/>
      <c r="C251" s="510"/>
      <c r="D251" s="601"/>
      <c r="E251" s="601"/>
      <c r="F251" s="601"/>
      <c r="G251" s="407"/>
      <c r="H251" s="601"/>
      <c r="I251" s="19"/>
      <c r="J251" s="19"/>
      <c r="K251" s="19"/>
      <c r="P251" s="407" t="s">
        <v>28</v>
      </c>
      <c r="Q251" s="741">
        <f t="shared" si="6"/>
        <v>12</v>
      </c>
      <c r="R251" s="669">
        <f t="shared" si="7"/>
        <v>0</v>
      </c>
      <c r="S251" s="669" t="e">
        <f t="shared" si="8"/>
        <v>#REF!</v>
      </c>
      <c r="T251" s="669" t="e">
        <f t="shared" si="9"/>
        <v>#REF!</v>
      </c>
      <c r="V251" s="741">
        <f t="shared" si="10"/>
        <v>565207068</v>
      </c>
      <c r="W251" s="669">
        <f t="shared" si="11"/>
        <v>0</v>
      </c>
      <c r="X251" s="669" t="e">
        <f t="shared" si="12"/>
        <v>#REF!</v>
      </c>
      <c r="Y251" s="669" t="e">
        <f t="shared" si="13"/>
        <v>#REF!</v>
      </c>
    </row>
    <row r="252" spans="1:25">
      <c r="A252" s="407" t="str">
        <f>A94</f>
        <v>Primary (a)</v>
      </c>
      <c r="B252" s="35"/>
      <c r="C252" s="510" t="e">
        <f>SUM(Q248:T248)</f>
        <v>#REF!</v>
      </c>
      <c r="D252" s="601"/>
      <c r="E252" s="601"/>
      <c r="F252" s="601" t="e">
        <f>C252+D252+E252</f>
        <v>#REF!</v>
      </c>
      <c r="G252" s="601" t="e">
        <f>ROUND(F252/13,0)</f>
        <v>#REF!</v>
      </c>
      <c r="H252" s="510" t="e">
        <f>SUM(V248:Y248)</f>
        <v>#REF!</v>
      </c>
      <c r="I252" s="19"/>
      <c r="J252" s="19"/>
      <c r="K252" s="601" t="e">
        <f>SUM(H252:J252)</f>
        <v>#REF!</v>
      </c>
      <c r="P252" s="407" t="s">
        <v>78</v>
      </c>
      <c r="Q252" s="741">
        <f t="shared" si="6"/>
        <v>0</v>
      </c>
      <c r="R252" s="669">
        <f t="shared" si="7"/>
        <v>0</v>
      </c>
      <c r="S252" s="669" t="e">
        <f t="shared" si="8"/>
        <v>#REF!</v>
      </c>
      <c r="T252" s="669" t="e">
        <f t="shared" si="9"/>
        <v>#REF!</v>
      </c>
      <c r="V252" s="741">
        <f t="shared" si="10"/>
        <v>0</v>
      </c>
      <c r="W252" s="669">
        <f t="shared" si="11"/>
        <v>0</v>
      </c>
      <c r="X252" s="669" t="e">
        <f t="shared" si="12"/>
        <v>#REF!</v>
      </c>
      <c r="Y252" s="669" t="e">
        <f t="shared" si="13"/>
        <v>#REF!</v>
      </c>
    </row>
    <row r="253" spans="1:25">
      <c r="A253" s="407" t="str">
        <f>A95</f>
        <v>Secondary (b)</v>
      </c>
      <c r="B253" s="35"/>
      <c r="C253" s="510" t="e">
        <f>SUM(Q249:T249)</f>
        <v>#REF!</v>
      </c>
      <c r="D253" s="601"/>
      <c r="E253" s="601"/>
      <c r="F253" s="601" t="e">
        <f>C253+D253+E253</f>
        <v>#REF!</v>
      </c>
      <c r="G253" s="601" t="e">
        <f>ROUND(F253/13,0)</f>
        <v>#REF!</v>
      </c>
      <c r="H253" s="510" t="e">
        <f>SUM(V249:Y249)</f>
        <v>#REF!</v>
      </c>
      <c r="I253" s="19"/>
      <c r="J253" s="19"/>
      <c r="K253" s="601" t="e">
        <f>SUM(H253:J253)</f>
        <v>#REF!</v>
      </c>
      <c r="P253" s="407" t="s">
        <v>20</v>
      </c>
      <c r="Q253" s="741">
        <f t="shared" si="6"/>
        <v>24</v>
      </c>
      <c r="R253" s="669">
        <f t="shared" si="7"/>
        <v>-1</v>
      </c>
      <c r="S253" s="669" t="e">
        <f t="shared" si="8"/>
        <v>#REF!</v>
      </c>
      <c r="T253" s="669" t="e">
        <f t="shared" si="9"/>
        <v>#REF!</v>
      </c>
      <c r="V253" s="741">
        <f t="shared" si="10"/>
        <v>180866</v>
      </c>
      <c r="W253" s="669">
        <f t="shared" si="11"/>
        <v>0</v>
      </c>
      <c r="X253" s="669" t="e">
        <f t="shared" si="12"/>
        <v>#REF!</v>
      </c>
      <c r="Y253" s="669" t="e">
        <f t="shared" si="13"/>
        <v>#REF!</v>
      </c>
    </row>
    <row r="254" spans="1:25">
      <c r="A254" s="407"/>
      <c r="B254" s="61"/>
      <c r="C254" s="510"/>
      <c r="D254" s="601"/>
      <c r="E254" s="601"/>
      <c r="F254" s="601"/>
      <c r="G254" s="407"/>
      <c r="H254" s="601"/>
      <c r="I254" s="19"/>
      <c r="J254" s="19"/>
      <c r="K254" s="19"/>
      <c r="P254" s="407" t="s">
        <v>21</v>
      </c>
      <c r="Q254" s="741">
        <f t="shared" si="6"/>
        <v>8967</v>
      </c>
      <c r="R254" s="669">
        <f t="shared" si="7"/>
        <v>7</v>
      </c>
      <c r="S254" s="669" t="e">
        <f t="shared" si="8"/>
        <v>#REF!</v>
      </c>
      <c r="T254" s="669" t="e">
        <f t="shared" si="9"/>
        <v>#REF!</v>
      </c>
      <c r="V254" s="741">
        <f t="shared" si="10"/>
        <v>1289493</v>
      </c>
      <c r="W254" s="669">
        <f t="shared" si="11"/>
        <v>0</v>
      </c>
      <c r="X254" s="669" t="e">
        <f t="shared" si="12"/>
        <v>#REF!</v>
      </c>
      <c r="Y254" s="669" t="e">
        <f t="shared" si="13"/>
        <v>#REF!</v>
      </c>
    </row>
    <row r="255" spans="1:25">
      <c r="A255" s="407" t="str">
        <f>A97</f>
        <v>Retail Transmisison Service (c)</v>
      </c>
      <c r="B255" s="35"/>
      <c r="C255" s="510" t="e">
        <f>SUM(Q250:T250)</f>
        <v>#REF!</v>
      </c>
      <c r="D255" s="601"/>
      <c r="E255" s="601"/>
      <c r="F255" s="601" t="e">
        <f>C255+D255+E255</f>
        <v>#REF!</v>
      </c>
      <c r="G255" s="601" t="e">
        <f>ROUND(F255/13,0)</f>
        <v>#REF!</v>
      </c>
      <c r="H255" s="510" t="e">
        <f>SUM(V250:Y250)</f>
        <v>#REF!</v>
      </c>
      <c r="I255" s="19"/>
      <c r="J255" s="19"/>
      <c r="K255" s="601" t="e">
        <f>SUM(H255:J255)</f>
        <v>#REF!</v>
      </c>
      <c r="P255" s="407" t="s">
        <v>1035</v>
      </c>
      <c r="Q255" s="741">
        <f>SUMIFS(_12MonLights_Count,_12MonLights_RateClass,$P255)</f>
        <v>1702500</v>
      </c>
      <c r="R255" s="741">
        <f>SUMIFS(_12MonLights_Count_Adj,_12MonLights_RateClass,$P255)</f>
        <v>567</v>
      </c>
      <c r="S255" s="669" t="e">
        <f t="shared" si="8"/>
        <v>#REF!</v>
      </c>
      <c r="T255" s="669" t="e">
        <f t="shared" si="9"/>
        <v>#REF!</v>
      </c>
      <c r="V255" s="741">
        <f>SUMIFS(_12MonLights_KWH,_12MonLights_RateClass,$P255)</f>
        <v>46087736</v>
      </c>
      <c r="W255" s="741">
        <f>SUMIFS(_12MonLights_KWH_OutOfPeriod,_12MonLights_RateClass,$P255)</f>
        <v>23962</v>
      </c>
      <c r="X255" s="669" t="e">
        <f t="shared" si="12"/>
        <v>#REF!</v>
      </c>
      <c r="Y255" s="669" t="e">
        <f t="shared" si="13"/>
        <v>#REF!</v>
      </c>
    </row>
    <row r="256" spans="1:25">
      <c r="A256" s="407"/>
      <c r="B256" s="61"/>
      <c r="C256" s="510"/>
      <c r="D256" s="601"/>
      <c r="E256" s="601"/>
      <c r="F256" s="601"/>
      <c r="G256" s="407"/>
      <c r="H256" s="601"/>
      <c r="I256" s="19"/>
      <c r="J256" s="19"/>
      <c r="K256" s="19"/>
      <c r="P256" s="407" t="s">
        <v>1036</v>
      </c>
      <c r="Q256" s="741">
        <f>SUMIFS(_12MonLights_Count,_12MonLights_RateClass,$P256)</f>
        <v>320502</v>
      </c>
      <c r="R256" s="741">
        <f>SUMIFS(_12MonLights_Count_Adj,_12MonLights_RateClass,$P256)</f>
        <v>79</v>
      </c>
      <c r="S256" s="669" t="e">
        <f t="shared" si="8"/>
        <v>#REF!</v>
      </c>
      <c r="T256" s="669" t="e">
        <f t="shared" si="9"/>
        <v>#REF!</v>
      </c>
      <c r="V256" s="741">
        <f>SUMIFS(_12MonLights_KWH,_12MonLights_RateClass,$P256)</f>
        <v>9232480</v>
      </c>
      <c r="W256" s="741">
        <f>SUMIFS(_12MonLights_KWH_OutOfPeriod,_12MonLights_RateClass,$P256)</f>
        <v>3337</v>
      </c>
      <c r="X256" s="669" t="e">
        <f t="shared" si="12"/>
        <v>#REF!</v>
      </c>
      <c r="Y256" s="669" t="e">
        <f t="shared" si="13"/>
        <v>#REF!</v>
      </c>
    </row>
    <row r="257" spans="1:26">
      <c r="A257" s="407" t="str">
        <f>A99</f>
        <v>Fluctuating Load Service</v>
      </c>
      <c r="B257" s="35"/>
      <c r="C257" s="510" t="e">
        <f>SUM(Q251:T251)</f>
        <v>#REF!</v>
      </c>
      <c r="D257" s="601"/>
      <c r="E257" s="601"/>
      <c r="F257" s="601" t="e">
        <f>C257+D257+E257</f>
        <v>#REF!</v>
      </c>
      <c r="G257" s="601" t="e">
        <f>ROUND(F257/13,0)</f>
        <v>#REF!</v>
      </c>
      <c r="H257" s="510" t="e">
        <f>SUM(V251:Y251)</f>
        <v>#REF!</v>
      </c>
      <c r="I257" s="19"/>
      <c r="J257" s="19"/>
      <c r="K257" s="601" t="e">
        <f>SUM(H257:J257)</f>
        <v>#REF!</v>
      </c>
    </row>
    <row r="258" spans="1:26">
      <c r="A258" s="407"/>
      <c r="B258" s="61"/>
      <c r="C258" s="510"/>
      <c r="D258" s="601"/>
      <c r="E258" s="601"/>
      <c r="F258" s="601"/>
      <c r="G258" s="407"/>
      <c r="H258" s="601"/>
      <c r="I258" s="19"/>
      <c r="J258" s="19"/>
      <c r="K258" s="19"/>
      <c r="P258" s="407" t="s">
        <v>1399</v>
      </c>
      <c r="Q258" s="740">
        <f>SUM(Q235:Q254)</f>
        <v>6185558</v>
      </c>
      <c r="R258" s="740">
        <f>SUM(R235:R254)</f>
        <v>3013</v>
      </c>
      <c r="S258" s="740" t="e">
        <f>SUM(S235:S254)</f>
        <v>#REF!</v>
      </c>
      <c r="T258" s="740" t="e">
        <f>SUM(T235:T254)</f>
        <v>#REF!</v>
      </c>
      <c r="V258" s="740">
        <f>SUM(V235:V254)</f>
        <v>18466596693</v>
      </c>
      <c r="W258" s="740">
        <f>SUM(W235:W254)</f>
        <v>0</v>
      </c>
      <c r="X258" s="740" t="e">
        <f>SUM(X235:X254)</f>
        <v>#REF!</v>
      </c>
      <c r="Y258" s="740"/>
      <c r="Z258" s="740" t="e">
        <f>SUM(V258:X258)</f>
        <v>#REF!</v>
      </c>
    </row>
    <row r="259" spans="1:26">
      <c r="A259" s="407" t="str">
        <f>A101</f>
        <v>Lighting Energy</v>
      </c>
      <c r="B259" s="35"/>
      <c r="C259" s="510" t="e">
        <f>SUM(Q253:T253)</f>
        <v>#REF!</v>
      </c>
      <c r="D259" s="601"/>
      <c r="E259" s="601"/>
      <c r="F259" s="601" t="e">
        <f>C259+D259+E259</f>
        <v>#REF!</v>
      </c>
      <c r="G259" s="601" t="e">
        <f>ROUND(F259/13,0)</f>
        <v>#REF!</v>
      </c>
      <c r="H259" s="510" t="e">
        <f>SUM(V253:Y253)</f>
        <v>#REF!</v>
      </c>
      <c r="I259" s="19"/>
      <c r="J259" s="19"/>
      <c r="K259" s="601" t="e">
        <f>SUM(H259:J259)</f>
        <v>#REF!</v>
      </c>
      <c r="P259" s="407" t="s">
        <v>1400</v>
      </c>
      <c r="Q259" s="601">
        <f>'12MonResults'!F473</f>
        <v>6185585</v>
      </c>
      <c r="R259" s="601">
        <f>'12MonResults'!G473</f>
        <v>3013</v>
      </c>
      <c r="S259" s="740" t="e">
        <f>SUM(#REF!:#REF!)</f>
        <v>#REF!</v>
      </c>
      <c r="T259" s="740" t="e">
        <f>SUM(#REF!:#REF!)</f>
        <v>#REF!</v>
      </c>
      <c r="V259" s="601">
        <f>'12MonResults'!K473</f>
        <v>18466596693</v>
      </c>
      <c r="W259" s="601">
        <f>'12MonResults'!L473</f>
        <v>0</v>
      </c>
      <c r="X259" s="740" t="e">
        <f>SUM(#REF!)</f>
        <v>#REF!</v>
      </c>
      <c r="Y259" s="740"/>
    </row>
    <row r="260" spans="1:26">
      <c r="A260" s="407"/>
      <c r="B260" s="61"/>
      <c r="C260" s="510"/>
      <c r="D260" s="601"/>
      <c r="E260" s="601"/>
      <c r="F260" s="601"/>
      <c r="G260" s="407"/>
      <c r="H260" s="601"/>
      <c r="I260" s="19"/>
      <c r="J260" s="19"/>
      <c r="K260" s="19"/>
      <c r="Q260" s="407"/>
      <c r="R260" s="407"/>
      <c r="S260" s="407"/>
      <c r="T260" s="407"/>
      <c r="V260" s="407"/>
      <c r="W260" s="407"/>
      <c r="X260" s="407"/>
      <c r="Y260" s="407"/>
    </row>
    <row r="261" spans="1:26">
      <c r="A261" s="407" t="str">
        <f>A103</f>
        <v>Traffic Energy</v>
      </c>
      <c r="B261" s="35"/>
      <c r="C261" s="510" t="e">
        <f>SUM(Q254:T254)</f>
        <v>#REF!</v>
      </c>
      <c r="D261" s="601"/>
      <c r="E261" s="601"/>
      <c r="F261" s="601" t="e">
        <f>C261+D261+E261</f>
        <v>#REF!</v>
      </c>
      <c r="G261" s="601" t="e">
        <f>ROUND(F261/13,0)</f>
        <v>#REF!</v>
      </c>
      <c r="H261" s="510" t="e">
        <f>SUM(V254:Y254)</f>
        <v>#REF!</v>
      </c>
      <c r="I261" s="19"/>
      <c r="J261" s="19"/>
      <c r="K261" s="601" t="e">
        <f>SUM(H261:J261)</f>
        <v>#REF!</v>
      </c>
      <c r="P261" s="407" t="s">
        <v>1401</v>
      </c>
      <c r="Q261" s="740">
        <f>SUM(Q255:Q256)</f>
        <v>2023002</v>
      </c>
      <c r="R261" s="740">
        <f>SUM(R255:R256)</f>
        <v>646</v>
      </c>
      <c r="S261" s="740" t="e">
        <f>SUM(S255:S256)</f>
        <v>#REF!</v>
      </c>
      <c r="T261" s="740" t="e">
        <f>SUM(T255:T256)</f>
        <v>#REF!</v>
      </c>
      <c r="V261" s="740">
        <f>SUM(V255:V256)</f>
        <v>55320216</v>
      </c>
      <c r="W261" s="740">
        <f>SUM(W255:W256)</f>
        <v>27299</v>
      </c>
      <c r="X261" s="740" t="e">
        <f>SUM(X255:X256)</f>
        <v>#REF!</v>
      </c>
      <c r="Y261" s="740"/>
      <c r="Z261" s="740" t="e">
        <f>SUM(V261:X261)</f>
        <v>#REF!</v>
      </c>
    </row>
    <row r="262" spans="1:26">
      <c r="A262" s="407"/>
      <c r="B262" s="61"/>
      <c r="C262" s="407"/>
      <c r="D262" s="407"/>
      <c r="E262" s="407"/>
      <c r="F262" s="407"/>
      <c r="G262" s="407"/>
      <c r="H262" s="407"/>
      <c r="I262" s="61"/>
      <c r="J262" s="61"/>
      <c r="K262" s="61"/>
      <c r="P262" s="407" t="s">
        <v>1402</v>
      </c>
      <c r="Q262" s="601">
        <f>'12MonLights'!E1071</f>
        <v>2023002</v>
      </c>
      <c r="R262" s="601">
        <f>'12MonLights'!F1071</f>
        <v>646</v>
      </c>
      <c r="S262" s="601" t="e">
        <f>SUM(#REF!)</f>
        <v>#REF!</v>
      </c>
      <c r="T262" s="601" t="e">
        <f>SUM(#REF!)</f>
        <v>#REF!</v>
      </c>
      <c r="V262" s="601">
        <f>'12MonLights'!G1071</f>
        <v>119802347</v>
      </c>
      <c r="W262" s="601">
        <f>'12MonLights'!H1071</f>
        <v>27299</v>
      </c>
      <c r="X262" s="601" t="e">
        <f>SUM(#REF!)</f>
        <v>#REF!</v>
      </c>
      <c r="Y262" s="601"/>
    </row>
    <row r="263" spans="1:26">
      <c r="A263" s="407" t="s">
        <v>1416</v>
      </c>
      <c r="B263" s="61"/>
      <c r="C263" s="601"/>
      <c r="D263" s="601"/>
      <c r="E263" s="601"/>
      <c r="F263" s="601"/>
      <c r="G263" s="601"/>
      <c r="H263" s="510"/>
      <c r="I263" s="19"/>
      <c r="J263" s="19"/>
      <c r="K263" s="601"/>
      <c r="Z263" s="740" t="e">
        <f>Z258+Z261</f>
        <v>#REF!</v>
      </c>
    </row>
    <row r="264" spans="1:26">
      <c r="A264" s="742" t="s">
        <v>91</v>
      </c>
      <c r="B264" s="61"/>
      <c r="C264" s="601" t="e">
        <f>SUM(Q255:T255)</f>
        <v>#REF!</v>
      </c>
      <c r="D264" s="601"/>
      <c r="E264" s="601"/>
      <c r="F264" s="601" t="e">
        <f>C264+D264+E264</f>
        <v>#REF!</v>
      </c>
      <c r="G264" s="601" t="e">
        <f>ROUND(F264/13,0)</f>
        <v>#REF!</v>
      </c>
      <c r="H264" s="510" t="e">
        <f>SUM(V255:Y255)</f>
        <v>#REF!</v>
      </c>
      <c r="I264" s="19"/>
      <c r="J264" s="19"/>
      <c r="K264" s="601" t="e">
        <f>SUM(H264:J264)</f>
        <v>#REF!</v>
      </c>
    </row>
    <row r="265" spans="1:26">
      <c r="A265" s="742" t="s">
        <v>1396</v>
      </c>
      <c r="B265" s="61"/>
      <c r="C265" s="601" t="e">
        <f>SUM(Q256:T256)</f>
        <v>#REF!</v>
      </c>
      <c r="D265" s="601"/>
      <c r="E265" s="601"/>
      <c r="F265" s="601" t="e">
        <f>C265+D265+E265</f>
        <v>#REF!</v>
      </c>
      <c r="G265" s="601" t="e">
        <f>ROUND(F265/13,0)</f>
        <v>#REF!</v>
      </c>
      <c r="H265" s="510" t="e">
        <f>SUM(V256:Y256)</f>
        <v>#REF!</v>
      </c>
      <c r="I265" s="19"/>
      <c r="J265" s="19"/>
      <c r="K265" s="601" t="e">
        <f>SUM(H265:J265)</f>
        <v>#REF!</v>
      </c>
    </row>
    <row r="266" spans="1:26">
      <c r="A266" s="407"/>
      <c r="B266" s="61"/>
      <c r="C266" s="407"/>
      <c r="D266" s="407"/>
      <c r="E266" s="407"/>
      <c r="F266" s="407"/>
      <c r="G266" s="407"/>
      <c r="H266" s="407"/>
      <c r="I266" s="61"/>
      <c r="J266" s="61"/>
      <c r="K266" s="61"/>
    </row>
    <row r="267" spans="1:26">
      <c r="A267" s="744" t="str">
        <f>A110</f>
        <v>Totals</v>
      </c>
      <c r="B267" s="61"/>
      <c r="C267" s="601" t="e">
        <f>SUM(C235:C265)</f>
        <v>#REF!</v>
      </c>
      <c r="D267" s="601">
        <f>SUM(D235:D265)</f>
        <v>1287</v>
      </c>
      <c r="E267" s="601">
        <f>SUM(E235:E265)</f>
        <v>-363</v>
      </c>
      <c r="F267" s="601" t="e">
        <f>SUM(F235:F265)</f>
        <v>#REF!</v>
      </c>
      <c r="G267" s="407"/>
      <c r="H267" s="601" t="e">
        <f>SUM(H235:H265)</f>
        <v>#REF!</v>
      </c>
      <c r="I267" s="601">
        <f>SUM(I235:I265)</f>
        <v>623217</v>
      </c>
      <c r="J267" s="601">
        <f>SUM(J235:J265)</f>
        <v>-464042</v>
      </c>
      <c r="K267" s="601" t="e">
        <f>SUM(K235:K265)</f>
        <v>#REF!</v>
      </c>
    </row>
    <row r="268" spans="1:26">
      <c r="A268" s="407"/>
      <c r="B268" s="61"/>
      <c r="C268" s="61"/>
      <c r="D268" s="61"/>
      <c r="E268" s="61"/>
      <c r="F268" s="61"/>
      <c r="G268" s="61"/>
      <c r="H268" s="61"/>
      <c r="I268" s="61"/>
      <c r="J268" s="61"/>
      <c r="K268" s="61"/>
    </row>
    <row r="269" spans="1:26">
      <c r="A269" s="407"/>
      <c r="B269" s="61"/>
      <c r="C269" s="61"/>
      <c r="D269" s="61"/>
      <c r="E269" s="61"/>
      <c r="F269" s="61"/>
      <c r="G269" s="61"/>
      <c r="H269" s="61"/>
      <c r="I269" s="61"/>
      <c r="J269" s="61"/>
      <c r="K269" s="61"/>
    </row>
    <row r="270" spans="1:26">
      <c r="A270" s="407"/>
      <c r="B270" s="61"/>
      <c r="C270" s="61"/>
      <c r="D270" s="61"/>
      <c r="E270" s="61"/>
      <c r="F270" s="61"/>
      <c r="G270" s="61"/>
      <c r="H270" s="61"/>
      <c r="I270" s="61"/>
      <c r="J270" s="61"/>
      <c r="K270" s="61"/>
    </row>
    <row r="271" spans="1:26">
      <c r="A271" s="415" t="s">
        <v>862</v>
      </c>
      <c r="B271" s="61"/>
      <c r="C271" s="61"/>
      <c r="D271" s="61"/>
      <c r="E271" s="61"/>
      <c r="F271" s="61"/>
      <c r="G271" s="61"/>
      <c r="H271" s="61"/>
      <c r="I271" s="61"/>
      <c r="J271" s="61"/>
      <c r="K271" s="61"/>
    </row>
    <row r="272" spans="1:26">
      <c r="A272" s="61"/>
      <c r="B272" s="61"/>
      <c r="C272" s="61"/>
      <c r="D272" s="61"/>
      <c r="E272" s="61"/>
      <c r="F272" s="61"/>
      <c r="G272" s="61"/>
      <c r="H272" s="61"/>
      <c r="I272" s="61"/>
      <c r="J272" s="61"/>
      <c r="K272" s="61"/>
    </row>
    <row r="273" spans="1:22">
      <c r="A273" s="61"/>
      <c r="B273" s="61"/>
      <c r="C273" s="788">
        <v>-1</v>
      </c>
      <c r="D273" s="788">
        <f>C273-1</f>
        <v>-2</v>
      </c>
      <c r="E273" s="788">
        <f t="shared" ref="E273:K273" si="14">D273-1</f>
        <v>-3</v>
      </c>
      <c r="F273" s="788">
        <f t="shared" si="14"/>
        <v>-4</v>
      </c>
      <c r="G273" s="788">
        <f t="shared" si="14"/>
        <v>-5</v>
      </c>
      <c r="H273" s="788">
        <f t="shared" si="14"/>
        <v>-6</v>
      </c>
      <c r="I273" s="788">
        <f t="shared" si="14"/>
        <v>-7</v>
      </c>
      <c r="J273" s="788">
        <f t="shared" si="14"/>
        <v>-8</v>
      </c>
      <c r="K273" s="788">
        <f t="shared" si="14"/>
        <v>-9</v>
      </c>
    </row>
    <row r="274" spans="1:22" ht="132">
      <c r="A274" s="61"/>
      <c r="B274" s="61"/>
      <c r="C274" s="440" t="s">
        <v>863</v>
      </c>
      <c r="D274" s="440" t="s">
        <v>864</v>
      </c>
      <c r="E274" s="442" t="s">
        <v>1415</v>
      </c>
      <c r="F274" s="442" t="s">
        <v>1410</v>
      </c>
      <c r="G274" s="442" t="s">
        <v>1411</v>
      </c>
      <c r="H274" s="442" t="s">
        <v>1412</v>
      </c>
      <c r="I274" s="442" t="s">
        <v>1413</v>
      </c>
      <c r="J274" s="442" t="s">
        <v>1414</v>
      </c>
      <c r="K274" s="442" t="s">
        <v>865</v>
      </c>
    </row>
    <row r="275" spans="1:22">
      <c r="A275" s="61"/>
      <c r="B275" s="61"/>
      <c r="C275" s="61"/>
      <c r="D275" s="61"/>
      <c r="E275" s="61"/>
      <c r="F275" s="61"/>
      <c r="G275" s="61"/>
      <c r="H275" s="61"/>
      <c r="I275" s="61"/>
      <c r="J275" s="61"/>
      <c r="K275" s="61"/>
      <c r="Q275" s="415" t="s">
        <v>1405</v>
      </c>
      <c r="R275" s="407" t="s">
        <v>62</v>
      </c>
      <c r="S275" s="407" t="s">
        <v>742</v>
      </c>
      <c r="T275" s="407" t="s">
        <v>814</v>
      </c>
      <c r="U275" s="415" t="s">
        <v>1408</v>
      </c>
      <c r="V275" s="415" t="s">
        <v>1409</v>
      </c>
    </row>
    <row r="276" spans="1:22">
      <c r="A276" s="407" t="str">
        <f>$A$8</f>
        <v>Residential Service including VFD including rate switching</v>
      </c>
      <c r="B276" s="35"/>
      <c r="C276" s="736">
        <f>SUM(Q276:Q277)</f>
        <v>531961556.15000015</v>
      </c>
      <c r="D276" s="736">
        <f>SUM(R276:R277)</f>
        <v>12715186.210000005</v>
      </c>
      <c r="E276" s="736" t="e">
        <f>SUM(S276:S277)*-1</f>
        <v>#REF!</v>
      </c>
      <c r="F276" s="736" t="e">
        <f>SUM(T276:T277)</f>
        <v>#REF!</v>
      </c>
      <c r="G276" s="736" t="e">
        <f>SUM(U276:U277)</f>
        <v>#REF!</v>
      </c>
      <c r="H276" s="736" t="e">
        <f>SUM(V276:V277)*-1</f>
        <v>#REF!</v>
      </c>
      <c r="I276" s="36">
        <f>SUM(AA5:AA6)</f>
        <v>47205.320000000007</v>
      </c>
      <c r="J276" s="36">
        <f>(SUM(Z5:Z6))</f>
        <v>-40323.089999999997</v>
      </c>
      <c r="K276" s="36" t="e">
        <f>SUM(C276:J276)</f>
        <v>#REF!</v>
      </c>
      <c r="P276" s="407" t="s">
        <v>15</v>
      </c>
      <c r="Q276" s="741">
        <f>SUMIFS(_12MonResults_Revenue_Calculated,_12MonResults_RateClass,$P276)</f>
        <v>531920248.99000013</v>
      </c>
      <c r="R276" s="669">
        <f>+SUMIFS(_12MonResults_Revenue_FAC,_12MonResults_RateClass,$P276)</f>
        <v>12713905.880000005</v>
      </c>
      <c r="S276" s="669" t="e">
        <f>+SUMIFS(_BaseECR_Base_ECR_Revenue,_BaseECR_Base_ECR_RateClass,$P276)</f>
        <v>#REF!</v>
      </c>
      <c r="T276" s="741" t="e">
        <f>SUMIFS(_13Month_Revenue_Actual,_13Month_RateClass,$P276)</f>
        <v>#REF!</v>
      </c>
      <c r="U276" s="741" t="e">
        <f>SUMIFS(_13Month_FAC,_13Month_RateClass,$P276)</f>
        <v>#REF!</v>
      </c>
      <c r="V276" s="741" t="e">
        <f>SUMIFS(_13Month_Base_ECR_Total,_13Month_RateClass,$P276)</f>
        <v>#REF!</v>
      </c>
    </row>
    <row r="277" spans="1:22">
      <c r="A277" s="407"/>
      <c r="B277" s="61"/>
      <c r="C277" s="36"/>
      <c r="D277" s="36"/>
      <c r="E277" s="36"/>
      <c r="F277" s="36"/>
      <c r="G277" s="36"/>
      <c r="H277" s="36"/>
      <c r="I277" s="36"/>
      <c r="J277" s="36"/>
      <c r="K277" s="36"/>
      <c r="P277" s="407" t="s">
        <v>17</v>
      </c>
      <c r="Q277" s="741">
        <f>SUMIFS(_12MonResults_Revenue_Calculated,_12MonResults_RateClass,$P277)</f>
        <v>41307.160000000003</v>
      </c>
      <c r="R277" s="669">
        <f>+SUMIFS(_12MonResults_Revenue_FAC,_12MonResults_RateClass,$P277)</f>
        <v>1280.33</v>
      </c>
      <c r="S277" s="669" t="e">
        <f>+SUMIFS(_BaseECR_Base_ECR_Revenue,_BaseECR_Base_ECR_RateClass,$P277)</f>
        <v>#REF!</v>
      </c>
      <c r="T277" s="741" t="e">
        <f>SUMIFS(_13Month_Revenue_Actual,_13Month_RateClass,$P277)</f>
        <v>#REF!</v>
      </c>
      <c r="U277" s="741" t="e">
        <f>SUMIFS(_13Month_FAC,_13Month_RateClass,$P277)</f>
        <v>#REF!</v>
      </c>
      <c r="V277" s="741" t="e">
        <f>SUMIFS(_13Month_Base_ECR_Total,_13Month_RateClass,$P277)</f>
        <v>#REF!</v>
      </c>
    </row>
    <row r="278" spans="1:22">
      <c r="A278" s="407" t="str">
        <f>$A$11</f>
        <v>Residential Service -- Electric Vehicle Only</v>
      </c>
      <c r="B278" s="199"/>
      <c r="C278" s="736">
        <f>SUM(Q278:Q278)</f>
        <v>3020.62</v>
      </c>
      <c r="D278" s="736">
        <f>SUM(R278:R278)</f>
        <v>81.94</v>
      </c>
      <c r="E278" s="736" t="e">
        <f>SUM(S278:S278)*-1</f>
        <v>#REF!</v>
      </c>
      <c r="F278" s="736" t="e">
        <f>SUM(T278:T278)</f>
        <v>#REF!</v>
      </c>
      <c r="G278" s="736" t="e">
        <f>SUM(U278:U278)</f>
        <v>#REF!</v>
      </c>
      <c r="H278" s="736" t="e">
        <f>SUM(V278:V278)*-1</f>
        <v>#REF!</v>
      </c>
      <c r="I278" s="36">
        <f>AA10</f>
        <v>0</v>
      </c>
      <c r="J278" s="36">
        <f>(Z10)</f>
        <v>0</v>
      </c>
      <c r="K278" s="36" t="e">
        <f>SUM(C278:J278)</f>
        <v>#REF!</v>
      </c>
      <c r="P278" s="407" t="s">
        <v>222</v>
      </c>
      <c r="Q278" s="741">
        <f>SUMIFS(_12MonResults_Revenue_Calculated,_12MonResults_RateClass,$P278)</f>
        <v>3020.62</v>
      </c>
      <c r="R278" s="669">
        <f>+SUMIFS(_12MonResults_Revenue_FAC,_12MonResults_RateClass,$P278)</f>
        <v>81.94</v>
      </c>
      <c r="S278" s="669" t="e">
        <f>+SUMIFS(_BaseECR_Base_ECR_Revenue,_BaseECR_Base_ECR_RateClass,$P278)</f>
        <v>#REF!</v>
      </c>
      <c r="T278" s="741" t="e">
        <f>SUMIFS(_13Month_Revenue_Actual,_13Month_RateClass,$P278)</f>
        <v>#REF!</v>
      </c>
      <c r="U278" s="741" t="e">
        <f>SUMIFS(_13Month_FAC,_13Month_RateClass,$P278)</f>
        <v>#REF!</v>
      </c>
      <c r="V278" s="741" t="e">
        <f>SUMIFS(_13Month_Base_ECR_Total,_13Month_RateClass,$P278)</f>
        <v>#REF!</v>
      </c>
    </row>
    <row r="279" spans="1:22">
      <c r="A279" s="407"/>
      <c r="B279" s="61"/>
      <c r="C279" s="36"/>
      <c r="D279" s="36"/>
      <c r="E279" s="36"/>
      <c r="F279" s="36"/>
      <c r="G279" s="36"/>
      <c r="H279" s="36"/>
      <c r="I279" s="36"/>
      <c r="J279" s="36"/>
      <c r="K279" s="36"/>
      <c r="P279" s="415" t="s">
        <v>224</v>
      </c>
      <c r="Q279" s="741">
        <f>SUMIFS(_12MonResults_Revenue_Calculated,_12MonResults_RateClass,$P279)</f>
        <v>86190751.629999995</v>
      </c>
      <c r="R279" s="669">
        <f>+SUMIFS(_12MonResults_Revenue_FAC,_12MonResults_RateClass,$P279)</f>
        <v>1548819.84</v>
      </c>
      <c r="S279" s="669" t="e">
        <f>+SUMIFS(_BaseECR_Base_ECR_Revenue,_BaseECR_Base_ECR_RateClass,$P279)</f>
        <v>#REF!</v>
      </c>
      <c r="T279" s="741" t="e">
        <f>SUMIFS(_13Month_Revenue_Actual,_13Month_RateClass,$P279)</f>
        <v>#REF!</v>
      </c>
      <c r="U279" s="741" t="e">
        <f>SUMIFS(_13Month_FAC,_13Month_RateClass,$P279)</f>
        <v>#REF!</v>
      </c>
      <c r="V279" s="741" t="e">
        <f>SUMIFS(_13Month_Base_ECR_Total,_13Month_RateClass,$P279)</f>
        <v>#REF!</v>
      </c>
    </row>
    <row r="280" spans="1:22">
      <c r="A280" s="407" t="str">
        <f>$A$16</f>
        <v>General Service</v>
      </c>
      <c r="B280" s="35"/>
      <c r="C280" s="736"/>
      <c r="D280" s="36"/>
      <c r="E280" s="36"/>
      <c r="F280" s="36"/>
      <c r="G280" s="36"/>
      <c r="H280" s="36"/>
      <c r="I280" s="36"/>
      <c r="J280" s="36"/>
      <c r="K280" s="36"/>
      <c r="P280" s="407" t="s">
        <v>18</v>
      </c>
      <c r="Q280" s="741">
        <f>SUMIFS(_12MonResults_Revenue_Calculated,_12MonResults_RateClass,$P280)</f>
        <v>108307320.37</v>
      </c>
      <c r="R280" s="669">
        <f>+SUMIFS(_12MonResults_Revenue_FAC,_12MonResults_RateClass,$P280)</f>
        <v>2178475.0099999998</v>
      </c>
      <c r="S280" s="669" t="e">
        <f>+SUMIFS(_BaseECR_Base_ECR_Revenue,_BaseECR_Base_ECR_RateClass,$P280)</f>
        <v>#REF!</v>
      </c>
      <c r="T280" s="741" t="e">
        <f>SUMIFS(_13Month_Revenue_Actual,_13Month_RateClass,$P280)</f>
        <v>#REF!</v>
      </c>
      <c r="U280" s="741" t="e">
        <f>SUMIFS(_13Month_FAC,_13Month_RateClass,$P280)</f>
        <v>#REF!</v>
      </c>
      <c r="V280" s="741" t="e">
        <f>SUMIFS(_13Month_Base_ECR_Total,_13Month_RateClass,$P280)</f>
        <v>#REF!</v>
      </c>
    </row>
    <row r="281" spans="1:22">
      <c r="A281" s="742" t="s">
        <v>931</v>
      </c>
      <c r="B281" s="35"/>
      <c r="C281" s="736">
        <f>Q279</f>
        <v>86190751.629999995</v>
      </c>
      <c r="D281" s="736">
        <f>R279</f>
        <v>1548819.84</v>
      </c>
      <c r="E281" s="736" t="e">
        <f>S279*-1</f>
        <v>#REF!</v>
      </c>
      <c r="F281" s="736" t="e">
        <f>T279</f>
        <v>#REF!</v>
      </c>
      <c r="G281" s="736" t="e">
        <f>U279</f>
        <v>#REF!</v>
      </c>
      <c r="H281" s="736" t="e">
        <f>V279*-1</f>
        <v>#REF!</v>
      </c>
      <c r="I281" s="36"/>
      <c r="J281" s="36"/>
      <c r="K281" s="36" t="e">
        <f>SUM(C281:J281)</f>
        <v>#REF!</v>
      </c>
      <c r="P281" s="407"/>
      <c r="Q281" s="741"/>
      <c r="R281" s="669"/>
      <c r="S281" s="669"/>
      <c r="T281" s="741"/>
      <c r="U281" s="741"/>
      <c r="V281" s="741"/>
    </row>
    <row r="282" spans="1:22">
      <c r="A282" s="742" t="s">
        <v>930</v>
      </c>
      <c r="B282" s="35"/>
      <c r="C282" s="736">
        <f>Q280</f>
        <v>108307320.37</v>
      </c>
      <c r="D282" s="736">
        <f>R280</f>
        <v>2178475.0099999998</v>
      </c>
      <c r="E282" s="736" t="e">
        <f>S280*-1</f>
        <v>#REF!</v>
      </c>
      <c r="F282" s="736" t="e">
        <f>T280</f>
        <v>#REF!</v>
      </c>
      <c r="G282" s="736" t="e">
        <f>U280</f>
        <v>#REF!</v>
      </c>
      <c r="H282" s="736" t="e">
        <f>V280*-1</f>
        <v>#REF!</v>
      </c>
      <c r="I282" s="36"/>
      <c r="J282" s="36"/>
      <c r="K282" s="36" t="e">
        <f>SUM(C282:J282)</f>
        <v>#REF!</v>
      </c>
      <c r="P282" s="407"/>
      <c r="Q282" s="741"/>
      <c r="R282" s="669"/>
      <c r="S282" s="669"/>
      <c r="T282" s="741"/>
      <c r="U282" s="741"/>
      <c r="V282" s="741"/>
    </row>
    <row r="283" spans="1:22">
      <c r="A283" s="407"/>
      <c r="B283" s="61"/>
      <c r="C283" s="36"/>
      <c r="D283" s="36"/>
      <c r="E283" s="36"/>
      <c r="F283" s="36"/>
      <c r="G283" s="36"/>
      <c r="H283" s="36"/>
      <c r="I283" s="36"/>
      <c r="J283" s="36"/>
      <c r="K283" s="36"/>
      <c r="P283" s="407" t="s">
        <v>219</v>
      </c>
      <c r="Q283" s="741">
        <f>SUMIFS(_12MonResults_Revenue_Calculated,_12MonResults_RateClass,$P283)</f>
        <v>651571.04000000027</v>
      </c>
      <c r="R283" s="669">
        <f>+SUMIFS(_12MonResults_Revenue_FAC,_12MonResults_RateClass,$P283)</f>
        <v>15092.679999999997</v>
      </c>
      <c r="S283" s="669" t="e">
        <f>+SUMIFS(_BaseECR_Base_ECR_Revenue,_BaseECR_Base_ECR_RateClass,$P283)</f>
        <v>#REF!</v>
      </c>
      <c r="T283" s="741" t="e">
        <f>SUMIFS(_13Month_Revenue_Actual,_13Month_RateClass,$P283)</f>
        <v>#REF!</v>
      </c>
      <c r="U283" s="741" t="e">
        <f>SUMIFS(_13Month_FAC,_13Month_RateClass,$P283)</f>
        <v>#REF!</v>
      </c>
      <c r="V283" s="741" t="e">
        <f>SUMIFS(_13Month_Base_ECR_Total,_13Month_RateClass,$P283)</f>
        <v>#REF!</v>
      </c>
    </row>
    <row r="284" spans="1:22">
      <c r="A284" s="407" t="str">
        <f>$A$21</f>
        <v>Rate AES</v>
      </c>
      <c r="B284" s="35"/>
      <c r="C284" s="36"/>
      <c r="D284" s="36"/>
      <c r="E284" s="36"/>
      <c r="F284" s="36"/>
      <c r="G284" s="36"/>
      <c r="H284" s="36"/>
      <c r="I284" s="36">
        <f>SUM(AA18:AA19)</f>
        <v>12226.53</v>
      </c>
      <c r="J284" s="36">
        <f>(SUM(Z18:Z19))</f>
        <v>-202813.89</v>
      </c>
      <c r="K284" s="36"/>
      <c r="P284" s="407" t="s">
        <v>228</v>
      </c>
      <c r="Q284" s="741">
        <f>SUMIFS(_12MonResults_Revenue_Calculated,_12MonResults_RateClass,$P284)</f>
        <v>10671844.460000001</v>
      </c>
      <c r="R284" s="669">
        <f>+SUMIFS(_12MonResults_Revenue_FAC,_12MonResults_RateClass,$P284)</f>
        <v>294926.72000000003</v>
      </c>
      <c r="S284" s="669" t="e">
        <f>+SUMIFS(_BaseECR_Base_ECR_Revenue,_BaseECR_Base_ECR_RateClass,$P284)</f>
        <v>#REF!</v>
      </c>
      <c r="T284" s="741" t="e">
        <f>SUMIFS(_13Month_Revenue_Actual,_13Month_RateClass,$P284)</f>
        <v>#REF!</v>
      </c>
      <c r="U284" s="741" t="e">
        <f>SUMIFS(_13Month_FAC,_13Month_RateClass,$P284)</f>
        <v>#REF!</v>
      </c>
      <c r="V284" s="741" t="e">
        <f>SUMIFS(_13Month_Base_ECR_Total,_13Month_RateClass,$P284)</f>
        <v>#REF!</v>
      </c>
    </row>
    <row r="285" spans="1:22">
      <c r="A285" s="742" t="s">
        <v>931</v>
      </c>
      <c r="B285" s="35"/>
      <c r="C285" s="736">
        <f>Q283</f>
        <v>651571.04000000027</v>
      </c>
      <c r="D285" s="736">
        <f>R283</f>
        <v>15092.679999999997</v>
      </c>
      <c r="E285" s="736" t="e">
        <f>S283*-1</f>
        <v>#REF!</v>
      </c>
      <c r="F285" s="736" t="e">
        <f>T283</f>
        <v>#REF!</v>
      </c>
      <c r="G285" s="736" t="e">
        <f>U283</f>
        <v>#REF!</v>
      </c>
      <c r="H285" s="736" t="e">
        <f>V283*-1</f>
        <v>#REF!</v>
      </c>
      <c r="I285" s="36"/>
      <c r="J285" s="36"/>
      <c r="K285" s="36" t="e">
        <f>SUM(C285:J285)</f>
        <v>#REF!</v>
      </c>
      <c r="P285" s="407"/>
      <c r="Q285" s="741"/>
      <c r="R285" s="669"/>
      <c r="S285" s="669"/>
      <c r="T285" s="741"/>
      <c r="U285" s="741"/>
      <c r="V285" s="741"/>
    </row>
    <row r="286" spans="1:22">
      <c r="A286" s="742" t="s">
        <v>930</v>
      </c>
      <c r="B286" s="35"/>
      <c r="C286" s="736">
        <f>Q284</f>
        <v>10671844.460000001</v>
      </c>
      <c r="D286" s="736">
        <f>R284</f>
        <v>294926.72000000003</v>
      </c>
      <c r="E286" s="736" t="e">
        <f>S284*-1</f>
        <v>#REF!</v>
      </c>
      <c r="F286" s="736" t="e">
        <f>T284</f>
        <v>#REF!</v>
      </c>
      <c r="G286" s="736" t="e">
        <f>U284</f>
        <v>#REF!</v>
      </c>
      <c r="H286" s="736" t="e">
        <f>V284*-1</f>
        <v>#REF!</v>
      </c>
      <c r="I286" s="36"/>
      <c r="J286" s="36"/>
      <c r="K286" s="36" t="e">
        <f>SUM(C286:J286)</f>
        <v>#REF!</v>
      </c>
      <c r="P286" s="407"/>
      <c r="Q286" s="741"/>
      <c r="R286" s="669"/>
      <c r="S286" s="669"/>
      <c r="T286" s="741"/>
      <c r="U286" s="741"/>
      <c r="V286" s="741"/>
    </row>
    <row r="287" spans="1:22">
      <c r="A287" s="407"/>
      <c r="B287" s="61"/>
      <c r="C287" s="36"/>
      <c r="D287" s="36"/>
      <c r="E287" s="36"/>
      <c r="F287" s="36"/>
      <c r="G287" s="36"/>
      <c r="H287" s="36"/>
      <c r="I287" s="36"/>
      <c r="J287" s="36"/>
      <c r="K287" s="36"/>
      <c r="P287" s="407" t="s">
        <v>26</v>
      </c>
      <c r="Q287" s="741">
        <f t="shared" ref="Q287:Q295" si="15">SUMIFS(_12MonResults_Revenue_Calculated,_12MonResults_RateClass,$P287)</f>
        <v>20068314.59</v>
      </c>
      <c r="R287" s="669">
        <f t="shared" ref="R287:R295" si="16">+SUMIFS(_12MonResults_Revenue_FAC,_12MonResults_RateClass,$P287)</f>
        <v>562652.80999999994</v>
      </c>
      <c r="S287" s="669" t="e">
        <f t="shared" ref="S287:S295" si="17">+SUMIFS(_BaseECR_Base_ECR_Revenue,_BaseECR_Base_ECR_RateClass,$P287)</f>
        <v>#REF!</v>
      </c>
      <c r="T287" s="741" t="e">
        <f t="shared" ref="T287:T297" si="18">SUMIFS(_13Month_Revenue_Actual,_13Month_RateClass,$P287)</f>
        <v>#REF!</v>
      </c>
      <c r="U287" s="741" t="e">
        <f t="shared" ref="U287:U297" si="19">SUMIFS(_13Month_FAC,_13Month_RateClass,$P287)</f>
        <v>#REF!</v>
      </c>
      <c r="V287" s="741" t="e">
        <f t="shared" ref="V287:V297" si="20">SUMIFS(_13Month_Base_ECR_Total,_13Month_RateClass,$P287)</f>
        <v>#REF!</v>
      </c>
    </row>
    <row r="288" spans="1:22">
      <c r="A288" s="407" t="str">
        <f>$A$23</f>
        <v>Power Service</v>
      </c>
      <c r="B288" s="61"/>
      <c r="C288" s="36"/>
      <c r="D288" s="36"/>
      <c r="E288" s="36"/>
      <c r="F288" s="36"/>
      <c r="G288" s="36"/>
      <c r="H288" s="36"/>
      <c r="I288" s="36"/>
      <c r="J288" s="36"/>
      <c r="K288" s="36"/>
      <c r="P288" s="407" t="s">
        <v>25</v>
      </c>
      <c r="Q288" s="741">
        <f t="shared" si="15"/>
        <v>187691234.13999999</v>
      </c>
      <c r="R288" s="669">
        <f t="shared" si="16"/>
        <v>4574371.9600000009</v>
      </c>
      <c r="S288" s="669" t="e">
        <f t="shared" si="17"/>
        <v>#REF!</v>
      </c>
      <c r="T288" s="741" t="e">
        <f t="shared" si="18"/>
        <v>#REF!</v>
      </c>
      <c r="U288" s="741" t="e">
        <f t="shared" si="19"/>
        <v>#REF!</v>
      </c>
      <c r="V288" s="741" t="e">
        <f t="shared" si="20"/>
        <v>#REF!</v>
      </c>
    </row>
    <row r="289" spans="1:22">
      <c r="A289" s="407" t="str">
        <f>$A$25</f>
        <v>Primary</v>
      </c>
      <c r="B289" s="35"/>
      <c r="C289" s="736">
        <f>Q287</f>
        <v>20068314.59</v>
      </c>
      <c r="D289" s="736">
        <f>R287</f>
        <v>562652.80999999994</v>
      </c>
      <c r="E289" s="736" t="e">
        <f>S287*-1</f>
        <v>#REF!</v>
      </c>
      <c r="F289" s="736" t="e">
        <f>T287</f>
        <v>#REF!</v>
      </c>
      <c r="G289" s="736" t="e">
        <f>U287</f>
        <v>#REF!</v>
      </c>
      <c r="H289" s="736" t="e">
        <f>V287*-1</f>
        <v>#REF!</v>
      </c>
      <c r="I289" s="36">
        <f>AA24</f>
        <v>57419.54</v>
      </c>
      <c r="J289" s="36">
        <f>Z24</f>
        <v>-181571.72</v>
      </c>
      <c r="K289" s="36" t="e">
        <f>SUM(C289:J289)</f>
        <v>#REF!</v>
      </c>
      <c r="P289" s="407" t="s">
        <v>221</v>
      </c>
      <c r="Q289" s="741">
        <f t="shared" si="15"/>
        <v>237333207.40999997</v>
      </c>
      <c r="R289" s="669">
        <f t="shared" si="16"/>
        <v>8442577.3300000001</v>
      </c>
      <c r="S289" s="669" t="e">
        <f t="shared" si="17"/>
        <v>#REF!</v>
      </c>
      <c r="T289" s="741" t="e">
        <f t="shared" si="18"/>
        <v>#REF!</v>
      </c>
      <c r="U289" s="741" t="e">
        <f t="shared" si="19"/>
        <v>#REF!</v>
      </c>
      <c r="V289" s="741" t="e">
        <f t="shared" si="20"/>
        <v>#REF!</v>
      </c>
    </row>
    <row r="290" spans="1:22">
      <c r="A290" s="407" t="str">
        <f>$A$27</f>
        <v>Secondary</v>
      </c>
      <c r="B290" s="35"/>
      <c r="C290" s="736">
        <f>Q288</f>
        <v>187691234.13999999</v>
      </c>
      <c r="D290" s="736">
        <f>R288</f>
        <v>4574371.9600000009</v>
      </c>
      <c r="E290" s="736" t="e">
        <f>S288*-1</f>
        <v>#REF!</v>
      </c>
      <c r="F290" s="736" t="e">
        <f>T288</f>
        <v>#REF!</v>
      </c>
      <c r="G290" s="736" t="e">
        <f>U288</f>
        <v>#REF!</v>
      </c>
      <c r="H290" s="736" t="e">
        <f>V288*-1</f>
        <v>#REF!</v>
      </c>
      <c r="I290" s="36">
        <f>SUM(AA26:AA26)</f>
        <v>3143257.13</v>
      </c>
      <c r="J290" s="36">
        <f>(SUM(Z26:Z26))</f>
        <v>-10405880.710000001</v>
      </c>
      <c r="K290" s="36" t="e">
        <f>SUM(C290:J290)</f>
        <v>#REF!</v>
      </c>
      <c r="P290" s="407" t="s">
        <v>220</v>
      </c>
      <c r="Q290" s="741">
        <f t="shared" si="15"/>
        <v>88409517.859999985</v>
      </c>
      <c r="R290" s="669">
        <f t="shared" si="16"/>
        <v>2641676.73</v>
      </c>
      <c r="S290" s="669" t="e">
        <f t="shared" si="17"/>
        <v>#REF!</v>
      </c>
      <c r="T290" s="741" t="e">
        <f t="shared" si="18"/>
        <v>#REF!</v>
      </c>
      <c r="U290" s="741" t="e">
        <f t="shared" si="19"/>
        <v>#REF!</v>
      </c>
      <c r="V290" s="741" t="e">
        <f t="shared" si="20"/>
        <v>#REF!</v>
      </c>
    </row>
    <row r="291" spans="1:22">
      <c r="A291" s="407"/>
      <c r="B291" s="61"/>
      <c r="C291" s="36"/>
      <c r="D291" s="36"/>
      <c r="E291" s="36"/>
      <c r="F291" s="36"/>
      <c r="G291" s="36"/>
      <c r="H291" s="36"/>
      <c r="I291" s="36"/>
      <c r="J291" s="36"/>
      <c r="K291" s="36"/>
      <c r="P291" s="407" t="s">
        <v>19</v>
      </c>
      <c r="Q291" s="741">
        <f t="shared" si="15"/>
        <v>87086909.170000002</v>
      </c>
      <c r="R291" s="669">
        <f t="shared" si="16"/>
        <v>3258253.49</v>
      </c>
      <c r="S291" s="669" t="e">
        <f t="shared" si="17"/>
        <v>#REF!</v>
      </c>
      <c r="T291" s="741" t="e">
        <f t="shared" si="18"/>
        <v>#REF!</v>
      </c>
      <c r="U291" s="741" t="e">
        <f t="shared" si="19"/>
        <v>#REF!</v>
      </c>
      <c r="V291" s="741" t="e">
        <f t="shared" si="20"/>
        <v>#REF!</v>
      </c>
    </row>
    <row r="292" spans="1:22">
      <c r="A292" s="407" t="str">
        <f>$A$29</f>
        <v>Industrial Time of Day</v>
      </c>
      <c r="B292" s="35"/>
      <c r="C292" s="36"/>
      <c r="D292" s="36"/>
      <c r="E292" s="36"/>
      <c r="F292" s="36"/>
      <c r="G292" s="36"/>
      <c r="H292" s="36"/>
      <c r="I292" s="36"/>
      <c r="J292" s="36"/>
      <c r="K292" s="36"/>
      <c r="P292" s="407" t="s">
        <v>28</v>
      </c>
      <c r="Q292" s="741">
        <f t="shared" si="15"/>
        <v>27524010.800000001</v>
      </c>
      <c r="R292" s="669">
        <f t="shared" si="16"/>
        <v>1165931.68</v>
      </c>
      <c r="S292" s="669" t="e">
        <f t="shared" si="17"/>
        <v>#REF!</v>
      </c>
      <c r="T292" s="741" t="e">
        <f t="shared" si="18"/>
        <v>#REF!</v>
      </c>
      <c r="U292" s="741" t="e">
        <f t="shared" si="19"/>
        <v>#REF!</v>
      </c>
      <c r="V292" s="741" t="e">
        <f t="shared" si="20"/>
        <v>#REF!</v>
      </c>
    </row>
    <row r="293" spans="1:22">
      <c r="A293" s="407" t="str">
        <f>$A$31</f>
        <v>Primary</v>
      </c>
      <c r="B293" s="35"/>
      <c r="C293" s="736">
        <f>Q289</f>
        <v>237333207.40999997</v>
      </c>
      <c r="D293" s="736">
        <f>R289</f>
        <v>8442577.3300000001</v>
      </c>
      <c r="E293" s="736" t="e">
        <f>S289*-1</f>
        <v>#REF!</v>
      </c>
      <c r="F293" s="736" t="e">
        <f>T289</f>
        <v>#REF!</v>
      </c>
      <c r="G293" s="736" t="e">
        <f>U289</f>
        <v>#REF!</v>
      </c>
      <c r="H293" s="736" t="e">
        <f>V289*-1</f>
        <v>#REF!</v>
      </c>
      <c r="I293" s="36">
        <f>AA30</f>
        <v>2596467.0400000005</v>
      </c>
      <c r="J293" s="36">
        <f>(Z30)</f>
        <v>0</v>
      </c>
      <c r="K293" s="36" t="e">
        <f>SUM(C293:J293)</f>
        <v>#REF!</v>
      </c>
      <c r="P293" s="407" t="s">
        <v>78</v>
      </c>
      <c r="Q293" s="741">
        <f t="shared" si="15"/>
        <v>0</v>
      </c>
      <c r="R293" s="669">
        <f t="shared" si="16"/>
        <v>0</v>
      </c>
      <c r="S293" s="669" t="e">
        <f t="shared" si="17"/>
        <v>#REF!</v>
      </c>
      <c r="T293" s="741" t="e">
        <f t="shared" si="18"/>
        <v>#REF!</v>
      </c>
      <c r="U293" s="741" t="e">
        <f t="shared" si="19"/>
        <v>#REF!</v>
      </c>
      <c r="V293" s="741" t="e">
        <f t="shared" si="20"/>
        <v>#REF!</v>
      </c>
    </row>
    <row r="294" spans="1:22">
      <c r="A294" s="407" t="str">
        <f>$A$33</f>
        <v>Secondary</v>
      </c>
      <c r="B294" s="35"/>
      <c r="C294" s="736">
        <f>Q290</f>
        <v>88409517.859999985</v>
      </c>
      <c r="D294" s="736">
        <f>R290</f>
        <v>2641676.73</v>
      </c>
      <c r="E294" s="736" t="e">
        <f>S290*-1</f>
        <v>#REF!</v>
      </c>
      <c r="F294" s="736" t="e">
        <f>T290</f>
        <v>#REF!</v>
      </c>
      <c r="G294" s="736" t="e">
        <f>U290</f>
        <v>#REF!</v>
      </c>
      <c r="H294" s="736" t="e">
        <f>V290*-1</f>
        <v>#REF!</v>
      </c>
      <c r="I294" s="36">
        <f>AA32</f>
        <v>9430064.6399999987</v>
      </c>
      <c r="J294" s="36">
        <f>(Z32)</f>
        <v>0</v>
      </c>
      <c r="K294" s="36" t="e">
        <f>SUM(C294:J294)</f>
        <v>#REF!</v>
      </c>
      <c r="P294" s="407" t="s">
        <v>20</v>
      </c>
      <c r="Q294" s="741">
        <f t="shared" si="15"/>
        <v>11539.239999999998</v>
      </c>
      <c r="R294" s="669">
        <f t="shared" si="16"/>
        <v>371.60999999999996</v>
      </c>
      <c r="S294" s="669" t="e">
        <f t="shared" si="17"/>
        <v>#REF!</v>
      </c>
      <c r="T294" s="741" t="e">
        <f t="shared" si="18"/>
        <v>#REF!</v>
      </c>
      <c r="U294" s="741" t="e">
        <f t="shared" si="19"/>
        <v>#REF!</v>
      </c>
      <c r="V294" s="741" t="e">
        <f t="shared" si="20"/>
        <v>#REF!</v>
      </c>
    </row>
    <row r="295" spans="1:22">
      <c r="A295" s="407"/>
      <c r="B295" s="61"/>
      <c r="C295" s="36"/>
      <c r="D295" s="36"/>
      <c r="E295" s="36"/>
      <c r="F295" s="36"/>
      <c r="G295" s="36"/>
      <c r="H295" s="36"/>
      <c r="I295" s="36"/>
      <c r="J295" s="36"/>
      <c r="K295" s="36"/>
      <c r="P295" s="407" t="s">
        <v>21</v>
      </c>
      <c r="Q295" s="741">
        <f t="shared" si="15"/>
        <v>132030.13999999998</v>
      </c>
      <c r="R295" s="669">
        <f t="shared" si="16"/>
        <v>2594.3799999999997</v>
      </c>
      <c r="S295" s="669" t="e">
        <f t="shared" si="17"/>
        <v>#REF!</v>
      </c>
      <c r="T295" s="741" t="e">
        <f t="shared" si="18"/>
        <v>#REF!</v>
      </c>
      <c r="U295" s="741" t="e">
        <f t="shared" si="19"/>
        <v>#REF!</v>
      </c>
      <c r="V295" s="741" t="e">
        <f t="shared" si="20"/>
        <v>#REF!</v>
      </c>
    </row>
    <row r="296" spans="1:22">
      <c r="A296" s="407" t="str">
        <f>$A$36</f>
        <v>Retail Transmisison Service</v>
      </c>
      <c r="B296" s="35"/>
      <c r="C296" s="736">
        <f>Q291</f>
        <v>87086909.170000002</v>
      </c>
      <c r="D296" s="736">
        <f>R291</f>
        <v>3258253.49</v>
      </c>
      <c r="E296" s="736" t="e">
        <f>S291*-1</f>
        <v>#REF!</v>
      </c>
      <c r="F296" s="736" t="e">
        <f>T291</f>
        <v>#REF!</v>
      </c>
      <c r="G296" s="736" t="e">
        <f>U291</f>
        <v>#REF!</v>
      </c>
      <c r="H296" s="736" t="e">
        <f>V291*-1</f>
        <v>#REF!</v>
      </c>
      <c r="I296" s="36">
        <f>AA35</f>
        <v>0</v>
      </c>
      <c r="J296" s="36">
        <f>(Z35)</f>
        <v>0</v>
      </c>
      <c r="K296" s="36" t="e">
        <f>SUM(C296:J296)</f>
        <v>#REF!</v>
      </c>
      <c r="P296" s="407" t="s">
        <v>1035</v>
      </c>
      <c r="Q296" s="741">
        <f>SUMIFS(_12MonLights_Revenue_Calculated,_12MonLights_RateClass,$P296)</f>
        <v>21466678.649999976</v>
      </c>
      <c r="R296" s="741">
        <f>SUMIFS(_12MonLights_Revenue_FAC,_12MonLights_RateClass,$P296)</f>
        <v>117677.85999999996</v>
      </c>
      <c r="S296" s="669" t="e">
        <f>SUMIFS(_BaseECRLights_Revenue,_BaseECRLights_RateClass,$P296)</f>
        <v>#REF!</v>
      </c>
      <c r="T296" s="741" t="e">
        <f t="shared" si="18"/>
        <v>#REF!</v>
      </c>
      <c r="U296" s="741" t="e">
        <f t="shared" si="19"/>
        <v>#REF!</v>
      </c>
      <c r="V296" s="741" t="e">
        <f t="shared" si="20"/>
        <v>#REF!</v>
      </c>
    </row>
    <row r="297" spans="1:22">
      <c r="A297" s="407"/>
      <c r="B297" s="61"/>
      <c r="C297" s="36"/>
      <c r="D297" s="36"/>
      <c r="E297" s="36"/>
      <c r="F297" s="36"/>
      <c r="G297" s="36"/>
      <c r="H297" s="36"/>
      <c r="I297" s="36"/>
      <c r="J297" s="36"/>
      <c r="K297" s="36"/>
      <c r="P297" s="407" t="s">
        <v>1036</v>
      </c>
      <c r="Q297" s="741">
        <f>SUMIFS(_12MonLights_Revenue_Calculated,_12MonLights_RateClass,$P297)</f>
        <v>3672135.5899999989</v>
      </c>
      <c r="R297" s="741">
        <f>SUMIFS(_12MonLights_Revenue_FAC,_12MonLights_RateClass,$P297)</f>
        <v>23171.749999999993</v>
      </c>
      <c r="S297" s="669" t="e">
        <f>SUMIFS(_BaseECRLights_Revenue,_BaseECRLights_RateClass,$P297)</f>
        <v>#REF!</v>
      </c>
      <c r="T297" s="741" t="e">
        <f t="shared" si="18"/>
        <v>#REF!</v>
      </c>
      <c r="U297" s="741" t="e">
        <f t="shared" si="19"/>
        <v>#REF!</v>
      </c>
      <c r="V297" s="741" t="e">
        <f t="shared" si="20"/>
        <v>#REF!</v>
      </c>
    </row>
    <row r="298" spans="1:22">
      <c r="A298" s="407" t="str">
        <f>$A$40</f>
        <v>Fluctuating Load Service</v>
      </c>
      <c r="B298" s="35"/>
      <c r="C298" s="736">
        <f>Q292</f>
        <v>27524010.800000001</v>
      </c>
      <c r="D298" s="736">
        <f>R292</f>
        <v>1165931.68</v>
      </c>
      <c r="E298" s="736" t="e">
        <f>S292*-1</f>
        <v>#REF!</v>
      </c>
      <c r="F298" s="736" t="e">
        <f>T292</f>
        <v>#REF!</v>
      </c>
      <c r="G298" s="736" t="e">
        <f>U292</f>
        <v>#REF!</v>
      </c>
      <c r="H298" s="736" t="e">
        <f>V292*-1</f>
        <v>#REF!</v>
      </c>
      <c r="I298" s="36">
        <f>AA39</f>
        <v>0</v>
      </c>
      <c r="J298" s="36">
        <f>(Z39)</f>
        <v>0</v>
      </c>
      <c r="K298" s="36" t="e">
        <f>SUM(C298:J298)</f>
        <v>#REF!</v>
      </c>
    </row>
    <row r="299" spans="1:22">
      <c r="A299" s="407"/>
      <c r="B299" s="61"/>
      <c r="C299" s="36"/>
      <c r="D299" s="36"/>
      <c r="E299" s="36"/>
      <c r="F299" s="36"/>
      <c r="G299" s="36"/>
      <c r="H299" s="36"/>
      <c r="I299" s="36"/>
      <c r="J299" s="36"/>
      <c r="K299" s="36"/>
      <c r="P299" s="407" t="s">
        <v>1399</v>
      </c>
      <c r="Q299" s="740">
        <f t="shared" ref="Q299:V299" si="21">SUM(Q276:Q295)</f>
        <v>1386042827.6200001</v>
      </c>
      <c r="R299" s="740">
        <f t="shared" si="21"/>
        <v>37401012.390000008</v>
      </c>
      <c r="S299" s="740" t="e">
        <f t="shared" si="21"/>
        <v>#REF!</v>
      </c>
      <c r="T299" s="740" t="e">
        <f t="shared" si="21"/>
        <v>#REF!</v>
      </c>
      <c r="U299" s="740" t="e">
        <f t="shared" si="21"/>
        <v>#REF!</v>
      </c>
      <c r="V299" s="740" t="e">
        <f t="shared" si="21"/>
        <v>#REF!</v>
      </c>
    </row>
    <row r="300" spans="1:22">
      <c r="A300" s="407" t="str">
        <f>$A$43</f>
        <v>Lighting Energy</v>
      </c>
      <c r="B300" s="35"/>
      <c r="C300" s="736">
        <f>Q294</f>
        <v>11539.239999999998</v>
      </c>
      <c r="D300" s="736">
        <f>R294</f>
        <v>371.60999999999996</v>
      </c>
      <c r="E300" s="736" t="e">
        <f>S294*-1</f>
        <v>#REF!</v>
      </c>
      <c r="F300" s="736" t="e">
        <f>T294</f>
        <v>#REF!</v>
      </c>
      <c r="G300" s="736" t="e">
        <f>U294</f>
        <v>#REF!</v>
      </c>
      <c r="H300" s="736" t="e">
        <f>V294*-1</f>
        <v>#REF!</v>
      </c>
      <c r="I300" s="36">
        <f>AA42</f>
        <v>0</v>
      </c>
      <c r="J300" s="36">
        <f>(Z42)</f>
        <v>0</v>
      </c>
      <c r="K300" s="36" t="e">
        <f>SUM(C300:J300)</f>
        <v>#REF!</v>
      </c>
      <c r="P300" s="407" t="s">
        <v>1400</v>
      </c>
      <c r="Q300" s="601">
        <f>'12MonResults'!AV473</f>
        <v>1386042827.6199996</v>
      </c>
      <c r="R300" s="601">
        <f>'12MonResults'!AY473</f>
        <v>37401012.389999993</v>
      </c>
      <c r="S300" s="740" t="e">
        <f>#REF!</f>
        <v>#REF!</v>
      </c>
      <c r="T300" s="740" t="e">
        <f>#REF!</f>
        <v>#REF!</v>
      </c>
      <c r="U300" s="740" t="e">
        <f>#REF!</f>
        <v>#REF!</v>
      </c>
      <c r="V300" s="740" t="e">
        <f>#REF!</f>
        <v>#REF!</v>
      </c>
    </row>
    <row r="301" spans="1:22">
      <c r="A301" s="407"/>
      <c r="B301" s="61"/>
      <c r="C301" s="36"/>
      <c r="D301" s="36"/>
      <c r="E301" s="36"/>
      <c r="F301" s="36"/>
      <c r="G301" s="36"/>
      <c r="H301" s="36"/>
      <c r="I301" s="36"/>
      <c r="J301" s="36"/>
      <c r="K301" s="36"/>
      <c r="Q301" s="407"/>
      <c r="R301" s="407"/>
      <c r="S301" s="407"/>
      <c r="T301" s="407"/>
      <c r="U301" s="407"/>
      <c r="V301" s="407"/>
    </row>
    <row r="302" spans="1:22">
      <c r="A302" s="407" t="str">
        <f>$A$45</f>
        <v>Traffic Energy</v>
      </c>
      <c r="B302" s="35"/>
      <c r="C302" s="736">
        <f>Q295</f>
        <v>132030.13999999998</v>
      </c>
      <c r="D302" s="736">
        <f>R295</f>
        <v>2594.3799999999997</v>
      </c>
      <c r="E302" s="736" t="e">
        <f>S295*-1</f>
        <v>#REF!</v>
      </c>
      <c r="F302" s="736" t="e">
        <f>T295</f>
        <v>#REF!</v>
      </c>
      <c r="G302" s="736" t="e">
        <f>U295</f>
        <v>#REF!</v>
      </c>
      <c r="H302" s="736" t="e">
        <f>V295*-1</f>
        <v>#REF!</v>
      </c>
      <c r="I302" s="36">
        <f>AA44</f>
        <v>10668.95</v>
      </c>
      <c r="J302" s="36">
        <f>(Z44)</f>
        <v>0</v>
      </c>
      <c r="K302" s="36" t="e">
        <f>SUM(C302:J302)</f>
        <v>#REF!</v>
      </c>
      <c r="P302" s="407" t="s">
        <v>1401</v>
      </c>
      <c r="Q302" s="740">
        <f t="shared" ref="Q302:V302" si="22">SUM(Q296:Q297)</f>
        <v>25138814.239999976</v>
      </c>
      <c r="R302" s="740">
        <f t="shared" si="22"/>
        <v>140849.60999999996</v>
      </c>
      <c r="S302" s="740" t="e">
        <f t="shared" si="22"/>
        <v>#REF!</v>
      </c>
      <c r="T302" s="740" t="e">
        <f t="shared" si="22"/>
        <v>#REF!</v>
      </c>
      <c r="U302" s="740" t="e">
        <f t="shared" si="22"/>
        <v>#REF!</v>
      </c>
      <c r="V302" s="740" t="e">
        <f t="shared" si="22"/>
        <v>#REF!</v>
      </c>
    </row>
    <row r="303" spans="1:22">
      <c r="A303" s="407"/>
      <c r="B303" s="61"/>
      <c r="C303" s="36"/>
      <c r="D303" s="36"/>
      <c r="E303" s="36"/>
      <c r="F303" s="36"/>
      <c r="G303" s="36"/>
      <c r="H303" s="36"/>
      <c r="I303" s="36"/>
      <c r="J303" s="36"/>
      <c r="K303" s="36"/>
      <c r="P303" s="407" t="s">
        <v>1402</v>
      </c>
      <c r="Q303" s="601">
        <f>'12MonLights'!N1071</f>
        <v>25138814.239999969</v>
      </c>
      <c r="R303" s="601">
        <f>'12MonLights'!Q1071</f>
        <v>243081.61000000004</v>
      </c>
      <c r="S303" s="601" t="e">
        <f>#REF!</f>
        <v>#REF!</v>
      </c>
      <c r="T303" s="601" t="e">
        <f>#REF!</f>
        <v>#REF!</v>
      </c>
      <c r="U303" s="601" t="e">
        <f>#REF!</f>
        <v>#REF!</v>
      </c>
      <c r="V303" s="601" t="e">
        <f>#REF!</f>
        <v>#REF!</v>
      </c>
    </row>
    <row r="304" spans="1:22">
      <c r="A304" s="407" t="s">
        <v>1416</v>
      </c>
      <c r="B304" s="61"/>
      <c r="C304" s="36"/>
      <c r="D304" s="36"/>
      <c r="E304" s="36"/>
      <c r="F304" s="36"/>
      <c r="G304" s="36"/>
      <c r="H304" s="36"/>
      <c r="I304" s="36"/>
      <c r="J304" s="36"/>
      <c r="K304" s="36"/>
    </row>
    <row r="305" spans="1:22">
      <c r="A305" s="742" t="s">
        <v>91</v>
      </c>
      <c r="B305" s="61"/>
      <c r="C305" s="736">
        <f>Q296</f>
        <v>21466678.649999976</v>
      </c>
      <c r="D305" s="736">
        <f>R296</f>
        <v>117677.85999999996</v>
      </c>
      <c r="E305" s="736" t="e">
        <f>S296*-1</f>
        <v>#REF!</v>
      </c>
      <c r="F305" s="736" t="e">
        <f>T296</f>
        <v>#REF!</v>
      </c>
      <c r="G305" s="736" t="e">
        <f>U296</f>
        <v>#REF!</v>
      </c>
      <c r="H305" s="736" t="e">
        <f>V296*-1</f>
        <v>#REF!</v>
      </c>
      <c r="I305" s="36"/>
      <c r="J305" s="36"/>
      <c r="K305" s="36" t="e">
        <f>SUM(C305:J305)</f>
        <v>#REF!</v>
      </c>
      <c r="Q305" s="740">
        <f t="shared" ref="Q305:V305" si="23">Q299+Q302</f>
        <v>1411181641.8600001</v>
      </c>
      <c r="R305" s="740">
        <f t="shared" si="23"/>
        <v>37541862.000000007</v>
      </c>
      <c r="S305" s="740" t="e">
        <f t="shared" si="23"/>
        <v>#REF!</v>
      </c>
      <c r="T305" s="740" t="e">
        <f t="shared" si="23"/>
        <v>#REF!</v>
      </c>
      <c r="U305" s="740" t="e">
        <f t="shared" si="23"/>
        <v>#REF!</v>
      </c>
      <c r="V305" s="740" t="e">
        <f t="shared" si="23"/>
        <v>#REF!</v>
      </c>
    </row>
    <row r="306" spans="1:22">
      <c r="A306" s="742" t="s">
        <v>1396</v>
      </c>
      <c r="B306" s="61"/>
      <c r="C306" s="736">
        <f>Q297</f>
        <v>3672135.5899999989</v>
      </c>
      <c r="D306" s="736">
        <f>R297</f>
        <v>23171.749999999993</v>
      </c>
      <c r="E306" s="736" t="e">
        <f>S297*-1</f>
        <v>#REF!</v>
      </c>
      <c r="F306" s="736" t="e">
        <f>T297</f>
        <v>#REF!</v>
      </c>
      <c r="G306" s="736" t="e">
        <f>U297</f>
        <v>#REF!</v>
      </c>
      <c r="H306" s="736" t="e">
        <f>V297*-1</f>
        <v>#REF!</v>
      </c>
      <c r="I306" s="36"/>
      <c r="J306" s="36"/>
      <c r="K306" s="36" t="e">
        <f>SUM(C306:J306)</f>
        <v>#REF!</v>
      </c>
      <c r="T306" s="740" t="e">
        <f>-T293</f>
        <v>#REF!</v>
      </c>
    </row>
    <row r="307" spans="1:22">
      <c r="A307" s="407"/>
      <c r="B307" s="61"/>
      <c r="C307" s="36"/>
      <c r="D307" s="36"/>
      <c r="E307" s="36"/>
      <c r="F307" s="36"/>
      <c r="G307" s="36"/>
      <c r="H307" s="36"/>
      <c r="I307" s="36"/>
      <c r="J307" s="36"/>
      <c r="K307" s="36"/>
      <c r="T307" s="740" t="e">
        <f>T305+T306</f>
        <v>#REF!</v>
      </c>
    </row>
    <row r="308" spans="1:22">
      <c r="A308" s="744" t="str">
        <f>A52</f>
        <v>Totals</v>
      </c>
      <c r="B308" s="61"/>
      <c r="C308" s="736">
        <f>SUM(C276:C306)</f>
        <v>1411181641.8599999</v>
      </c>
      <c r="D308" s="736">
        <f>SUM(D276:D306)</f>
        <v>37541862.000000007</v>
      </c>
      <c r="E308" s="736" t="e">
        <f>SUM(E276:E306)</f>
        <v>#REF!</v>
      </c>
      <c r="F308" s="736" t="e">
        <f t="shared" ref="F308:K308" si="24">SUM(F276:F306)</f>
        <v>#REF!</v>
      </c>
      <c r="G308" s="736" t="e">
        <f t="shared" si="24"/>
        <v>#REF!</v>
      </c>
      <c r="H308" s="736" t="e">
        <f>SUM(H276:H306)</f>
        <v>#REF!</v>
      </c>
      <c r="I308" s="736">
        <f t="shared" si="24"/>
        <v>15297309.149999999</v>
      </c>
      <c r="J308" s="736">
        <f t="shared" si="24"/>
        <v>-10830589.41</v>
      </c>
      <c r="K308" s="736" t="e">
        <f t="shared" si="24"/>
        <v>#REF!</v>
      </c>
    </row>
  </sheetData>
  <pageMargins left="0.7" right="0.7" top="1.25" bottom="0.75" header="0.75" footer="0.3"/>
  <pageSetup scale="70" fitToHeight="6" orientation="landscape" r:id="rId1"/>
  <headerFooter>
    <oddHeader>&amp;C&amp;"Times New Roman,Bold"&amp;12Kentucky Utilities Company
Adjustment to Reflect Year End Number of Customers
Twelve Months Ended March 31, 2012</oddHeader>
    <oddFooter>&amp;R&amp;12Conroy Exhibit P5
Page &amp;P of &amp;N</oddFooter>
  </headerFooter>
  <rowBreaks count="6" manualBreakCount="6">
    <brk id="118" max="10" man="1"/>
    <brk id="131" max="10" man="1"/>
    <brk id="159" max="10" man="1"/>
    <brk id="196" max="10" man="1"/>
    <brk id="228" max="10" man="1"/>
    <brk id="269"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3:AF235"/>
  <sheetViews>
    <sheetView workbookViewId="0"/>
  </sheetViews>
  <sheetFormatPr defaultRowHeight="12"/>
  <cols>
    <col min="1" max="1" width="20.33203125" style="202" customWidth="1"/>
    <col min="2" max="2" width="15.83203125" style="202" customWidth="1"/>
    <col min="3" max="3" width="12.1640625" style="202" customWidth="1"/>
    <col min="4" max="4" width="14.6640625" style="202" bestFit="1" customWidth="1"/>
    <col min="5" max="6" width="13" style="202" bestFit="1" customWidth="1"/>
    <col min="7" max="7" width="14.6640625" style="202" bestFit="1" customWidth="1"/>
    <col min="8" max="8" width="2.33203125" style="202" customWidth="1"/>
    <col min="9" max="9" width="16.6640625" style="202" bestFit="1" customWidth="1"/>
    <col min="10" max="10" width="16.83203125" style="202" bestFit="1" customWidth="1"/>
    <col min="11" max="11" width="15.83203125" style="202" bestFit="1" customWidth="1"/>
    <col min="12" max="12" width="15.5" style="202" customWidth="1"/>
    <col min="13" max="13" width="16.83203125" style="202" bestFit="1" customWidth="1"/>
    <col min="14" max="14" width="15.5" style="202" customWidth="1"/>
    <col min="15" max="15" width="17" style="202" bestFit="1" customWidth="1"/>
    <col min="16" max="16" width="3" style="202" customWidth="1"/>
    <col min="17" max="17" width="16.6640625" style="202" bestFit="1" customWidth="1"/>
    <col min="18" max="18" width="15.83203125" style="202" bestFit="1" customWidth="1"/>
    <col min="19" max="20" width="15.33203125" style="202" customWidth="1"/>
    <col min="21" max="21" width="16.5" style="202" bestFit="1" customWidth="1"/>
    <col min="22" max="22" width="15.33203125" style="202" customWidth="1"/>
    <col min="23" max="23" width="17" style="202" bestFit="1" customWidth="1"/>
    <col min="24" max="24" width="9.33203125" style="202"/>
    <col min="25" max="25" width="14.33203125" style="202" customWidth="1"/>
    <col min="26" max="26" width="13.6640625" style="202" customWidth="1"/>
    <col min="27" max="27" width="3.5" style="202" customWidth="1"/>
    <col min="28" max="28" width="15.6640625" style="202" customWidth="1"/>
    <col min="29" max="29" width="15.83203125" style="202" customWidth="1"/>
    <col min="30" max="16384" width="9.33203125" style="202"/>
  </cols>
  <sheetData>
    <row r="3" spans="1:32">
      <c r="A3" s="202" t="s">
        <v>867</v>
      </c>
    </row>
    <row r="4" spans="1:32" ht="30" customHeight="1">
      <c r="D4" s="1042" t="s">
        <v>790</v>
      </c>
      <c r="E4" s="1043"/>
      <c r="F4" s="1043"/>
      <c r="G4" s="1043"/>
      <c r="I4" s="253" t="s">
        <v>791</v>
      </c>
      <c r="J4" s="254"/>
      <c r="K4" s="254"/>
      <c r="L4" s="254"/>
      <c r="M4" s="254"/>
      <c r="N4" s="254"/>
      <c r="O4" s="254"/>
      <c r="Q4" s="253" t="s">
        <v>792</v>
      </c>
      <c r="R4" s="254"/>
      <c r="S4" s="254"/>
      <c r="T4" s="254"/>
      <c r="U4" s="254"/>
      <c r="V4" s="254"/>
      <c r="W4" s="254"/>
      <c r="Y4" s="1044"/>
      <c r="Z4" s="1044"/>
      <c r="AB4" s="1045"/>
      <c r="AC4" s="1044"/>
    </row>
    <row r="5" spans="1:32" ht="60">
      <c r="A5" s="231" t="s">
        <v>793</v>
      </c>
      <c r="B5" s="231" t="s">
        <v>794</v>
      </c>
      <c r="C5" s="262" t="s">
        <v>888</v>
      </c>
      <c r="D5" s="262" t="s">
        <v>892</v>
      </c>
      <c r="E5" s="262" t="s">
        <v>889</v>
      </c>
      <c r="F5" s="262" t="s">
        <v>890</v>
      </c>
      <c r="G5" s="262" t="s">
        <v>891</v>
      </c>
      <c r="I5" s="232" t="s">
        <v>796</v>
      </c>
      <c r="J5" s="231" t="s">
        <v>797</v>
      </c>
      <c r="K5" s="231" t="s">
        <v>798</v>
      </c>
      <c r="L5" s="232" t="s">
        <v>799</v>
      </c>
      <c r="M5" s="232" t="s">
        <v>800</v>
      </c>
      <c r="N5" s="231" t="s">
        <v>691</v>
      </c>
      <c r="O5" s="232" t="s">
        <v>801</v>
      </c>
      <c r="Q5" s="232" t="s">
        <v>796</v>
      </c>
      <c r="R5" s="231" t="s">
        <v>797</v>
      </c>
      <c r="S5" s="231" t="s">
        <v>798</v>
      </c>
      <c r="T5" s="231" t="s">
        <v>799</v>
      </c>
      <c r="U5" s="232" t="s">
        <v>800</v>
      </c>
      <c r="V5" s="231" t="s">
        <v>691</v>
      </c>
      <c r="W5" s="232" t="s">
        <v>801</v>
      </c>
      <c r="Y5" s="231"/>
      <c r="Z5" s="231"/>
      <c r="AB5" s="231"/>
      <c r="AC5" s="231"/>
    </row>
    <row r="6" spans="1:32" s="407" customFormat="1">
      <c r="A6" s="427" t="s">
        <v>177</v>
      </c>
      <c r="B6" s="403" t="s">
        <v>26</v>
      </c>
      <c r="C6" s="601">
        <v>7</v>
      </c>
      <c r="D6" s="601">
        <v>4560</v>
      </c>
      <c r="E6" s="601">
        <v>25</v>
      </c>
      <c r="F6" s="601">
        <v>150</v>
      </c>
      <c r="G6" s="601">
        <v>0</v>
      </c>
      <c r="I6" s="448">
        <v>1190</v>
      </c>
      <c r="J6" s="448">
        <v>162.43</v>
      </c>
      <c r="K6" s="600">
        <v>399.98</v>
      </c>
      <c r="L6" s="448"/>
      <c r="M6" s="448"/>
      <c r="N6" s="448">
        <v>-2.42</v>
      </c>
      <c r="O6" s="448">
        <f>SUM(I6:N6)</f>
        <v>1749.99</v>
      </c>
      <c r="Q6" s="448">
        <v>140</v>
      </c>
      <c r="R6" s="448">
        <v>399.18</v>
      </c>
      <c r="S6" s="600">
        <v>0</v>
      </c>
      <c r="T6" s="448"/>
      <c r="U6" s="448"/>
      <c r="V6" s="448">
        <v>-2.42</v>
      </c>
      <c r="W6" s="448">
        <f>SUM(Q6:V6)</f>
        <v>536.7600000000001</v>
      </c>
      <c r="Y6" s="600">
        <f>W6-O6</f>
        <v>-1213.23</v>
      </c>
      <c r="Z6" s="448"/>
      <c r="AA6" s="448"/>
      <c r="AB6" s="600"/>
      <c r="AC6" s="448"/>
      <c r="AF6" s="448"/>
    </row>
    <row r="7" spans="1:32" s="407" customFormat="1">
      <c r="A7" s="403" t="s">
        <v>780</v>
      </c>
      <c r="B7" s="403" t="s">
        <v>25</v>
      </c>
      <c r="C7" s="601">
        <v>589</v>
      </c>
      <c r="D7" s="601">
        <v>3110340</v>
      </c>
      <c r="E7" s="601">
        <v>11079</v>
      </c>
      <c r="F7" s="601">
        <v>16522</v>
      </c>
      <c r="G7" s="601">
        <v>0</v>
      </c>
      <c r="I7" s="448">
        <v>53010</v>
      </c>
      <c r="J7" s="448">
        <v>110852.54</v>
      </c>
      <c r="K7" s="600">
        <v>133617.16</v>
      </c>
      <c r="L7" s="448"/>
      <c r="M7" s="448"/>
      <c r="N7" s="448">
        <v>-490.54</v>
      </c>
      <c r="O7" s="448">
        <f>SUM(I7:N7)</f>
        <v>296989.15999999997</v>
      </c>
      <c r="Q7" s="448">
        <v>11780</v>
      </c>
      <c r="R7" s="448">
        <v>272279.17</v>
      </c>
      <c r="S7" s="600">
        <v>0</v>
      </c>
      <c r="T7" s="448"/>
      <c r="U7" s="448"/>
      <c r="V7" s="448">
        <v>-490.54</v>
      </c>
      <c r="W7" s="448">
        <f>SUM(Q7:V7)</f>
        <v>283568.63</v>
      </c>
      <c r="Y7" s="600">
        <f>W7-O7</f>
        <v>-13420.52999999997</v>
      </c>
      <c r="Z7" s="448"/>
      <c r="AA7" s="448"/>
      <c r="AB7" s="600"/>
      <c r="AC7" s="448"/>
      <c r="AF7" s="448"/>
    </row>
    <row r="8" spans="1:32" s="407" customFormat="1">
      <c r="A8" s="403"/>
      <c r="B8" s="411" t="s">
        <v>18</v>
      </c>
      <c r="C8" s="601">
        <v>1602</v>
      </c>
      <c r="D8" s="601">
        <v>3410440</v>
      </c>
      <c r="E8" s="601">
        <v>0</v>
      </c>
      <c r="F8" s="601">
        <v>0</v>
      </c>
      <c r="G8" s="601">
        <v>0</v>
      </c>
      <c r="I8" s="448">
        <v>56070</v>
      </c>
      <c r="J8" s="448">
        <v>298549.93</v>
      </c>
      <c r="K8" s="600">
        <v>0</v>
      </c>
      <c r="L8" s="448"/>
      <c r="M8" s="448"/>
      <c r="N8" s="448">
        <v>-768.48</v>
      </c>
      <c r="O8" s="448">
        <f>SUM(I8:N8)</f>
        <v>353851.45</v>
      </c>
      <c r="Q8" s="448">
        <v>32040</v>
      </c>
      <c r="R8" s="448">
        <v>298549.93</v>
      </c>
      <c r="S8" s="600">
        <v>0</v>
      </c>
      <c r="T8" s="448"/>
      <c r="U8" s="448"/>
      <c r="V8" s="448">
        <v>-768.48</v>
      </c>
      <c r="W8" s="448">
        <f>SUM(Q8:V8)</f>
        <v>329821.45</v>
      </c>
      <c r="Y8" s="600">
        <f>W8-O8</f>
        <v>-24030</v>
      </c>
      <c r="Z8" s="448"/>
      <c r="AA8" s="448"/>
      <c r="AB8" s="600"/>
      <c r="AC8" s="448"/>
      <c r="AF8" s="448"/>
    </row>
    <row r="9" spans="1:32" s="407" customFormat="1">
      <c r="A9" s="403"/>
      <c r="B9" s="410" t="s">
        <v>219</v>
      </c>
      <c r="C9" s="601">
        <v>4</v>
      </c>
      <c r="D9" s="601">
        <v>760</v>
      </c>
      <c r="E9" s="601">
        <v>0</v>
      </c>
      <c r="F9" s="601">
        <v>0</v>
      </c>
      <c r="G9" s="601">
        <v>0</v>
      </c>
      <c r="I9" s="448">
        <v>80</v>
      </c>
      <c r="J9" s="448">
        <v>54.15</v>
      </c>
      <c r="K9" s="600">
        <v>0</v>
      </c>
      <c r="L9" s="448"/>
      <c r="M9" s="448"/>
      <c r="N9" s="448">
        <v>-2.0099999999999998</v>
      </c>
      <c r="O9" s="448">
        <f t="shared" ref="O9:O14" si="0">SUM(I9:N9)</f>
        <v>132.14000000000001</v>
      </c>
      <c r="Q9" s="448">
        <v>80</v>
      </c>
      <c r="R9" s="448">
        <v>66.53</v>
      </c>
      <c r="S9" s="600">
        <v>0</v>
      </c>
      <c r="T9" s="448"/>
      <c r="U9" s="448"/>
      <c r="V9" s="448">
        <v>-2.0099999999999998</v>
      </c>
      <c r="W9" s="448">
        <f t="shared" ref="W9:W14" si="1">SUM(Q9:V9)</f>
        <v>144.52000000000001</v>
      </c>
      <c r="Y9" s="600">
        <f t="shared" ref="Y9:Y14" si="2">W9-O9</f>
        <v>12.379999999999995</v>
      </c>
      <c r="Z9" s="448"/>
      <c r="AA9" s="448"/>
      <c r="AB9" s="600"/>
      <c r="AC9" s="448"/>
      <c r="AF9" s="448"/>
    </row>
    <row r="10" spans="1:32" s="407" customFormat="1">
      <c r="A10" s="410"/>
      <c r="B10" s="411" t="s">
        <v>225</v>
      </c>
      <c r="C10" s="601">
        <v>2</v>
      </c>
      <c r="D10" s="601">
        <v>0</v>
      </c>
      <c r="E10" s="601">
        <v>0</v>
      </c>
      <c r="F10" s="601">
        <v>0</v>
      </c>
      <c r="G10" s="601">
        <v>0</v>
      </c>
      <c r="I10" s="448">
        <v>40</v>
      </c>
      <c r="J10" s="448">
        <v>0</v>
      </c>
      <c r="K10" s="600">
        <v>0</v>
      </c>
      <c r="L10" s="448"/>
      <c r="M10" s="448"/>
      <c r="N10" s="448">
        <v>0</v>
      </c>
      <c r="O10" s="448">
        <f>SUM(I10:N10)</f>
        <v>40</v>
      </c>
      <c r="Q10" s="448">
        <v>40</v>
      </c>
      <c r="R10" s="448">
        <v>0</v>
      </c>
      <c r="S10" s="600">
        <v>0</v>
      </c>
      <c r="T10" s="448"/>
      <c r="U10" s="448"/>
      <c r="V10" s="448">
        <v>0</v>
      </c>
      <c r="W10" s="448">
        <f>SUM(Q10:V10)</f>
        <v>40</v>
      </c>
      <c r="Y10" s="600">
        <f>W10-O10</f>
        <v>0</v>
      </c>
      <c r="Z10" s="448"/>
      <c r="AA10" s="448"/>
      <c r="AB10" s="600"/>
      <c r="AC10" s="448"/>
      <c r="AF10" s="448"/>
    </row>
    <row r="11" spans="1:32" s="407" customFormat="1">
      <c r="A11" s="403"/>
      <c r="B11" s="411" t="s">
        <v>15</v>
      </c>
      <c r="C11" s="601">
        <f>SUM(C12:C14)</f>
        <v>204</v>
      </c>
      <c r="D11" s="601">
        <f>SUM(D12:D14)</f>
        <v>235783</v>
      </c>
      <c r="E11" s="601">
        <f>SUM(E12:E14)</f>
        <v>0</v>
      </c>
      <c r="F11" s="601">
        <f>SUM(F12:F14)</f>
        <v>0</v>
      </c>
      <c r="G11" s="601">
        <f>SUM(G12:G14)</f>
        <v>0</v>
      </c>
      <c r="I11" s="448">
        <f>SUM(I12:I14)</f>
        <v>2193</v>
      </c>
      <c r="J11" s="448">
        <f>SUM(J12:J14)</f>
        <v>17516.3</v>
      </c>
      <c r="K11" s="600">
        <f>SUM(K12:K14)</f>
        <v>0</v>
      </c>
      <c r="L11" s="448"/>
      <c r="M11" s="448"/>
      <c r="N11" s="448">
        <f>SUM(N12:N14)</f>
        <v>-211.26999999999998</v>
      </c>
      <c r="O11" s="448">
        <f>SUM(O12:O14)</f>
        <v>19498.03</v>
      </c>
      <c r="Q11" s="448">
        <f>SUM(Q12:Q14)</f>
        <v>4080</v>
      </c>
      <c r="R11" s="448">
        <f>SUM(R12:R14)</f>
        <v>20640.46</v>
      </c>
      <c r="S11" s="600">
        <f>SUM(S12:S14)</f>
        <v>0</v>
      </c>
      <c r="T11" s="448"/>
      <c r="U11" s="448"/>
      <c r="V11" s="448">
        <f>SUM(V12:V14)</f>
        <v>-211.26999999999998</v>
      </c>
      <c r="W11" s="448">
        <f>SUM(W12:W14)</f>
        <v>24509.190000000002</v>
      </c>
      <c r="Y11" s="600">
        <f t="shared" si="2"/>
        <v>5011.1600000000035</v>
      </c>
      <c r="Z11" s="448"/>
      <c r="AA11" s="448"/>
      <c r="AB11" s="600"/>
      <c r="AC11" s="448"/>
      <c r="AF11" s="448"/>
    </row>
    <row r="12" spans="1:32" s="407" customFormat="1">
      <c r="A12" s="403"/>
      <c r="B12" s="795" t="s">
        <v>1417</v>
      </c>
      <c r="C12" s="601">
        <v>156</v>
      </c>
      <c r="D12" s="601">
        <v>186317</v>
      </c>
      <c r="E12" s="601"/>
      <c r="F12" s="601"/>
      <c r="G12" s="601"/>
      <c r="I12" s="448">
        <v>1677</v>
      </c>
      <c r="J12" s="448">
        <v>13841.48</v>
      </c>
      <c r="K12" s="600">
        <v>0</v>
      </c>
      <c r="L12" s="448"/>
      <c r="M12" s="448"/>
      <c r="N12" s="448">
        <v>-198.48</v>
      </c>
      <c r="O12" s="448">
        <f t="shared" si="0"/>
        <v>15320</v>
      </c>
      <c r="Q12" s="448">
        <v>3120</v>
      </c>
      <c r="R12" s="448">
        <v>16310.2</v>
      </c>
      <c r="S12" s="600"/>
      <c r="T12" s="448"/>
      <c r="U12" s="448"/>
      <c r="V12" s="448">
        <v>-198.48</v>
      </c>
      <c r="W12" s="448">
        <f t="shared" si="1"/>
        <v>19231.72</v>
      </c>
      <c r="Y12" s="600">
        <f t="shared" si="2"/>
        <v>3911.7200000000012</v>
      </c>
      <c r="Z12" s="448"/>
      <c r="AA12" s="448"/>
      <c r="AB12" s="600"/>
      <c r="AC12" s="448"/>
      <c r="AF12" s="448"/>
    </row>
    <row r="13" spans="1:32" s="407" customFormat="1">
      <c r="A13" s="403"/>
      <c r="B13" s="795" t="s">
        <v>1418</v>
      </c>
      <c r="C13" s="601">
        <v>48</v>
      </c>
      <c r="D13" s="601">
        <v>49466</v>
      </c>
      <c r="E13" s="601"/>
      <c r="F13" s="601"/>
      <c r="G13" s="601"/>
      <c r="I13" s="448">
        <v>516</v>
      </c>
      <c r="J13" s="448">
        <v>3674.82</v>
      </c>
      <c r="K13" s="600">
        <v>0</v>
      </c>
      <c r="L13" s="448"/>
      <c r="M13" s="448"/>
      <c r="N13" s="448">
        <v>-12.79</v>
      </c>
      <c r="O13" s="448">
        <f>SUM(I13:N13)</f>
        <v>4178.03</v>
      </c>
      <c r="Q13" s="448">
        <v>960</v>
      </c>
      <c r="R13" s="448">
        <v>4330.26</v>
      </c>
      <c r="S13" s="600"/>
      <c r="T13" s="448"/>
      <c r="U13" s="448"/>
      <c r="V13" s="448">
        <v>-12.79</v>
      </c>
      <c r="W13" s="448">
        <f>SUM(Q13:V13)</f>
        <v>5277.47</v>
      </c>
      <c r="Y13" s="600">
        <f t="shared" si="2"/>
        <v>1099.4400000000005</v>
      </c>
      <c r="Z13" s="448"/>
      <c r="AA13" s="448"/>
      <c r="AB13" s="600"/>
      <c r="AC13" s="448"/>
      <c r="AF13" s="448"/>
    </row>
    <row r="14" spans="1:32" s="407" customFormat="1">
      <c r="A14" s="403"/>
      <c r="B14" s="795" t="s">
        <v>1420</v>
      </c>
      <c r="C14" s="601">
        <v>0</v>
      </c>
      <c r="D14" s="601">
        <v>0</v>
      </c>
      <c r="E14" s="601"/>
      <c r="F14" s="601"/>
      <c r="G14" s="601"/>
      <c r="I14" s="448">
        <v>0</v>
      </c>
      <c r="J14" s="448">
        <v>0</v>
      </c>
      <c r="K14" s="600"/>
      <c r="L14" s="448"/>
      <c r="M14" s="448"/>
      <c r="N14" s="448">
        <v>0</v>
      </c>
      <c r="O14" s="448">
        <f t="shared" si="0"/>
        <v>0</v>
      </c>
      <c r="Q14" s="448">
        <v>0</v>
      </c>
      <c r="R14" s="448">
        <v>0</v>
      </c>
      <c r="S14" s="600"/>
      <c r="T14" s="448"/>
      <c r="U14" s="448"/>
      <c r="V14" s="448">
        <v>0</v>
      </c>
      <c r="W14" s="448">
        <f t="shared" si="1"/>
        <v>0</v>
      </c>
      <c r="Y14" s="600">
        <f t="shared" si="2"/>
        <v>0</v>
      </c>
      <c r="Z14" s="448"/>
      <c r="AA14" s="448"/>
      <c r="AB14" s="600"/>
      <c r="AC14" s="448"/>
      <c r="AF14" s="448"/>
    </row>
    <row r="15" spans="1:32" s="407" customFormat="1">
      <c r="A15" s="403"/>
      <c r="B15" s="510"/>
      <c r="C15" s="601">
        <f>SUM(C6:C11)</f>
        <v>2408</v>
      </c>
      <c r="D15" s="601">
        <f>SUM(D6:D11)</f>
        <v>6761883</v>
      </c>
      <c r="E15" s="601">
        <f>SUM(E6:E11)</f>
        <v>11104</v>
      </c>
      <c r="F15" s="601">
        <f>SUM(F6:F11)</f>
        <v>16672</v>
      </c>
      <c r="G15" s="601">
        <f>SUM(G6:G11)</f>
        <v>0</v>
      </c>
      <c r="I15" s="600">
        <f>SUM(I6:I11)</f>
        <v>112583</v>
      </c>
      <c r="J15" s="600">
        <f>SUM(J6:J11)</f>
        <v>427135.35</v>
      </c>
      <c r="K15" s="600">
        <f>SUM(K6:K13)</f>
        <v>134017.14000000001</v>
      </c>
      <c r="L15" s="448"/>
      <c r="M15" s="448"/>
      <c r="N15" s="600">
        <f>SUM(N6:N11)</f>
        <v>-1474.72</v>
      </c>
      <c r="O15" s="600">
        <f>SUM(O6:O11)</f>
        <v>672260.77</v>
      </c>
      <c r="Q15" s="600">
        <f>SUM(Q6:Q11)</f>
        <v>48160</v>
      </c>
      <c r="R15" s="600">
        <f>SUM(R6:R11)</f>
        <v>591935.27</v>
      </c>
      <c r="S15" s="600">
        <f>SUM(S6:S11)</f>
        <v>0</v>
      </c>
      <c r="T15" s="448"/>
      <c r="U15" s="600"/>
      <c r="V15" s="600">
        <f>SUM(V6:V11)</f>
        <v>-1474.72</v>
      </c>
      <c r="W15" s="600">
        <f>SUM(W6:W11)</f>
        <v>638620.55000000005</v>
      </c>
      <c r="Y15" s="600">
        <f>SUM(Y6:Y11)</f>
        <v>-33640.219999999965</v>
      </c>
      <c r="Z15" s="448"/>
      <c r="AA15" s="448"/>
      <c r="AB15" s="448"/>
      <c r="AF15" s="448"/>
    </row>
    <row r="16" spans="1:32">
      <c r="A16" s="270"/>
      <c r="B16" s="270"/>
      <c r="C16" s="237"/>
      <c r="D16" s="237"/>
      <c r="E16" s="237"/>
      <c r="F16" s="237"/>
      <c r="G16" s="237"/>
      <c r="I16" s="233"/>
      <c r="J16" s="233"/>
      <c r="K16" s="233"/>
      <c r="L16" s="233"/>
      <c r="M16" s="233"/>
      <c r="N16" s="233"/>
      <c r="O16" s="233"/>
      <c r="Q16" s="233"/>
      <c r="R16" s="233"/>
      <c r="S16" s="233"/>
      <c r="T16" s="233"/>
      <c r="U16" s="233"/>
      <c r="V16" s="233"/>
      <c r="W16" s="233"/>
      <c r="AF16" s="233"/>
    </row>
    <row r="17" spans="1:32">
      <c r="A17" s="818" t="s">
        <v>179</v>
      </c>
      <c r="B17" s="403" t="s">
        <v>25</v>
      </c>
      <c r="C17" s="433">
        <v>1437</v>
      </c>
      <c r="D17" s="601">
        <v>13976184</v>
      </c>
      <c r="E17" s="601">
        <v>30622</v>
      </c>
      <c r="F17" s="601">
        <v>42064</v>
      </c>
      <c r="G17" s="601">
        <v>0</v>
      </c>
      <c r="H17" s="407"/>
      <c r="I17" s="448">
        <v>129330</v>
      </c>
      <c r="J17" s="448">
        <v>498111.19</v>
      </c>
      <c r="K17" s="600">
        <v>567889.67000000004</v>
      </c>
      <c r="L17" s="448"/>
      <c r="M17" s="448"/>
      <c r="N17" s="448">
        <v>-3765</v>
      </c>
      <c r="O17" s="448">
        <f t="shared" ref="O17:O24" si="3">SUM(I17:N17)</f>
        <v>1191565.8599999999</v>
      </c>
      <c r="Q17" s="448">
        <v>50295</v>
      </c>
      <c r="R17" s="448">
        <v>1223475.06</v>
      </c>
      <c r="S17" s="600">
        <v>0</v>
      </c>
      <c r="T17" s="448"/>
      <c r="U17" s="448"/>
      <c r="V17" s="448">
        <v>-3765</v>
      </c>
      <c r="W17" s="448">
        <f t="shared" ref="W17:W24" si="4">SUM(Q17:V17)</f>
        <v>1270005.06</v>
      </c>
      <c r="Y17" s="600">
        <f t="shared" ref="Y17:Y24" si="5">W17-O17</f>
        <v>78439.200000000186</v>
      </c>
      <c r="Z17" s="233"/>
      <c r="AA17" s="233"/>
      <c r="AB17" s="234"/>
      <c r="AC17" s="233"/>
      <c r="AF17" s="233"/>
    </row>
    <row r="18" spans="1:32" s="407" customFormat="1">
      <c r="A18" s="403" t="s">
        <v>18</v>
      </c>
      <c r="B18" s="403" t="s">
        <v>25</v>
      </c>
      <c r="C18" s="433">
        <v>14</v>
      </c>
      <c r="D18" s="601">
        <v>444220</v>
      </c>
      <c r="E18" s="601">
        <v>1003</v>
      </c>
      <c r="F18" s="601">
        <v>833</v>
      </c>
      <c r="G18" s="601">
        <v>0</v>
      </c>
      <c r="I18" s="448">
        <v>1260</v>
      </c>
      <c r="J18" s="448">
        <v>15832.01</v>
      </c>
      <c r="K18" s="600">
        <v>13088.55</v>
      </c>
      <c r="L18" s="448"/>
      <c r="M18" s="448"/>
      <c r="N18" s="448">
        <v>-56.09</v>
      </c>
      <c r="O18" s="448">
        <f>SUM(I18:N18)</f>
        <v>30124.47</v>
      </c>
      <c r="Q18" s="448">
        <v>490</v>
      </c>
      <c r="R18" s="448">
        <v>38887.03</v>
      </c>
      <c r="S18" s="600">
        <v>0</v>
      </c>
      <c r="T18" s="448"/>
      <c r="U18" s="448"/>
      <c r="V18" s="448">
        <v>-56.09</v>
      </c>
      <c r="W18" s="448">
        <f>SUM(Q18:V18)</f>
        <v>39320.94</v>
      </c>
      <c r="Y18" s="600">
        <f>W18-O18</f>
        <v>9196.4700000000012</v>
      </c>
      <c r="Z18" s="448"/>
      <c r="AA18" s="448"/>
      <c r="AB18" s="600"/>
      <c r="AC18" s="448"/>
      <c r="AF18" s="448"/>
    </row>
    <row r="19" spans="1:32" s="407" customFormat="1">
      <c r="A19" s="411"/>
      <c r="B19" s="403" t="s">
        <v>780</v>
      </c>
      <c r="C19" s="433">
        <v>13718</v>
      </c>
      <c r="D19" s="601">
        <v>52856337</v>
      </c>
      <c r="E19" s="601">
        <v>0</v>
      </c>
      <c r="F19" s="601">
        <v>0</v>
      </c>
      <c r="G19" s="601">
        <v>0</v>
      </c>
      <c r="I19" s="448">
        <v>274360</v>
      </c>
      <c r="J19" s="448">
        <v>4627043.67</v>
      </c>
      <c r="K19" s="600">
        <v>0</v>
      </c>
      <c r="L19" s="448"/>
      <c r="M19" s="448"/>
      <c r="N19" s="448">
        <v>-2067.59</v>
      </c>
      <c r="O19" s="448">
        <f>SUM(I19:N19)</f>
        <v>4899336.08</v>
      </c>
      <c r="Q19" s="448">
        <v>480130</v>
      </c>
      <c r="R19" s="448">
        <v>4627043.67</v>
      </c>
      <c r="S19" s="600">
        <v>0</v>
      </c>
      <c r="T19" s="448"/>
      <c r="U19" s="448"/>
      <c r="V19" s="448">
        <v>-2067.59</v>
      </c>
      <c r="W19" s="448">
        <f>SUM(Q19:V19)</f>
        <v>5105106.08</v>
      </c>
      <c r="Y19" s="600">
        <f>W19-O19</f>
        <v>205770</v>
      </c>
      <c r="Z19" s="448"/>
      <c r="AA19" s="448"/>
      <c r="AB19" s="600"/>
      <c r="AC19" s="448"/>
      <c r="AF19" s="448"/>
    </row>
    <row r="20" spans="1:32" s="407" customFormat="1">
      <c r="A20" s="403"/>
      <c r="B20" s="403" t="s">
        <v>219</v>
      </c>
      <c r="C20" s="433">
        <v>0</v>
      </c>
      <c r="D20" s="601">
        <v>0</v>
      </c>
      <c r="E20" s="601">
        <v>0</v>
      </c>
      <c r="F20" s="601">
        <v>0</v>
      </c>
      <c r="G20" s="601">
        <v>0</v>
      </c>
      <c r="I20" s="448">
        <v>0</v>
      </c>
      <c r="J20" s="448">
        <v>0</v>
      </c>
      <c r="K20" s="600">
        <v>0</v>
      </c>
      <c r="L20" s="448"/>
      <c r="M20" s="448"/>
      <c r="N20" s="448">
        <v>0</v>
      </c>
      <c r="O20" s="448">
        <f t="shared" si="3"/>
        <v>0</v>
      </c>
      <c r="Q20" s="448">
        <v>0</v>
      </c>
      <c r="R20" s="448">
        <v>0</v>
      </c>
      <c r="S20" s="600">
        <v>0</v>
      </c>
      <c r="T20" s="448"/>
      <c r="U20" s="448"/>
      <c r="V20" s="448">
        <v>0</v>
      </c>
      <c r="W20" s="448">
        <f t="shared" si="4"/>
        <v>0</v>
      </c>
      <c r="Y20" s="600">
        <f t="shared" si="5"/>
        <v>0</v>
      </c>
      <c r="Z20" s="448"/>
      <c r="AA20" s="448"/>
      <c r="AB20" s="600"/>
      <c r="AC20" s="448"/>
      <c r="AF20" s="448"/>
    </row>
    <row r="21" spans="1:32" s="407" customFormat="1">
      <c r="A21" s="403"/>
      <c r="B21" s="411" t="s">
        <v>15</v>
      </c>
      <c r="C21" s="601">
        <f>SUM(C22:C24)</f>
        <v>25</v>
      </c>
      <c r="D21" s="601">
        <f>SUM(D22:D24)</f>
        <v>17168</v>
      </c>
      <c r="E21" s="601">
        <f>SUM(E22:E24)</f>
        <v>0</v>
      </c>
      <c r="F21" s="601">
        <f>SUM(F22:F24)</f>
        <v>0</v>
      </c>
      <c r="G21" s="601">
        <f>SUM(G22:G24)</f>
        <v>0</v>
      </c>
      <c r="I21" s="448">
        <f>SUM(I22:I24)</f>
        <v>268.75</v>
      </c>
      <c r="J21" s="448">
        <f>SUM(J22:J24)</f>
        <v>1275.4000000000001</v>
      </c>
      <c r="K21" s="600">
        <f>SUM(K22:K24)</f>
        <v>0</v>
      </c>
      <c r="L21" s="448"/>
      <c r="M21" s="448"/>
      <c r="N21" s="448">
        <f>SUM(N22:N24)</f>
        <v>-6.6</v>
      </c>
      <c r="O21" s="448">
        <f>SUM(O22:O24)</f>
        <v>1537.55</v>
      </c>
      <c r="Q21" s="448">
        <f>SUM(Q22:Q24)</f>
        <v>875</v>
      </c>
      <c r="R21" s="448">
        <f>SUM(R22:R24)</f>
        <v>1502.8899999999999</v>
      </c>
      <c r="S21" s="600">
        <f>SUM(S22:S24)</f>
        <v>0</v>
      </c>
      <c r="T21" s="448"/>
      <c r="U21" s="448"/>
      <c r="V21" s="448">
        <f>SUM(V22:V24)</f>
        <v>-6.6</v>
      </c>
      <c r="W21" s="448">
        <f>SUM(W22:W24)</f>
        <v>2371.29</v>
      </c>
      <c r="Y21" s="600">
        <f t="shared" si="5"/>
        <v>833.74</v>
      </c>
      <c r="Z21" s="448"/>
      <c r="AA21" s="448"/>
      <c r="AB21" s="600"/>
      <c r="AC21" s="448"/>
      <c r="AF21" s="448"/>
    </row>
    <row r="22" spans="1:32" s="407" customFormat="1">
      <c r="A22" s="411"/>
      <c r="B22" s="795" t="s">
        <v>1417</v>
      </c>
      <c r="C22" s="433">
        <v>18</v>
      </c>
      <c r="D22" s="601">
        <v>12921</v>
      </c>
      <c r="E22" s="601">
        <v>0</v>
      </c>
      <c r="F22" s="601">
        <v>0</v>
      </c>
      <c r="G22" s="601">
        <v>0</v>
      </c>
      <c r="I22" s="448">
        <v>193.5</v>
      </c>
      <c r="J22" s="448">
        <v>959.9</v>
      </c>
      <c r="K22" s="600">
        <v>0</v>
      </c>
      <c r="L22" s="448"/>
      <c r="M22" s="448"/>
      <c r="N22" s="448">
        <v>-5.14</v>
      </c>
      <c r="O22" s="448">
        <f>SUM(I22:N22)</f>
        <v>1148.26</v>
      </c>
      <c r="Q22" s="448">
        <v>630</v>
      </c>
      <c r="R22" s="448">
        <v>1131.1099999999999</v>
      </c>
      <c r="S22" s="600">
        <v>0</v>
      </c>
      <c r="T22" s="448"/>
      <c r="U22" s="448"/>
      <c r="V22" s="448">
        <v>-5.14</v>
      </c>
      <c r="W22" s="448">
        <f>SUM(Q22:V22)</f>
        <v>1755.9699999999998</v>
      </c>
      <c r="Y22" s="600">
        <f>W22-O22</f>
        <v>607.70999999999981</v>
      </c>
      <c r="Z22" s="448"/>
      <c r="AA22" s="448"/>
      <c r="AB22" s="600"/>
      <c r="AC22" s="448"/>
      <c r="AF22" s="448"/>
    </row>
    <row r="23" spans="1:32" s="407" customFormat="1">
      <c r="A23" s="411"/>
      <c r="B23" s="795" t="s">
        <v>1418</v>
      </c>
      <c r="C23" s="433">
        <v>4</v>
      </c>
      <c r="D23" s="601">
        <v>4120</v>
      </c>
      <c r="E23" s="601">
        <v>0</v>
      </c>
      <c r="F23" s="601">
        <v>0</v>
      </c>
      <c r="G23" s="601">
        <v>0</v>
      </c>
      <c r="I23" s="448">
        <v>43</v>
      </c>
      <c r="J23" s="448">
        <v>306.07</v>
      </c>
      <c r="K23" s="600">
        <v>0</v>
      </c>
      <c r="L23" s="448"/>
      <c r="M23" s="448"/>
      <c r="N23" s="448">
        <v>-1.74</v>
      </c>
      <c r="O23" s="448">
        <f t="shared" si="3"/>
        <v>347.33</v>
      </c>
      <c r="Q23" s="448">
        <v>140</v>
      </c>
      <c r="R23" s="448">
        <v>360.66</v>
      </c>
      <c r="S23" s="600">
        <v>0</v>
      </c>
      <c r="T23" s="448"/>
      <c r="U23" s="448"/>
      <c r="V23" s="448">
        <v>-1.74</v>
      </c>
      <c r="W23" s="448">
        <f t="shared" si="4"/>
        <v>498.92</v>
      </c>
      <c r="Y23" s="600">
        <f t="shared" si="5"/>
        <v>151.59000000000003</v>
      </c>
      <c r="Z23" s="448"/>
      <c r="AA23" s="448"/>
      <c r="AB23" s="600"/>
      <c r="AC23" s="448"/>
      <c r="AF23" s="448"/>
    </row>
    <row r="24" spans="1:32" s="407" customFormat="1">
      <c r="A24" s="403"/>
      <c r="B24" s="795" t="s">
        <v>1420</v>
      </c>
      <c r="C24" s="601">
        <v>3</v>
      </c>
      <c r="D24" s="601">
        <v>127</v>
      </c>
      <c r="E24" s="601"/>
      <c r="F24" s="601"/>
      <c r="G24" s="601"/>
      <c r="I24" s="448">
        <v>32.25</v>
      </c>
      <c r="J24" s="448">
        <v>9.43</v>
      </c>
      <c r="K24" s="600">
        <v>0</v>
      </c>
      <c r="L24" s="448"/>
      <c r="M24" s="448"/>
      <c r="N24" s="448">
        <v>0.28000000000000003</v>
      </c>
      <c r="O24" s="448">
        <f t="shared" si="3"/>
        <v>41.96</v>
      </c>
      <c r="Q24" s="448">
        <v>105</v>
      </c>
      <c r="R24" s="448">
        <v>11.12</v>
      </c>
      <c r="S24" s="600"/>
      <c r="T24" s="448"/>
      <c r="U24" s="448"/>
      <c r="V24" s="448">
        <v>0.28000000000000003</v>
      </c>
      <c r="W24" s="448">
        <f t="shared" si="4"/>
        <v>116.4</v>
      </c>
      <c r="Y24" s="600">
        <f t="shared" si="5"/>
        <v>74.44</v>
      </c>
      <c r="Z24" s="448"/>
      <c r="AA24" s="448"/>
      <c r="AB24" s="600"/>
      <c r="AC24" s="448"/>
      <c r="AF24" s="448"/>
    </row>
    <row r="25" spans="1:32" s="407" customFormat="1">
      <c r="A25" s="403"/>
      <c r="B25" s="510"/>
      <c r="C25" s="601">
        <f>SUM(C17:C21)</f>
        <v>15194</v>
      </c>
      <c r="D25" s="601">
        <f>SUM(D17:D21)</f>
        <v>67293909</v>
      </c>
      <c r="E25" s="601">
        <f>SUM(E17:E21)</f>
        <v>31625</v>
      </c>
      <c r="F25" s="601">
        <f>SUM(F17:F21)</f>
        <v>42897</v>
      </c>
      <c r="G25" s="601">
        <f>SUM(G17:G24)</f>
        <v>0</v>
      </c>
      <c r="I25" s="600">
        <f>SUM(I17:I21)</f>
        <v>405218.75</v>
      </c>
      <c r="J25" s="600">
        <f>SUM(J17:J21)</f>
        <v>5142262.2700000005</v>
      </c>
      <c r="K25" s="600">
        <f>SUM(K17:K21)</f>
        <v>580978.22000000009</v>
      </c>
      <c r="L25" s="448"/>
      <c r="M25" s="448"/>
      <c r="N25" s="600">
        <f>SUM(N17:N21)</f>
        <v>-5895.2800000000007</v>
      </c>
      <c r="O25" s="600">
        <f>SUM(O17:O21)</f>
        <v>6122563.96</v>
      </c>
      <c r="Q25" s="600">
        <f>SUM(Q17:Q21)</f>
        <v>531790</v>
      </c>
      <c r="R25" s="600">
        <f>SUM(R17:R21)</f>
        <v>5890908.6499999994</v>
      </c>
      <c r="S25" s="600">
        <f>SUM(S17:S21)</f>
        <v>0</v>
      </c>
      <c r="T25" s="448"/>
      <c r="U25" s="600"/>
      <c r="V25" s="600">
        <f>SUM(V17:V21)</f>
        <v>-5895.2800000000007</v>
      </c>
      <c r="W25" s="600">
        <f>SUM(W17:W21)</f>
        <v>6416803.3700000001</v>
      </c>
      <c r="Y25" s="600">
        <f>SUM(Y17:Y21)</f>
        <v>294239.41000000015</v>
      </c>
      <c r="Z25" s="448"/>
      <c r="AA25" s="448"/>
      <c r="AB25" s="448"/>
      <c r="AF25" s="448"/>
    </row>
    <row r="26" spans="1:32">
      <c r="A26" s="235"/>
      <c r="B26" s="235"/>
      <c r="C26" s="237"/>
      <c r="D26" s="201"/>
      <c r="E26" s="201"/>
      <c r="F26" s="201"/>
      <c r="G26" s="201"/>
      <c r="I26" s="233"/>
      <c r="J26" s="233"/>
      <c r="K26" s="234"/>
      <c r="L26" s="234"/>
      <c r="M26" s="233"/>
      <c r="N26" s="234"/>
      <c r="O26" s="233"/>
      <c r="Q26" s="233"/>
      <c r="R26" s="233"/>
      <c r="S26" s="234"/>
      <c r="T26" s="234"/>
      <c r="U26" s="233"/>
      <c r="V26" s="234"/>
      <c r="W26" s="233"/>
      <c r="AF26" s="233"/>
    </row>
    <row r="27" spans="1:32" s="407" customFormat="1">
      <c r="A27" s="427" t="s">
        <v>190</v>
      </c>
      <c r="B27" s="798" t="s">
        <v>780</v>
      </c>
      <c r="C27" s="433">
        <v>1102</v>
      </c>
      <c r="D27" s="601">
        <v>283705</v>
      </c>
      <c r="E27" s="601">
        <v>0</v>
      </c>
      <c r="F27" s="601">
        <v>0</v>
      </c>
      <c r="G27" s="601">
        <v>0</v>
      </c>
      <c r="I27" s="448">
        <v>22040</v>
      </c>
      <c r="J27" s="448">
        <v>24835.58</v>
      </c>
      <c r="K27" s="600">
        <v>0</v>
      </c>
      <c r="L27" s="448"/>
      <c r="M27" s="448"/>
      <c r="N27" s="448">
        <v>-98.09</v>
      </c>
      <c r="O27" s="448">
        <f>SUM(I27:N27)</f>
        <v>46777.490000000005</v>
      </c>
      <c r="Q27" s="448">
        <v>11846.5</v>
      </c>
      <c r="R27" s="448">
        <v>21076.33</v>
      </c>
      <c r="S27" s="600">
        <v>0</v>
      </c>
      <c r="T27" s="448"/>
      <c r="U27" s="448"/>
      <c r="V27" s="448">
        <v>-98.09</v>
      </c>
      <c r="W27" s="448">
        <f>SUM(Q27:V27)</f>
        <v>32824.740000000005</v>
      </c>
      <c r="Y27" s="600">
        <f t="shared" ref="Y27:Y32" si="6">W27-O27</f>
        <v>-13952.75</v>
      </c>
      <c r="Z27" s="448"/>
      <c r="AA27" s="448"/>
      <c r="AB27" s="600"/>
      <c r="AC27" s="448"/>
      <c r="AF27" s="448"/>
    </row>
    <row r="28" spans="1:32" s="407" customFormat="1">
      <c r="A28" s="411" t="s">
        <v>15</v>
      </c>
      <c r="B28" s="403" t="s">
        <v>18</v>
      </c>
      <c r="C28" s="433">
        <v>11</v>
      </c>
      <c r="D28" s="601">
        <v>25757</v>
      </c>
      <c r="E28" s="601">
        <v>0</v>
      </c>
      <c r="F28" s="601">
        <v>0</v>
      </c>
      <c r="G28" s="601">
        <v>0</v>
      </c>
      <c r="I28" s="448">
        <v>385</v>
      </c>
      <c r="J28" s="448">
        <v>2254.77</v>
      </c>
      <c r="K28" s="600">
        <v>0</v>
      </c>
      <c r="L28" s="448"/>
      <c r="M28" s="448"/>
      <c r="N28" s="448">
        <v>-19.690000000000001</v>
      </c>
      <c r="O28" s="448">
        <f>SUM(I28:N28)</f>
        <v>2620.08</v>
      </c>
      <c r="Q28" s="448">
        <v>118.25</v>
      </c>
      <c r="R28" s="448">
        <v>1913.49</v>
      </c>
      <c r="S28" s="600">
        <v>0</v>
      </c>
      <c r="T28" s="448"/>
      <c r="U28" s="448"/>
      <c r="V28" s="448">
        <v>-19.690000000000001</v>
      </c>
      <c r="W28" s="448">
        <f>SUM(Q28:V28)</f>
        <v>2012.05</v>
      </c>
      <c r="Y28" s="600">
        <f t="shared" si="6"/>
        <v>-608.03</v>
      </c>
      <c r="Z28" s="448"/>
      <c r="AA28" s="448"/>
      <c r="AB28" s="600"/>
      <c r="AC28" s="448"/>
      <c r="AF28" s="448"/>
    </row>
    <row r="29" spans="1:32" s="407" customFormat="1">
      <c r="A29" s="403"/>
      <c r="B29" s="411" t="s">
        <v>15</v>
      </c>
      <c r="C29" s="601">
        <f>SUM(C30:C32)</f>
        <v>46</v>
      </c>
      <c r="D29" s="601">
        <f>SUM(D30:D32)</f>
        <v>71756</v>
      </c>
      <c r="E29" s="601">
        <f>SUM(E30:E32)</f>
        <v>0</v>
      </c>
      <c r="F29" s="601">
        <f>SUM(F30:F32)</f>
        <v>0</v>
      </c>
      <c r="G29" s="601">
        <f>SUM(G30:G32)</f>
        <v>0</v>
      </c>
      <c r="I29" s="448">
        <f>SUM(I30:I32)</f>
        <v>494.5</v>
      </c>
      <c r="J29" s="448">
        <f>SUM(J30:J32)</f>
        <v>5330.75</v>
      </c>
      <c r="K29" s="600">
        <f>SUM(K30:K32)</f>
        <v>0</v>
      </c>
      <c r="L29" s="448"/>
      <c r="M29" s="448"/>
      <c r="N29" s="448">
        <f>SUM(N30:N32)</f>
        <v>5.3599999999999968</v>
      </c>
      <c r="O29" s="448">
        <f>SUM(O30:O32)</f>
        <v>5830.6100000000006</v>
      </c>
      <c r="Q29" s="448">
        <f>SUM(Q30:Q32)</f>
        <v>494.5</v>
      </c>
      <c r="R29" s="448">
        <f>SUM(R30:R32)</f>
        <v>5330.75</v>
      </c>
      <c r="S29" s="600">
        <f>SUM(S30:S32)</f>
        <v>0</v>
      </c>
      <c r="T29" s="448"/>
      <c r="U29" s="448"/>
      <c r="V29" s="448">
        <f>SUM(V30:V32)</f>
        <v>5.3599999999999968</v>
      </c>
      <c r="W29" s="448">
        <f>SUM(W30:W32)</f>
        <v>5830.6100000000006</v>
      </c>
      <c r="Y29" s="600">
        <f t="shared" si="6"/>
        <v>0</v>
      </c>
      <c r="Z29" s="448"/>
      <c r="AA29" s="448"/>
      <c r="AB29" s="600"/>
      <c r="AC29" s="448"/>
      <c r="AF29" s="448"/>
    </row>
    <row r="30" spans="1:32" s="407" customFormat="1">
      <c r="A30" s="411"/>
      <c r="B30" s="799" t="s">
        <v>1417</v>
      </c>
      <c r="C30" s="433">
        <v>17</v>
      </c>
      <c r="D30" s="601">
        <v>21566</v>
      </c>
      <c r="E30" s="601">
        <v>0</v>
      </c>
      <c r="F30" s="601">
        <v>0</v>
      </c>
      <c r="G30" s="601">
        <v>0</v>
      </c>
      <c r="I30" s="448">
        <v>182.75</v>
      </c>
      <c r="J30" s="448">
        <v>1602.14</v>
      </c>
      <c r="K30" s="600">
        <v>0</v>
      </c>
      <c r="L30" s="448"/>
      <c r="M30" s="448"/>
      <c r="N30" s="448">
        <v>22.58</v>
      </c>
      <c r="O30" s="448">
        <f>SUM(I30:N30)</f>
        <v>1807.47</v>
      </c>
      <c r="Q30" s="448">
        <v>182.75</v>
      </c>
      <c r="R30" s="448">
        <v>1602.14</v>
      </c>
      <c r="S30" s="600">
        <v>0</v>
      </c>
      <c r="T30" s="448"/>
      <c r="U30" s="448"/>
      <c r="V30" s="448">
        <v>22.58</v>
      </c>
      <c r="W30" s="448">
        <f>SUM(Q30:V30)</f>
        <v>1807.47</v>
      </c>
      <c r="Y30" s="600">
        <f t="shared" si="6"/>
        <v>0</v>
      </c>
      <c r="Z30" s="448"/>
      <c r="AA30" s="448"/>
      <c r="AB30" s="600"/>
      <c r="AC30" s="448"/>
      <c r="AF30" s="448"/>
    </row>
    <row r="31" spans="1:32" s="407" customFormat="1">
      <c r="A31" s="411"/>
      <c r="B31" s="799" t="s">
        <v>1418</v>
      </c>
      <c r="C31" s="433">
        <v>7</v>
      </c>
      <c r="D31" s="601">
        <v>12422</v>
      </c>
      <c r="E31" s="601">
        <v>0</v>
      </c>
      <c r="F31" s="601">
        <v>0</v>
      </c>
      <c r="G31" s="601">
        <v>0</v>
      </c>
      <c r="I31" s="448">
        <v>75.25</v>
      </c>
      <c r="J31" s="448">
        <v>922.83</v>
      </c>
      <c r="K31" s="600">
        <v>0</v>
      </c>
      <c r="L31" s="448"/>
      <c r="M31" s="448"/>
      <c r="N31" s="448">
        <v>-18.760000000000002</v>
      </c>
      <c r="O31" s="448">
        <f>SUM(I31:N31)</f>
        <v>979.32</v>
      </c>
      <c r="Q31" s="448">
        <v>75.25</v>
      </c>
      <c r="R31" s="448">
        <v>922.83</v>
      </c>
      <c r="S31" s="600">
        <v>0</v>
      </c>
      <c r="T31" s="448"/>
      <c r="U31" s="448"/>
      <c r="V31" s="448">
        <v>-18.760000000000002</v>
      </c>
      <c r="W31" s="448">
        <f>SUM(Q31:V31)</f>
        <v>979.32</v>
      </c>
      <c r="Y31" s="600">
        <f t="shared" si="6"/>
        <v>0</v>
      </c>
      <c r="Z31" s="448"/>
      <c r="AA31" s="448"/>
      <c r="AB31" s="600"/>
      <c r="AC31" s="448"/>
      <c r="AF31" s="448"/>
    </row>
    <row r="32" spans="1:32" s="407" customFormat="1">
      <c r="A32" s="411"/>
      <c r="B32" s="799" t="s">
        <v>1420</v>
      </c>
      <c r="C32" s="433">
        <v>22</v>
      </c>
      <c r="D32" s="601">
        <v>37768</v>
      </c>
      <c r="E32" s="601">
        <v>0</v>
      </c>
      <c r="F32" s="601">
        <v>0</v>
      </c>
      <c r="G32" s="601">
        <v>0</v>
      </c>
      <c r="I32" s="448">
        <v>236.5</v>
      </c>
      <c r="J32" s="448">
        <v>2805.78</v>
      </c>
      <c r="K32" s="600">
        <v>0</v>
      </c>
      <c r="L32" s="448"/>
      <c r="M32" s="448"/>
      <c r="N32" s="448">
        <v>1.54</v>
      </c>
      <c r="O32" s="448">
        <f>SUM(I32:N32)</f>
        <v>3043.82</v>
      </c>
      <c r="Q32" s="448">
        <v>236.5</v>
      </c>
      <c r="R32" s="448">
        <v>2805.78</v>
      </c>
      <c r="S32" s="600">
        <v>0</v>
      </c>
      <c r="T32" s="448"/>
      <c r="U32" s="448"/>
      <c r="V32" s="448">
        <v>1.54</v>
      </c>
      <c r="W32" s="448">
        <f>SUM(Q32:V32)</f>
        <v>3043.82</v>
      </c>
      <c r="Y32" s="600">
        <f t="shared" si="6"/>
        <v>0</v>
      </c>
      <c r="Z32" s="448"/>
      <c r="AA32" s="448"/>
      <c r="AB32" s="600"/>
      <c r="AC32" s="448"/>
      <c r="AF32" s="448"/>
    </row>
    <row r="33" spans="1:32">
      <c r="A33" s="235"/>
      <c r="B33" s="269"/>
      <c r="C33" s="601">
        <f>SUM(C27:C29)</f>
        <v>1159</v>
      </c>
      <c r="D33" s="601">
        <f>SUM(D27:D29)</f>
        <v>381218</v>
      </c>
      <c r="E33" s="601">
        <f>SUM(E27:E29)</f>
        <v>0</v>
      </c>
      <c r="F33" s="601">
        <f>SUM(F27:F29)</f>
        <v>0</v>
      </c>
      <c r="G33" s="601">
        <f>SUM(G27:G29)</f>
        <v>0</v>
      </c>
      <c r="I33" s="600">
        <f>SUM(I27:I29)</f>
        <v>22919.5</v>
      </c>
      <c r="J33" s="600">
        <f>SUM(J27:J29)</f>
        <v>32421.100000000002</v>
      </c>
      <c r="K33" s="600">
        <f>SUM(K27:K29)</f>
        <v>0</v>
      </c>
      <c r="L33" s="233"/>
      <c r="M33" s="234"/>
      <c r="N33" s="600">
        <f>SUM(N27:N29)</f>
        <v>-112.42</v>
      </c>
      <c r="O33" s="600">
        <f>SUM(O27:O29)</f>
        <v>55228.180000000008</v>
      </c>
      <c r="Q33" s="600">
        <f>SUM(Q27:Q29)</f>
        <v>12459.25</v>
      </c>
      <c r="R33" s="600">
        <f>SUM(R27:R29)</f>
        <v>28320.570000000003</v>
      </c>
      <c r="S33" s="600">
        <f>SUM(S27:S29)</f>
        <v>0</v>
      </c>
      <c r="T33" s="233"/>
      <c r="U33" s="234"/>
      <c r="V33" s="600">
        <f>SUM(V27:V29)</f>
        <v>-112.42</v>
      </c>
      <c r="W33" s="600">
        <f>SUM(W27:W29)</f>
        <v>40667.400000000009</v>
      </c>
      <c r="Y33" s="600">
        <f>SUM(Y27:Y29)</f>
        <v>-14560.78</v>
      </c>
      <c r="AF33" s="233"/>
    </row>
    <row r="34" spans="1:32">
      <c r="A34" s="235"/>
      <c r="B34" s="235"/>
      <c r="C34" s="237"/>
      <c r="D34" s="201"/>
      <c r="E34" s="201"/>
      <c r="F34" s="201"/>
      <c r="G34" s="201"/>
      <c r="O34" s="233"/>
      <c r="U34" s="233"/>
      <c r="W34" s="233"/>
      <c r="AF34" s="233"/>
    </row>
    <row r="35" spans="1:32" s="407" customFormat="1">
      <c r="A35" s="427" t="s">
        <v>191</v>
      </c>
      <c r="B35" s="798" t="s">
        <v>780</v>
      </c>
      <c r="C35" s="433">
        <v>28</v>
      </c>
      <c r="D35" s="601">
        <v>46946</v>
      </c>
      <c r="E35" s="601">
        <v>0</v>
      </c>
      <c r="F35" s="601">
        <v>0</v>
      </c>
      <c r="G35" s="601">
        <v>0</v>
      </c>
      <c r="I35" s="448">
        <v>560</v>
      </c>
      <c r="J35" s="448">
        <v>4109.66</v>
      </c>
      <c r="K35" s="600">
        <v>0</v>
      </c>
      <c r="L35" s="448"/>
      <c r="M35" s="448"/>
      <c r="N35" s="448">
        <v>-38.65</v>
      </c>
      <c r="O35" s="448">
        <f>SUM(I35:N35)</f>
        <v>4631.01</v>
      </c>
      <c r="Q35" s="448">
        <v>301</v>
      </c>
      <c r="R35" s="448">
        <v>3487.62</v>
      </c>
      <c r="S35" s="600">
        <v>0</v>
      </c>
      <c r="T35" s="448"/>
      <c r="U35" s="448"/>
      <c r="V35" s="448">
        <v>-38.65</v>
      </c>
      <c r="W35" s="448">
        <f>SUM(Q35:V35)</f>
        <v>3749.97</v>
      </c>
      <c r="Y35" s="600">
        <f>W35-O35</f>
        <v>-881.04000000000042</v>
      </c>
      <c r="Z35" s="448"/>
      <c r="AA35" s="448"/>
      <c r="AB35" s="600"/>
      <c r="AC35" s="448"/>
      <c r="AF35" s="448"/>
    </row>
    <row r="36" spans="1:32" s="407" customFormat="1">
      <c r="A36" s="411" t="s">
        <v>15</v>
      </c>
      <c r="B36" s="411" t="s">
        <v>15</v>
      </c>
      <c r="C36" s="601">
        <f>SUM(C37:C39)</f>
        <v>30</v>
      </c>
      <c r="D36" s="601">
        <f>SUM(D37:D39)</f>
        <v>33101</v>
      </c>
      <c r="E36" s="601">
        <f>SUM(E37:E39)</f>
        <v>0</v>
      </c>
      <c r="F36" s="601">
        <f>SUM(F37:F39)</f>
        <v>0</v>
      </c>
      <c r="G36" s="601">
        <f>SUM(G37:G39)</f>
        <v>0</v>
      </c>
      <c r="I36" s="448">
        <f>SUM(I37:I39)</f>
        <v>322.5</v>
      </c>
      <c r="J36" s="448">
        <f>SUM(J37:J39)</f>
        <v>2459.08</v>
      </c>
      <c r="K36" s="600">
        <f>SUM(K37:K39)</f>
        <v>0</v>
      </c>
      <c r="L36" s="448"/>
      <c r="M36" s="448"/>
      <c r="N36" s="448">
        <f>SUM(N37:N39)</f>
        <v>6.370000000000001</v>
      </c>
      <c r="O36" s="448">
        <f>SUM(O37:O39)</f>
        <v>2787.95</v>
      </c>
      <c r="Q36" s="448">
        <f>SUM(Q37:Q39)</f>
        <v>322.5</v>
      </c>
      <c r="R36" s="448">
        <f>SUM(R37:R39)</f>
        <v>2459.08</v>
      </c>
      <c r="S36" s="600">
        <f>SUM(S37:S39)</f>
        <v>0</v>
      </c>
      <c r="T36" s="448"/>
      <c r="U36" s="448"/>
      <c r="V36" s="448">
        <f>SUM(V37:V39)</f>
        <v>6.370000000000001</v>
      </c>
      <c r="W36" s="448">
        <f>SUM(W37:W39)</f>
        <v>2787.95</v>
      </c>
      <c r="Y36" s="600">
        <f>W36-O36</f>
        <v>0</v>
      </c>
      <c r="Z36" s="448"/>
      <c r="AA36" s="448"/>
      <c r="AB36" s="600"/>
      <c r="AC36" s="448"/>
      <c r="AF36" s="448"/>
    </row>
    <row r="37" spans="1:32" s="407" customFormat="1">
      <c r="A37" s="411"/>
      <c r="B37" s="799" t="s">
        <v>1417</v>
      </c>
      <c r="C37" s="433">
        <v>0</v>
      </c>
      <c r="D37" s="601">
        <v>0</v>
      </c>
      <c r="E37" s="601">
        <v>0</v>
      </c>
      <c r="F37" s="601">
        <v>0</v>
      </c>
      <c r="G37" s="601">
        <v>0</v>
      </c>
      <c r="I37" s="448">
        <v>0</v>
      </c>
      <c r="J37" s="448">
        <v>0</v>
      </c>
      <c r="K37" s="600">
        <v>0</v>
      </c>
      <c r="L37" s="448"/>
      <c r="M37" s="448"/>
      <c r="N37" s="448">
        <v>0</v>
      </c>
      <c r="O37" s="448">
        <f>SUM(I37:N37)</f>
        <v>0</v>
      </c>
      <c r="Q37" s="448">
        <v>0</v>
      </c>
      <c r="R37" s="448">
        <v>0</v>
      </c>
      <c r="S37" s="600">
        <v>0</v>
      </c>
      <c r="T37" s="448"/>
      <c r="U37" s="448"/>
      <c r="V37" s="448">
        <v>0</v>
      </c>
      <c r="W37" s="448">
        <f>SUM(Q37:V37)</f>
        <v>0</v>
      </c>
      <c r="Y37" s="600">
        <f>W37-O37</f>
        <v>0</v>
      </c>
      <c r="Z37" s="448"/>
      <c r="AA37" s="448"/>
      <c r="AB37" s="600"/>
      <c r="AC37" s="448"/>
      <c r="AF37" s="448"/>
    </row>
    <row r="38" spans="1:32" s="407" customFormat="1">
      <c r="A38" s="411"/>
      <c r="B38" s="799" t="s">
        <v>1418</v>
      </c>
      <c r="C38" s="433">
        <v>12</v>
      </c>
      <c r="D38" s="601">
        <v>18224</v>
      </c>
      <c r="E38" s="601">
        <v>0</v>
      </c>
      <c r="F38" s="601">
        <v>0</v>
      </c>
      <c r="G38" s="601">
        <v>0</v>
      </c>
      <c r="I38" s="448">
        <v>129</v>
      </c>
      <c r="J38" s="448">
        <v>1353.86</v>
      </c>
      <c r="K38" s="600">
        <v>0</v>
      </c>
      <c r="L38" s="448"/>
      <c r="M38" s="448"/>
      <c r="N38" s="448">
        <v>-2.94</v>
      </c>
      <c r="O38" s="448">
        <f>SUM(I38:N38)</f>
        <v>1479.9199999999998</v>
      </c>
      <c r="Q38" s="448">
        <v>129</v>
      </c>
      <c r="R38" s="448">
        <v>1353.86</v>
      </c>
      <c r="S38" s="600">
        <v>0</v>
      </c>
      <c r="T38" s="448"/>
      <c r="U38" s="448"/>
      <c r="V38" s="448">
        <v>-2.94</v>
      </c>
      <c r="W38" s="448">
        <f>SUM(Q38:V38)</f>
        <v>1479.9199999999998</v>
      </c>
      <c r="Y38" s="600">
        <f>W38-O38</f>
        <v>0</v>
      </c>
      <c r="Z38" s="448"/>
      <c r="AA38" s="448"/>
      <c r="AB38" s="600"/>
      <c r="AC38" s="448"/>
      <c r="AF38" s="448"/>
    </row>
    <row r="39" spans="1:32" s="407" customFormat="1">
      <c r="A39" s="411"/>
      <c r="B39" s="799" t="s">
        <v>1420</v>
      </c>
      <c r="C39" s="433">
        <v>18</v>
      </c>
      <c r="D39" s="601">
        <v>14877</v>
      </c>
      <c r="E39" s="601">
        <v>0</v>
      </c>
      <c r="F39" s="601">
        <v>0</v>
      </c>
      <c r="G39" s="601">
        <v>0</v>
      </c>
      <c r="I39" s="448">
        <v>193.5</v>
      </c>
      <c r="J39" s="448">
        <v>1105.22</v>
      </c>
      <c r="K39" s="600">
        <v>0</v>
      </c>
      <c r="L39" s="448"/>
      <c r="M39" s="448"/>
      <c r="N39" s="448">
        <v>9.31</v>
      </c>
      <c r="O39" s="448">
        <f>SUM(I39:N39)</f>
        <v>1308.03</v>
      </c>
      <c r="Q39" s="448">
        <v>193.5</v>
      </c>
      <c r="R39" s="448">
        <v>1105.22</v>
      </c>
      <c r="S39" s="600">
        <v>0</v>
      </c>
      <c r="T39" s="448"/>
      <c r="U39" s="448"/>
      <c r="V39" s="448">
        <v>9.31</v>
      </c>
      <c r="W39" s="448">
        <f>SUM(Q39:V39)</f>
        <v>1308.03</v>
      </c>
      <c r="Y39" s="600">
        <f>W39-O39</f>
        <v>0</v>
      </c>
      <c r="Z39" s="448"/>
      <c r="AA39" s="448"/>
      <c r="AB39" s="600"/>
      <c r="AC39" s="448"/>
      <c r="AF39" s="448"/>
    </row>
    <row r="40" spans="1:32">
      <c r="A40" s="235"/>
      <c r="B40" s="269"/>
      <c r="C40" s="201">
        <f>SUM(C35:C36)</f>
        <v>58</v>
      </c>
      <c r="D40" s="201">
        <f>SUM(D35:D36)</f>
        <v>80047</v>
      </c>
      <c r="E40" s="201">
        <f>SUM(E35:E36)</f>
        <v>0</v>
      </c>
      <c r="F40" s="201">
        <f>SUM(F35:F36)</f>
        <v>0</v>
      </c>
      <c r="G40" s="201">
        <f>SUM(G35:G36)</f>
        <v>0</v>
      </c>
      <c r="I40" s="600">
        <f>SUM(I35:I36)</f>
        <v>882.5</v>
      </c>
      <c r="J40" s="600">
        <f>SUM(J35:J36)</f>
        <v>6568.74</v>
      </c>
      <c r="K40" s="600">
        <f>SUM(K35:K36)</f>
        <v>0</v>
      </c>
      <c r="L40" s="233"/>
      <c r="M40" s="234"/>
      <c r="N40" s="600">
        <f>SUM(N35:N36)</f>
        <v>-32.28</v>
      </c>
      <c r="O40" s="600">
        <f>SUM(O35:O36)</f>
        <v>7418.96</v>
      </c>
      <c r="Q40" s="600">
        <f>SUM(Q35:Q36)</f>
        <v>623.5</v>
      </c>
      <c r="R40" s="600">
        <f>SUM(R35:R36)</f>
        <v>5946.7</v>
      </c>
      <c r="S40" s="600">
        <f>SUM(S35:S36)</f>
        <v>0</v>
      </c>
      <c r="T40" s="233"/>
      <c r="U40" s="234"/>
      <c r="V40" s="600">
        <f>SUM(V35:V36)</f>
        <v>-32.28</v>
      </c>
      <c r="W40" s="600">
        <f>SUM(W35:W36)</f>
        <v>6537.92</v>
      </c>
      <c r="Y40" s="600">
        <f>SUM(Y35:Y36)</f>
        <v>-881.04000000000042</v>
      </c>
      <c r="AF40" s="233"/>
    </row>
    <row r="41" spans="1:32">
      <c r="A41" s="235"/>
      <c r="B41" s="235"/>
      <c r="C41" s="237"/>
      <c r="D41" s="201"/>
      <c r="E41" s="201"/>
      <c r="F41" s="201"/>
      <c r="G41" s="201"/>
      <c r="O41" s="233"/>
      <c r="U41" s="233"/>
      <c r="W41" s="233"/>
      <c r="AF41" s="233"/>
    </row>
    <row r="42" spans="1:32" s="407" customFormat="1">
      <c r="A42" s="817" t="s">
        <v>192</v>
      </c>
      <c r="B42" s="798" t="s">
        <v>18</v>
      </c>
      <c r="C42" s="433">
        <v>1</v>
      </c>
      <c r="D42" s="601">
        <v>0</v>
      </c>
      <c r="E42" s="601">
        <v>0</v>
      </c>
      <c r="F42" s="601">
        <v>0</v>
      </c>
      <c r="G42" s="601">
        <v>0</v>
      </c>
      <c r="I42" s="448">
        <v>35</v>
      </c>
      <c r="J42" s="448">
        <v>0</v>
      </c>
      <c r="K42" s="600">
        <v>0</v>
      </c>
      <c r="L42" s="448"/>
      <c r="M42" s="448"/>
      <c r="N42" s="448">
        <v>0</v>
      </c>
      <c r="O42" s="448">
        <f>SUM(I42:N42)</f>
        <v>35</v>
      </c>
      <c r="Q42" s="448">
        <v>10.75</v>
      </c>
      <c r="R42" s="448">
        <v>0</v>
      </c>
      <c r="S42" s="600">
        <v>0</v>
      </c>
      <c r="T42" s="448"/>
      <c r="U42" s="448"/>
      <c r="V42" s="448">
        <v>0</v>
      </c>
      <c r="W42" s="448">
        <f>SUM(Q42:V42)</f>
        <v>10.75</v>
      </c>
      <c r="Y42" s="600">
        <f>W42-O42</f>
        <v>-24.25</v>
      </c>
      <c r="Z42" s="448"/>
      <c r="AA42" s="448"/>
      <c r="AB42" s="600"/>
      <c r="AC42" s="448"/>
      <c r="AF42" s="448"/>
    </row>
    <row r="43" spans="1:32" s="407" customFormat="1">
      <c r="A43" s="403" t="s">
        <v>1421</v>
      </c>
      <c r="B43" s="403"/>
      <c r="C43" s="433"/>
      <c r="D43" s="433"/>
      <c r="E43" s="433"/>
      <c r="F43" s="433"/>
      <c r="G43" s="433"/>
      <c r="AF43" s="448"/>
    </row>
    <row r="44" spans="1:32">
      <c r="C44" s="237"/>
      <c r="D44" s="237"/>
      <c r="E44" s="237"/>
      <c r="F44" s="237"/>
      <c r="G44" s="237"/>
      <c r="AF44" s="233"/>
    </row>
    <row r="45" spans="1:32" s="407" customFormat="1">
      <c r="A45" s="427" t="s">
        <v>193</v>
      </c>
      <c r="B45" s="797" t="s">
        <v>780</v>
      </c>
      <c r="C45" s="433">
        <v>11</v>
      </c>
      <c r="D45" s="601">
        <v>55718</v>
      </c>
      <c r="E45" s="601">
        <v>0</v>
      </c>
      <c r="F45" s="601">
        <v>0</v>
      </c>
      <c r="G45" s="601">
        <v>0</v>
      </c>
      <c r="I45" s="448">
        <v>220</v>
      </c>
      <c r="J45" s="448">
        <v>4877.55</v>
      </c>
      <c r="K45" s="600">
        <v>0</v>
      </c>
      <c r="L45" s="448"/>
      <c r="M45" s="448"/>
      <c r="N45" s="448">
        <v>-79.709999999999994</v>
      </c>
      <c r="O45" s="448">
        <f>SUM(I45:N45)</f>
        <v>5017.84</v>
      </c>
      <c r="Q45" s="448">
        <v>118.25</v>
      </c>
      <c r="R45" s="448">
        <v>4139.29</v>
      </c>
      <c r="S45" s="600">
        <v>0</v>
      </c>
      <c r="T45" s="448"/>
      <c r="U45" s="448"/>
      <c r="V45" s="448">
        <v>-79.709999999999994</v>
      </c>
      <c r="W45" s="448">
        <f>SUM(Q45:V45)</f>
        <v>4177.83</v>
      </c>
      <c r="Y45" s="600">
        <f>W45-O45</f>
        <v>-840.01000000000022</v>
      </c>
      <c r="Z45" s="448"/>
      <c r="AA45" s="448"/>
      <c r="AB45" s="600"/>
      <c r="AC45" s="448"/>
      <c r="AF45" s="448"/>
    </row>
    <row r="46" spans="1:32" s="407" customFormat="1">
      <c r="A46" s="403" t="s">
        <v>810</v>
      </c>
      <c r="B46" s="403"/>
      <c r="C46" s="433"/>
      <c r="D46" s="433"/>
      <c r="E46" s="433"/>
      <c r="F46" s="433"/>
      <c r="G46" s="433"/>
      <c r="AF46" s="448"/>
    </row>
    <row r="47" spans="1:32">
      <c r="C47" s="237"/>
      <c r="D47" s="237"/>
      <c r="E47" s="237"/>
      <c r="F47" s="237"/>
      <c r="G47" s="237"/>
      <c r="AF47" s="233"/>
    </row>
    <row r="48" spans="1:32" s="407" customFormat="1">
      <c r="A48" s="410" t="s">
        <v>194</v>
      </c>
      <c r="B48" s="411" t="s">
        <v>15</v>
      </c>
      <c r="C48" s="601">
        <f>C49+C50</f>
        <v>76</v>
      </c>
      <c r="D48" s="601">
        <f>D49+D50</f>
        <v>133792</v>
      </c>
      <c r="E48" s="601">
        <f>E49+E50</f>
        <v>0</v>
      </c>
      <c r="F48" s="601">
        <f>F49+F50</f>
        <v>0</v>
      </c>
      <c r="G48" s="601">
        <f>G49+G50</f>
        <v>0</v>
      </c>
      <c r="I48" s="448">
        <f>I49+I50</f>
        <v>817</v>
      </c>
      <c r="J48" s="448">
        <f>J49+J50</f>
        <v>9939.41</v>
      </c>
      <c r="K48" s="600">
        <f>K49+K50</f>
        <v>0</v>
      </c>
      <c r="L48" s="448"/>
      <c r="M48" s="448"/>
      <c r="N48" s="448">
        <f>N49+N50</f>
        <v>-87.460000000000008</v>
      </c>
      <c r="O48" s="448">
        <f>SUM(I48:N48)</f>
        <v>10668.95</v>
      </c>
      <c r="Q48" s="448">
        <f t="shared" ref="Q48:V48" si="7">Q49+Q50</f>
        <v>817</v>
      </c>
      <c r="R48" s="448">
        <f t="shared" si="7"/>
        <v>9939.41</v>
      </c>
      <c r="S48" s="600">
        <f t="shared" si="7"/>
        <v>0</v>
      </c>
      <c r="T48" s="448">
        <f t="shared" si="7"/>
        <v>0</v>
      </c>
      <c r="U48" s="448">
        <f t="shared" si="7"/>
        <v>0</v>
      </c>
      <c r="V48" s="448">
        <f t="shared" si="7"/>
        <v>-87.460000000000008</v>
      </c>
      <c r="W48" s="448">
        <f>SUM(Q48:V48)</f>
        <v>10668.95</v>
      </c>
      <c r="Y48" s="600">
        <f>W48-O48</f>
        <v>0</v>
      </c>
      <c r="Z48" s="448"/>
      <c r="AA48" s="448"/>
      <c r="AB48" s="600"/>
      <c r="AC48" s="448"/>
      <c r="AF48" s="448"/>
    </row>
    <row r="49" spans="1:32" s="407" customFormat="1">
      <c r="A49" s="403" t="s">
        <v>16</v>
      </c>
      <c r="B49" s="799" t="s">
        <v>1417</v>
      </c>
      <c r="C49" s="433">
        <v>48</v>
      </c>
      <c r="D49" s="601">
        <v>66990</v>
      </c>
      <c r="E49" s="601">
        <v>0</v>
      </c>
      <c r="F49" s="601">
        <v>0</v>
      </c>
      <c r="G49" s="601">
        <v>0</v>
      </c>
      <c r="I49" s="448">
        <v>516</v>
      </c>
      <c r="J49" s="448">
        <v>4976.6899999999996</v>
      </c>
      <c r="K49" s="600">
        <v>0</v>
      </c>
      <c r="L49" s="448"/>
      <c r="M49" s="448"/>
      <c r="N49" s="448">
        <v>-50.51</v>
      </c>
      <c r="O49" s="448">
        <f>SUM(I49:N49)</f>
        <v>5442.1799999999994</v>
      </c>
      <c r="Q49" s="448">
        <v>516</v>
      </c>
      <c r="R49" s="448">
        <v>4976.6899999999996</v>
      </c>
      <c r="S49" s="600">
        <v>0</v>
      </c>
      <c r="T49" s="448"/>
      <c r="U49" s="448"/>
      <c r="V49" s="448">
        <v>-50.51</v>
      </c>
      <c r="W49" s="448">
        <f>SUM(Q49:V49)</f>
        <v>5442.1799999999994</v>
      </c>
      <c r="Y49" s="600"/>
      <c r="Z49" s="448"/>
      <c r="AA49" s="448"/>
      <c r="AB49" s="600"/>
      <c r="AC49" s="448"/>
      <c r="AF49" s="448"/>
    </row>
    <row r="50" spans="1:32" s="407" customFormat="1">
      <c r="A50" s="410"/>
      <c r="B50" s="799" t="s">
        <v>1418</v>
      </c>
      <c r="C50" s="433">
        <v>28</v>
      </c>
      <c r="D50" s="601">
        <v>66802</v>
      </c>
      <c r="E50" s="601">
        <v>0</v>
      </c>
      <c r="F50" s="601">
        <v>0</v>
      </c>
      <c r="G50" s="601">
        <v>0</v>
      </c>
      <c r="I50" s="448">
        <v>301</v>
      </c>
      <c r="J50" s="448">
        <v>4962.72</v>
      </c>
      <c r="K50" s="600">
        <v>0</v>
      </c>
      <c r="L50" s="448"/>
      <c r="M50" s="448"/>
      <c r="N50" s="448">
        <v>-36.950000000000003</v>
      </c>
      <c r="O50" s="448">
        <f>SUM(I50:N50)</f>
        <v>5226.7700000000004</v>
      </c>
      <c r="Q50" s="448">
        <v>301</v>
      </c>
      <c r="R50" s="448">
        <v>4962.72</v>
      </c>
      <c r="S50" s="600">
        <v>0</v>
      </c>
      <c r="T50" s="448"/>
      <c r="U50" s="448"/>
      <c r="V50" s="448">
        <v>-36.950000000000003</v>
      </c>
      <c r="W50" s="448">
        <f>SUM(Q50:V50)</f>
        <v>5226.7700000000004</v>
      </c>
      <c r="Y50" s="600"/>
      <c r="Z50" s="448"/>
      <c r="AA50" s="448"/>
      <c r="AB50" s="600"/>
      <c r="AC50" s="448"/>
      <c r="AF50" s="448"/>
    </row>
    <row r="51" spans="1:32" s="407" customFormat="1">
      <c r="A51" s="410"/>
      <c r="B51" s="799"/>
      <c r="C51" s="433"/>
      <c r="D51" s="601"/>
      <c r="E51" s="601"/>
      <c r="F51" s="601"/>
      <c r="G51" s="601"/>
      <c r="I51" s="448"/>
      <c r="J51" s="448"/>
      <c r="K51" s="600"/>
      <c r="L51" s="448"/>
      <c r="M51" s="448"/>
      <c r="N51" s="448"/>
      <c r="O51" s="448"/>
      <c r="Q51" s="448"/>
      <c r="R51" s="448"/>
      <c r="S51" s="600"/>
      <c r="T51" s="448"/>
      <c r="U51" s="448"/>
      <c r="V51" s="448"/>
      <c r="W51" s="448"/>
      <c r="Y51" s="600"/>
      <c r="Z51" s="448"/>
      <c r="AA51" s="448"/>
      <c r="AB51" s="600"/>
      <c r="AC51" s="448"/>
      <c r="AF51" s="448"/>
    </row>
    <row r="52" spans="1:32" s="407" customFormat="1">
      <c r="A52" s="410" t="s">
        <v>169</v>
      </c>
      <c r="B52" s="403" t="s">
        <v>221</v>
      </c>
      <c r="C52" s="433">
        <v>4</v>
      </c>
      <c r="D52" s="601">
        <v>33600</v>
      </c>
      <c r="E52" s="601">
        <v>87</v>
      </c>
      <c r="F52" s="601">
        <v>91</v>
      </c>
      <c r="G52" s="601">
        <v>1071</v>
      </c>
      <c r="I52" s="448">
        <v>1200</v>
      </c>
      <c r="J52" s="448">
        <v>1265.04</v>
      </c>
      <c r="K52" s="448">
        <v>623.16</v>
      </c>
      <c r="L52" s="448"/>
      <c r="M52" s="448"/>
      <c r="N52" s="448">
        <v>18.14</v>
      </c>
      <c r="O52" s="448">
        <f>SUM(I52:N52)</f>
        <v>3106.3399999999997</v>
      </c>
      <c r="Q52" s="448">
        <v>680</v>
      </c>
      <c r="R52" s="448">
        <v>1196.83</v>
      </c>
      <c r="S52" s="448">
        <v>1120.27</v>
      </c>
      <c r="T52" s="448"/>
      <c r="U52" s="448"/>
      <c r="V52" s="448">
        <v>18.14</v>
      </c>
      <c r="W52" s="448">
        <f>SUM(Q52:V52)</f>
        <v>3015.24</v>
      </c>
      <c r="Y52" s="600">
        <f>W52-O52</f>
        <v>-91.099999999999909</v>
      </c>
      <c r="Z52" s="448"/>
      <c r="AA52" s="448"/>
      <c r="AB52" s="600"/>
      <c r="AC52" s="448"/>
      <c r="AF52" s="448"/>
    </row>
    <row r="53" spans="1:32" s="407" customFormat="1">
      <c r="A53" s="403" t="s">
        <v>26</v>
      </c>
      <c r="B53" s="798" t="s">
        <v>780</v>
      </c>
      <c r="C53" s="433">
        <v>4</v>
      </c>
      <c r="D53" s="601">
        <v>4620</v>
      </c>
      <c r="E53" s="601">
        <v>0</v>
      </c>
      <c r="F53" s="601">
        <v>0</v>
      </c>
      <c r="G53" s="601">
        <v>0</v>
      </c>
      <c r="I53" s="448">
        <v>80</v>
      </c>
      <c r="J53" s="448">
        <v>404.43</v>
      </c>
      <c r="K53" s="448">
        <v>0</v>
      </c>
      <c r="L53" s="448"/>
      <c r="M53" s="448"/>
      <c r="N53" s="448">
        <v>3.77</v>
      </c>
      <c r="O53" s="448">
        <f>SUM(I53:N53)</f>
        <v>488.2</v>
      </c>
      <c r="Q53" s="448">
        <v>680</v>
      </c>
      <c r="R53" s="448">
        <v>164.56</v>
      </c>
      <c r="S53" s="448">
        <v>1065</v>
      </c>
      <c r="T53" s="448"/>
      <c r="U53" s="448"/>
      <c r="V53" s="448">
        <v>3.77</v>
      </c>
      <c r="W53" s="448">
        <f>SUM(Q53:V53)</f>
        <v>1913.33</v>
      </c>
      <c r="Y53" s="600">
        <f>W53-O53</f>
        <v>1425.1299999999999</v>
      </c>
      <c r="Z53" s="448"/>
      <c r="AA53" s="448"/>
      <c r="AB53" s="600"/>
      <c r="AC53" s="448"/>
      <c r="AF53" s="448"/>
    </row>
    <row r="54" spans="1:32" s="407" customFormat="1">
      <c r="A54" s="403"/>
      <c r="B54" s="410" t="s">
        <v>228</v>
      </c>
      <c r="C54" s="433">
        <v>0</v>
      </c>
      <c r="D54" s="601">
        <v>0</v>
      </c>
      <c r="E54" s="601">
        <v>0</v>
      </c>
      <c r="F54" s="601">
        <v>0</v>
      </c>
      <c r="G54" s="601">
        <v>0</v>
      </c>
      <c r="I54" s="448">
        <v>0</v>
      </c>
      <c r="J54" s="448">
        <v>0</v>
      </c>
      <c r="K54" s="448">
        <v>0</v>
      </c>
      <c r="L54" s="448"/>
      <c r="M54" s="448"/>
      <c r="N54" s="448">
        <v>0</v>
      </c>
      <c r="O54" s="448">
        <f>SUM(I54:N54)</f>
        <v>0</v>
      </c>
      <c r="Q54" s="448">
        <v>0</v>
      </c>
      <c r="R54" s="448">
        <v>0</v>
      </c>
      <c r="S54" s="448">
        <v>0</v>
      </c>
      <c r="T54" s="448"/>
      <c r="U54" s="448"/>
      <c r="V54" s="448">
        <v>0</v>
      </c>
      <c r="W54" s="448">
        <f>SUM(Q54:V54)</f>
        <v>0</v>
      </c>
      <c r="Y54" s="600">
        <f>W54-O54</f>
        <v>0</v>
      </c>
      <c r="Z54" s="448"/>
      <c r="AA54" s="448"/>
      <c r="AB54" s="600"/>
      <c r="AC54" s="448"/>
      <c r="AF54" s="448"/>
    </row>
    <row r="55" spans="1:32" s="407" customFormat="1">
      <c r="A55" s="403"/>
      <c r="B55" s="403" t="s">
        <v>26</v>
      </c>
      <c r="C55" s="433">
        <v>0</v>
      </c>
      <c r="D55" s="601">
        <v>0</v>
      </c>
      <c r="E55" s="601">
        <v>0</v>
      </c>
      <c r="F55" s="601">
        <v>0</v>
      </c>
      <c r="G55" s="601">
        <v>0</v>
      </c>
      <c r="I55" s="448">
        <v>0</v>
      </c>
      <c r="J55" s="448">
        <v>0</v>
      </c>
      <c r="K55" s="448">
        <v>0</v>
      </c>
      <c r="L55" s="448"/>
      <c r="M55" s="448"/>
      <c r="N55" s="448">
        <v>0</v>
      </c>
      <c r="O55" s="448">
        <f>SUM(I55:N55)</f>
        <v>0</v>
      </c>
      <c r="Q55" s="448">
        <v>0</v>
      </c>
      <c r="R55" s="448">
        <v>0</v>
      </c>
      <c r="S55" s="448">
        <v>0</v>
      </c>
      <c r="T55" s="448"/>
      <c r="U55" s="448"/>
      <c r="V55" s="448">
        <v>0</v>
      </c>
      <c r="W55" s="448">
        <f>SUM(Q55:V55)</f>
        <v>0</v>
      </c>
      <c r="Y55" s="600">
        <f>W55-O55</f>
        <v>0</v>
      </c>
      <c r="Z55" s="448"/>
      <c r="AA55" s="448"/>
      <c r="AB55" s="600"/>
      <c r="AC55" s="448"/>
      <c r="AF55" s="448"/>
    </row>
    <row r="56" spans="1:32">
      <c r="A56" s="235"/>
      <c r="B56" s="269"/>
      <c r="C56" s="201">
        <f>SUM(C52:C55)</f>
        <v>8</v>
      </c>
      <c r="D56" s="201">
        <f>SUM(D52:D55)</f>
        <v>38220</v>
      </c>
      <c r="E56" s="201">
        <f>SUM(E52:E55)</f>
        <v>87</v>
      </c>
      <c r="F56" s="201">
        <f>SUM(F52:F55)</f>
        <v>91</v>
      </c>
      <c r="G56" s="201">
        <f>SUM(G52:G55)</f>
        <v>1071</v>
      </c>
      <c r="I56" s="600">
        <f>SUM(I52:I55)</f>
        <v>1280</v>
      </c>
      <c r="J56" s="600">
        <f>SUM(J52:J55)</f>
        <v>1669.47</v>
      </c>
      <c r="K56" s="600">
        <f>SUM(K52:K55)</f>
        <v>623.16</v>
      </c>
      <c r="L56" s="233"/>
      <c r="M56" s="233"/>
      <c r="N56" s="600">
        <f>SUM(N52:N55)</f>
        <v>21.91</v>
      </c>
      <c r="O56" s="600">
        <f>SUM(O52:O55)</f>
        <v>3594.5399999999995</v>
      </c>
      <c r="Q56" s="600">
        <f>SUM(Q52:Q55)</f>
        <v>1360</v>
      </c>
      <c r="R56" s="600">
        <f>SUM(R52:R55)</f>
        <v>1361.3899999999999</v>
      </c>
      <c r="S56" s="600">
        <f>SUM(S52:S55)</f>
        <v>2185.27</v>
      </c>
      <c r="T56" s="233"/>
      <c r="U56" s="234"/>
      <c r="V56" s="600">
        <f>SUM(V52:V55)</f>
        <v>21.91</v>
      </c>
      <c r="W56" s="600">
        <f>SUM(W52:W55)</f>
        <v>4928.57</v>
      </c>
      <c r="AF56" s="233"/>
    </row>
    <row r="57" spans="1:32">
      <c r="A57" s="235"/>
      <c r="B57" s="235"/>
      <c r="C57" s="237"/>
      <c r="D57" s="201"/>
      <c r="E57" s="201"/>
      <c r="F57" s="201"/>
      <c r="G57" s="201"/>
      <c r="AF57" s="233"/>
    </row>
    <row r="58" spans="1:32" s="407" customFormat="1">
      <c r="A58" s="403" t="s">
        <v>170</v>
      </c>
      <c r="B58" s="403" t="s">
        <v>18</v>
      </c>
      <c r="C58" s="433">
        <v>1185</v>
      </c>
      <c r="D58" s="601">
        <v>38695430</v>
      </c>
      <c r="E58" s="601">
        <v>0</v>
      </c>
      <c r="F58" s="601">
        <v>0</v>
      </c>
      <c r="G58" s="601">
        <v>0</v>
      </c>
      <c r="I58" s="448">
        <v>41475</v>
      </c>
      <c r="J58" s="448">
        <v>3387397.97</v>
      </c>
      <c r="K58" s="448">
        <v>0</v>
      </c>
      <c r="L58" s="448"/>
      <c r="M58" s="448"/>
      <c r="N58" s="448">
        <v>-5820.41</v>
      </c>
      <c r="O58" s="448">
        <f>SUM(I58:N58)</f>
        <v>3423052.56</v>
      </c>
      <c r="Q58" s="448">
        <v>106650</v>
      </c>
      <c r="R58" s="448">
        <v>1379105.14</v>
      </c>
      <c r="S58" s="448">
        <v>1320626.79</v>
      </c>
      <c r="T58" s="448"/>
      <c r="U58" s="448"/>
      <c r="V58" s="448">
        <v>-5820.41</v>
      </c>
      <c r="W58" s="448">
        <f>SUM(Q58:V58)</f>
        <v>2800561.5199999996</v>
      </c>
      <c r="Y58" s="600">
        <f>W58-O58</f>
        <v>-622491.0400000005</v>
      </c>
      <c r="Z58" s="448"/>
      <c r="AA58" s="448"/>
      <c r="AB58" s="600"/>
      <c r="AC58" s="448"/>
      <c r="AF58" s="448"/>
    </row>
    <row r="59" spans="1:32" s="407" customFormat="1">
      <c r="A59" s="403" t="s">
        <v>25</v>
      </c>
      <c r="B59" s="798" t="s">
        <v>780</v>
      </c>
      <c r="C59" s="433">
        <v>136</v>
      </c>
      <c r="D59" s="601">
        <v>1931829</v>
      </c>
      <c r="E59" s="601">
        <v>0</v>
      </c>
      <c r="F59" s="601">
        <v>0</v>
      </c>
      <c r="G59" s="601">
        <v>0</v>
      </c>
      <c r="I59" s="448">
        <v>2720</v>
      </c>
      <c r="J59" s="448">
        <v>169112.31</v>
      </c>
      <c r="K59" s="448">
        <v>0</v>
      </c>
      <c r="L59" s="448"/>
      <c r="M59" s="448"/>
      <c r="N59" s="448">
        <v>-367.85</v>
      </c>
      <c r="O59" s="448">
        <f>SUM(I59:N59)</f>
        <v>171464.46</v>
      </c>
      <c r="Q59" s="448">
        <v>12240</v>
      </c>
      <c r="R59" s="448">
        <v>68850.38</v>
      </c>
      <c r="S59" s="448">
        <v>137742.63</v>
      </c>
      <c r="T59" s="448"/>
      <c r="U59" s="448"/>
      <c r="V59" s="448">
        <v>-367.85</v>
      </c>
      <c r="W59" s="448">
        <f>SUM(Q59:V59)</f>
        <v>218465.16</v>
      </c>
      <c r="Y59" s="600">
        <f>W59-O59</f>
        <v>47000.700000000012</v>
      </c>
      <c r="Z59" s="448"/>
      <c r="AA59" s="448"/>
      <c r="AB59" s="600"/>
      <c r="AC59" s="448"/>
      <c r="AF59" s="448"/>
    </row>
    <row r="60" spans="1:32" s="407" customFormat="1">
      <c r="A60" s="403">
        <v>562</v>
      </c>
      <c r="B60" s="410" t="s">
        <v>25</v>
      </c>
      <c r="C60" s="433">
        <v>15</v>
      </c>
      <c r="D60" s="601">
        <v>101030</v>
      </c>
      <c r="E60" s="601">
        <v>202</v>
      </c>
      <c r="F60" s="601">
        <v>123</v>
      </c>
      <c r="G60" s="601">
        <v>0</v>
      </c>
      <c r="I60" s="448">
        <v>1350</v>
      </c>
      <c r="J60" s="448">
        <v>3600.72</v>
      </c>
      <c r="K60" s="448">
        <v>4355.08</v>
      </c>
      <c r="L60" s="448"/>
      <c r="M60" s="448"/>
      <c r="N60" s="448">
        <v>-24.32</v>
      </c>
      <c r="O60" s="448">
        <f>SUM(I60:N60)</f>
        <v>9281.48</v>
      </c>
      <c r="Q60" s="448">
        <v>1350</v>
      </c>
      <c r="R60" s="448">
        <v>3600.72</v>
      </c>
      <c r="S60" s="448">
        <v>4355.08</v>
      </c>
      <c r="T60" s="448"/>
      <c r="U60" s="448"/>
      <c r="V60" s="448">
        <v>-24.32</v>
      </c>
      <c r="W60" s="448">
        <f>SUM(Q60:V60)</f>
        <v>9281.48</v>
      </c>
      <c r="Y60" s="600">
        <f>W60-O60</f>
        <v>0</v>
      </c>
      <c r="Z60" s="448"/>
      <c r="AA60" s="448"/>
      <c r="AB60" s="600"/>
      <c r="AC60" s="448"/>
      <c r="AF60" s="448"/>
    </row>
    <row r="61" spans="1:32" s="407" customFormat="1">
      <c r="A61" s="403"/>
      <c r="B61" s="403" t="s">
        <v>220</v>
      </c>
      <c r="C61" s="433">
        <v>15</v>
      </c>
      <c r="D61" s="601">
        <v>1649920</v>
      </c>
      <c r="E61" s="601">
        <v>4203</v>
      </c>
      <c r="F61" s="601">
        <v>4223</v>
      </c>
      <c r="G61" s="601">
        <v>4930</v>
      </c>
      <c r="I61" s="448">
        <v>3000</v>
      </c>
      <c r="J61" s="448">
        <v>62251.48</v>
      </c>
      <c r="K61" s="448">
        <v>41542.6</v>
      </c>
      <c r="L61" s="448"/>
      <c r="M61" s="448"/>
      <c r="N61" s="448">
        <v>-27.31</v>
      </c>
      <c r="O61" s="448">
        <f>SUM(I61:N61)</f>
        <v>106766.77</v>
      </c>
      <c r="Q61" s="448">
        <v>1350</v>
      </c>
      <c r="R61" s="448">
        <v>58803.15</v>
      </c>
      <c r="S61" s="448">
        <v>54823.13</v>
      </c>
      <c r="T61" s="448"/>
      <c r="U61" s="448"/>
      <c r="V61" s="448">
        <v>-27.31</v>
      </c>
      <c r="W61" s="448">
        <f>SUM(Q61:V61)</f>
        <v>114948.97</v>
      </c>
      <c r="Y61" s="600">
        <f>W61-O61</f>
        <v>8182.1999999999971</v>
      </c>
      <c r="Z61" s="448"/>
      <c r="AA61" s="448"/>
      <c r="AB61" s="600"/>
      <c r="AC61" s="448"/>
      <c r="AF61" s="448"/>
    </row>
    <row r="62" spans="1:32">
      <c r="A62" s="235"/>
      <c r="B62" s="269"/>
      <c r="C62" s="201">
        <f>SUM(C58:C61)</f>
        <v>1351</v>
      </c>
      <c r="D62" s="201">
        <f>SUM(D58:D61)</f>
        <v>42378209</v>
      </c>
      <c r="E62" s="201">
        <f>SUM(E58:E61)</f>
        <v>4405</v>
      </c>
      <c r="F62" s="201">
        <f>SUM(F58:F61)</f>
        <v>4346</v>
      </c>
      <c r="G62" s="201">
        <f>SUM(G58:G61)</f>
        <v>4930</v>
      </c>
      <c r="I62" s="600">
        <f>SUM(I58:I61)</f>
        <v>48545</v>
      </c>
      <c r="J62" s="600">
        <f>SUM(J58:J61)</f>
        <v>3622362.4800000004</v>
      </c>
      <c r="K62" s="600">
        <f>SUM(K58:K61)</f>
        <v>45897.68</v>
      </c>
      <c r="L62" s="233"/>
      <c r="M62" s="233"/>
      <c r="N62" s="600">
        <f>SUM(N58:N61)</f>
        <v>-6239.89</v>
      </c>
      <c r="O62" s="600">
        <f>SUM(O58:O61)</f>
        <v>3710565.27</v>
      </c>
      <c r="Q62" s="600">
        <f>SUM(Q58:Q61)</f>
        <v>121590</v>
      </c>
      <c r="R62" s="600">
        <f>SUM(R58:R61)</f>
        <v>1510359.39</v>
      </c>
      <c r="S62" s="600">
        <f>SUM(S58:S61)</f>
        <v>1517547.63</v>
      </c>
      <c r="T62" s="233"/>
      <c r="U62" s="234"/>
      <c r="V62" s="600">
        <f>SUM(V58:V61)</f>
        <v>-6239.89</v>
      </c>
      <c r="W62" s="600">
        <f>SUM(W58:W61)</f>
        <v>3143257.13</v>
      </c>
      <c r="Y62" s="600">
        <f>W62-O62</f>
        <v>-567308.14000000013</v>
      </c>
      <c r="AF62" s="233"/>
    </row>
    <row r="63" spans="1:32">
      <c r="A63" s="235"/>
      <c r="B63" s="235"/>
      <c r="C63" s="237"/>
      <c r="D63" s="201"/>
      <c r="E63" s="201"/>
      <c r="F63" s="201"/>
      <c r="G63" s="201"/>
      <c r="AF63" s="233"/>
    </row>
    <row r="64" spans="1:32">
      <c r="A64" s="235" t="s">
        <v>171</v>
      </c>
      <c r="B64" s="235" t="s">
        <v>26</v>
      </c>
      <c r="C64" s="433">
        <v>0</v>
      </c>
      <c r="D64" s="601">
        <v>0</v>
      </c>
      <c r="E64" s="601">
        <v>0</v>
      </c>
      <c r="F64" s="601">
        <v>0</v>
      </c>
      <c r="G64" s="601">
        <v>0</v>
      </c>
      <c r="H64" s="407"/>
      <c r="I64" s="448">
        <v>0</v>
      </c>
      <c r="J64" s="448">
        <v>0</v>
      </c>
      <c r="K64" s="448">
        <v>0</v>
      </c>
      <c r="L64" s="448"/>
      <c r="M64" s="448"/>
      <c r="N64" s="448">
        <v>0</v>
      </c>
      <c r="O64" s="448">
        <f>SUM(I64:N64)</f>
        <v>0</v>
      </c>
      <c r="P64" s="407"/>
      <c r="Q64" s="448">
        <v>0</v>
      </c>
      <c r="R64" s="448">
        <v>0</v>
      </c>
      <c r="S64" s="448">
        <v>0</v>
      </c>
      <c r="T64" s="448"/>
      <c r="U64" s="448"/>
      <c r="V64" s="448">
        <v>0</v>
      </c>
      <c r="W64" s="448">
        <f>SUM(Q64:V64)</f>
        <v>0</v>
      </c>
      <c r="Y64" s="600">
        <f>W64-O64</f>
        <v>0</v>
      </c>
      <c r="Z64" s="239"/>
      <c r="AA64" s="233"/>
      <c r="AB64" s="234"/>
      <c r="AC64" s="239"/>
      <c r="AF64" s="233"/>
    </row>
    <row r="65" spans="1:32">
      <c r="A65" s="235" t="s">
        <v>221</v>
      </c>
      <c r="B65" s="271" t="s">
        <v>19</v>
      </c>
      <c r="C65" s="433">
        <v>0</v>
      </c>
      <c r="D65" s="601">
        <v>0</v>
      </c>
      <c r="E65" s="601">
        <v>0</v>
      </c>
      <c r="F65" s="601">
        <v>0</v>
      </c>
      <c r="G65" s="601">
        <v>0</v>
      </c>
      <c r="H65" s="407"/>
      <c r="I65" s="448">
        <v>0</v>
      </c>
      <c r="J65" s="448">
        <v>0</v>
      </c>
      <c r="K65" s="448">
        <v>0</v>
      </c>
      <c r="L65" s="448"/>
      <c r="M65" s="448"/>
      <c r="N65" s="448">
        <v>0</v>
      </c>
      <c r="O65" s="448">
        <f>SUM(I65:N65)</f>
        <v>0</v>
      </c>
      <c r="P65" s="407"/>
      <c r="Q65" s="448">
        <v>0</v>
      </c>
      <c r="R65" s="448">
        <v>0</v>
      </c>
      <c r="S65" s="448">
        <v>0</v>
      </c>
      <c r="T65" s="448"/>
      <c r="U65" s="448"/>
      <c r="V65" s="448">
        <v>0</v>
      </c>
      <c r="W65" s="448">
        <f>SUM(Q65:V65)</f>
        <v>0</v>
      </c>
      <c r="Y65" s="600">
        <f>W65-O65</f>
        <v>0</v>
      </c>
      <c r="Z65" s="233"/>
      <c r="AA65" s="233"/>
      <c r="AB65" s="234"/>
      <c r="AC65" s="233"/>
      <c r="AF65" s="233"/>
    </row>
    <row r="66" spans="1:32">
      <c r="A66" s="235"/>
      <c r="B66" s="269"/>
      <c r="C66" s="201">
        <f>SUM(C64:C65)</f>
        <v>0</v>
      </c>
      <c r="D66" s="201">
        <f>SUM(D64:D65)</f>
        <v>0</v>
      </c>
      <c r="E66" s="201">
        <f>SUM(E64:E65)</f>
        <v>0</v>
      </c>
      <c r="F66" s="201">
        <f>SUM(F64:F65)</f>
        <v>0</v>
      </c>
      <c r="G66" s="201">
        <f>SUM(G64:G65)</f>
        <v>0</v>
      </c>
      <c r="I66" s="233"/>
      <c r="J66" s="233"/>
      <c r="K66" s="234"/>
      <c r="L66" s="233"/>
      <c r="M66" s="233"/>
      <c r="N66" s="233"/>
      <c r="O66" s="234">
        <f>SUM(O64:O65)</f>
        <v>0</v>
      </c>
      <c r="Q66" s="233"/>
      <c r="R66" s="233"/>
      <c r="S66" s="234"/>
      <c r="T66" s="233"/>
      <c r="U66" s="234"/>
      <c r="V66" s="233"/>
      <c r="W66" s="234">
        <f>SUM(W64:W65)</f>
        <v>0</v>
      </c>
      <c r="AF66" s="233"/>
    </row>
    <row r="67" spans="1:32">
      <c r="A67" s="235"/>
      <c r="B67" s="235"/>
      <c r="C67" s="237"/>
      <c r="D67" s="201"/>
      <c r="E67" s="201"/>
      <c r="F67" s="201"/>
      <c r="G67" s="201"/>
      <c r="AF67" s="233"/>
    </row>
    <row r="68" spans="1:32" s="407" customFormat="1">
      <c r="A68" s="403" t="s">
        <v>172</v>
      </c>
      <c r="B68" s="403" t="s">
        <v>221</v>
      </c>
      <c r="C68" s="433">
        <v>12</v>
      </c>
      <c r="D68" s="601">
        <v>621600</v>
      </c>
      <c r="E68" s="601">
        <v>2397</v>
      </c>
      <c r="F68" s="601">
        <v>2488</v>
      </c>
      <c r="G68" s="601">
        <v>3941</v>
      </c>
      <c r="I68" s="448">
        <v>3600</v>
      </c>
      <c r="J68" s="448">
        <v>23403.24</v>
      </c>
      <c r="K68" s="448">
        <v>19453.95</v>
      </c>
      <c r="L68" s="448"/>
      <c r="M68" s="448"/>
      <c r="N68" s="448">
        <v>84.65</v>
      </c>
      <c r="O68" s="448">
        <f>SUM(I68:N68)</f>
        <v>46541.840000000004</v>
      </c>
      <c r="Q68" s="448">
        <v>2040</v>
      </c>
      <c r="R68" s="448">
        <v>22141.39</v>
      </c>
      <c r="S68" s="448">
        <v>33153.5</v>
      </c>
      <c r="T68" s="448"/>
      <c r="U68" s="448"/>
      <c r="V68" s="448">
        <v>84.65</v>
      </c>
      <c r="W68" s="448">
        <f>SUM(Q68:V68)</f>
        <v>57419.54</v>
      </c>
      <c r="Y68" s="600">
        <f>W68-O68</f>
        <v>10877.699999999997</v>
      </c>
      <c r="Z68" s="448"/>
      <c r="AA68" s="448"/>
      <c r="AB68" s="600"/>
      <c r="AC68" s="448"/>
      <c r="AF68" s="448"/>
    </row>
    <row r="69" spans="1:32" s="407" customFormat="1">
      <c r="A69" s="403" t="s">
        <v>26</v>
      </c>
      <c r="B69" s="403" t="s">
        <v>18</v>
      </c>
      <c r="C69" s="433">
        <v>0</v>
      </c>
      <c r="D69" s="601">
        <v>0</v>
      </c>
      <c r="E69" s="601">
        <v>0</v>
      </c>
      <c r="F69" s="601">
        <v>0</v>
      </c>
      <c r="G69" s="601">
        <v>0</v>
      </c>
      <c r="I69" s="448">
        <v>0</v>
      </c>
      <c r="J69" s="448">
        <v>0</v>
      </c>
      <c r="K69" s="448">
        <v>0</v>
      </c>
      <c r="L69" s="448"/>
      <c r="M69" s="448"/>
      <c r="N69" s="448">
        <v>0</v>
      </c>
      <c r="O69" s="448">
        <f>SUM(I69:N69)</f>
        <v>0</v>
      </c>
      <c r="Q69" s="448">
        <v>0</v>
      </c>
      <c r="R69" s="448">
        <v>0</v>
      </c>
      <c r="S69" s="448">
        <v>0</v>
      </c>
      <c r="T69" s="448"/>
      <c r="U69" s="448"/>
      <c r="V69" s="448">
        <v>0</v>
      </c>
      <c r="W69" s="448">
        <f>SUM(Q69:V69)</f>
        <v>0</v>
      </c>
      <c r="Y69" s="600">
        <f>W69-O69</f>
        <v>0</v>
      </c>
      <c r="Z69" s="448"/>
      <c r="AA69" s="448"/>
      <c r="AB69" s="600"/>
      <c r="AC69" s="448"/>
      <c r="AF69" s="448"/>
    </row>
    <row r="70" spans="1:32">
      <c r="A70" s="235"/>
      <c r="B70" s="269"/>
      <c r="C70" s="201">
        <f>SUM(C68:C69)</f>
        <v>12</v>
      </c>
      <c r="D70" s="201">
        <f>SUM(D68:D69)</f>
        <v>621600</v>
      </c>
      <c r="E70" s="201">
        <f>SUM(E68:E69)</f>
        <v>2397</v>
      </c>
      <c r="F70" s="201">
        <f>SUM(F68:F69)</f>
        <v>2488</v>
      </c>
      <c r="G70" s="201">
        <f>SUM(G68:G69)</f>
        <v>3941</v>
      </c>
      <c r="I70" s="600">
        <f>SUM(I68:I69)</f>
        <v>3600</v>
      </c>
      <c r="J70" s="600">
        <f>SUM(J68:J69)</f>
        <v>23403.24</v>
      </c>
      <c r="K70" s="600">
        <f>SUM(K68:K69)</f>
        <v>19453.95</v>
      </c>
      <c r="L70" s="233"/>
      <c r="M70" s="233"/>
      <c r="N70" s="600">
        <f>SUM(N68:N69)</f>
        <v>84.65</v>
      </c>
      <c r="O70" s="600">
        <f>SUM(O68:O69)</f>
        <v>46541.840000000004</v>
      </c>
      <c r="Q70" s="600">
        <f>SUM(Q68:Q69)</f>
        <v>2040</v>
      </c>
      <c r="R70" s="600">
        <f>SUM(R68:R69)</f>
        <v>22141.39</v>
      </c>
      <c r="S70" s="600">
        <f>SUM(S68:S69)</f>
        <v>33153.5</v>
      </c>
      <c r="T70" s="233"/>
      <c r="U70" s="234"/>
      <c r="V70" s="600">
        <f>SUM(V68:V69)</f>
        <v>84.65</v>
      </c>
      <c r="W70" s="600">
        <f>SUM(W68:W69)</f>
        <v>57419.54</v>
      </c>
      <c r="Y70" s="600">
        <f>SUM(Y68:Y69)</f>
        <v>10877.699999999997</v>
      </c>
      <c r="AF70" s="233"/>
    </row>
    <row r="71" spans="1:32">
      <c r="A71" s="235"/>
      <c r="B71" s="235"/>
      <c r="C71" s="237"/>
      <c r="D71" s="201"/>
      <c r="E71" s="201"/>
      <c r="F71" s="201"/>
      <c r="G71" s="201"/>
      <c r="AF71" s="233"/>
    </row>
    <row r="72" spans="1:32" s="407" customFormat="1">
      <c r="A72" s="410" t="s">
        <v>173</v>
      </c>
      <c r="B72" s="403" t="s">
        <v>18</v>
      </c>
      <c r="C72" s="433">
        <v>29</v>
      </c>
      <c r="D72" s="601">
        <v>689340</v>
      </c>
      <c r="E72" s="601">
        <v>0</v>
      </c>
      <c r="F72" s="601">
        <v>0</v>
      </c>
      <c r="G72" s="601">
        <v>0</v>
      </c>
      <c r="I72" s="448">
        <v>1015</v>
      </c>
      <c r="J72" s="448">
        <v>60344.82</v>
      </c>
      <c r="K72" s="448">
        <v>0</v>
      </c>
      <c r="L72" s="448"/>
      <c r="M72" s="448"/>
      <c r="N72" s="448">
        <v>-189.48</v>
      </c>
      <c r="O72" s="448">
        <f>SUM(I72:N72)</f>
        <v>61170.34</v>
      </c>
      <c r="Q72" s="448">
        <v>2610</v>
      </c>
      <c r="R72" s="448">
        <v>24568.07</v>
      </c>
      <c r="S72" s="448">
        <v>31039.01</v>
      </c>
      <c r="T72" s="448"/>
      <c r="U72" s="448"/>
      <c r="V72" s="448">
        <v>-189.48</v>
      </c>
      <c r="W72" s="448">
        <f>SUM(Q72:V72)</f>
        <v>58027.6</v>
      </c>
      <c r="Y72" s="600">
        <f>W72-O72</f>
        <v>-3142.739999999998</v>
      </c>
      <c r="Z72" s="448"/>
      <c r="AA72" s="448"/>
      <c r="AB72" s="600"/>
      <c r="AC72" s="448"/>
      <c r="AF72" s="448"/>
    </row>
    <row r="73" spans="1:32" s="407" customFormat="1">
      <c r="A73" s="403" t="s">
        <v>25</v>
      </c>
      <c r="B73" s="798" t="s">
        <v>780</v>
      </c>
      <c r="C73" s="433">
        <v>2</v>
      </c>
      <c r="D73" s="601">
        <v>201600</v>
      </c>
      <c r="E73" s="601">
        <v>0</v>
      </c>
      <c r="F73" s="601">
        <v>0</v>
      </c>
      <c r="G73" s="601">
        <v>0</v>
      </c>
      <c r="I73" s="448">
        <v>40</v>
      </c>
      <c r="J73" s="448">
        <v>17648.060000000001</v>
      </c>
      <c r="K73" s="448">
        <v>0</v>
      </c>
      <c r="L73" s="448"/>
      <c r="M73" s="448"/>
      <c r="N73" s="448">
        <v>193.39</v>
      </c>
      <c r="O73" s="448">
        <f>SUM(I73:N73)</f>
        <v>17881.45</v>
      </c>
      <c r="Q73" s="448">
        <v>180</v>
      </c>
      <c r="R73" s="448">
        <v>7185.02</v>
      </c>
      <c r="S73" s="448">
        <v>10761.7</v>
      </c>
      <c r="T73" s="448"/>
      <c r="U73" s="448"/>
      <c r="V73" s="448">
        <v>193.39</v>
      </c>
      <c r="W73" s="448">
        <f>SUM(Q73:V73)</f>
        <v>18320.11</v>
      </c>
      <c r="Y73" s="600">
        <f>W73-O73</f>
        <v>438.65999999999985</v>
      </c>
      <c r="Z73" s="448"/>
      <c r="AA73" s="448"/>
      <c r="AB73" s="600"/>
      <c r="AC73" s="448"/>
      <c r="AF73" s="448"/>
    </row>
    <row r="74" spans="1:32" s="407" customFormat="1">
      <c r="A74" s="403">
        <v>562</v>
      </c>
      <c r="B74" s="410" t="s">
        <v>25</v>
      </c>
      <c r="C74" s="433">
        <v>2</v>
      </c>
      <c r="D74" s="601">
        <v>134200</v>
      </c>
      <c r="E74" s="601">
        <v>468</v>
      </c>
      <c r="F74" s="601">
        <v>0</v>
      </c>
      <c r="G74" s="601">
        <v>0</v>
      </c>
      <c r="I74" s="448">
        <v>180</v>
      </c>
      <c r="J74" s="448">
        <v>4782.8900000000003</v>
      </c>
      <c r="K74" s="448">
        <v>6659.23</v>
      </c>
      <c r="L74" s="448"/>
      <c r="M74" s="448"/>
      <c r="N74" s="448">
        <v>210.83</v>
      </c>
      <c r="O74" s="448">
        <f>SUM(I74:N74)</f>
        <v>11832.949999999999</v>
      </c>
      <c r="Q74" s="448">
        <v>180</v>
      </c>
      <c r="R74" s="448">
        <v>4782.8900000000003</v>
      </c>
      <c r="S74" s="448">
        <v>6659.23</v>
      </c>
      <c r="T74" s="448"/>
      <c r="U74" s="448"/>
      <c r="V74" s="448">
        <v>210.83</v>
      </c>
      <c r="W74" s="448">
        <f>SUM(Q74:V74)</f>
        <v>11832.949999999999</v>
      </c>
      <c r="Y74" s="600">
        <f>W74-O74</f>
        <v>0</v>
      </c>
      <c r="Z74" s="448"/>
      <c r="AA74" s="448"/>
      <c r="AB74" s="600"/>
      <c r="AC74" s="448"/>
      <c r="AF74" s="448"/>
    </row>
    <row r="75" spans="1:32" s="407" customFormat="1">
      <c r="A75" s="403"/>
      <c r="B75" s="403" t="s">
        <v>220</v>
      </c>
      <c r="C75" s="433">
        <v>13</v>
      </c>
      <c r="D75" s="601">
        <v>1274308</v>
      </c>
      <c r="E75" s="601">
        <v>3758</v>
      </c>
      <c r="F75" s="601">
        <v>3775</v>
      </c>
      <c r="G75" s="601">
        <v>5811</v>
      </c>
      <c r="I75" s="448">
        <v>2600</v>
      </c>
      <c r="J75" s="448">
        <v>48079.65</v>
      </c>
      <c r="K75" s="448">
        <v>20729.05</v>
      </c>
      <c r="L75" s="448"/>
      <c r="M75" s="448"/>
      <c r="N75" s="448">
        <v>3396.25</v>
      </c>
      <c r="O75" s="448">
        <f>SUM(I75:N75)</f>
        <v>74804.95</v>
      </c>
      <c r="Q75" s="448">
        <v>1170</v>
      </c>
      <c r="R75" s="448">
        <v>45416.33</v>
      </c>
      <c r="S75" s="448">
        <v>28899.68</v>
      </c>
      <c r="T75" s="448"/>
      <c r="U75" s="448"/>
      <c r="V75" s="448">
        <v>3396.25</v>
      </c>
      <c r="W75" s="448">
        <f>SUM(Q75:V75)</f>
        <v>78882.260000000009</v>
      </c>
      <c r="Y75" s="600">
        <f>W75-O75</f>
        <v>4077.3100000000122</v>
      </c>
      <c r="Z75" s="448"/>
      <c r="AA75" s="448"/>
      <c r="AB75" s="600"/>
      <c r="AC75" s="448"/>
      <c r="AF75" s="448"/>
    </row>
    <row r="76" spans="1:32">
      <c r="A76" s="235"/>
      <c r="B76" s="269"/>
      <c r="C76" s="201">
        <f>SUM(C72:C75)</f>
        <v>46</v>
      </c>
      <c r="D76" s="201">
        <f>SUM(D72:D75)</f>
        <v>2299448</v>
      </c>
      <c r="E76" s="201">
        <f>SUM(E72:E75)</f>
        <v>4226</v>
      </c>
      <c r="F76" s="201">
        <f>SUM(F72:F75)</f>
        <v>3775</v>
      </c>
      <c r="G76" s="201">
        <f>SUM(G72:G75)</f>
        <v>5811</v>
      </c>
      <c r="I76" s="600">
        <f>SUM(I72:I75)</f>
        <v>3835</v>
      </c>
      <c r="J76" s="600">
        <f>SUM(J72:J75)</f>
        <v>130855.42000000001</v>
      </c>
      <c r="K76" s="600">
        <f>SUM(K72:K75)</f>
        <v>27388.28</v>
      </c>
      <c r="L76" s="233"/>
      <c r="M76" s="233"/>
      <c r="N76" s="600">
        <f>SUM(N72:N75)</f>
        <v>3610.99</v>
      </c>
      <c r="O76" s="600">
        <f>SUM(O72:O75)</f>
        <v>165689.69</v>
      </c>
      <c r="Q76" s="600">
        <f>SUM(Q72:Q75)</f>
        <v>4140</v>
      </c>
      <c r="R76" s="600">
        <f>SUM(R72:R75)</f>
        <v>81952.31</v>
      </c>
      <c r="S76" s="600">
        <f>SUM(S72:S75)</f>
        <v>77359.62</v>
      </c>
      <c r="T76" s="233"/>
      <c r="U76" s="234"/>
      <c r="V76" s="600">
        <f>SUM(V72:V75)</f>
        <v>3610.99</v>
      </c>
      <c r="W76" s="600">
        <f>SUM(W72:W75)</f>
        <v>167062.91999999998</v>
      </c>
      <c r="Y76" s="600">
        <f>SUM(Y72:Y75)</f>
        <v>1373.2300000000141</v>
      </c>
      <c r="AF76" s="233"/>
    </row>
    <row r="77" spans="1:32">
      <c r="A77" s="235"/>
      <c r="B77" s="235"/>
      <c r="C77" s="237"/>
      <c r="D77" s="201"/>
      <c r="E77" s="201"/>
      <c r="F77" s="201"/>
      <c r="G77" s="201"/>
      <c r="AF77" s="233"/>
    </row>
    <row r="78" spans="1:32">
      <c r="A78" s="403" t="s">
        <v>174</v>
      </c>
      <c r="B78" s="403" t="s">
        <v>26</v>
      </c>
      <c r="C78" s="433">
        <v>9</v>
      </c>
      <c r="D78" s="601">
        <v>2071920</v>
      </c>
      <c r="E78" s="601">
        <v>5109</v>
      </c>
      <c r="F78" s="601">
        <v>2144</v>
      </c>
      <c r="G78" s="601">
        <v>0</v>
      </c>
      <c r="H78" s="407"/>
      <c r="I78" s="448">
        <v>1530</v>
      </c>
      <c r="J78" s="448">
        <v>73801.789999999994</v>
      </c>
      <c r="K78" s="448">
        <v>98492.04</v>
      </c>
      <c r="L78" s="448"/>
      <c r="M78" s="448"/>
      <c r="N78" s="448">
        <v>-107.24</v>
      </c>
      <c r="O78" s="448">
        <f>SUM(I78:N78)</f>
        <v>173716.59</v>
      </c>
      <c r="Q78" s="448">
        <v>2700</v>
      </c>
      <c r="R78" s="448">
        <v>78007.789999999994</v>
      </c>
      <c r="S78" s="448">
        <v>57662.15</v>
      </c>
      <c r="T78" s="448"/>
      <c r="U78" s="448"/>
      <c r="V78" s="448">
        <v>-107.24</v>
      </c>
      <c r="W78" s="448">
        <f>SUM(Q78:V78)</f>
        <v>138262.70000000001</v>
      </c>
      <c r="Y78" s="600">
        <f>W78-O78</f>
        <v>-35453.889999999985</v>
      </c>
      <c r="Z78" s="239"/>
      <c r="AA78" s="233"/>
      <c r="AB78" s="234"/>
      <c r="AC78" s="239"/>
      <c r="AF78" s="233"/>
    </row>
    <row r="79" spans="1:32" s="407" customFormat="1">
      <c r="A79" s="403" t="s">
        <v>221</v>
      </c>
      <c r="B79" s="797" t="s">
        <v>780</v>
      </c>
      <c r="C79" s="433">
        <v>0</v>
      </c>
      <c r="D79" s="601">
        <v>0</v>
      </c>
      <c r="E79" s="601">
        <v>0</v>
      </c>
      <c r="F79" s="601">
        <v>0</v>
      </c>
      <c r="G79" s="601">
        <v>0</v>
      </c>
      <c r="I79" s="448">
        <v>0</v>
      </c>
      <c r="J79" s="448">
        <v>0</v>
      </c>
      <c r="K79" s="448">
        <v>0</v>
      </c>
      <c r="L79" s="448"/>
      <c r="M79" s="448"/>
      <c r="N79" s="448">
        <v>0</v>
      </c>
      <c r="O79" s="448">
        <f>SUM(I79:N79)</f>
        <v>0</v>
      </c>
      <c r="Q79" s="448">
        <v>0</v>
      </c>
      <c r="R79" s="448">
        <v>0</v>
      </c>
      <c r="S79" s="448">
        <v>0</v>
      </c>
      <c r="T79" s="448"/>
      <c r="U79" s="448"/>
      <c r="V79" s="448">
        <v>0</v>
      </c>
      <c r="W79" s="448">
        <f>SUM(Q79:V79)</f>
        <v>0</v>
      </c>
      <c r="Y79" s="600">
        <f>W79-O79</f>
        <v>0</v>
      </c>
      <c r="Z79" s="796"/>
      <c r="AA79" s="448"/>
      <c r="AB79" s="600"/>
      <c r="AC79" s="796"/>
      <c r="AF79" s="448"/>
    </row>
    <row r="80" spans="1:32" s="407" customFormat="1">
      <c r="A80" s="403"/>
      <c r="B80" s="797" t="s">
        <v>18</v>
      </c>
      <c r="C80" s="433">
        <v>0</v>
      </c>
      <c r="D80" s="601">
        <v>0</v>
      </c>
      <c r="E80" s="601">
        <v>0</v>
      </c>
      <c r="F80" s="601">
        <v>0</v>
      </c>
      <c r="G80" s="601">
        <v>0</v>
      </c>
      <c r="I80" s="448">
        <v>0</v>
      </c>
      <c r="J80" s="448">
        <v>0</v>
      </c>
      <c r="K80" s="448">
        <v>0</v>
      </c>
      <c r="L80" s="448"/>
      <c r="M80" s="448"/>
      <c r="N80" s="448">
        <v>0</v>
      </c>
      <c r="O80" s="448">
        <f>SUM(I80:N80)</f>
        <v>0</v>
      </c>
      <c r="Q80" s="448">
        <v>0</v>
      </c>
      <c r="R80" s="448">
        <v>0</v>
      </c>
      <c r="S80" s="448">
        <v>0</v>
      </c>
      <c r="T80" s="448"/>
      <c r="U80" s="448"/>
      <c r="V80" s="448">
        <v>0</v>
      </c>
      <c r="W80" s="448">
        <f>SUM(Q80:V80)</f>
        <v>0</v>
      </c>
      <c r="Y80" s="600">
        <f>W80-O80</f>
        <v>0</v>
      </c>
      <c r="Z80" s="796"/>
      <c r="AA80" s="448"/>
      <c r="AB80" s="600"/>
      <c r="AC80" s="796"/>
      <c r="AF80" s="448"/>
    </row>
    <row r="81" spans="1:32" s="407" customFormat="1">
      <c r="A81" s="403" t="s">
        <v>1419</v>
      </c>
      <c r="B81" s="797" t="s">
        <v>26</v>
      </c>
      <c r="C81" s="433">
        <v>130</v>
      </c>
      <c r="D81" s="601">
        <v>43276820</v>
      </c>
      <c r="E81" s="601">
        <v>52585</v>
      </c>
      <c r="F81" s="601">
        <v>53992</v>
      </c>
      <c r="G81" s="601">
        <v>0</v>
      </c>
      <c r="I81" s="448">
        <v>22100</v>
      </c>
      <c r="J81" s="448">
        <v>1541520.32</v>
      </c>
      <c r="K81" s="448">
        <v>1328167.78</v>
      </c>
      <c r="L81" s="448"/>
      <c r="M81" s="448"/>
      <c r="N81" s="448">
        <v>-15499.8</v>
      </c>
      <c r="O81" s="448">
        <f>SUM(I81:N81)</f>
        <v>2876288.3000000003</v>
      </c>
      <c r="Q81" s="448">
        <v>39000</v>
      </c>
      <c r="R81" s="448">
        <v>1629372.28</v>
      </c>
      <c r="S81" s="448">
        <v>805331.86</v>
      </c>
      <c r="T81" s="448"/>
      <c r="U81" s="448"/>
      <c r="V81" s="448">
        <v>-15499.8</v>
      </c>
      <c r="W81" s="448">
        <f>SUM(Q81:V81)</f>
        <v>2458204.3400000003</v>
      </c>
      <c r="Y81" s="600">
        <f>W81-O81</f>
        <v>-418083.95999999996</v>
      </c>
      <c r="Z81" s="796"/>
      <c r="AA81" s="448"/>
      <c r="AB81" s="600"/>
      <c r="AC81" s="796"/>
      <c r="AF81" s="448"/>
    </row>
    <row r="82" spans="1:32">
      <c r="A82" s="235"/>
      <c r="B82" s="269"/>
      <c r="C82" s="201">
        <f>SUM(C78:C81)</f>
        <v>139</v>
      </c>
      <c r="D82" s="201">
        <f>SUM(D78:D81)</f>
        <v>45348740</v>
      </c>
      <c r="E82" s="201">
        <f>SUM(E78:E81)</f>
        <v>57694</v>
      </c>
      <c r="F82" s="201">
        <f>SUM(F78:F81)</f>
        <v>56136</v>
      </c>
      <c r="G82" s="201">
        <f>SUM(G78:G81)</f>
        <v>0</v>
      </c>
      <c r="I82" s="600">
        <f>SUM(I78:I81)</f>
        <v>23630</v>
      </c>
      <c r="J82" s="600">
        <f>SUM(J78:J81)</f>
        <v>1615322.11</v>
      </c>
      <c r="K82" s="600">
        <f>SUM(K78:K81)</f>
        <v>1426659.82</v>
      </c>
      <c r="L82" s="233"/>
      <c r="M82" s="233"/>
      <c r="N82" s="600">
        <f>SUM(N78:N81)</f>
        <v>-15607.039999999999</v>
      </c>
      <c r="O82" s="600">
        <f>SUM(O78:O81)</f>
        <v>3050004.89</v>
      </c>
      <c r="Q82" s="600">
        <f>SUM(Q78:Q81)</f>
        <v>41700</v>
      </c>
      <c r="R82" s="600">
        <f>SUM(R78:R81)</f>
        <v>1707380.07</v>
      </c>
      <c r="S82" s="600">
        <f>SUM(S78:S81)</f>
        <v>862994.01</v>
      </c>
      <c r="T82" s="233"/>
      <c r="U82" s="234"/>
      <c r="V82" s="600">
        <f>SUM(V78:V81)</f>
        <v>-15607.039999999999</v>
      </c>
      <c r="W82" s="600">
        <f>SUM(W78:W81)</f>
        <v>2596467.0400000005</v>
      </c>
      <c r="Y82" s="600">
        <f>SUM(Y78:Y81)</f>
        <v>-453537.85</v>
      </c>
      <c r="AF82" s="233"/>
    </row>
    <row r="83" spans="1:32">
      <c r="A83" s="235"/>
      <c r="B83" s="235"/>
      <c r="C83" s="237"/>
      <c r="D83" s="201"/>
      <c r="E83" s="201"/>
      <c r="F83" s="201"/>
      <c r="G83" s="201"/>
      <c r="AF83" s="233"/>
    </row>
    <row r="84" spans="1:32" s="407" customFormat="1">
      <c r="A84" s="403" t="s">
        <v>175</v>
      </c>
      <c r="B84" s="403" t="s">
        <v>26</v>
      </c>
      <c r="C84" s="433">
        <v>0</v>
      </c>
      <c r="D84" s="601">
        <v>0</v>
      </c>
      <c r="E84" s="601">
        <v>0</v>
      </c>
      <c r="F84" s="601">
        <v>0</v>
      </c>
      <c r="G84" s="601">
        <v>0</v>
      </c>
      <c r="I84" s="448">
        <v>0</v>
      </c>
      <c r="J84" s="448">
        <v>0</v>
      </c>
      <c r="K84" s="448">
        <v>0</v>
      </c>
      <c r="L84" s="448"/>
      <c r="M84" s="448"/>
      <c r="N84" s="448">
        <v>0</v>
      </c>
      <c r="O84" s="448">
        <f t="shared" ref="O84:O89" si="8">SUM(I84:N84)</f>
        <v>0</v>
      </c>
      <c r="Q84" s="448">
        <v>0</v>
      </c>
      <c r="R84" s="448">
        <v>0</v>
      </c>
      <c r="S84" s="448">
        <v>0</v>
      </c>
      <c r="T84" s="448"/>
      <c r="U84" s="448"/>
      <c r="V84" s="448">
        <v>0</v>
      </c>
      <c r="W84" s="448">
        <f t="shared" ref="W84:W89" si="9">SUM(Q84:V84)</f>
        <v>0</v>
      </c>
      <c r="Y84" s="600">
        <f t="shared" ref="Y84:Y89" si="10">W84-O84</f>
        <v>0</v>
      </c>
      <c r="Z84" s="796"/>
      <c r="AA84" s="448"/>
      <c r="AB84" s="600"/>
      <c r="AC84" s="796"/>
      <c r="AF84" s="448"/>
    </row>
    <row r="85" spans="1:32" s="407" customFormat="1">
      <c r="A85" s="403" t="s">
        <v>220</v>
      </c>
      <c r="B85" s="797" t="s">
        <v>780</v>
      </c>
      <c r="C85" s="433">
        <v>6</v>
      </c>
      <c r="D85" s="601">
        <v>289200</v>
      </c>
      <c r="E85" s="601">
        <v>0</v>
      </c>
      <c r="F85" s="601">
        <v>0</v>
      </c>
      <c r="G85" s="601">
        <v>0</v>
      </c>
      <c r="I85" s="448">
        <v>120</v>
      </c>
      <c r="J85" s="448">
        <v>25316.560000000001</v>
      </c>
      <c r="K85" s="448">
        <v>0</v>
      </c>
      <c r="L85" s="448"/>
      <c r="M85" s="448"/>
      <c r="N85" s="448">
        <v>576.47</v>
      </c>
      <c r="O85" s="448">
        <f t="shared" si="8"/>
        <v>26013.030000000002</v>
      </c>
      <c r="Q85" s="448">
        <v>1200</v>
      </c>
      <c r="R85" s="448">
        <v>10911.52</v>
      </c>
      <c r="S85" s="448">
        <v>14948.84</v>
      </c>
      <c r="T85" s="448"/>
      <c r="U85" s="448"/>
      <c r="V85" s="448">
        <v>576.47</v>
      </c>
      <c r="W85" s="448">
        <f t="shared" si="9"/>
        <v>27636.83</v>
      </c>
      <c r="Y85" s="600">
        <f t="shared" si="10"/>
        <v>1623.7999999999993</v>
      </c>
      <c r="Z85" s="796"/>
      <c r="AA85" s="448"/>
      <c r="AB85" s="600"/>
      <c r="AC85" s="796"/>
      <c r="AF85" s="448"/>
    </row>
    <row r="86" spans="1:32" s="407" customFormat="1">
      <c r="A86" s="403"/>
      <c r="B86" s="797" t="s">
        <v>18</v>
      </c>
      <c r="C86" s="433">
        <v>140</v>
      </c>
      <c r="D86" s="601">
        <v>14381708</v>
      </c>
      <c r="E86" s="601">
        <v>0</v>
      </c>
      <c r="F86" s="601">
        <v>0</v>
      </c>
      <c r="G86" s="601">
        <v>0</v>
      </c>
      <c r="I86" s="448">
        <v>4900</v>
      </c>
      <c r="J86" s="448">
        <v>1258974.69</v>
      </c>
      <c r="K86" s="448">
        <v>0</v>
      </c>
      <c r="L86" s="448"/>
      <c r="M86" s="448"/>
      <c r="N86" s="448">
        <v>-4834.72</v>
      </c>
      <c r="O86" s="448">
        <f t="shared" si="8"/>
        <v>1259039.97</v>
      </c>
      <c r="Q86" s="448">
        <v>28000</v>
      </c>
      <c r="R86" s="448">
        <v>542621.84</v>
      </c>
      <c r="S86" s="448">
        <v>438472</v>
      </c>
      <c r="T86" s="448"/>
      <c r="U86" s="448"/>
      <c r="V86" s="448">
        <v>-4834.72</v>
      </c>
      <c r="W86" s="448">
        <f t="shared" si="9"/>
        <v>1004259.12</v>
      </c>
      <c r="Y86" s="600">
        <f t="shared" si="10"/>
        <v>-254780.84999999998</v>
      </c>
      <c r="Z86" s="796"/>
      <c r="AA86" s="448"/>
      <c r="AB86" s="600"/>
      <c r="AC86" s="796"/>
      <c r="AF86" s="448"/>
    </row>
    <row r="87" spans="1:32">
      <c r="A87" s="403">
        <v>562</v>
      </c>
      <c r="B87" s="797" t="s">
        <v>25</v>
      </c>
      <c r="C87" s="433">
        <v>240</v>
      </c>
      <c r="D87" s="601">
        <v>28157814</v>
      </c>
      <c r="E87" s="601">
        <v>33360</v>
      </c>
      <c r="F87" s="601">
        <v>50312</v>
      </c>
      <c r="G87" s="601">
        <v>0</v>
      </c>
      <c r="H87" s="407"/>
      <c r="I87" s="448">
        <v>21600</v>
      </c>
      <c r="J87" s="448">
        <v>1003544.5</v>
      </c>
      <c r="K87" s="448">
        <v>1068710.96</v>
      </c>
      <c r="L87" s="448"/>
      <c r="M87" s="448"/>
      <c r="N87" s="448">
        <v>-11437.02</v>
      </c>
      <c r="O87" s="448">
        <f t="shared" si="8"/>
        <v>2082418.44</v>
      </c>
      <c r="Q87" s="448">
        <v>48000</v>
      </c>
      <c r="R87" s="448">
        <v>1062394.31</v>
      </c>
      <c r="S87" s="448">
        <v>835684.47</v>
      </c>
      <c r="T87" s="448"/>
      <c r="U87" s="448"/>
      <c r="V87" s="448">
        <v>-11437.02</v>
      </c>
      <c r="W87" s="448">
        <f t="shared" si="9"/>
        <v>1934641.76</v>
      </c>
      <c r="Y87" s="600">
        <f t="shared" si="10"/>
        <v>-147776.67999999993</v>
      </c>
      <c r="Z87" s="239"/>
      <c r="AA87" s="233"/>
      <c r="AB87" s="234"/>
      <c r="AC87" s="239"/>
      <c r="AF87" s="233"/>
    </row>
    <row r="88" spans="1:32">
      <c r="A88" s="403">
        <v>568</v>
      </c>
      <c r="B88" s="797" t="s">
        <v>25</v>
      </c>
      <c r="C88" s="433">
        <v>400</v>
      </c>
      <c r="D88" s="601">
        <v>97363336</v>
      </c>
      <c r="E88" s="601">
        <v>117744</v>
      </c>
      <c r="F88" s="601">
        <v>138287</v>
      </c>
      <c r="G88" s="601">
        <v>0</v>
      </c>
      <c r="H88" s="407"/>
      <c r="I88" s="448">
        <v>36000</v>
      </c>
      <c r="J88" s="448">
        <v>3470029.27</v>
      </c>
      <c r="K88" s="448">
        <v>3297061.6</v>
      </c>
      <c r="L88" s="448"/>
      <c r="M88" s="448"/>
      <c r="N88" s="448">
        <v>-19422.52</v>
      </c>
      <c r="O88" s="448">
        <f t="shared" si="8"/>
        <v>6783668.3500000006</v>
      </c>
      <c r="Q88" s="448">
        <v>80000</v>
      </c>
      <c r="R88" s="448">
        <v>3673518.69</v>
      </c>
      <c r="S88" s="448">
        <v>2553467.12</v>
      </c>
      <c r="T88" s="448"/>
      <c r="U88" s="448"/>
      <c r="V88" s="448">
        <v>-19422.52</v>
      </c>
      <c r="W88" s="448">
        <f t="shared" si="9"/>
        <v>6287563.290000001</v>
      </c>
      <c r="Y88" s="600">
        <f t="shared" si="10"/>
        <v>-496105.05999999959</v>
      </c>
      <c r="Z88" s="239"/>
      <c r="AA88" s="233"/>
      <c r="AB88" s="234"/>
      <c r="AC88" s="239"/>
      <c r="AF88" s="233"/>
    </row>
    <row r="89" spans="1:32">
      <c r="A89" s="403">
        <v>224</v>
      </c>
      <c r="B89" s="797" t="s">
        <v>228</v>
      </c>
      <c r="C89" s="433">
        <v>9</v>
      </c>
      <c r="D89" s="601">
        <v>1038080</v>
      </c>
      <c r="E89" s="601">
        <v>0</v>
      </c>
      <c r="F89" s="601">
        <v>0</v>
      </c>
      <c r="G89" s="601">
        <v>0</v>
      </c>
      <c r="H89" s="407"/>
      <c r="I89" s="448">
        <v>315</v>
      </c>
      <c r="J89" s="448">
        <v>73963.199999999997</v>
      </c>
      <c r="K89" s="448">
        <v>0</v>
      </c>
      <c r="L89" s="448"/>
      <c r="M89" s="448"/>
      <c r="N89" s="448">
        <v>-1110.2</v>
      </c>
      <c r="O89" s="448">
        <f t="shared" si="8"/>
        <v>73168</v>
      </c>
      <c r="Q89" s="448">
        <v>1800</v>
      </c>
      <c r="R89" s="448">
        <v>39166.76</v>
      </c>
      <c r="S89" s="448">
        <v>30738.47</v>
      </c>
      <c r="T89" s="448"/>
      <c r="U89" s="448"/>
      <c r="V89" s="448">
        <v>-1110.2</v>
      </c>
      <c r="W89" s="448">
        <f t="shared" si="9"/>
        <v>70595.030000000013</v>
      </c>
      <c r="Y89" s="600">
        <f t="shared" si="10"/>
        <v>-2572.9699999999866</v>
      </c>
      <c r="Z89" s="239"/>
      <c r="AA89" s="233"/>
      <c r="AB89" s="234"/>
      <c r="AC89" s="239"/>
      <c r="AF89" s="233"/>
    </row>
    <row r="90" spans="1:32">
      <c r="A90" s="403">
        <v>227</v>
      </c>
      <c r="B90" s="797" t="s">
        <v>228</v>
      </c>
      <c r="C90" s="433">
        <v>10</v>
      </c>
      <c r="D90" s="601">
        <v>1652000</v>
      </c>
      <c r="E90" s="601">
        <v>0</v>
      </c>
      <c r="F90" s="601">
        <v>0</v>
      </c>
      <c r="G90" s="601">
        <v>0</v>
      </c>
      <c r="H90" s="407"/>
      <c r="I90" s="448">
        <v>350</v>
      </c>
      <c r="J90" s="448">
        <v>117705</v>
      </c>
      <c r="K90" s="448">
        <v>0</v>
      </c>
      <c r="L90" s="448"/>
      <c r="M90" s="448"/>
      <c r="N90" s="448">
        <v>-917.78</v>
      </c>
      <c r="O90" s="448">
        <f>SUM(I90:N90)</f>
        <v>117137.22</v>
      </c>
      <c r="Q90" s="448">
        <v>2000</v>
      </c>
      <c r="R90" s="448">
        <v>62329.96</v>
      </c>
      <c r="S90" s="448">
        <v>41956.43</v>
      </c>
      <c r="T90" s="448"/>
      <c r="U90" s="448"/>
      <c r="V90" s="448">
        <v>-917.78</v>
      </c>
      <c r="W90" s="448">
        <f>SUM(Q90:V90)</f>
        <v>105368.61</v>
      </c>
      <c r="Y90" s="600">
        <f>W90-O90</f>
        <v>-11768.61</v>
      </c>
      <c r="Z90" s="239"/>
      <c r="AA90" s="233"/>
      <c r="AB90" s="234"/>
      <c r="AC90" s="239"/>
      <c r="AF90" s="233"/>
    </row>
    <row r="91" spans="1:32">
      <c r="A91" s="235"/>
      <c r="B91" s="269"/>
      <c r="C91" s="601">
        <f>SUM(C84:C90)</f>
        <v>805</v>
      </c>
      <c r="D91" s="601">
        <f>SUM(D84:D90)</f>
        <v>142882138</v>
      </c>
      <c r="E91" s="601">
        <f>SUM(E84:E90)</f>
        <v>151104</v>
      </c>
      <c r="F91" s="601">
        <f>SUM(F84:F90)</f>
        <v>188599</v>
      </c>
      <c r="G91" s="601">
        <f>SUM(G84:G90)</f>
        <v>0</v>
      </c>
      <c r="I91" s="600">
        <f>SUM(I84:I90)</f>
        <v>63285</v>
      </c>
      <c r="J91" s="600">
        <f>SUM(J84:J90)</f>
        <v>5949533.2199999997</v>
      </c>
      <c r="K91" s="600">
        <f>SUM(K84:K90)</f>
        <v>4365772.5600000005</v>
      </c>
      <c r="L91" s="233"/>
      <c r="M91" s="233"/>
      <c r="N91" s="600">
        <f>SUM(N84:N90)</f>
        <v>-37145.769999999997</v>
      </c>
      <c r="O91" s="600">
        <f>SUM(O84:O90)</f>
        <v>10341445.010000002</v>
      </c>
      <c r="Q91" s="600">
        <f>SUM(Q84:Q90)</f>
        <v>161000</v>
      </c>
      <c r="R91" s="600">
        <f>SUM(R84:R90)</f>
        <v>5390943.0799999991</v>
      </c>
      <c r="S91" s="600">
        <f>SUM(S84:S90)</f>
        <v>3915267.3300000005</v>
      </c>
      <c r="T91" s="233"/>
      <c r="U91" s="234"/>
      <c r="V91" s="600">
        <f>SUM(V84:V90)</f>
        <v>-37145.769999999997</v>
      </c>
      <c r="W91" s="600">
        <f>SUM(W84:W90)</f>
        <v>9430064.6399999987</v>
      </c>
      <c r="Y91" s="600">
        <f>SUM(Y84:Y90)</f>
        <v>-911380.36999999953</v>
      </c>
      <c r="AF91" s="233"/>
    </row>
    <row r="92" spans="1:32">
      <c r="A92" s="235"/>
      <c r="B92" s="235"/>
      <c r="C92" s="237"/>
      <c r="D92" s="201"/>
      <c r="E92" s="201"/>
      <c r="F92" s="201"/>
      <c r="G92" s="201"/>
      <c r="AF92" s="233"/>
    </row>
    <row r="93" spans="1:32" s="407" customFormat="1">
      <c r="A93" s="427" t="s">
        <v>180</v>
      </c>
      <c r="B93" s="797" t="s">
        <v>228</v>
      </c>
      <c r="C93" s="433">
        <v>12</v>
      </c>
      <c r="D93" s="601">
        <v>3999</v>
      </c>
      <c r="E93" s="601">
        <v>0</v>
      </c>
      <c r="F93" s="601">
        <v>0</v>
      </c>
      <c r="G93" s="601">
        <v>0</v>
      </c>
      <c r="I93" s="448">
        <v>420</v>
      </c>
      <c r="J93" s="448">
        <v>284.93</v>
      </c>
      <c r="K93" s="600">
        <v>0</v>
      </c>
      <c r="L93" s="448"/>
      <c r="M93" s="448"/>
      <c r="N93" s="448">
        <v>-1.65</v>
      </c>
      <c r="O93" s="448">
        <f>SUM(I93:N93)</f>
        <v>703.28000000000009</v>
      </c>
      <c r="Q93" s="448">
        <v>240</v>
      </c>
      <c r="R93" s="448">
        <v>284.93</v>
      </c>
      <c r="S93" s="600">
        <v>0</v>
      </c>
      <c r="T93" s="448"/>
      <c r="U93" s="448"/>
      <c r="V93" s="448">
        <v>-1.65</v>
      </c>
      <c r="W93" s="448">
        <f>SUM(Q93:V93)</f>
        <v>523.28000000000009</v>
      </c>
      <c r="Y93" s="600">
        <f>W93-O93</f>
        <v>-180</v>
      </c>
      <c r="Z93" s="448"/>
      <c r="AA93" s="448"/>
      <c r="AB93" s="600"/>
      <c r="AC93" s="448"/>
      <c r="AF93" s="448"/>
    </row>
    <row r="94" spans="1:32">
      <c r="A94" s="235" t="s">
        <v>219</v>
      </c>
      <c r="B94" s="235"/>
      <c r="C94" s="237"/>
      <c r="D94" s="201"/>
      <c r="E94" s="201"/>
      <c r="F94" s="201"/>
      <c r="G94" s="201"/>
      <c r="AF94" s="233"/>
    </row>
    <row r="95" spans="1:32">
      <c r="A95" s="235"/>
      <c r="B95" s="235"/>
      <c r="C95" s="237"/>
      <c r="D95" s="201"/>
      <c r="E95" s="201"/>
      <c r="F95" s="201"/>
      <c r="G95" s="201"/>
      <c r="AF95" s="233"/>
    </row>
    <row r="96" spans="1:32" s="407" customFormat="1">
      <c r="A96" s="817" t="s">
        <v>182</v>
      </c>
      <c r="B96" s="797" t="s">
        <v>219</v>
      </c>
      <c r="C96" s="433">
        <v>2</v>
      </c>
      <c r="D96" s="601">
        <v>161200</v>
      </c>
      <c r="E96" s="601">
        <v>0</v>
      </c>
      <c r="F96" s="601">
        <v>0</v>
      </c>
      <c r="G96" s="601">
        <v>0</v>
      </c>
      <c r="I96" s="448">
        <v>40</v>
      </c>
      <c r="J96" s="448">
        <v>11485.5</v>
      </c>
      <c r="K96" s="448">
        <v>0</v>
      </c>
      <c r="L96" s="448"/>
      <c r="M96" s="448"/>
      <c r="N96" s="448">
        <v>147.75</v>
      </c>
      <c r="O96" s="448">
        <f>SUM(I96:N96)</f>
        <v>11673.25</v>
      </c>
      <c r="Q96" s="448">
        <v>70</v>
      </c>
      <c r="R96" s="448">
        <v>11485.5</v>
      </c>
      <c r="S96" s="600">
        <v>0</v>
      </c>
      <c r="T96" s="448"/>
      <c r="U96" s="448"/>
      <c r="V96" s="448">
        <v>147.75</v>
      </c>
      <c r="W96" s="448">
        <f>SUM(Q96:V96)</f>
        <v>11703.25</v>
      </c>
      <c r="Y96" s="600">
        <f>W96-O96</f>
        <v>30</v>
      </c>
      <c r="Z96" s="448"/>
      <c r="AA96" s="448"/>
      <c r="AB96" s="600"/>
      <c r="AC96" s="448"/>
      <c r="AF96" s="448"/>
    </row>
    <row r="97" spans="1:32">
      <c r="A97" s="235" t="s">
        <v>228</v>
      </c>
      <c r="B97" s="235"/>
      <c r="C97" s="237"/>
      <c r="D97" s="201"/>
      <c r="E97" s="201"/>
      <c r="F97" s="201"/>
      <c r="G97" s="201"/>
      <c r="AF97" s="233"/>
    </row>
    <row r="98" spans="1:32">
      <c r="A98" s="235"/>
      <c r="B98" s="235"/>
      <c r="C98" s="237"/>
      <c r="D98" s="201"/>
      <c r="E98" s="201"/>
      <c r="F98" s="201"/>
      <c r="G98" s="201"/>
      <c r="AF98" s="233"/>
    </row>
    <row r="99" spans="1:32" s="407" customFormat="1">
      <c r="A99" s="403"/>
      <c r="B99" s="403"/>
      <c r="C99" s="433"/>
      <c r="D99" s="433"/>
      <c r="E99" s="433"/>
      <c r="F99" s="433"/>
      <c r="G99" s="433"/>
      <c r="AF99" s="448"/>
    </row>
    <row r="100" spans="1:32">
      <c r="C100" s="237"/>
      <c r="D100" s="237"/>
      <c r="E100" s="237"/>
      <c r="F100" s="237"/>
      <c r="G100" s="237"/>
      <c r="AF100" s="233"/>
    </row>
    <row r="101" spans="1:32">
      <c r="A101" s="236" t="s">
        <v>465</v>
      </c>
      <c r="C101" s="237">
        <f>SUM(C15,C25,C33,C40,C42,C56,C62,C66,C70,C76,C82,C91,C93,C96,C45,C48)</f>
        <v>21282</v>
      </c>
      <c r="D101" s="237">
        <f>SUM(D15,D25,D33,D40,D42,D56,D62,D66,D70,D76,D82,D91,D93,D96,D45,D48)</f>
        <v>308440121</v>
      </c>
      <c r="E101" s="237">
        <f>SUM(E15,E25,E33,E40,E42,E56,E62,E66,E70,E76,E82,E91,E93,E96,E45,E48)</f>
        <v>262642</v>
      </c>
      <c r="F101" s="237">
        <f>SUM(F15,F25,F33,F40,F42,F56,F62,F66,F70,F76,F82,F91,F93,F96,F45,F48)</f>
        <v>315004</v>
      </c>
      <c r="G101" s="237">
        <f>SUM(G15,G25,G33,G40,G42,G56,G62,G66,G70,G76,G82,G91,G93,G96,G45,G48)</f>
        <v>15753</v>
      </c>
      <c r="I101" s="600">
        <f>SUM(I15,I25,I33,I40,I42,I56,I62,I66,I70,I76,I82,I91,I93,I96,I45,I48)</f>
        <v>687310.75</v>
      </c>
      <c r="J101" s="600">
        <f>SUM(J15,J25,J33,J40,J42,J56,J62,J66,J70,J76,J82,J91,J93,J96,J45,J48)</f>
        <v>16978120.789999999</v>
      </c>
      <c r="K101" s="600">
        <f>SUM(K15,K25,K33,K40,K42,K56,K62,K66,K70,K76,K82,K91,K93,K96,K45,K48)</f>
        <v>6600790.8100000005</v>
      </c>
      <c r="L101" s="234"/>
      <c r="M101" s="234"/>
      <c r="N101" s="600">
        <f>SUM(N15,N25,N33,N40,N42,N56,N62,N66,N70,N76,N82,N91,N93,N96,N45,N48)</f>
        <v>-62810.92</v>
      </c>
      <c r="O101" s="600">
        <f>SUM(O15,O25,O33,O40,O42,O56,O62,O66,O70,O76,O82,O91,O93,O96,O45,O48)</f>
        <v>24203411.43</v>
      </c>
      <c r="P101" s="407"/>
      <c r="Q101" s="600">
        <f>SUM(Q15,Q25,Q33,Q40,Q42,Q56,Q62,Q66,Q70,Q76,Q82,Q91,Q93,Q96,Q45,Q48)</f>
        <v>926118.75</v>
      </c>
      <c r="R101" s="600">
        <f>SUM(R15,R25,R33,R40,R42,R56,R62,R66,R70,R76,R82,R91,R93,R96,R45,R48)</f>
        <v>15257097.949999996</v>
      </c>
      <c r="S101" s="600">
        <f>SUM(S15,S25,S33,S40,S42,S56,S62,S66,S70,S76,S82,S91,S93,S96,S45,S48)</f>
        <v>6408507.3600000013</v>
      </c>
      <c r="T101" s="600"/>
      <c r="U101" s="600"/>
      <c r="V101" s="600">
        <f>SUM(V15,V25,V33,V40,V42,V56,V62,V66,V70,V76,V82,V91,V93,V96,V45,V48)</f>
        <v>-62810.92</v>
      </c>
      <c r="W101" s="600">
        <f>SUM(W15,W25,W33,W40,W42,W56,W62,W66,W70,W76,W82,W91,W93,W96,W45,W48)</f>
        <v>22528913.139999997</v>
      </c>
      <c r="Y101" s="234"/>
      <c r="Z101" s="234"/>
      <c r="AA101" s="233"/>
      <c r="AB101" s="234"/>
      <c r="AC101" s="234"/>
      <c r="AF101" s="233"/>
    </row>
    <row r="102" spans="1:32">
      <c r="N102" s="407"/>
      <c r="O102" s="407"/>
      <c r="P102" s="407"/>
      <c r="Q102" s="407"/>
      <c r="R102" s="407"/>
      <c r="S102" s="407"/>
      <c r="T102" s="407"/>
      <c r="U102" s="407"/>
      <c r="V102" s="407"/>
      <c r="W102" s="407"/>
      <c r="Y102" s="233"/>
      <c r="AF102" s="233"/>
    </row>
    <row r="103" spans="1:32">
      <c r="N103" s="407"/>
      <c r="O103" s="407"/>
      <c r="P103" s="407"/>
      <c r="Q103" s="452">
        <f>Q101-I101</f>
        <v>238808</v>
      </c>
      <c r="R103" s="452">
        <f>R101-J101</f>
        <v>-1721022.8400000036</v>
      </c>
      <c r="S103" s="452">
        <f>S101-K101</f>
        <v>-192283.44999999925</v>
      </c>
      <c r="T103" s="448"/>
      <c r="U103" s="448"/>
      <c r="V103" s="452">
        <f>V101-N101</f>
        <v>0</v>
      </c>
      <c r="W103" s="452">
        <f>W101-O101</f>
        <v>-1674498.2900000028</v>
      </c>
      <c r="AF103" s="233"/>
    </row>
    <row r="108" spans="1:32" s="407" customFormat="1">
      <c r="B108" s="407" t="s">
        <v>15</v>
      </c>
      <c r="C108" s="407">
        <f t="shared" ref="C108:G122" si="11">SUMIF($B$6:$B$101,$B108,C$6:C$101)</f>
        <v>381</v>
      </c>
      <c r="D108" s="407">
        <f t="shared" si="11"/>
        <v>491600</v>
      </c>
      <c r="E108" s="407">
        <f t="shared" si="11"/>
        <v>0</v>
      </c>
      <c r="F108" s="407">
        <f t="shared" si="11"/>
        <v>0</v>
      </c>
      <c r="G108" s="407">
        <f t="shared" si="11"/>
        <v>0</v>
      </c>
      <c r="I108" s="600">
        <f t="shared" ref="I108:O109" si="12">SUMIF($B$6:$B$101,$B108,I$6:I$101)</f>
        <v>4095.75</v>
      </c>
      <c r="J108" s="600">
        <f t="shared" si="12"/>
        <v>36520.94</v>
      </c>
      <c r="K108" s="600">
        <f t="shared" si="12"/>
        <v>0</v>
      </c>
      <c r="L108" s="600">
        <f t="shared" si="12"/>
        <v>0</v>
      </c>
      <c r="M108" s="600">
        <f t="shared" si="12"/>
        <v>0</v>
      </c>
      <c r="N108" s="600">
        <f t="shared" si="12"/>
        <v>-293.60000000000002</v>
      </c>
      <c r="O108" s="600">
        <f t="shared" si="12"/>
        <v>40323.089999999997</v>
      </c>
      <c r="Q108" s="801"/>
      <c r="U108" s="600">
        <f t="shared" ref="U108:U122" si="13">SUMIF($B$6:$B$101,$B108,U$6:U$101)</f>
        <v>0</v>
      </c>
      <c r="W108" s="600">
        <f t="shared" ref="W108:W122" si="14">SUMIF($B$6:$B$101,$B108,W$6:W$101)</f>
        <v>46167.990000000005</v>
      </c>
    </row>
    <row r="109" spans="1:32" s="407" customFormat="1">
      <c r="B109" s="800" t="s">
        <v>1417</v>
      </c>
      <c r="C109" s="407">
        <f t="shared" si="11"/>
        <v>239</v>
      </c>
      <c r="D109" s="407">
        <f t="shared" si="11"/>
        <v>287794</v>
      </c>
      <c r="E109" s="407">
        <f t="shared" si="11"/>
        <v>0</v>
      </c>
      <c r="F109" s="407">
        <f t="shared" si="11"/>
        <v>0</v>
      </c>
      <c r="G109" s="407">
        <f t="shared" si="11"/>
        <v>0</v>
      </c>
      <c r="I109" s="600">
        <f t="shared" si="12"/>
        <v>2569.25</v>
      </c>
      <c r="J109" s="600">
        <f t="shared" si="12"/>
        <v>21380.21</v>
      </c>
      <c r="K109" s="600">
        <f t="shared" si="12"/>
        <v>0</v>
      </c>
      <c r="L109" s="600">
        <f t="shared" si="12"/>
        <v>0</v>
      </c>
      <c r="M109" s="600">
        <f t="shared" si="12"/>
        <v>0</v>
      </c>
      <c r="N109" s="600">
        <f t="shared" si="12"/>
        <v>-231.54999999999995</v>
      </c>
      <c r="O109" s="600">
        <f t="shared" si="12"/>
        <v>23717.91</v>
      </c>
      <c r="Q109" s="801"/>
      <c r="U109" s="600">
        <f t="shared" si="13"/>
        <v>0</v>
      </c>
      <c r="W109" s="600">
        <f t="shared" si="14"/>
        <v>28237.340000000004</v>
      </c>
    </row>
    <row r="110" spans="1:32" s="407" customFormat="1">
      <c r="B110" s="800" t="s">
        <v>1418</v>
      </c>
      <c r="C110" s="601">
        <f t="shared" si="11"/>
        <v>99</v>
      </c>
      <c r="D110" s="601">
        <f t="shared" si="11"/>
        <v>151034</v>
      </c>
      <c r="E110" s="601">
        <f t="shared" si="11"/>
        <v>0</v>
      </c>
      <c r="F110" s="601">
        <f t="shared" si="11"/>
        <v>0</v>
      </c>
      <c r="G110" s="601">
        <f t="shared" si="11"/>
        <v>0</v>
      </c>
      <c r="I110" s="600">
        <f t="shared" ref="I110:K122" si="15">SUMIF($B$6:$B$101,$B110,I$6:I$101)</f>
        <v>1064.25</v>
      </c>
      <c r="J110" s="600">
        <f t="shared" si="15"/>
        <v>11220.3</v>
      </c>
      <c r="K110" s="600">
        <f t="shared" si="15"/>
        <v>0</v>
      </c>
      <c r="L110" s="600"/>
      <c r="M110" s="600"/>
      <c r="N110" s="600">
        <f t="shared" ref="N110:O122" si="16">SUMIF($B$6:$B$101,$B110,N$6:N$101)</f>
        <v>-73.180000000000007</v>
      </c>
      <c r="O110" s="600">
        <f t="shared" si="16"/>
        <v>12211.369999999999</v>
      </c>
      <c r="Q110" s="801"/>
      <c r="U110" s="600">
        <f t="shared" si="13"/>
        <v>0</v>
      </c>
      <c r="W110" s="600">
        <f t="shared" si="14"/>
        <v>13462.4</v>
      </c>
    </row>
    <row r="111" spans="1:32" s="407" customFormat="1">
      <c r="B111" s="800" t="s">
        <v>1420</v>
      </c>
      <c r="C111" s="601">
        <f t="shared" si="11"/>
        <v>43</v>
      </c>
      <c r="D111" s="601">
        <f t="shared" si="11"/>
        <v>52772</v>
      </c>
      <c r="E111" s="601">
        <f t="shared" si="11"/>
        <v>0</v>
      </c>
      <c r="F111" s="601">
        <f t="shared" si="11"/>
        <v>0</v>
      </c>
      <c r="G111" s="601">
        <f t="shared" si="11"/>
        <v>0</v>
      </c>
      <c r="I111" s="600">
        <f t="shared" si="15"/>
        <v>462.25</v>
      </c>
      <c r="J111" s="600">
        <f t="shared" si="15"/>
        <v>3920.4300000000003</v>
      </c>
      <c r="K111" s="600">
        <f t="shared" si="15"/>
        <v>0</v>
      </c>
      <c r="L111" s="600"/>
      <c r="M111" s="600"/>
      <c r="N111" s="600">
        <f t="shared" si="16"/>
        <v>11.13</v>
      </c>
      <c r="O111" s="600">
        <f t="shared" si="16"/>
        <v>4393.8100000000004</v>
      </c>
      <c r="Q111" s="801"/>
      <c r="U111" s="600">
        <f t="shared" si="13"/>
        <v>0</v>
      </c>
      <c r="W111" s="600">
        <f t="shared" si="14"/>
        <v>4468.25</v>
      </c>
    </row>
    <row r="112" spans="1:32" s="407" customFormat="1">
      <c r="B112" s="407" t="s">
        <v>17</v>
      </c>
      <c r="C112" s="407">
        <f t="shared" si="11"/>
        <v>0</v>
      </c>
      <c r="D112" s="407">
        <f t="shared" si="11"/>
        <v>0</v>
      </c>
      <c r="E112" s="407">
        <f t="shared" si="11"/>
        <v>0</v>
      </c>
      <c r="F112" s="407">
        <f t="shared" si="11"/>
        <v>0</v>
      </c>
      <c r="G112" s="407">
        <f t="shared" si="11"/>
        <v>0</v>
      </c>
      <c r="I112" s="600">
        <f t="shared" si="15"/>
        <v>0</v>
      </c>
      <c r="J112" s="600">
        <f t="shared" si="15"/>
        <v>0</v>
      </c>
      <c r="K112" s="600">
        <f t="shared" si="15"/>
        <v>0</v>
      </c>
      <c r="L112" s="600">
        <f t="shared" ref="L112:M118" si="17">SUMIF($B$6:$B$101,$B112,L$6:L$101)</f>
        <v>0</v>
      </c>
      <c r="M112" s="600">
        <f t="shared" si="17"/>
        <v>0</v>
      </c>
      <c r="N112" s="600">
        <f t="shared" si="16"/>
        <v>0</v>
      </c>
      <c r="O112" s="600">
        <f t="shared" si="16"/>
        <v>0</v>
      </c>
      <c r="Q112" s="801"/>
      <c r="U112" s="600">
        <f t="shared" si="13"/>
        <v>0</v>
      </c>
      <c r="W112" s="600">
        <f t="shared" si="14"/>
        <v>0</v>
      </c>
    </row>
    <row r="113" spans="1:23" s="407" customFormat="1">
      <c r="B113" s="415" t="s">
        <v>780</v>
      </c>
      <c r="C113" s="601">
        <f t="shared" si="11"/>
        <v>15007</v>
      </c>
      <c r="D113" s="601">
        <f t="shared" si="11"/>
        <v>55669955</v>
      </c>
      <c r="E113" s="601">
        <f t="shared" si="11"/>
        <v>0</v>
      </c>
      <c r="F113" s="601">
        <f t="shared" si="11"/>
        <v>0</v>
      </c>
      <c r="G113" s="601">
        <f t="shared" si="11"/>
        <v>0</v>
      </c>
      <c r="I113" s="600">
        <f t="shared" si="15"/>
        <v>300140</v>
      </c>
      <c r="J113" s="600">
        <f t="shared" si="15"/>
        <v>4873347.8199999984</v>
      </c>
      <c r="K113" s="600">
        <f t="shared" si="15"/>
        <v>0</v>
      </c>
      <c r="L113" s="600">
        <f t="shared" si="17"/>
        <v>0</v>
      </c>
      <c r="M113" s="600">
        <f t="shared" si="17"/>
        <v>0</v>
      </c>
      <c r="N113" s="600">
        <f t="shared" si="16"/>
        <v>-1878.2600000000004</v>
      </c>
      <c r="O113" s="600">
        <f t="shared" si="16"/>
        <v>5171609.5600000005</v>
      </c>
      <c r="U113" s="600">
        <f t="shared" si="13"/>
        <v>0</v>
      </c>
      <c r="W113" s="600">
        <f t="shared" si="14"/>
        <v>5412194.0500000007</v>
      </c>
    </row>
    <row r="114" spans="1:23" s="407" customFormat="1">
      <c r="B114" s="407" t="s">
        <v>18</v>
      </c>
      <c r="C114" s="407">
        <f t="shared" si="11"/>
        <v>2968</v>
      </c>
      <c r="D114" s="601">
        <f t="shared" si="11"/>
        <v>57202675</v>
      </c>
      <c r="E114" s="735">
        <f t="shared" si="11"/>
        <v>0</v>
      </c>
      <c r="F114" s="735">
        <f t="shared" si="11"/>
        <v>0</v>
      </c>
      <c r="G114" s="735">
        <f t="shared" si="11"/>
        <v>0</v>
      </c>
      <c r="I114" s="600">
        <f t="shared" si="15"/>
        <v>103880</v>
      </c>
      <c r="J114" s="600">
        <f t="shared" si="15"/>
        <v>5007522.18</v>
      </c>
      <c r="K114" s="600">
        <f t="shared" si="15"/>
        <v>0</v>
      </c>
      <c r="L114" s="600">
        <f t="shared" si="17"/>
        <v>0</v>
      </c>
      <c r="M114" s="600">
        <f t="shared" si="17"/>
        <v>0</v>
      </c>
      <c r="N114" s="600">
        <f t="shared" si="16"/>
        <v>-11632.779999999999</v>
      </c>
      <c r="O114" s="600">
        <f t="shared" si="16"/>
        <v>5099769.3999999994</v>
      </c>
      <c r="U114" s="600">
        <f t="shared" si="13"/>
        <v>0</v>
      </c>
      <c r="W114" s="600">
        <f t="shared" si="14"/>
        <v>4194692.4899999993</v>
      </c>
    </row>
    <row r="115" spans="1:23" s="407" customFormat="1">
      <c r="B115" s="415" t="s">
        <v>225</v>
      </c>
      <c r="C115" s="407">
        <f t="shared" si="11"/>
        <v>2</v>
      </c>
      <c r="D115" s="601">
        <f t="shared" si="11"/>
        <v>0</v>
      </c>
      <c r="E115" s="735">
        <f t="shared" si="11"/>
        <v>0</v>
      </c>
      <c r="F115" s="735">
        <f t="shared" si="11"/>
        <v>0</v>
      </c>
      <c r="G115" s="735">
        <f t="shared" si="11"/>
        <v>0</v>
      </c>
      <c r="I115" s="600">
        <f t="shared" si="15"/>
        <v>40</v>
      </c>
      <c r="J115" s="600">
        <f t="shared" si="15"/>
        <v>0</v>
      </c>
      <c r="K115" s="600">
        <f t="shared" si="15"/>
        <v>0</v>
      </c>
      <c r="L115" s="600">
        <f t="shared" si="17"/>
        <v>0</v>
      </c>
      <c r="M115" s="600">
        <f t="shared" si="17"/>
        <v>0</v>
      </c>
      <c r="N115" s="600">
        <f t="shared" si="16"/>
        <v>0</v>
      </c>
      <c r="O115" s="600">
        <f t="shared" si="16"/>
        <v>40</v>
      </c>
      <c r="U115" s="600">
        <f t="shared" si="13"/>
        <v>0</v>
      </c>
      <c r="W115" s="600">
        <f t="shared" si="14"/>
        <v>40</v>
      </c>
    </row>
    <row r="116" spans="1:23" s="407" customFormat="1">
      <c r="B116" s="407" t="s">
        <v>219</v>
      </c>
      <c r="C116" s="601">
        <f t="shared" si="11"/>
        <v>6</v>
      </c>
      <c r="D116" s="601">
        <f t="shared" si="11"/>
        <v>161960</v>
      </c>
      <c r="E116" s="601">
        <f t="shared" si="11"/>
        <v>0</v>
      </c>
      <c r="F116" s="601">
        <f t="shared" si="11"/>
        <v>0</v>
      </c>
      <c r="G116" s="601">
        <f t="shared" si="11"/>
        <v>0</v>
      </c>
      <c r="I116" s="600">
        <f t="shared" si="15"/>
        <v>120</v>
      </c>
      <c r="J116" s="600">
        <f t="shared" si="15"/>
        <v>11539.65</v>
      </c>
      <c r="K116" s="600">
        <f t="shared" si="15"/>
        <v>0</v>
      </c>
      <c r="L116" s="600">
        <f t="shared" si="17"/>
        <v>0</v>
      </c>
      <c r="M116" s="600">
        <f t="shared" si="17"/>
        <v>0</v>
      </c>
      <c r="N116" s="600">
        <f t="shared" si="16"/>
        <v>145.74</v>
      </c>
      <c r="O116" s="600">
        <f t="shared" si="16"/>
        <v>11805.39</v>
      </c>
      <c r="U116" s="600">
        <f t="shared" si="13"/>
        <v>0</v>
      </c>
      <c r="W116" s="600">
        <f t="shared" si="14"/>
        <v>11847.77</v>
      </c>
    </row>
    <row r="117" spans="1:23" s="407" customFormat="1">
      <c r="B117" s="407" t="s">
        <v>228</v>
      </c>
      <c r="C117" s="601">
        <f t="shared" si="11"/>
        <v>31</v>
      </c>
      <c r="D117" s="601">
        <f t="shared" si="11"/>
        <v>2694079</v>
      </c>
      <c r="E117" s="601">
        <f t="shared" si="11"/>
        <v>0</v>
      </c>
      <c r="F117" s="601">
        <f t="shared" si="11"/>
        <v>0</v>
      </c>
      <c r="G117" s="601">
        <f t="shared" si="11"/>
        <v>0</v>
      </c>
      <c r="I117" s="600">
        <f t="shared" si="15"/>
        <v>1085</v>
      </c>
      <c r="J117" s="600">
        <f t="shared" si="15"/>
        <v>191953.13</v>
      </c>
      <c r="K117" s="600">
        <f t="shared" si="15"/>
        <v>0</v>
      </c>
      <c r="L117" s="600">
        <f t="shared" si="17"/>
        <v>0</v>
      </c>
      <c r="M117" s="600">
        <f t="shared" si="17"/>
        <v>0</v>
      </c>
      <c r="N117" s="600">
        <f t="shared" si="16"/>
        <v>-2029.63</v>
      </c>
      <c r="O117" s="600">
        <f t="shared" si="16"/>
        <v>191008.5</v>
      </c>
      <c r="U117" s="600">
        <f t="shared" si="13"/>
        <v>0</v>
      </c>
      <c r="W117" s="600">
        <f t="shared" si="14"/>
        <v>176486.92</v>
      </c>
    </row>
    <row r="118" spans="1:23" s="407" customFormat="1">
      <c r="B118" s="407" t="s">
        <v>25</v>
      </c>
      <c r="C118" s="601">
        <f t="shared" si="11"/>
        <v>2697</v>
      </c>
      <c r="D118" s="601">
        <f t="shared" si="11"/>
        <v>143287124</v>
      </c>
      <c r="E118" s="601">
        <f t="shared" si="11"/>
        <v>194478</v>
      </c>
      <c r="F118" s="601">
        <f t="shared" si="11"/>
        <v>248141</v>
      </c>
      <c r="G118" s="601">
        <f t="shared" si="11"/>
        <v>0</v>
      </c>
      <c r="I118" s="600">
        <f t="shared" si="15"/>
        <v>242730</v>
      </c>
      <c r="J118" s="600">
        <f t="shared" si="15"/>
        <v>5106753.12</v>
      </c>
      <c r="K118" s="600">
        <f t="shared" si="15"/>
        <v>5091382.25</v>
      </c>
      <c r="L118" s="600">
        <f t="shared" si="17"/>
        <v>0</v>
      </c>
      <c r="M118" s="600">
        <f t="shared" si="17"/>
        <v>0</v>
      </c>
      <c r="N118" s="600">
        <f t="shared" si="16"/>
        <v>-34984.660000000003</v>
      </c>
      <c r="O118" s="600">
        <f t="shared" si="16"/>
        <v>10405880.710000001</v>
      </c>
      <c r="U118" s="600">
        <f t="shared" si="13"/>
        <v>0</v>
      </c>
      <c r="W118" s="600">
        <f t="shared" si="14"/>
        <v>9836214.1100000013</v>
      </c>
    </row>
    <row r="119" spans="1:23" s="407" customFormat="1">
      <c r="B119" s="407" t="s">
        <v>26</v>
      </c>
      <c r="C119" s="407">
        <f t="shared" si="11"/>
        <v>146</v>
      </c>
      <c r="D119" s="601">
        <f t="shared" si="11"/>
        <v>45353300</v>
      </c>
      <c r="E119" s="601">
        <f t="shared" si="11"/>
        <v>57719</v>
      </c>
      <c r="F119" s="407">
        <f t="shared" si="11"/>
        <v>56286</v>
      </c>
      <c r="G119" s="407">
        <f t="shared" si="11"/>
        <v>0</v>
      </c>
      <c r="I119" s="600">
        <f t="shared" si="15"/>
        <v>24820</v>
      </c>
      <c r="J119" s="600">
        <f t="shared" si="15"/>
        <v>1615484.54</v>
      </c>
      <c r="K119" s="600">
        <f t="shared" si="15"/>
        <v>1427059.8</v>
      </c>
      <c r="L119" s="600"/>
      <c r="M119" s="600"/>
      <c r="N119" s="600">
        <f t="shared" si="16"/>
        <v>-15609.46</v>
      </c>
      <c r="O119" s="600">
        <f t="shared" si="16"/>
        <v>3051754.8800000004</v>
      </c>
      <c r="U119" s="600">
        <f t="shared" si="13"/>
        <v>0</v>
      </c>
      <c r="W119" s="600">
        <f t="shared" si="14"/>
        <v>2597003.8000000003</v>
      </c>
    </row>
    <row r="120" spans="1:23" s="407" customFormat="1">
      <c r="B120" s="415" t="s">
        <v>221</v>
      </c>
      <c r="C120" s="407">
        <f t="shared" si="11"/>
        <v>16</v>
      </c>
      <c r="D120" s="601">
        <f t="shared" si="11"/>
        <v>655200</v>
      </c>
      <c r="E120" s="601">
        <f t="shared" si="11"/>
        <v>2484</v>
      </c>
      <c r="F120" s="407">
        <f t="shared" si="11"/>
        <v>2579</v>
      </c>
      <c r="G120" s="407">
        <f t="shared" si="11"/>
        <v>5012</v>
      </c>
      <c r="I120" s="600">
        <f t="shared" si="15"/>
        <v>4800</v>
      </c>
      <c r="J120" s="600">
        <f t="shared" si="15"/>
        <v>24668.280000000002</v>
      </c>
      <c r="K120" s="600">
        <f t="shared" si="15"/>
        <v>20077.11</v>
      </c>
      <c r="L120" s="600"/>
      <c r="M120" s="600"/>
      <c r="N120" s="600">
        <f t="shared" si="16"/>
        <v>102.79</v>
      </c>
      <c r="O120" s="600">
        <f t="shared" si="16"/>
        <v>49648.18</v>
      </c>
      <c r="U120" s="600">
        <f t="shared" si="13"/>
        <v>0</v>
      </c>
      <c r="W120" s="600">
        <f t="shared" si="14"/>
        <v>60434.78</v>
      </c>
    </row>
    <row r="121" spans="1:23" s="407" customFormat="1">
      <c r="B121" s="407" t="s">
        <v>220</v>
      </c>
      <c r="C121" s="407">
        <f t="shared" si="11"/>
        <v>28</v>
      </c>
      <c r="D121" s="601">
        <f t="shared" si="11"/>
        <v>2924228</v>
      </c>
      <c r="E121" s="601">
        <f t="shared" si="11"/>
        <v>7961</v>
      </c>
      <c r="F121" s="407">
        <f t="shared" si="11"/>
        <v>7998</v>
      </c>
      <c r="G121" s="407">
        <f t="shared" si="11"/>
        <v>10741</v>
      </c>
      <c r="I121" s="600">
        <f t="shared" si="15"/>
        <v>5600</v>
      </c>
      <c r="J121" s="600">
        <f t="shared" si="15"/>
        <v>110331.13</v>
      </c>
      <c r="K121" s="600">
        <f t="shared" si="15"/>
        <v>62271.649999999994</v>
      </c>
      <c r="L121" s="600"/>
      <c r="M121" s="600"/>
      <c r="N121" s="600">
        <f t="shared" si="16"/>
        <v>3368.94</v>
      </c>
      <c r="O121" s="600">
        <f t="shared" si="16"/>
        <v>181571.72</v>
      </c>
      <c r="U121" s="600">
        <f t="shared" si="13"/>
        <v>0</v>
      </c>
      <c r="W121" s="600">
        <f t="shared" si="14"/>
        <v>193831.23</v>
      </c>
    </row>
    <row r="122" spans="1:23" s="407" customFormat="1">
      <c r="B122" s="407" t="s">
        <v>19</v>
      </c>
      <c r="C122" s="407">
        <f t="shared" si="11"/>
        <v>0</v>
      </c>
      <c r="D122" s="407">
        <f t="shared" si="11"/>
        <v>0</v>
      </c>
      <c r="E122" s="407">
        <f t="shared" si="11"/>
        <v>0</v>
      </c>
      <c r="F122" s="407">
        <f t="shared" si="11"/>
        <v>0</v>
      </c>
      <c r="G122" s="407">
        <f t="shared" si="11"/>
        <v>0</v>
      </c>
      <c r="I122" s="600">
        <f t="shared" si="15"/>
        <v>0</v>
      </c>
      <c r="J122" s="600">
        <f t="shared" si="15"/>
        <v>0</v>
      </c>
      <c r="K122" s="600">
        <f t="shared" si="15"/>
        <v>0</v>
      </c>
      <c r="L122" s="600">
        <f>SUMIF($B$6:$B$101,$B122,L$6:L$101)</f>
        <v>0</v>
      </c>
      <c r="M122" s="600">
        <f>SUMIF($B$6:$B$101,$B122,M$6:M$101)</f>
        <v>0</v>
      </c>
      <c r="N122" s="600">
        <f t="shared" si="16"/>
        <v>0</v>
      </c>
      <c r="O122" s="600">
        <f t="shared" si="16"/>
        <v>0</v>
      </c>
      <c r="U122" s="600">
        <f t="shared" si="13"/>
        <v>0</v>
      </c>
      <c r="W122" s="600">
        <f t="shared" si="14"/>
        <v>0</v>
      </c>
    </row>
    <row r="123" spans="1:23" s="407" customFormat="1"/>
    <row r="124" spans="1:23" s="407" customFormat="1">
      <c r="C124" s="407">
        <f>SUM(C109:C122)</f>
        <v>21282</v>
      </c>
      <c r="D124" s="407">
        <f>SUM(D109:D122)</f>
        <v>308440121</v>
      </c>
      <c r="E124" s="407">
        <f>SUM(E109:E122)</f>
        <v>262642</v>
      </c>
      <c r="F124" s="407">
        <f>SUM(F109:F122)</f>
        <v>315004</v>
      </c>
      <c r="G124" s="407">
        <f>SUM(G109:G122)</f>
        <v>15753</v>
      </c>
      <c r="I124" s="448">
        <f t="shared" ref="I124:O124" si="18">SUM(I109:I122)</f>
        <v>687310.75</v>
      </c>
      <c r="J124" s="448">
        <f t="shared" si="18"/>
        <v>16978120.789999999</v>
      </c>
      <c r="K124" s="448">
        <f t="shared" si="18"/>
        <v>6600790.8100000005</v>
      </c>
      <c r="L124" s="448">
        <f t="shared" si="18"/>
        <v>0</v>
      </c>
      <c r="M124" s="448">
        <f t="shared" si="18"/>
        <v>0</v>
      </c>
      <c r="N124" s="448">
        <f t="shared" si="18"/>
        <v>-62810.92</v>
      </c>
      <c r="O124" s="448">
        <f t="shared" si="18"/>
        <v>24203411.43</v>
      </c>
      <c r="U124" s="448">
        <f>SUM(U108:U122)</f>
        <v>0</v>
      </c>
      <c r="W124" s="448">
        <f>SUM(W109:W122)</f>
        <v>22528913.140000004</v>
      </c>
    </row>
    <row r="125" spans="1:23" s="407" customFormat="1"/>
    <row r="126" spans="1:23" s="407" customFormat="1">
      <c r="C126" s="433">
        <f>C124-C101</f>
        <v>0</v>
      </c>
      <c r="D126" s="433">
        <f>D124-D101</f>
        <v>0</v>
      </c>
      <c r="E126" s="433">
        <f>E124-E101</f>
        <v>0</v>
      </c>
      <c r="F126" s="433">
        <f>F124-F101</f>
        <v>0</v>
      </c>
      <c r="G126" s="433">
        <f>G124-G101</f>
        <v>0</v>
      </c>
      <c r="I126" s="433">
        <f>I124-I101</f>
        <v>0</v>
      </c>
      <c r="J126" s="433">
        <f>J124-J101</f>
        <v>0</v>
      </c>
      <c r="K126" s="433">
        <f>K124-K101</f>
        <v>0</v>
      </c>
      <c r="L126" s="433"/>
      <c r="M126" s="433"/>
      <c r="N126" s="433">
        <f>N124-N101</f>
        <v>0</v>
      </c>
      <c r="O126" s="600">
        <f>O124-O101</f>
        <v>0</v>
      </c>
      <c r="U126" s="433">
        <f>U124-U101</f>
        <v>0</v>
      </c>
      <c r="W126" s="433">
        <f>W124-W101</f>
        <v>0</v>
      </c>
    </row>
    <row r="127" spans="1:23">
      <c r="A127" s="202" t="s">
        <v>880</v>
      </c>
    </row>
    <row r="128" spans="1:23" s="282" customFormat="1" ht="12.75" customHeight="1"/>
    <row r="129" spans="1:19" s="282" customFormat="1"/>
    <row r="130" spans="1:19" s="282" customFormat="1"/>
    <row r="131" spans="1:19" s="282" customFormat="1"/>
    <row r="133" spans="1:19">
      <c r="A133" s="236" t="s">
        <v>902</v>
      </c>
    </row>
    <row r="135" spans="1:19" ht="12.75" thickBot="1"/>
    <row r="136" spans="1:19">
      <c r="C136" s="291"/>
      <c r="D136" s="1046" t="s">
        <v>881</v>
      </c>
      <c r="E136" s="1047"/>
      <c r="F136" s="1047"/>
      <c r="G136" s="1048"/>
      <c r="I136" s="307" t="s">
        <v>792</v>
      </c>
      <c r="J136" s="308"/>
      <c r="K136" s="308"/>
      <c r="L136" s="308"/>
      <c r="M136" s="308"/>
      <c r="N136" s="308"/>
      <c r="O136" s="309"/>
    </row>
    <row r="137" spans="1:19" ht="60">
      <c r="A137" s="263" t="s">
        <v>793</v>
      </c>
      <c r="B137" s="263" t="s">
        <v>794</v>
      </c>
      <c r="C137" s="292" t="s">
        <v>888</v>
      </c>
      <c r="D137" s="293" t="s">
        <v>892</v>
      </c>
      <c r="E137" s="293" t="s">
        <v>889</v>
      </c>
      <c r="F137" s="293" t="s">
        <v>890</v>
      </c>
      <c r="G137" s="294" t="s">
        <v>891</v>
      </c>
      <c r="I137" s="292" t="s">
        <v>796</v>
      </c>
      <c r="J137" s="310" t="s">
        <v>797</v>
      </c>
      <c r="K137" s="310" t="s">
        <v>798</v>
      </c>
      <c r="L137" s="310" t="s">
        <v>799</v>
      </c>
      <c r="M137" s="293" t="s">
        <v>800</v>
      </c>
      <c r="N137" s="310" t="s">
        <v>691</v>
      </c>
      <c r="O137" s="294" t="s">
        <v>801</v>
      </c>
      <c r="Q137" s="407" t="s">
        <v>923</v>
      </c>
      <c r="R137" s="407" t="s">
        <v>835</v>
      </c>
    </row>
    <row r="138" spans="1:19">
      <c r="C138" s="295"/>
      <c r="D138" s="296"/>
      <c r="E138" s="296"/>
      <c r="F138" s="296"/>
      <c r="G138" s="297"/>
      <c r="I138" s="295"/>
      <c r="J138" s="296"/>
      <c r="K138" s="296"/>
      <c r="L138" s="296"/>
      <c r="M138" s="296"/>
      <c r="N138" s="296"/>
      <c r="O138" s="297"/>
      <c r="Q138" s="407" t="s">
        <v>15</v>
      </c>
      <c r="R138" s="407"/>
    </row>
    <row r="139" spans="1:19">
      <c r="A139" s="407" t="s">
        <v>779</v>
      </c>
      <c r="B139" s="407" t="s">
        <v>224</v>
      </c>
      <c r="C139" s="802">
        <f>C27+C35</f>
        <v>1130</v>
      </c>
      <c r="D139" s="803">
        <f>D27+D35</f>
        <v>330651</v>
      </c>
      <c r="E139" s="803">
        <f>E27+E35</f>
        <v>0</v>
      </c>
      <c r="F139" s="803">
        <f>F27+F35</f>
        <v>0</v>
      </c>
      <c r="G139" s="804">
        <f>G27+G35</f>
        <v>0</v>
      </c>
      <c r="I139" s="805">
        <f>Q27+Q35</f>
        <v>12147.5</v>
      </c>
      <c r="J139" s="806">
        <f>R27+R35</f>
        <v>24563.95</v>
      </c>
      <c r="K139" s="806">
        <f>S27+S35</f>
        <v>0</v>
      </c>
      <c r="L139" s="312">
        <f>T32+T35</f>
        <v>0</v>
      </c>
      <c r="M139" s="312">
        <f>U32+U35</f>
        <v>0</v>
      </c>
      <c r="N139" s="806">
        <f>V27+V35</f>
        <v>-136.74</v>
      </c>
      <c r="O139" s="807">
        <f>SUM(I139:N139)</f>
        <v>36574.71</v>
      </c>
      <c r="Q139" s="448">
        <f>O141</f>
        <v>38597.51</v>
      </c>
      <c r="R139" s="601">
        <f>D141</f>
        <v>356408</v>
      </c>
      <c r="S139" s="233"/>
    </row>
    <row r="140" spans="1:19" ht="14.25">
      <c r="A140" s="407"/>
      <c r="B140" s="407" t="s">
        <v>882</v>
      </c>
      <c r="C140" s="808">
        <f>C28+C42</f>
        <v>12</v>
      </c>
      <c r="D140" s="809">
        <f>D28+D42</f>
        <v>25757</v>
      </c>
      <c r="E140" s="809">
        <f>E28+E42</f>
        <v>0</v>
      </c>
      <c r="F140" s="809">
        <f>F28+F42</f>
        <v>0</v>
      </c>
      <c r="G140" s="810">
        <f>G28+G42</f>
        <v>0</v>
      </c>
      <c r="H140" s="407"/>
      <c r="I140" s="811">
        <f t="shared" ref="I140:N140" si="19">Q28+Q42</f>
        <v>129</v>
      </c>
      <c r="J140" s="812">
        <f t="shared" si="19"/>
        <v>1913.49</v>
      </c>
      <c r="K140" s="812">
        <f t="shared" si="19"/>
        <v>0</v>
      </c>
      <c r="L140" s="812">
        <f t="shared" si="19"/>
        <v>0</v>
      </c>
      <c r="M140" s="812">
        <f t="shared" si="19"/>
        <v>0</v>
      </c>
      <c r="N140" s="812">
        <f t="shared" si="19"/>
        <v>-19.690000000000001</v>
      </c>
      <c r="O140" s="813">
        <f>SUM(I140:N140)</f>
        <v>2022.8</v>
      </c>
      <c r="Q140" s="815">
        <f>-O189</f>
        <v>-19845.36</v>
      </c>
      <c r="R140" s="602">
        <f>-D189</f>
        <v>-239903</v>
      </c>
      <c r="S140" s="233"/>
    </row>
    <row r="141" spans="1:19">
      <c r="A141" s="407"/>
      <c r="B141" s="407"/>
      <c r="C141" s="802">
        <f>SUM(C139:C140)</f>
        <v>1142</v>
      </c>
      <c r="D141" s="803">
        <f>SUM(D139:D140)</f>
        <v>356408</v>
      </c>
      <c r="E141" s="803">
        <f>SUM(E139:E140)</f>
        <v>0</v>
      </c>
      <c r="F141" s="803">
        <f>SUM(F139:F140)</f>
        <v>0</v>
      </c>
      <c r="G141" s="804">
        <f>SUM(G139:G140)</f>
        <v>0</v>
      </c>
      <c r="H141" s="407"/>
      <c r="I141" s="814">
        <f t="shared" ref="I141:O141" si="20">SUM(I139:I140)</f>
        <v>12276.5</v>
      </c>
      <c r="J141" s="806">
        <f t="shared" si="20"/>
        <v>26477.440000000002</v>
      </c>
      <c r="K141" s="806">
        <f t="shared" si="20"/>
        <v>0</v>
      </c>
      <c r="L141" s="806">
        <f t="shared" si="20"/>
        <v>0</v>
      </c>
      <c r="M141" s="806">
        <f t="shared" si="20"/>
        <v>0</v>
      </c>
      <c r="N141" s="806">
        <f t="shared" si="20"/>
        <v>-156.43</v>
      </c>
      <c r="O141" s="807">
        <f t="shared" si="20"/>
        <v>38597.51</v>
      </c>
      <c r="Q141" s="448">
        <f>SUM(Q139:Q140)</f>
        <v>18752.150000000001</v>
      </c>
      <c r="R141" s="601">
        <f>SUM(R139:R140)</f>
        <v>116505</v>
      </c>
      <c r="S141" s="233"/>
    </row>
    <row r="142" spans="1:19">
      <c r="A142" s="407"/>
      <c r="B142" s="407"/>
      <c r="C142" s="802"/>
      <c r="D142" s="803"/>
      <c r="E142" s="803"/>
      <c r="F142" s="803"/>
      <c r="G142" s="804"/>
      <c r="H142" s="407"/>
      <c r="I142" s="814"/>
      <c r="J142" s="806"/>
      <c r="K142" s="806"/>
      <c r="L142" s="806"/>
      <c r="M142" s="806"/>
      <c r="N142" s="806"/>
      <c r="O142" s="807"/>
      <c r="Q142" s="448"/>
      <c r="R142" s="601"/>
      <c r="S142" s="233"/>
    </row>
    <row r="143" spans="1:19">
      <c r="A143" s="415" t="s">
        <v>1422</v>
      </c>
      <c r="B143" s="407" t="s">
        <v>224</v>
      </c>
      <c r="C143" s="802">
        <f>C45</f>
        <v>11</v>
      </c>
      <c r="D143" s="803">
        <f>D45</f>
        <v>55718</v>
      </c>
      <c r="E143" s="803">
        <f>E45</f>
        <v>0</v>
      </c>
      <c r="F143" s="803">
        <f>F45</f>
        <v>0</v>
      </c>
      <c r="G143" s="804">
        <f>G45</f>
        <v>0</v>
      </c>
      <c r="I143" s="805">
        <f>Q45</f>
        <v>118.25</v>
      </c>
      <c r="J143" s="806">
        <f>R45</f>
        <v>4139.29</v>
      </c>
      <c r="K143" s="806">
        <f>S45</f>
        <v>0</v>
      </c>
      <c r="L143" s="312">
        <f>T36+T39</f>
        <v>0</v>
      </c>
      <c r="M143" s="312">
        <f>U36+U39</f>
        <v>0</v>
      </c>
      <c r="N143" s="806">
        <f>V45</f>
        <v>-79.709999999999994</v>
      </c>
      <c r="O143" s="807">
        <f>SUM(I143:N143)</f>
        <v>4177.83</v>
      </c>
      <c r="Q143" s="448"/>
      <c r="R143" s="601"/>
      <c r="S143" s="233"/>
    </row>
    <row r="144" spans="1:19">
      <c r="C144" s="295"/>
      <c r="D144" s="296"/>
      <c r="E144" s="296"/>
      <c r="F144" s="296"/>
      <c r="G144" s="297"/>
      <c r="I144" s="295"/>
      <c r="J144" s="296"/>
      <c r="K144" s="296"/>
      <c r="L144" s="296"/>
      <c r="M144" s="296"/>
      <c r="N144" s="296"/>
      <c r="O144" s="297"/>
      <c r="R144" s="234"/>
    </row>
    <row r="145" spans="1:18" s="407" customFormat="1">
      <c r="A145" s="407" t="s">
        <v>883</v>
      </c>
      <c r="B145" s="407" t="s">
        <v>15</v>
      </c>
      <c r="C145" s="802">
        <f>C11</f>
        <v>204</v>
      </c>
      <c r="D145" s="803">
        <f>D11</f>
        <v>235783</v>
      </c>
      <c r="E145" s="803">
        <f>E11</f>
        <v>0</v>
      </c>
      <c r="F145" s="803">
        <f>F11</f>
        <v>0</v>
      </c>
      <c r="G145" s="804">
        <f>G11</f>
        <v>0</v>
      </c>
      <c r="I145" s="805">
        <f t="shared" ref="I145:N145" si="21">Q11</f>
        <v>4080</v>
      </c>
      <c r="J145" s="806">
        <f t="shared" si="21"/>
        <v>20640.46</v>
      </c>
      <c r="K145" s="806">
        <f t="shared" si="21"/>
        <v>0</v>
      </c>
      <c r="L145" s="806">
        <f t="shared" si="21"/>
        <v>0</v>
      </c>
      <c r="M145" s="806">
        <f t="shared" si="21"/>
        <v>0</v>
      </c>
      <c r="N145" s="806">
        <f t="shared" si="21"/>
        <v>-211.26999999999998</v>
      </c>
      <c r="O145" s="807">
        <f t="shared" ref="O145:O150" si="22">SUM(I145:N145)</f>
        <v>24509.19</v>
      </c>
      <c r="R145" s="600"/>
    </row>
    <row r="146" spans="1:18" s="407" customFormat="1">
      <c r="B146" s="407" t="s">
        <v>882</v>
      </c>
      <c r="C146" s="802">
        <f>C8</f>
        <v>1602</v>
      </c>
      <c r="D146" s="803">
        <f>D8</f>
        <v>3410440</v>
      </c>
      <c r="E146" s="803">
        <f>E8</f>
        <v>0</v>
      </c>
      <c r="F146" s="803">
        <f>F8</f>
        <v>0</v>
      </c>
      <c r="G146" s="804">
        <f>G8</f>
        <v>0</v>
      </c>
      <c r="I146" s="805">
        <f t="shared" ref="I146:N146" si="23">Q8</f>
        <v>32040</v>
      </c>
      <c r="J146" s="806">
        <f t="shared" si="23"/>
        <v>298549.93</v>
      </c>
      <c r="K146" s="806">
        <f t="shared" si="23"/>
        <v>0</v>
      </c>
      <c r="L146" s="806">
        <f t="shared" si="23"/>
        <v>0</v>
      </c>
      <c r="M146" s="806">
        <f t="shared" si="23"/>
        <v>0</v>
      </c>
      <c r="N146" s="806">
        <f t="shared" si="23"/>
        <v>-768.48</v>
      </c>
      <c r="O146" s="807">
        <f t="shared" si="22"/>
        <v>329821.45</v>
      </c>
      <c r="R146" s="600"/>
    </row>
    <row r="147" spans="1:18" s="407" customFormat="1">
      <c r="B147" s="415" t="s">
        <v>1423</v>
      </c>
      <c r="C147" s="802">
        <f>C10</f>
        <v>2</v>
      </c>
      <c r="D147" s="803">
        <f>D10</f>
        <v>0</v>
      </c>
      <c r="E147" s="803">
        <f>E10</f>
        <v>0</v>
      </c>
      <c r="F147" s="803">
        <f>F10</f>
        <v>0</v>
      </c>
      <c r="G147" s="804">
        <f>G10</f>
        <v>0</v>
      </c>
      <c r="I147" s="805">
        <f t="shared" ref="I147:N147" si="24">Q10</f>
        <v>40</v>
      </c>
      <c r="J147" s="806">
        <f t="shared" si="24"/>
        <v>0</v>
      </c>
      <c r="K147" s="806">
        <f t="shared" si="24"/>
        <v>0</v>
      </c>
      <c r="L147" s="806">
        <f t="shared" si="24"/>
        <v>0</v>
      </c>
      <c r="M147" s="806">
        <f t="shared" si="24"/>
        <v>0</v>
      </c>
      <c r="N147" s="806">
        <f t="shared" si="24"/>
        <v>0</v>
      </c>
      <c r="O147" s="807">
        <f t="shared" si="22"/>
        <v>40</v>
      </c>
      <c r="R147" s="600"/>
    </row>
    <row r="148" spans="1:18" s="407" customFormat="1">
      <c r="B148" s="407" t="s">
        <v>219</v>
      </c>
      <c r="C148" s="802">
        <f>C9</f>
        <v>4</v>
      </c>
      <c r="D148" s="803">
        <f>D9</f>
        <v>760</v>
      </c>
      <c r="E148" s="803">
        <f>E9</f>
        <v>0</v>
      </c>
      <c r="F148" s="803">
        <f>F9</f>
        <v>0</v>
      </c>
      <c r="G148" s="804">
        <f>G9</f>
        <v>0</v>
      </c>
      <c r="I148" s="805">
        <f t="shared" ref="I148:N148" si="25">Q9</f>
        <v>80</v>
      </c>
      <c r="J148" s="806">
        <f t="shared" si="25"/>
        <v>66.53</v>
      </c>
      <c r="K148" s="806">
        <f t="shared" si="25"/>
        <v>0</v>
      </c>
      <c r="L148" s="806">
        <f t="shared" si="25"/>
        <v>0</v>
      </c>
      <c r="M148" s="806">
        <f t="shared" si="25"/>
        <v>0</v>
      </c>
      <c r="N148" s="806">
        <f t="shared" si="25"/>
        <v>-2.0099999999999998</v>
      </c>
      <c r="O148" s="807">
        <f t="shared" si="22"/>
        <v>144.52000000000001</v>
      </c>
      <c r="Q148" s="448"/>
      <c r="R148" s="600"/>
    </row>
    <row r="149" spans="1:18" s="407" customFormat="1">
      <c r="B149" s="407" t="s">
        <v>884</v>
      </c>
      <c r="C149" s="802">
        <f>C7</f>
        <v>589</v>
      </c>
      <c r="D149" s="803">
        <f>D7</f>
        <v>3110340</v>
      </c>
      <c r="E149" s="803">
        <f>E7</f>
        <v>11079</v>
      </c>
      <c r="F149" s="803">
        <f>F7</f>
        <v>16522</v>
      </c>
      <c r="G149" s="804">
        <f>G7</f>
        <v>0</v>
      </c>
      <c r="I149" s="805">
        <f t="shared" ref="I149:N149" si="26">Q7</f>
        <v>11780</v>
      </c>
      <c r="J149" s="806">
        <f t="shared" si="26"/>
        <v>272279.17</v>
      </c>
      <c r="K149" s="806">
        <f t="shared" si="26"/>
        <v>0</v>
      </c>
      <c r="L149" s="806">
        <f t="shared" si="26"/>
        <v>0</v>
      </c>
      <c r="M149" s="806">
        <f t="shared" si="26"/>
        <v>0</v>
      </c>
      <c r="N149" s="806">
        <f t="shared" si="26"/>
        <v>-490.54</v>
      </c>
      <c r="O149" s="807">
        <f t="shared" si="22"/>
        <v>283568.63</v>
      </c>
      <c r="Q149" s="448"/>
      <c r="R149" s="600"/>
    </row>
    <row r="150" spans="1:18" s="407" customFormat="1" ht="14.25">
      <c r="B150" s="407" t="s">
        <v>886</v>
      </c>
      <c r="C150" s="808">
        <f>C6</f>
        <v>7</v>
      </c>
      <c r="D150" s="809">
        <f>D6</f>
        <v>4560</v>
      </c>
      <c r="E150" s="809">
        <f>E6</f>
        <v>25</v>
      </c>
      <c r="F150" s="809">
        <f>F6</f>
        <v>150</v>
      </c>
      <c r="G150" s="810">
        <f>G6</f>
        <v>0</v>
      </c>
      <c r="I150" s="811">
        <f t="shared" ref="I150:N150" si="27">Q6</f>
        <v>140</v>
      </c>
      <c r="J150" s="812">
        <f t="shared" si="27"/>
        <v>399.18</v>
      </c>
      <c r="K150" s="812">
        <f t="shared" si="27"/>
        <v>0</v>
      </c>
      <c r="L150" s="812">
        <f t="shared" si="27"/>
        <v>0</v>
      </c>
      <c r="M150" s="812">
        <f t="shared" si="27"/>
        <v>0</v>
      </c>
      <c r="N150" s="812">
        <f t="shared" si="27"/>
        <v>-2.42</v>
      </c>
      <c r="O150" s="813">
        <f t="shared" si="22"/>
        <v>536.7600000000001</v>
      </c>
      <c r="Q150" s="815"/>
      <c r="R150" s="600"/>
    </row>
    <row r="151" spans="1:18" s="407" customFormat="1">
      <c r="C151" s="802">
        <f>SUM(C145:C150)</f>
        <v>2408</v>
      </c>
      <c r="D151" s="803">
        <f>SUM(D145:D150)</f>
        <v>6761883</v>
      </c>
      <c r="E151" s="803">
        <f>SUM(E145:E150)</f>
        <v>11104</v>
      </c>
      <c r="F151" s="803">
        <f>SUM(F145:F150)</f>
        <v>16672</v>
      </c>
      <c r="G151" s="804">
        <f>SUM(G145:G150)</f>
        <v>0</v>
      </c>
      <c r="I151" s="814">
        <f t="shared" ref="I151:O151" si="28">SUM(I145:I150)</f>
        <v>48160</v>
      </c>
      <c r="J151" s="806">
        <f t="shared" si="28"/>
        <v>591935.27000000014</v>
      </c>
      <c r="K151" s="806">
        <f t="shared" si="28"/>
        <v>0</v>
      </c>
      <c r="L151" s="806">
        <f t="shared" si="28"/>
        <v>0</v>
      </c>
      <c r="M151" s="806">
        <f t="shared" si="28"/>
        <v>0</v>
      </c>
      <c r="N151" s="806">
        <f t="shared" si="28"/>
        <v>-1474.72</v>
      </c>
      <c r="O151" s="807">
        <f t="shared" si="28"/>
        <v>638620.55000000005</v>
      </c>
      <c r="Q151" s="448"/>
      <c r="R151" s="600"/>
    </row>
    <row r="152" spans="1:18" s="407" customFormat="1">
      <c r="C152" s="816"/>
      <c r="D152" s="486"/>
      <c r="E152" s="486"/>
      <c r="F152" s="486"/>
      <c r="G152" s="489"/>
      <c r="I152" s="816"/>
      <c r="J152" s="486"/>
      <c r="K152" s="486"/>
      <c r="L152" s="486"/>
      <c r="M152" s="486"/>
      <c r="N152" s="486"/>
      <c r="O152" s="489"/>
      <c r="R152" s="600"/>
    </row>
    <row r="153" spans="1:18" s="407" customFormat="1">
      <c r="A153" s="407" t="s">
        <v>885</v>
      </c>
      <c r="B153" s="407" t="s">
        <v>15</v>
      </c>
      <c r="C153" s="802">
        <f>C21</f>
        <v>25</v>
      </c>
      <c r="D153" s="803">
        <f>D21</f>
        <v>17168</v>
      </c>
      <c r="E153" s="803">
        <f>E21</f>
        <v>0</v>
      </c>
      <c r="F153" s="803">
        <f>F21</f>
        <v>0</v>
      </c>
      <c r="G153" s="804">
        <f>G21</f>
        <v>0</v>
      </c>
      <c r="I153" s="805">
        <f>Q21</f>
        <v>875</v>
      </c>
      <c r="J153" s="806">
        <f>R21</f>
        <v>1502.8899999999999</v>
      </c>
      <c r="K153" s="806">
        <f>S21</f>
        <v>0</v>
      </c>
      <c r="L153" s="806">
        <f>T21</f>
        <v>0</v>
      </c>
      <c r="M153" s="806">
        <f>U23</f>
        <v>0</v>
      </c>
      <c r="N153" s="806">
        <f>V21</f>
        <v>-6.6</v>
      </c>
      <c r="O153" s="807">
        <f>SUM(I153:N153)</f>
        <v>2371.29</v>
      </c>
      <c r="Q153" s="407" t="s">
        <v>224</v>
      </c>
      <c r="R153" s="600"/>
    </row>
    <row r="154" spans="1:18" s="407" customFormat="1">
      <c r="B154" s="407" t="s">
        <v>224</v>
      </c>
      <c r="C154" s="802">
        <f>C19</f>
        <v>13718</v>
      </c>
      <c r="D154" s="803">
        <f>D19</f>
        <v>52856337</v>
      </c>
      <c r="E154" s="803">
        <f>E19</f>
        <v>0</v>
      </c>
      <c r="F154" s="803">
        <f>F19</f>
        <v>0</v>
      </c>
      <c r="G154" s="804">
        <f>G19</f>
        <v>0</v>
      </c>
      <c r="I154" s="805">
        <f>Q19</f>
        <v>480130</v>
      </c>
      <c r="J154" s="806">
        <f>R19</f>
        <v>4627043.67</v>
      </c>
      <c r="K154" s="806">
        <f>S19</f>
        <v>0</v>
      </c>
      <c r="L154" s="806">
        <f>T20</f>
        <v>0</v>
      </c>
      <c r="M154" s="806">
        <f>U20</f>
        <v>0</v>
      </c>
      <c r="N154" s="806">
        <f>V19</f>
        <v>-2067.59</v>
      </c>
      <c r="O154" s="807">
        <f>SUM(I154:N154)</f>
        <v>5105106.08</v>
      </c>
      <c r="Q154" s="448">
        <f>O151+O156</f>
        <v>7055423.9199999999</v>
      </c>
      <c r="R154" s="601">
        <f>D151+D156</f>
        <v>74055792</v>
      </c>
    </row>
    <row r="155" spans="1:18" s="407" customFormat="1" ht="14.25">
      <c r="B155" s="407" t="s">
        <v>884</v>
      </c>
      <c r="C155" s="808">
        <f>C17+C18</f>
        <v>1451</v>
      </c>
      <c r="D155" s="809">
        <f>D17+D18</f>
        <v>14420404</v>
      </c>
      <c r="E155" s="809">
        <f>E17+E18</f>
        <v>31625</v>
      </c>
      <c r="F155" s="809">
        <f>F17+F18</f>
        <v>42897</v>
      </c>
      <c r="G155" s="810">
        <f>G17+G18</f>
        <v>0</v>
      </c>
      <c r="I155" s="811">
        <f>Q17+Q18</f>
        <v>50785</v>
      </c>
      <c r="J155" s="812">
        <f>R17+R18</f>
        <v>1262362.0900000001</v>
      </c>
      <c r="K155" s="812">
        <f>S17+S18</f>
        <v>0</v>
      </c>
      <c r="L155" s="812">
        <f>T18</f>
        <v>0</v>
      </c>
      <c r="M155" s="812">
        <f>U18</f>
        <v>0</v>
      </c>
      <c r="N155" s="812">
        <f>V17+V18</f>
        <v>-3821.09</v>
      </c>
      <c r="O155" s="813">
        <f>SUM(I155:N155)</f>
        <v>1309326</v>
      </c>
      <c r="Q155" s="815">
        <f>-O201-O209</f>
        <v>-5255088.6099999994</v>
      </c>
      <c r="R155" s="601">
        <f>-D201-D209</f>
        <v>-58956869</v>
      </c>
    </row>
    <row r="156" spans="1:18" s="407" customFormat="1">
      <c r="C156" s="822">
        <f>SUM(C153:C155)</f>
        <v>15194</v>
      </c>
      <c r="D156" s="803">
        <f>SUM(D153:D155)</f>
        <v>67293909</v>
      </c>
      <c r="E156" s="803">
        <f>SUM(E153:E155)</f>
        <v>31625</v>
      </c>
      <c r="F156" s="803">
        <f>SUM(F153:F155)</f>
        <v>42897</v>
      </c>
      <c r="G156" s="804">
        <f>SUM(G153:G155)</f>
        <v>0</v>
      </c>
      <c r="I156" s="814">
        <f t="shared" ref="I156:O156" si="29">SUM(I153:I155)</f>
        <v>531790</v>
      </c>
      <c r="J156" s="806">
        <f t="shared" si="29"/>
        <v>5890908.6499999994</v>
      </c>
      <c r="K156" s="806">
        <f t="shared" si="29"/>
        <v>0</v>
      </c>
      <c r="L156" s="806">
        <f t="shared" si="29"/>
        <v>0</v>
      </c>
      <c r="M156" s="806">
        <f t="shared" si="29"/>
        <v>0</v>
      </c>
      <c r="N156" s="806">
        <f t="shared" si="29"/>
        <v>-5895.2800000000007</v>
      </c>
      <c r="O156" s="807">
        <f t="shared" si="29"/>
        <v>6416803.3700000001</v>
      </c>
      <c r="Q156" s="448">
        <f>Q154+Q155</f>
        <v>1800335.3100000005</v>
      </c>
      <c r="R156" s="601">
        <f>R154+R155</f>
        <v>15098923</v>
      </c>
    </row>
    <row r="157" spans="1:18" s="407" customFormat="1">
      <c r="C157" s="816"/>
      <c r="D157" s="486"/>
      <c r="E157" s="486"/>
      <c r="F157" s="486"/>
      <c r="G157" s="489"/>
      <c r="I157" s="816"/>
      <c r="J157" s="486"/>
      <c r="K157" s="486"/>
      <c r="L157" s="486"/>
      <c r="M157" s="486"/>
      <c r="N157" s="486"/>
      <c r="O157" s="489"/>
      <c r="Q157" s="407" t="s">
        <v>219</v>
      </c>
      <c r="R157" s="601" t="s">
        <v>219</v>
      </c>
    </row>
    <row r="158" spans="1:18" s="407" customFormat="1">
      <c r="A158" s="407" t="s">
        <v>491</v>
      </c>
      <c r="B158" s="407" t="s">
        <v>866</v>
      </c>
      <c r="C158" s="822">
        <f>C93</f>
        <v>12</v>
      </c>
      <c r="D158" s="803">
        <f>D93</f>
        <v>3999</v>
      </c>
      <c r="E158" s="803">
        <f>E93</f>
        <v>0</v>
      </c>
      <c r="F158" s="803">
        <f>F93</f>
        <v>0</v>
      </c>
      <c r="G158" s="804">
        <f>G93</f>
        <v>0</v>
      </c>
      <c r="I158" s="814">
        <f t="shared" ref="I158:N158" si="30">Q93</f>
        <v>240</v>
      </c>
      <c r="J158" s="806">
        <f t="shared" si="30"/>
        <v>284.93</v>
      </c>
      <c r="K158" s="806">
        <f t="shared" si="30"/>
        <v>0</v>
      </c>
      <c r="L158" s="806">
        <f t="shared" si="30"/>
        <v>0</v>
      </c>
      <c r="M158" s="806">
        <f t="shared" si="30"/>
        <v>0</v>
      </c>
      <c r="N158" s="806">
        <f t="shared" si="30"/>
        <v>-1.65</v>
      </c>
      <c r="O158" s="807">
        <f>SUM(I158:N158)</f>
        <v>523.28000000000009</v>
      </c>
      <c r="Q158" s="448">
        <f>O158+O160</f>
        <v>12226.53</v>
      </c>
      <c r="R158" s="601">
        <f>D158+D160</f>
        <v>165199</v>
      </c>
    </row>
    <row r="159" spans="1:18" s="407" customFormat="1" ht="14.25">
      <c r="C159" s="816"/>
      <c r="D159" s="486"/>
      <c r="E159" s="486"/>
      <c r="F159" s="486"/>
      <c r="G159" s="489"/>
      <c r="I159" s="816"/>
      <c r="J159" s="486"/>
      <c r="K159" s="486"/>
      <c r="L159" s="486"/>
      <c r="M159" s="486"/>
      <c r="N159" s="486"/>
      <c r="O159" s="489"/>
      <c r="Q159" s="815">
        <f>-O213-O215</f>
        <v>-9413.619999999999</v>
      </c>
      <c r="R159" s="601">
        <f>-D213-D215</f>
        <v>-101790</v>
      </c>
    </row>
    <row r="160" spans="1:18" s="407" customFormat="1">
      <c r="A160" s="407" t="s">
        <v>887</v>
      </c>
      <c r="B160" s="407" t="s">
        <v>219</v>
      </c>
      <c r="C160" s="822">
        <f>C96</f>
        <v>2</v>
      </c>
      <c r="D160" s="803">
        <f>D96</f>
        <v>161200</v>
      </c>
      <c r="E160" s="803">
        <f>E96</f>
        <v>0</v>
      </c>
      <c r="F160" s="803">
        <f>F96</f>
        <v>0</v>
      </c>
      <c r="G160" s="804">
        <f>G96</f>
        <v>0</v>
      </c>
      <c r="I160" s="814">
        <f t="shared" ref="I160:N160" si="31">Q96</f>
        <v>70</v>
      </c>
      <c r="J160" s="806">
        <f t="shared" si="31"/>
        <v>11485.5</v>
      </c>
      <c r="K160" s="806">
        <f t="shared" si="31"/>
        <v>0</v>
      </c>
      <c r="L160" s="806">
        <f t="shared" si="31"/>
        <v>0</v>
      </c>
      <c r="M160" s="806">
        <f t="shared" si="31"/>
        <v>0</v>
      </c>
      <c r="N160" s="806">
        <f t="shared" si="31"/>
        <v>147.75</v>
      </c>
      <c r="O160" s="807">
        <f>SUM(I160:N160)</f>
        <v>11703.25</v>
      </c>
      <c r="Q160" s="448">
        <f>Q158+Q159</f>
        <v>2812.9100000000017</v>
      </c>
      <c r="R160" s="601">
        <f>R158+R159</f>
        <v>63409</v>
      </c>
    </row>
    <row r="161" spans="1:18" s="407" customFormat="1">
      <c r="C161" s="816"/>
      <c r="D161" s="486"/>
      <c r="E161" s="486"/>
      <c r="F161" s="486"/>
      <c r="G161" s="489"/>
      <c r="I161" s="816"/>
      <c r="J161" s="486"/>
      <c r="K161" s="486"/>
      <c r="L161" s="486"/>
      <c r="M161" s="486"/>
      <c r="N161" s="486"/>
      <c r="O161" s="489"/>
      <c r="R161" s="601"/>
    </row>
    <row r="162" spans="1:18" s="407" customFormat="1">
      <c r="A162" s="407" t="s">
        <v>884</v>
      </c>
      <c r="B162" s="415" t="s">
        <v>224</v>
      </c>
      <c r="C162" s="802">
        <f>C59+C73</f>
        <v>138</v>
      </c>
      <c r="D162" s="803">
        <f>D59+D73</f>
        <v>2133429</v>
      </c>
      <c r="E162" s="803">
        <f>E59+E73</f>
        <v>0</v>
      </c>
      <c r="F162" s="803">
        <f>F59+F73</f>
        <v>0</v>
      </c>
      <c r="G162" s="804">
        <f>G59+G73</f>
        <v>0</v>
      </c>
      <c r="I162" s="805">
        <f>Q59+Q73</f>
        <v>12420</v>
      </c>
      <c r="J162" s="806">
        <f>R59+R73</f>
        <v>76035.400000000009</v>
      </c>
      <c r="K162" s="806">
        <f>S59+S73</f>
        <v>148504.33000000002</v>
      </c>
      <c r="L162" s="806">
        <f>T59</f>
        <v>0</v>
      </c>
      <c r="M162" s="806">
        <f>U59</f>
        <v>0</v>
      </c>
      <c r="N162" s="806">
        <f>V59+V73</f>
        <v>-174.46000000000004</v>
      </c>
      <c r="O162" s="807">
        <f>SUM(I162:N162)</f>
        <v>236785.27000000005</v>
      </c>
      <c r="Q162" s="415" t="s">
        <v>25</v>
      </c>
      <c r="R162" s="601" t="s">
        <v>25</v>
      </c>
    </row>
    <row r="163" spans="1:18" s="407" customFormat="1">
      <c r="B163" s="415" t="s">
        <v>802</v>
      </c>
      <c r="C163" s="802">
        <f>C58+C72</f>
        <v>1214</v>
      </c>
      <c r="D163" s="803">
        <f>D58+D72</f>
        <v>39384770</v>
      </c>
      <c r="E163" s="803">
        <f>E58+E72</f>
        <v>0</v>
      </c>
      <c r="F163" s="803">
        <f>F58+F72</f>
        <v>0</v>
      </c>
      <c r="G163" s="804">
        <f>G58+G72</f>
        <v>0</v>
      </c>
      <c r="I163" s="805">
        <f>Q58+Q72</f>
        <v>109260</v>
      </c>
      <c r="J163" s="806">
        <f>R58+R72</f>
        <v>1403673.21</v>
      </c>
      <c r="K163" s="806">
        <f>S58+S72</f>
        <v>1351665.8</v>
      </c>
      <c r="L163" s="806">
        <f>T58</f>
        <v>0</v>
      </c>
      <c r="M163" s="806">
        <f>U58</f>
        <v>0</v>
      </c>
      <c r="N163" s="806">
        <f>V58+V72</f>
        <v>-6009.8899999999994</v>
      </c>
      <c r="O163" s="807">
        <f>SUM(I163:N163)</f>
        <v>2858589.1199999996</v>
      </c>
      <c r="Q163" s="448">
        <f>O165</f>
        <v>3289205.6199999996</v>
      </c>
      <c r="R163" s="601">
        <f>D165</f>
        <v>44442427</v>
      </c>
    </row>
    <row r="164" spans="1:18" s="407" customFormat="1" ht="14.25">
      <c r="B164" s="415" t="s">
        <v>894</v>
      </c>
      <c r="C164" s="808">
        <f>C61+C75</f>
        <v>28</v>
      </c>
      <c r="D164" s="809">
        <f>D61+D75</f>
        <v>2924228</v>
      </c>
      <c r="E164" s="809">
        <f>E61+E75</f>
        <v>7961</v>
      </c>
      <c r="F164" s="809">
        <f>F61+F75</f>
        <v>7998</v>
      </c>
      <c r="G164" s="810">
        <f>G61+G75</f>
        <v>10741</v>
      </c>
      <c r="I164" s="811">
        <f t="shared" ref="I164:N164" si="32">Q61+Q75</f>
        <v>2520</v>
      </c>
      <c r="J164" s="812">
        <f t="shared" si="32"/>
        <v>104219.48000000001</v>
      </c>
      <c r="K164" s="812">
        <f t="shared" si="32"/>
        <v>83722.81</v>
      </c>
      <c r="L164" s="812">
        <f t="shared" si="32"/>
        <v>0</v>
      </c>
      <c r="M164" s="812">
        <f t="shared" si="32"/>
        <v>0</v>
      </c>
      <c r="N164" s="812">
        <f t="shared" si="32"/>
        <v>3368.94</v>
      </c>
      <c r="O164" s="813">
        <f>SUM(I164:N164)</f>
        <v>193831.23</v>
      </c>
      <c r="Q164" s="815">
        <f>-O223</f>
        <v>-6210237.6799999997</v>
      </c>
      <c r="R164" s="601">
        <f>-D223</f>
        <v>-86198178</v>
      </c>
    </row>
    <row r="165" spans="1:18" s="407" customFormat="1">
      <c r="C165" s="822">
        <f>SUM(C162:C164)</f>
        <v>1380</v>
      </c>
      <c r="D165" s="803">
        <f>SUM(D162:D164)</f>
        <v>44442427</v>
      </c>
      <c r="E165" s="803">
        <f>SUM(E162:E164)</f>
        <v>7961</v>
      </c>
      <c r="F165" s="803">
        <f>SUM(F162:F164)</f>
        <v>7998</v>
      </c>
      <c r="G165" s="804">
        <f>SUM(G162:G164)</f>
        <v>10741</v>
      </c>
      <c r="I165" s="814">
        <f t="shared" ref="I165:O165" si="33">SUM(I162:I164)</f>
        <v>124200</v>
      </c>
      <c r="J165" s="806">
        <f t="shared" si="33"/>
        <v>1583928.0899999999</v>
      </c>
      <c r="K165" s="806">
        <f t="shared" si="33"/>
        <v>1583892.9400000002</v>
      </c>
      <c r="L165" s="806">
        <f t="shared" si="33"/>
        <v>0</v>
      </c>
      <c r="M165" s="806">
        <f t="shared" si="33"/>
        <v>0</v>
      </c>
      <c r="N165" s="806">
        <f t="shared" si="33"/>
        <v>-2815.4099999999994</v>
      </c>
      <c r="O165" s="807">
        <f t="shared" si="33"/>
        <v>3289205.6199999996</v>
      </c>
      <c r="Q165" s="448">
        <f>Q163+Q164</f>
        <v>-2921032.06</v>
      </c>
      <c r="R165" s="601">
        <f>R163+R164</f>
        <v>-41755751</v>
      </c>
    </row>
    <row r="166" spans="1:18" s="407" customFormat="1">
      <c r="C166" s="816"/>
      <c r="D166" s="486"/>
      <c r="E166" s="486"/>
      <c r="F166" s="486"/>
      <c r="G166" s="489"/>
      <c r="I166" s="816"/>
      <c r="J166" s="486"/>
      <c r="K166" s="486"/>
      <c r="L166" s="486"/>
      <c r="M166" s="486"/>
      <c r="N166" s="486"/>
      <c r="O166" s="489"/>
      <c r="Q166" s="407" t="s">
        <v>26</v>
      </c>
      <c r="R166" s="601" t="s">
        <v>26</v>
      </c>
    </row>
    <row r="167" spans="1:18" s="407" customFormat="1">
      <c r="A167" s="407" t="s">
        <v>886</v>
      </c>
      <c r="B167" s="415" t="s">
        <v>224</v>
      </c>
      <c r="C167" s="802">
        <f>C53</f>
        <v>4</v>
      </c>
      <c r="D167" s="803">
        <f>D53</f>
        <v>4620</v>
      </c>
      <c r="E167" s="803">
        <f>E53</f>
        <v>0</v>
      </c>
      <c r="F167" s="803">
        <f>F53</f>
        <v>0</v>
      </c>
      <c r="G167" s="804">
        <f>G53</f>
        <v>0</v>
      </c>
      <c r="I167" s="805">
        <f t="shared" ref="I167:N167" si="34">Q53</f>
        <v>680</v>
      </c>
      <c r="J167" s="806">
        <f t="shared" si="34"/>
        <v>164.56</v>
      </c>
      <c r="K167" s="806">
        <f t="shared" si="34"/>
        <v>1065</v>
      </c>
      <c r="L167" s="806">
        <f t="shared" si="34"/>
        <v>0</v>
      </c>
      <c r="M167" s="806">
        <f t="shared" si="34"/>
        <v>0</v>
      </c>
      <c r="N167" s="806">
        <f t="shared" si="34"/>
        <v>3.77</v>
      </c>
      <c r="O167" s="807">
        <f>SUM(I167:N167)</f>
        <v>1913.33</v>
      </c>
      <c r="Q167" s="448">
        <f>O169</f>
        <v>62348.11</v>
      </c>
      <c r="R167" s="601">
        <f>D169</f>
        <v>659820</v>
      </c>
    </row>
    <row r="168" spans="1:18" s="407" customFormat="1" ht="14.25">
      <c r="B168" s="819" t="s">
        <v>893</v>
      </c>
      <c r="C168" s="808">
        <f>C52+C68</f>
        <v>16</v>
      </c>
      <c r="D168" s="809">
        <f>D52+D68</f>
        <v>655200</v>
      </c>
      <c r="E168" s="809">
        <f>E52+E68</f>
        <v>2484</v>
      </c>
      <c r="F168" s="809">
        <f>F52+F68</f>
        <v>2579</v>
      </c>
      <c r="G168" s="810">
        <f>G52+G68</f>
        <v>5012</v>
      </c>
      <c r="I168" s="811">
        <f t="shared" ref="I168:N168" si="35">Q52+Q68</f>
        <v>2720</v>
      </c>
      <c r="J168" s="812">
        <f t="shared" si="35"/>
        <v>23338.22</v>
      </c>
      <c r="K168" s="812">
        <f t="shared" si="35"/>
        <v>34273.769999999997</v>
      </c>
      <c r="L168" s="812">
        <f t="shared" si="35"/>
        <v>0</v>
      </c>
      <c r="M168" s="812">
        <f t="shared" si="35"/>
        <v>0</v>
      </c>
      <c r="N168" s="812">
        <f t="shared" si="35"/>
        <v>102.79</v>
      </c>
      <c r="O168" s="813">
        <f>SUM(I168:N168)</f>
        <v>60434.78</v>
      </c>
      <c r="Q168" s="820">
        <f>-O229</f>
        <v>-310607.82999999996</v>
      </c>
      <c r="R168" s="601">
        <f>-D229</f>
        <v>-4166060</v>
      </c>
    </row>
    <row r="169" spans="1:18" s="407" customFormat="1">
      <c r="C169" s="822">
        <f>SUM(C167:C168)</f>
        <v>20</v>
      </c>
      <c r="D169" s="803">
        <f t="shared" ref="D169:I169" si="36">SUM(D167:D168)</f>
        <v>659820</v>
      </c>
      <c r="E169" s="803">
        <f t="shared" si="36"/>
        <v>2484</v>
      </c>
      <c r="F169" s="803">
        <f t="shared" si="36"/>
        <v>2579</v>
      </c>
      <c r="G169" s="804">
        <f t="shared" si="36"/>
        <v>5012</v>
      </c>
      <c r="I169" s="814">
        <f t="shared" si="36"/>
        <v>3400</v>
      </c>
      <c r="J169" s="806">
        <f t="shared" ref="J169:O169" si="37">SUM(J167:J168)</f>
        <v>23502.780000000002</v>
      </c>
      <c r="K169" s="806">
        <f t="shared" si="37"/>
        <v>35338.769999999997</v>
      </c>
      <c r="L169" s="806">
        <f t="shared" si="37"/>
        <v>0</v>
      </c>
      <c r="M169" s="806">
        <f t="shared" si="37"/>
        <v>0</v>
      </c>
      <c r="N169" s="806">
        <f t="shared" si="37"/>
        <v>106.56</v>
      </c>
      <c r="O169" s="807">
        <f t="shared" si="37"/>
        <v>62348.11</v>
      </c>
      <c r="Q169" s="448">
        <f>Q167+Q168</f>
        <v>-248259.71999999997</v>
      </c>
      <c r="R169" s="601">
        <f>R167+R168</f>
        <v>-3506240</v>
      </c>
    </row>
    <row r="170" spans="1:18" s="407" customFormat="1">
      <c r="C170" s="816"/>
      <c r="D170" s="486"/>
      <c r="E170" s="486"/>
      <c r="F170" s="486"/>
      <c r="G170" s="489"/>
      <c r="I170" s="816"/>
      <c r="J170" s="486"/>
      <c r="K170" s="486"/>
      <c r="L170" s="486"/>
      <c r="M170" s="486"/>
      <c r="N170" s="486"/>
      <c r="O170" s="489"/>
      <c r="R170" s="601"/>
    </row>
    <row r="171" spans="1:18" s="407" customFormat="1">
      <c r="A171" s="415" t="s">
        <v>894</v>
      </c>
      <c r="B171" s="415" t="s">
        <v>224</v>
      </c>
      <c r="C171" s="802">
        <f t="shared" ref="C171:G172" si="38">C85</f>
        <v>6</v>
      </c>
      <c r="D171" s="803">
        <f t="shared" si="38"/>
        <v>289200</v>
      </c>
      <c r="E171" s="803">
        <f t="shared" si="38"/>
        <v>0</v>
      </c>
      <c r="F171" s="803">
        <f t="shared" si="38"/>
        <v>0</v>
      </c>
      <c r="G171" s="804">
        <f t="shared" si="38"/>
        <v>0</v>
      </c>
      <c r="I171" s="805">
        <f t="shared" ref="I171:N172" si="39">Q85</f>
        <v>1200</v>
      </c>
      <c r="J171" s="806">
        <f t="shared" si="39"/>
        <v>10911.52</v>
      </c>
      <c r="K171" s="806">
        <f t="shared" si="39"/>
        <v>14948.84</v>
      </c>
      <c r="L171" s="806">
        <f t="shared" si="39"/>
        <v>0</v>
      </c>
      <c r="M171" s="806">
        <f t="shared" si="39"/>
        <v>0</v>
      </c>
      <c r="N171" s="806">
        <f t="shared" si="39"/>
        <v>576.47</v>
      </c>
      <c r="O171" s="807">
        <f>SUM(I171:N171)</f>
        <v>27636.83</v>
      </c>
      <c r="R171" s="601"/>
    </row>
    <row r="172" spans="1:18" s="407" customFormat="1">
      <c r="B172" s="415" t="s">
        <v>802</v>
      </c>
      <c r="C172" s="802">
        <f t="shared" si="38"/>
        <v>140</v>
      </c>
      <c r="D172" s="803">
        <f t="shared" si="38"/>
        <v>14381708</v>
      </c>
      <c r="E172" s="803">
        <f t="shared" si="38"/>
        <v>0</v>
      </c>
      <c r="F172" s="803">
        <f t="shared" si="38"/>
        <v>0</v>
      </c>
      <c r="G172" s="804">
        <f t="shared" si="38"/>
        <v>0</v>
      </c>
      <c r="I172" s="805">
        <f t="shared" si="39"/>
        <v>28000</v>
      </c>
      <c r="J172" s="806">
        <f t="shared" si="39"/>
        <v>542621.84</v>
      </c>
      <c r="K172" s="806">
        <f t="shared" si="39"/>
        <v>438472</v>
      </c>
      <c r="L172" s="806">
        <f t="shared" si="39"/>
        <v>0</v>
      </c>
      <c r="M172" s="806">
        <f t="shared" si="39"/>
        <v>0</v>
      </c>
      <c r="N172" s="806">
        <f t="shared" si="39"/>
        <v>-4834.72</v>
      </c>
      <c r="O172" s="807">
        <f>SUM(I172:N172)</f>
        <v>1004259.12</v>
      </c>
      <c r="Q172" s="407" t="s">
        <v>220</v>
      </c>
      <c r="R172" s="601" t="s">
        <v>220</v>
      </c>
    </row>
    <row r="173" spans="1:18" s="407" customFormat="1">
      <c r="B173" s="415" t="s">
        <v>866</v>
      </c>
      <c r="C173" s="802">
        <f>C89+C90</f>
        <v>19</v>
      </c>
      <c r="D173" s="803">
        <f>D89+D90</f>
        <v>2690080</v>
      </c>
      <c r="E173" s="803">
        <f>E89+E90</f>
        <v>0</v>
      </c>
      <c r="F173" s="803">
        <f>F89+F90</f>
        <v>0</v>
      </c>
      <c r="G173" s="804">
        <f>G89+G90</f>
        <v>0</v>
      </c>
      <c r="I173" s="805">
        <f t="shared" ref="I173:N173" si="40">Q89+Q90</f>
        <v>3800</v>
      </c>
      <c r="J173" s="806">
        <f t="shared" si="40"/>
        <v>101496.72</v>
      </c>
      <c r="K173" s="806">
        <f t="shared" si="40"/>
        <v>72694.899999999994</v>
      </c>
      <c r="L173" s="806">
        <f t="shared" si="40"/>
        <v>0</v>
      </c>
      <c r="M173" s="806">
        <f t="shared" si="40"/>
        <v>0</v>
      </c>
      <c r="N173" s="806">
        <f t="shared" si="40"/>
        <v>-2027.98</v>
      </c>
      <c r="O173" s="807">
        <f>SUM(I173:N173)</f>
        <v>175963.63999999998</v>
      </c>
      <c r="Q173" s="448">
        <f>O175</f>
        <v>9430064.6400000006</v>
      </c>
      <c r="R173" s="601">
        <f>D175</f>
        <v>142882138</v>
      </c>
    </row>
    <row r="174" spans="1:18" s="407" customFormat="1" ht="14.25">
      <c r="B174" s="407" t="s">
        <v>884</v>
      </c>
      <c r="C174" s="808">
        <f>C87+C88</f>
        <v>640</v>
      </c>
      <c r="D174" s="809">
        <f>D87+D88</f>
        <v>125521150</v>
      </c>
      <c r="E174" s="809">
        <f>E87+E88</f>
        <v>151104</v>
      </c>
      <c r="F174" s="809">
        <f>F87+F88</f>
        <v>188599</v>
      </c>
      <c r="G174" s="810">
        <f>G87+G88</f>
        <v>0</v>
      </c>
      <c r="I174" s="811">
        <f>Q87+Q88</f>
        <v>128000</v>
      </c>
      <c r="J174" s="812">
        <f>R87+R88</f>
        <v>4735913</v>
      </c>
      <c r="K174" s="812">
        <f>S87+S88</f>
        <v>3389151.59</v>
      </c>
      <c r="L174" s="812">
        <f>T87</f>
        <v>0</v>
      </c>
      <c r="M174" s="812">
        <f>U87</f>
        <v>0</v>
      </c>
      <c r="N174" s="812">
        <f>V87+V88</f>
        <v>-30859.54</v>
      </c>
      <c r="O174" s="813">
        <f>SUM(I174:N174)</f>
        <v>8222205.0499999998</v>
      </c>
    </row>
    <row r="175" spans="1:18" s="407" customFormat="1">
      <c r="C175" s="822">
        <f>SUM(C171:C174)</f>
        <v>805</v>
      </c>
      <c r="D175" s="803">
        <f>SUM(D171:D174)</f>
        <v>142882138</v>
      </c>
      <c r="E175" s="803">
        <f>SUM(E171:E174)</f>
        <v>151104</v>
      </c>
      <c r="F175" s="803">
        <f>SUM(F171:F174)</f>
        <v>188599</v>
      </c>
      <c r="G175" s="804">
        <f>SUM(G171:G174)</f>
        <v>0</v>
      </c>
      <c r="I175" s="814">
        <f t="shared" ref="I175:O175" si="41">SUM(I171:I174)</f>
        <v>161000</v>
      </c>
      <c r="J175" s="806">
        <f t="shared" si="41"/>
        <v>5390943.0800000001</v>
      </c>
      <c r="K175" s="806">
        <f t="shared" si="41"/>
        <v>3915267.33</v>
      </c>
      <c r="L175" s="806">
        <f t="shared" si="41"/>
        <v>0</v>
      </c>
      <c r="M175" s="806">
        <f t="shared" si="41"/>
        <v>0</v>
      </c>
      <c r="N175" s="806">
        <f t="shared" si="41"/>
        <v>-37145.770000000004</v>
      </c>
      <c r="O175" s="807">
        <f t="shared" si="41"/>
        <v>9430064.6400000006</v>
      </c>
      <c r="Q175" s="448">
        <f>Q173+Q174</f>
        <v>9430064.6400000006</v>
      </c>
      <c r="R175" s="601">
        <f>R173+R174</f>
        <v>142882138</v>
      </c>
    </row>
    <row r="176" spans="1:18" s="407" customFormat="1">
      <c r="C176" s="816"/>
      <c r="D176" s="486"/>
      <c r="E176" s="486"/>
      <c r="F176" s="486"/>
      <c r="G176" s="489"/>
      <c r="I176" s="821"/>
      <c r="J176" s="486"/>
      <c r="K176" s="486"/>
      <c r="L176" s="486"/>
      <c r="M176" s="486"/>
      <c r="N176" s="486"/>
      <c r="O176" s="489"/>
      <c r="R176" s="601"/>
    </row>
    <row r="177" spans="1:18" s="407" customFormat="1">
      <c r="A177" s="415" t="s">
        <v>893</v>
      </c>
      <c r="B177" s="407" t="s">
        <v>886</v>
      </c>
      <c r="C177" s="802">
        <f>C78</f>
        <v>9</v>
      </c>
      <c r="D177" s="803">
        <f>D78</f>
        <v>2071920</v>
      </c>
      <c r="E177" s="803">
        <f>E78</f>
        <v>5109</v>
      </c>
      <c r="F177" s="803">
        <f>F78</f>
        <v>2144</v>
      </c>
      <c r="G177" s="804">
        <f>G78</f>
        <v>0</v>
      </c>
      <c r="I177" s="805">
        <f t="shared" ref="I177:N177" si="42">Q78</f>
        <v>2700</v>
      </c>
      <c r="J177" s="806">
        <f t="shared" si="42"/>
        <v>78007.789999999994</v>
      </c>
      <c r="K177" s="806">
        <f t="shared" si="42"/>
        <v>57662.15</v>
      </c>
      <c r="L177" s="806">
        <f t="shared" si="42"/>
        <v>0</v>
      </c>
      <c r="M177" s="806">
        <f t="shared" si="42"/>
        <v>0</v>
      </c>
      <c r="N177" s="806">
        <f t="shared" si="42"/>
        <v>-107.24</v>
      </c>
      <c r="O177" s="807">
        <f>SUM(I177:N177)</f>
        <v>138262.70000000001</v>
      </c>
      <c r="R177" s="601"/>
    </row>
    <row r="178" spans="1:18" s="407" customFormat="1" ht="14.25">
      <c r="B178" s="407" t="s">
        <v>884</v>
      </c>
      <c r="C178" s="808">
        <f>C81</f>
        <v>130</v>
      </c>
      <c r="D178" s="809">
        <f>D81</f>
        <v>43276820</v>
      </c>
      <c r="E178" s="809">
        <f>E81</f>
        <v>52585</v>
      </c>
      <c r="F178" s="809">
        <f>F81</f>
        <v>53992</v>
      </c>
      <c r="G178" s="810">
        <f>G81</f>
        <v>0</v>
      </c>
      <c r="I178" s="811">
        <f t="shared" ref="I178:O178" si="43">Q81</f>
        <v>39000</v>
      </c>
      <c r="J178" s="812">
        <f t="shared" si="43"/>
        <v>1629372.28</v>
      </c>
      <c r="K178" s="812">
        <f t="shared" si="43"/>
        <v>805331.86</v>
      </c>
      <c r="L178" s="812">
        <f t="shared" si="43"/>
        <v>0</v>
      </c>
      <c r="M178" s="812">
        <f t="shared" si="43"/>
        <v>0</v>
      </c>
      <c r="N178" s="812">
        <f t="shared" si="43"/>
        <v>-15499.8</v>
      </c>
      <c r="O178" s="813">
        <f t="shared" si="43"/>
        <v>2458204.3400000003</v>
      </c>
      <c r="Q178" s="415" t="s">
        <v>221</v>
      </c>
      <c r="R178" s="601" t="s">
        <v>221</v>
      </c>
    </row>
    <row r="179" spans="1:18" s="407" customFormat="1">
      <c r="C179" s="822">
        <f>SUM(C177:C178)</f>
        <v>139</v>
      </c>
      <c r="D179" s="803">
        <f>SUM(D177:D178)</f>
        <v>45348740</v>
      </c>
      <c r="E179" s="803">
        <f>SUM(E177:E178)</f>
        <v>57694</v>
      </c>
      <c r="F179" s="803">
        <f>SUM(F177:F178)</f>
        <v>56136</v>
      </c>
      <c r="G179" s="804">
        <f>SUM(G177:G178)</f>
        <v>0</v>
      </c>
      <c r="I179" s="814">
        <f t="shared" ref="I179:O179" si="44">SUM(I177:I178)</f>
        <v>41700</v>
      </c>
      <c r="J179" s="806">
        <f t="shared" si="44"/>
        <v>1707380.07</v>
      </c>
      <c r="K179" s="806">
        <f t="shared" si="44"/>
        <v>862994.01</v>
      </c>
      <c r="L179" s="806">
        <f t="shared" si="44"/>
        <v>0</v>
      </c>
      <c r="M179" s="806">
        <f t="shared" si="44"/>
        <v>0</v>
      </c>
      <c r="N179" s="806">
        <f t="shared" si="44"/>
        <v>-15607.039999999999</v>
      </c>
      <c r="O179" s="807">
        <f t="shared" si="44"/>
        <v>2596467.0400000005</v>
      </c>
      <c r="Q179" s="448">
        <f>O179</f>
        <v>2596467.0400000005</v>
      </c>
      <c r="R179" s="601">
        <f>D179</f>
        <v>45348740</v>
      </c>
    </row>
    <row r="180" spans="1:18" s="407" customFormat="1">
      <c r="C180" s="816"/>
      <c r="D180" s="486"/>
      <c r="E180" s="486"/>
      <c r="F180" s="486"/>
      <c r="G180" s="489"/>
      <c r="I180" s="816"/>
      <c r="J180" s="486"/>
      <c r="K180" s="486"/>
      <c r="L180" s="486"/>
      <c r="M180" s="486"/>
      <c r="N180" s="486"/>
      <c r="O180" s="489"/>
      <c r="R180" s="601"/>
    </row>
    <row r="181" spans="1:18" s="407" customFormat="1" ht="15" thickBot="1">
      <c r="A181" s="415" t="s">
        <v>900</v>
      </c>
      <c r="C181" s="823">
        <f>SUM(C141,C143,C151,C156,C158,C160,C165,C169,C175,C179)</f>
        <v>21113</v>
      </c>
      <c r="D181" s="824">
        <f t="shared" ref="D181:O181" si="45">SUM(D141,D143,D151,D156,D158,D160,D165,D169,D175,D179)</f>
        <v>307966242</v>
      </c>
      <c r="E181" s="824">
        <f t="shared" si="45"/>
        <v>261972</v>
      </c>
      <c r="F181" s="824">
        <f t="shared" si="45"/>
        <v>314881</v>
      </c>
      <c r="G181" s="825">
        <f t="shared" si="45"/>
        <v>15753</v>
      </c>
      <c r="I181" s="826">
        <f t="shared" si="45"/>
        <v>922954.75</v>
      </c>
      <c r="J181" s="827">
        <f t="shared" si="45"/>
        <v>15230985.1</v>
      </c>
      <c r="K181" s="827">
        <f t="shared" si="45"/>
        <v>6397493.0499999998</v>
      </c>
      <c r="L181" s="827">
        <f t="shared" si="45"/>
        <v>0</v>
      </c>
      <c r="M181" s="827">
        <f t="shared" si="45"/>
        <v>0</v>
      </c>
      <c r="N181" s="827">
        <f t="shared" si="45"/>
        <v>-62921.700000000004</v>
      </c>
      <c r="O181" s="828">
        <f t="shared" si="45"/>
        <v>22488511.199999999</v>
      </c>
      <c r="Q181" s="448"/>
      <c r="R181" s="601"/>
    </row>
    <row r="182" spans="1:18">
      <c r="Q182" s="233">
        <f>Q181+Q179+Q175+Q169+Q165+Q160+Q156+Q141</f>
        <v>10679140.270000001</v>
      </c>
      <c r="R182" s="201" t="e">
        <f>R181+#REF!+R179+R175+R169+R165+R160+R156+R141</f>
        <v>#REF!</v>
      </c>
    </row>
    <row r="183" spans="1:18" ht="12.75" thickBot="1"/>
    <row r="184" spans="1:18">
      <c r="C184" s="291"/>
      <c r="D184" s="1046" t="s">
        <v>881</v>
      </c>
      <c r="E184" s="1047"/>
      <c r="F184" s="1047"/>
      <c r="G184" s="1048"/>
      <c r="I184" s="317" t="s">
        <v>897</v>
      </c>
      <c r="J184" s="308"/>
      <c r="K184" s="308"/>
      <c r="L184" s="308"/>
      <c r="M184" s="308"/>
      <c r="N184" s="308"/>
      <c r="O184" s="309"/>
    </row>
    <row r="185" spans="1:18" ht="60">
      <c r="A185" s="262" t="s">
        <v>895</v>
      </c>
      <c r="B185" s="262" t="s">
        <v>896</v>
      </c>
      <c r="C185" s="292" t="s">
        <v>888</v>
      </c>
      <c r="D185" s="293" t="s">
        <v>892</v>
      </c>
      <c r="E185" s="293" t="s">
        <v>889</v>
      </c>
      <c r="F185" s="293" t="s">
        <v>890</v>
      </c>
      <c r="G185" s="294" t="s">
        <v>891</v>
      </c>
      <c r="I185" s="292" t="s">
        <v>796</v>
      </c>
      <c r="J185" s="310" t="s">
        <v>797</v>
      </c>
      <c r="K185" s="310" t="s">
        <v>798</v>
      </c>
      <c r="L185" s="310" t="s">
        <v>799</v>
      </c>
      <c r="M185" s="293" t="s">
        <v>800</v>
      </c>
      <c r="N185" s="310" t="s">
        <v>691</v>
      </c>
      <c r="O185" s="294" t="s">
        <v>801</v>
      </c>
    </row>
    <row r="186" spans="1:18">
      <c r="C186" s="295"/>
      <c r="D186" s="296"/>
      <c r="E186" s="296"/>
      <c r="F186" s="296"/>
      <c r="G186" s="297"/>
      <c r="I186" s="295"/>
      <c r="J186" s="296"/>
      <c r="K186" s="296"/>
      <c r="L186" s="296"/>
      <c r="M186" s="296"/>
      <c r="N186" s="296"/>
      <c r="O186" s="297"/>
    </row>
    <row r="187" spans="1:18">
      <c r="A187" s="202" t="s">
        <v>779</v>
      </c>
      <c r="B187" s="202" t="s">
        <v>224</v>
      </c>
      <c r="C187" s="298">
        <f>C11</f>
        <v>204</v>
      </c>
      <c r="D187" s="299">
        <f>D11</f>
        <v>235783</v>
      </c>
      <c r="E187" s="299">
        <f>E11</f>
        <v>0</v>
      </c>
      <c r="F187" s="299">
        <f>F11</f>
        <v>0</v>
      </c>
      <c r="G187" s="300">
        <f>G11</f>
        <v>0</v>
      </c>
      <c r="I187" s="311">
        <f t="shared" ref="I187:O187" si="46">I11</f>
        <v>2193</v>
      </c>
      <c r="J187" s="312">
        <f t="shared" si="46"/>
        <v>17516.3</v>
      </c>
      <c r="K187" s="312">
        <f t="shared" si="46"/>
        <v>0</v>
      </c>
      <c r="L187" s="312">
        <f t="shared" si="46"/>
        <v>0</v>
      </c>
      <c r="M187" s="312">
        <f t="shared" si="46"/>
        <v>0</v>
      </c>
      <c r="N187" s="312">
        <f t="shared" si="46"/>
        <v>-211.26999999999998</v>
      </c>
      <c r="O187" s="313">
        <f t="shared" si="46"/>
        <v>19498.03</v>
      </c>
    </row>
    <row r="188" spans="1:18" ht="14.25">
      <c r="B188" s="202" t="s">
        <v>882</v>
      </c>
      <c r="C188" s="301">
        <f>C23</f>
        <v>4</v>
      </c>
      <c r="D188" s="302">
        <f>D23</f>
        <v>4120</v>
      </c>
      <c r="E188" s="302">
        <f>E23</f>
        <v>0</v>
      </c>
      <c r="F188" s="302">
        <f>F23</f>
        <v>0</v>
      </c>
      <c r="G188" s="303">
        <f>G23</f>
        <v>0</v>
      </c>
      <c r="I188" s="314">
        <f t="shared" ref="I188:O188" si="47">I23</f>
        <v>43</v>
      </c>
      <c r="J188" s="315">
        <f t="shared" si="47"/>
        <v>306.07</v>
      </c>
      <c r="K188" s="315">
        <f t="shared" si="47"/>
        <v>0</v>
      </c>
      <c r="L188" s="315">
        <f t="shared" si="47"/>
        <v>0</v>
      </c>
      <c r="M188" s="315">
        <f t="shared" si="47"/>
        <v>0</v>
      </c>
      <c r="N188" s="315">
        <f t="shared" si="47"/>
        <v>-1.74</v>
      </c>
      <c r="O188" s="316">
        <f t="shared" si="47"/>
        <v>347.33</v>
      </c>
    </row>
    <row r="189" spans="1:18">
      <c r="C189" s="298">
        <f>SUM(C187:C188)</f>
        <v>208</v>
      </c>
      <c r="D189" s="299">
        <f>SUM(D187:D188)</f>
        <v>239903</v>
      </c>
      <c r="E189" s="299">
        <f>SUM(E187:E188)</f>
        <v>0</v>
      </c>
      <c r="F189" s="299">
        <f>SUM(F187:F188)</f>
        <v>0</v>
      </c>
      <c r="G189" s="300">
        <f>SUM(G187:G188)</f>
        <v>0</v>
      </c>
      <c r="I189" s="311">
        <f t="shared" ref="I189:O189" si="48">SUM(I187:I188)</f>
        <v>2236</v>
      </c>
      <c r="J189" s="312">
        <f t="shared" si="48"/>
        <v>17822.37</v>
      </c>
      <c r="K189" s="312">
        <f t="shared" si="48"/>
        <v>0</v>
      </c>
      <c r="L189" s="312">
        <f t="shared" si="48"/>
        <v>0</v>
      </c>
      <c r="M189" s="312">
        <f t="shared" si="48"/>
        <v>0</v>
      </c>
      <c r="N189" s="312">
        <f t="shared" si="48"/>
        <v>-213.01</v>
      </c>
      <c r="O189" s="313">
        <f t="shared" si="48"/>
        <v>19845.36</v>
      </c>
    </row>
    <row r="190" spans="1:18">
      <c r="C190" s="295"/>
      <c r="D190" s="296"/>
      <c r="E190" s="296"/>
      <c r="F190" s="296"/>
      <c r="G190" s="297"/>
      <c r="I190" s="311"/>
      <c r="J190" s="312"/>
      <c r="K190" s="312"/>
      <c r="L190" s="312"/>
      <c r="M190" s="312"/>
      <c r="N190" s="312"/>
      <c r="O190" s="313"/>
    </row>
    <row r="191" spans="1:18">
      <c r="A191" s="202" t="s">
        <v>898</v>
      </c>
      <c r="B191" s="202" t="s">
        <v>15</v>
      </c>
      <c r="C191" s="298" t="e">
        <f>#REF!</f>
        <v>#REF!</v>
      </c>
      <c r="D191" s="299" t="e">
        <f>#REF!</f>
        <v>#REF!</v>
      </c>
      <c r="E191" s="299" t="e">
        <f>#REF!</f>
        <v>#REF!</v>
      </c>
      <c r="F191" s="299" t="e">
        <f>#REF!</f>
        <v>#REF!</v>
      </c>
      <c r="G191" s="300" t="e">
        <f>#REF!</f>
        <v>#REF!</v>
      </c>
      <c r="I191" s="311" t="e">
        <f>#REF!</f>
        <v>#REF!</v>
      </c>
      <c r="J191" s="312" t="e">
        <f>#REF!</f>
        <v>#REF!</v>
      </c>
      <c r="K191" s="312" t="e">
        <f>#REF!</f>
        <v>#REF!</v>
      </c>
      <c r="L191" s="312" t="e">
        <f>#REF!</f>
        <v>#REF!</v>
      </c>
      <c r="M191" s="312" t="e">
        <f>#REF!</f>
        <v>#REF!</v>
      </c>
      <c r="N191" s="312" t="e">
        <f>#REF!</f>
        <v>#REF!</v>
      </c>
      <c r="O191" s="313" t="e">
        <f>#REF!</f>
        <v>#REF!</v>
      </c>
    </row>
    <row r="192" spans="1:18" ht="14.25">
      <c r="B192" s="202" t="s">
        <v>224</v>
      </c>
      <c r="C192" s="301">
        <f>C10</f>
        <v>2</v>
      </c>
      <c r="D192" s="302">
        <f>D10</f>
        <v>0</v>
      </c>
      <c r="E192" s="302">
        <f>E10</f>
        <v>0</v>
      </c>
      <c r="F192" s="302">
        <f>F10</f>
        <v>0</v>
      </c>
      <c r="G192" s="303">
        <f>G10</f>
        <v>0</v>
      </c>
      <c r="I192" s="314">
        <f t="shared" ref="I192:O192" si="49">I10</f>
        <v>40</v>
      </c>
      <c r="J192" s="315">
        <f t="shared" si="49"/>
        <v>0</v>
      </c>
      <c r="K192" s="315">
        <f t="shared" si="49"/>
        <v>0</v>
      </c>
      <c r="L192" s="315">
        <f t="shared" si="49"/>
        <v>0</v>
      </c>
      <c r="M192" s="315">
        <f t="shared" si="49"/>
        <v>0</v>
      </c>
      <c r="N192" s="315">
        <f t="shared" si="49"/>
        <v>0</v>
      </c>
      <c r="O192" s="316">
        <f t="shared" si="49"/>
        <v>40</v>
      </c>
    </row>
    <row r="193" spans="1:15">
      <c r="C193" s="298" t="e">
        <f>SUM(C191:C192)</f>
        <v>#REF!</v>
      </c>
      <c r="D193" s="299" t="e">
        <f>SUM(D191:D192)</f>
        <v>#REF!</v>
      </c>
      <c r="E193" s="299" t="e">
        <f>SUM(E191:E192)</f>
        <v>#REF!</v>
      </c>
      <c r="F193" s="299" t="e">
        <f>SUM(F191:F192)</f>
        <v>#REF!</v>
      </c>
      <c r="G193" s="300" t="e">
        <f>SUM(G191:G192)</f>
        <v>#REF!</v>
      </c>
      <c r="I193" s="311" t="e">
        <f t="shared" ref="I193:O193" si="50">SUM(I191:I192)</f>
        <v>#REF!</v>
      </c>
      <c r="J193" s="312" t="e">
        <f t="shared" si="50"/>
        <v>#REF!</v>
      </c>
      <c r="K193" s="312" t="e">
        <f t="shared" si="50"/>
        <v>#REF!</v>
      </c>
      <c r="L193" s="312" t="e">
        <f t="shared" si="50"/>
        <v>#REF!</v>
      </c>
      <c r="M193" s="312" t="e">
        <f t="shared" si="50"/>
        <v>#REF!</v>
      </c>
      <c r="N193" s="312" t="e">
        <f t="shared" si="50"/>
        <v>#REF!</v>
      </c>
      <c r="O193" s="313" t="e">
        <f t="shared" si="50"/>
        <v>#REF!</v>
      </c>
    </row>
    <row r="194" spans="1:15">
      <c r="C194" s="295"/>
      <c r="D194" s="296"/>
      <c r="E194" s="296"/>
      <c r="F194" s="296"/>
      <c r="G194" s="297"/>
      <c r="I194" s="311"/>
      <c r="J194" s="312"/>
      <c r="K194" s="312"/>
      <c r="L194" s="312"/>
      <c r="M194" s="312"/>
      <c r="N194" s="312"/>
      <c r="O194" s="313"/>
    </row>
    <row r="195" spans="1:15">
      <c r="A195" s="202" t="s">
        <v>883</v>
      </c>
      <c r="B195" s="202" t="s">
        <v>15</v>
      </c>
      <c r="C195" s="298">
        <f>C32+C35</f>
        <v>50</v>
      </c>
      <c r="D195" s="299">
        <f>D32+D35</f>
        <v>84714</v>
      </c>
      <c r="E195" s="299">
        <f>E32+E35</f>
        <v>0</v>
      </c>
      <c r="F195" s="299">
        <f>F32+F35</f>
        <v>0</v>
      </c>
      <c r="G195" s="300">
        <f>G32+G35</f>
        <v>0</v>
      </c>
      <c r="I195" s="311">
        <f t="shared" ref="I195:O195" si="51">I32+I35</f>
        <v>796.5</v>
      </c>
      <c r="J195" s="312">
        <f t="shared" si="51"/>
        <v>6915.4400000000005</v>
      </c>
      <c r="K195" s="312">
        <f t="shared" si="51"/>
        <v>0</v>
      </c>
      <c r="L195" s="312">
        <f t="shared" si="51"/>
        <v>0</v>
      </c>
      <c r="M195" s="312">
        <f t="shared" si="51"/>
        <v>0</v>
      </c>
      <c r="N195" s="312">
        <f t="shared" si="51"/>
        <v>-37.11</v>
      </c>
      <c r="O195" s="313">
        <f t="shared" si="51"/>
        <v>7674.83</v>
      </c>
    </row>
    <row r="196" spans="1:15">
      <c r="B196" s="202" t="s">
        <v>219</v>
      </c>
      <c r="C196" s="298">
        <f>C93</f>
        <v>12</v>
      </c>
      <c r="D196" s="299">
        <f>D93</f>
        <v>3999</v>
      </c>
      <c r="E196" s="299">
        <f>E93</f>
        <v>0</v>
      </c>
      <c r="F196" s="299">
        <f>F93</f>
        <v>0</v>
      </c>
      <c r="G196" s="300">
        <f>G93</f>
        <v>0</v>
      </c>
      <c r="I196" s="311">
        <f t="shared" ref="I196:O196" si="52">I93</f>
        <v>420</v>
      </c>
      <c r="J196" s="312">
        <f t="shared" si="52"/>
        <v>284.93</v>
      </c>
      <c r="K196" s="312">
        <f t="shared" si="52"/>
        <v>0</v>
      </c>
      <c r="L196" s="312">
        <f t="shared" si="52"/>
        <v>0</v>
      </c>
      <c r="M196" s="312">
        <f t="shared" si="52"/>
        <v>0</v>
      </c>
      <c r="N196" s="312">
        <f t="shared" si="52"/>
        <v>-1.65</v>
      </c>
      <c r="O196" s="313">
        <f t="shared" si="52"/>
        <v>703.28000000000009</v>
      </c>
    </row>
    <row r="197" spans="1:15">
      <c r="B197" s="202" t="s">
        <v>884</v>
      </c>
      <c r="C197" s="298">
        <f>C59</f>
        <v>136</v>
      </c>
      <c r="D197" s="299">
        <f>D59</f>
        <v>1931829</v>
      </c>
      <c r="E197" s="299">
        <f>E59</f>
        <v>0</v>
      </c>
      <c r="F197" s="299">
        <f>F59</f>
        <v>0</v>
      </c>
      <c r="G197" s="300">
        <f>G59</f>
        <v>0</v>
      </c>
      <c r="I197" s="311">
        <f t="shared" ref="I197:O197" si="53">I59</f>
        <v>2720</v>
      </c>
      <c r="J197" s="312">
        <f t="shared" si="53"/>
        <v>169112.31</v>
      </c>
      <c r="K197" s="312">
        <f t="shared" si="53"/>
        <v>0</v>
      </c>
      <c r="L197" s="312">
        <f t="shared" si="53"/>
        <v>0</v>
      </c>
      <c r="M197" s="312">
        <f t="shared" si="53"/>
        <v>0</v>
      </c>
      <c r="N197" s="312">
        <f t="shared" si="53"/>
        <v>-367.85</v>
      </c>
      <c r="O197" s="313">
        <f t="shared" si="53"/>
        <v>171464.46</v>
      </c>
    </row>
    <row r="198" spans="1:15">
      <c r="B198" s="202" t="s">
        <v>894</v>
      </c>
      <c r="C198" s="298">
        <f>C85</f>
        <v>6</v>
      </c>
      <c r="D198" s="299">
        <f>D85</f>
        <v>289200</v>
      </c>
      <c r="E198" s="299">
        <f>E85</f>
        <v>0</v>
      </c>
      <c r="F198" s="299">
        <f>F85</f>
        <v>0</v>
      </c>
      <c r="G198" s="300">
        <f>G85</f>
        <v>0</v>
      </c>
      <c r="I198" s="311">
        <f t="shared" ref="I198:O198" si="54">I85</f>
        <v>120</v>
      </c>
      <c r="J198" s="312">
        <f t="shared" si="54"/>
        <v>25316.560000000001</v>
      </c>
      <c r="K198" s="312">
        <f t="shared" si="54"/>
        <v>0</v>
      </c>
      <c r="L198" s="312">
        <f t="shared" si="54"/>
        <v>0</v>
      </c>
      <c r="M198" s="312">
        <f t="shared" si="54"/>
        <v>0</v>
      </c>
      <c r="N198" s="312">
        <f t="shared" si="54"/>
        <v>576.47</v>
      </c>
      <c r="O198" s="313">
        <f t="shared" si="54"/>
        <v>26013.030000000002</v>
      </c>
    </row>
    <row r="199" spans="1:15">
      <c r="B199" s="202" t="s">
        <v>893</v>
      </c>
      <c r="C199" s="298">
        <f>C79</f>
        <v>0</v>
      </c>
      <c r="D199" s="299">
        <f>D79</f>
        <v>0</v>
      </c>
      <c r="E199" s="299">
        <f>E79</f>
        <v>0</v>
      </c>
      <c r="F199" s="299">
        <f>F79</f>
        <v>0</v>
      </c>
      <c r="G199" s="300">
        <f>G79</f>
        <v>0</v>
      </c>
      <c r="I199" s="311">
        <f t="shared" ref="I199:O199" si="55">I79</f>
        <v>0</v>
      </c>
      <c r="J199" s="312">
        <f t="shared" si="55"/>
        <v>0</v>
      </c>
      <c r="K199" s="312">
        <f t="shared" si="55"/>
        <v>0</v>
      </c>
      <c r="L199" s="312">
        <f t="shared" si="55"/>
        <v>0</v>
      </c>
      <c r="M199" s="312">
        <f t="shared" si="55"/>
        <v>0</v>
      </c>
      <c r="N199" s="312">
        <f t="shared" si="55"/>
        <v>0</v>
      </c>
      <c r="O199" s="313">
        <f t="shared" si="55"/>
        <v>0</v>
      </c>
    </row>
    <row r="200" spans="1:15" ht="14.25">
      <c r="B200" s="202" t="s">
        <v>21</v>
      </c>
      <c r="C200" s="301">
        <f>C48</f>
        <v>76</v>
      </c>
      <c r="D200" s="302">
        <f>D48</f>
        <v>133792</v>
      </c>
      <c r="E200" s="302">
        <f>E48</f>
        <v>0</v>
      </c>
      <c r="F200" s="302">
        <f>F48</f>
        <v>0</v>
      </c>
      <c r="G200" s="303">
        <f>G48</f>
        <v>0</v>
      </c>
      <c r="I200" s="314">
        <f t="shared" ref="I200:O200" si="56">I48</f>
        <v>817</v>
      </c>
      <c r="J200" s="315">
        <f t="shared" si="56"/>
        <v>9939.41</v>
      </c>
      <c r="K200" s="315">
        <f t="shared" si="56"/>
        <v>0</v>
      </c>
      <c r="L200" s="315">
        <f t="shared" si="56"/>
        <v>0</v>
      </c>
      <c r="M200" s="315">
        <f t="shared" si="56"/>
        <v>0</v>
      </c>
      <c r="N200" s="315">
        <f t="shared" si="56"/>
        <v>-87.460000000000008</v>
      </c>
      <c r="O200" s="316">
        <f t="shared" si="56"/>
        <v>10668.95</v>
      </c>
    </row>
    <row r="201" spans="1:15">
      <c r="C201" s="298">
        <f>SUM(C195:C200)</f>
        <v>280</v>
      </c>
      <c r="D201" s="299">
        <f>SUM(D195:D200)</f>
        <v>2443534</v>
      </c>
      <c r="E201" s="299">
        <f>SUM(E195:E200)</f>
        <v>0</v>
      </c>
      <c r="F201" s="299">
        <f>SUM(F195:F200)</f>
        <v>0</v>
      </c>
      <c r="G201" s="300">
        <f>SUM(G195:G200)</f>
        <v>0</v>
      </c>
      <c r="I201" s="311">
        <f t="shared" ref="I201:O201" si="57">SUM(I195:I200)</f>
        <v>4873.5</v>
      </c>
      <c r="J201" s="312">
        <f t="shared" si="57"/>
        <v>211568.65</v>
      </c>
      <c r="K201" s="312">
        <f t="shared" si="57"/>
        <v>0</v>
      </c>
      <c r="L201" s="312">
        <f t="shared" si="57"/>
        <v>0</v>
      </c>
      <c r="M201" s="312">
        <f t="shared" si="57"/>
        <v>0</v>
      </c>
      <c r="N201" s="312">
        <f t="shared" si="57"/>
        <v>82.4</v>
      </c>
      <c r="O201" s="313">
        <f t="shared" si="57"/>
        <v>216524.55000000002</v>
      </c>
    </row>
    <row r="202" spans="1:15">
      <c r="C202" s="295"/>
      <c r="D202" s="296"/>
      <c r="E202" s="296"/>
      <c r="F202" s="296"/>
      <c r="G202" s="297"/>
      <c r="I202" s="311"/>
      <c r="J202" s="312"/>
      <c r="K202" s="312"/>
      <c r="L202" s="312"/>
      <c r="M202" s="312"/>
      <c r="N202" s="312"/>
      <c r="O202" s="313"/>
    </row>
    <row r="203" spans="1:15">
      <c r="A203" s="202" t="s">
        <v>885</v>
      </c>
      <c r="B203" s="202" t="s">
        <v>15</v>
      </c>
      <c r="C203" s="298">
        <f>C28</f>
        <v>11</v>
      </c>
      <c r="D203" s="299">
        <f>D28</f>
        <v>25757</v>
      </c>
      <c r="E203" s="299">
        <f>E28</f>
        <v>0</v>
      </c>
      <c r="F203" s="299">
        <f>F28</f>
        <v>0</v>
      </c>
      <c r="G203" s="300">
        <f>G28</f>
        <v>0</v>
      </c>
      <c r="I203" s="311">
        <f t="shared" ref="I203:O203" si="58">I28</f>
        <v>385</v>
      </c>
      <c r="J203" s="312">
        <f t="shared" si="58"/>
        <v>2254.77</v>
      </c>
      <c r="K203" s="312">
        <f t="shared" si="58"/>
        <v>0</v>
      </c>
      <c r="L203" s="312">
        <f t="shared" si="58"/>
        <v>0</v>
      </c>
      <c r="M203" s="312">
        <f t="shared" si="58"/>
        <v>0</v>
      </c>
      <c r="N203" s="312">
        <f t="shared" si="58"/>
        <v>-19.690000000000001</v>
      </c>
      <c r="O203" s="313">
        <f t="shared" si="58"/>
        <v>2620.08</v>
      </c>
    </row>
    <row r="204" spans="1:15">
      <c r="B204" s="202" t="s">
        <v>224</v>
      </c>
      <c r="C204" s="298">
        <f>C8</f>
        <v>1602</v>
      </c>
      <c r="D204" s="299">
        <f>D8</f>
        <v>3410440</v>
      </c>
      <c r="E204" s="299">
        <f>E8</f>
        <v>0</v>
      </c>
      <c r="F204" s="299">
        <f>F8</f>
        <v>0</v>
      </c>
      <c r="G204" s="300">
        <f>G8</f>
        <v>0</v>
      </c>
      <c r="I204" s="311">
        <f t="shared" ref="I204:O204" si="59">I8</f>
        <v>56070</v>
      </c>
      <c r="J204" s="312">
        <f t="shared" si="59"/>
        <v>298549.93</v>
      </c>
      <c r="K204" s="312">
        <f t="shared" si="59"/>
        <v>0</v>
      </c>
      <c r="L204" s="312">
        <f t="shared" si="59"/>
        <v>0</v>
      </c>
      <c r="M204" s="312">
        <f t="shared" si="59"/>
        <v>0</v>
      </c>
      <c r="N204" s="312">
        <f t="shared" si="59"/>
        <v>-768.48</v>
      </c>
      <c r="O204" s="313">
        <f t="shared" si="59"/>
        <v>353851.45</v>
      </c>
    </row>
    <row r="205" spans="1:15">
      <c r="B205" s="202" t="s">
        <v>884</v>
      </c>
      <c r="C205" s="298">
        <f>C58</f>
        <v>1185</v>
      </c>
      <c r="D205" s="299">
        <f>D58</f>
        <v>38695430</v>
      </c>
      <c r="E205" s="299">
        <f>E58</f>
        <v>0</v>
      </c>
      <c r="F205" s="299">
        <f>F58</f>
        <v>0</v>
      </c>
      <c r="G205" s="300">
        <f>G58</f>
        <v>0</v>
      </c>
      <c r="I205" s="311">
        <f t="shared" ref="I205:O205" si="60">I58</f>
        <v>41475</v>
      </c>
      <c r="J205" s="312">
        <f t="shared" si="60"/>
        <v>3387397.97</v>
      </c>
      <c r="K205" s="312">
        <f t="shared" si="60"/>
        <v>0</v>
      </c>
      <c r="L205" s="312">
        <f t="shared" si="60"/>
        <v>0</v>
      </c>
      <c r="M205" s="312">
        <f t="shared" si="60"/>
        <v>0</v>
      </c>
      <c r="N205" s="312">
        <f t="shared" si="60"/>
        <v>-5820.41</v>
      </c>
      <c r="O205" s="313">
        <f t="shared" si="60"/>
        <v>3423052.56</v>
      </c>
    </row>
    <row r="206" spans="1:15">
      <c r="B206" s="202" t="s">
        <v>886</v>
      </c>
      <c r="C206" s="298">
        <f>C69</f>
        <v>0</v>
      </c>
      <c r="D206" s="299">
        <f>D69</f>
        <v>0</v>
      </c>
      <c r="E206" s="299">
        <f>E69</f>
        <v>0</v>
      </c>
      <c r="F206" s="299">
        <f>F69</f>
        <v>0</v>
      </c>
      <c r="G206" s="300">
        <f>G69</f>
        <v>0</v>
      </c>
      <c r="I206" s="311">
        <f t="shared" ref="I206:O206" si="61">I69</f>
        <v>0</v>
      </c>
      <c r="J206" s="312">
        <f t="shared" si="61"/>
        <v>0</v>
      </c>
      <c r="K206" s="312">
        <f t="shared" si="61"/>
        <v>0</v>
      </c>
      <c r="L206" s="312">
        <f t="shared" si="61"/>
        <v>0</v>
      </c>
      <c r="M206" s="312">
        <f t="shared" si="61"/>
        <v>0</v>
      </c>
      <c r="N206" s="312">
        <f t="shared" si="61"/>
        <v>0</v>
      </c>
      <c r="O206" s="313">
        <f t="shared" si="61"/>
        <v>0</v>
      </c>
    </row>
    <row r="207" spans="1:15">
      <c r="B207" s="202" t="s">
        <v>894</v>
      </c>
      <c r="C207" s="298">
        <f>C86</f>
        <v>140</v>
      </c>
      <c r="D207" s="299">
        <f>D86</f>
        <v>14381708</v>
      </c>
      <c r="E207" s="299">
        <f>E86</f>
        <v>0</v>
      </c>
      <c r="F207" s="299">
        <f>F86</f>
        <v>0</v>
      </c>
      <c r="G207" s="300">
        <f>G86</f>
        <v>0</v>
      </c>
      <c r="I207" s="311">
        <f t="shared" ref="I207:O207" si="62">I86</f>
        <v>4900</v>
      </c>
      <c r="J207" s="312">
        <f t="shared" si="62"/>
        <v>1258974.69</v>
      </c>
      <c r="K207" s="312">
        <f t="shared" si="62"/>
        <v>0</v>
      </c>
      <c r="L207" s="312">
        <f t="shared" si="62"/>
        <v>0</v>
      </c>
      <c r="M207" s="312">
        <f t="shared" si="62"/>
        <v>0</v>
      </c>
      <c r="N207" s="312">
        <f t="shared" si="62"/>
        <v>-4834.72</v>
      </c>
      <c r="O207" s="313">
        <f t="shared" si="62"/>
        <v>1259039.97</v>
      </c>
    </row>
    <row r="208" spans="1:15" ht="14.25">
      <c r="B208" s="202" t="s">
        <v>893</v>
      </c>
      <c r="C208" s="301">
        <f>C80</f>
        <v>0</v>
      </c>
      <c r="D208" s="302">
        <f>D80</f>
        <v>0</v>
      </c>
      <c r="E208" s="302">
        <f>E80</f>
        <v>0</v>
      </c>
      <c r="F208" s="302">
        <f>F80</f>
        <v>0</v>
      </c>
      <c r="G208" s="303">
        <f>G80</f>
        <v>0</v>
      </c>
      <c r="I208" s="314">
        <f t="shared" ref="I208:O208" si="63">I80</f>
        <v>0</v>
      </c>
      <c r="J208" s="315">
        <f t="shared" si="63"/>
        <v>0</v>
      </c>
      <c r="K208" s="315">
        <f t="shared" si="63"/>
        <v>0</v>
      </c>
      <c r="L208" s="315">
        <f t="shared" si="63"/>
        <v>0</v>
      </c>
      <c r="M208" s="315">
        <f t="shared" si="63"/>
        <v>0</v>
      </c>
      <c r="N208" s="315">
        <f t="shared" si="63"/>
        <v>0</v>
      </c>
      <c r="O208" s="316">
        <f t="shared" si="63"/>
        <v>0</v>
      </c>
    </row>
    <row r="209" spans="1:15">
      <c r="C209" s="298">
        <f>SUM(C203:C208)</f>
        <v>2938</v>
      </c>
      <c r="D209" s="299">
        <f>SUM(D203:D208)</f>
        <v>56513335</v>
      </c>
      <c r="E209" s="299">
        <f>SUM(E203:E208)</f>
        <v>0</v>
      </c>
      <c r="F209" s="299">
        <f>SUM(F203:F208)</f>
        <v>0</v>
      </c>
      <c r="G209" s="300">
        <f>SUM(G203:G208)</f>
        <v>0</v>
      </c>
      <c r="I209" s="311">
        <f t="shared" ref="I209:O209" si="64">SUM(I203:I208)</f>
        <v>102830</v>
      </c>
      <c r="J209" s="312">
        <f t="shared" si="64"/>
        <v>4947177.3600000003</v>
      </c>
      <c r="K209" s="312">
        <f t="shared" si="64"/>
        <v>0</v>
      </c>
      <c r="L209" s="312">
        <f t="shared" si="64"/>
        <v>0</v>
      </c>
      <c r="M209" s="312">
        <f t="shared" si="64"/>
        <v>0</v>
      </c>
      <c r="N209" s="312">
        <f t="shared" si="64"/>
        <v>-11443.3</v>
      </c>
      <c r="O209" s="313">
        <f t="shared" si="64"/>
        <v>5038564.0599999996</v>
      </c>
    </row>
    <row r="210" spans="1:15">
      <c r="C210" s="295"/>
      <c r="D210" s="296"/>
      <c r="E210" s="296"/>
      <c r="F210" s="296"/>
      <c r="G210" s="297"/>
      <c r="I210" s="311"/>
      <c r="J210" s="312"/>
      <c r="K210" s="312"/>
      <c r="L210" s="312"/>
      <c r="M210" s="312"/>
      <c r="N210" s="312"/>
      <c r="O210" s="313"/>
    </row>
    <row r="211" spans="1:15">
      <c r="A211" s="202" t="s">
        <v>491</v>
      </c>
      <c r="B211" s="202" t="s">
        <v>224</v>
      </c>
      <c r="C211" s="298">
        <f>C9</f>
        <v>4</v>
      </c>
      <c r="D211" s="299">
        <f>D9</f>
        <v>760</v>
      </c>
      <c r="E211" s="299">
        <f>E9</f>
        <v>0</v>
      </c>
      <c r="F211" s="299">
        <f>F9</f>
        <v>0</v>
      </c>
      <c r="G211" s="300">
        <f>G9</f>
        <v>0</v>
      </c>
      <c r="I211" s="311">
        <f t="shared" ref="I211:O211" si="65">I9</f>
        <v>80</v>
      </c>
      <c r="J211" s="312">
        <f t="shared" si="65"/>
        <v>54.15</v>
      </c>
      <c r="K211" s="312">
        <f t="shared" si="65"/>
        <v>0</v>
      </c>
      <c r="L211" s="312">
        <f t="shared" si="65"/>
        <v>0</v>
      </c>
      <c r="M211" s="312">
        <f t="shared" si="65"/>
        <v>0</v>
      </c>
      <c r="N211" s="312">
        <f t="shared" si="65"/>
        <v>-2.0099999999999998</v>
      </c>
      <c r="O211" s="313">
        <f t="shared" si="65"/>
        <v>132.14000000000001</v>
      </c>
    </row>
    <row r="212" spans="1:15" ht="14.25">
      <c r="B212" s="202" t="s">
        <v>802</v>
      </c>
      <c r="C212" s="301">
        <f>C20</f>
        <v>0</v>
      </c>
      <c r="D212" s="302">
        <f>D20</f>
        <v>0</v>
      </c>
      <c r="E212" s="302">
        <f>E20</f>
        <v>0</v>
      </c>
      <c r="F212" s="302">
        <f>F20</f>
        <v>0</v>
      </c>
      <c r="G212" s="303">
        <f>G20</f>
        <v>0</v>
      </c>
      <c r="I212" s="314">
        <f t="shared" ref="I212:O212" si="66">I20</f>
        <v>0</v>
      </c>
      <c r="J212" s="315">
        <f t="shared" si="66"/>
        <v>0</v>
      </c>
      <c r="K212" s="315">
        <f t="shared" si="66"/>
        <v>0</v>
      </c>
      <c r="L212" s="315">
        <f t="shared" si="66"/>
        <v>0</v>
      </c>
      <c r="M212" s="315">
        <f t="shared" si="66"/>
        <v>0</v>
      </c>
      <c r="N212" s="315">
        <f t="shared" si="66"/>
        <v>0</v>
      </c>
      <c r="O212" s="316">
        <f t="shared" si="66"/>
        <v>0</v>
      </c>
    </row>
    <row r="213" spans="1:15">
      <c r="C213" s="298">
        <f>SUM(C211:C212)</f>
        <v>4</v>
      </c>
      <c r="D213" s="299">
        <f>SUM(D211:D212)</f>
        <v>760</v>
      </c>
      <c r="E213" s="299">
        <f>SUM(E211:E212)</f>
        <v>0</v>
      </c>
      <c r="F213" s="299">
        <f>SUM(F211:F212)</f>
        <v>0</v>
      </c>
      <c r="G213" s="300">
        <f>SUM(G211:G212)</f>
        <v>0</v>
      </c>
      <c r="I213" s="311">
        <f t="shared" ref="I213:O213" si="67">SUM(I211:I212)</f>
        <v>80</v>
      </c>
      <c r="J213" s="312">
        <f t="shared" si="67"/>
        <v>54.15</v>
      </c>
      <c r="K213" s="312">
        <f t="shared" si="67"/>
        <v>0</v>
      </c>
      <c r="L213" s="312">
        <f t="shared" si="67"/>
        <v>0</v>
      </c>
      <c r="M213" s="312">
        <f t="shared" si="67"/>
        <v>0</v>
      </c>
      <c r="N213" s="312">
        <f t="shared" si="67"/>
        <v>-2.0099999999999998</v>
      </c>
      <c r="O213" s="313">
        <f t="shared" si="67"/>
        <v>132.14000000000001</v>
      </c>
    </row>
    <row r="214" spans="1:15">
      <c r="C214" s="295"/>
      <c r="D214" s="296"/>
      <c r="E214" s="296"/>
      <c r="F214" s="296"/>
      <c r="G214" s="297"/>
      <c r="I214" s="311"/>
      <c r="J214" s="312"/>
      <c r="K214" s="312"/>
      <c r="L214" s="312"/>
      <c r="M214" s="312"/>
      <c r="N214" s="312"/>
      <c r="O214" s="313"/>
    </row>
    <row r="215" spans="1:15">
      <c r="A215" s="202" t="s">
        <v>887</v>
      </c>
      <c r="B215" s="236" t="s">
        <v>884</v>
      </c>
      <c r="C215" s="298">
        <f>C60</f>
        <v>15</v>
      </c>
      <c r="D215" s="299">
        <f>D60</f>
        <v>101030</v>
      </c>
      <c r="E215" s="299">
        <f>E60</f>
        <v>202</v>
      </c>
      <c r="F215" s="299">
        <f>F60</f>
        <v>123</v>
      </c>
      <c r="G215" s="300">
        <f>G60</f>
        <v>0</v>
      </c>
      <c r="I215" s="311">
        <f t="shared" ref="I215:O215" si="68">I60</f>
        <v>1350</v>
      </c>
      <c r="J215" s="312">
        <f t="shared" si="68"/>
        <v>3600.72</v>
      </c>
      <c r="K215" s="312">
        <f t="shared" si="68"/>
        <v>4355.08</v>
      </c>
      <c r="L215" s="312">
        <f t="shared" si="68"/>
        <v>0</v>
      </c>
      <c r="M215" s="312">
        <f t="shared" si="68"/>
        <v>0</v>
      </c>
      <c r="N215" s="312">
        <f t="shared" si="68"/>
        <v>-24.32</v>
      </c>
      <c r="O215" s="313">
        <f t="shared" si="68"/>
        <v>9281.48</v>
      </c>
    </row>
    <row r="216" spans="1:15">
      <c r="C216" s="295"/>
      <c r="D216" s="296"/>
      <c r="E216" s="296"/>
      <c r="F216" s="296"/>
      <c r="G216" s="297"/>
      <c r="I216" s="311"/>
      <c r="J216" s="312"/>
      <c r="K216" s="312"/>
      <c r="L216" s="312"/>
      <c r="M216" s="312"/>
      <c r="N216" s="312"/>
      <c r="O216" s="313"/>
    </row>
    <row r="217" spans="1:15">
      <c r="A217" s="202" t="s">
        <v>884</v>
      </c>
      <c r="B217" s="238" t="s">
        <v>224</v>
      </c>
      <c r="C217" s="298">
        <f>C6</f>
        <v>7</v>
      </c>
      <c r="D217" s="299">
        <f>D6</f>
        <v>4560</v>
      </c>
      <c r="E217" s="299">
        <f>E6</f>
        <v>25</v>
      </c>
      <c r="F217" s="299">
        <f>F6</f>
        <v>150</v>
      </c>
      <c r="G217" s="300">
        <f>G6</f>
        <v>0</v>
      </c>
      <c r="I217" s="311">
        <f t="shared" ref="I217:O217" si="69">I6</f>
        <v>1190</v>
      </c>
      <c r="J217" s="312">
        <f t="shared" si="69"/>
        <v>162.43</v>
      </c>
      <c r="K217" s="312">
        <f t="shared" si="69"/>
        <v>399.98</v>
      </c>
      <c r="L217" s="312">
        <f t="shared" si="69"/>
        <v>0</v>
      </c>
      <c r="M217" s="312">
        <f t="shared" si="69"/>
        <v>0</v>
      </c>
      <c r="N217" s="312">
        <f t="shared" si="69"/>
        <v>-2.42</v>
      </c>
      <c r="O217" s="313">
        <f t="shared" si="69"/>
        <v>1749.99</v>
      </c>
    </row>
    <row r="218" spans="1:15">
      <c r="B218" s="238" t="s">
        <v>802</v>
      </c>
      <c r="C218" s="298">
        <f>C17</f>
        <v>1437</v>
      </c>
      <c r="D218" s="299">
        <f>D17</f>
        <v>13976184</v>
      </c>
      <c r="E218" s="299">
        <f>E17</f>
        <v>30622</v>
      </c>
      <c r="F218" s="299">
        <f>F17</f>
        <v>42064</v>
      </c>
      <c r="G218" s="300">
        <f>G17</f>
        <v>0</v>
      </c>
      <c r="I218" s="311">
        <f t="shared" ref="I218:O218" si="70">I17</f>
        <v>129330</v>
      </c>
      <c r="J218" s="312">
        <f t="shared" si="70"/>
        <v>498111.19</v>
      </c>
      <c r="K218" s="312">
        <f t="shared" si="70"/>
        <v>567889.67000000004</v>
      </c>
      <c r="L218" s="312">
        <f t="shared" si="70"/>
        <v>0</v>
      </c>
      <c r="M218" s="312">
        <f t="shared" si="70"/>
        <v>0</v>
      </c>
      <c r="N218" s="312">
        <f t="shared" si="70"/>
        <v>-3765</v>
      </c>
      <c r="O218" s="313">
        <f t="shared" si="70"/>
        <v>1191565.8599999999</v>
      </c>
    </row>
    <row r="219" spans="1:15">
      <c r="B219" s="202" t="s">
        <v>866</v>
      </c>
      <c r="C219" s="298">
        <f>C96</f>
        <v>2</v>
      </c>
      <c r="D219" s="299">
        <f>D96</f>
        <v>161200</v>
      </c>
      <c r="E219" s="299">
        <f>E96</f>
        <v>0</v>
      </c>
      <c r="F219" s="299">
        <f>F96</f>
        <v>0</v>
      </c>
      <c r="G219" s="300">
        <f>G96</f>
        <v>0</v>
      </c>
      <c r="I219" s="311">
        <f t="shared" ref="I219:O219" si="71">I96</f>
        <v>40</v>
      </c>
      <c r="J219" s="312">
        <f t="shared" si="71"/>
        <v>11485.5</v>
      </c>
      <c r="K219" s="312">
        <f t="shared" si="71"/>
        <v>0</v>
      </c>
      <c r="L219" s="312">
        <f t="shared" si="71"/>
        <v>0</v>
      </c>
      <c r="M219" s="312">
        <f t="shared" si="71"/>
        <v>0</v>
      </c>
      <c r="N219" s="312">
        <f t="shared" si="71"/>
        <v>147.75</v>
      </c>
      <c r="O219" s="313">
        <f t="shared" si="71"/>
        <v>11673.25</v>
      </c>
    </row>
    <row r="220" spans="1:15">
      <c r="B220" s="238" t="s">
        <v>886</v>
      </c>
      <c r="C220" s="298">
        <f>C68</f>
        <v>12</v>
      </c>
      <c r="D220" s="299">
        <f>D68</f>
        <v>621600</v>
      </c>
      <c r="E220" s="299">
        <f>E68</f>
        <v>2397</v>
      </c>
      <c r="F220" s="299">
        <f>F68</f>
        <v>2488</v>
      </c>
      <c r="G220" s="300">
        <f>G68</f>
        <v>3941</v>
      </c>
      <c r="I220" s="311">
        <f t="shared" ref="I220:O220" si="72">I68</f>
        <v>3600</v>
      </c>
      <c r="J220" s="312">
        <f t="shared" si="72"/>
        <v>23403.24</v>
      </c>
      <c r="K220" s="312">
        <f t="shared" si="72"/>
        <v>19453.95</v>
      </c>
      <c r="L220" s="312">
        <f t="shared" si="72"/>
        <v>0</v>
      </c>
      <c r="M220" s="312">
        <f t="shared" si="72"/>
        <v>0</v>
      </c>
      <c r="N220" s="312">
        <f t="shared" si="72"/>
        <v>84.65</v>
      </c>
      <c r="O220" s="313">
        <f t="shared" si="72"/>
        <v>46541.840000000004</v>
      </c>
    </row>
    <row r="221" spans="1:15">
      <c r="B221" s="202" t="s">
        <v>894</v>
      </c>
      <c r="C221" s="298">
        <f>C87</f>
        <v>240</v>
      </c>
      <c r="D221" s="299">
        <f>D87</f>
        <v>28157814</v>
      </c>
      <c r="E221" s="299">
        <f>E87</f>
        <v>33360</v>
      </c>
      <c r="F221" s="299">
        <f>F87</f>
        <v>50312</v>
      </c>
      <c r="G221" s="300">
        <f>G87</f>
        <v>0</v>
      </c>
      <c r="I221" s="311">
        <f t="shared" ref="I221:O221" si="73">I87</f>
        <v>21600</v>
      </c>
      <c r="J221" s="312">
        <f t="shared" si="73"/>
        <v>1003544.5</v>
      </c>
      <c r="K221" s="312">
        <f t="shared" si="73"/>
        <v>1068710.96</v>
      </c>
      <c r="L221" s="312">
        <f t="shared" si="73"/>
        <v>0</v>
      </c>
      <c r="M221" s="312">
        <f t="shared" si="73"/>
        <v>0</v>
      </c>
      <c r="N221" s="312">
        <f t="shared" si="73"/>
        <v>-11437.02</v>
      </c>
      <c r="O221" s="313">
        <f t="shared" si="73"/>
        <v>2082418.44</v>
      </c>
    </row>
    <row r="222" spans="1:15" ht="14.25">
      <c r="B222" s="202" t="s">
        <v>893</v>
      </c>
      <c r="C222" s="301">
        <f>C81</f>
        <v>130</v>
      </c>
      <c r="D222" s="302">
        <f>D81</f>
        <v>43276820</v>
      </c>
      <c r="E222" s="302">
        <f>E81</f>
        <v>52585</v>
      </c>
      <c r="F222" s="302">
        <f>F81</f>
        <v>53992</v>
      </c>
      <c r="G222" s="303">
        <f>G81</f>
        <v>0</v>
      </c>
      <c r="I222" s="314">
        <f t="shared" ref="I222:O222" si="74">I81</f>
        <v>22100</v>
      </c>
      <c r="J222" s="315">
        <f t="shared" si="74"/>
        <v>1541520.32</v>
      </c>
      <c r="K222" s="315">
        <f t="shared" si="74"/>
        <v>1328167.78</v>
      </c>
      <c r="L222" s="315">
        <f t="shared" si="74"/>
        <v>0</v>
      </c>
      <c r="M222" s="315">
        <f t="shared" si="74"/>
        <v>0</v>
      </c>
      <c r="N222" s="315">
        <f t="shared" si="74"/>
        <v>-15499.8</v>
      </c>
      <c r="O222" s="316">
        <f t="shared" si="74"/>
        <v>2876288.3000000003</v>
      </c>
    </row>
    <row r="223" spans="1:15">
      <c r="C223" s="298">
        <f>SUM(C217:C222)</f>
        <v>1828</v>
      </c>
      <c r="D223" s="299">
        <f>SUM(D217:D222)</f>
        <v>86198178</v>
      </c>
      <c r="E223" s="299">
        <f>SUM(E217:E222)</f>
        <v>118989</v>
      </c>
      <c r="F223" s="299">
        <f>SUM(F217:F222)</f>
        <v>149006</v>
      </c>
      <c r="G223" s="300">
        <f>SUM(G217:G222)</f>
        <v>3941</v>
      </c>
      <c r="I223" s="311">
        <f t="shared" ref="I223:O223" si="75">SUM(I217:I222)</f>
        <v>177860</v>
      </c>
      <c r="J223" s="312">
        <f t="shared" si="75"/>
        <v>3078227.1799999997</v>
      </c>
      <c r="K223" s="312">
        <f t="shared" si="75"/>
        <v>2984622.34</v>
      </c>
      <c r="L223" s="312">
        <f t="shared" si="75"/>
        <v>0</v>
      </c>
      <c r="M223" s="312">
        <f t="shared" si="75"/>
        <v>0</v>
      </c>
      <c r="N223" s="312">
        <f t="shared" si="75"/>
        <v>-30471.84</v>
      </c>
      <c r="O223" s="313">
        <f t="shared" si="75"/>
        <v>6210237.6799999997</v>
      </c>
    </row>
    <row r="224" spans="1:15">
      <c r="C224" s="298"/>
      <c r="D224" s="299"/>
      <c r="E224" s="299"/>
      <c r="F224" s="299"/>
      <c r="G224" s="300"/>
      <c r="I224" s="311"/>
      <c r="J224" s="312"/>
      <c r="K224" s="312"/>
      <c r="L224" s="312"/>
      <c r="M224" s="312"/>
      <c r="N224" s="312"/>
      <c r="O224" s="313"/>
    </row>
    <row r="225" spans="1:15">
      <c r="A225" s="202" t="s">
        <v>886</v>
      </c>
      <c r="B225" s="238" t="s">
        <v>802</v>
      </c>
      <c r="C225" s="298">
        <f>C18</f>
        <v>14</v>
      </c>
      <c r="D225" s="299">
        <f>D18</f>
        <v>444220</v>
      </c>
      <c r="E225" s="299">
        <f>E18</f>
        <v>1003</v>
      </c>
      <c r="F225" s="299">
        <f>F18</f>
        <v>833</v>
      </c>
      <c r="G225" s="300">
        <f>G18</f>
        <v>0</v>
      </c>
      <c r="I225" s="311">
        <f t="shared" ref="I225:O225" si="76">I18</f>
        <v>1260</v>
      </c>
      <c r="J225" s="312">
        <f t="shared" si="76"/>
        <v>15832.01</v>
      </c>
      <c r="K225" s="312">
        <f t="shared" si="76"/>
        <v>13088.55</v>
      </c>
      <c r="L225" s="312">
        <f t="shared" si="76"/>
        <v>0</v>
      </c>
      <c r="M225" s="312">
        <f t="shared" si="76"/>
        <v>0</v>
      </c>
      <c r="N225" s="312">
        <f t="shared" si="76"/>
        <v>-56.09</v>
      </c>
      <c r="O225" s="313">
        <f t="shared" si="76"/>
        <v>30124.47</v>
      </c>
    </row>
    <row r="226" spans="1:15">
      <c r="B226" s="202" t="s">
        <v>884</v>
      </c>
      <c r="C226" s="298">
        <f>C61</f>
        <v>15</v>
      </c>
      <c r="D226" s="299">
        <f>D61</f>
        <v>1649920</v>
      </c>
      <c r="E226" s="299">
        <f>E61</f>
        <v>4203</v>
      </c>
      <c r="F226" s="299">
        <f>F61</f>
        <v>4223</v>
      </c>
      <c r="G226" s="300">
        <f>G61</f>
        <v>4930</v>
      </c>
      <c r="I226" s="311">
        <f t="shared" ref="I226:O226" si="77">I61</f>
        <v>3000</v>
      </c>
      <c r="J226" s="312">
        <f t="shared" si="77"/>
        <v>62251.48</v>
      </c>
      <c r="K226" s="312">
        <f t="shared" si="77"/>
        <v>41542.6</v>
      </c>
      <c r="L226" s="312">
        <f t="shared" si="77"/>
        <v>0</v>
      </c>
      <c r="M226" s="312">
        <f t="shared" si="77"/>
        <v>0</v>
      </c>
      <c r="N226" s="312">
        <f t="shared" si="77"/>
        <v>-27.31</v>
      </c>
      <c r="O226" s="313">
        <f t="shared" si="77"/>
        <v>106766.77</v>
      </c>
    </row>
    <row r="227" spans="1:15">
      <c r="B227" s="202" t="s">
        <v>894</v>
      </c>
      <c r="C227" s="298">
        <f>C84</f>
        <v>0</v>
      </c>
      <c r="D227" s="299">
        <f>D84</f>
        <v>0</v>
      </c>
      <c r="E227" s="299">
        <f>E84</f>
        <v>0</v>
      </c>
      <c r="F227" s="299">
        <f>F84</f>
        <v>0</v>
      </c>
      <c r="G227" s="300">
        <f>G84</f>
        <v>0</v>
      </c>
      <c r="I227" s="311">
        <f t="shared" ref="I227:O227" si="78">I84</f>
        <v>0</v>
      </c>
      <c r="J227" s="312">
        <f t="shared" si="78"/>
        <v>0</v>
      </c>
      <c r="K227" s="312">
        <f t="shared" si="78"/>
        <v>0</v>
      </c>
      <c r="L227" s="312">
        <f t="shared" si="78"/>
        <v>0</v>
      </c>
      <c r="M227" s="312">
        <f t="shared" si="78"/>
        <v>0</v>
      </c>
      <c r="N227" s="312">
        <f t="shared" si="78"/>
        <v>0</v>
      </c>
      <c r="O227" s="313">
        <f t="shared" si="78"/>
        <v>0</v>
      </c>
    </row>
    <row r="228" spans="1:15" ht="14.25">
      <c r="B228" s="202" t="s">
        <v>893</v>
      </c>
      <c r="C228" s="301">
        <f>C64+C78</f>
        <v>9</v>
      </c>
      <c r="D228" s="302">
        <f>D64+D78</f>
        <v>2071920</v>
      </c>
      <c r="E228" s="302">
        <f>E64+E78</f>
        <v>5109</v>
      </c>
      <c r="F228" s="302">
        <f>F64+F78</f>
        <v>2144</v>
      </c>
      <c r="G228" s="303">
        <f>G64+G78</f>
        <v>0</v>
      </c>
      <c r="I228" s="314">
        <f t="shared" ref="I228:O228" si="79">I64+I78</f>
        <v>1530</v>
      </c>
      <c r="J228" s="315">
        <f t="shared" si="79"/>
        <v>73801.789999999994</v>
      </c>
      <c r="K228" s="315">
        <f t="shared" si="79"/>
        <v>98492.04</v>
      </c>
      <c r="L228" s="315">
        <f t="shared" si="79"/>
        <v>0</v>
      </c>
      <c r="M228" s="315">
        <f t="shared" si="79"/>
        <v>0</v>
      </c>
      <c r="N228" s="315">
        <f t="shared" si="79"/>
        <v>-107.24</v>
      </c>
      <c r="O228" s="316">
        <f t="shared" si="79"/>
        <v>173716.59</v>
      </c>
    </row>
    <row r="229" spans="1:15">
      <c r="A229" s="236"/>
      <c r="B229" s="236"/>
      <c r="C229" s="298">
        <f>SUM(C225:C228)</f>
        <v>38</v>
      </c>
      <c r="D229" s="299">
        <f>SUM(D225:D228)</f>
        <v>4166060</v>
      </c>
      <c r="E229" s="299">
        <f>SUM(E225:E228)</f>
        <v>10315</v>
      </c>
      <c r="F229" s="299">
        <f>SUM(F225:F228)</f>
        <v>7200</v>
      </c>
      <c r="G229" s="300">
        <f>SUM(G225:G228)</f>
        <v>4930</v>
      </c>
      <c r="I229" s="311">
        <f t="shared" ref="I229:O229" si="80">SUM(I225:I228)</f>
        <v>5790</v>
      </c>
      <c r="J229" s="312">
        <f t="shared" si="80"/>
        <v>151885.28</v>
      </c>
      <c r="K229" s="312">
        <f t="shared" si="80"/>
        <v>153123.19</v>
      </c>
      <c r="L229" s="312">
        <f t="shared" si="80"/>
        <v>0</v>
      </c>
      <c r="M229" s="312">
        <f t="shared" si="80"/>
        <v>0</v>
      </c>
      <c r="N229" s="312">
        <f t="shared" si="80"/>
        <v>-190.64</v>
      </c>
      <c r="O229" s="313">
        <f t="shared" si="80"/>
        <v>310607.82999999996</v>
      </c>
    </row>
    <row r="230" spans="1:15">
      <c r="B230" s="236"/>
      <c r="C230" s="298"/>
      <c r="D230" s="299"/>
      <c r="E230" s="299"/>
      <c r="F230" s="299"/>
      <c r="G230" s="300"/>
      <c r="I230" s="311"/>
      <c r="J230" s="312"/>
      <c r="K230" s="312"/>
      <c r="L230" s="312"/>
      <c r="M230" s="312"/>
      <c r="N230" s="312"/>
      <c r="O230" s="313"/>
    </row>
    <row r="231" spans="1:15">
      <c r="A231" s="202" t="s">
        <v>19</v>
      </c>
      <c r="B231" s="202" t="s">
        <v>893</v>
      </c>
      <c r="C231" s="298">
        <f>C65</f>
        <v>0</v>
      </c>
      <c r="D231" s="299">
        <f>D65</f>
        <v>0</v>
      </c>
      <c r="E231" s="299">
        <f>E65</f>
        <v>0</v>
      </c>
      <c r="F231" s="299">
        <f>F65</f>
        <v>0</v>
      </c>
      <c r="G231" s="300">
        <f>G65</f>
        <v>0</v>
      </c>
      <c r="I231" s="311">
        <f t="shared" ref="I231:O231" si="81">I65</f>
        <v>0</v>
      </c>
      <c r="J231" s="312">
        <f t="shared" si="81"/>
        <v>0</v>
      </c>
      <c r="K231" s="312">
        <f t="shared" si="81"/>
        <v>0</v>
      </c>
      <c r="L231" s="312">
        <f t="shared" si="81"/>
        <v>0</v>
      </c>
      <c r="M231" s="312">
        <f t="shared" si="81"/>
        <v>0</v>
      </c>
      <c r="N231" s="312">
        <f t="shared" si="81"/>
        <v>0</v>
      </c>
      <c r="O231" s="313">
        <f t="shared" si="81"/>
        <v>0</v>
      </c>
    </row>
    <row r="232" spans="1:15">
      <c r="C232" s="295"/>
      <c r="D232" s="296"/>
      <c r="E232" s="296"/>
      <c r="F232" s="296"/>
      <c r="G232" s="297"/>
      <c r="I232" s="311"/>
      <c r="J232" s="312"/>
      <c r="K232" s="312"/>
      <c r="L232" s="312"/>
      <c r="M232" s="312"/>
      <c r="N232" s="312"/>
      <c r="O232" s="313"/>
    </row>
    <row r="233" spans="1:15" ht="15" thickBot="1">
      <c r="A233" s="236" t="s">
        <v>899</v>
      </c>
      <c r="C233" s="304" t="e">
        <f>SUM(C189,C193,C201,C209,C213,C215,C223,C229,C231)</f>
        <v>#REF!</v>
      </c>
      <c r="D233" s="305" t="e">
        <f>SUM(D189,D193,D201,D209,D213,D215,D223,D229,D231)</f>
        <v>#REF!</v>
      </c>
      <c r="E233" s="305" t="e">
        <f>SUM(E189,E193,E201,E209,E213,E215,E223,E229,E231)</f>
        <v>#REF!</v>
      </c>
      <c r="F233" s="305" t="e">
        <f>SUM(F189,F193,F201,F209,F213,F215,F223,F229,F231)</f>
        <v>#REF!</v>
      </c>
      <c r="G233" s="306" t="e">
        <f>SUM(G189,G193,G201,G209,G213,G215,G223,G229,G231)</f>
        <v>#REF!</v>
      </c>
      <c r="I233" s="318" t="e">
        <f t="shared" ref="I233:O233" si="82">SUM(I189,I193,I201,I209,I213,I215,I223,I229,I231)</f>
        <v>#REF!</v>
      </c>
      <c r="J233" s="319" t="e">
        <f t="shared" si="82"/>
        <v>#REF!</v>
      </c>
      <c r="K233" s="319" t="e">
        <f t="shared" si="82"/>
        <v>#REF!</v>
      </c>
      <c r="L233" s="319" t="e">
        <f t="shared" si="82"/>
        <v>#REF!</v>
      </c>
      <c r="M233" s="319" t="e">
        <f t="shared" si="82"/>
        <v>#REF!</v>
      </c>
      <c r="N233" s="319" t="e">
        <f t="shared" si="82"/>
        <v>#REF!</v>
      </c>
      <c r="O233" s="320" t="e">
        <f t="shared" si="82"/>
        <v>#REF!</v>
      </c>
    </row>
    <row r="234" spans="1:15" ht="12.75" thickBot="1"/>
    <row r="235" spans="1:15" ht="12.75" thickBot="1">
      <c r="A235" s="202" t="s">
        <v>901</v>
      </c>
      <c r="C235" s="237"/>
      <c r="D235" s="237"/>
      <c r="E235" s="237"/>
      <c r="F235" s="237"/>
      <c r="G235" s="237"/>
      <c r="I235" s="321" t="e">
        <f>I181-I233</f>
        <v>#REF!</v>
      </c>
      <c r="J235" s="322" t="e">
        <f t="shared" ref="J235:O235" si="83">J181-J233</f>
        <v>#REF!</v>
      </c>
      <c r="K235" s="322" t="e">
        <f t="shared" si="83"/>
        <v>#REF!</v>
      </c>
      <c r="L235" s="322" t="e">
        <f t="shared" si="83"/>
        <v>#REF!</v>
      </c>
      <c r="M235" s="322" t="e">
        <f t="shared" si="83"/>
        <v>#REF!</v>
      </c>
      <c r="N235" s="322" t="e">
        <f t="shared" si="83"/>
        <v>#REF!</v>
      </c>
      <c r="O235" s="323" t="e">
        <f t="shared" si="83"/>
        <v>#REF!</v>
      </c>
    </row>
  </sheetData>
  <autoFilter ref="B5:B124"/>
  <mergeCells count="5">
    <mergeCell ref="D4:G4"/>
    <mergeCell ref="Y4:Z4"/>
    <mergeCell ref="AB4:AC4"/>
    <mergeCell ref="D136:G136"/>
    <mergeCell ref="D184:G184"/>
  </mergeCells>
  <pageMargins left="0.7" right="0.7" top="1.25" bottom="0.75" header="0.75" footer="0.3"/>
  <pageSetup scale="63" fitToHeight="2" orientation="landscape" r:id="rId1"/>
  <headerFooter>
    <oddHeader>&amp;C&amp;"Times New Roman,Bold"&amp;14Kentucky Utilities Company&amp;"Times New Roman,Regular"&amp;12
Adjustment to Reflect Rate Switching During the Twelve Months Ended March 31, 2012</oddHeader>
    <oddFooter>&amp;R&amp;12Conroy Exhibit P6
Page &amp;P of &amp;N</oddFooter>
  </headerFooter>
  <rowBreaks count="1" manualBreakCount="1">
    <brk id="18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136</vt:i4>
      </vt:variant>
    </vt:vector>
  </HeadingPairs>
  <TitlesOfParts>
    <vt:vector size="162" baseType="lpstr">
      <vt:lpstr>Schedules==&gt;</vt:lpstr>
      <vt:lpstr>Sch M-1.1</vt:lpstr>
      <vt:lpstr>Sch M-1.2</vt:lpstr>
      <vt:lpstr>Sch M-1.3-pg 1</vt:lpstr>
      <vt:lpstr>Sch M-1.3-pg2-13</vt:lpstr>
      <vt:lpstr>Sch M-1.3-pg 14-18</vt:lpstr>
      <vt:lpstr>Conroy Exhibit P2</vt:lpstr>
      <vt:lpstr>Yr End Cust Adj</vt:lpstr>
      <vt:lpstr>Rate Switch</vt:lpstr>
      <vt:lpstr>ECR Roll In==&gt;</vt:lpstr>
      <vt:lpstr>Summary</vt:lpstr>
      <vt:lpstr>Group1</vt:lpstr>
      <vt:lpstr>Group2</vt:lpstr>
      <vt:lpstr>ECR Rollin</vt:lpstr>
      <vt:lpstr>StLtTYRevenueNetOfBaseECR</vt:lpstr>
      <vt:lpstr>Data==&gt;</vt:lpstr>
      <vt:lpstr>12MonResults</vt:lpstr>
      <vt:lpstr>12MonLights</vt:lpstr>
      <vt:lpstr>Rates</vt:lpstr>
      <vt:lpstr>Rates-Lights</vt:lpstr>
      <vt:lpstr>Sources ==&gt;</vt:lpstr>
      <vt:lpstr>1022</vt:lpstr>
      <vt:lpstr>1055</vt:lpstr>
      <vt:lpstr>SBR</vt:lpstr>
      <vt:lpstr>GranVille</vt:lpstr>
      <vt:lpstr>MiscData</vt:lpstr>
      <vt:lpstr>_1022_Count</vt:lpstr>
      <vt:lpstr>_1022_Demand_Base</vt:lpstr>
      <vt:lpstr>_1022_Demand_Intermediate</vt:lpstr>
      <vt:lpstr>_1022_Demand_Peak</vt:lpstr>
      <vt:lpstr>_1022_KWH</vt:lpstr>
      <vt:lpstr>_1022_KWH_P1</vt:lpstr>
      <vt:lpstr>_1022_KWH_P2</vt:lpstr>
      <vt:lpstr>_1022_KWH_P3</vt:lpstr>
      <vt:lpstr>_1022_Measured_KVA_Base</vt:lpstr>
      <vt:lpstr>_1022_Measured_KVA_Inter</vt:lpstr>
      <vt:lpstr>_1022_Measured_KVA_Peak</vt:lpstr>
      <vt:lpstr>_1022_Measured_KW</vt:lpstr>
      <vt:lpstr>_1022_PF_Qty</vt:lpstr>
      <vt:lpstr>_1022_Power_Factor_Revenue</vt:lpstr>
      <vt:lpstr>_1022_RateCategory</vt:lpstr>
      <vt:lpstr>_1022_RevenueMonth</vt:lpstr>
      <vt:lpstr>_1055_KWH</vt:lpstr>
      <vt:lpstr>_1055_Light_Count</vt:lpstr>
      <vt:lpstr>_1055_RateCategory</vt:lpstr>
      <vt:lpstr>_1055_RevMonth</vt:lpstr>
      <vt:lpstr>_12MonLights_Base_Fuel_Revenue</vt:lpstr>
      <vt:lpstr>_12MonLights_Count</vt:lpstr>
      <vt:lpstr>_12MonLights_Count_Adj</vt:lpstr>
      <vt:lpstr>_12MonLights_ECR</vt:lpstr>
      <vt:lpstr>_12MonLights_FAC</vt:lpstr>
      <vt:lpstr>_12MonLights_KWH</vt:lpstr>
      <vt:lpstr>_12MonLights_KWH_OutOfPeriod</vt:lpstr>
      <vt:lpstr>_12MonLights_Non_Fuel_Revenue</vt:lpstr>
      <vt:lpstr>_12MonLights_RateCategory</vt:lpstr>
      <vt:lpstr>_12MonLights_RateClass</vt:lpstr>
      <vt:lpstr>_12MonLights_Revenue</vt:lpstr>
      <vt:lpstr>_12MonLights_Revenue_Actual</vt:lpstr>
      <vt:lpstr>_12MonLights_Revenue_Adj</vt:lpstr>
      <vt:lpstr>_12MonLights_Revenue_BaseFuel</vt:lpstr>
      <vt:lpstr>_12MonLights_Revenue_Calculated</vt:lpstr>
      <vt:lpstr>_12MonLights_Revenue_FAC</vt:lpstr>
      <vt:lpstr>_12MonLights_Revenue_OutOfPeriod</vt:lpstr>
      <vt:lpstr>_12MonLights_RevMonth</vt:lpstr>
      <vt:lpstr>_12MonLights_TariffRateCategory</vt:lpstr>
      <vt:lpstr>_12MonLights_TotalRevenue</vt:lpstr>
      <vt:lpstr>_12MonResults_CustomerCount</vt:lpstr>
      <vt:lpstr>_12MonResults_CustomerCount_Adj</vt:lpstr>
      <vt:lpstr>_12MonResults_Demand_Billed_kW_B</vt:lpstr>
      <vt:lpstr>_12MonResults_Demand_Billed_kW_I</vt:lpstr>
      <vt:lpstr>_12MonResults_Demand_Billed_KW_P</vt:lpstr>
      <vt:lpstr>_12MonResults_Demand_Measured_kW_B</vt:lpstr>
      <vt:lpstr>_12MonResults_Demand_Measured_kW_I</vt:lpstr>
      <vt:lpstr>_12MonResults_Demand_Measured_kW_P</vt:lpstr>
      <vt:lpstr>_12MonResults_Demand_Minimum_B</vt:lpstr>
      <vt:lpstr>_12MonResults_Demand_Minimum_I</vt:lpstr>
      <vt:lpstr>_12MonResults_Demand_Minimum_P</vt:lpstr>
      <vt:lpstr>_12MonResults_Demand_OutOfPeriod_B</vt:lpstr>
      <vt:lpstr>_12MonResults_Demand_OutOfPeriod_I</vt:lpstr>
      <vt:lpstr>_12MonResults_Demand_OutOfPeriod_P</vt:lpstr>
      <vt:lpstr>_12MonResults_KWH_OutOfPeriod</vt:lpstr>
      <vt:lpstr>_12MonResults_KWH_P1</vt:lpstr>
      <vt:lpstr>_12MonResults_KWH_P2</vt:lpstr>
      <vt:lpstr>_12MonResults_KWH_P3</vt:lpstr>
      <vt:lpstr>_12MonResults_KWH_Total</vt:lpstr>
      <vt:lpstr>_12MonResults_Period</vt:lpstr>
      <vt:lpstr>_12MonResults_Rate</vt:lpstr>
      <vt:lpstr>_12MonResults_RateCategory</vt:lpstr>
      <vt:lpstr>_12MonResults_RateClass</vt:lpstr>
      <vt:lpstr>_12MonResults_Revenue_Actual</vt:lpstr>
      <vt:lpstr>_12MonResults_Revenue_Adj_BSC</vt:lpstr>
      <vt:lpstr>_12MonResults_Revenue_Adj_Demand</vt:lpstr>
      <vt:lpstr>_12MonResults_Revenue_Adj_Energy</vt:lpstr>
      <vt:lpstr>_12MonResults_Revenue_BaseFuel</vt:lpstr>
      <vt:lpstr>_12MonResults_Revenue_Calc_BSC</vt:lpstr>
      <vt:lpstr>_12MonResults_Revenue_Calc_Energy</vt:lpstr>
      <vt:lpstr>_12MonResults_Revenue_Calculated</vt:lpstr>
      <vt:lpstr>_12MonResults_Revenue_CSR</vt:lpstr>
      <vt:lpstr>_12MonResults_Revenue_Demand</vt:lpstr>
      <vt:lpstr>_12MonResults_Revenue_Demand_B</vt:lpstr>
      <vt:lpstr>_12MonResults_Revenue_Demand_I</vt:lpstr>
      <vt:lpstr>_12MonResults_Revenue_Demand_P</vt:lpstr>
      <vt:lpstr>_12MonResults_Revenue_DSM</vt:lpstr>
      <vt:lpstr>_12MonResults_Revenue_ECR</vt:lpstr>
      <vt:lpstr>_12MonResults_Revenue_FAC</vt:lpstr>
      <vt:lpstr>_12MonResults_Revenue_Minimum</vt:lpstr>
      <vt:lpstr>_12MonResults_Revenue_MSR</vt:lpstr>
      <vt:lpstr>_12MonResults_Revenue_NonFuel_Energy</vt:lpstr>
      <vt:lpstr>_12MonResults_Revenue_OutOfPeriod_BSC</vt:lpstr>
      <vt:lpstr>_12MonResults_Revenue_OutOfPeriod_Demand</vt:lpstr>
      <vt:lpstr>_12MonResults_Revenue_OutOfPeriod_Energy</vt:lpstr>
      <vt:lpstr>_12MonResults_Revenue_Pwr_Factor</vt:lpstr>
      <vt:lpstr>_12MonResults_Revenue_Red_Cap</vt:lpstr>
      <vt:lpstr>_12MonResults_Revenue_Total</vt:lpstr>
      <vt:lpstr>_12MonResults_RevMonth</vt:lpstr>
      <vt:lpstr>_12MonResults_TariffRateClass</vt:lpstr>
      <vt:lpstr>_12MonResults_TarrifRateCategory</vt:lpstr>
      <vt:lpstr>_Lights_Rates</vt:lpstr>
      <vt:lpstr>_Lights_Tariff_Category</vt:lpstr>
      <vt:lpstr>_Rates_Balance_Energy</vt:lpstr>
      <vt:lpstr>_Rates_BasicServiceCharge</vt:lpstr>
      <vt:lpstr>_Rates_Demand_Base</vt:lpstr>
      <vt:lpstr>_Rates_Demand_Intermediate</vt:lpstr>
      <vt:lpstr>_Rates_Demand_Peak</vt:lpstr>
      <vt:lpstr>_Rates_ECR_Demand</vt:lpstr>
      <vt:lpstr>_Rates_ECR_Energy</vt:lpstr>
      <vt:lpstr>_Rates_Energy</vt:lpstr>
      <vt:lpstr>_Rates_Energy_P2</vt:lpstr>
      <vt:lpstr>_Rates_Energy_P3</vt:lpstr>
      <vt:lpstr>_Rates_FAC_Energy</vt:lpstr>
      <vt:lpstr>_Rates_Lights_BaseFAC</vt:lpstr>
      <vt:lpstr>_Rates_Lights_ECR</vt:lpstr>
      <vt:lpstr>_Rates_Rate</vt:lpstr>
      <vt:lpstr>_Rates_Tariff_Category</vt:lpstr>
      <vt:lpstr>_SBR_Base_Revenue</vt:lpstr>
      <vt:lpstr>_SBR_BSC_Revenue</vt:lpstr>
      <vt:lpstr>_SBR_CSR</vt:lpstr>
      <vt:lpstr>_SBR_Demand_Revenue</vt:lpstr>
      <vt:lpstr>_SBR_DSM</vt:lpstr>
      <vt:lpstr>_SBR_ECR</vt:lpstr>
      <vt:lpstr>_SBR_Energy_Revenue</vt:lpstr>
      <vt:lpstr>_SBR_FAC</vt:lpstr>
      <vt:lpstr>_SBR_KWH</vt:lpstr>
      <vt:lpstr>_SBR_MSR</vt:lpstr>
      <vt:lpstr>_SBR_Rate_Category</vt:lpstr>
      <vt:lpstr>_SBR_RateClass</vt:lpstr>
      <vt:lpstr>_SBR_Revenue_Actual</vt:lpstr>
      <vt:lpstr>_SBR_Revenue_Month</vt:lpstr>
      <vt:lpstr>'Conroy Exhibit P2'!Print_Area</vt:lpstr>
      <vt:lpstr>Group1!Print_Area</vt:lpstr>
      <vt:lpstr>Group2!Print_Area</vt:lpstr>
      <vt:lpstr>'Rate Switch'!Print_Area</vt:lpstr>
      <vt:lpstr>'Sch M-1.2'!Print_Area</vt:lpstr>
      <vt:lpstr>'Sch M-1.3-pg 1'!Print_Area</vt:lpstr>
      <vt:lpstr>'Sch M-1.3-pg 14-18'!Print_Area</vt:lpstr>
      <vt:lpstr>'Sch M-1.3-pg2-13'!Print_Area</vt:lpstr>
      <vt:lpstr>Summary!Print_Area</vt:lpstr>
      <vt:lpstr>'Yr End Cust Adj'!Print_Area</vt:lpstr>
      <vt:lpstr>'Conroy Exhibit P2'!Print_Titles</vt:lpstr>
      <vt:lpstr>Group1!Print_Titles</vt:lpstr>
      <vt:lpstr>Group2!Print_Titles</vt:lpstr>
      <vt:lpstr>'Sch M-1.3-pg 1'!Print_Titles</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Foxworthy</dc:creator>
  <cp:lastModifiedBy>Foxworthy, Carol</cp:lastModifiedBy>
  <cp:lastPrinted>2014-11-20T22:15:34Z</cp:lastPrinted>
  <dcterms:created xsi:type="dcterms:W3CDTF">2010-08-19T13:01:15Z</dcterms:created>
  <dcterms:modified xsi:type="dcterms:W3CDTF">2015-01-13T20:11:28Z</dcterms:modified>
</cp:coreProperties>
</file>